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comments14.xml" ContentType="application/vnd.openxmlformats-officedocument.spreadsheetml.comments+xml"/>
  <Override PartName="/xl/comments4.xml" ContentType="application/vnd.openxmlformats-officedocument.spreadsheetml.comments+xml"/>
  <Override PartName="/xl/comments6.xml" ContentType="application/vnd.openxmlformats-officedocument.spreadsheetml.comments+xml"/>
  <Override PartName="/xl/comments16.xml" ContentType="application/vnd.openxmlformats-officedocument.spreadsheetml.comments+xml"/>
  <Override PartName="/xl/workbook.xml" ContentType="application/vnd.openxmlformats-officedocument.spreadsheetml.sheet.main+xml"/>
  <Override PartName="/xl/comments28.xml" ContentType="application/vnd.openxmlformats-officedocument.spreadsheetml.comments+xml"/>
  <Override PartName="/xl/comments26.xml" ContentType="application/vnd.openxmlformats-officedocument.spreadsheetml.comment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25.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20.xml" ContentType="application/vnd.openxmlformats-officedocument.spreadsheetml.worksheet+xml"/>
  <Override PartName="/xl/worksheets/sheet24.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17.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16.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15.xml" ContentType="application/vnd.openxmlformats-officedocument.spreadsheetml.worksheet+xml"/>
  <Override PartName="/xl/worksheets/sheet19.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21.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26.xml" ContentType="application/vnd.openxmlformats-officedocument.spreadsheetml.worksheet+xml"/>
  <Override PartName="/xl/comments25.xml" ContentType="application/vnd.openxmlformats-officedocument.spreadsheetml.comments+xml"/>
  <Override PartName="/xl/theme/theme1.xml" ContentType="application/vnd.openxmlformats-officedocument.theme+xml"/>
  <Override PartName="/xl/comments1.xml" ContentType="application/vnd.openxmlformats-officedocument.spreadsheetml.comments+xml"/>
  <Override PartName="/xl/comments20.xml" ContentType="application/vnd.openxmlformats-officedocument.spreadsheetml.comments+xml"/>
  <Override PartName="/xl/sharedStrings.xml" ContentType="application/vnd.openxmlformats-officedocument.spreadsheetml.sharedStrings+xml"/>
  <Override PartName="/xl/comments30.xml" ContentType="application/vnd.openxmlformats-officedocument.spreadsheetml.comments+xml"/>
  <Override PartName="/xl/comments19.xml" ContentType="application/vnd.openxmlformats-officedocument.spreadsheetml.comments+xml"/>
  <Override PartName="/xl/drawings/vmlDrawing3.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2.vml" ContentType="application/vnd.openxmlformats-officedocument.vmlDrawing"/>
  <Override PartName="/xl/drawings/vmlDrawing8.vml" ContentType="application/vnd.openxmlformats-officedocument.vmlDrawing"/>
  <Override PartName="/xl/drawings/vmlDrawing4.vml" ContentType="application/vnd.openxmlformats-officedocument.vmlDrawing"/>
  <Override PartName="/xl/drawings/vmlDrawing9.vml" ContentType="application/vnd.openxmlformats-officedocument.vmlDrawing"/>
  <Override PartName="/xl/drawings/vmlDrawing10.vml" ContentType="application/vnd.openxmlformats-officedocument.vmlDrawing"/>
  <Override PartName="/xl/drawings/vmlDrawing11.vml" ContentType="application/vnd.openxmlformats-officedocument.vmlDrawi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Budget FY2027" sheetId="10" state="visible" r:id="rId12"/>
    <sheet name="Budget vs Model FY2027" sheetId="11" state="visible" r:id="rId13"/>
    <sheet name="Reforecast Q1 2026" sheetId="12" state="hidden" r:id="rId14"/>
    <sheet name="BD Commission" sheetId="13" state="visible" r:id="rId15"/>
    <sheet name="Projects" sheetId="14" state="visible" r:id="rId16"/>
    <sheet name="Contracts In Process" sheetId="15" state="visible" r:id="rId17"/>
    <sheet name="Personnel" sheetId="16" state="visible" r:id="rId18"/>
    <sheet name="Appendix" sheetId="17" state="hidden" r:id="rId19"/>
    <sheet name="Sensitivity" sheetId="18" state="hidden" r:id="rId20"/>
    <sheet name="Curves" sheetId="19" state="hidden" r:id="rId21"/>
    <sheet name="Assumptions" sheetId="20" state="visible" r:id="rId22"/>
    <sheet name="Escalation" sheetId="21" state="hidden" r:id="rId23"/>
    <sheet name="Helpers" sheetId="22" state="hidden" r:id="rId24"/>
    <sheet name="LIHTC Project P&amp;L" sheetId="23" state="hidden" r:id="rId25"/>
    <sheet name="BD Commission Detail" sheetId="24" state="visible" r:id="rId26"/>
    <sheet name="Retention" sheetId="25" state="visible" r:id="rId27"/>
    <sheet name="Deal Terms" sheetId="26" state="visible" r:id="rId28"/>
    <sheet name="Staffing" sheetId="27" state="visible" r:id="rId29"/>
    <sheet name="Bonding Program" sheetId="28" state="visible" r:id="rId30"/>
    <sheet name="APA &gt;&gt;" sheetId="29" state="visible" r:id="rId31"/>
    <sheet name="APA Inputs" sheetId="30" state="visible" r:id="rId32"/>
    <sheet name="APA Schedule" sheetId="31" state="visible" r:id="rId33"/>
    <sheet name="APA Summary" sheetId="32" state="visible" r:id="rId34"/>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A294" authorId="0">
      <text>
        <r>
          <rPr>
            <sz val="10"/>
            <rFont val="Arial"/>
            <family val="2"/>
          </rPr>
          <t xml:space="preserve">Subsidiaries 9 Oct 2026 (Chris). Uplifters and APA run as subsidiaries in their own tabs at the end of the workbook (behind the 'UPLIFTERS &gt;&gt;' and 'APA &gt;&gt;' spacers). Closed months (row 4 = Actuals) are zero here; their actuals sit in the Six Peak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J112" authorId="0">
      <text>
        <r>
          <rPr>
            <sz val="10"/>
            <rFont val="Arial"/>
            <family val="2"/>
          </rPr>
          <t xml:space="preserve">0: Lexington bond line ($192,026) billed in Aug-26 (col I).</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J158" authorId="0">
      <text>
        <r>
          <rPr>
            <sz val="10"/>
            <rFont val="Arial"/>
            <family val="2"/>
          </rPr>
          <t xml:space="preserve">0: Lexington bond premium ($95,034) paid in Aug-26 (col I). Replace with actual at Sept close if 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J364" authorId="0">
      <text>
        <r>
          <rPr>
            <sz val="10"/>
            <rFont val="Arial"/>
            <family val="2"/>
          </rPr>
          <t xml:space="preserve">8/31 B/S payables (8,606,048) less any Krueger bonding fee accrued in them (Bonding Program!H8), which is held to the payout month. When the cash build rolls: = -(B/S payables) + 'Bonding Program'!$H$8.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 ref="J365"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-485</xdr:colOff>
                <xdr:row>3</xdr:row>
                <xdr:rowOff>18</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2" authorId="0">
      <text>
        <r>
          <rPr>
            <sz val="10"/>
            <rFont val="Arial"/>
            <family val="2"/>
          </rPr>
          <t xml:space="preserve">Aug-26 trades GL 5,304,128.59 less Lexington bond-line billing 192,026.25 (moved to row 15).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14" authorId="0">
      <text>
        <r>
          <rPr>
            <sz val="10"/>
            <rFont val="Arial"/>
            <family val="2"/>
          </rPr>
          <t xml:space="preserve">Aug-26 trade COGS GL 5,503,997.59 less bond premiums 408,769.00 (Francis 313,735 CBI; Lexington 95,034) moved to row 16.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49" authorId="0">
      <text>
        <r>
          <rPr>
            <sz val="10"/>
            <rFont val="Arial"/>
            <family val="2"/>
          </rPr>
          <t xml:space="preserve">Aug-26: incl. $11.02 Postage (5200-1001,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70" authorId="0">
      <text>
        <r>
          <rPr>
            <sz val="10"/>
            <rFont val="Arial"/>
            <family val="2"/>
          </rPr>
          <t xml:space="preserve">Aug-26: $8,800 12th &amp; Fir dev fee (4000-2524) + $10,200 Judkins acquisition fee (4000-5009) - no separate Judkins line.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77" authorId="0">
      <text>
        <r>
          <rPr>
            <sz val="10"/>
            <rFont val="Arial"/>
            <family val="2"/>
          </rPr>
          <t xml:space="preserve">Aug-26: Development Fees - 2859 Francis (4000-2009) $127,514.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90" authorId="0">
      <text>
        <r>
          <rPr>
            <sz val="10"/>
            <rFont val="Arial"/>
            <family val="2"/>
          </rPr>
          <t xml:space="preserve">Aug-26: $998.52 IT Software + $5,025 IT Services (5200-1051,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105" authorId="0">
      <text>
        <r>
          <rPr>
            <sz val="10"/>
            <rFont val="Arial"/>
            <family val="2"/>
          </rPr>
          <t xml:space="preserve">Aug-26: Misc +331.97 plus Due Diligence &amp; Pursuit credit +4,188.83 (5900-1050, no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 ref="J109" authorId="0">
      <text>
        <r>
          <rPr>
            <sz val="10"/>
            <rFont val="Arial"/>
            <family val="2"/>
          </rPr>
          <t xml:space="preserve">Aug-26: explicit 0 - no Steyn fee paid in Aug per ledger (Chris 26-Sep). Helpers!G20 reads this.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-99</xdr:colOff>
                <xdr:row>3</xdr:row>
                <xdr:rowOff>18</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mc:AlternateContent>
        <mc:Choice Requires="v2">
          <commentPr autoFill="true" autoScale="false" colHidden="false" locked="false" rowHidden="true" textHAlign="justify" textVAlign="top">
            <anchor moveWithCells="false" sizeWithCells="false">
              <xdr:from>
                <xdr:col>0</xdr:col>
                <xdr:colOff>79</xdr:colOff>
                <xdr:row>0</xdr:row>
                <xdr:rowOff>2</xdr:rowOff>
              </xdr:from>
              <xdr:to>
                <xdr:col>1</xdr:col>
                <xdr:colOff>-167</xdr:colOff>
                <xdr:row>3</xdr:row>
                <xdr:rowOff>21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7" authorId="0">
      <text>
        <r>
          <rPr>
            <sz val="10"/>
            <rFont val="Arial"/>
            <family val="2"/>
          </rPr>
          <t xml:space="preserve">HVN 2027 pipeline (Chris 6 Oct 2026; Matt Land call 6 Oct). Was Dickens (off LV's list). Lemp: 5922 Lemp, CTCAC R3 app 26-720, 81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A22" authorId="0">
      <text>
        <r>
          <rPr>
            <sz val="10"/>
            <rFont val="Arial"/>
            <family val="2"/>
          </rPr>
          <t xml:space="preserve">HVN 2027 pipeline (Chris 6 Oct 2026; Matt Land call 6 Oct). Was BD-06 placeholder. Kester: 5003 Kester, CTCAC R3 app 26-717, 77 units; HVN budget until LV ROM is run.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B18" authorId="0">
      <text>
        <r>
          <rPr>
            <sz val="10"/>
            <rFont val="Arial"/>
            <family val="2"/>
          </rPr>
          <t xml:space="preserve">Restored 27-Sep-26 to the HVN Round 2 ROM ($11,317,385). The 26-Sep rename had copied the in-construction Riverton contract ($14,337,010.80) onto this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B21" authorId="0">
      <text>
        <r>
          <rPr>
            <sz val="10"/>
            <rFont val="Arial"/>
            <family val="2"/>
          </rPr>
          <t xml:space="preserve">Plan consolidation 9 Oct 2026 (Chris). Actual GMP, 5614 Troost Ave (HVN 75 Troost), GMP budget end of September; signing week of 9 Oct. Was 15,189,509.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13" authorId="0">
      <text>
        <r>
          <rPr>
            <sz val="10"/>
            <rFont val="Arial"/>
            <family val="2"/>
          </rPr>
          <t xml:space="preserve">Plan consolidation 9 Oct 2026 (Chris). Was 13 (Apr-27). Construction start May 2027, first billing Jun 2027 (month 15). Reseda is on in every plan.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17" authorId="0">
      <text>
        <r>
          <rPr>
            <sz val="10"/>
            <rFont val="Arial"/>
            <family val="2"/>
          </rPr>
          <t xml:space="preserve">HVN 2027 pipeline (Chris 6 Oct 2026; Matt Land call 6 Oct). Sep 2027 (month 18). HVN sheet shows 1 Aug 2027; readiness requires NTP by 19 Jul 2027 bond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18" authorId="0">
      <text>
        <r>
          <rPr>
            <sz val="10"/>
            <rFont val="Arial"/>
            <family val="2"/>
          </rPr>
          <t xml:space="preserve">HVN 2027 pipeline (Chris 6 Oct 2026; Matt Land call 6 Oct). Was 15 (Jun-27), $11,317,385. Now May 2027 (month 14) at LV ROM v2.2.0 $11,537,565 (HVN budget $12,747,527).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19" authorId="0">
      <text>
        <r>
          <rPr>
            <sz val="10"/>
            <rFont val="Arial"/>
            <family val="2"/>
          </rPr>
          <t xml:space="preserve">HVN 2027 pipeline (Chris 6 Oct 2026; Matt Land call 6 Oct). Was 16 (Jul-27), 19 months, $18,442,769. Now Apr 2027 (month 13), 18 months per Grady's schedule, at LV ROM v2.2.0 $18,764,585 (HVN budget $18,802,455).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21" authorId="0">
      <text>
        <r>
          <rPr>
            <sz val="10"/>
            <rFont val="Arial"/>
            <family val="2"/>
          </rPr>
          <t xml:space="preserve">Plan consolidation 9 Oct 2026 (Chris). Was 10 (Jan-27). First billing Dec 2026 (month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C22" authorId="0">
      <text>
        <r>
          <rPr>
            <sz val="10"/>
            <rFont val="Arial"/>
            <family val="2"/>
          </rPr>
          <t xml:space="preserve">HVN 2027 pipeline (Chris 6 Oct 2026; Matt Land call 6 Oct). Oct 2027 (month 19), matching HVN's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D9" authorId="0">
      <text>
        <r>
          <rPr>
            <sz val="10"/>
            <rFont val="Arial"/>
            <family val="2"/>
          </rPr>
          <t xml:space="preserve">26-Sep-26 (Chris): Riverton completion Feb-2028 (month 23) = start 5 + 19 months - 1. Curve 3 (19-month).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D21" authorId="0">
      <text>
        <r>
          <rPr>
            <sz val="10"/>
            <rFont val="Arial"/>
            <family val="2"/>
          </rPr>
          <t xml:space="preserve">Plan consolidation 9 Oct 2026 (Chris). Was 19. GMP carries 20 months of supervision; completion Jul 2028. Bills on Curves row 11 (curve 3 at 20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E19" authorId="0">
      <text>
        <r>
          <rPr>
            <sz val="10"/>
            <rFont val="Arial"/>
            <family val="2"/>
          </rPr>
          <t xml:space="preserve">Claude 6 Oct 2026: Moorpark bills on Curves row 10 (curve 3 at 18 months); this column is a label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J11" authorId="0">
      <text>
        <r>
          <rPr>
            <sz val="10"/>
            <rFont val="Arial"/>
            <family val="2"/>
          </rPr>
          <t xml:space="preserve">Was Yes.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L21" authorId="0">
      <text>
        <r>
          <rPr>
            <sz val="10"/>
            <rFont val="Arial"/>
            <family val="2"/>
          </rPr>
          <t xml:space="preserve">Plan consolidation 9 Oct 2026 (Chris). Third-party GC, not bonded, non-LIHTC.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N21" authorId="0">
      <text>
        <r>
          <rPr>
            <sz val="10"/>
            <rFont val="Arial"/>
            <family val="2"/>
          </rPr>
          <t xml:space="preserve">Plan consolidation 9 Oct 2026 (Chris). From the GMP, not the LIHTC rates: supervision 20 mo x $32,500. GC fee 5.0% $694,071 (col O); project admin 2.0% $270,857 (col P). Model rows 10, 11 and 30 and Retention C19 read these cells for Troost. Contingency 2.5% $338,571, insurance $74,306 and CBT $14,846 pass through in trade billing at zero margin.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 ref="X1" authorId="0">
      <text>
        <r>
          <rPr>
            <sz val="10"/>
            <rFont val="Arial"/>
            <family val="2"/>
          </rPr>
          <t xml:space="preserve">Plan consolidation 9 Oct 2026 (Chris). Tom participates only in Beverly (row 20) and the BD placeholders (rows 23-46). No commission on Lemp, Riverton 75, Moorpark, Troost or Kester. Read by BD Commission Detail col E and Helpers rows 96, 97 and 101.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104</xdr:colOff>
                <xdr:row>3</xdr:row>
                <xdr:rowOff>4</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K47" authorId="0">
      <text>
        <r>
          <rPr>
            <sz val="10"/>
            <rFont val="Arial"/>
            <family val="2"/>
          </rPr>
          <t xml:space="preserve">Subsidiaries 9 Oct 2026 (Chris). Ends Sep 2026 (month 6) only when the Uplifters subsidiary is on; the Uplifters model then carries his consulting fee to closing and the W2 salary after. Blank (ongoing)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-31</xdr:colOff>
                <xdr:row>4</xdr:row>
                <xdr:rowOff>6</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0" authorId="0">
      <text>
        <r>
          <rPr>
            <sz val="10"/>
            <rFont val="Arial"/>
            <family val="2"/>
          </rPr>
          <t xml:space="preserve">Claude 6 Oct 2026: curve 3 resampled to 18 months for Moorpark (Grady's schedule). Used by Model rows 28 and 351 and Helpers rows 96 and 101 for Projects row 19.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54</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51" authorId="0">
      <text>
        <r>
          <rPr>
            <sz val="10"/>
            <rFont val="Arial"/>
            <family val="2"/>
          </rPr>
          <t xml:space="preserve">Was 2,000,000. Steyn no longer guarantees Klump &amp; Scott (Chris 3 Oct 2026).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-116</xdr:colOff>
                <xdr:row>3</xdr:row>
                <xdr:rowOff>20</xdr:rowOff>
              </xdr:to>
            </anchor>
          </commentPr>
        </mc:Choice>
        <mc:Fallback/>
      </mc:AlternateContent>
    </comment>
    <comment ref="B65" authorId="0">
      <text>
        <r>
          <rPr>
            <sz val="10"/>
            <rFont val="Arial"/>
            <family val="2"/>
          </rPr>
          <t xml:space="preserve">Chris 3 Oct 2026: $60,000 per project, straight line over the build (Projects col D). Accounting and guarantee fees no longer exist.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-116</xdr:colOff>
                <xdr:row>3</xdr:row>
                <xdr:rowOff>20</xdr:rowOff>
              </xdr:to>
            </anchor>
          </commentPr>
        </mc:Choice>
        <mc:Fallback/>
      </mc:AlternateContent>
    </comment>
  </commentList>
</comments>
</file>

<file path=xl/comments2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Beginning retention &amp; remaining fee revenue rolled to 31-Aug-26 draw sheets (fee lines only).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54</xdr:colOff>
                <xdr:row>4</xdr:row>
                <xdr:rowOff>1</xdr:rowOff>
              </xdr:to>
            </anchor>
          </commentPr>
        </mc:Choice>
        <mc:Fallback/>
      </mc:AlternateContent>
    </comment>
  </commentList>
</comments>
</file>

<file path=xl/comments2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21" authorId="0">
      <text>
        <r>
          <rPr>
            <sz val="10"/>
            <rFont val="Arial"/>
            <family val="2"/>
          </rPr>
          <t xml:space="preserve">Plan consolidation 9 Oct 2026 (Chris). Shared savings 50/50 stays the deal term, projected at zero: assume Troost hits the GMP exactly.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130</xdr:colOff>
                <xdr:row>2</xdr:row>
                <xdr:rowOff>43</xdr:rowOff>
              </xdr:to>
            </anchor>
          </commentPr>
        </mc:Choice>
        <mc:Fallback/>
      </mc:AlternateContent>
    </commen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130</xdr:colOff>
                <xdr:row>2</xdr:row>
                <xdr:rowOff>43</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7" authorId="0">
      <text>
        <r>
          <rPr>
            <sz val="10"/>
            <rFont val="Arial"/>
            <family val="2"/>
          </rPr>
          <t xml:space="preserve">Paid in the payout month (H9) through Model row 358. Acama and later bonds reach cash through the one-month GP collection lag instead.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-31</xdr:colOff>
                <xdr:row>3</xdr:row>
                <xdr:rowOff>19</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9" authorId="0">
      <text>
        <r>
          <rPr>
            <sz val="10"/>
            <rFont val="Arial"/>
            <family val="2"/>
          </rPr>
          <t xml:space="preserve">Subsidiaries 9 Oct 2026 (Chris). Linked to the 3rd Street contract start below (as in the Polk model).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-167</xdr:colOff>
                <xdr:row>3</xdr:row>
                <xdr:rowOff>18</xdr:rowOff>
              </xdr:to>
            </anchor>
          </commentPr>
        </mc:Choice>
        <mc:Fallback/>
      </mc:AlternateContent>
    </comment>
  </commentList>
</comments>
</file>

<file path=xl/sharedStrings.xml><?xml version="1.0" encoding="utf-8"?>
<sst xmlns="http://schemas.openxmlformats.org/spreadsheetml/2006/main" count="3754" uniqueCount="1442">
  <si>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</si>
  <si>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</si>
  <si>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</si>
  <si>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</si>
  <si>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</si>
  <si>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</si>
  <si>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</si>
  <si>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</si>
  <si>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</si>
  <si>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</si>
  <si>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</si>
  <si>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</si>
  <si>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</si>
  <si>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</si>
  <si>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</si>
  <si>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</si>
  <si>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</si>
  <si>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</si>
  <si>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</si>
  <si>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</si>
  <si>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Lemp</t>
  </si>
  <si>
    <t xml:space="preserve">Riverton 75</t>
  </si>
  <si>
    <t xml:space="preserve">Moorpark</t>
  </si>
  <si>
    <t xml:space="preserve">Beverly (BD-04)</t>
  </si>
  <si>
    <t xml:space="preserve">Troost</t>
  </si>
  <si>
    <t xml:space="preserve">Kester</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</si>
  <si>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</si>
  <si>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</si>
  <si>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</si>
  <si>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</si>
  <si>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</si>
  <si>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</si>
  <si>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</si>
  <si>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</si>
  <si>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</si>
  <si>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</si>
  <si>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</si>
  <si>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</si>
  <si>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</si>
  <si>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</si>
  <si>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</si>
  <si>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</si>
  <si>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</si>
  <si>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</si>
  <si>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</si>
  <si>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</si>
  <si>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</si>
  <si>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</si>
  <si>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</si>
  <si>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</si>
  <si>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</si>
  <si>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</si>
  <si>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</si>
  <si>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</si>
  <si>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</si>
  <si>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</si>
  <si>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</si>
  <si>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Krueger cash fee; forecast bonds also bond line less premium (from Bonding Program tab)</t>
  </si>
  <si>
    <t xml:space="preserve">Bonding Program, net (Krueger cash fee; forecast bonds net of bond line less premium)</t>
  </si>
  <si>
    <t xml:space="preserve">Trade Cost True-Up (LIHTC pass-through: margin from Oct-26 reversed as it arises; pre-Oct actual at completion)</t>
  </si>
  <si>
    <t xml:space="preserve">Buyout Savings - Client Share (paid at completion)</t>
  </si>
  <si>
    <t xml:space="preserve">Gross Profit</t>
  </si>
  <si>
    <t xml:space="preserve">GC Gross Profit Margin %</t>
  </si>
  <si>
    <t xml:space="preserve">GC Costs</t>
  </si>
  <si>
    <t xml:space="preserve">5000-1000 Payroll (incl. LV year-end bonus pool, Assumptions B151:B152)</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</si>
  <si>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</si>
  <si>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</si>
  <si>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</si>
  <si>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</si>
  <si>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</si>
  <si>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</si>
  <si>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</si>
  <si>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</si>
  <si>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</si>
  <si>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</si>
  <si>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</si>
  <si>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 (incl. pay-app automation, Assumptions B153:B155)</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</si>
  <si>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</si>
  <si>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</si>
  <si>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</si>
  <si>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</si>
  <si>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</si>
  <si>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</si>
  <si>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</si>
  <si>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</si>
  <si>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</si>
  <si>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</si>
  <si>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</si>
  <si>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</si>
  <si>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</si>
  <si>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</si>
  <si>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</si>
  <si>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</si>
  <si>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</si>
  <si>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</si>
  <si>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</si>
  <si>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</si>
  <si>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</si>
  <si>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</si>
  <si>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</si>
  <si>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</si>
  <si>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</si>
  <si>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</si>
  <si>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</si>
  <si>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</si>
  <si>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</si>
  <si>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</si>
  <si>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</si>
  <si>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 (retired 3 Oct 2026)</t>
  </si>
  <si>
    <t xml:space="preserve">Klump Developer Fee</t>
  </si>
  <si>
    <t xml:space="preserve">Klump Guarantee Fee (retired 3 Oct 2026)</t>
  </si>
  <si>
    <t xml:space="preserve">Scott Accounting Fee (retired 3 Oct 2026)</t>
  </si>
  <si>
    <t xml:space="preserve">Scott Developer Fee</t>
  </si>
  <si>
    <t xml:space="preserve">Scott Guarantee Fee (retired 3 Oct 2026)</t>
  </si>
  <si>
    <t xml:space="preserve">Francis LIHTC Revenue (SP Share)</t>
  </si>
  <si>
    <t xml:space="preserve">Reseda LIHTC Revenue (SP Share)</t>
  </si>
  <si>
    <t xml:space="preserve">3rd St LIHTC Revenue (SP Share)</t>
  </si>
  <si>
    <t xml:space="preserve">Uplifters (retired 13 Oct 2026: program dropped; actuals only)</t>
  </si>
  <si>
    <t xml:space="preserve">Non-Cash Revenue Items</t>
  </si>
  <si>
    <t xml:space="preserve">Less: Non-Cash Revenue Items (retired 16-Oct-26: non-cash revenue stays in net income; removed from cash in row 373)</t>
  </si>
  <si>
    <t xml:space="preserve">APA LLP (retired: APA Inc. in SUBSIDIARIES block, row 298)</t>
  </si>
  <si>
    <t xml:space="preserve">Total Six Peak Revenue</t>
  </si>
  <si>
    <t xml:space="preserve">Six Peak Expenses</t>
  </si>
  <si>
    <t xml:space="preserve">5000-1000 Payroll</t>
  </si>
  <si>
    <t xml:space="preserve">5200-1053 IT Software and Subscriptions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</si>
  <si>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</si>
  <si>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</si>
  <si>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</si>
  <si>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</si>
  <si>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</si>
  <si>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</si>
  <si>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</si>
  <si>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</si>
  <si>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</si>
  <si>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</si>
  <si>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</si>
  <si>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</si>
  <si>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</si>
  <si>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</si>
  <si>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</si>
  <si>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</si>
  <si>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SUBSIDIARIES (sub-models at the end of the workbook; forecast months)</t>
  </si>
  <si>
    <t xml:space="preserve">APA Revenue (Six Peak: Services Fee + 50% of dividends)</t>
  </si>
  <si>
    <t xml:space="preserve">APA Expenses (none at Six Peak; APA Inc. costs stay in APA Inc.)</t>
  </si>
  <si>
    <t xml:space="preserve">APA Net Income (Six Peak share)</t>
  </si>
  <si>
    <t xml:space="preserve">Total Subsidiaries Net Income</t>
  </si>
  <si>
    <t xml:space="preserve">CONSOLIDATED P&amp;L</t>
  </si>
  <si>
    <t xml:space="preserve">GC Gross Profit</t>
  </si>
  <si>
    <t xml:space="preserve">Total Income (GC gross profit + SP revenue + subsidiaries revenue)</t>
  </si>
  <si>
    <t xml:space="preserve">GC Costs (net of trade COGS)</t>
  </si>
  <si>
    <t xml:space="preserve">Total Costs (GC + SP + subsidiaries expenses)</t>
  </si>
  <si>
    <t xml:space="preserve">Consolidated Net Income</t>
  </si>
  <si>
    <t xml:space="preserve">Consolidated Margin %</t>
  </si>
  <si>
    <t xml:space="preserve">Consolidated NI: Over/(Under) Budget (FY2026: Nov 2025 budget; FY2027: budget approved 26 Oct 2026)</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</si>
  <si>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</si>
  <si>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</si>
  <si>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</si>
  <si>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</si>
  <si>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</si>
  <si>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</si>
  <si>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</si>
  <si>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</si>
  <si>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</si>
  <si>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</si>
  <si>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</si>
  <si>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</si>
  <si>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</si>
  <si>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</si>
  <si>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</si>
  <si>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</si>
  <si>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</si>
  <si>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</si>
  <si>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</si>
  <si>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</si>
  <si>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</si>
  <si>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</si>
  <si>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</si>
  <si>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</si>
  <si>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</si>
  <si>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</si>
  <si>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</si>
  <si>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</si>
  <si>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</si>
  <si>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</si>
  <si>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</si>
  <si>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</si>
  <si>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</si>
  <si>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</si>
  <si>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</si>
  <si>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</si>
  <si>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 (9/30 B/S; Krueger bonding fee held, paid Jan-27)</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</si>
  <si>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</si>
  <si>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</si>
  <si>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</si>
  <si>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</si>
  <si>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</si>
  <si>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</si>
  <si>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</si>
  <si>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(SP net income less non-cash revenue, row 258)</t>
  </si>
  <si>
    <t xml:space="preserve">Subsidiaries Net Cash Flow (APA to Six Peak)</t>
  </si>
  <si>
    <t xml:space="preserve">Debt Facility Payment</t>
  </si>
  <si>
    <t xml:space="preserve">Row Run Capital Payment</t>
  </si>
  <si>
    <t xml:space="preserve">PIK Repayment (included in SP Expenses above)</t>
  </si>
  <si>
    <t xml:space="preserve">SP Ending Cash (after tax distributions, row 382)</t>
  </si>
  <si>
    <t xml:space="preserve">Consolidated Cash</t>
  </si>
  <si>
    <t xml:space="preserve">Total Beginning Cash</t>
  </si>
  <si>
    <t xml:space="preserve">Tax Distribution (50.3% of prior-year Consol NI, paid January)</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</si>
  <si>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</si>
  <si>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</si>
  <si>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</si>
  <si>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</si>
  <si>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</si>
  <si>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</si>
  <si>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</si>
  <si>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</si>
  <si>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</si>
  <si>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</si>
  <si>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</si>
  <si>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</si>
  <si>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</si>
  <si>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</si>
  <si>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</si>
  <si>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</si>
  <si>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</si>
  <si>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</si>
  <si>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</si>
  <si>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</si>
  <si>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</si>
  <si>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</si>
  <si>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MODEL vs ACTUAL</t>
  </si>
  <si>
    <t xml:space="preserve">Actual per B/S</t>
  </si>
  <si>
    <t xml:space="preserve">Model (live): projected ending cash; in the last closed month, the next month's opening balance</t>
  </si>
  <si>
    <t xml:space="preserve">Variance: model less actual (must be 0 on the opening balance)</t>
  </si>
  <si>
    <t xml:space="preserve">Tie check</t>
  </si>
  <si>
    <t xml:space="preserve">Prior pack: model ending cash projected for this month-end (hardcode at each close)</t>
  </si>
  <si>
    <t xml:space="preserve">Forecast variance: prior pack less actual</t>
  </si>
  <si>
    <t xml:space="preserve">C. SIX PEAK CASH: MODEL vs ACTUAL</t>
  </si>
  <si>
    <t xml:space="preserve">D. CONSOLIDATED CASH: MODEL vs ACTUAL</t>
  </si>
  <si>
    <t xml:space="preserve">E. ACTUAL CASH ROLL-FORWARD: model-basis net income to B/S cash (why cash moved)</t>
  </si>
  <si>
    <t xml:space="preserve">Opening balances at 31-Dec-25 (packs' balance-forward columns):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</si>
  <si>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</si>
  <si>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</si>
  <si>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</si>
  <si>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</si>
  <si>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</si>
  <si>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</si>
  <si>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</si>
  <si>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</si>
  <si>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</si>
  <si>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</si>
  <si>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</si>
  <si>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</si>
  <si>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</si>
  <si>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</si>
  <si>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</si>
  <si>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</si>
  <si>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</si>
  <si>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</si>
  <si>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</si>
  <si>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</si>
  <si>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</si>
  <si>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</si>
  <si>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</si>
  <si>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</si>
  <si>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</si>
  <si>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</si>
  <si>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</si>
  <si>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</si>
  <si>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</si>
  <si>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</si>
  <si>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</si>
  <si>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</si>
  <si>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</si>
  <si>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</si>
  <si>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</si>
  <si>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</si>
  <si>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</si>
  <si>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</si>
  <si>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</si>
  <si>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</si>
  <si>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</si>
  <si>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</si>
  <si>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</si>
  <si>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</si>
  <si>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</si>
  <si>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</si>
  <si>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</si>
  <si>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</si>
  <si>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</si>
  <si>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</si>
  <si>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</si>
  <si>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</si>
  <si>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</si>
  <si>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</si>
  <si>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</si>
  <si>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</si>
  <si>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  APA Net Income, Six Peak share (subsidiary)</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</si>
  <si>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</si>
  <si>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</si>
  <si>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</si>
  <si>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</si>
  <si>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</si>
  <si>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</si>
  <si>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</si>
  <si>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</si>
  <si>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</si>
  <si>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</si>
  <si>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</si>
  <si>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</si>
  <si>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</si>
  <si>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</si>
  <si>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</si>
  <si>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SP Ending Cash</t>
  </si>
  <si>
    <t xml:space="preserve">Tax Distribution (50.3% Consol NI)</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</si>
  <si>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</si>
  <si>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</si>
  <si>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</si>
  <si>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</si>
  <si>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</si>
  <si>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</si>
  <si>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</si>
  <si>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</si>
  <si>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</si>
  <si>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</si>
  <si>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</si>
  <si>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</si>
  <si>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</si>
  <si>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</si>
  <si>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</si>
  <si>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</si>
  <si>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</si>
  <si>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</si>
  <si>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</si>
  <si>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</si>
  <si>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</si>
  <si>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</si>
  <si>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</si>
  <si>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</si>
  <si>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</si>
  <si>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</si>
  <si>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</si>
  <si>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</si>
  <si>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</si>
  <si>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</si>
  <si>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</si>
  <si>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</si>
  <si>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</si>
  <si>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</si>
  <si>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</si>
  <si>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</si>
  <si>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</si>
  <si>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</si>
  <si>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monthly input area</t>
  </si>
  <si>
    <t xml:space="preserve">Enter close numbers from Yardi here. Blank = no actual yet (Model uses forecast).</t>
  </si>
  <si>
    <t xml:space="preserve">Project Supervision Revenue</t>
  </si>
  <si>
    <t xml:space="preserve">Project Administration Revenue</t>
  </si>
  <si>
    <t xml:space="preserve">COGS: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</si>
  <si>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</si>
  <si>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</si>
  <si>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</si>
  <si>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Klump Accounting Fee</t>
  </si>
  <si>
    <t xml:space="preserve">Klump Guarantee Fee</t>
  </si>
  <si>
    <t xml:space="preserve">Scott Accounting Fee</t>
  </si>
  <si>
    <t xml:space="preserve">Scott Guarantee Fee</t>
  </si>
  <si>
    <t xml:space="preserve">Uplifters Total to SP (retired 13 Oct 2026)</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</si>
  <si>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</si>
  <si>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</si>
  <si>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</si>
  <si>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Sep-26 close (Jan-Sep actual, Oct-Dec model)</t>
  </si>
  <si>
    <t xml:space="preserve">FY 2026 SUMMARY: ACTUAL + PROJECTION vs BUDGET</t>
  </si>
  <si>
    <t xml:space="preserve">The Nov-2025 budget's Yearly Summary lines. The budget carries LV at fee income only: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</si>
  <si>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</si>
  <si>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</si>
  <si>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</si>
  <si>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</si>
  <si>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</si>
  <si>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</si>
  <si>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</si>
  <si>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</si>
  <si>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</si>
  <si>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+$266K, of which $299K is the June non-cash LOC forgiveness (kept in net income; excluded from Six Peak cash, Model row 373). Excluding it -$33K: Francis dev fee $128K (Aug, at closing) and Judkins $10K were unbudgeted, but the Ramsgate dev fee draws at $23.9K/mo vs $36.5K budgeted (-$151K for the year).</t>
  </si>
  <si>
    <t xml:space="preserve">Total operating expenses</t>
  </si>
  <si>
    <t xml:space="preserve">-$770K. YTD -$646K: exec consulting fee $66.7K/mo ($800K/yr, not budgeted; budget payroll is ~$430K/yr higher instead), outside advisory ~$28K/mo, March legal $38K, benefits and payroll-servicing overages. Oct-Dec forecast $589K vs $414K budget (-$175K).</t>
  </si>
  <si>
    <t xml:space="preserve">-$505K: expenses -$770K (row 9) less the +$299K non-cash June item in revenue (row 8).</t>
  </si>
  <si>
    <t xml:space="preserve">LV CONSTRUCTION</t>
  </si>
  <si>
    <t xml:space="preserve">Fee income (GC-CM + supervision + admin + other)</t>
  </si>
  <si>
    <t xml:space="preserve">+$597K. YTD +$301K (incl. $175K unbudgeted consulting income; supervision/admin ahead on in-place jobs, Francis GC fee -$180K after the Aug NTP). Oct-Dec forecast $1.97M vs $1.68M budget (+$296K). In-place jobs (incl. Lexington and Riverton) now bill their full 9/30 contract backlog, fee/supervision/admin included, in step with cost per the job schedules (cost-to-cost).</t>
  </si>
  <si>
    <t xml:space="preserve">Trade margin, net of deal terms</t>
  </si>
  <si>
    <t xml:space="preserve">+$157K. Budget assumes zero trade margin. YTD +$543K on the ledger = buyout-savings margin +$403K plus bond net +$139K (bond lines $1.24M less premiums and the $693K Krueger cash booked Sep). Oct-Dec -$385K: remaining trade cost = 9/30 cost to complete (excl. GC fee, admin and supervision) phased on the job schedules, so the savings booked to date are not repeated - Crenshaw -$202K, Ramsgate -$111K, Califa -$41K, Whipple -$30K. Deal terms -$1K.</t>
  </si>
  <si>
    <t xml:space="preserve">Bonding program, net (Krueger cash fee)</t>
  </si>
  <si>
    <t xml:space="preserve">-$377K: forecast Acama bond in Dec-26 ($314K line vs $156K premium and $536K Krueger cash). The Francis/Lexington Krueger cash ($693K) is in Sep actual job cost (row 13), not here.</t>
  </si>
  <si>
    <t xml:space="preserve">+$377K = fees +$597K, trade margin +$157K, bonding -$377K.</t>
  </si>
  <si>
    <t xml:space="preserve">Total GC costs</t>
  </si>
  <si>
    <t xml:space="preserve">-$187K. YTD $102K under (personnel $634K under vs ~$532K operating overages), but Oct-Dec forecast $1.26M vs $0.97M budget (-$289K): payroll $260-308K/mo vs $176K budget as crew is added for Lexington, Riverton and Acama, and the budgeted SP-to-LV allocation is $0.</t>
  </si>
  <si>
    <t xml:space="preserve">+$190K.</t>
  </si>
  <si>
    <t xml:space="preserve">CONSOLIDATED NET INCOME</t>
  </si>
  <si>
    <t xml:space="preserve">-$314K. LV +$190K and the $299K June non-cash item, offset by Six Peak expenses -$770K (consulting and advisory cost not in the budget). Jan-Sep ledger $1.16M; Oct-Dec forecast -$523K (Acama bonding -$377K in Dec; Crenshaw finishing at cost to complete). FY26 stays under the $1M Row Run threshold.</t>
  </si>
  <si>
    <t xml:space="preserve">   of which actual, closed months (per ledger)</t>
  </si>
  <si>
    <t xml:space="preserve">   memo: of which June $299K LOC forgiveness (non-cash; in NI, excluded from cash)</t>
  </si>
  <si>
    <t xml:space="preserve">   still forecast (remaining months)</t>
  </si>
  <si>
    <t xml:space="preserve">Note (15 Oct 2026): bond lines stay in trade billing and premiums in trade cost, as the ledger books them; bond line less premium is LV revenue. The Krueger cash fee on Francis/Lexington ($693K) was booked by the ledger in Sep-26 job cost (row 38) and is paid January 2027. Bonding, net (row 14) now holds only the forecast Acama bond (Dec-26).</t>
  </si>
  <si>
    <t xml:space="preserve">Closed months (auto):</t>
  </si>
  <si>
    <t xml:space="preserve">YTD 2026</t>
  </si>
  <si>
    <t xml:space="preserve">Line Item</t>
  </si>
  <si>
    <t xml:space="preserve">Actual</t>
  </si>
  <si>
    <t xml:space="preserve">Budget</t>
  </si>
  <si>
    <t xml:space="preserve">YTD Jan-Sep: Actual vs Budget (variance in AN) - job detail in the table below row 146</t>
  </si>
  <si>
    <t xml:space="preserve">GC / LV CONSTRUCTION: MONTHLY BUDGET VS ACTUAL</t>
  </si>
  <si>
    <t xml:space="preserve">+$344K, of which $175K is unbudgeted Consulting Fee Income (4000-4000: Jan $78K, Aug $97K). Supervision/admin fees otherwise ahead of budget on the in-place jobs; Francis behind.</t>
  </si>
  <si>
    <t xml:space="preserve">-$43K. Francis GC fee budgeted from May ($247K YTD) vs $67K billed after the Aug NTP; Ramsgate, Califa, Whipple and Crenshaw are ahead.</t>
  </si>
  <si>
    <t xml:space="preserve">-$294K. Includes $1.24M of bond lines (Francis $839K, Riverton $212K, Lexington $192K). Ex-bond -$1.54M: Francis -$4.03M (NTP Aug vs May budget), offset by in-place jobs ahead (Califa +$567K, Whipple +$567K, Crenshaw +$531K, Nelrose +$277K on change orders, Ramsgate -$9K) and unbudgeted Riverton +$401K and Lexington +$163K.</t>
  </si>
  <si>
    <t xml:space="preserve">+$7K; trade billing timing on Francis offset by in-place jobs and bond lines (row 36).</t>
  </si>
  <si>
    <t xml:space="preserve">+$837K; mirrors billing (budget passes trades through at zero margin). Includes CBI premiums ($314K Francis, $104K Riverton, $95K Lexington) and the $693K Krueger cash booked in Sep (Francis $366K, Lexington $327K). Ex-bond trade margin YTD +$403K.</t>
  </si>
  <si>
    <t xml:space="preserve">Bonding Revenue</t>
  </si>
  <si>
    <t xml:space="preserve">Retired 27-Sep-26: bond lines are in row 36 as the ledger books them.</t>
  </si>
  <si>
    <t xml:space="preserve">Bonding Costs</t>
  </si>
  <si>
    <t xml:space="preserve">Retired 27-Sep-26: premiums and Krueger cash are in row 38.</t>
  </si>
  <si>
    <t xml:space="preserve">+$844K = fees +$301K, ex-bond trade margin +$403K, bond net +$139K (Francis +$160K, Riverton +$212K, Lexington -$230K).</t>
  </si>
  <si>
    <t xml:space="preserve">-$227K. Budget $176K/mo flat; actual rose from $145K (Jan) to $224K (Sep) as field staff were added (Francis, Riverton, Lexington, Acama). Read with rows 47, 51 and 52: total LV personnel is $634K under.</t>
  </si>
  <si>
    <t xml:space="preserve">+$100K. Budget burden 15% of payroll vs ~7.6% actual.</t>
  </si>
  <si>
    <t xml:space="preserve">+$528K. Budget allocated $58.7K/mo of Six Peak personnel to LV; personnel is carried 100% at Six Peak, so $0 actual.</t>
  </si>
  <si>
    <t xml:space="preserve">+$162K. Budget 14% of payroll vs ~3.5% actual (fewer enrolled).</t>
  </si>
  <si>
    <t xml:space="preserve">-$279K. Consultant payroll ($29.2K/mo) not budgeted as its own line.</t>
  </si>
  <si>
    <t xml:space="preserve">+$333K. Apr ($251K) and May ($82K) credits: payroll reclassed to job cost for self-performed work.</t>
  </si>
  <si>
    <t xml:space="preserve">-$43K. Rent stepped up to ~$20K/mo from May vs $10K/mo budget.</t>
  </si>
  <si>
    <t xml:space="preserve">-$19K. Aug $17K.</t>
  </si>
  <si>
    <t xml:space="preserve">+$30K here but -$54K on row 57: IT is coded to 5200-1053 rather than the budgeted 5200-1050; net -$25K over budget.</t>
  </si>
  <si>
    <t xml:space="preserve">-$54K; see row 56.</t>
  </si>
  <si>
    <t xml:space="preserve">-$56K. Outside accounting support: Aug $26K, Feb $12K, May $12K, Sep $5K.</t>
  </si>
  <si>
    <t xml:space="preserve">-$56K. Sep $55K outside consultants, not budgeted.</t>
  </si>
  <si>
    <t xml:space="preserve">-$11K.</t>
  </si>
  <si>
    <t xml:space="preserve">-$105K. Outside consulting Mar-May ($42K / $42.5K / $21K), not budgeted; none since June.</t>
  </si>
  <si>
    <t xml:space="preserve">-$104K. Job-site supplies running ~$16K/mo vs $4.2K/mo budget.</t>
  </si>
  <si>
    <t xml:space="preserve">-$64K. May warranty / job-adjustment accrual of $74K.</t>
  </si>
  <si>
    <t xml:space="preserve">-$11K. Equipment rental and D&amp;A were booked here Jan-May (split to row 78 from June).</t>
  </si>
  <si>
    <t xml:space="preserve">-$7K. March state tax $11K.</t>
  </si>
  <si>
    <t xml:space="preserve">+$102K. Personnel under by $634K (incl. the $528K budgeted SP allocation) vs operating overages of ~$532K (consulting, job-site supplies, warranty, accounting, rent, IT).</t>
  </si>
  <si>
    <t xml:space="preserve">+$946K = gross profit +$844K plus GC costs +$102K.</t>
  </si>
  <si>
    <t xml:space="preserve">SIX PEAK CAPITAL: MONTHLY BUDGET VS ACTUAL</t>
  </si>
  <si>
    <t xml:space="preserve">+$299K. June $299K line-of-credit forgiveness booked as income; not budgeted. Kept in net income (16 Oct 2026); it is non-cash, so Model row 373 removes it from Six Peak cash.</t>
  </si>
  <si>
    <t xml:space="preserve">-$114K. Draws at $23.9K/mo vs $36.5K/mo budgeted.</t>
  </si>
  <si>
    <t xml:space="preserve">-$8K. $9,375/mo vs $10,227 budgeted.</t>
  </si>
  <si>
    <t xml:space="preserve">+$1K. $44K (Jul) + $8.8K (Aug) + $8.8K (Sep) + $10.2K Judkins acquisition fee (booked on this line) vs $71K budget.</t>
  </si>
  <si>
    <t xml:space="preserve">+$128K. Francis development fee received in Aug at financial close; not budgeted for 2026.</t>
  </si>
  <si>
    <t xml:space="preserve">+$304K, of which $299K non-cash; +$5K excluding it.</t>
  </si>
  <si>
    <t xml:space="preserve">+$321K. Budget $90K/mo vs actual $54K/mo, but executive pay runs through Consulting Fee (row 128) at $66.7K/mo. Payroll plus consulting is -$279K over budget combined.</t>
  </si>
  <si>
    <t xml:space="preserve">-$50K. Benefits $12.1K/mo vs $6.6K budget.</t>
  </si>
  <si>
    <t xml:space="preserve">-$17K. $2.2K/mo vs $271 budget.</t>
  </si>
  <si>
    <t xml:space="preserve">+$12K under.</t>
  </si>
  <si>
    <t xml:space="preserve">+$18K under.</t>
  </si>
  <si>
    <t xml:space="preserve">-$39K. March legal $38K.</t>
  </si>
  <si>
    <t xml:space="preserve">+$5K under (Sep $22K).</t>
  </si>
  <si>
    <t xml:space="preserve">-$277K. Outside advisory ~$28K/mo (plus $69K in May) vs $2K/mo budgeted.</t>
  </si>
  <si>
    <t xml:space="preserve">-$12K.</t>
  </si>
  <si>
    <t xml:space="preserve">-$6K. March filings $15K.</t>
  </si>
  <si>
    <t xml:space="preserve">-$600K. Executive consulting $66.7K/mo, not budgeted on this line (partly offsets payroll, row 107).</t>
  </si>
  <si>
    <t xml:space="preserve">-$32K. Jan/May items, plus interest and amortization booked here Jan-May; Sep $5.5K (due diligence $4.9K).</t>
  </si>
  <si>
    <t xml:space="preserve">-$646K; drivers in rows 107, 123 and 128.</t>
  </si>
  <si>
    <t xml:space="preserve">+$51K. June reversal of $54.5K accrued interest after the LOC forgiveness.</t>
  </si>
  <si>
    <t xml:space="preserve">-$291K.</t>
  </si>
  <si>
    <t xml:space="preserve">CONSOLIDATED NET INCOME  (ties to Model)</t>
  </si>
  <si>
    <t xml:space="preserve">Consolidated Net Income (GC + Six Peak, entity ledger)</t>
  </si>
  <si>
    <t xml:space="preserve">+$655K. LV +$946K, Six Peak -$291K.</t>
  </si>
  <si>
    <t xml:space="preserve">Model timing &amp; schedule items (interest, tax, D&amp;A, bonding)</t>
  </si>
  <si>
    <t xml:space="preserve">0</t>
  </si>
  <si>
    <t xml:space="preserve">$0: the Model now ties the ledger every closed month (the June non-cash item stays in net income).</t>
  </si>
  <si>
    <t xml:space="preserve">CONSOLIDATED NET INCOME (per Model)</t>
  </si>
  <si>
    <t xml:space="preserve">+$655K on the Model basis (= ledger).</t>
  </si>
  <si>
    <t xml:space="preserve">VARIANCE BY JOB - YTD Jan-Sep 2026 (9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</si>
  <si>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</si>
  <si>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</si>
  <si>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</si>
  <si>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</si>
  <si>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</si>
  <si>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</si>
  <si>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</si>
  <si>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</si>
  <si>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</si>
  <si>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</si>
  <si>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subcomp Sep-27. Trade billing on budget YTD (-$9K); 59.9% billed at 9/30. Supervision/admin fees +$227K; trade margin +$194K from buyout savings.</t>
  </si>
  <si>
    <t xml:space="preserve">Budget Dec-24 to Dec-26. Schedule: subcomp 12/1/26, punch into early Dec. 87.8% billed at 9/30. Remaining $1.85M backlog billed in step with $1.85M cost to complete, phased Oct 66% / Nov 31% / Dec 3% by remaining schedule tasks; the savings do not repeat, so the 50% client share is $0.</t>
  </si>
  <si>
    <t xml:space="preserve">Budget Jan-26 to Aug-27 (19 mo, curve 3). Started Dec-25 (1 mo early), subcomp Aug-27. 57.1% billed at 9/30. Remaining $5.76M backlog billed cost-to-cost against $5.13M cost to complete phased by cost code on the 7/28 schedule. Contract $13.43M vs $12.86M budget. Life-of-job trade margin -$46K (cost budget above trade contract), so no LIHTC savings payback at completion.</t>
  </si>
  <si>
    <t xml:space="preserve">Budget Jan-26 to Aug-27. Started on time; subcomp now Oct-27 (+2 mo). 55.0% billed at 9/30. Remaining $6.90M backlog billed cost-to-cost against $6.14M cost to complete phased by cost code on the 7/28 schedule. Contract $15.35M vs $14.43M budget. Life-of-job trade margin -$57K, so no LIHTC savings payback at completion.</t>
  </si>
  <si>
    <t xml:space="preserve">Budget Dec-25 to Jul-27. Started Jan-26 (1 mo late), subcomp Jun-27. Contract $4.30M vs $3.64M budget (+$0.66M change orders) drives the trade overage; fees -$39K.</t>
  </si>
  <si>
    <t xml:space="preserve">Budget NTP May-26 ($43.8M, 30 mo to Nov-28). Actual NTP 17-Aug-26 (3 mo late), CofO Mar-29 -&gt; trades -$4.03M and fees -$433K YTD (fees include $175K consulting income). Bond net +$160K = $839K bond line less $314K CBI premium less $366K Krueger cash (booked Sep).</t>
  </si>
  <si>
    <t xml:space="preserve">Not in the Nov-25 budget. Started Aug-26. Bond line $212K billed Jul; the $104K premium is in trade cost (hence the trade-margin loss).</t>
  </si>
  <si>
    <t xml:space="preserve">Not in the budget. Started Sep-26 (bond line billed Aug). Bond net -$230K = $192K bond line less $95K premium less $327K Krueger cash (booked Sep).</t>
  </si>
  <si>
    <t xml:space="preserve">Pre-con (Acama/Scott/Klump)</t>
  </si>
  <si>
    <t xml:space="preserve">Pre-construction costs (Scott/Klump Sep credits $2.4K); Jan-26 bonding cost $2K (no job).</t>
  </si>
  <si>
    <t xml:space="preserve">Total</t>
  </si>
  <si>
    <t xml:space="preserve">Ties to rows 32-41 (within $0.5K: Sep other reimbursements -$500): fees = rows 32+34; trade billing var + bond lines = row 36; trade margin + bond net = rows 36+38.</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</si>
  <si>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</si>
  <si>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</si>
  <si>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</si>
  <si>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</si>
  <si>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</si>
  <si>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</si>
  <si>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</si>
  <si>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</si>
  <si>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</si>
  <si>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</si>
  <si>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</si>
  <si>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</si>
  <si>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</si>
  <si>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</si>
  <si>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</si>
  <si>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</si>
  <si>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</si>
  <si>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</si>
  <si>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</si>
  <si>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</si>
  <si>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</si>
  <si>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</si>
  <si>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</si>
  <si>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</si>
  <si>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</si>
  <si>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Future Cost A</t>
  </si>
  <si>
    <t xml:space="preserve">GC Placeholder: Future Cost C</t>
  </si>
  <si>
    <t xml:space="preserve">TOTAL: sum of all P&amp;L lines</t>
  </si>
  <si>
    <t xml:space="preserve">VARIANCE: Reforecast Q1 2026 vs Actual</t>
  </si>
  <si>
    <t xml:space="preserve">BUDGET: approved November 2025</t>
  </si>
  <si>
    <t xml:space="preserve">Anchor for budget-vs-actual reporting. Mapped from the November 2025 consolidated projection model. Do not edit.</t>
  </si>
  <si>
    <t xml:space="preserve">GC-CM Fee Revenue</t>
  </si>
  <si>
    <t xml:space="preserve">KNOWN VARIANCE FROM SOURCE: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</si>
  <si>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</si>
  <si>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</si>
  <si>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</si>
  <si>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</si>
  <si>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</si>
  <si>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BUDGET FY2027: approved 26 October 2026</t>
  </si>
  <si>
    <t xml:space="preserve">Frozen. From 'Six Peak FY2027 Operating Budget - FINAL 2026-10-26.xlsx' (Base Case with Reseda and Beverly). Lines follow the Model rows (column B). Do not edit.</t>
  </si>
  <si>
    <t xml:space="preserve">Bonus pool (5000-1010) is inside Payroll; pay-app automation (5200-1056) is inside IT Software, as in the Model.</t>
  </si>
  <si>
    <t xml:space="preserve">Line</t>
  </si>
  <si>
    <t xml:space="preserve">Model row</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</si>
  <si>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</si>
  <si>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</si>
  <si>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</si>
  <si>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</si>
  <si>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</si>
  <si>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</si>
  <si>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</si>
  <si>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</si>
  <si>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</si>
  <si>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</si>
  <si>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</si>
  <si>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</si>
  <si>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FY2027</t>
  </si>
  <si>
    <t xml:space="preserve">SIX PEAK</t>
  </si>
  <si>
    <t xml:space="preserve">SUBSIDIARIES AND CONSOLIDATED</t>
  </si>
  <si>
    <t xml:space="preserve">FY2027: budget versus model (actuals + forecast)</t>
  </si>
  <si>
    <t xml:space="preserve">Through month (1-12)</t>
  </si>
  <si>
    <t xml:space="preserve">Model columns N:Y are Jan-Dec 2027; closed months carry actuals once 2027 closes. Change B2 for year to date.</t>
  </si>
  <si>
    <t xml:space="preserve">Model</t>
  </si>
  <si>
    <t xml:space="preserve">Variance</t>
  </si>
  <si>
    <t xml:space="preserve">Var %</t>
  </si>
  <si>
    <t xml:space="preserve">REFORECAST Q1 2026: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</si>
  <si>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</si>
  <si>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</si>
  <si>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</si>
  <si>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</si>
  <si>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</si>
  <si>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</si>
  <si>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</si>
  <si>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</si>
  <si>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</si>
  <si>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</si>
  <si>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</si>
  <si>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</si>
  <si>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</si>
  <si>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</si>
  <si>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</si>
  <si>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</si>
  <si>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</si>
  <si>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</si>
  <si>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</si>
  <si>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</si>
  <si>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</si>
  <si>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</si>
  <si>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</si>
  <si>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</si>
  <si>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</si>
  <si>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</si>
  <si>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</si>
  <si>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</si>
  <si>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</si>
  <si>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</si>
  <si>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</si>
  <si>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</si>
  <si>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</si>
  <si>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</si>
  <si>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</si>
  <si>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</si>
  <si>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</si>
  <si>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</si>
  <si>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</si>
  <si>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</si>
  <si>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</si>
  <si>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</si>
  <si>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</si>
  <si>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</si>
  <si>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</si>
  <si>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</si>
  <si>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</si>
  <si>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</si>
  <si>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</si>
  <si>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</si>
  <si>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</si>
  <si>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</si>
  <si>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</si>
  <si>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</si>
  <si>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Tom BD Commission</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</si>
  <si>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</si>
  <si>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</si>
  <si>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</si>
  <si>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</si>
  <si>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</si>
  <si>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</si>
  <si>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</si>
  <si>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</si>
  <si>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Monthly Billing of Contracts In Process (per Model) vs Breakeven</t>
  </si>
  <si>
    <t xml:space="preserve">Each job's monthly billing is the Model tab's trades &amp; site cost billing for that job (actuals for closed months, schedule-driven POC / curve after); GC fee + other GC income is pooled in the Model and shown on row 55, so row 56 ties to Model Total Revenues (check row 65). Breakeven billing = that month's overhead (Model Total GC Costs + Total Six Peak Expenses) ÷ that month's Model gross profit margin (after LIHTC true-up, buyout-savings client share and bonding). Where the month's margin is zero or negative, breakeven is n/m and row 63 shows GP less overhead. Summary rows in $ millions. Committed = active jobs (incl. rows 24-27); Pipeline = BD slots.</t>
  </si>
  <si>
    <t xml:space="preserve">Start</t>
  </si>
  <si>
    <t xml:space="preserve">Completion</t>
  </si>
  <si>
    <t xml:space="preserve">Dur</t>
  </si>
  <si>
    <t xml:space="preserve">Billed Apr-26 →</t>
  </si>
  <si>
    <t xml:space="preserve">COMMITTED CONTRACTS  (Active jobs)</t>
  </si>
  <si>
    <t xml:space="preserve">Committed: Monthly Billing In Place ($M)</t>
  </si>
  <si>
    <t xml:space="preserve">Committed: Jobs Active (#)</t>
  </si>
  <si>
    <t xml:space="preserve">COMMITTED (cont., rows 24-27: Klump, Scott, Beverly (BD-04), Troost): PIPELINE (inactive BD deals) from row 28</t>
  </si>
  <si>
    <t xml:space="preserve">Pipeline: Monthly Billing In Place ($M)</t>
  </si>
  <si>
    <t xml:space="preserve">Pipeline: Jobs Active (#)</t>
  </si>
  <si>
    <t xml:space="preserve">GC Fee + Other GC Income (not by job) ($M)</t>
  </si>
  <si>
    <t xml:space="preserve">TOTAL MONTHLY BILLING IN PLACE ($M)</t>
  </si>
  <si>
    <t xml:space="preserve">TOTAL JOBS ACTIVE (#)</t>
  </si>
  <si>
    <t xml:space="preserve">Monthly Overhead in Place ($M): Model Total GC Costs + Total Six Peak Expenses</t>
  </si>
  <si>
    <t xml:space="preserve">Gross Profit ($M): Model r199, after LIHTC true-up, client share &amp; bonding</t>
  </si>
  <si>
    <t xml:space="preserve">Gross Profit Margin % (GP ÷ billing)</t>
  </si>
  <si>
    <t xml:space="preserve">Breakeven Billing = Overhead ÷ GP Margin ($M)</t>
  </si>
  <si>
    <t xml:space="preserve">Billing Surplus / (Gap) vs Breakeven ($M)</t>
  </si>
  <si>
    <t xml:space="preserve">Coverage: Gross Profit ÷ Overhead (x)</t>
  </si>
  <si>
    <t xml:space="preserve">Check: billing in place − Model Total Revenues (should be ✓)</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</si>
  <si>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</si>
  <si>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</si>
  <si>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</si>
  <si>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</si>
  <si>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</si>
  <si>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</si>
  <si>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</si>
  <si>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</si>
  <si>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</si>
  <si>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</si>
  <si>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</si>
  <si>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</si>
  <si>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</si>
  <si>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</si>
  <si>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</si>
  <si>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</si>
  <si>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</si>
  <si>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</si>
  <si>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</si>
  <si>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</si>
  <si>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</si>
  <si>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</si>
  <si>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</si>
  <si>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</si>
  <si>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</si>
  <si>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</si>
  <si>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</si>
  <si>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</si>
  <si>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</si>
  <si>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</si>
  <si>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</si>
  <si>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</si>
  <si>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</si>
  <si>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</si>
  <si>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</si>
  <si>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</si>
  <si>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</si>
  <si>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</si>
  <si>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</si>
  <si>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</si>
  <si>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</si>
  <si>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</si>
  <si>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</si>
  <si>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</si>
  <si>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</si>
  <si>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</si>
  <si>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</si>
  <si>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</si>
  <si>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</si>
  <si>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</si>
  <si>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</si>
  <si>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</si>
  <si>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</si>
  <si>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</si>
  <si>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</si>
  <si>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</si>
  <si>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</si>
  <si>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</si>
  <si>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</si>
  <si>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</si>
  <si>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</si>
  <si>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</si>
  <si>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</si>
  <si>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</si>
  <si>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</si>
  <si>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</si>
  <si>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</si>
  <si>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</si>
  <si>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</si>
  <si>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</si>
  <si>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</si>
  <si>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</si>
  <si>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</si>
  <si>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</si>
  <si>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</si>
  <si>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</si>
  <si>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</si>
  <si>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</si>
  <si>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Priscilla Hernandez</t>
  </si>
  <si>
    <t xml:space="preserve">Hired Oct 2026 as the Project Coordinator (replaces the planned PC add); $100,000 (Chris 26 Oct 2026)</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</si>
  <si>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</si>
  <si>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</si>
  <si>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</si>
  <si>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</si>
  <si>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</si>
  <si>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</si>
  <si>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</si>
  <si>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</si>
  <si>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</si>
  <si>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</si>
  <si>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</si>
  <si>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</si>
  <si>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</si>
  <si>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</si>
  <si>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</si>
  <si>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</si>
  <si>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</si>
  <si>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</si>
  <si>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</si>
  <si>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</si>
  <si>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</si>
  <si>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</si>
  <si>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</si>
  <si>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</si>
  <si>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</si>
  <si>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</si>
  <si>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</si>
  <si>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</si>
  <si>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</si>
  <si>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</si>
  <si>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SIX PEAK - 2027 RAISES (incremental salary rows)</t>
  </si>
  <si>
    <t xml:space="preserve">Robert Carrega (5% raise, Jan 2027)</t>
  </si>
  <si>
    <t xml:space="preserve">Raise to $157,500 effective Jan 2027 (Chris 26 Oct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</si>
  <si>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</si>
  <si>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</si>
  <si>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</si>
  <si>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</si>
  <si>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</si>
  <si>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</si>
  <si>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</si>
  <si>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</si>
  <si>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</si>
  <si>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</si>
  <si>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</si>
  <si>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</si>
  <si>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</si>
  <si>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</si>
  <si>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</si>
  <si>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</si>
  <si>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</si>
  <si>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</si>
  <si>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</si>
  <si>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</si>
  <si>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</si>
  <si>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</si>
  <si>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</si>
  <si>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</si>
  <si>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</si>
  <si>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</si>
  <si>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Notes</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</si>
  <si>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</si>
  <si>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</si>
  <si>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</si>
  <si>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</si>
  <si>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</si>
  <si>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</si>
  <si>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</si>
  <si>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</si>
  <si>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</si>
  <si>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</si>
  <si>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</si>
  <si>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</si>
  <si>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</si>
  <si>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</si>
  <si>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</si>
  <si>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</si>
  <si>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</si>
  <si>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</si>
  <si>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</si>
  <si>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</si>
  <si>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</si>
  <si>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</si>
  <si>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</si>
  <si>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</si>
  <si>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</si>
  <si>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</si>
  <si>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</si>
  <si>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</si>
  <si>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</si>
  <si>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</si>
  <si>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</si>
  <si>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</si>
  <si>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</si>
  <si>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</si>
  <si>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</si>
  <si>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</si>
  <si>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</si>
  <si>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</si>
  <si>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</si>
  <si>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</si>
  <si>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</si>
  <si>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</si>
  <si>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</si>
  <si>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</si>
  <si>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</si>
  <si>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</si>
  <si>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</si>
  <si>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</si>
  <si>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</si>
  <si>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</si>
  <si>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</si>
  <si>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</si>
  <si>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</si>
  <si>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</si>
  <si>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</si>
  <si>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</si>
  <si>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</si>
  <si>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</si>
  <si>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</si>
  <si>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</si>
  <si>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INVESTMENT &amp; FEE SUMMARY</t>
  </si>
  <si>
    <t xml:space="preserve">Completion Guaranty</t>
  </si>
  <si>
    <t xml:space="preserve">Liquidity Fee</t>
  </si>
  <si>
    <t xml:space="preserve">PIK Invested</t>
  </si>
  <si>
    <t xml:space="preserve">Total Steyn Fees</t>
  </si>
  <si>
    <t xml:space="preserve">LIHTC Payback</t>
  </si>
  <si>
    <t xml:space="preserve">Non-LIHTC: paid at start</t>
  </si>
  <si>
    <t xml:space="preserve">Quarterly from LIHTC rev</t>
  </si>
  <si>
    <t xml:space="preserve">Pending: no revenue yet</t>
  </si>
  <si>
    <t xml:space="preserve">TIER 2 BONDING SENSITIVITY: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</si>
  <si>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</si>
  <si>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</si>
  <si>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</si>
  <si>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</si>
  <si>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</si>
  <si>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</si>
  <si>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</si>
  <si>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</si>
  <si>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</si>
  <si>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</si>
  <si>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</si>
  <si>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</si>
  <si>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</si>
  <si>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</si>
  <si>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</si>
  <si>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</si>
  <si>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</si>
  <si>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</si>
  <si>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</si>
  <si>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</si>
  <si>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</si>
  <si>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</si>
  <si>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</si>
  <si>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</si>
  <si>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</si>
  <si>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PAYOFF &amp; STEYN RETURNS</t>
  </si>
  <si>
    <t xml:space="preserve">Reseda is the only active PIK investment. Capital accrues at 15%/yr (3.75% quarterly). Repaid from LIHTC revenue after Steyn fees.</t>
  </si>
  <si>
    <t xml:space="preserve">Amount</t>
  </si>
  <si>
    <t xml:space="preserve">Date / Month</t>
  </si>
  <si>
    <t xml:space="preserve">Reseda: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</si>
  <si>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</si>
  <si>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</si>
  <si>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</si>
  <si>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</si>
  <si>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</si>
  <si>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</si>
  <si>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</si>
  <si>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</si>
  <si>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</si>
  <si>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</si>
  <si>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</si>
  <si>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</si>
  <si>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</si>
  <si>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</si>
  <si>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</si>
  <si>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</si>
  <si>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</si>
  <si>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</si>
  <si>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</si>
  <si>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</si>
  <si>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</si>
  <si>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</si>
  <si>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</si>
  <si>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</si>
  <si>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</si>
  <si>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</si>
  <si>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</si>
  <si>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</si>
  <si>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</si>
  <si>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</si>
  <si>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14</t>
  </si>
  <si>
    <t xml:space="preserve">Mo 15</t>
  </si>
  <si>
    <t xml:space="preserve">Mo 16</t>
  </si>
  <si>
    <t xml:space="preserve">Mo 17</t>
  </si>
  <si>
    <t xml:space="preserve">Mo 18</t>
  </si>
  <si>
    <t xml:space="preserve">Mo 19</t>
  </si>
  <si>
    <t xml:space="preserve">Mo 20</t>
  </si>
  <si>
    <t xml:space="preserve">Mo 21</t>
  </si>
  <si>
    <t xml:space="preserve">Mo 22</t>
  </si>
  <si>
    <t xml:space="preserve">Mo 23</t>
  </si>
  <si>
    <t xml:space="preserve">Mo 24</t>
  </si>
  <si>
    <t xml:space="preserve">Mo 25</t>
  </si>
  <si>
    <t xml:space="preserve">Mo 26</t>
  </si>
  <si>
    <t xml:space="preserve">Mo 27</t>
  </si>
  <si>
    <t xml:space="preserve">Mo 28</t>
  </si>
  <si>
    <t xml:space="preserve">Mo 29</t>
  </si>
  <si>
    <t xml:space="preserve">Mo 30</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</si>
  <si>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</si>
  <si>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</si>
  <si>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</si>
  <si>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</si>
  <si>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</si>
  <si>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</si>
  <si>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</si>
  <si>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</si>
  <si>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</si>
  <si>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</si>
  <si>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</si>
  <si>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</si>
  <si>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</si>
  <si>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</si>
  <si>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Curve 3, 18 months (Moorpark)</t>
  </si>
  <si>
    <t xml:space="preserve">Curve 3, 20 months (Troost)</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</si>
  <si>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</si>
  <si>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</si>
  <si>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</si>
  <si>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</si>
  <si>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</si>
  <si>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</si>
  <si>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</si>
  <si>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</si>
  <si>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</si>
  <si>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</si>
  <si>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</si>
  <si>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</si>
  <si>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</si>
  <si>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</si>
  <si>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</si>
  <si>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</si>
  <si>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</si>
  <si>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</si>
  <si>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LV Employee Benefits Rate (2026 actual 3.3%; set 11 Oct 2026)</t>
  </si>
  <si>
    <t xml:space="preserve">Expense Escalation</t>
  </si>
  <si>
    <t xml:space="preserve">Annual Expense Escalation Rate</t>
  </si>
  <si>
    <t xml:space="preserve">LV Workers Comp Rate (premium sits in job cost; set 11 Oct 2026)</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</si>
  <si>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</si>
  <si>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</si>
  <si>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</si>
  <si>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</si>
  <si>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</si>
  <si>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</si>
  <si>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</si>
  <si>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</si>
  <si>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</si>
  <si>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17 = Aug 2027: deferred from Jan-27 on 16 Oct 2026 pending Krueger bonding resolution; paid off Mar 2029)</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</si>
  <si>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</si>
  <si>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</si>
  <si>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</si>
  <si>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</si>
  <si>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</si>
  <si>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</si>
  <si>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</si>
  <si>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</si>
  <si>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</si>
  <si>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</si>
  <si>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</si>
  <si>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</si>
  <si>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</si>
  <si>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</si>
  <si>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</si>
  <si>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</si>
  <si>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</si>
  <si>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Klump &amp; Scott Developer Fee (per project)</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</si>
  <si>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</si>
  <si>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</si>
  <si>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</si>
  <si>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</si>
  <si>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</si>
  <si>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</si>
  <si>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</si>
  <si>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</si>
  <si>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</si>
  <si>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</si>
  <si>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</si>
  <si>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</si>
  <si>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</si>
  <si>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</si>
  <si>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</si>
  <si>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</si>
  <si>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</si>
  <si>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</si>
  <si>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</si>
  <si>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</si>
  <si>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</si>
  <si>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</si>
  <si>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</si>
  <si>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</si>
  <si>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</si>
  <si>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</si>
  <si>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</si>
  <si>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</si>
  <si>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</si>
  <si>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</si>
  <si>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</si>
  <si>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</si>
  <si>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</si>
  <si>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</si>
  <si>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</si>
  <si>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</si>
  <si>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</si>
  <si>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</si>
  <si>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</si>
  <si>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</si>
  <si>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</si>
  <si>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</si>
  <si>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</si>
  <si>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</si>
  <si>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</si>
  <si>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</si>
  <si>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</si>
  <si>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</si>
  <si>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</si>
  <si>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</si>
  <si>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</si>
  <si>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</si>
  <si>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</si>
  <si>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</si>
  <si>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</si>
  <si>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</si>
  <si>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</si>
  <si>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</si>
  <si>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</si>
  <si>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</si>
  <si>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</si>
  <si>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</si>
  <si>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</si>
  <si>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</si>
  <si>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FY2027 BUDGET INPUTS (26 Oct 2026)</t>
  </si>
  <si>
    <t xml:space="preserve">LV bonus pool, Dec 2026 (month 9)</t>
  </si>
  <si>
    <t xml:space="preserve">LV bonus pool, every December from Dec 2027</t>
  </si>
  <si>
    <t xml:space="preserve">Pay-app automation one-time cost (Jan-Feb 2027, split evenly)</t>
  </si>
  <si>
    <t xml:space="preserve">Pay-app license, first 12 months (Jan-Dec 2027)</t>
  </si>
  <si>
    <t xml:space="preserve">Pay-app license from Jan 2028</t>
  </si>
  <si>
    <t xml:space="preserve">Expense and salary escalation: none until Jan 2028, then Assumptions!B26 each January (Escalation tab)</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</si>
  <si>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</si>
  <si>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</si>
  <si>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</si>
  <si>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</si>
  <si>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</si>
  <si>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</si>
  <si>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</si>
  <si>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</si>
  <si>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</si>
  <si>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</si>
  <si>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</si>
  <si>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</si>
  <si>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</si>
  <si>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</si>
  <si>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</si>
  <si>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</si>
  <si>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</si>
  <si>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</si>
  <si>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</si>
  <si>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</si>
  <si>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</si>
  <si>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</si>
  <si>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</si>
  <si>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</si>
  <si>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</si>
  <si>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</si>
  <si>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</si>
  <si>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</si>
  <si>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</si>
  <si>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</si>
  <si>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</si>
  <si>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</si>
  <si>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</si>
  <si>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</si>
  <si>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</si>
  <si>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</si>
  <si>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</si>
  <si>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</si>
  <si>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</si>
  <si>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</si>
  <si>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</si>
  <si>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</si>
  <si>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</si>
  <si>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</si>
  <si>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</si>
  <si>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</si>
  <si>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</si>
  <si>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</si>
  <si>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</si>
  <si>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</si>
  <si>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</si>
  <si>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</si>
  <si>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</si>
  <si>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</si>
  <si>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</si>
  <si>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</si>
  <si>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</si>
  <si>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</si>
  <si>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</si>
  <si>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</si>
  <si>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</si>
  <si>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</si>
  <si>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</si>
  <si>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</si>
  <si>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</si>
  <si>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</si>
  <si>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</si>
  <si>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</si>
  <si>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</si>
  <si>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</si>
  <si>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</si>
  <si>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</si>
  <si>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</si>
  <si>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</si>
  <si>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</si>
  <si>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</si>
  <si>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</si>
  <si>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</si>
  <si>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</si>
  <si>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</si>
  <si>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</si>
  <si>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</si>
  <si>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</si>
  <si>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</si>
  <si>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</si>
  <si>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</si>
  <si>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</si>
  <si>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</si>
  <si>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</si>
  <si>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</si>
  <si>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</si>
  <si>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</si>
  <si>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DEAL TERMS: drives Model rows 197 and 198. Set every input here, never in Model.</t>
  </si>
  <si>
    <t xml:space="preserve">LIHTC margin from Oct-26 (rolled at Sep-26 close):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</si>
  <si>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</si>
  <si>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</si>
  <si>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</si>
  <si>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</si>
  <si>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</si>
  <si>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</si>
  <si>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</si>
  <si>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</si>
  <si>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Oct-26 (auto, excludes bonding)</t>
  </si>
  <si>
    <t xml:space="preserve">Actual buyout savings (Sep-26 close). Shared-savings jobs: KPI 9/30 savings to date. LIHTC jobs: life-of-job trade margin = trade contract less total trade cost (cost to date + cost to complete), both excl. supervision, admin, GC fee and bonding (9/30 job cost); &lt;= 0 means no savings to pay the owner.</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</si>
  <si>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</si>
  <si>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</si>
  <si>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</si>
  <si>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</si>
  <si>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</si>
  <si>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</si>
  <si>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</si>
  <si>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OCT-26, FLOORED AT ZERO (drives Model row 197 when O1 = 1)</t>
  </si>
  <si>
    <t xml:space="preserve">Month # (Model row 3)</t>
  </si>
  <si>
    <t xml:space="preserve">Staffing Engine</t>
  </si>
  <si>
    <t xml:space="preserve">Hire slots are suppressed before August 2026 (month 5): earlier months are closed and come from Actuals. Demand is derived from the Projects tab: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</si>
  <si>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</si>
  <si>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</si>
  <si>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</si>
  <si>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</si>
  <si>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</si>
  <si>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</si>
  <si>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</si>
  <si>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</si>
  <si>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</si>
  <si>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</si>
  <si>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</si>
  <si>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</si>
  <si>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</si>
  <si>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</si>
  <si>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</si>
  <si>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</si>
  <si>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</si>
  <si>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</si>
  <si>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</si>
  <si>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</si>
  <si>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</si>
  <si>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</si>
  <si>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</si>
  <si>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</si>
  <si>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</si>
  <si>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</si>
  <si>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</si>
  <si>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</si>
  <si>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</si>
  <si>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</si>
  <si>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</si>
  <si>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</si>
  <si>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</si>
  <si>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</si>
  <si>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</si>
  <si>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</si>
  <si>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</si>
  <si>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</si>
  <si>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</si>
  <si>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</si>
  <si>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</si>
  <si>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</si>
  <si>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</si>
  <si>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</si>
  <si>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</si>
  <si>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</si>
  <si>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</si>
  <si>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</si>
  <si>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</si>
  <si>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</si>
  <si>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</si>
  <si>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</si>
  <si>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</si>
  <si>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</si>
  <si>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</si>
  <si>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</si>
  <si>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</si>
  <si>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</si>
  <si>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</si>
  <si>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</si>
  <si>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</si>
  <si>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</si>
  <si>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</si>
  <si>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</si>
  <si>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</si>
  <si>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</si>
  <si>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</si>
  <si>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</si>
  <si>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</si>
  <si>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</si>
  <si>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</si>
  <si>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</si>
  <si>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</si>
  <si>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</si>
  <si>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</si>
  <si>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</si>
  <si>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</si>
  <si>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</si>
  <si>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</si>
  <si>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</si>
  <si>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</si>
  <si>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</si>
  <si>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</si>
  <si>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</si>
  <si>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</si>
  <si>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 rule revised 30 Sep 2026)</t>
  </si>
  <si>
    <t xml:space="preserve">Bond line less CBI premium is LV revenue. Krueger cash (3.25% of GMP less the premium, after the equity cap) is a bonding expense.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</si>
  <si>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</si>
  <si>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</si>
  <si>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</si>
  <si>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</si>
  <si>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</si>
  <si>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Krueger cash held to the January payout (Acama, 26 Oct 2026)</t>
  </si>
  <si>
    <t xml:space="preserve">Program fee rate</t>
  </si>
  <si>
    <t xml:space="preserve">Krueger participant fee on GMP</t>
  </si>
  <si>
    <t xml:space="preserve">Krueger equity cap</t>
  </si>
  <si>
    <t xml:space="preserve">Class A equity: $18.0M valuation x 10%; reached at Francis</t>
  </si>
  <si>
    <t xml:space="preserve">Krueger cash owed, closed-month bonds</t>
  </si>
  <si>
    <t xml:space="preserve">Last closed month #</t>
  </si>
  <si>
    <t xml:space="preserve">Auto, from Model row 4 (Aug-26 = 5)</t>
  </si>
  <si>
    <t xml:space="preserve">Krueger cash accrued in ledger (in B/S payables)</t>
  </si>
  <si>
    <t xml:space="preserve">Krueger cash not yet in ledger</t>
  </si>
  <si>
    <t xml:space="preserve">Owed on closed-month bonds and not yet accrued in the ledger</t>
  </si>
  <si>
    <t xml:space="preserve">Krueger payout month # (input; Jan-27 = 10)</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</si>
  <si>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</si>
  <si>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</si>
  <si>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</si>
  <si>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</si>
  <si>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</si>
  <si>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</si>
  <si>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</si>
  <si>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</si>
  <si>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</si>
  <si>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</si>
  <si>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</si>
  <si>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Retired 30 Sep (was equity-kept reclass; leave blank)</t>
  </si>
  <si>
    <t xml:space="preserve">Retired 30 Sep</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</si>
  <si>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</si>
  <si>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</si>
  <si>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</si>
  <si>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</si>
  <si>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</si>
  <si>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</si>
  <si>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</si>
  <si>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</si>
  <si>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Net to LV (bond line - premium - Krueger cash)</t>
  </si>
  <si>
    <t xml:space="preserve">Bond line less premium (LV revenue)</t>
  </si>
  <si>
    <t xml:space="preserve">Krueger cash owed, not yet in ledger</t>
  </si>
  <si>
    <t xml:space="preserve">Bond line billed Dec-2025, before the model window. Krueger fee fully equity-settled.</t>
  </si>
  <si>
    <t xml:space="preserve">Krueger cash 365,613.17 booked in ledger Sep-26 (job cost 75-1000-5000); O16/P16 entered at Sep close.</t>
  </si>
  <si>
    <t xml:space="preserve">Bond line billed Aug-26; CBI paid 8/28. Post-cap: Krueger fee all cash; 327,263.72 booked in ledger Sep-26 (job cost 69-9000-5000).</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</si>
  <si>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</si>
  <si>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</si>
  <si>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</si>
  <si>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</si>
  <si>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</si>
  <si>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</si>
  <si>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</si>
  <si>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Forecast bonds: bond line less premium less Krueger cash, in the bond month. Closed-month bonds: the ledger already has the bond line and premium; the row adds only the Krueger cash, in the month it is accrued (col P, else the last closed month), less whatever the ledger accrued (col O). Once accrued, closed months net to zero.</t>
  </si>
  <si>
    <t xml:space="preserve">Model row 358 (cash): J358 = 8/31 B/S payables with the Krueger accrual taken out (H8), so it is not paid in September; the payout month (H9) pays all Krueger cash owed on closed-month bonds (H7). When the cash build rolls, keep the +H8 term.</t>
  </si>
  <si>
    <t xml:space="preserve">Deal Terms: the LIHTC true-up excludes bonding. Bond-line cash is never owed back to an owner (Chris, 30 Sep).</t>
  </si>
  <si>
    <t xml:space="preserve">Direct bonding: to model a direct CBI program on a future job, set its Program fee rate override (col N) to the all-in direct rate. The Krueger fee column then carries only the rate above the premium.</t>
  </si>
  <si>
    <t xml:space="preserve">The rule (Chris Aiello, 30 Sep 2026; supersedes 27 Sep): bond line less CBI premium is LV revenue. Krueger's fee is 3.25% x GMP less the premium, settled in SPC equity in closing order to the $1.8M cap (a profits interest: no P&amp;L), then cash, a bonding expense. Krueger cash is held and paid January 2027. The 27 Sep equity reclass is eliminated.</t>
  </si>
  <si>
    <t xml:space="preserve">ADAM POLK ARCHITECTS INC.: subsidiary</t>
  </si>
  <si>
    <t xml:space="preserve">C corporation owned 50/50 by APA PC (Adam Polk) and Six Peak Capital LP. Replaces the APA LLP tabs.</t>
  </si>
  <si>
    <t xml:space="preserve">Switch</t>
  </si>
  <si>
    <t xml:space="preserve">'APA Inputs'!B3 = Yes in all four plans.</t>
  </si>
  <si>
    <t xml:space="preserve">Tabs</t>
  </si>
  <si>
    <t xml:space="preserve">APA Inputs (assumptions and contracts), APA Schedule (monthly revenue and Six Peak cash, column B = Jan 2026 like Model), APA Summary (the annual Section 5.1 waterfall, FY2026 to FY2034).</t>
  </si>
  <si>
    <t xml:space="preserve">Rolls up to</t>
  </si>
  <si>
    <t xml:space="preserve">Model rows 'APA Revenue', 'APA Expenses', 'APA Net Income' (Six Peak's share: Services Fee plus 50% of dividends; APA Inc. costs stay in APA Inc.), forecast months only.</t>
  </si>
  <si>
    <t xml:space="preserve">Timing</t>
  </si>
  <si>
    <t xml:space="preserve">Services Fee paid in equal monthly amounts over each fiscal year (Annual Fee Schedule). Dividends paid in March of the following year (input). When revenue does not cover overhead and the Polk Base Fee, the unpaid Base Fee accrues in APA Inc.: no Six Peak cash (Chris, 9 Oct).</t>
  </si>
  <si>
    <t xml:space="preserve">Contracts</t>
  </si>
  <si>
    <t xml:space="preserve">The full Polk revenue schedule runs in every plan, whether or not 3rd St is switched on (Chris, 9 Oct).</t>
  </si>
  <si>
    <t xml:space="preserve">Source</t>
  </si>
  <si>
    <t xml:space="preserve">Polk_Consulting_Fee_Model_1.xlsx (Fee Model + Revenue Schedule). Annual totals tie to it for FY2026-FY2030.</t>
  </si>
  <si>
    <t xml:space="preserve">Adam Polk Architects Inc.: Inputs</t>
  </si>
  <si>
    <t xml:space="preserve">From the Polk consulting fee model (draft Shareholders' Agreement 5.1 and the two Consulting Agreements). Blue cells on yellow are inputs.</t>
  </si>
  <si>
    <t xml:space="preserve">Active in this plan (Yes / No)</t>
  </si>
  <si>
    <t xml:space="preserve">Assumptions</t>
  </si>
  <si>
    <t xml:space="preserve">Value</t>
  </si>
  <si>
    <t xml:space="preserve">Stub period starts</t>
  </si>
  <si>
    <t xml:space="preserve">FY2026 is a stub from this date through Dec 31, 2026. First revenue month on the Revenue Schedule.</t>
  </si>
  <si>
    <t xml:space="preserve">Base Fee: initial annual rate</t>
  </si>
  <si>
    <t xml:space="preserve">Polk Consulting Agreement 4.1(a): $12,500 per month.</t>
  </si>
  <si>
    <t xml:space="preserve">Base Fee: rate after 3rd Street trigger</t>
  </si>
  <si>
    <t xml:space="preserve">Polk Consulting Agreement 4.1(b): $18,750 per month.</t>
  </si>
  <si>
    <t xml:space="preserve">3rd Street step-up starts (first month at new rate)</t>
  </si>
  <si>
    <t xml:space="preserve">No step-up: the 3rd Street design engagement does not happen (APA Inc. FY2027 base case, 16 Oct 2026).</t>
  </si>
  <si>
    <t xml:space="preserve">Overhead: first full-year amount (FY2027)</t>
  </si>
  <si>
    <t xml:space="preserve">Fixed annual overhead (office, software, E&amp;O premium, CPA, filings). Stub year is prorated by months.</t>
  </si>
  <si>
    <t xml:space="preserve">Overhead: annual increase</t>
  </si>
  <si>
    <t xml:space="preserve">Overhead grows 3% per year after FY2027. Not tied to revenue.</t>
  </si>
  <si>
    <t xml:space="preserve">Taxable income left in the Company, % of revenue</t>
  </si>
  <si>
    <t xml:space="preserve">Cushion so fees do not wipe out all profit (reduces dividend-recharacterization risk). Set to 0% to sweep everything.</t>
  </si>
  <si>
    <t xml:space="preserve">Polk share of fee pool (Supplemental Fee)</t>
  </si>
  <si>
    <t xml:space="preserve">Six Peak Services Fee gets the remainder. Per the drafts, fees should be supported by services value, not ownership.</t>
  </si>
  <si>
    <t xml:space="preserve">APA PC ownership</t>
  </si>
  <si>
    <t xml:space="preserve">Six Peak owns the remainder. 100 shares each.</t>
  </si>
  <si>
    <t xml:space="preserve">Federal corporate tax rate</t>
  </si>
  <si>
    <t xml:space="preserve">C corporation flat rate.</t>
  </si>
  <si>
    <t xml:space="preserve">California franchise tax rate</t>
  </si>
  <si>
    <t xml:space="preserve">Deducted before computing federal tax (simplified).</t>
  </si>
  <si>
    <t xml:space="preserve">California minimum franchise tax</t>
  </si>
  <si>
    <t xml:space="preserve">Applies even with no taxable income (first-year exemption ignored).</t>
  </si>
  <si>
    <t xml:space="preserve">Dividends paid in calendar month of the following year</t>
  </si>
  <si>
    <t xml:space="preserve">Assumption: after the year-end close and tax return. Six Peak receives its 50% then.</t>
  </si>
  <si>
    <t xml:space="preserve">CONTRACTS</t>
  </si>
  <si>
    <t xml:space="preserve">Contract</t>
  </si>
  <si>
    <t xml:space="preserve">Start month</t>
  </si>
  <si>
    <t xml:space="preserve">Months</t>
  </si>
  <si>
    <t xml:space="preserve">Total fee spread evenly</t>
  </si>
  <si>
    <t xml:space="preserve">Plus fixed monthly fee</t>
  </si>
  <si>
    <t xml:space="preserve">One-time payment</t>
  </si>
  <si>
    <t xml:space="preserve">Paid in contract month #</t>
  </si>
  <si>
    <t xml:space="preserve">Probability</t>
  </si>
  <si>
    <t xml:space="preserve">Monthly billing</t>
  </si>
  <si>
    <t xml:space="preserve">Contract value (weighted)</t>
  </si>
  <si>
    <t xml:space="preserve">Signed</t>
  </si>
  <si>
    <t xml:space="preserve">4110 W 3rd (existing contract only)</t>
  </si>
  <si>
    <t xml:space="preserve">Reseda (from Jun 2027)</t>
  </si>
  <si>
    <t xml:space="preserve">Pipeline 2</t>
  </si>
  <si>
    <t xml:space="preserve">Pipeline</t>
  </si>
  <si>
    <t xml:space="preserve">Pipeline 3</t>
  </si>
  <si>
    <t xml:space="preserve">Pipeline 4</t>
  </si>
  <si>
    <t xml:space="preserve">Pipeline 5</t>
  </si>
  <si>
    <t xml:space="preserve">Pipeline 6</t>
  </si>
  <si>
    <t xml:space="preserve">Total contract value (weighted)</t>
  </si>
  <si>
    <t xml:space="preserve">Adam Polk Architects Inc.: Monthly Schedule</t>
  </si>
  <si>
    <t xml:space="preserve">Columns match the global Model: column B = Jan 2026. Revenue by contract (Polk Revenue Schedule logic) and the cash Six Peak receives.</t>
  </si>
  <si>
    <t xml:space="preserve">Year</t>
  </si>
  <si>
    <t xml:space="preserve">REVENUE BY CONTRACT</t>
  </si>
  <si>
    <t xml:space="preserve">Total revenue</t>
  </si>
  <si>
    <t xml:space="preserve">SIX PEAK CASH FROM APA</t>
  </si>
  <si>
    <t xml:space="preserve">Six Peak Services Fee (equal monthly over the fiscal year)</t>
  </si>
  <si>
    <t xml:space="preserve">Six Peak dividend share (paid in the month on APA Inputs B18, following year)</t>
  </si>
  <si>
    <t xml:space="preserve">Total cash to Six Peak</t>
  </si>
  <si>
    <t xml:space="preserve">Adam Polk Architects Inc.: Annual Waterfall (Shareholders' Agreement 5.1)</t>
  </si>
  <si>
    <t xml:space="preserve">Same rows as the Polk Fee Model, extended to FY2034. Unpaid Base Fee accrues in APA Inc. (rows 53-54); Six Peak cash is only the Services Fee and its 50% of dividends.</t>
  </si>
  <si>
    <t xml:space="preserve">Annual projections ($)</t>
  </si>
  <si>
    <t xml:space="preserve">FY2026 (stub)</t>
  </si>
  <si>
    <t xml:space="preserve">FY2028</t>
  </si>
  <si>
    <t xml:space="preserve">FY2029</t>
  </si>
  <si>
    <t xml:space="preserve">FY2030</t>
  </si>
  <si>
    <t xml:space="preserve">FY2031</t>
  </si>
  <si>
    <t xml:space="preserve">FY2032</t>
  </si>
  <si>
    <t xml:space="preserve">FY2033</t>
  </si>
  <si>
    <t xml:space="preserve">FY2034</t>
  </si>
  <si>
    <t xml:space="preserve">Fiscal year</t>
  </si>
  <si>
    <t xml:space="preserve">Months in period</t>
  </si>
  <si>
    <t xml:space="preserve">Revenue (from Revenue Schedule)</t>
  </si>
  <si>
    <t xml:space="preserve">COSTS</t>
  </si>
  <si>
    <t xml:space="preserve">Overhead (fixed, +3%/yr)</t>
  </si>
  <si>
    <t xml:space="preserve">Income before consulting fees</t>
  </si>
  <si>
    <t xml:space="preserve">CONSULTING FEES</t>
  </si>
  <si>
    <t xml:space="preserve">Months at stepped-up Base Fee</t>
  </si>
  <si>
    <t xml:space="preserve">Polk Base Fee (paid first)</t>
  </si>
  <si>
    <t xml:space="preserve">Fee pool after Base Fee and cushion</t>
  </si>
  <si>
    <t xml:space="preserve">Polk Supplemental Fee</t>
  </si>
  <si>
    <t xml:space="preserve">Six Peak Services Fee</t>
  </si>
  <si>
    <t xml:space="preserve">Total consulting fees</t>
  </si>
  <si>
    <t xml:space="preserve">Consulting fees as % of revenue</t>
  </si>
  <si>
    <t xml:space="preserve">CORPORATE TAX AND DIVIDENDS</t>
  </si>
  <si>
    <t xml:space="preserve">Taxable income</t>
  </si>
  <si>
    <t xml:space="preserve">California franchise tax</t>
  </si>
  <si>
    <t xml:space="preserve">Federal income tax</t>
  </si>
  <si>
    <t xml:space="preserve">Net income after tax</t>
  </si>
  <si>
    <t xml:space="preserve">Dividends paid (100% of positive net income)</t>
  </si>
  <si>
    <t xml:space="preserve">TOTAL TO APA PC (POLK)</t>
  </si>
  <si>
    <t xml:space="preserve">Base Fee + Supplemental Fee</t>
  </si>
  <si>
    <t xml:space="preserve">Dividend share</t>
  </si>
  <si>
    <t xml:space="preserve">Total to APA PC</t>
  </si>
  <si>
    <t xml:space="preserve">TOTAL TO SIX PEAK CAPITAL LP</t>
  </si>
  <si>
    <t xml:space="preserve">Services Fee</t>
  </si>
  <si>
    <t xml:space="preserve">Total to Six Peak</t>
  </si>
  <si>
    <t xml:space="preserve">CHECK</t>
  </si>
  <si>
    <t xml:space="preserve">Shortfall the Company must fund (loss years)</t>
  </si>
  <si>
    <t xml:space="preserve">Check: revenue less costs, taxes and owner payments (should be 0)</t>
  </si>
  <si>
    <t xml:space="preserve">Polk Base Fee unpaid, accrued in APA Inc. (no Six Peak cash)</t>
  </si>
  <si>
    <t xml:space="preserve">Cumulative accrued Base Fee, year end</t>
  </si>
  <si>
    <t xml:space="preserve">Note: same formulas as the Polk Fee Model rows 21-51. FY2026-FY2030 tie to it; FY2031-FY2034 extend it with no contracts.</t>
  </si>
</sst>
</file>

<file path=xl/styles.xml><?xml version="1.0" encoding="utf-8"?>
<styleSheet xmlns="http://schemas.openxmlformats.org/spreadsheetml/2006/main">
  <numFmts count="31">
    <numFmt numFmtId="164" formatCode="General"/>
    <numFmt numFmtId="165" formatCode="mmm\-yy"/>
    <numFmt numFmtId="166" formatCode="0"/>
    <numFmt numFmtId="167" formatCode="_(\$* #,##0_);_(\$* \(#,##0\);_(\$* \-_?_?_);_(@_)"/>
    <numFmt numFmtId="168" formatCode="0.0%;\(0.0%\);\-"/>
    <numFmt numFmtId="169" formatCode="#,##0;\(#,##0\);\-"/>
    <numFmt numFmtId="170" formatCode="_(\$* #,##0_);_(\$* \(#,##0\);_(\$* \-_);_(@_)"/>
    <numFmt numFmtId="171" formatCode="mmm\ yyyy"/>
    <numFmt numFmtId="172" formatCode="_(\$* #,##0_);_(\$* \(#,##0\);_(\$* \-??_);_(@_)"/>
    <numFmt numFmtId="173" formatCode="\$#,##0;&quot;($&quot;#,##0\);\-"/>
    <numFmt numFmtId="174" formatCode="_(\$* #,##0.00_);_(\$* \(#,##0.00\);_(\$* \-??_);_(@_)"/>
    <numFmt numFmtId="175" formatCode="0.0%"/>
    <numFmt numFmtId="176" formatCode="0.0%;\(0.0%\);\-"/>
    <numFmt numFmtId="177" formatCode="0%"/>
    <numFmt numFmtId="178" formatCode="0.00%"/>
    <numFmt numFmtId="179" formatCode="0.0000%"/>
    <numFmt numFmtId="180" formatCode="\$#,##0"/>
    <numFmt numFmtId="181" formatCode="mmm\-yyyy"/>
    <numFmt numFmtId="182" formatCode="#,##0.0,,;\(#,##0.0,,\);&quot;&quot;"/>
    <numFmt numFmtId="183" formatCode="0;;&quot;&quot;"/>
    <numFmt numFmtId="184" formatCode="0.0%;\(0.0%\)"/>
    <numFmt numFmtId="185" formatCode="0.00\x"/>
    <numFmt numFmtId="186" formatCode="#,##0;\-#,##0;\✓"/>
    <numFmt numFmtId="187" formatCode="#,##0"/>
    <numFmt numFmtId="188" formatCode="#,##0.00"/>
    <numFmt numFmtId="189" formatCode="0.0000"/>
    <numFmt numFmtId="190" formatCode="[$$-409]#,##0.00;\-[$$-409]#,##0.00"/>
    <numFmt numFmtId="191" formatCode="0.00"/>
    <numFmt numFmtId="192" formatCode="0;;\-"/>
    <numFmt numFmtId="193" formatCode="m/d/yyyy"/>
    <numFmt numFmtId="194" formatCode="\$#,##0.00;&quot;($&quot;#,##0.00\);\-"/>
  </numFmts>
  <fonts count="68">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A84A15"/>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A84A15"/>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2D2D2D"/>
      <name val="Aptos"/>
      <family val="2"/>
      <charset val="1"/>
    </font>
    <font>
      <sz val="10"/>
      <color rgb="FF2D2D2D"/>
      <name val="Aptos"/>
      <family val="2"/>
      <charset val="1"/>
    </font>
    <font>
      <sz val="10"/>
      <color rgb="FF475569"/>
      <name val="Aptos"/>
      <family val="2"/>
      <charset val="1"/>
    </font>
    <font>
      <sz val="10"/>
      <color rgb="FF0000FF"/>
      <name val="Aptos"/>
      <family val="2"/>
      <charset val="1"/>
    </font>
    <font>
      <i val="true"/>
      <sz val="10"/>
      <color rgb="FFA84A15"/>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4"/>
      <color rgb="FF0B1833"/>
      <name val="Aptos"/>
      <family val="0"/>
      <charset val="1"/>
    </font>
    <font>
      <sz val="10"/>
      <color rgb="FF475569"/>
      <name val="Aptos"/>
      <family val="0"/>
      <charset val="1"/>
    </font>
    <font>
      <i val="true"/>
      <sz val="10"/>
      <color rgb="FF475569"/>
      <name val="Aptos"/>
      <family val="0"/>
      <charset val="1"/>
    </font>
    <font>
      <b val="true"/>
      <sz val="10"/>
      <color rgb="FFFFFFFF"/>
      <name val="Aptos"/>
      <family val="0"/>
      <charset val="1"/>
    </font>
    <font>
      <b val="true"/>
      <sz val="10"/>
      <color rgb="FFA84A15"/>
      <name val="Aptos"/>
      <family val="0"/>
      <charset val="1"/>
    </font>
    <font>
      <sz val="10"/>
      <color rgb="FF1F4E9A"/>
      <name val="Aptos"/>
      <family val="0"/>
      <charset val="1"/>
    </font>
    <font>
      <sz val="10"/>
      <color rgb="FF0B1833"/>
      <name val="Aptos"/>
      <family val="2"/>
      <charset val="1"/>
    </font>
    <font>
      <b val="true"/>
      <sz val="10"/>
      <color rgb="FF475569"/>
      <name val="Aptos"/>
      <family val="0"/>
      <charset val="1"/>
    </font>
    <font>
      <sz val="10"/>
      <color rgb="FF0B1833"/>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A84A15"/>
      <name val="Aptos"/>
      <family val="0"/>
      <charset val="1"/>
    </font>
    <font>
      <sz val="10"/>
      <color rgb="FF717F4B"/>
      <name val="Aptos"/>
      <family val="2"/>
      <charset val="1"/>
    </font>
    <font>
      <sz val="10"/>
      <color rgb="FFEF4444"/>
      <name val="Aptos"/>
      <family val="2"/>
      <charset val="1"/>
    </font>
    <font>
      <i val="true"/>
      <sz val="10"/>
      <color rgb="FF999999"/>
      <name val="Aptos"/>
      <family val="2"/>
      <charset val="1"/>
    </font>
    <font>
      <b val="true"/>
      <sz val="10"/>
      <color rgb="FF1F3864"/>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i val="true"/>
      <sz val="10"/>
      <name val="Aptos"/>
      <family val="2"/>
      <charset val="1"/>
    </font>
    <font>
      <sz val="11"/>
      <color rgb="FF0000FF"/>
      <name val="Aptos"/>
      <family val="0"/>
      <charset val="1"/>
    </font>
    <font>
      <sz val="9"/>
      <color rgb="FF475569"/>
      <name val="Aptos"/>
      <family val="0"/>
      <charset val="1"/>
    </font>
    <font>
      <b val="true"/>
      <sz val="11"/>
      <name val="Aptos"/>
      <family val="0"/>
      <charset val="1"/>
    </font>
    <font>
      <b val="true"/>
      <sz val="9"/>
      <color rgb="FF475569"/>
      <name val="Aptos"/>
      <family val="0"/>
      <charset val="1"/>
    </font>
    <font>
      <b val="true"/>
      <sz val="10"/>
      <color rgb="FF2E7D32"/>
      <name val="Aptos"/>
      <family val="0"/>
      <charset val="1"/>
    </font>
    <font>
      <b val="true"/>
      <sz val="18"/>
      <color rgb="FF0B1833"/>
      <name val="Aptos"/>
      <family val="0"/>
      <charset val="1"/>
    </font>
    <font>
      <i val="true"/>
      <sz val="11"/>
      <color rgb="FF475569"/>
      <name val="Aptos"/>
      <family val="0"/>
      <charset val="1"/>
    </font>
    <font>
      <i val="true"/>
      <sz val="9"/>
      <color rgb="FF475569"/>
      <name val="Aptos"/>
      <family val="0"/>
      <charset val="1"/>
    </font>
    <font>
      <b val="true"/>
      <sz val="10"/>
      <name val="Aptos"/>
      <family val="0"/>
      <charset val="1"/>
    </font>
    <font>
      <sz val="10"/>
      <color rgb="FF008000"/>
      <name val="Aptos"/>
      <family val="0"/>
      <charset val="1"/>
    </font>
    <font>
      <sz val="11"/>
      <color theme="1"/>
      <name val="Aptos"/>
      <family val="2"/>
      <charset val="1"/>
    </font>
    <font>
      <b val="true"/>
      <sz val="10"/>
      <color rgb="FF008000"/>
      <name val="Aptos"/>
      <family val="0"/>
      <charset val="1"/>
    </font>
    <font>
      <b val="true"/>
      <sz val="9"/>
      <color rgb="FFA84A15"/>
      <name val="Aptos"/>
      <family val="0"/>
      <charset val="1"/>
    </font>
  </fonts>
  <fills count="27">
    <fill>
      <patternFill patternType="none"/>
    </fill>
    <fill>
      <patternFill patternType="gray125"/>
    </fill>
    <fill>
      <patternFill patternType="solid">
        <fgColor rgb="FFF8FAFC"/>
        <bgColor rgb="FFF5F5F5"/>
      </patternFill>
    </fill>
    <fill>
      <patternFill patternType="solid">
        <fgColor rgb="FF0B1833"/>
        <bgColor rgb="FF2D2D2D"/>
      </patternFill>
    </fill>
    <fill>
      <patternFill patternType="solid">
        <fgColor rgb="FF2C3A51"/>
        <bgColor rgb="FF1F3864"/>
      </patternFill>
    </fill>
    <fill>
      <patternFill patternType="solid">
        <fgColor rgb="FFE8ECF1"/>
        <bgColor rgb="FFE8ECF2"/>
      </patternFill>
    </fill>
    <fill>
      <patternFill patternType="solid">
        <fgColor rgb="FFFBE9E0"/>
        <bgColor rgb="FFFDEBD0"/>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A84A15"/>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BE9E0"/>
      </patternFill>
    </fill>
    <fill>
      <patternFill patternType="solid">
        <fgColor rgb="FFFDEBD0"/>
        <bgColor rgb="FFFBE9E0"/>
      </patternFill>
    </fill>
    <fill>
      <patternFill patternType="solid">
        <fgColor rgb="FF2E75B6"/>
        <bgColor rgb="FF5E7B9B"/>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DCE6F1"/>
        <bgColor rgb="FFDDE3ED"/>
      </patternFill>
    </fill>
    <fill>
      <patternFill patternType="solid">
        <fgColor rgb="FF548235"/>
        <bgColor rgb="FF717F4B"/>
      </patternFill>
    </fill>
    <fill>
      <patternFill patternType="solid">
        <fgColor rgb="FFE2EFDA"/>
        <bgColor rgb="FFD4EDDA"/>
      </patternFill>
    </fill>
    <fill>
      <patternFill patternType="solid">
        <fgColor rgb="FF404040"/>
        <bgColor rgb="FF333333"/>
      </patternFill>
    </fill>
    <fill>
      <patternFill patternType="solid">
        <fgColor rgb="FFF2F2F2"/>
        <bgColor rgb="FFF5F5F5"/>
      </patternFill>
    </fill>
    <fill>
      <patternFill patternType="solid">
        <fgColor rgb="FFFFF8E1"/>
        <bgColor rgb="FFFFF2CC"/>
      </patternFill>
    </fill>
    <fill>
      <patternFill patternType="solid">
        <fgColor rgb="FFE8ECF2"/>
        <bgColor rgb="FFE8ECF1"/>
      </patternFill>
    </fill>
  </fills>
  <borders count="14">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style="thin">
        <color rgb="FFE0E0E0"/>
      </left>
      <right style="thin">
        <color rgb="FFE0E0E0"/>
      </right>
      <top style="medium">
        <color rgb="FF0B1833"/>
      </top>
      <bottom style="thin">
        <color rgb="FFE0E0E0"/>
      </bottom>
      <diagonal/>
    </border>
    <border diagonalUp="false" diagonalDown="false">
      <left/>
      <right/>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73" fontId="4"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5"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false" applyAlignment="false" applyProtection="false">
      <alignment horizontal="general" vertical="bottom" textRotation="0" wrapText="false" indent="0" shrinkToFit="false"/>
      <protection locked="true" hidden="false"/>
    </xf>
    <xf numFmtId="164" fontId="38" fillId="11" borderId="0" xfId="0" applyFont="true" applyBorder="false" applyAlignment="false" applyProtection="false">
      <alignment horizontal="general" vertical="bottom" textRotation="0" wrapText="false" indent="0" shrinkToFit="false"/>
      <protection locked="true" hidden="false"/>
    </xf>
    <xf numFmtId="164" fontId="0" fillId="11" borderId="0" xfId="0" applyFont="fals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9" fontId="31" fillId="0" borderId="0" xfId="0" applyFont="true" applyBorder="false" applyAlignment="false" applyProtection="false">
      <alignment horizontal="general" vertical="bottom" textRotation="0" wrapText="false" indent="0" shrinkToFit="false"/>
      <protection locked="true" hidden="false"/>
    </xf>
    <xf numFmtId="169" fontId="3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9" fontId="23"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76" fontId="31" fillId="0" borderId="0" xfId="0" applyFont="true" applyBorder="false" applyAlignment="false" applyProtection="false">
      <alignment horizontal="general" vertical="bottom" textRotation="0" wrapText="fals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0"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68" fontId="0" fillId="0" borderId="6" xfId="0" applyFont="fals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0"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6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0" fontId="4" fillId="11" borderId="3" xfId="0" applyFont="true" applyBorder="true" applyAlignment="true" applyProtection="false">
      <alignment horizontal="right" vertical="center" textRotation="0" wrapText="false" indent="0" shrinkToFit="false"/>
      <protection locked="true" hidden="false"/>
    </xf>
    <xf numFmtId="16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7" fillId="3" borderId="6" xfId="0" applyFont="true" applyBorder="true" applyAlignment="true" applyProtection="false">
      <alignment horizontal="center" vertical="center" textRotation="0" wrapText="true" indent="0" shrinkToFit="false"/>
      <protection locked="true" hidden="false"/>
    </xf>
    <xf numFmtId="164" fontId="37" fillId="3"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78" fontId="40" fillId="0" borderId="0" xfId="0" applyFont="true" applyBorder="false" applyAlignment="true" applyProtection="false">
      <alignment horizontal="general" vertical="bottom" textRotation="0" wrapText="false" indent="0" shrinkToFit="false"/>
      <protection locked="true" hidden="false"/>
    </xf>
    <xf numFmtId="179" fontId="6" fillId="0" borderId="0" xfId="0" applyFont="tru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0" fontId="28" fillId="0" borderId="0" xfId="0" applyFont="true" applyBorder="false" applyAlignment="true" applyProtection="false">
      <alignment horizontal="general" vertical="bottom" textRotation="0" wrapText="false" indent="0" shrinkToFit="false"/>
      <protection locked="true" hidden="false"/>
    </xf>
    <xf numFmtId="181" fontId="31"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center" vertical="bottom" textRotation="0" wrapText="false" indent="0" shrinkToFit="false"/>
      <protection locked="true" hidden="false"/>
    </xf>
    <xf numFmtId="182" fontId="0" fillId="0" borderId="0" xfId="0" applyFont="false" applyBorder="false" applyAlignment="true" applyProtection="false">
      <alignment horizontal="general" vertical="bottom" textRotation="0" wrapText="false" indent="0" shrinkToFit="false"/>
      <protection locked="true" hidden="false"/>
    </xf>
    <xf numFmtId="182" fontId="4" fillId="0" borderId="0" xfId="0" applyFont="true" applyBorder="false" applyAlignment="true" applyProtection="false">
      <alignment horizontal="center" vertical="bottom" textRotation="0" wrapText="false" indent="0" shrinkToFit="false"/>
      <protection locked="true" hidden="false"/>
    </xf>
    <xf numFmtId="183" fontId="4" fillId="0" borderId="0" xfId="0" applyFont="true" applyBorder="false" applyAlignment="true" applyProtection="false">
      <alignment horizontal="center"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center" vertical="bottom" textRotation="0" wrapText="false" indent="0" shrinkToFit="false"/>
      <protection locked="true" hidden="false"/>
    </xf>
    <xf numFmtId="164" fontId="4"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2" fontId="4" fillId="14" borderId="0" xfId="0" applyFont="true" applyBorder="false" applyAlignment="true" applyProtection="false">
      <alignment horizontal="center" vertical="bottom" textRotation="0" wrapText="false" indent="0" shrinkToFit="false"/>
      <protection locked="true" hidden="false"/>
    </xf>
    <xf numFmtId="183" fontId="4" fillId="14" borderId="0" xfId="0" applyFont="true" applyBorder="false" applyAlignment="true" applyProtection="false">
      <alignment horizontal="center" vertical="bottom" textRotation="0" wrapText="false" indent="0" shrinkToFit="false"/>
      <protection locked="true" hidden="false"/>
    </xf>
    <xf numFmtId="184" fontId="28" fillId="0" borderId="0" xfId="0" applyFont="true" applyBorder="false" applyAlignment="true" applyProtection="false">
      <alignment horizontal="center"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6" fontId="28" fillId="0" borderId="0" xfId="0" applyFont="true" applyBorder="false" applyAlignment="true" applyProtection="false">
      <alignment horizontal="center"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80" fontId="32" fillId="0"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0" fontId="31" fillId="0" borderId="6" xfId="0" applyFont="true" applyBorder="true" applyAlignment="true" applyProtection="false">
      <alignment horizontal="general" vertical="bottom" textRotation="0" wrapText="false" indent="0" shrinkToFit="false"/>
      <protection locked="true" hidden="false"/>
    </xf>
    <xf numFmtId="177"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0"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general" vertical="bottom" textRotation="0" wrapText="false" indent="0" shrinkToFit="false"/>
      <protection locked="true" hidden="false"/>
    </xf>
    <xf numFmtId="170" fontId="47"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8" fillId="2" borderId="0" xfId="0" applyFont="true" applyBorder="false" applyAlignment="true" applyProtection="false">
      <alignment horizontal="general" vertical="bottom" textRotation="0" wrapText="false" indent="0" shrinkToFit="false"/>
      <protection locked="true" hidden="false"/>
    </xf>
    <xf numFmtId="170" fontId="48" fillId="2" borderId="0" xfId="0" applyFont="true" applyBorder="false" applyAlignment="true" applyProtection="false">
      <alignment horizontal="general" vertical="bottom" textRotation="0" wrapText="false" indent="0" shrinkToFit="false"/>
      <protection locked="true" hidden="false"/>
    </xf>
    <xf numFmtId="165" fontId="40" fillId="2" borderId="0" xfId="0" applyFont="true" applyBorder="false" applyAlignment="true" applyProtection="false">
      <alignment horizontal="general" vertical="bottom" textRotation="0" wrapText="false" indent="0" shrinkToFit="false"/>
      <protection locked="true" hidden="false"/>
    </xf>
    <xf numFmtId="164" fontId="49"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78" fontId="47" fillId="2" borderId="0" xfId="0" applyFont="true" applyBorder="false" applyAlignment="true" applyProtection="false">
      <alignment horizontal="general" vertical="bottom" textRotation="0" wrapText="false" indent="0" shrinkToFit="false"/>
      <protection locked="true" hidden="false"/>
    </xf>
    <xf numFmtId="178" fontId="29" fillId="15" borderId="0" xfId="0" applyFont="true" applyBorder="false" applyAlignment="true" applyProtection="false">
      <alignment horizontal="general" vertical="bottom" textRotation="0" wrapText="false" indent="0" shrinkToFit="false"/>
      <protection locked="true" hidden="false"/>
    </xf>
    <xf numFmtId="178" fontId="40" fillId="2" borderId="0" xfId="0" applyFont="true" applyBorder="false" applyAlignment="true" applyProtection="false">
      <alignment horizontal="general" vertical="bottom" textRotation="0" wrapText="false" indent="0" shrinkToFit="false"/>
      <protection locked="true" hidden="false"/>
    </xf>
    <xf numFmtId="170" fontId="29" fillId="15" borderId="0" xfId="0" applyFont="true" applyBorder="false" applyAlignment="true" applyProtection="false">
      <alignment horizontal="general" vertical="bottom" textRotation="0" wrapText="false" indent="0" shrinkToFit="false"/>
      <protection locked="true" hidden="false"/>
    </xf>
    <xf numFmtId="170" fontId="40" fillId="2" borderId="0" xfId="0" applyFont="true" applyBorder="false" applyAlignment="true" applyProtection="false">
      <alignment horizontal="general" vertical="bottom" textRotation="0" wrapText="false" indent="0" shrinkToFit="false"/>
      <protection locked="true" hidden="false"/>
    </xf>
    <xf numFmtId="187" fontId="29" fillId="2" borderId="0" xfId="0" applyFont="true" applyBorder="false" applyAlignment="true" applyProtection="false">
      <alignment horizontal="general" vertical="bottom" textRotation="0" wrapText="false" indent="0" shrinkToFit="false"/>
      <protection locked="true" hidden="false"/>
    </xf>
    <xf numFmtId="187" fontId="29" fillId="15" borderId="0" xfId="0" applyFont="true" applyBorder="false" applyAlignment="true" applyProtection="false">
      <alignment horizontal="general" vertical="bottom" textRotation="0" wrapText="false" indent="0" shrinkToFit="false"/>
      <protection locked="true" hidden="false"/>
    </xf>
    <xf numFmtId="187" fontId="40"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4" fillId="6" borderId="1" xfId="0" applyFont="true" applyBorder="true" applyAlignment="true" applyProtection="false">
      <alignment horizontal="general" vertical="bottom" textRotation="0" wrapText="false" indent="0" shrinkToFit="false"/>
      <protection locked="true" hidden="false"/>
    </xf>
    <xf numFmtId="170" fontId="4"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78" fontId="5" fillId="2" borderId="0" xfId="0" applyFont="true" applyBorder="false" applyAlignment="true" applyProtection="false">
      <alignment horizontal="center" vertical="bottom" textRotation="0" wrapText="false" indent="0" shrinkToFit="false"/>
      <protection locked="true" hidden="false"/>
    </xf>
    <xf numFmtId="178" fontId="6" fillId="2" borderId="0" xfId="0" applyFont="true" applyBorder="false" applyAlignment="true" applyProtection="false">
      <alignment horizontal="general" vertical="bottom" textRotation="0" wrapText="false" indent="0" shrinkToFit="false"/>
      <protection locked="true" hidden="false"/>
    </xf>
    <xf numFmtId="170" fontId="4" fillId="15"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40" fillId="9" borderId="1" xfId="0" applyFont="true" applyBorder="true" applyAlignment="true" applyProtection="false">
      <alignment horizontal="general" vertical="bottom" textRotation="0" wrapText="false" indent="0" shrinkToFit="false"/>
      <protection locked="true" hidden="false"/>
    </xf>
    <xf numFmtId="178"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40" fillId="2" borderId="0" xfId="0" applyFont="true" applyBorder="false" applyAlignment="true" applyProtection="false">
      <alignment horizontal="general" vertical="bottom" textRotation="0" wrapText="false" indent="0" shrinkToFit="false"/>
      <protection locked="true" hidden="false"/>
    </xf>
    <xf numFmtId="178"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general" vertical="bottom" textRotation="0" wrapText="false" indent="0" shrinkToFit="false"/>
      <protection locked="true" hidden="false"/>
    </xf>
    <xf numFmtId="164" fontId="29" fillId="15"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70" fontId="40"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17" fillId="17" borderId="9" xfId="0" applyFont="true" applyBorder="true" applyAlignment="true" applyProtection="false">
      <alignment horizontal="general" vertical="bottom" textRotation="0" wrapText="false" indent="0" shrinkToFit="false"/>
      <protection locked="true" hidden="false"/>
    </xf>
    <xf numFmtId="170" fontId="17" fillId="17" borderId="9" xfId="0" applyFont="true" applyBorder="true" applyAlignment="true" applyProtection="false">
      <alignment horizontal="right" vertical="bottom" textRotation="0" wrapText="false" indent="0" shrinkToFit="false"/>
      <protection locked="true" hidden="false"/>
    </xf>
    <xf numFmtId="164" fontId="17" fillId="7" borderId="9" xfId="0" applyFont="true" applyBorder="true" applyAlignment="true" applyProtection="false">
      <alignment horizontal="general" vertical="bottom" textRotation="0" wrapText="false" indent="0" shrinkToFit="false"/>
      <protection locked="true" hidden="false"/>
    </xf>
    <xf numFmtId="170" fontId="17" fillId="7" borderId="9" xfId="0" applyFont="true" applyBorder="true" applyAlignment="true" applyProtection="false">
      <alignment horizontal="right" vertical="bottom" textRotation="0" wrapText="false" indent="0" shrinkToFit="false"/>
      <protection locked="true" hidden="false"/>
    </xf>
    <xf numFmtId="187" fontId="17" fillId="17" borderId="9"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64" fontId="40" fillId="18" borderId="0" xfId="0" applyFont="true" applyBorder="false" applyAlignment="true" applyProtection="false">
      <alignment horizontal="right" vertical="bottom" textRotation="0" wrapText="false" indent="0" shrinkToFit="false"/>
      <protection locked="true" hidden="false"/>
    </xf>
    <xf numFmtId="164" fontId="40" fillId="0" borderId="3" xfId="0" applyFont="true" applyBorder="true" applyAlignment="true" applyProtection="false">
      <alignment horizontal="left" vertical="center" textRotation="0" wrapText="false" indent="0" shrinkToFit="false"/>
      <protection locked="true" hidden="false"/>
    </xf>
    <xf numFmtId="170" fontId="4" fillId="18" borderId="3" xfId="0" applyFont="true" applyBorder="true" applyAlignment="true" applyProtection="false">
      <alignment horizontal="right" vertical="center" textRotation="0" wrapText="false" indent="0" shrinkToFit="false"/>
      <protection locked="true" hidden="false"/>
    </xf>
    <xf numFmtId="177" fontId="4" fillId="18" borderId="3" xfId="0" applyFont="true" applyBorder="true" applyAlignment="true" applyProtection="false">
      <alignment horizontal="center" vertical="center" textRotation="0" wrapText="false" indent="0" shrinkToFit="false"/>
      <protection locked="true" hidden="false"/>
    </xf>
    <xf numFmtId="189" fontId="40"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70" fontId="48" fillId="0" borderId="0" xfId="0" applyFont="true" applyBorder="false" applyAlignment="true" applyProtection="false">
      <alignment horizontal="general" vertical="bottom" textRotation="0" wrapText="false" indent="0" shrinkToFit="false"/>
      <protection locked="true" hidden="false"/>
    </xf>
    <xf numFmtId="190" fontId="0" fillId="0" borderId="0" xfId="0" applyFont="fals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10"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73" fontId="40"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64" fontId="18" fillId="0" borderId="11" xfId="0" applyFont="true" applyBorder="true" applyAlignment="true" applyProtection="false">
      <alignment horizontal="center" vertical="bottom" textRotation="0" wrapText="false" indent="0" shrinkToFit="false"/>
      <protection locked="true" hidden="false"/>
    </xf>
    <xf numFmtId="164" fontId="25" fillId="19" borderId="0" xfId="0" applyFont="true" applyBorder="false" applyAlignment="true" applyProtection="false">
      <alignment horizontal="general" vertical="bottom" textRotation="0" wrapText="false" indent="0" shrinkToFit="false"/>
      <protection locked="true" hidden="false"/>
    </xf>
    <xf numFmtId="170" fontId="25" fillId="19" borderId="0" xfId="0" applyFont="true" applyBorder="false" applyAlignment="true" applyProtection="false">
      <alignment horizontal="general" vertical="bottom" textRotation="0" wrapText="false" indent="0" shrinkToFit="false"/>
      <protection locked="true" hidden="false"/>
    </xf>
    <xf numFmtId="164" fontId="17" fillId="17" borderId="0" xfId="0" applyFont="true" applyBorder="false" applyAlignment="true" applyProtection="false">
      <alignment horizontal="general" vertical="bottom" textRotation="0" wrapText="false" indent="0" shrinkToFit="false"/>
      <protection locked="true" hidden="false"/>
    </xf>
    <xf numFmtId="170" fontId="17" fillId="17" borderId="0" xfId="0" applyFont="true" applyBorder="false" applyAlignment="true" applyProtection="false">
      <alignment horizontal="general" vertical="bottom" textRotation="0" wrapText="false" indent="0" shrinkToFit="false"/>
      <protection locked="true" hidden="false"/>
    </xf>
    <xf numFmtId="164" fontId="18" fillId="20" borderId="0" xfId="0" applyFont="true" applyBorder="false" applyAlignment="true" applyProtection="false">
      <alignment horizontal="general" vertical="bottom" textRotation="0" wrapText="false" indent="0" shrinkToFit="false"/>
      <protection locked="true" hidden="false"/>
    </xf>
    <xf numFmtId="170" fontId="18" fillId="20" borderId="0" xfId="0" applyFont="true" applyBorder="false" applyAlignment="true" applyProtection="false">
      <alignment horizontal="general" vertical="bottom" textRotation="0" wrapText="false" indent="0" shrinkToFit="false"/>
      <protection locked="true" hidden="false"/>
    </xf>
    <xf numFmtId="164" fontId="10" fillId="0" borderId="10" xfId="0" applyFont="true" applyBorder="true" applyAlignment="true" applyProtection="false">
      <alignment horizontal="general" vertical="bottom" textRotation="0" wrapText="false" indent="0" shrinkToFit="false"/>
      <protection locked="true" hidden="false"/>
    </xf>
    <xf numFmtId="170" fontId="10" fillId="0" borderId="10" xfId="0" applyFont="true" applyBorder="true" applyAlignment="true" applyProtection="false">
      <alignment horizontal="general" vertical="bottom" textRotation="0" wrapText="false" indent="0" shrinkToFit="false"/>
      <protection locked="true" hidden="false"/>
    </xf>
    <xf numFmtId="170" fontId="25" fillId="16" borderId="0" xfId="0" applyFont="true" applyBorder="false" applyAlignment="true" applyProtection="false">
      <alignment horizontal="general" vertical="bottom" textRotation="0" wrapText="false" indent="0" shrinkToFit="false"/>
      <protection locked="true" hidden="false"/>
    </xf>
    <xf numFmtId="164" fontId="17" fillId="20" borderId="0" xfId="0" applyFont="true" applyBorder="false" applyAlignment="true" applyProtection="false">
      <alignment horizontal="general" vertical="bottom" textRotation="0" wrapText="false" indent="0" shrinkToFit="false"/>
      <protection locked="true" hidden="false"/>
    </xf>
    <xf numFmtId="170" fontId="17" fillId="2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51" fillId="20" borderId="0" xfId="0" applyFont="true" applyBorder="false" applyAlignment="true" applyProtection="false">
      <alignment horizontal="general" vertical="bottom" textRotation="0" wrapText="false" indent="0" shrinkToFit="false"/>
      <protection locked="true" hidden="false"/>
    </xf>
    <xf numFmtId="170" fontId="51" fillId="20" borderId="0" xfId="0" applyFont="true" applyBorder="false" applyAlignment="true" applyProtection="false">
      <alignment horizontal="general" vertical="bottom" textRotation="0" wrapText="false" indent="0" shrinkToFit="false"/>
      <protection locked="true" hidden="false"/>
    </xf>
    <xf numFmtId="164" fontId="25" fillId="21" borderId="10" xfId="0" applyFont="true" applyBorder="true" applyAlignment="true" applyProtection="false">
      <alignment horizontal="general" vertical="bottom" textRotation="0" wrapText="false" indent="0" shrinkToFit="false"/>
      <protection locked="true" hidden="false"/>
    </xf>
    <xf numFmtId="170" fontId="25" fillId="21" borderId="10"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21" borderId="0" xfId="0" applyFont="true" applyBorder="false" applyAlignment="true" applyProtection="false">
      <alignment horizontal="general" vertical="bottom" textRotation="0" wrapText="false" indent="0" shrinkToFit="false"/>
      <protection locked="true" hidden="false"/>
    </xf>
    <xf numFmtId="170" fontId="17"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70" fontId="51" fillId="0"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70" fontId="25" fillId="23" borderId="0" xfId="0" applyFont="true" applyBorder="false" applyAlignment="true" applyProtection="false">
      <alignment horizontal="general" vertical="bottom" textRotation="0" wrapText="false" indent="0" shrinkToFit="false"/>
      <protection locked="true" hidden="false"/>
    </xf>
    <xf numFmtId="164" fontId="17" fillId="0" borderId="10" xfId="0" applyFont="true" applyBorder="true" applyAlignment="true" applyProtection="false">
      <alignment horizontal="general" vertical="bottom" textRotation="0" wrapText="false" indent="0" shrinkToFit="false"/>
      <protection locked="true" hidden="false"/>
    </xf>
    <xf numFmtId="170" fontId="17" fillId="0" borderId="10" xfId="0" applyFont="true" applyBorder="true" applyAlignment="true" applyProtection="false">
      <alignment horizontal="general" vertical="bottom" textRotation="0" wrapText="false" indent="0" shrinkToFit="false"/>
      <protection locked="true" hidden="false"/>
    </xf>
    <xf numFmtId="164" fontId="17" fillId="23" borderId="0" xfId="0" applyFont="true" applyBorder="false" applyAlignment="true" applyProtection="false">
      <alignment horizontal="general" vertical="bottom" textRotation="0" wrapText="false" indent="0" shrinkToFit="false"/>
      <protection locked="true" hidden="false"/>
    </xf>
    <xf numFmtId="170" fontId="17" fillId="23"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51" fillId="24" borderId="0" xfId="0" applyFont="true" applyBorder="false" applyAlignment="true" applyProtection="false">
      <alignment horizontal="general" vertical="bottom" textRotation="0" wrapText="false" indent="0" shrinkToFit="false"/>
      <protection locked="true" hidden="false"/>
    </xf>
    <xf numFmtId="170" fontId="51" fillId="24" borderId="0" xfId="0" applyFont="true" applyBorder="false" applyAlignment="tru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7" fontId="25" fillId="3" borderId="0" xfId="0" applyFont="true" applyBorder="false" applyAlignment="true" applyProtection="false">
      <alignment horizontal="center" vertical="center" textRotation="0" wrapText="tru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4" fontId="43" fillId="7" borderId="0" xfId="0" applyFont="true" applyBorder="false" applyAlignment="true" applyProtection="false">
      <alignment horizontal="general" vertical="bottom" textRotation="0" wrapText="false" indent="0" shrinkToFit="false"/>
      <protection locked="true" hidden="false"/>
    </xf>
    <xf numFmtId="164" fontId="55" fillId="0" borderId="0" xfId="0" applyFont="true" applyBorder="false" applyAlignment="true" applyProtection="false">
      <alignment horizontal="general" vertical="bottom" textRotation="0" wrapText="false" indent="0" shrinkToFit="false"/>
      <protection locked="true" hidden="false"/>
    </xf>
    <xf numFmtId="164" fontId="56" fillId="7" borderId="0" xfId="0" applyFont="true" applyBorder="false" applyAlignment="true" applyProtection="false">
      <alignment horizontal="general" vertical="bottom" textRotation="0" wrapText="false" indent="0" shrinkToFit="false"/>
      <protection locked="true" hidden="false"/>
    </xf>
    <xf numFmtId="169" fontId="23" fillId="13" borderId="6" xfId="0" applyFont="true" applyBorder="true" applyAlignment="true" applyProtection="false">
      <alignment horizontal="general" vertical="bottom" textRotation="0" wrapText="false" indent="0" shrinkToFit="false"/>
      <protection locked="true" hidden="false"/>
    </xf>
    <xf numFmtId="172" fontId="31" fillId="13" borderId="6" xfId="0" applyFont="true" applyBorder="true" applyAlignment="true" applyProtection="false">
      <alignment horizontal="center" vertical="bottom" textRotation="0" wrapText="false" indent="0" shrinkToFit="false"/>
      <protection locked="true" hidden="false"/>
    </xf>
    <xf numFmtId="177"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69" fontId="23" fillId="7" borderId="6" xfId="0" applyFont="true" applyBorder="true" applyAlignment="true" applyProtection="false">
      <alignment horizontal="general" vertical="bottom" textRotation="0" wrapText="false" indent="0" shrinkToFit="false"/>
      <protection locked="true" hidden="false"/>
    </xf>
    <xf numFmtId="172" fontId="31" fillId="7" borderId="6" xfId="0" applyFont="true" applyBorder="true" applyAlignment="true" applyProtection="false">
      <alignment horizontal="center" vertical="bottom" textRotation="0" wrapText="false" indent="0" shrinkToFit="false"/>
      <protection locked="true" hidden="false"/>
    </xf>
    <xf numFmtId="177"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7" fillId="0" borderId="0" xfId="0" applyFont="true" applyBorder="false" applyAlignment="true" applyProtection="false">
      <alignment horizontal="general" vertical="bottom" textRotation="0" wrapText="false" indent="0" shrinkToFit="false"/>
      <protection locked="true" hidden="false"/>
    </xf>
    <xf numFmtId="191" fontId="32" fillId="0" borderId="6" xfId="0" applyFont="true" applyBorder="true" applyAlignment="true" applyProtection="false">
      <alignment horizontal="general" vertical="bottom" textRotation="0" wrapText="false" indent="0" shrinkToFit="false"/>
      <protection locked="true" hidden="false"/>
    </xf>
    <xf numFmtId="180" fontId="32" fillId="0" borderId="6" xfId="0" applyFont="true" applyBorder="true" applyAlignment="true" applyProtection="false">
      <alignment horizontal="general" vertical="bottom" textRotation="0" wrapText="false" indent="0" shrinkToFit="false"/>
      <protection locked="true" hidden="false"/>
    </xf>
    <xf numFmtId="177"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1" fontId="31" fillId="0" borderId="0" xfId="0" applyFont="true" applyBorder="false" applyAlignment="true" applyProtection="false">
      <alignment horizontal="general" vertical="bottom" textRotation="0" wrapText="false" indent="0" shrinkToFit="false"/>
      <protection locked="true" hidden="false"/>
    </xf>
    <xf numFmtId="192" fontId="31" fillId="0" borderId="0" xfId="0" applyFont="true" applyBorder="false" applyAlignment="true" applyProtection="false">
      <alignment horizontal="general" vertical="bottom" textRotation="0" wrapText="false" indent="0" shrinkToFit="false"/>
      <protection locked="true" hidden="false"/>
    </xf>
    <xf numFmtId="180" fontId="31" fillId="0" borderId="0" xfId="0" applyFont="true" applyBorder="false" applyAlignment="true" applyProtection="false">
      <alignment horizontal="general" vertical="bottom" textRotation="0" wrapText="false" indent="0" shrinkToFit="false"/>
      <protection locked="true" hidden="false"/>
    </xf>
    <xf numFmtId="164" fontId="56" fillId="0" borderId="0" xfId="0" applyFont="true" applyBorder="false" applyAlignment="true" applyProtection="false">
      <alignment horizontal="general" vertical="center" textRotation="0" wrapText="false" indent="0" shrinkToFit="false"/>
      <protection locked="true" hidden="false"/>
    </xf>
    <xf numFmtId="164" fontId="58" fillId="0" borderId="0" xfId="0" applyFont="true" applyBorder="fals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right" vertical="bottom" textRotation="0" wrapText="false" indent="0" shrinkToFit="false"/>
      <protection locked="true" hidden="false"/>
    </xf>
    <xf numFmtId="164" fontId="56" fillId="0" borderId="0" xfId="0" applyFont="true" applyBorder="false" applyAlignment="true" applyProtection="false">
      <alignment horizontal="general" vertical="bottom" textRotation="0" wrapText="false" indent="0" shrinkToFit="false"/>
      <protection locked="true" hidden="false"/>
    </xf>
    <xf numFmtId="179" fontId="22" fillId="25" borderId="6" xfId="0" applyFont="true" applyBorder="true" applyAlignment="true" applyProtection="false">
      <alignment horizontal="right" vertical="bottom" textRotation="0" wrapText="false" indent="0" shrinkToFit="false"/>
      <protection locked="true" hidden="false"/>
    </xf>
    <xf numFmtId="187" fontId="22" fillId="25" borderId="0" xfId="0" applyFont="true" applyBorder="false" applyAlignment="true" applyProtection="false">
      <alignment horizontal="right" vertical="bottom" textRotation="0" wrapText="false" indent="0" shrinkToFit="false"/>
      <protection locked="true" hidden="false"/>
    </xf>
    <xf numFmtId="187" fontId="22" fillId="25" borderId="6" xfId="0" applyFont="true" applyBorder="tru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7" fontId="32" fillId="7" borderId="6" xfId="0" applyFont="true" applyBorder="true" applyAlignment="true" applyProtection="false">
      <alignment horizontal="right" vertical="bottom" textRotation="0" wrapText="false" indent="0" shrinkToFit="false"/>
      <protection locked="true" hidden="false"/>
    </xf>
    <xf numFmtId="166" fontId="22" fillId="25" borderId="0" xfId="0" applyFont="true" applyBorder="fals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25"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69" fontId="22" fillId="25" borderId="6" xfId="0" applyFont="true" applyBorder="true" applyAlignment="true" applyProtection="false">
      <alignment horizontal="right" vertical="center" textRotation="0" wrapText="false" indent="0" shrinkToFit="false"/>
      <protection locked="true" hidden="false"/>
    </xf>
    <xf numFmtId="169"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78" fontId="22" fillId="25" borderId="6" xfId="0" applyFont="true" applyBorder="true" applyAlignment="true" applyProtection="false">
      <alignment horizontal="right" vertical="center" textRotation="0" wrapText="false" indent="0" shrinkToFit="false"/>
      <protection locked="true" hidden="false"/>
    </xf>
    <xf numFmtId="169" fontId="23" fillId="13" borderId="6" xfId="0" applyFont="true" applyBorder="true" applyAlignment="true" applyProtection="false">
      <alignment horizontal="right" vertical="center" textRotation="0" wrapText="false" indent="0" shrinkToFit="false"/>
      <protection locked="true" hidden="false"/>
    </xf>
    <xf numFmtId="164" fontId="56"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69"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69" fontId="23" fillId="7" borderId="6" xfId="0" applyFont="true" applyBorder="true" applyAlignment="true" applyProtection="false">
      <alignment horizontal="right" vertical="center" textRotation="0" wrapText="false" indent="0" shrinkToFit="false"/>
      <protection locked="true" hidden="false"/>
    </xf>
    <xf numFmtId="164" fontId="56" fillId="7" borderId="6" xfId="0" applyFont="true" applyBorder="true" applyAlignment="true" applyProtection="false">
      <alignment horizontal="left" vertical="center" textRotation="0" wrapText="false" indent="0" shrinkToFit="false"/>
      <protection locked="true" hidden="false"/>
    </xf>
    <xf numFmtId="164" fontId="32" fillId="26" borderId="12" xfId="0" applyFont="true" applyBorder="true" applyAlignment="true" applyProtection="false">
      <alignment horizontal="general" vertical="bottom" textRotation="0" wrapText="false" indent="0" shrinkToFit="false"/>
      <protection locked="true" hidden="false"/>
    </xf>
    <xf numFmtId="169" fontId="32" fillId="26" borderId="12" xfId="0" applyFont="true" applyBorder="true" applyAlignment="true" applyProtection="false">
      <alignment horizontal="right" vertical="bottom" textRotation="0" wrapText="false" indent="0" shrinkToFit="false"/>
      <protection locked="true" hidden="false"/>
    </xf>
    <xf numFmtId="169" fontId="23" fillId="26" borderId="12" xfId="0" applyFont="true" applyBorder="true" applyAlignment="true" applyProtection="false">
      <alignment horizontal="right" vertical="bottom" textRotation="0" wrapText="false" indent="0" shrinkToFit="false"/>
      <protection locked="true" hidden="false"/>
    </xf>
    <xf numFmtId="164" fontId="59"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general" vertical="bottom" textRotation="0" wrapText="false" indent="0" shrinkToFit="false"/>
      <protection locked="true" hidden="false"/>
    </xf>
    <xf numFmtId="164" fontId="61"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top" textRotation="0" wrapText="tru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62" fillId="0" borderId="0" xfId="0" applyFont="true" applyBorder="false" applyAlignment="true" applyProtection="false">
      <alignment horizontal="general" vertical="bottom" textRotation="0" wrapText="false" indent="0" shrinkToFit="false"/>
      <protection locked="true" hidden="false"/>
    </xf>
    <xf numFmtId="164" fontId="63" fillId="0" borderId="0" xfId="0" applyFont="true" applyBorder="false" applyAlignment="true" applyProtection="false">
      <alignment horizontal="general" vertical="bottom" textRotation="0" wrapText="false" indent="0" shrinkToFit="false"/>
      <protection locked="true" hidden="false"/>
    </xf>
    <xf numFmtId="164" fontId="22" fillId="18" borderId="13" xfId="0" applyFont="true" applyBorder="true" applyAlignment="true" applyProtection="false">
      <alignment horizontal="right" vertical="bottom" textRotation="0" wrapText="false" indent="0" shrinkToFit="false"/>
      <protection locked="true" hidden="false"/>
    </xf>
    <xf numFmtId="164" fontId="37" fillId="3" borderId="0" xfId="0" applyFont="true" applyBorder="false" applyAlignment="true" applyProtection="false">
      <alignment horizontal="center" vertical="bottom" textRotation="0" wrapText="false" indent="0" shrinkToFit="false"/>
      <protection locked="true" hidden="false"/>
    </xf>
    <xf numFmtId="164" fontId="31" fillId="0" borderId="13" xfId="0" applyFont="true" applyBorder="true" applyAlignment="true" applyProtection="false">
      <alignment horizontal="general" vertical="bottom" textRotation="0" wrapText="false" indent="0" shrinkToFit="false"/>
      <protection locked="true" hidden="false"/>
    </xf>
    <xf numFmtId="193" fontId="22" fillId="18" borderId="13" xfId="0" applyFont="true" applyBorder="true" applyAlignment="true" applyProtection="false">
      <alignment horizontal="right" vertical="bottom" textRotation="0" wrapText="false" indent="0" shrinkToFit="false"/>
      <protection locked="true" hidden="false"/>
    </xf>
    <xf numFmtId="164" fontId="56" fillId="0" borderId="0" xfId="0" applyFont="true" applyBorder="false" applyAlignment="true" applyProtection="false">
      <alignment horizontal="general" vertical="top" textRotation="0" wrapText="false" indent="0" shrinkToFit="false"/>
      <protection locked="true" hidden="false"/>
    </xf>
    <xf numFmtId="173" fontId="22" fillId="18" borderId="13" xfId="0" applyFont="true" applyBorder="true" applyAlignment="true" applyProtection="false">
      <alignment horizontal="right" vertical="bottom" textRotation="0" wrapText="false" indent="0" shrinkToFit="false"/>
      <protection locked="true" hidden="false"/>
    </xf>
    <xf numFmtId="171" fontId="64" fillId="18" borderId="13" xfId="0" applyFont="true" applyBorder="true" applyAlignment="true" applyProtection="false">
      <alignment horizontal="right" vertical="bottom" textRotation="0" wrapText="false" indent="0" shrinkToFit="false"/>
      <protection locked="true" hidden="false"/>
    </xf>
    <xf numFmtId="168" fontId="22" fillId="18" borderId="13" xfId="0" applyFont="true" applyBorder="true" applyAlignment="true" applyProtection="false">
      <alignment horizontal="right" vertical="bottom" textRotation="0" wrapText="false" indent="0" shrinkToFit="false"/>
      <protection locked="true" hidden="false"/>
    </xf>
    <xf numFmtId="178" fontId="22" fillId="18" borderId="13" xfId="0" applyFont="true" applyBorder="true" applyAlignment="true" applyProtection="false">
      <alignment horizontal="right" vertical="bottom" textRotation="0" wrapText="false" indent="0" shrinkToFit="false"/>
      <protection locked="true" hidden="false"/>
    </xf>
    <xf numFmtId="166" fontId="22" fillId="18" borderId="13" xfId="0" applyFont="true" applyBorder="true" applyAlignment="true" applyProtection="false">
      <alignment horizontal="right"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94" fontId="22" fillId="18" borderId="13" xfId="0" applyFont="true" applyBorder="true" applyAlignment="true" applyProtection="false">
      <alignment horizontal="right" vertical="bottom" textRotation="0" wrapText="false" indent="0" shrinkToFit="false"/>
      <protection locked="true" hidden="false"/>
    </xf>
    <xf numFmtId="177" fontId="22" fillId="18" borderId="13" xfId="0" applyFont="true" applyBorder="true" applyAlignment="true" applyProtection="false">
      <alignment horizontal="right" vertical="bottom" textRotation="0" wrapText="false" indent="0" shrinkToFit="false"/>
      <protection locked="true" hidden="false"/>
    </xf>
    <xf numFmtId="194" fontId="31" fillId="0" borderId="13" xfId="0" applyFont="true" applyBorder="true" applyAlignment="true" applyProtection="false">
      <alignment horizontal="right" vertical="bottom" textRotation="0" wrapText="false" indent="0" shrinkToFit="false"/>
      <protection locked="true" hidden="false"/>
    </xf>
    <xf numFmtId="173" fontId="31" fillId="0" borderId="13" xfId="0" applyFont="true" applyBorder="true" applyAlignment="true" applyProtection="false">
      <alignment horizontal="right" vertical="bottom" textRotation="0" wrapText="false" indent="0" shrinkToFit="false"/>
      <protection locked="true" hidden="false"/>
    </xf>
    <xf numFmtId="164" fontId="22" fillId="18" borderId="13" xfId="0" applyFont="true" applyBorder="true" applyAlignment="true" applyProtection="false">
      <alignment horizontal="general" vertical="bottom" textRotation="0" wrapText="false" indent="0" shrinkToFit="false"/>
      <protection locked="true" hidden="false"/>
    </xf>
    <xf numFmtId="173" fontId="23"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6" fontId="31" fillId="0" borderId="13" xfId="0" applyFont="true" applyBorder="true" applyAlignment="true" applyProtection="false">
      <alignment horizontal="right" vertical="bottom" textRotation="0" wrapText="false" indent="0" shrinkToFit="false"/>
      <protection locked="true" hidden="false"/>
    </xf>
    <xf numFmtId="164" fontId="65" fillId="0" borderId="13" xfId="0" applyFont="true" applyBorder="true" applyAlignment="true" applyProtection="false">
      <alignment horizontal="general" vertical="bottom" textRotation="0" wrapText="false" indent="0" shrinkToFit="false"/>
      <protection locked="true" hidden="false"/>
    </xf>
    <xf numFmtId="173" fontId="66" fillId="0" borderId="13" xfId="0" applyFont="true" applyBorder="true" applyAlignment="true" applyProtection="false">
      <alignment horizontal="right" vertical="bottom" textRotation="0" wrapText="false" indent="0" shrinkToFit="false"/>
      <protection locked="true" hidden="false"/>
    </xf>
    <xf numFmtId="173" fontId="32" fillId="0" borderId="13" xfId="0" applyFont="true" applyBorder="true" applyAlignment="true" applyProtection="false">
      <alignment horizontal="right" vertical="bottom" textRotation="0" wrapText="false" indent="0" shrinkToFit="false"/>
      <protection locked="true" hidden="false"/>
    </xf>
    <xf numFmtId="164" fontId="67" fillId="0" borderId="13" xfId="0" applyFont="true" applyBorder="true" applyAlignment="true" applyProtection="false">
      <alignment horizontal="general" vertical="bottom" textRotation="0" wrapText="false" indent="0" shrinkToFit="false"/>
      <protection locked="true" hidden="false"/>
    </xf>
    <xf numFmtId="164" fontId="23" fillId="0" borderId="13" xfId="0" applyFont="true" applyBorder="true" applyAlignment="true" applyProtection="false">
      <alignment horizontal="general" vertical="bottom" textRotation="0" wrapText="false" indent="0" shrinkToFit="false"/>
      <protection locked="true" hidden="false"/>
    </xf>
    <xf numFmtId="173" fontId="23" fillId="0" borderId="13" xfId="0" applyFont="true" applyBorder="true" applyAlignment="true" applyProtection="false">
      <alignment horizontal="right" vertical="bottom" textRotation="0" wrapText="false" indent="0" shrinkToFit="false"/>
      <protection locked="true" hidden="false"/>
    </xf>
    <xf numFmtId="168" fontId="31" fillId="0" borderId="13" xfId="0" applyFont="true" applyBorder="true" applyAlignment="true" applyProtection="false">
      <alignment horizontal="right" vertical="bottom" textRotation="0" wrapText="false" indent="0" shrinkToFit="false"/>
      <protection locked="true" hidden="false"/>
    </xf>
    <xf numFmtId="164" fontId="62" fillId="0" borderId="13" xfId="0" applyFont="true" applyBorder="true" applyAlignment="true" applyProtection="false">
      <alignment horizontal="general" vertical="bottom" textRotation="0" wrapText="false" indent="0" shrinkToFit="false"/>
      <protection locked="true" hidden="false"/>
    </xf>
    <xf numFmtId="173" fontId="62" fillId="0" borderId="13"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ont>
        <color rgb="FFFFFFFF"/>
      </font>
      <fill>
        <patternFill>
          <bgColor rgb="FFC4581A"/>
        </patternFill>
      </fill>
    </dxf>
    <dxf>
      <font>
        <color rgb="FFFFFFFF"/>
      </font>
      <fill>
        <patternFill>
          <bgColor rgb="FF5E7B9B"/>
        </patternFill>
      </fill>
    </dxf>
  </dxfs>
  <colors>
    <indexedColors>
      <rgbColor rgb="FF000000"/>
      <rgbColor rgb="FFFFFFFF"/>
      <rgbColor rgb="FFFF0000"/>
      <rgbColor rgb="FFF8FAFC"/>
      <rgbColor rgb="FF0000FF"/>
      <rgbColor rgb="FFFDEBD0"/>
      <rgbColor rgb="FFFF00FF"/>
      <rgbColor rgb="FFEAEDF2"/>
      <rgbColor rgb="FF800000"/>
      <rgbColor rgb="FF008000"/>
      <rgbColor rgb="FF2C3A51"/>
      <rgbColor rgb="FF717F4B"/>
      <rgbColor rgb="FF800080"/>
      <rgbColor rgb="FF475569"/>
      <rgbColor rgb="FFBFC7DA"/>
      <rgbColor rgb="FF888888"/>
      <rgbColor rgb="FF8EA3BE"/>
      <rgbColor rgb="FF666666"/>
      <rgbColor rgb="FFFFF8E1"/>
      <rgbColor rgb="FFE2EFDA"/>
      <rgbColor rgb="FF404040"/>
      <rgbColor rgb="FFE2E7F0"/>
      <rgbColor rgb="FF1F4E9A"/>
      <rgbColor rgb="FFB4C6E7"/>
      <rgbColor rgb="FF000080"/>
      <rgbColor rgb="FFFF00FF"/>
      <rgbColor rgb="FFFBE9E0"/>
      <rgbColor rgb="FFF2F2F2"/>
      <rgbColor rgb="FF800080"/>
      <rgbColor rgb="FF800000"/>
      <rgbColor rgb="FF548235"/>
      <rgbColor rgb="FF0000FF"/>
      <rgbColor rgb="FFF5F5F5"/>
      <rgbColor rgb="FFDCE6F1"/>
      <rgbColor rgb="FFD4EDDA"/>
      <rgbColor rgb="FFFFF2CC"/>
      <rgbColor rgb="FFD6E4F0"/>
      <rgbColor rgb="FFF1E4DB"/>
      <rgbColor rgb="FFE0E0E0"/>
      <rgbColor rgb="FFF8D7DA"/>
      <rgbColor rgb="FF2E75B6"/>
      <rgbColor rgb="FFE8ECF2"/>
      <rgbColor rgb="FFE3E8F0"/>
      <rgbColor rgb="FFDDE3ED"/>
      <rgbColor rgb="FFE8ECF1"/>
      <rgbColor rgb="FFC4581A"/>
      <rgbColor rgb="FF5E7B9B"/>
      <rgbColor rgb="FF999999"/>
      <rgbColor rgb="FF17375E"/>
      <rgbColor rgb="FF2E7D32"/>
      <rgbColor rgb="FF0B1833"/>
      <rgbColor rgb="FF2D2D2D"/>
      <rgbColor rgb="FFA84A15"/>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pitchFamily="0" charset="1"/>
        <a:ea typeface=""/>
        <a:cs typeface=""/>
      </a:majorFont>
      <a:minorFont>
        <a:latin typeface="Aptos"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4.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5.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6.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7.vml"/>
</Relationships>
</file>

<file path=xl/worksheets/_rels/sheet25.xml.rels><?xml version="1.0" encoding="UTF-8"?>
<Relationships xmlns="http://schemas.openxmlformats.org/package/2006/relationships"><Relationship Id="rId1" Type="http://schemas.openxmlformats.org/officeDocument/2006/relationships/comments" Target="../comments25.xml"/><Relationship Id="rId2" Type="http://schemas.openxmlformats.org/officeDocument/2006/relationships/vmlDrawing" Target="../drawings/vmlDrawing8.vml"/>
</Relationships>
</file>

<file path=xl/worksheets/_rels/sheet26.xml.rels><?xml version="1.0" encoding="UTF-8"?>
<Relationships xmlns="http://schemas.openxmlformats.org/package/2006/relationships"><Relationship Id="rId1" Type="http://schemas.openxmlformats.org/officeDocument/2006/relationships/comments" Target="../comments26.xml"/><Relationship Id="rId2" Type="http://schemas.openxmlformats.org/officeDocument/2006/relationships/vmlDrawing" Target="../drawings/vmlDrawing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10.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1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1048576"/>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84" activePane="bottomRight" state="frozen"/>
      <selection pane="topLeft" activeCell="A1" activeCellId="0" sqref="A1"/>
      <selection pane="topRight" activeCell="B1" activeCellId="0" sqref="B1"/>
      <selection pane="bottomLeft" activeCell="A284" activeCellId="0" sqref="A284"/>
      <selection pane="bottomRight" activeCell="I445" activeCellId="0" sqref="I445"/>
    </sheetView>
  </sheetViews>
  <sheetFormatPr defaultColWidth="8.7265625" defaultRowHeight="13.5" customHeight="false"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Actuals</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Troost (HVN)</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Moorpark</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Riverton 75</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Acama, Reseda</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Lemp</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Beverly (BD-04), Kester</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ROW(Projects!$B$17:$B$46)&lt;&gt;21)*Assumptions!$B$10/Projects!$D$17:$D$46*0.95)+SUMPRODUCT((Projects!$G$17:$G$46="Yes")*(1=Projects!$C$17:$C$46+Projects!$D$17:$D$46-1)*Projects!$B$17:$B$46*(ROW(Projects!$B$17:$B$46)&lt;&gt;21)*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ROW(Projects!$B$17:$B$46)&lt;&gt;21)*Assumptions!$B$12/Projects!$D$17:$D$46*0.95)+SUMPRODUCT((Projects!$G$17:$G$46="Yes")*(1=Projects!$C$17:$C$46+Projects!$D$17:$D$46-1)*Projects!$B$17:$B$46*(ROW(Projects!$B$17:$B$46)&lt;&gt;21)*Assumptions!$B$12*0.05))+IF(AND(Projects!$G$21="Yes",1&gt;=Projects!$C$21,1&lt;Projects!$C$21+Projects!$D$21),(Projects!$N$21+Projects!$P$21)/Projects!$D$21*0.95,0)+IF(AND(Projects!$G$21="Yes",1=Projects!$C$21+Projects!$D$21-1),(Projects!$N$21+Projects!$P$21)*0.05,0),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ROW(Projects!$B$17:$B$46)&lt;&gt;21)*Assumptions!$B$10/Projects!$D$17:$D$46*0.95)+SUMPRODUCT((Projects!$G$17:$G$46="Yes")*(2=Projects!$C$17:$C$46+Projects!$D$17:$D$46-1)*Projects!$B$17:$B$46*(ROW(Projects!$B$17:$B$46)&lt;&gt;21)*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ROW(Projects!$B$17:$B$46)&lt;&gt;21)*Assumptions!$B$12/Projects!$D$17:$D$46*0.95)+SUMPRODUCT((Projects!$G$17:$G$46="Yes")*(2=Projects!$C$17:$C$46+Projects!$D$17:$D$46-1)*Projects!$B$17:$B$46*(ROW(Projects!$B$17:$B$46)&lt;&gt;21)*Assumptions!$B$12*0.05)+IF(AND(Projects!$G$21="Yes",2&gt;=Projects!$C$21,2&lt;Projects!$C$21+Projects!$D$21),(Projects!$N$21+Projects!$P$21)/Projects!$D$21*0.95,0)+IF(AND(Projects!$G$21="Yes",2=Projects!$C$21+Projects!$D$21-1),(Projects!$N$21+Projects!$P$21)*0.05,0),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ROW(Projects!$B$17:$B$46)&lt;&gt;21)*Assumptions!$B$10/Projects!$D$17:$D$46*0.95)+SUMPRODUCT((Projects!$G$17:$G$46="Yes")*(3=Projects!$C$17:$C$46+Projects!$D$17:$D$46-1)*Projects!$B$17:$B$46*(ROW(Projects!$B$17:$B$46)&lt;&gt;21)*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ROW(Projects!$B$17:$B$46)&lt;&gt;21)*Assumptions!$B$12/Projects!$D$17:$D$46*0.95)+SUMPRODUCT((Projects!$G$17:$G$46="Yes")*(3=Projects!$C$17:$C$46+Projects!$D$17:$D$46-1)*Projects!$B$17:$B$46*(ROW(Projects!$B$17:$B$46)&lt;&gt;21)*Assumptions!$B$12*0.05)+IF(AND(Projects!$G$21="Yes",3&gt;=Projects!$C$21,3&lt;Projects!$C$21+Projects!$D$21),(Projects!$N$21+Projects!$P$21)/Projects!$D$21*0.95,0)+IF(AND(Projects!$G$21="Yes",3=Projects!$C$21+Projects!$D$21-1),(Projects!$N$21+Projects!$P$21)*0.05,0),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ROW(Projects!$B$17:$B$46)&lt;&gt;21)*Assumptions!$B$10/Projects!$D$17:$D$46*0.95)+SUMPRODUCT((Projects!$G$17:$G$46="Yes")*(4=Projects!$C$17:$C$46+Projects!$D$17:$D$46-1)*Projects!$B$17:$B$46*(ROW(Projects!$B$17:$B$46)&lt;&gt;21)*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ROW(Projects!$B$17:$B$46)&lt;&gt;21)*Assumptions!$B$12/Projects!$D$17:$D$46*0.95)+SUMPRODUCT((Projects!$G$17:$G$46="Yes")*(4=Projects!$C$17:$C$46+Projects!$D$17:$D$46-1)*Projects!$B$17:$B$46*(ROW(Projects!$B$17:$B$46)&lt;&gt;21)*Assumptions!$B$12*0.05)+IF(AND(Projects!$G$21="Yes",4&gt;=Projects!$C$21,4&lt;Projects!$C$21+Projects!$D$21),(Projects!$N$21+Projects!$P$21)/Projects!$D$21*0.95,0)+IF(AND(Projects!$G$21="Yes",4=Projects!$C$21+Projects!$D$21-1),(Projects!$N$21+Projects!$P$21)*0.05,0),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ROW(Projects!$B$17:$B$46)&lt;&gt;21)*Assumptions!$B$10/Projects!$D$17:$D$46*0.95)+SUMPRODUCT((Projects!$G$17:$G$46="Yes")*(5=Projects!$C$17:$C$46+Projects!$D$17:$D$46-1)*Projects!$B$17:$B$46*(ROW(Projects!$B$17:$B$46)&lt;&gt;21)*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ROW(Projects!$B$17:$B$46)&lt;&gt;21)*Assumptions!$B$12/Projects!$D$17:$D$46*0.95)+SUMPRODUCT((Projects!$G$17:$G$46="Yes")*(5=Projects!$C$17:$C$46+Projects!$D$17:$D$46-1)*Projects!$B$17:$B$46*(ROW(Projects!$B$17:$B$46)&lt;&gt;21)*Assumptions!$B$12*0.05)+178042.52+24920.93+IF(AND(Projects!$G$21="Yes",5&gt;=Projects!$C$21,5&lt;Projects!$C$21+Projects!$D$21),(Projects!$N$21+Projects!$P$21)/Projects!$D$21*0.95,0)+IF(AND(Projects!$G$21="Yes",5=Projects!$C$21+Projects!$D$21-1),(Projects!$N$21+Projects!$P$21)*0.05,0),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ROW(Projects!$B$17:$B$46)&lt;&gt;21)*Assumptions!$B$10/Projects!$D$17:$D$46*0.95)+SUMPRODUCT((Projects!$G$17:$G$46="Yes")*(6=Projects!$C$17:$C$46+Projects!$D$17:$D$46-1)*Projects!$B$17:$B$46*(ROW(Projects!$B$17:$B$46)&lt;&gt;21)*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ROW(Projects!$B$17:$B$46)&lt;&gt;21)*Assumptions!$B$12/Projects!$D$17:$D$46*0.95)+SUMPRODUCT((Projects!$G$17:$G$46="Yes")*(6=Projects!$C$17:$C$46+Projects!$D$17:$D$46-1)*Projects!$B$17:$B$46*(ROW(Projects!$B$17:$B$46)&lt;&gt;21)*Assumptions!$B$12*0.05)+194677.56+59181.05+IF(AND(Projects!$G$21="Yes",6&gt;=Projects!$C$21,6&lt;Projects!$C$21+Projects!$D$21),(Projects!$N$21+Projects!$P$21)/Projects!$D$21*0.95,0)+IF(AND(Projects!$G$21="Yes",6=Projects!$C$21+Projects!$D$21-1),(Projects!$N$21+Projects!$P$21)*0.05,0),Actuals!K8)</f>
        <v>424100.15</v>
      </c>
      <c r="K10" s="13" t="n">
        <f aca="false">IF(ISBLANK(Actuals!L8),0*Curves!H$6/SUM(Curves!$E$6:$I$6)+0*Curves!H$7/SUM(Curves!$E$7:$Q$7)+0*Curves!H$8/SUM(Curves!$E$8:$P$8)+0*Curves!H$9/SUM(Curves!$E$9:$P$9)+0*Curves!H$4/SUM(Curves!$E$4:$T$4)+SUMPRODUCT((Projects!$G$10:$G$14="Yes")*(7&gt;=Projects!$C$10:$C$14)*(7&lt;Projects!$C$10:$C$14+Projects!$D$10:$D$14)*Projects!$B$10:$B$14*Assumptions!$B$10/Projects!$D$10:$D$14*0.95)+SUMPRODUCT((Projects!$G$10:$G$14="Yes")*(7=Projects!$C$10:$C$14+Projects!$D$10:$D$14-1)*Projects!$B$10:$B$14*Assumptions!$B$10*0.05)+SUMPRODUCT((Projects!$G$17:$G$46="Yes")*(7&gt;=Projects!$C$17:$C$46)*(7&lt;Projects!$C$17:$C$46+Projects!$D$17:$D$46)*Projects!$B$17:$B$46*(ROW(Projects!$B$17:$B$46)&lt;&gt;21)*Assumptions!$B$10/Projects!$D$17:$D$46*0.95)+SUMPRODUCT((Projects!$G$17:$G$46="Yes")*(7=Projects!$C$17:$C$46+Projects!$D$17:$D$46-1)*Projects!$B$17:$B$46*(ROW(Projects!$B$17:$B$46)&lt;&gt;21)*Assumptions!$B$10*0.05)+SUMPRODUCT((Projects!$G$10:$G$14="Yes")*(7&gt;=Projects!$C$10:$C$14)*(7&lt;Projects!$C$10:$C$14+Projects!$D$10:$D$14)*Projects!$B$10:$B$14*Assumptions!$B$12/Projects!$D$10:$D$14*0.95)+SUMPRODUCT((Projects!$G$10:$G$14="Yes")*(7=Projects!$C$10:$C$14+Projects!$D$10:$D$14-1)*Projects!$B$10:$B$14*Assumptions!$B$12*0.05)+SUMPRODUCT((Projects!$G$17:$G$46="Yes")*(7&gt;=Projects!$C$17:$C$46)*(7&lt;Projects!$C$17:$C$46+Projects!$D$17:$D$46)*Projects!$B$17:$B$46*(ROW(Projects!$B$17:$B$46)&lt;&gt;21)*Assumptions!$B$12/Projects!$D$17:$D$46*0.95)+SUMPRODUCT((Projects!$G$17:$G$46="Yes")*(7=Projects!$C$17:$C$46+Projects!$D$17:$D$46-1)*Projects!$B$17:$B$46*(ROW(Projects!$B$17:$B$46)&lt;&gt;21)*Assumptions!$B$12*0.05)+391813.35+0+IF(AND(Projects!$G$21="Yes",7&gt;=Projects!$C$21,7&lt;Projects!$C$21+Projects!$D$21),(Projects!$N$21+Projects!$P$21)/Projects!$D$21*0.95,0)+IF(AND(Projects!$G$21="Yes",7=Projects!$C$21+Projects!$D$21-1),(Projects!$N$21+Projects!$P$21)*0.05,0),Actuals!L8)</f>
        <v>391813.35</v>
      </c>
      <c r="L10" s="13" t="n">
        <f aca="false">IF(ISBLANK(Actuals!M8),0*Curves!I$6/SUM(Curves!$E$6:$I$6)+0*Curves!I$7/SUM(Curves!$E$7:$Q$7)+0*Curves!I$8/SUM(Curves!$E$8:$P$8)+0*Curves!I$9/SUM(Curves!$E$9:$P$9)+0*Curves!I$4/SUM(Curves!$E$4:$T$4)+SUMPRODUCT((Projects!$G$10:$G$14="Yes")*(8&gt;=Projects!$C$10:$C$14)*(8&lt;Projects!$C$10:$C$14+Projects!$D$10:$D$14)*Projects!$B$10:$B$14*Assumptions!$B$10/Projects!$D$10:$D$14*0.95)+SUMPRODUCT((Projects!$G$10:$G$14="Yes")*(8=Projects!$C$10:$C$14+Projects!$D$10:$D$14-1)*Projects!$B$10:$B$14*Assumptions!$B$10*0.05)+SUMPRODUCT((Projects!$G$17:$G$46="Yes")*(8&gt;=Projects!$C$17:$C$46)*(8&lt;Projects!$C$17:$C$46+Projects!$D$17:$D$46)*Projects!$B$17:$B$46*(ROW(Projects!$B$17:$B$46)&lt;&gt;21)*Assumptions!$B$10/Projects!$D$17:$D$46*0.95)+SUMPRODUCT((Projects!$G$17:$G$46="Yes")*(8=Projects!$C$17:$C$46+Projects!$D$17:$D$46-1)*Projects!$B$17:$B$46*(ROW(Projects!$B$17:$B$46)&lt;&gt;21)*Assumptions!$B$10*0.05)+SUMPRODUCT((Projects!$G$10:$G$14="Yes")*(8&gt;=Projects!$C$10:$C$14)*(8&lt;Projects!$C$10:$C$14+Projects!$D$10:$D$14)*Projects!$B$10:$B$14*Assumptions!$B$12/Projects!$D$10:$D$14*0.95)+SUMPRODUCT((Projects!$G$10:$G$14="Yes")*(8=Projects!$C$10:$C$14+Projects!$D$10:$D$14-1)*Projects!$B$10:$B$14*Assumptions!$B$12*0.05)+SUMPRODUCT((Projects!$G$17:$G$46="Yes")*(8&gt;=Projects!$C$17:$C$46)*(8&lt;Projects!$C$17:$C$46+Projects!$D$17:$D$46)*Projects!$B$17:$B$46*(ROW(Projects!$B$17:$B$46)&lt;&gt;21)*Assumptions!$B$12/Projects!$D$17:$D$46*0.95)+SUMPRODUCT((Projects!$G$17:$G$46="Yes")*(8=Projects!$C$17:$C$46+Projects!$D$17:$D$46-1)*Projects!$B$17:$B$46*(ROW(Projects!$B$17:$B$46)&lt;&gt;21)*Assumptions!$B$12*0.05)+320717.65+0+IF(AND(Projects!$G$21="Yes",8&gt;=Projects!$C$21,8&lt;Projects!$C$21+Projects!$D$21),(Projects!$N$21+Projects!$P$21)/Projects!$D$21*0.95,0)+IF(AND(Projects!$G$21="Yes",8=Projects!$C$21+Projects!$D$21-1),(Projects!$N$21+Projects!$P$21)*0.05,0),Actuals!M8)</f>
        <v>320717.65</v>
      </c>
      <c r="M10" s="13" t="n">
        <f aca="false">IF(ISBLANK(Actuals!N8),0*Curves!J$7/SUM(Curves!$E$7:$Q$7)+0*Curves!J$8/SUM(Curves!$E$8:$P$8)+0*Curves!J$9/SUM(Curves!$E$9:$P$9)+0*Curves!J$4/SUM(Curves!$E$4:$T$4)+SUMPRODUCT((Projects!$G$10:$G$14="Yes")*(9&gt;=Projects!$C$10:$C$14)*(9&lt;Projects!$C$10:$C$14+Projects!$D$10:$D$14)*Projects!$B$10:$B$14*Assumptions!$B$10/Projects!$D$10:$D$14*0.95)+SUMPRODUCT((Projects!$G$10:$G$14="Yes")*(9=Projects!$C$10:$C$14+Projects!$D$10:$D$14-1)*Projects!$B$10:$B$14*Assumptions!$B$10*0.05)+SUMPRODUCT((Projects!$G$17:$G$46="Yes")*(9&gt;=Projects!$C$17:$C$46)*(9&lt;Projects!$C$17:$C$46+Projects!$D$17:$D$46)*Projects!$B$17:$B$46*(ROW(Projects!$B$17:$B$46)&lt;&gt;21)*Assumptions!$B$10/Projects!$D$17:$D$46*0.95)+SUMPRODUCT((Projects!$G$17:$G$46="Yes")*(9=Projects!$C$17:$C$46+Projects!$D$17:$D$46-1)*Projects!$B$17:$B$46*(ROW(Projects!$B$17:$B$46)&lt;&gt;21)*Assumptions!$B$10*0.05)+SUMPRODUCT((Projects!$G$10:$G$14="Yes")*(9&gt;=Projects!$C$10:$C$14)*(9&lt;Projects!$C$10:$C$14+Projects!$D$10:$D$14)*Projects!$B$10:$B$14*Assumptions!$B$12/Projects!$D$10:$D$14*0.95)+SUMPRODUCT((Projects!$G$10:$G$14="Yes")*(9=Projects!$C$10:$C$14+Projects!$D$10:$D$14-1)*Projects!$B$10:$B$14*Assumptions!$B$12*0.05)+SUMPRODUCT((Projects!$G$17:$G$46="Yes")*(9&gt;=Projects!$C$17:$C$46)*(9&lt;Projects!$C$17:$C$46+Projects!$D$17:$D$46)*Projects!$B$17:$B$46*(ROW(Projects!$B$17:$B$46)&lt;&gt;21)*Assumptions!$B$12/Projects!$D$17:$D$46*0.95)+SUMPRODUCT((Projects!$G$17:$G$46="Yes")*(9=Projects!$C$17:$C$46+Projects!$D$17:$D$46-1)*Projects!$B$17:$B$46*(ROW(Projects!$B$17:$B$46)&lt;&gt;21)*Assumptions!$B$12*0.05)+298647.02+0+IF(AND(Projects!$G$21="Yes",9&gt;=Projects!$C$21,9&lt;Projects!$C$21+Projects!$D$21),(Projects!$N$21+Projects!$P$21)/Projects!$D$21*0.95,0)+IF(AND(Projects!$G$21="Yes",9=Projects!$C$21+Projects!$D$21-1),(Projects!$N$21+Projects!$P$21)*0.05,0),Actuals!N8)</f>
        <v>342387.7275</v>
      </c>
      <c r="N10" s="13" t="n">
        <f aca="false">IF(ISBLANK(Actuals!O8),0*Curves!K$7/SUM(Curves!$E$7:$Q$7)+0*Curves!K$8/SUM(Curves!$E$8:$P$8)+0*Curves!K$9/SUM(Curves!$E$9:$P$9)+0*Curves!K$4/SUM(Curves!$E$4:$T$4)+SUMPRODUCT((Projects!$G$10:$G$14="Yes")*(10&gt;=Projects!$C$10:$C$14)*(10&lt;Projects!$C$10:$C$14+Projects!$D$10:$D$14)*Projects!$B$10:$B$14*Assumptions!$B$10/Projects!$D$10:$D$14*0.95)+SUMPRODUCT((Projects!$G$10:$G$14="Yes")*(10=Projects!$C$10:$C$14+Projects!$D$10:$D$14-1)*Projects!$B$10:$B$14*Assumptions!$B$10*0.05)+SUMPRODUCT((Projects!$G$17:$G$46="Yes")*(10&gt;=Projects!$C$17:$C$46)*(10&lt;Projects!$C$17:$C$46+Projects!$D$17:$D$46)*Projects!$B$17:$B$46*(ROW(Projects!$B$17:$B$46)&lt;&gt;21)*Assumptions!$B$10/Projects!$D$17:$D$46*0.95)+SUMPRODUCT((Projects!$G$17:$G$46="Yes")*(10=Projects!$C$17:$C$46+Projects!$D$17:$D$46-1)*Projects!$B$17:$B$46*(ROW(Projects!$B$17:$B$46)&lt;&gt;21)*Assumptions!$B$10*0.05)+SUMPRODUCT((Projects!$G$10:$G$14="Yes")*(10&gt;=Projects!$C$10:$C$14)*(10&lt;Projects!$C$10:$C$14+Projects!$D$10:$D$14)*Projects!$B$10:$B$14*Assumptions!$B$12/Projects!$D$10:$D$14*0.95)+SUMPRODUCT((Projects!$G$10:$G$14="Yes")*(10=Projects!$C$10:$C$14+Projects!$D$10:$D$14-1)*Projects!$B$10:$B$14*Assumptions!$B$12*0.05)+SUMPRODUCT((Projects!$G$17:$G$46="Yes")*(10&gt;=Projects!$C$17:$C$46)*(10&lt;Projects!$C$17:$C$46+Projects!$D$17:$D$46)*Projects!$B$17:$B$46*(ROW(Projects!$B$17:$B$46)&lt;&gt;21)*Assumptions!$B$12/Projects!$D$17:$D$46*0.95)+SUMPRODUCT((Projects!$G$17:$G$46="Yes")*(10=Projects!$C$17:$C$46+Projects!$D$17:$D$46-1)*Projects!$B$17:$B$46*(ROW(Projects!$B$17:$B$46)&lt;&gt;21)*Assumptions!$B$12*0.05)+343612+0+IF(AND(Projects!$G$21="Yes",10&gt;=Projects!$C$21,10&lt;Projects!$C$21+Projects!$D$21),(Projects!$N$21+Projects!$P$21)/Projects!$D$21*0.95,0)+IF(AND(Projects!$G$21="Yes",10=Projects!$C$21+Projects!$D$21-1),(Projects!$N$21+Projects!$P$21)*0.05,0),Actuals!O8)</f>
        <v>413306.31951925</v>
      </c>
      <c r="O10" s="13" t="n">
        <f aca="false">IF(ISBLANK(Actuals!P8),0*Curves!L$7/SUM(Curves!$E$7:$Q$7)+0*Curves!L$8/SUM(Curves!$E$8:$P$8)+0*Curves!L$9/SUM(Curves!$E$9:$P$9)+0*Curves!L$4/SUM(Curves!$E$4:$T$4)+SUMPRODUCT((Projects!$G$10:$G$14="Yes")*(11&gt;=Projects!$C$10:$C$14)*(11&lt;Projects!$C$10:$C$14+Projects!$D$10:$D$14)*Projects!$B$10:$B$14*Assumptions!$B$10/Projects!$D$10:$D$14*0.95)+SUMPRODUCT((Projects!$G$10:$G$14="Yes")*(11=Projects!$C$10:$C$14+Projects!$D$10:$D$14-1)*Projects!$B$10:$B$14*Assumptions!$B$10*0.05)+SUMPRODUCT((Projects!$G$17:$G$46="Yes")*(11&gt;=Projects!$C$17:$C$46)*(11&lt;Projects!$C$17:$C$46+Projects!$D$17:$D$46)*Projects!$B$17:$B$46*(ROW(Projects!$B$17:$B$46)&lt;&gt;21)*Assumptions!$B$10/Projects!$D$17:$D$46*0.95)+SUMPRODUCT((Projects!$G$17:$G$46="Yes")*(11=Projects!$C$17:$C$46+Projects!$D$17:$D$46-1)*Projects!$B$17:$B$46*(ROW(Projects!$B$17:$B$46)&lt;&gt;21)*Assumptions!$B$10*0.05)+SUMPRODUCT((Projects!$G$10:$G$14="Yes")*(11&gt;=Projects!$C$10:$C$14)*(11&lt;Projects!$C$10:$C$14+Projects!$D$10:$D$14)*Projects!$B$10:$B$14*Assumptions!$B$12/Projects!$D$10:$D$14*0.95)+SUMPRODUCT((Projects!$G$10:$G$14="Yes")*(11=Projects!$C$10:$C$14+Projects!$D$10:$D$14-1)*Projects!$B$10:$B$14*Assumptions!$B$12*0.05)+SUMPRODUCT((Projects!$G$17:$G$46="Yes")*(11&gt;=Projects!$C$17:$C$46)*(11&lt;Projects!$C$17:$C$46+Projects!$D$17:$D$46)*Projects!$B$17:$B$46*(ROW(Projects!$B$17:$B$46)&lt;&gt;21)*Assumptions!$B$12/Projects!$D$17:$D$46*0.95)+SUMPRODUCT((Projects!$G$17:$G$46="Yes")*(11=Projects!$C$17:$C$46+Projects!$D$17:$D$46-1)*Projects!$B$17:$B$46*(ROW(Projects!$B$17:$B$46)&lt;&gt;21)*Assumptions!$B$12*0.05)+320954.45+0+IF(AND(Projects!$G$21="Yes",11&gt;=Projects!$C$21,11&lt;Projects!$C$21+Projects!$D$21),(Projects!$N$21+Projects!$P$21)/Projects!$D$21*0.95,0)+IF(AND(Projects!$G$21="Yes",11=Projects!$C$21+Projects!$D$21-1),(Projects!$N$21+Projects!$P$21)*0.05,0),Actuals!P8)</f>
        <v>423591.630202</v>
      </c>
      <c r="P10" s="13" t="n">
        <f aca="false">IF(ISBLANK(Actuals!Q8),0*Curves!M$7/SUM(Curves!$E$7:$Q$7)+0*Curves!M$8/SUM(Curves!$E$8:$P$8)+0*Curves!M$9/SUM(Curves!$E$9:$P$9)+0*Curves!M$4/SUM(Curves!$E$4:$T$4)+SUMPRODUCT((Projects!$G$10:$G$14="Yes")*(12&gt;=Projects!$C$10:$C$14)*(12&lt;Projects!$C$10:$C$14+Projects!$D$10:$D$14)*Projects!$B$10:$B$14*Assumptions!$B$10/Projects!$D$10:$D$14*0.95)+SUMPRODUCT((Projects!$G$10:$G$14="Yes")*(12=Projects!$C$10:$C$14+Projects!$D$10:$D$14-1)*Projects!$B$10:$B$14*Assumptions!$B$10*0.05)+SUMPRODUCT((Projects!$G$17:$G$46="Yes")*(12&gt;=Projects!$C$17:$C$46)*(12&lt;Projects!$C$17:$C$46+Projects!$D$17:$D$46)*Projects!$B$17:$B$46*(ROW(Projects!$B$17:$B$46)&lt;&gt;21)*Assumptions!$B$10/Projects!$D$17:$D$46*0.95)+SUMPRODUCT((Projects!$G$17:$G$46="Yes")*(12=Projects!$C$17:$C$46+Projects!$D$17:$D$46-1)*Projects!$B$17:$B$46*(ROW(Projects!$B$17:$B$46)&lt;&gt;21)*Assumptions!$B$10*0.05)+SUMPRODUCT((Projects!$G$10:$G$14="Yes")*(12&gt;=Projects!$C$10:$C$14)*(12&lt;Projects!$C$10:$C$14+Projects!$D$10:$D$14)*Projects!$B$10:$B$14*Assumptions!$B$12/Projects!$D$10:$D$14*0.95)+SUMPRODUCT((Projects!$G$10:$G$14="Yes")*(12=Projects!$C$10:$C$14+Projects!$D$10:$D$14-1)*Projects!$B$10:$B$14*Assumptions!$B$12*0.05)+SUMPRODUCT((Projects!$G$17:$G$46="Yes")*(12&gt;=Projects!$C$17:$C$46)*(12&lt;Projects!$C$17:$C$46+Projects!$D$17:$D$46)*Projects!$B$17:$B$46*(ROW(Projects!$B$17:$B$46)&lt;&gt;21)*Assumptions!$B$12/Projects!$D$17:$D$46*0.95)+SUMPRODUCT((Projects!$G$17:$G$46="Yes")*(12=Projects!$C$17:$C$46+Projects!$D$17:$D$46-1)*Projects!$B$17:$B$46*(ROW(Projects!$B$17:$B$46)&lt;&gt;21)*Assumptions!$B$12*0.05)+340713.45+0+IF(AND(Projects!$G$21="Yes",12&gt;=Projects!$C$21,12&lt;Projects!$C$21+Projects!$D$21),(Projects!$N$21+Projects!$P$21)/Projects!$D$21*0.95,0)+IF(AND(Projects!$G$21="Yes",12=Projects!$C$21+Projects!$D$21-1),(Projects!$N$21+Projects!$P$21)*0.05,0),Actuals!Q8)</f>
        <v>443350.630202</v>
      </c>
      <c r="Q10" s="13" t="n">
        <f aca="false">IF(ISBLANK(Actuals!R8),0*Curves!N$7/SUM(Curves!$E$7:$Q$7)+0*Curves!N$8/SUM(Curves!$E$8:$P$8)+0*Curves!N$9/SUM(Curves!$E$9:$P$9)+0*Curves!N$4/SUM(Curves!$E$4:$T$4)+SUMPRODUCT((Projects!$G$10:$G$14="Yes")*(13&gt;=Projects!$C$10:$C$14)*(13&lt;Projects!$C$10:$C$14+Projects!$D$10:$D$14)*Projects!$B$10:$B$14*Assumptions!$B$10/Projects!$D$10:$D$14*0.95)+SUMPRODUCT((Projects!$G$10:$G$14="Yes")*(13=Projects!$C$10:$C$14+Projects!$D$10:$D$14-1)*Projects!$B$10:$B$14*Assumptions!$B$10*0.05)+SUMPRODUCT((Projects!$G$17:$G$46="Yes")*(13&gt;=Projects!$C$17:$C$46)*(13&lt;Projects!$C$17:$C$46+Projects!$D$17:$D$46)*Projects!$B$17:$B$46*(ROW(Projects!$B$17:$B$46)&lt;&gt;21)*Assumptions!$B$10/Projects!$D$17:$D$46*0.95)+SUMPRODUCT((Projects!$G$17:$G$46="Yes")*(13=Projects!$C$17:$C$46+Projects!$D$17:$D$46-1)*Projects!$B$17:$B$46*(ROW(Projects!$B$17:$B$46)&lt;&gt;21)*Assumptions!$B$10*0.05)+SUMPRODUCT((Projects!$G$10:$G$14="Yes")*(13&gt;=Projects!$C$10:$C$14)*(13&lt;Projects!$C$10:$C$14+Projects!$D$10:$D$14)*Projects!$B$10:$B$14*Assumptions!$B$12/Projects!$D$10:$D$14*0.95)+SUMPRODUCT((Projects!$G$10:$G$14="Yes")*(13=Projects!$C$10:$C$14+Projects!$D$10:$D$14-1)*Projects!$B$10:$B$14*Assumptions!$B$12*0.05)+SUMPRODUCT((Projects!$G$17:$G$46="Yes")*(13&gt;=Projects!$C$17:$C$46)*(13&lt;Projects!$C$17:$C$46+Projects!$D$17:$D$46)*Projects!$B$17:$B$46*(ROW(Projects!$B$17:$B$46)&lt;&gt;21)*Assumptions!$B$12/Projects!$D$17:$D$46*0.95)+SUMPRODUCT((Projects!$G$17:$G$46="Yes")*(13=Projects!$C$17:$C$46+Projects!$D$17:$D$46-1)*Projects!$B$17:$B$46*(ROW(Projects!$B$17:$B$46)&lt;&gt;21)*Assumptions!$B$12*0.05)+320062.56+0+IF(AND(Projects!$G$21="Yes",13&gt;=Projects!$C$21,13&lt;Projects!$C$21+Projects!$D$21),(Projects!$N$21+Projects!$P$21)/Projects!$D$21*0.95,0)+IF(AND(Projects!$G$21="Yes",13=Projects!$C$21+Projects!$D$21-1),(Projects!$N$21+Projects!$P$21)*0.05,0),Actuals!R8)</f>
        <v>490831.081525403</v>
      </c>
      <c r="R10" s="13" t="n">
        <f aca="false">IF(ISBLANK(Actuals!S8),0*Curves!O$7/SUM(Curves!$E$7:$Q$7)+0*Curves!O$8/SUM(Curves!$E$8:$P$8)+0*Curves!O$9/SUM(Curves!$E$9:$P$9)+0*Curves!O$4/SUM(Curves!$E$4:$T$4)+SUMPRODUCT((Projects!$G$10:$G$14="Yes")*(14&gt;=Projects!$C$10:$C$14)*(14&lt;Projects!$C$10:$C$14+Projects!$D$10:$D$14)*Projects!$B$10:$B$14*Assumptions!$B$10/Projects!$D$10:$D$14*0.95)+SUMPRODUCT((Projects!$G$10:$G$14="Yes")*(14=Projects!$C$10:$C$14+Projects!$D$10:$D$14-1)*Projects!$B$10:$B$14*Assumptions!$B$10*0.05)+SUMPRODUCT((Projects!$G$17:$G$46="Yes")*(14&gt;=Projects!$C$17:$C$46)*(14&lt;Projects!$C$17:$C$46+Projects!$D$17:$D$46)*Projects!$B$17:$B$46*(ROW(Projects!$B$17:$B$46)&lt;&gt;21)*Assumptions!$B$10/Projects!$D$17:$D$46*0.95)+SUMPRODUCT((Projects!$G$17:$G$46="Yes")*(14=Projects!$C$17:$C$46+Projects!$D$17:$D$46-1)*Projects!$B$17:$B$46*(ROW(Projects!$B$17:$B$46)&lt;&gt;21)*Assumptions!$B$10*0.05)+SUMPRODUCT((Projects!$G$10:$G$14="Yes")*(14&gt;=Projects!$C$10:$C$14)*(14&lt;Projects!$C$10:$C$14+Projects!$D$10:$D$14)*Projects!$B$10:$B$14*Assumptions!$B$12/Projects!$D$10:$D$14*0.95)+SUMPRODUCT((Projects!$G$10:$G$14="Yes")*(14=Projects!$C$10:$C$14+Projects!$D$10:$D$14-1)*Projects!$B$10:$B$14*Assumptions!$B$12*0.05)+SUMPRODUCT((Projects!$G$17:$G$46="Yes")*(14&gt;=Projects!$C$17:$C$46)*(14&lt;Projects!$C$17:$C$46+Projects!$D$17:$D$46)*Projects!$B$17:$B$46*(ROW(Projects!$B$17:$B$46)&lt;&gt;21)*Assumptions!$B$12/Projects!$D$17:$D$46*0.95)+SUMPRODUCT((Projects!$G$17:$G$46="Yes")*(14=Projects!$C$17:$C$46+Projects!$D$17:$D$46-1)*Projects!$B$17:$B$46*(ROW(Projects!$B$17:$B$46)&lt;&gt;21)*Assumptions!$B$12*0.05)+304921.91+0+IF(AND(Projects!$G$21="Yes",14&gt;=Projects!$C$21,14&lt;Projects!$C$21+Projects!$D$21),(Projects!$N$21+Projects!$P$21)/Projects!$D$21*0.95,0)+IF(AND(Projects!$G$21="Yes",14=Projects!$C$21+Projects!$D$21-1),(Projects!$N$21+Projects!$P$21)*0.05,0),Actuals!S8)</f>
        <v>515376.770734153</v>
      </c>
      <c r="S10" s="13" t="n">
        <f aca="false">IF(ISBLANK(Actuals!T8),0*Curves!P$7/SUM(Curves!$E$7:$Q$7)+0*Curves!P$8/SUM(Curves!$E$8:$P$8)+0*Curves!P$9/SUM(Curves!$E$9:$P$9)+0*Curves!P$4/SUM(Curves!$E$4:$T$4)+SUMPRODUCT((Projects!$G$10:$G$14="Yes")*(15&gt;=Projects!$C$10:$C$14)*(15&lt;Projects!$C$10:$C$14+Projects!$D$10:$D$14)*Projects!$B$10:$B$14*Assumptions!$B$10/Projects!$D$10:$D$14*0.95)+SUMPRODUCT((Projects!$G$10:$G$14="Yes")*(15=Projects!$C$10:$C$14+Projects!$D$10:$D$14-1)*Projects!$B$10:$B$14*Assumptions!$B$10*0.05)+SUMPRODUCT((Projects!$G$17:$G$46="Yes")*(15&gt;=Projects!$C$17:$C$46)*(15&lt;Projects!$C$17:$C$46+Projects!$D$17:$D$46)*Projects!$B$17:$B$46*(ROW(Projects!$B$17:$B$46)&lt;&gt;21)*Assumptions!$B$10/Projects!$D$17:$D$46*0.95)+SUMPRODUCT((Projects!$G$17:$G$46="Yes")*(15=Projects!$C$17:$C$46+Projects!$D$17:$D$46-1)*Projects!$B$17:$B$46*(ROW(Projects!$B$17:$B$46)&lt;&gt;21)*Assumptions!$B$10*0.05)+SUMPRODUCT((Projects!$G$10:$G$14="Yes")*(15&gt;=Projects!$C$10:$C$14)*(15&lt;Projects!$C$10:$C$14+Projects!$D$10:$D$14)*Projects!$B$10:$B$14*Assumptions!$B$12/Projects!$D$10:$D$14*0.95)+SUMPRODUCT((Projects!$G$10:$G$14="Yes")*(15=Projects!$C$10:$C$14+Projects!$D$10:$D$14-1)*Projects!$B$10:$B$14*Assumptions!$B$12*0.05)+SUMPRODUCT((Projects!$G$17:$G$46="Yes")*(15&gt;=Projects!$C$17:$C$46)*(15&lt;Projects!$C$17:$C$46+Projects!$D$17:$D$46)*Projects!$B$17:$B$46*(ROW(Projects!$B$17:$B$46)&lt;&gt;21)*Assumptions!$B$12/Projects!$D$17:$D$46*0.95)+SUMPRODUCT((Projects!$G$17:$G$46="Yes")*(15=Projects!$C$17:$C$46+Projects!$D$17:$D$46-1)*Projects!$B$17:$B$46*(ROW(Projects!$B$17:$B$46)&lt;&gt;21)*Assumptions!$B$12*0.05)+310868.33+0+IF(AND(Projects!$G$21="Yes",15&gt;=Projects!$C$21,15&lt;Projects!$C$21+Projects!$D$21),(Projects!$N$21+Projects!$P$21)/Projects!$D$21*0.95,0)+IF(AND(Projects!$G$21="Yes",15=Projects!$C$21+Projects!$D$21-1),(Projects!$N$21+Projects!$P$21)*0.05,0),Actuals!T8)</f>
        <v>677840.357636663</v>
      </c>
      <c r="T10" s="13" t="n">
        <f aca="false">IF(ISBLANK(Actuals!U8),0*Curves!Q$7/SUM(Curves!$E$7:$Q$7)+0*Curves!Q$4/SUM(Curves!$E$4:$T$4)+SUMPRODUCT((Projects!$G$10:$G$14="Yes")*(16&gt;=Projects!$C$10:$C$14)*(16&lt;Projects!$C$10:$C$14+Projects!$D$10:$D$14)*Projects!$B$10:$B$14*Assumptions!$B$10/Projects!$D$10:$D$14*0.95)+SUMPRODUCT((Projects!$G$10:$G$14="Yes")*(16=Projects!$C$10:$C$14+Projects!$D$10:$D$14-1)*Projects!$B$10:$B$14*Assumptions!$B$10*0.05)+SUMPRODUCT((Projects!$G$17:$G$46="Yes")*(16&gt;=Projects!$C$17:$C$46)*(16&lt;Projects!$C$17:$C$46+Projects!$D$17:$D$46)*Projects!$B$17:$B$46*(ROW(Projects!$B$17:$B$46)&lt;&gt;21)*Assumptions!$B$10/Projects!$D$17:$D$46*0.95)+SUMPRODUCT((Projects!$G$17:$G$46="Yes")*(16=Projects!$C$17:$C$46+Projects!$D$17:$D$46-1)*Projects!$B$17:$B$46*(ROW(Projects!$B$17:$B$46)&lt;&gt;21)*Assumptions!$B$10*0.05)+SUMPRODUCT((Projects!$G$10:$G$14="Yes")*(16&gt;=Projects!$C$10:$C$14)*(16&lt;Projects!$C$10:$C$14+Projects!$D$10:$D$14)*Projects!$B$10:$B$14*Assumptions!$B$12/Projects!$D$10:$D$14*0.95)+SUMPRODUCT((Projects!$G$10:$G$14="Yes")*(16=Projects!$C$10:$C$14+Projects!$D$10:$D$14-1)*Projects!$B$10:$B$14*Assumptions!$B$12*0.05)+SUMPRODUCT((Projects!$G$17:$G$46="Yes")*(16&gt;=Projects!$C$17:$C$46)*(16&lt;Projects!$C$17:$C$46+Projects!$D$17:$D$46)*Projects!$B$17:$B$46*(ROW(Projects!$B$17:$B$46)&lt;&gt;21)*Assumptions!$B$12/Projects!$D$17:$D$46*0.95)+SUMPRODUCT((Projects!$G$17:$G$46="Yes")*(16=Projects!$C$17:$C$46+Projects!$D$17:$D$46-1)*Projects!$B$17:$B$46*(ROW(Projects!$B$17:$B$46)&lt;&gt;21)*Assumptions!$B$12*0.05)+364253.87+0+IF(AND(Projects!$G$21="Yes",16&gt;=Projects!$C$21,16&lt;Projects!$C$21+Projects!$D$21),(Projects!$N$21+Projects!$P$21)/Projects!$D$21*0.95,0)+IF(AND(Projects!$G$21="Yes",16=Projects!$C$21+Projects!$D$21-1),(Projects!$N$21+Projects!$P$21)*0.05,0),Actuals!U8)</f>
        <v>731225.897636663</v>
      </c>
      <c r="U10" s="13" t="n">
        <f aca="false">IF(ISBLANK(Actuals!V8),0*Curves!R$4/SUM(Curves!$E$4:$T$4)+SUMPRODUCT((Projects!$G$10:$G$14="Yes")*(17&gt;=Projects!$C$10:$C$14)*(17&lt;Projects!$C$10:$C$14+Projects!$D$10:$D$14)*Projects!$B$10:$B$14*Assumptions!$B$10/Projects!$D$10:$D$14*0.95)+SUMPRODUCT((Projects!$G$10:$G$14="Yes")*(17=Projects!$C$10:$C$14+Projects!$D$10:$D$14-1)*Projects!$B$10:$B$14*Assumptions!$B$10*0.05)+SUMPRODUCT((Projects!$G$17:$G$46="Yes")*(17&gt;=Projects!$C$17:$C$46)*(17&lt;Projects!$C$17:$C$46+Projects!$D$17:$D$46)*Projects!$B$17:$B$46*(ROW(Projects!$B$17:$B$46)&lt;&gt;21)*Assumptions!$B$10/Projects!$D$17:$D$46*0.95)+SUMPRODUCT((Projects!$G$17:$G$46="Yes")*(17=Projects!$C$17:$C$46+Projects!$D$17:$D$46-1)*Projects!$B$17:$B$46*(ROW(Projects!$B$17:$B$46)&lt;&gt;21)*Assumptions!$B$10*0.05)+SUMPRODUCT((Projects!$G$10:$G$14="Yes")*(17&gt;=Projects!$C$10:$C$14)*(17&lt;Projects!$C$10:$C$14+Projects!$D$10:$D$14)*Projects!$B$10:$B$14*Assumptions!$B$12/Projects!$D$10:$D$14*0.95)+SUMPRODUCT((Projects!$G$10:$G$14="Yes")*(17=Projects!$C$10:$C$14+Projects!$D$10:$D$14-1)*Projects!$B$10:$B$14*Assumptions!$B$12*0.05)+SUMPRODUCT((Projects!$G$17:$G$46="Yes")*(17&gt;=Projects!$C$17:$C$46)*(17&lt;Projects!$C$17:$C$46+Projects!$D$17:$D$46)*Projects!$B$17:$B$46*(ROW(Projects!$B$17:$B$46)&lt;&gt;21)*Assumptions!$B$12/Projects!$D$17:$D$46*0.95)+SUMPRODUCT((Projects!$G$17:$G$46="Yes")*(17=Projects!$C$17:$C$46+Projects!$D$17:$D$46-1)*Projects!$B$17:$B$46*(ROW(Projects!$B$17:$B$46)&lt;&gt;21)*Assumptions!$B$12*0.05)+301390.69+0+IF(AND(Projects!$G$21="Yes",17&gt;=Projects!$C$21,17&lt;Projects!$C$21+Projects!$D$21),(Projects!$N$21+Projects!$P$21)/Projects!$D$21*0.95,0)+IF(AND(Projects!$G$21="Yes",17=Projects!$C$21+Projects!$D$21-1),(Projects!$N$21+Projects!$P$21)*0.05,0),Actuals!V8)</f>
        <v>668362.717636663</v>
      </c>
      <c r="V10" s="13" t="n">
        <f aca="false">IF(ISBLANK(Actuals!W8),0*Curves!S$4/SUM(Curves!$E$4:$T$4)+SUMPRODUCT((Projects!$G$10:$G$14="Yes")*(18&gt;=Projects!$C$10:$C$14)*(18&lt;Projects!$C$10:$C$14+Projects!$D$10:$D$14)*Projects!$B$10:$B$14*Assumptions!$B$10/Projects!$D$10:$D$14*0.95)+SUMPRODUCT((Projects!$G$10:$G$14="Yes")*(18=Projects!$C$10:$C$14+Projects!$D$10:$D$14-1)*Projects!$B$10:$B$14*Assumptions!$B$10*0.05)+SUMPRODUCT((Projects!$G$17:$G$46="Yes")*(18&gt;=Projects!$C$17:$C$46)*(18&lt;Projects!$C$17:$C$46+Projects!$D$17:$D$46)*Projects!$B$17:$B$46*(ROW(Projects!$B$17:$B$46)&lt;&gt;21)*Assumptions!$B$10/Projects!$D$17:$D$46*0.95)+SUMPRODUCT((Projects!$G$17:$G$46="Yes")*(18=Projects!$C$17:$C$46+Projects!$D$17:$D$46-1)*Projects!$B$17:$B$46*(ROW(Projects!$B$17:$B$46)&lt;&gt;21)*Assumptions!$B$10*0.05)+SUMPRODUCT((Projects!$G$10:$G$14="Yes")*(18&gt;=Projects!$C$10:$C$14)*(18&lt;Projects!$C$10:$C$14+Projects!$D$10:$D$14)*Projects!$B$10:$B$14*Assumptions!$B$12/Projects!$D$10:$D$14*0.95)+SUMPRODUCT((Projects!$G$10:$G$14="Yes")*(18=Projects!$C$10:$C$14+Projects!$D$10:$D$14-1)*Projects!$B$10:$B$14*Assumptions!$B$12*0.05)+SUMPRODUCT((Projects!$G$17:$G$46="Yes")*(18&gt;=Projects!$C$17:$C$46)*(18&lt;Projects!$C$17:$C$46+Projects!$D$17:$D$46)*Projects!$B$17:$B$46*(ROW(Projects!$B$17:$B$46)&lt;&gt;21)*Assumptions!$B$12/Projects!$D$17:$D$46*0.95)+SUMPRODUCT((Projects!$G$17:$G$46="Yes")*(18=Projects!$C$17:$C$46+Projects!$D$17:$D$46-1)*Projects!$B$17:$B$46*(ROW(Projects!$B$17:$B$46)&lt;&gt;21)*Assumptions!$B$12*0.05)+326238.49+0+IF(AND(Projects!$G$21="Yes",18&gt;=Projects!$C$21,18&lt;Projects!$C$21+Projects!$D$21),(Projects!$N$21+Projects!$P$21)/Projects!$D$21*0.95,0)+IF(AND(Projects!$G$21="Yes",18=Projects!$C$21+Projects!$D$21-1),(Projects!$N$21+Projects!$P$21)*0.05,0),Actuals!W8)</f>
        <v>742122.197550413</v>
      </c>
      <c r="W10" s="13" t="n">
        <f aca="false">IF(ISBLANK(Actuals!X8),0*Curves!T$4/SUM(Curves!$E$4:$T$4)+SUMPRODUCT((Projects!$G$10:$G$14="Yes")*(19&gt;=Projects!$C$10:$C$14)*(19&lt;Projects!$C$10:$C$14+Projects!$D$10:$D$14)*Projects!$B$10:$B$14*Assumptions!$B$10/Projects!$D$10:$D$14*0.95)+SUMPRODUCT((Projects!$G$10:$G$14="Yes")*(19=Projects!$C$10:$C$14+Projects!$D$10:$D$14-1)*Projects!$B$10:$B$14*Assumptions!$B$10*0.05)+SUMPRODUCT((Projects!$G$17:$G$46="Yes")*(19&gt;=Projects!$C$17:$C$46)*(19&lt;Projects!$C$17:$C$46+Projects!$D$17:$D$46)*Projects!$B$17:$B$46*(ROW(Projects!$B$17:$B$46)&lt;&gt;21)*Assumptions!$B$10/Projects!$D$17:$D$46*0.95)+SUMPRODUCT((Projects!$G$17:$G$46="Yes")*(19=Projects!$C$17:$C$46+Projects!$D$17:$D$46-1)*Projects!$B$17:$B$46*(ROW(Projects!$B$17:$B$46)&lt;&gt;21)*Assumptions!$B$10*0.05)+SUMPRODUCT((Projects!$G$10:$G$14="Yes")*(19&gt;=Projects!$C$10:$C$14)*(19&lt;Projects!$C$10:$C$14+Projects!$D$10:$D$14)*Projects!$B$10:$B$14*Assumptions!$B$12/Projects!$D$10:$D$14*0.95)+SUMPRODUCT((Projects!$G$10:$G$14="Yes")*(19=Projects!$C$10:$C$14+Projects!$D$10:$D$14-1)*Projects!$B$10:$B$14*Assumptions!$B$12*0.05)+SUMPRODUCT((Projects!$G$17:$G$46="Yes")*(19&gt;=Projects!$C$17:$C$46)*(19&lt;Projects!$C$17:$C$46+Projects!$D$17:$D$46)*Projects!$B$17:$B$46*(ROW(Projects!$B$17:$B$46)&lt;&gt;21)*Assumptions!$B$12/Projects!$D$17:$D$46*0.95)+SUMPRODUCT((Projects!$G$17:$G$46="Yes")*(19=Projects!$C$17:$C$46+Projects!$D$17:$D$46-1)*Projects!$B$17:$B$46*(ROW(Projects!$B$17:$B$46)&lt;&gt;21)*Assumptions!$B$12*0.05)+213875.65+0+IF(AND(Projects!$G$21="Yes",19&gt;=Projects!$C$21,19&lt;Projects!$C$21+Projects!$D$21),(Projects!$N$21+Projects!$P$21)/Projects!$D$21*0.95,0)+IF(AND(Projects!$G$21="Yes",19=Projects!$C$21+Projects!$D$21-1),(Projects!$N$21+Projects!$P$21)*0.05,0),Actuals!X8)</f>
        <v>745054.658202019</v>
      </c>
      <c r="X10" s="13" t="n">
        <f aca="false">IF(ISBLANK(Actuals!Y8),0+SUMPRODUCT((Projects!$G$10:$G$14="Yes")*(20&gt;=Projects!$C$10:$C$14)*(20&lt;Projects!$C$10:$C$14+Projects!$D$10:$D$14)*Projects!$B$10:$B$14*Assumptions!$B$10/Projects!$D$10:$D$14*0.95)+SUMPRODUCT((Projects!$G$10:$G$14="Yes")*(20=Projects!$C$10:$C$14+Projects!$D$10:$D$14-1)*Projects!$B$10:$B$14*Assumptions!$B$10*0.05)+SUMPRODUCT((Projects!$G$17:$G$46="Yes")*(20&gt;=Projects!$C$17:$C$46)*(20&lt;Projects!$C$17:$C$46+Projects!$D$17:$D$46)*Projects!$B$17:$B$46*(ROW(Projects!$B$17:$B$46)&lt;&gt;21)*Assumptions!$B$10/Projects!$D$17:$D$46*0.95)+SUMPRODUCT((Projects!$G$17:$G$46="Yes")*(20=Projects!$C$17:$C$46+Projects!$D$17:$D$46-1)*Projects!$B$17:$B$46*(ROW(Projects!$B$17:$B$46)&lt;&gt;21)*Assumptions!$B$10*0.05)+SUMPRODUCT((Projects!$G$10:$G$14="Yes")*(20&gt;=Projects!$C$10:$C$14)*(20&lt;Projects!$C$10:$C$14+Projects!$D$10:$D$14)*Projects!$B$10:$B$14*Assumptions!$B$12/Projects!$D$10:$D$14*0.95)+SUMPRODUCT((Projects!$G$10:$G$14="Yes")*(20=Projects!$C$10:$C$14+Projects!$D$10:$D$14-1)*Projects!$B$10:$B$14*Assumptions!$B$12*0.05)+SUMPRODUCT((Projects!$G$17:$G$46="Yes")*(20&gt;=Projects!$C$17:$C$46)*(20&lt;Projects!$C$17:$C$46+Projects!$D$17:$D$46)*Projects!$B$17:$B$46*(ROW(Projects!$B$17:$B$46)&lt;&gt;21)*Assumptions!$B$12/Projects!$D$17:$D$46*0.95)+SUMPRODUCT((Projects!$G$17:$G$46="Yes")*(20=Projects!$C$17:$C$46+Projects!$D$17:$D$46-1)*Projects!$B$17:$B$46*(ROW(Projects!$B$17:$B$46)&lt;&gt;21)*Assumptions!$B$12*0.05)+295688.18+0+IF(AND(Projects!$G$21="Yes",20&gt;=Projects!$C$21,20&lt;Projects!$C$21+Projects!$D$21),(Projects!$N$21+Projects!$P$21)/Projects!$D$21*0.95,0)+IF(AND(Projects!$G$21="Yes",20=Projects!$C$21+Projects!$D$21-1),(Projects!$N$21+Projects!$P$21)*0.05,0),Actuals!Y8)</f>
        <v>826867.188202019</v>
      </c>
      <c r="Y10" s="13" t="n">
        <f aca="false">IF(ISBLANK(Actuals!Z8),0+SUMPRODUCT((Projects!$G$10:$G$14="Yes")*(21&gt;=Projects!$C$10:$C$14)*(21&lt;Projects!$C$10:$C$14+Projects!$D$10:$D$14)*Projects!$B$10:$B$14*Assumptions!$B$10/Projects!$D$10:$D$14*0.95)+SUMPRODUCT((Projects!$G$10:$G$14="Yes")*(21=Projects!$C$10:$C$14+Projects!$D$10:$D$14-1)*Projects!$B$10:$B$14*Assumptions!$B$10*0.05)+SUMPRODUCT((Projects!$G$17:$G$46="Yes")*(21&gt;=Projects!$C$17:$C$46)*(21&lt;Projects!$C$17:$C$46+Projects!$D$17:$D$46)*Projects!$B$17:$B$46*(ROW(Projects!$B$17:$B$46)&lt;&gt;21)*Assumptions!$B$10/Projects!$D$17:$D$46*0.95)+SUMPRODUCT((Projects!$G$17:$G$46="Yes")*(21=Projects!$C$17:$C$46+Projects!$D$17:$D$46-1)*Projects!$B$17:$B$46*(ROW(Projects!$B$17:$B$46)&lt;&gt;21)*Assumptions!$B$10*0.05)+SUMPRODUCT((Projects!$G$10:$G$14="Yes")*(21&gt;=Projects!$C$10:$C$14)*(21&lt;Projects!$C$10:$C$14+Projects!$D$10:$D$14)*Projects!$B$10:$B$14*Assumptions!$B$12/Projects!$D$10:$D$14*0.95)+SUMPRODUCT((Projects!$G$10:$G$14="Yes")*(21=Projects!$C$10:$C$14+Projects!$D$10:$D$14-1)*Projects!$B$10:$B$14*Assumptions!$B$12*0.05)+SUMPRODUCT((Projects!$G$17:$G$46="Yes")*(21&gt;=Projects!$C$17:$C$46)*(21&lt;Projects!$C$17:$C$46+Projects!$D$17:$D$46)*Projects!$B$17:$B$46*(ROW(Projects!$B$17:$B$46)&lt;&gt;21)*Assumptions!$B$12/Projects!$D$17:$D$46*0.95)+SUMPRODUCT((Projects!$G$17:$G$46="Yes")*(21=Projects!$C$17:$C$46+Projects!$D$17:$D$46-1)*Projects!$B$17:$B$46*(ROW(Projects!$B$17:$B$46)&lt;&gt;21)*Assumptions!$B$12*0.05)+193316.74+0+IF(AND(Projects!$G$21="Yes",21&gt;=Projects!$C$21,21&lt;Projects!$C$21+Projects!$D$21),(Projects!$N$21+Projects!$P$21)/Projects!$D$21*0.95,0)+IF(AND(Projects!$G$21="Yes",21=Projects!$C$21+Projects!$D$21-1),(Projects!$N$21+Projects!$P$21)*0.05,0),Actuals!Z8)</f>
        <v>724495.748202019</v>
      </c>
      <c r="Z10" s="13" t="n">
        <f aca="false">IF(ISBLANK(Actuals!AA8),0+SUMPRODUCT((Projects!$G$10:$G$14="Yes")*(22&gt;=Projects!$C$10:$C$14)*(22&lt;Projects!$C$10:$C$14+Projects!$D$10:$D$14)*Projects!$B$10:$B$14*Assumptions!$B$10/Projects!$D$10:$D$14*0.95)+SUMPRODUCT((Projects!$G$10:$G$14="Yes")*(22=Projects!$C$10:$C$14+Projects!$D$10:$D$14-1)*Projects!$B$10:$B$14*Assumptions!$B$10*0.05)+SUMPRODUCT((Projects!$G$17:$G$46="Yes")*(22&gt;=Projects!$C$17:$C$46)*(22&lt;Projects!$C$17:$C$46+Projects!$D$17:$D$46)*Projects!$B$17:$B$46*(ROW(Projects!$B$17:$B$46)&lt;&gt;21)*Assumptions!$B$10/Projects!$D$17:$D$46*0.95)+SUMPRODUCT((Projects!$G$17:$G$46="Yes")*(22=Projects!$C$17:$C$46+Projects!$D$17:$D$46-1)*Projects!$B$17:$B$46*(ROW(Projects!$B$17:$B$46)&lt;&gt;21)*Assumptions!$B$10*0.05)+SUMPRODUCT((Projects!$G$10:$G$14="Yes")*(22&gt;=Projects!$C$10:$C$14)*(22&lt;Projects!$C$10:$C$14+Projects!$D$10:$D$14)*Projects!$B$10:$B$14*Assumptions!$B$12/Projects!$D$10:$D$14*0.95)+SUMPRODUCT((Projects!$G$10:$G$14="Yes")*(22=Projects!$C$10:$C$14+Projects!$D$10:$D$14-1)*Projects!$B$10:$B$14*Assumptions!$B$12*0.05)+SUMPRODUCT((Projects!$G$17:$G$46="Yes")*(22&gt;=Projects!$C$17:$C$46)*(22&lt;Projects!$C$17:$C$46+Projects!$D$17:$D$46)*Projects!$B$17:$B$46*(ROW(Projects!$B$17:$B$46)&lt;&gt;21)*Assumptions!$B$12/Projects!$D$17:$D$46*0.95)+SUMPRODUCT((Projects!$G$17:$G$46="Yes")*(22=Projects!$C$17:$C$46+Projects!$D$17:$D$46-1)*Projects!$B$17:$B$46*(ROW(Projects!$B$17:$B$46)&lt;&gt;21)*Assumptions!$B$12*0.05)+249262.87+0+IF(AND(Projects!$G$21="Yes",22&gt;=Projects!$C$21,22&lt;Projects!$C$21+Projects!$D$21),(Projects!$N$21+Projects!$P$21)/Projects!$D$21*0.95,0)+IF(AND(Projects!$G$21="Yes",22=Projects!$C$21+Projects!$D$21-1),(Projects!$N$21+Projects!$P$21)*0.05,0),Actuals!AA8)</f>
        <v>780441.878202019</v>
      </c>
      <c r="AA10" s="13" t="n">
        <f aca="false">IF(ISBLANK(Actuals!AB8),0+SUMPRODUCT((Projects!$G$10:$G$14="Yes")*(23&gt;=Projects!$C$10:$C$14)*(23&lt;Projects!$C$10:$C$14+Projects!$D$10:$D$14)*Projects!$B$10:$B$14*Assumptions!$B$10/Projects!$D$10:$D$14*0.95)+SUMPRODUCT((Projects!$G$10:$G$14="Yes")*(23=Projects!$C$10:$C$14+Projects!$D$10:$D$14-1)*Projects!$B$10:$B$14*Assumptions!$B$10*0.05)+SUMPRODUCT((Projects!$G$17:$G$46="Yes")*(23&gt;=Projects!$C$17:$C$46)*(23&lt;Projects!$C$17:$C$46+Projects!$D$17:$D$46)*Projects!$B$17:$B$46*(ROW(Projects!$B$17:$B$46)&lt;&gt;21)*Assumptions!$B$10/Projects!$D$17:$D$46*0.95)+SUMPRODUCT((Projects!$G$17:$G$46="Yes")*(23=Projects!$C$17:$C$46+Projects!$D$17:$D$46-1)*Projects!$B$17:$B$46*(ROW(Projects!$B$17:$B$46)&lt;&gt;21)*Assumptions!$B$10*0.05)+SUMPRODUCT((Projects!$G$10:$G$14="Yes")*(23&gt;=Projects!$C$10:$C$14)*(23&lt;Projects!$C$10:$C$14+Projects!$D$10:$D$14)*Projects!$B$10:$B$14*Assumptions!$B$12/Projects!$D$10:$D$14*0.95)+SUMPRODUCT((Projects!$G$10:$G$14="Yes")*(23=Projects!$C$10:$C$14+Projects!$D$10:$D$14-1)*Projects!$B$10:$B$14*Assumptions!$B$12*0.05)+SUMPRODUCT((Projects!$G$17:$G$46="Yes")*(23&gt;=Projects!$C$17:$C$46)*(23&lt;Projects!$C$17:$C$46+Projects!$D$17:$D$46)*Projects!$B$17:$B$46*(ROW(Projects!$B$17:$B$46)&lt;&gt;21)*Assumptions!$B$12/Projects!$D$17:$D$46*0.95)+SUMPRODUCT((Projects!$G$17:$G$46="Yes")*(23=Projects!$C$17:$C$46+Projects!$D$17:$D$46-1)*Projects!$B$17:$B$46*(ROW(Projects!$B$17:$B$46)&lt;&gt;21)*Assumptions!$B$12*0.05)+199210.83+0+IF(AND(Projects!$G$21="Yes",23&gt;=Projects!$C$21,23&lt;Projects!$C$21+Projects!$D$21),(Projects!$N$21+Projects!$P$21)/Projects!$D$21*0.95,0)+IF(AND(Projects!$G$21="Yes",23=Projects!$C$21+Projects!$D$21-1),(Projects!$N$21+Projects!$P$21)*0.05,0),Actuals!AB8)</f>
        <v>730389.838202019</v>
      </c>
      <c r="AB10" s="13" t="n">
        <f aca="false">IF(ISBLANK(Actuals!AC8),0+SUMPRODUCT((Projects!$G$10:$G$14="Yes")*(24&gt;=Projects!$C$10:$C$14)*(24&lt;Projects!$C$10:$C$14+Projects!$D$10:$D$14)*Projects!$B$10:$B$14*Assumptions!$B$10/Projects!$D$10:$D$14*0.95)+SUMPRODUCT((Projects!$G$10:$G$14="Yes")*(24=Projects!$C$10:$C$14+Projects!$D$10:$D$14-1)*Projects!$B$10:$B$14*Assumptions!$B$10*0.05)+SUMPRODUCT((Projects!$G$17:$G$46="Yes")*(24&gt;=Projects!$C$17:$C$46)*(24&lt;Projects!$C$17:$C$46+Projects!$D$17:$D$46)*Projects!$B$17:$B$46*(ROW(Projects!$B$17:$B$46)&lt;&gt;21)*Assumptions!$B$10/Projects!$D$17:$D$46*0.95)+SUMPRODUCT((Projects!$G$17:$G$46="Yes")*(24=Projects!$C$17:$C$46+Projects!$D$17:$D$46-1)*Projects!$B$17:$B$46*(ROW(Projects!$B$17:$B$46)&lt;&gt;21)*Assumptions!$B$10*0.05)+SUMPRODUCT((Projects!$G$10:$G$14="Yes")*(24&gt;=Projects!$C$10:$C$14)*(24&lt;Projects!$C$10:$C$14+Projects!$D$10:$D$14)*Projects!$B$10:$B$14*Assumptions!$B$12/Projects!$D$10:$D$14*0.95)+SUMPRODUCT((Projects!$G$10:$G$14="Yes")*(24=Projects!$C$10:$C$14+Projects!$D$10:$D$14-1)*Projects!$B$10:$B$14*Assumptions!$B$12*0.05)+SUMPRODUCT((Projects!$G$17:$G$46="Yes")*(24&gt;=Projects!$C$17:$C$46)*(24&lt;Projects!$C$17:$C$46+Projects!$D$17:$D$46)*Projects!$B$17:$B$46*(ROW(Projects!$B$17:$B$46)&lt;&gt;21)*Assumptions!$B$12/Projects!$D$17:$D$46*0.95)+SUMPRODUCT((Projects!$G$17:$G$46="Yes")*(24=Projects!$C$17:$C$46+Projects!$D$17:$D$46-1)*Projects!$B$17:$B$46*(ROW(Projects!$B$17:$B$46)&lt;&gt;21)*Assumptions!$B$12*0.05)+122369.44+0+IF(AND(Projects!$G$21="Yes",24&gt;=Projects!$C$21,24&lt;Projects!$C$21+Projects!$D$21),(Projects!$N$21+Projects!$P$21)/Projects!$D$21*0.95,0)+IF(AND(Projects!$G$21="Yes",24=Projects!$C$21+Projects!$D$21-1),(Projects!$N$21+Projects!$P$21)*0.05,0),Actuals!AC8)</f>
        <v>653548.448202019</v>
      </c>
      <c r="AC10" s="13" t="n">
        <f aca="false">IF(ISBLANK(Actuals!AD8),0+SUMPRODUCT((Projects!$G$10:$G$14="Yes")*(25&gt;=Projects!$C$10:$C$14)*(25&lt;Projects!$C$10:$C$14+Projects!$D$10:$D$14)*Projects!$B$10:$B$14*Assumptions!$B$10/Projects!$D$10:$D$14*0.95)+SUMPRODUCT((Projects!$G$10:$G$14="Yes")*(25=Projects!$C$10:$C$14+Projects!$D$10:$D$14-1)*Projects!$B$10:$B$14*Assumptions!$B$10*0.05)+SUMPRODUCT((Projects!$G$17:$G$46="Yes")*(25&gt;=Projects!$C$17:$C$46)*(25&lt;Projects!$C$17:$C$46+Projects!$D$17:$D$46)*Projects!$B$17:$B$46*(ROW(Projects!$B$17:$B$46)&lt;&gt;21)*Assumptions!$B$10/Projects!$D$17:$D$46*0.95)+SUMPRODUCT((Projects!$G$17:$G$46="Yes")*(25=Projects!$C$17:$C$46+Projects!$D$17:$D$46-1)*Projects!$B$17:$B$46*(ROW(Projects!$B$17:$B$46)&lt;&gt;21)*Assumptions!$B$10*0.05)+SUMPRODUCT((Projects!$G$10:$G$14="Yes")*(25&gt;=Projects!$C$10:$C$14)*(25&lt;Projects!$C$10:$C$14+Projects!$D$10:$D$14)*Projects!$B$10:$B$14*Assumptions!$B$12/Projects!$D$10:$D$14*0.95)+SUMPRODUCT((Projects!$G$10:$G$14="Yes")*(25=Projects!$C$10:$C$14+Projects!$D$10:$D$14-1)*Projects!$B$10:$B$14*Assumptions!$B$12*0.05)+SUMPRODUCT((Projects!$G$17:$G$46="Yes")*(25&gt;=Projects!$C$17:$C$46)*(25&lt;Projects!$C$17:$C$46+Projects!$D$17:$D$46)*Projects!$B$17:$B$46*(ROW(Projects!$B$17:$B$46)&lt;&gt;21)*Assumptions!$B$12/Projects!$D$17:$D$46*0.95)+SUMPRODUCT((Projects!$G$17:$G$46="Yes")*(25=Projects!$C$17:$C$46+Projects!$D$17:$D$46-1)*Projects!$B$17:$B$46*(ROW(Projects!$B$17:$B$46)&lt;&gt;21)*Assumptions!$B$12*0.05)+68438.19+0+IF(AND(Projects!$G$21="Yes",25&gt;=Projects!$C$21,25&lt;Projects!$C$21+Projects!$D$21),(Projects!$N$21+Projects!$P$21)/Projects!$D$21*0.95,0)+IF(AND(Projects!$G$21="Yes",25=Projects!$C$21+Projects!$D$21-1),(Projects!$N$21+Projects!$P$21)*0.05,0),Actuals!AD8)</f>
        <v>599617.198202019</v>
      </c>
      <c r="AD10" s="13" t="n">
        <f aca="false">IF(ISBLANK(Actuals!AE8),0+SUMPRODUCT((Projects!$G$10:$G$14="Yes")*(26&gt;=Projects!$C$10:$C$14)*(26&lt;Projects!$C$10:$C$14+Projects!$D$10:$D$14)*Projects!$B$10:$B$14*Assumptions!$B$10/Projects!$D$10:$D$14*0.95)+SUMPRODUCT((Projects!$G$10:$G$14="Yes")*(26=Projects!$C$10:$C$14+Projects!$D$10:$D$14-1)*Projects!$B$10:$B$14*Assumptions!$B$10*0.05)+SUMPRODUCT((Projects!$G$17:$G$46="Yes")*(26&gt;=Projects!$C$17:$C$46)*(26&lt;Projects!$C$17:$C$46+Projects!$D$17:$D$46)*Projects!$B$17:$B$46*(ROW(Projects!$B$17:$B$46)&lt;&gt;21)*Assumptions!$B$10/Projects!$D$17:$D$46*0.95)+SUMPRODUCT((Projects!$G$17:$G$46="Yes")*(26=Projects!$C$17:$C$46+Projects!$D$17:$D$46-1)*Projects!$B$17:$B$46*(ROW(Projects!$B$17:$B$46)&lt;&gt;21)*Assumptions!$B$10*0.05)+SUMPRODUCT((Projects!$G$10:$G$14="Yes")*(26&gt;=Projects!$C$10:$C$14)*(26&lt;Projects!$C$10:$C$14+Projects!$D$10:$D$14)*Projects!$B$10:$B$14*Assumptions!$B$12/Projects!$D$10:$D$14*0.95)+SUMPRODUCT((Projects!$G$10:$G$14="Yes")*(26=Projects!$C$10:$C$14+Projects!$D$10:$D$14-1)*Projects!$B$10:$B$14*Assumptions!$B$12*0.05)+SUMPRODUCT((Projects!$G$17:$G$46="Yes")*(26&gt;=Projects!$C$17:$C$46)*(26&lt;Projects!$C$17:$C$46+Projects!$D$17:$D$46)*Projects!$B$17:$B$46*(ROW(Projects!$B$17:$B$46)&lt;&gt;21)*Assumptions!$B$12/Projects!$D$17:$D$46*0.95)+SUMPRODUCT((Projects!$G$17:$G$46="Yes")*(26=Projects!$C$17:$C$46+Projects!$D$17:$D$46-1)*Projects!$B$17:$B$46*(ROW(Projects!$B$17:$B$46)&lt;&gt;21)*Assumptions!$B$12*0.05)+81042.66+0+IF(AND(Projects!$G$21="Yes",26&gt;=Projects!$C$21,26&lt;Projects!$C$21+Projects!$D$21),(Projects!$N$21+Projects!$P$21)/Projects!$D$21*0.95,0)+IF(AND(Projects!$G$21="Yes",26=Projects!$C$21+Projects!$D$21-1),(Projects!$N$21+Projects!$P$21)*0.05,0),Actuals!AE8)</f>
        <v>612221.668202019</v>
      </c>
      <c r="AE10" s="13" t="n">
        <f aca="false">IF(ISBLANK(Actuals!AF8),0+SUMPRODUCT((Projects!$G$10:$G$14="Yes")*(27&gt;=Projects!$C$10:$C$14)*(27&lt;Projects!$C$10:$C$14+Projects!$D$10:$D$14)*Projects!$B$10:$B$14*Assumptions!$B$10/Projects!$D$10:$D$14*0.95)+SUMPRODUCT((Projects!$G$10:$G$14="Yes")*(27=Projects!$C$10:$C$14+Projects!$D$10:$D$14-1)*Projects!$B$10:$B$14*Assumptions!$B$10*0.05)+SUMPRODUCT((Projects!$G$17:$G$46="Yes")*(27&gt;=Projects!$C$17:$C$46)*(27&lt;Projects!$C$17:$C$46+Projects!$D$17:$D$46)*Projects!$B$17:$B$46*(ROW(Projects!$B$17:$B$46)&lt;&gt;21)*Assumptions!$B$10/Projects!$D$17:$D$46*0.95)+SUMPRODUCT((Projects!$G$17:$G$46="Yes")*(27=Projects!$C$17:$C$46+Projects!$D$17:$D$46-1)*Projects!$B$17:$B$46*(ROW(Projects!$B$17:$B$46)&lt;&gt;21)*Assumptions!$B$10*0.05)+SUMPRODUCT((Projects!$G$10:$G$14="Yes")*(27&gt;=Projects!$C$10:$C$14)*(27&lt;Projects!$C$10:$C$14+Projects!$D$10:$D$14)*Projects!$B$10:$B$14*Assumptions!$B$12/Projects!$D$10:$D$14*0.95)+SUMPRODUCT((Projects!$G$10:$G$14="Yes")*(27=Projects!$C$10:$C$14+Projects!$D$10:$D$14-1)*Projects!$B$10:$B$14*Assumptions!$B$12*0.05)+SUMPRODUCT((Projects!$G$17:$G$46="Yes")*(27&gt;=Projects!$C$17:$C$46)*(27&lt;Projects!$C$17:$C$46+Projects!$D$17:$D$46)*Projects!$B$17:$B$46*(ROW(Projects!$B$17:$B$46)&lt;&gt;21)*Assumptions!$B$12/Projects!$D$17:$D$46*0.95)+SUMPRODUCT((Projects!$G$17:$G$46="Yes")*(27=Projects!$C$17:$C$46+Projects!$D$17:$D$46-1)*Projects!$B$17:$B$46*(ROW(Projects!$B$17:$B$46)&lt;&gt;21)*Assumptions!$B$12*0.05)+76062.37+0+IF(AND(Projects!$G$21="Yes",27&gt;=Projects!$C$21,27&lt;Projects!$C$21+Projects!$D$21),(Projects!$N$21+Projects!$P$21)/Projects!$D$21*0.95,0)+IF(AND(Projects!$G$21="Yes",27=Projects!$C$21+Projects!$D$21-1),(Projects!$N$21+Projects!$P$21)*0.05,0),Actuals!AF8)</f>
        <v>697332.788635953</v>
      </c>
      <c r="AF10" s="13" t="n">
        <f aca="false">IF(ISBLANK(Actuals!AG8),0+SUMPRODUCT((Projects!$G$10:$G$14="Yes")*(28&gt;=Projects!$C$10:$C$14)*(28&lt;Projects!$C$10:$C$14+Projects!$D$10:$D$14)*Projects!$B$10:$B$14*Assumptions!$B$10/Projects!$D$10:$D$14*0.95)+SUMPRODUCT((Projects!$G$10:$G$14="Yes")*(28=Projects!$C$10:$C$14+Projects!$D$10:$D$14-1)*Projects!$B$10:$B$14*Assumptions!$B$10*0.05)+SUMPRODUCT((Projects!$G$17:$G$46="Yes")*(28&gt;=Projects!$C$17:$C$46)*(28&lt;Projects!$C$17:$C$46+Projects!$D$17:$D$46)*Projects!$B$17:$B$46*(ROW(Projects!$B$17:$B$46)&lt;&gt;21)*Assumptions!$B$10/Projects!$D$17:$D$46*0.95)+SUMPRODUCT((Projects!$G$17:$G$46="Yes")*(28=Projects!$C$17:$C$46+Projects!$D$17:$D$46-1)*Projects!$B$17:$B$46*(ROW(Projects!$B$17:$B$46)&lt;&gt;21)*Assumptions!$B$10*0.05)+SUMPRODUCT((Projects!$G$10:$G$14="Yes")*(28&gt;=Projects!$C$10:$C$14)*(28&lt;Projects!$C$10:$C$14+Projects!$D$10:$D$14)*Projects!$B$10:$B$14*Assumptions!$B$12/Projects!$D$10:$D$14*0.95)+SUMPRODUCT((Projects!$G$10:$G$14="Yes")*(28=Projects!$C$10:$C$14+Projects!$D$10:$D$14-1)*Projects!$B$10:$B$14*Assumptions!$B$12*0.05)+SUMPRODUCT((Projects!$G$17:$G$46="Yes")*(28&gt;=Projects!$C$17:$C$46)*(28&lt;Projects!$C$17:$C$46+Projects!$D$17:$D$46)*Projects!$B$17:$B$46*(ROW(Projects!$B$17:$B$46)&lt;&gt;21)*Assumptions!$B$12/Projects!$D$17:$D$46*0.95)+SUMPRODUCT((Projects!$G$17:$G$46="Yes")*(28=Projects!$C$17:$C$46+Projects!$D$17:$D$46-1)*Projects!$B$17:$B$46*(ROW(Projects!$B$17:$B$46)&lt;&gt;21)*Assumptions!$B$12*0.05)+94058.59+0+IF(AND(Projects!$G$21="Yes",28&gt;=Projects!$C$21,28&lt;Projects!$C$21+Projects!$D$21),(Projects!$N$21+Projects!$P$21)/Projects!$D$21*0.95,0)+IF(AND(Projects!$G$21="Yes",28=Projects!$C$21+Projects!$D$21-1),(Projects!$N$21+Projects!$P$21)*0.05,0),Actuals!AG8)</f>
        <v>787325.470655203</v>
      </c>
      <c r="AG10" s="13" t="n">
        <f aca="false">IF(ISBLANK(Actuals!AH8),0+SUMPRODUCT((Projects!$G$10:$G$14="Yes")*(29&gt;=Projects!$C$10:$C$14)*(29&lt;Projects!$C$10:$C$14+Projects!$D$10:$D$14)*Projects!$B$10:$B$14*Assumptions!$B$10/Projects!$D$10:$D$14*0.95)+SUMPRODUCT((Projects!$G$10:$G$14="Yes")*(29=Projects!$C$10:$C$14+Projects!$D$10:$D$14-1)*Projects!$B$10:$B$14*Assumptions!$B$10*0.05)+SUMPRODUCT((Projects!$G$17:$G$46="Yes")*(29&gt;=Projects!$C$17:$C$46)*(29&lt;Projects!$C$17:$C$46+Projects!$D$17:$D$46)*Projects!$B$17:$B$46*(ROW(Projects!$B$17:$B$46)&lt;&gt;21)*Assumptions!$B$10/Projects!$D$17:$D$46*0.95)+SUMPRODUCT((Projects!$G$17:$G$46="Yes")*(29=Projects!$C$17:$C$46+Projects!$D$17:$D$46-1)*Projects!$B$17:$B$46*(ROW(Projects!$B$17:$B$46)&lt;&gt;21)*Assumptions!$B$10*0.05)+SUMPRODUCT((Projects!$G$10:$G$14="Yes")*(29&gt;=Projects!$C$10:$C$14)*(29&lt;Projects!$C$10:$C$14+Projects!$D$10:$D$14)*Projects!$B$10:$B$14*Assumptions!$B$12/Projects!$D$10:$D$14*0.95)+SUMPRODUCT((Projects!$G$10:$G$14="Yes")*(29=Projects!$C$10:$C$14+Projects!$D$10:$D$14-1)*Projects!$B$10:$B$14*Assumptions!$B$12*0.05)+SUMPRODUCT((Projects!$G$17:$G$46="Yes")*(29&gt;=Projects!$C$17:$C$46)*(29&lt;Projects!$C$17:$C$46+Projects!$D$17:$D$46)*Projects!$B$17:$B$46*(ROW(Projects!$B$17:$B$46)&lt;&gt;21)*Assumptions!$B$12/Projects!$D$17:$D$46*0.95)+SUMPRODUCT((Projects!$G$17:$G$46="Yes")*(29=Projects!$C$17:$C$46+Projects!$D$17:$D$46-1)*Projects!$B$17:$B$46*(ROW(Projects!$B$17:$B$46)&lt;&gt;21)*Assumptions!$B$12*0.05)+163343.7+0+IF(AND(Projects!$G$21="Yes",29&gt;=Projects!$C$21,29&lt;Projects!$C$21+Projects!$D$21),(Projects!$N$21+Projects!$P$21)/Projects!$D$21*0.95,0)+IF(AND(Projects!$G$21="Yes",29=Projects!$C$21+Projects!$D$21-1),(Projects!$N$21+Projects!$P$21)*0.05,0),Actuals!AH8)</f>
        <v>747862.659799453</v>
      </c>
      <c r="AH10" s="13" t="n">
        <f aca="false">IF(ISBLANK(Actuals!AI8),0+SUMPRODUCT((Projects!$G$10:$G$14="Yes")*(30&gt;=Projects!$C$10:$C$14)*(30&lt;Projects!$C$10:$C$14+Projects!$D$10:$D$14)*Projects!$B$10:$B$14*Assumptions!$B$10/Projects!$D$10:$D$14*0.95)+SUMPRODUCT((Projects!$G$10:$G$14="Yes")*(30=Projects!$C$10:$C$14+Projects!$D$10:$D$14-1)*Projects!$B$10:$B$14*Assumptions!$B$10*0.05)+SUMPRODUCT((Projects!$G$17:$G$46="Yes")*(30&gt;=Projects!$C$17:$C$46)*(30&lt;Projects!$C$17:$C$46+Projects!$D$17:$D$46)*Projects!$B$17:$B$46*(ROW(Projects!$B$17:$B$46)&lt;&gt;21)*Assumptions!$B$10/Projects!$D$17:$D$46*0.95)+SUMPRODUCT((Projects!$G$17:$G$46="Yes")*(30=Projects!$C$17:$C$46+Projects!$D$17:$D$46-1)*Projects!$B$17:$B$46*(ROW(Projects!$B$17:$B$46)&lt;&gt;21)*Assumptions!$B$10*0.05)+SUMPRODUCT((Projects!$G$10:$G$14="Yes")*(30&gt;=Projects!$C$10:$C$14)*(30&lt;Projects!$C$10:$C$14+Projects!$D$10:$D$14)*Projects!$B$10:$B$14*Assumptions!$B$12/Projects!$D$10:$D$14*0.95)+SUMPRODUCT((Projects!$G$10:$G$14="Yes")*(30=Projects!$C$10:$C$14+Projects!$D$10:$D$14-1)*Projects!$B$10:$B$14*Assumptions!$B$12*0.05)+SUMPRODUCT((Projects!$G$17:$G$46="Yes")*(30&gt;=Projects!$C$17:$C$46)*(30&lt;Projects!$C$17:$C$46+Projects!$D$17:$D$46)*Projects!$B$17:$B$46*(ROW(Projects!$B$17:$B$46)&lt;&gt;21)*Assumptions!$B$12/Projects!$D$17:$D$46*0.95)+SUMPRODUCT((Projects!$G$17:$G$46="Yes")*(30=Projects!$C$17:$C$46+Projects!$D$17:$D$46-1)*Projects!$B$17:$B$46*(ROW(Projects!$B$17:$B$46)&lt;&gt;21)*Assumptions!$B$12*0.05)+151594.01+0+IF(AND(Projects!$G$21="Yes",30&gt;=Projects!$C$21,30&lt;Projects!$C$21+Projects!$D$21),(Projects!$N$21+Projects!$P$21)/Projects!$D$21*0.95,0)+IF(AND(Projects!$G$21="Yes",30=Projects!$C$21+Projects!$D$21-1),(Projects!$N$21+Projects!$P$21)*0.05,0),Actuals!AI8)</f>
        <v>734772.729687703</v>
      </c>
      <c r="AI10" s="13" t="n">
        <f aca="false">IF(ISBLANK(Actuals!AJ8),0+SUMPRODUCT((Projects!$G$10:$G$14="Yes")*(31&gt;=Projects!$C$10:$C$14)*(31&lt;Projects!$C$10:$C$14+Projects!$D$10:$D$14)*Projects!$B$10:$B$14*Assumptions!$B$10/Projects!$D$10:$D$14*0.95)+SUMPRODUCT((Projects!$G$10:$G$14="Yes")*(31=Projects!$C$10:$C$14+Projects!$D$10:$D$14-1)*Projects!$B$10:$B$14*Assumptions!$B$10*0.05)+SUMPRODUCT((Projects!$G$17:$G$46="Yes")*(31&gt;=Projects!$C$17:$C$46)*(31&lt;Projects!$C$17:$C$46+Projects!$D$17:$D$46)*Projects!$B$17:$B$46*(ROW(Projects!$B$17:$B$46)&lt;&gt;21)*Assumptions!$B$10/Projects!$D$17:$D$46*0.95)+SUMPRODUCT((Projects!$G$17:$G$46="Yes")*(31=Projects!$C$17:$C$46+Projects!$D$17:$D$46-1)*Projects!$B$17:$B$46*(ROW(Projects!$B$17:$B$46)&lt;&gt;21)*Assumptions!$B$10*0.05)+SUMPRODUCT((Projects!$G$10:$G$14="Yes")*(31&gt;=Projects!$C$10:$C$14)*(31&lt;Projects!$C$10:$C$14+Projects!$D$10:$D$14)*Projects!$B$10:$B$14*Assumptions!$B$12/Projects!$D$10:$D$14*0.95)+SUMPRODUCT((Projects!$G$10:$G$14="Yes")*(31=Projects!$C$10:$C$14+Projects!$D$10:$D$14-1)*Projects!$B$10:$B$14*Assumptions!$B$12*0.05)+SUMPRODUCT((Projects!$G$17:$G$46="Yes")*(31&gt;=Projects!$C$17:$C$46)*(31&lt;Projects!$C$17:$C$46+Projects!$D$17:$D$46)*Projects!$B$17:$B$46*(ROW(Projects!$B$17:$B$46)&lt;&gt;21)*Assumptions!$B$12/Projects!$D$17:$D$46*0.95)+SUMPRODUCT((Projects!$G$17:$G$46="Yes")*(31=Projects!$C$17:$C$46+Projects!$D$17:$D$46-1)*Projects!$B$17:$B$46*(ROW(Projects!$B$17:$B$46)&lt;&gt;21)*Assumptions!$B$12*0.05)+148207.07+0+IF(AND(Projects!$G$21="Yes",31&gt;=Projects!$C$21,31&lt;Projects!$C$21+Projects!$D$21),(Projects!$N$21+Projects!$P$21)/Projects!$D$21*0.95,0)+IF(AND(Projects!$G$21="Yes",31=Projects!$C$21+Projects!$D$21-1),(Projects!$N$21+Projects!$P$21)*0.05,0),Actuals!AJ8)</f>
        <v>598708.96711055</v>
      </c>
      <c r="AJ10" s="13" t="n">
        <f aca="false">IF(ISBLANK(Actuals!AK8),0+SUMPRODUCT((Projects!$G$10:$G$14="Yes")*(32&gt;=Projects!$C$10:$C$14)*(32&lt;Projects!$C$10:$C$14+Projects!$D$10:$D$14)*Projects!$B$10:$B$14*Assumptions!$B$10/Projects!$D$10:$D$14*0.95)+SUMPRODUCT((Projects!$G$10:$G$14="Yes")*(32=Projects!$C$10:$C$14+Projects!$D$10:$D$14-1)*Projects!$B$10:$B$14*Assumptions!$B$10*0.05)+SUMPRODUCT((Projects!$G$17:$G$46="Yes")*(32&gt;=Projects!$C$17:$C$46)*(32&lt;Projects!$C$17:$C$46+Projects!$D$17:$D$46)*Projects!$B$17:$B$46*(ROW(Projects!$B$17:$B$46)&lt;&gt;21)*Assumptions!$B$10/Projects!$D$17:$D$46*0.95)+SUMPRODUCT((Projects!$G$17:$G$46="Yes")*(32=Projects!$C$17:$C$46+Projects!$D$17:$D$46-1)*Projects!$B$17:$B$46*(ROW(Projects!$B$17:$B$46)&lt;&gt;21)*Assumptions!$B$10*0.05)+SUMPRODUCT((Projects!$G$10:$G$14="Yes")*(32&gt;=Projects!$C$10:$C$14)*(32&lt;Projects!$C$10:$C$14+Projects!$D$10:$D$14)*Projects!$B$10:$B$14*Assumptions!$B$12/Projects!$D$10:$D$14*0.95)+SUMPRODUCT((Projects!$G$10:$G$14="Yes")*(32=Projects!$C$10:$C$14+Projects!$D$10:$D$14-1)*Projects!$B$10:$B$14*Assumptions!$B$12*0.05)+SUMPRODUCT((Projects!$G$17:$G$46="Yes")*(32&gt;=Projects!$C$17:$C$46)*(32&lt;Projects!$C$17:$C$46+Projects!$D$17:$D$46)*Projects!$B$17:$B$46*(ROW(Projects!$B$17:$B$46)&lt;&gt;21)*Assumptions!$B$12/Projects!$D$17:$D$46*0.95)+SUMPRODUCT((Projects!$G$17:$G$46="Yes")*(32=Projects!$C$17:$C$46+Projects!$D$17:$D$46-1)*Projects!$B$17:$B$46*(ROW(Projects!$B$17:$B$46)&lt;&gt;21)*Assumptions!$B$12*0.05)+80859.39+0+IF(AND(Projects!$G$21="Yes",32&gt;=Projects!$C$21,32&lt;Projects!$C$21+Projects!$D$21),(Projects!$N$21+Projects!$P$21)/Projects!$D$21*0.95,0)+IF(AND(Projects!$G$21="Yes",32=Projects!$C$21+Projects!$D$21-1),(Projects!$N$21+Projects!$P$21)*0.05,0),Actuals!AK8)</f>
        <v>571047.6263193</v>
      </c>
      <c r="AK10" s="13" t="n">
        <f aca="false">IF(ISBLANK(Actuals!AL8),0+SUMPRODUCT((Projects!$G$10:$G$14="Yes")*(33&gt;=Projects!$C$10:$C$14)*(33&lt;Projects!$C$10:$C$14+Projects!$D$10:$D$14)*Projects!$B$10:$B$14*Assumptions!$B$10/Projects!$D$10:$D$14*0.95)+SUMPRODUCT((Projects!$G$10:$G$14="Yes")*(33=Projects!$C$10:$C$14+Projects!$D$10:$D$14-1)*Projects!$B$10:$B$14*Assumptions!$B$10*0.05)+SUMPRODUCT((Projects!$G$17:$G$46="Yes")*(33&gt;=Projects!$C$17:$C$46)*(33&lt;Projects!$C$17:$C$46+Projects!$D$17:$D$46)*Projects!$B$17:$B$46*(ROW(Projects!$B$17:$B$46)&lt;&gt;21)*Assumptions!$B$10/Projects!$D$17:$D$46*0.95)+SUMPRODUCT((Projects!$G$17:$G$46="Yes")*(33=Projects!$C$17:$C$46+Projects!$D$17:$D$46-1)*Projects!$B$17:$B$46*(ROW(Projects!$B$17:$B$46)&lt;&gt;21)*Assumptions!$B$10*0.05)+SUMPRODUCT((Projects!$G$10:$G$14="Yes")*(33&gt;=Projects!$C$10:$C$14)*(33&lt;Projects!$C$10:$C$14+Projects!$D$10:$D$14)*Projects!$B$10:$B$14*Assumptions!$B$12/Projects!$D$10:$D$14*0.95)+SUMPRODUCT((Projects!$G$10:$G$14="Yes")*(33=Projects!$C$10:$C$14+Projects!$D$10:$D$14-1)*Projects!$B$10:$B$14*Assumptions!$B$12*0.05)+SUMPRODUCT((Projects!$G$17:$G$46="Yes")*(33&gt;=Projects!$C$17:$C$46)*(33&lt;Projects!$C$17:$C$46+Projects!$D$17:$D$46)*Projects!$B$17:$B$46*(ROW(Projects!$B$17:$B$46)&lt;&gt;21)*Assumptions!$B$12/Projects!$D$17:$D$46*0.95)+SUMPRODUCT((Projects!$G$17:$G$46="Yes")*(33=Projects!$C$17:$C$46+Projects!$D$17:$D$46-1)*Projects!$B$17:$B$46*(ROW(Projects!$B$17:$B$46)&lt;&gt;21)*Assumptions!$B$12*0.05)+67124.58+0+IF(AND(Projects!$G$21="Yes",33&gt;=Projects!$C$21,33&lt;Projects!$C$21+Projects!$D$21),(Projects!$N$21+Projects!$P$21)/Projects!$D$21*0.95,0)+IF(AND(Projects!$G$21="Yes",33=Projects!$C$21+Projects!$D$21-1),(Projects!$N$21+Projects!$P$21)*0.05,0),Actuals!AL8)</f>
        <v>477940.1379018</v>
      </c>
      <c r="AL10" s="13" t="n">
        <f aca="false">IF(ISBLANK(Actuals!AM8),0+SUMPRODUCT((Projects!$G$10:$G$14="Yes")*(34&gt;=Projects!$C$10:$C$14)*(34&lt;Projects!$C$10:$C$14+Projects!$D$10:$D$14)*Projects!$B$10:$B$14*Assumptions!$B$10/Projects!$D$10:$D$14*0.95)+SUMPRODUCT((Projects!$G$10:$G$14="Yes")*(34=Projects!$C$10:$C$14+Projects!$D$10:$D$14-1)*Projects!$B$10:$B$14*Assumptions!$B$10*0.05)+SUMPRODUCT((Projects!$G$17:$G$46="Yes")*(34&gt;=Projects!$C$17:$C$46)*(34&lt;Projects!$C$17:$C$46+Projects!$D$17:$D$46)*Projects!$B$17:$B$46*(ROW(Projects!$B$17:$B$46)&lt;&gt;21)*Assumptions!$B$10/Projects!$D$17:$D$46*0.95)+SUMPRODUCT((Projects!$G$17:$G$46="Yes")*(34=Projects!$C$17:$C$46+Projects!$D$17:$D$46-1)*Projects!$B$17:$B$46*(ROW(Projects!$B$17:$B$46)&lt;&gt;21)*Assumptions!$B$10*0.05)+SUMPRODUCT((Projects!$G$10:$G$14="Yes")*(34&gt;=Projects!$C$10:$C$14)*(34&lt;Projects!$C$10:$C$14+Projects!$D$10:$D$14)*Projects!$B$10:$B$14*Assumptions!$B$12/Projects!$D$10:$D$14*0.95)+SUMPRODUCT((Projects!$G$10:$G$14="Yes")*(34=Projects!$C$10:$C$14+Projects!$D$10:$D$14-1)*Projects!$B$10:$B$14*Assumptions!$B$12*0.05)+SUMPRODUCT((Projects!$G$17:$G$46="Yes")*(34&gt;=Projects!$C$17:$C$46)*(34&lt;Projects!$C$17:$C$46+Projects!$D$17:$D$46)*Projects!$B$17:$B$46*(ROW(Projects!$B$17:$B$46)&lt;&gt;21)*Assumptions!$B$12/Projects!$D$17:$D$46*0.95)+SUMPRODUCT((Projects!$G$17:$G$46="Yes")*(34=Projects!$C$17:$C$46+Projects!$D$17:$D$46-1)*Projects!$B$17:$B$46*(ROW(Projects!$B$17:$B$46)&lt;&gt;21)*Assumptions!$B$12*0.05)+74983.9+0+IF(AND(Projects!$G$21="Yes",34&gt;=Projects!$C$21,34&lt;Projects!$C$21+Projects!$D$21),(Projects!$N$21+Projects!$P$21)/Projects!$D$21*0.95,0)+IF(AND(Projects!$G$21="Yes",34=Projects!$C$21+Projects!$D$21-1),(Projects!$N$21+Projects!$P$21)*0.05,0),Actuals!AM8)</f>
        <v>485799.4579018</v>
      </c>
      <c r="AM10" s="13" t="n">
        <f aca="false">IF(ISBLANK(Actuals!AN8),0+SUMPRODUCT((Projects!$G$10:$G$14="Yes")*(35&gt;=Projects!$C$10:$C$14)*(35&lt;Projects!$C$10:$C$14+Projects!$D$10:$D$14)*Projects!$B$10:$B$14*Assumptions!$B$10/Projects!$D$10:$D$14*0.95)+SUMPRODUCT((Projects!$G$10:$G$14="Yes")*(35=Projects!$C$10:$C$14+Projects!$D$10:$D$14-1)*Projects!$B$10:$B$14*Assumptions!$B$10*0.05)+SUMPRODUCT((Projects!$G$17:$G$46="Yes")*(35&gt;=Projects!$C$17:$C$46)*(35&lt;Projects!$C$17:$C$46+Projects!$D$17:$D$46)*Projects!$B$17:$B$46*(ROW(Projects!$B$17:$B$46)&lt;&gt;21)*Assumptions!$B$10/Projects!$D$17:$D$46*0.95)+SUMPRODUCT((Projects!$G$17:$G$46="Yes")*(35=Projects!$C$17:$C$46+Projects!$D$17:$D$46-1)*Projects!$B$17:$B$46*(ROW(Projects!$B$17:$B$46)&lt;&gt;21)*Assumptions!$B$10*0.05)+SUMPRODUCT((Projects!$G$10:$G$14="Yes")*(35&gt;=Projects!$C$10:$C$14)*(35&lt;Projects!$C$10:$C$14+Projects!$D$10:$D$14)*Projects!$B$10:$B$14*Assumptions!$B$12/Projects!$D$10:$D$14*0.95)+SUMPRODUCT((Projects!$G$10:$G$14="Yes")*(35=Projects!$C$10:$C$14+Projects!$D$10:$D$14-1)*Projects!$B$10:$B$14*Assumptions!$B$12*0.05)+SUMPRODUCT((Projects!$G$17:$G$46="Yes")*(35&gt;=Projects!$C$17:$C$46)*(35&lt;Projects!$C$17:$C$46+Projects!$D$17:$D$46)*Projects!$B$17:$B$46*(ROW(Projects!$B$17:$B$46)&lt;&gt;21)*Assumptions!$B$12/Projects!$D$17:$D$46*0.95)+SUMPRODUCT((Projects!$G$17:$G$46="Yes")*(35=Projects!$C$17:$C$46+Projects!$D$17:$D$46-1)*Projects!$B$17:$B$46*(ROW(Projects!$B$17:$B$46)&lt;&gt;21)*Assumptions!$B$12*0.05)+81509.57+0+IF(AND(Projects!$G$21="Yes",35&gt;=Projects!$C$21,35&lt;Projects!$C$21+Projects!$D$21),(Projects!$N$21+Projects!$P$21)/Projects!$D$21*0.95,0)+IF(AND(Projects!$G$21="Yes",35=Projects!$C$21+Projects!$D$21-1),(Projects!$N$21+Projects!$P$21)*0.05,0),Actuals!AN8)</f>
        <v>492325.1279018</v>
      </c>
      <c r="AN10" s="13" t="n">
        <f aca="false">IF(ISBLANK(Actuals!AO8),0+SUMPRODUCT((Projects!$G$10:$G$14="Yes")*(36&gt;=Projects!$C$10:$C$14)*(36&lt;Projects!$C$10:$C$14+Projects!$D$10:$D$14)*Projects!$B$10:$B$14*Assumptions!$B$10/Projects!$D$10:$D$14*0.95)+SUMPRODUCT((Projects!$G$10:$G$14="Yes")*(36=Projects!$C$10:$C$14+Projects!$D$10:$D$14-1)*Projects!$B$10:$B$14*Assumptions!$B$10*0.05)+SUMPRODUCT((Projects!$G$17:$G$46="Yes")*(36&gt;=Projects!$C$17:$C$46)*(36&lt;Projects!$C$17:$C$46+Projects!$D$17:$D$46)*Projects!$B$17:$B$46*(ROW(Projects!$B$17:$B$46)&lt;&gt;21)*Assumptions!$B$10/Projects!$D$17:$D$46*0.95)+SUMPRODUCT((Projects!$G$17:$G$46="Yes")*(36=Projects!$C$17:$C$46+Projects!$D$17:$D$46-1)*Projects!$B$17:$B$46*(ROW(Projects!$B$17:$B$46)&lt;&gt;21)*Assumptions!$B$10*0.05)+SUMPRODUCT((Projects!$G$10:$G$14="Yes")*(36&gt;=Projects!$C$10:$C$14)*(36&lt;Projects!$C$10:$C$14+Projects!$D$10:$D$14)*Projects!$B$10:$B$14*Assumptions!$B$12/Projects!$D$10:$D$14*0.95)+SUMPRODUCT((Projects!$G$10:$G$14="Yes")*(36=Projects!$C$10:$C$14+Projects!$D$10:$D$14-1)*Projects!$B$10:$B$14*Assumptions!$B$12*0.05)+SUMPRODUCT((Projects!$G$17:$G$46="Yes")*(36&gt;=Projects!$C$17:$C$46)*(36&lt;Projects!$C$17:$C$46+Projects!$D$17:$D$46)*Projects!$B$17:$B$46*(ROW(Projects!$B$17:$B$46)&lt;&gt;21)*Assumptions!$B$12/Projects!$D$17:$D$46*0.95)+SUMPRODUCT((Projects!$G$17:$G$46="Yes")*(36=Projects!$C$17:$C$46+Projects!$D$17:$D$46-1)*Projects!$B$17:$B$46*(ROW(Projects!$B$17:$B$46)&lt;&gt;21)*Assumptions!$B$12*0.05)+21929.45+0+IF(AND(Projects!$G$21="Yes",36&gt;=Projects!$C$21,36&lt;Projects!$C$21+Projects!$D$21),(Projects!$N$21+Projects!$P$21)/Projects!$D$21*0.95,0)+IF(AND(Projects!$G$21="Yes",36=Projects!$C$21+Projects!$D$21-1),(Projects!$N$21+Projects!$P$21)*0.05,0),Actuals!AO8)</f>
        <v>481656.68781555</v>
      </c>
      <c r="AO10" s="13" t="n">
        <f aca="false">IF(ISBLANK(Actuals!AP8),0+SUMPRODUCT((Projects!$G$10:$G$14="Yes")*(37&gt;=Projects!$C$10:$C$14)*(37&lt;Projects!$C$10:$C$14+Projects!$D$10:$D$14)*Projects!$B$10:$B$14*Assumptions!$B$10/Projects!$D$10:$D$14*0.95)+SUMPRODUCT((Projects!$G$10:$G$14="Yes")*(37=Projects!$C$10:$C$14+Projects!$D$10:$D$14-1)*Projects!$B$10:$B$14*Assumptions!$B$10*0.05)+SUMPRODUCT((Projects!$G$17:$G$46="Yes")*(37&gt;=Projects!$C$17:$C$46)*(37&lt;Projects!$C$17:$C$46+Projects!$D$17:$D$46)*Projects!$B$17:$B$46*(ROW(Projects!$B$17:$B$46)&lt;&gt;21)*Assumptions!$B$10/Projects!$D$17:$D$46*0.95)+SUMPRODUCT((Projects!$G$17:$G$46="Yes")*(37=Projects!$C$17:$C$46+Projects!$D$17:$D$46-1)*Projects!$B$17:$B$46*(ROW(Projects!$B$17:$B$46)&lt;&gt;21)*Assumptions!$B$10*0.05)+SUMPRODUCT((Projects!$G$10:$G$14="Yes")*(37&gt;=Projects!$C$10:$C$14)*(37&lt;Projects!$C$10:$C$14+Projects!$D$10:$D$14)*Projects!$B$10:$B$14*Assumptions!$B$12/Projects!$D$10:$D$14*0.95)+SUMPRODUCT((Projects!$G$10:$G$14="Yes")*(37=Projects!$C$10:$C$14+Projects!$D$10:$D$14-1)*Projects!$B$10:$B$14*Assumptions!$B$12*0.05)+SUMPRODUCT((Projects!$G$17:$G$46="Yes")*(37&gt;=Projects!$C$17:$C$46)*(37&lt;Projects!$C$17:$C$46+Projects!$D$17:$D$46)*Projects!$B$17:$B$46*(ROW(Projects!$B$17:$B$46)&lt;&gt;21)*Assumptions!$B$12/Projects!$D$17:$D$46*0.95)+SUMPRODUCT((Projects!$G$17:$G$46="Yes")*(37=Projects!$C$17:$C$46+Projects!$D$17:$D$46-1)*Projects!$B$17:$B$46*(ROW(Projects!$B$17:$B$46)&lt;&gt;21)*Assumptions!$B$12*0.05)+0+IF(AND(Projects!$G$21="Yes",37&gt;=Projects!$C$21,37&lt;Projects!$C$21+Projects!$D$21),(Projects!$N$21+Projects!$P$21)/Projects!$D$21*0.95,0)+IF(AND(Projects!$G$21="Yes",37=Projects!$C$21+Projects!$D$21-1),(Projects!$N$21+Projects!$P$21)*0.05,0),Actuals!AP8)</f>
        <v>409049.09148805</v>
      </c>
      <c r="AP10" s="13" t="n">
        <f aca="false">IF(ISBLANK(Actuals!AQ8),0+SUMPRODUCT((Projects!$G$10:$G$14="Yes")*(38&gt;=Projects!$C$10:$C$14)*(38&lt;Projects!$C$10:$C$14+Projects!$D$10:$D$14)*Projects!$B$10:$B$14*Assumptions!$B$10/Projects!$D$10:$D$14*0.95)+SUMPRODUCT((Projects!$G$10:$G$14="Yes")*(38=Projects!$C$10:$C$14+Projects!$D$10:$D$14-1)*Projects!$B$10:$B$14*Assumptions!$B$10*0.05)+SUMPRODUCT((Projects!$G$17:$G$46="Yes")*(38&gt;=Projects!$C$17:$C$46)*(38&lt;Projects!$C$17:$C$46+Projects!$D$17:$D$46)*Projects!$B$17:$B$46*(ROW(Projects!$B$17:$B$46)&lt;&gt;21)*Assumptions!$B$10/Projects!$D$17:$D$46*0.95)+SUMPRODUCT((Projects!$G$17:$G$46="Yes")*(38=Projects!$C$17:$C$46+Projects!$D$17:$D$46-1)*Projects!$B$17:$B$46*(ROW(Projects!$B$17:$B$46)&lt;&gt;21)*Assumptions!$B$10*0.05)+SUMPRODUCT((Projects!$G$10:$G$14="Yes")*(38&gt;=Projects!$C$10:$C$14)*(38&lt;Projects!$C$10:$C$14+Projects!$D$10:$D$14)*Projects!$B$10:$B$14*Assumptions!$B$12/Projects!$D$10:$D$14*0.95)+SUMPRODUCT((Projects!$G$10:$G$14="Yes")*(38=Projects!$C$10:$C$14+Projects!$D$10:$D$14-1)*Projects!$B$10:$B$14*Assumptions!$B$12*0.05)+SUMPRODUCT((Projects!$G$17:$G$46="Yes")*(38&gt;=Projects!$C$17:$C$46)*(38&lt;Projects!$C$17:$C$46+Projects!$D$17:$D$46)*Projects!$B$17:$B$46*(ROW(Projects!$B$17:$B$46)&lt;&gt;21)*Assumptions!$B$12/Projects!$D$17:$D$46*0.95)+SUMPRODUCT((Projects!$G$17:$G$46="Yes")*(38=Projects!$C$17:$C$46+Projects!$D$17:$D$46-1)*Projects!$B$17:$B$46*(ROW(Projects!$B$17:$B$46)&lt;&gt;21)*Assumptions!$B$12*0.05)+0+IF(AND(Projects!$G$21="Yes",38&gt;=Projects!$C$21,38&lt;Projects!$C$21+Projects!$D$21),(Projects!$N$21+Projects!$P$21)/Projects!$D$21*0.95,0)+IF(AND(Projects!$G$21="Yes",38=Projects!$C$21+Projects!$D$21-1),(Projects!$N$21+Projects!$P$21)*0.05,0),Actuals!AQ8)</f>
        <v>387899.4618368</v>
      </c>
      <c r="AQ10" s="13" t="n">
        <f aca="false">IF(ISBLANK(Actuals!AR8),0+SUMPRODUCT((Projects!$G$10:$G$14="Yes")*(39&gt;=Projects!$C$10:$C$14)*(39&lt;Projects!$C$10:$C$14+Projects!$D$10:$D$14)*Projects!$B$10:$B$14*Assumptions!$B$10/Projects!$D$10:$D$14*0.95)+SUMPRODUCT((Projects!$G$10:$G$14="Yes")*(39=Projects!$C$10:$C$14+Projects!$D$10:$D$14-1)*Projects!$B$10:$B$14*Assumptions!$B$10*0.05)+SUMPRODUCT((Projects!$G$17:$G$46="Yes")*(39&gt;=Projects!$C$17:$C$46)*(39&lt;Projects!$C$17:$C$46+Projects!$D$17:$D$46)*Projects!$B$17:$B$46*(ROW(Projects!$B$17:$B$46)&lt;&gt;21)*Assumptions!$B$10/Projects!$D$17:$D$46*0.95)+SUMPRODUCT((Projects!$G$17:$G$46="Yes")*(39=Projects!$C$17:$C$46+Projects!$D$17:$D$46-1)*Projects!$B$17:$B$46*(ROW(Projects!$B$17:$B$46)&lt;&gt;21)*Assumptions!$B$10*0.05)+SUMPRODUCT((Projects!$G$10:$G$14="Yes")*(39&gt;=Projects!$C$10:$C$14)*(39&lt;Projects!$C$10:$C$14+Projects!$D$10:$D$14)*Projects!$B$10:$B$14*Assumptions!$B$12/Projects!$D$10:$D$14*0.95)+SUMPRODUCT((Projects!$G$10:$G$14="Yes")*(39=Projects!$C$10:$C$14+Projects!$D$10:$D$14-1)*Projects!$B$10:$B$14*Assumptions!$B$12*0.05)+SUMPRODUCT((Projects!$G$17:$G$46="Yes")*(39&gt;=Projects!$C$17:$C$46)*(39&lt;Projects!$C$17:$C$46+Projects!$D$17:$D$46)*Projects!$B$17:$B$46*(ROW(Projects!$B$17:$B$46)&lt;&gt;21)*Assumptions!$B$12/Projects!$D$17:$D$46*0.95)+SUMPRODUCT((Projects!$G$17:$G$46="Yes")*(39=Projects!$C$17:$C$46+Projects!$D$17:$D$46-1)*Projects!$B$17:$B$46*(ROW(Projects!$B$17:$B$46)&lt;&gt;21)*Assumptions!$B$12*0.05)+0+IF(AND(Projects!$G$21="Yes",39&gt;=Projects!$C$21,39&lt;Projects!$C$21+Projects!$D$21),(Projects!$N$21+Projects!$P$21)/Projects!$D$21*0.95,0)+IF(AND(Projects!$G$21="Yes",39=Projects!$C$21+Projects!$D$21-1),(Projects!$N$21+Projects!$P$21)*0.05,0),Actuals!AR8)</f>
        <v>256855.533253623</v>
      </c>
      <c r="AR10" s="13" t="n">
        <f aca="false">IF(ISBLANK(Actuals!AS8),0+SUMPRODUCT((Projects!$G$10:$G$14="Yes")*(40&gt;=Projects!$C$10:$C$14)*(40&lt;Projects!$C$10:$C$14+Projects!$D$10:$D$14)*Projects!$B$10:$B$14*Assumptions!$B$10/Projects!$D$10:$D$14*0.95)+SUMPRODUCT((Projects!$G$10:$G$14="Yes")*(40=Projects!$C$10:$C$14+Projects!$D$10:$D$14-1)*Projects!$B$10:$B$14*Assumptions!$B$10*0.05)+SUMPRODUCT((Projects!$G$17:$G$46="Yes")*(40&gt;=Projects!$C$17:$C$46)*(40&lt;Projects!$C$17:$C$46+Projects!$D$17:$D$46)*Projects!$B$17:$B$46*(ROW(Projects!$B$17:$B$46)&lt;&gt;21)*Assumptions!$B$10/Projects!$D$17:$D$46*0.95)+SUMPRODUCT((Projects!$G$17:$G$46="Yes")*(40=Projects!$C$17:$C$46+Projects!$D$17:$D$46-1)*Projects!$B$17:$B$46*(ROW(Projects!$B$17:$B$46)&lt;&gt;21)*Assumptions!$B$10*0.05)+SUMPRODUCT((Projects!$G$10:$G$14="Yes")*(40&gt;=Projects!$C$10:$C$14)*(40&lt;Projects!$C$10:$C$14+Projects!$D$10:$D$14)*Projects!$B$10:$B$14*Assumptions!$B$12/Projects!$D$10:$D$14*0.95)+SUMPRODUCT((Projects!$G$10:$G$14="Yes")*(40=Projects!$C$10:$C$14+Projects!$D$10:$D$14-1)*Projects!$B$10:$B$14*Assumptions!$B$12*0.05)+SUMPRODUCT((Projects!$G$17:$G$46="Yes")*(40&gt;=Projects!$C$17:$C$46)*(40&lt;Projects!$C$17:$C$46+Projects!$D$17:$D$46)*Projects!$B$17:$B$46*(ROW(Projects!$B$17:$B$46)&lt;&gt;21)*Assumptions!$B$12/Projects!$D$17:$D$46*0.95)+SUMPRODUCT((Projects!$G$17:$G$46="Yes")*(40=Projects!$C$17:$C$46+Projects!$D$17:$D$46-1)*Projects!$B$17:$B$46*(ROW(Projects!$B$17:$B$46)&lt;&gt;21)*Assumptions!$B$12*0.05)+0+IF(AND(Projects!$G$21="Yes",40&gt;=Projects!$C$21,40&lt;Projects!$C$21+Projects!$D$21),(Projects!$N$21+Projects!$P$21)/Projects!$D$21*0.95,0)+IF(AND(Projects!$G$21="Yes",40=Projects!$C$21+Projects!$D$21-1),(Projects!$N$21+Projects!$P$21)*0.05,0),Actuals!AS8)</f>
        <v>256855.533253623</v>
      </c>
      <c r="AS10" s="13" t="n">
        <f aca="false">IF(ISBLANK(Actuals!AT8),0+SUMPRODUCT((Projects!$G$10:$G$14="Yes")*(41&gt;=Projects!$C$10:$C$14)*(41&lt;Projects!$C$10:$C$14+Projects!$D$10:$D$14)*Projects!$B$10:$B$14*Assumptions!$B$10/Projects!$D$10:$D$14*0.95)+SUMPRODUCT((Projects!$G$10:$G$14="Yes")*(41=Projects!$C$10:$C$14+Projects!$D$10:$D$14-1)*Projects!$B$10:$B$14*Assumptions!$B$10*0.05)+SUMPRODUCT((Projects!$G$17:$G$46="Yes")*(41&gt;=Projects!$C$17:$C$46)*(41&lt;Projects!$C$17:$C$46+Projects!$D$17:$D$46)*Projects!$B$17:$B$46*(ROW(Projects!$B$17:$B$46)&lt;&gt;21)*Assumptions!$B$10/Projects!$D$17:$D$46*0.95)+SUMPRODUCT((Projects!$G$17:$G$46="Yes")*(41=Projects!$C$17:$C$46+Projects!$D$17:$D$46-1)*Projects!$B$17:$B$46*(ROW(Projects!$B$17:$B$46)&lt;&gt;21)*Assumptions!$B$10*0.05)+SUMPRODUCT((Projects!$G$10:$G$14="Yes")*(41&gt;=Projects!$C$10:$C$14)*(41&lt;Projects!$C$10:$C$14+Projects!$D$10:$D$14)*Projects!$B$10:$B$14*Assumptions!$B$12/Projects!$D$10:$D$14*0.95)+SUMPRODUCT((Projects!$G$10:$G$14="Yes")*(41=Projects!$C$10:$C$14+Projects!$D$10:$D$14-1)*Projects!$B$10:$B$14*Assumptions!$B$12*0.05)+SUMPRODUCT((Projects!$G$17:$G$46="Yes")*(41&gt;=Projects!$C$17:$C$46)*(41&lt;Projects!$C$17:$C$46+Projects!$D$17:$D$46)*Projects!$B$17:$B$46*(ROW(Projects!$B$17:$B$46)&lt;&gt;21)*Assumptions!$B$12/Projects!$D$17:$D$46*0.95)+SUMPRODUCT((Projects!$G$17:$G$46="Yes")*(41=Projects!$C$17:$C$46+Projects!$D$17:$D$46-1)*Projects!$B$17:$B$46*(ROW(Projects!$B$17:$B$46)&lt;&gt;21)*Assumptions!$B$12*0.05)+0+IF(AND(Projects!$G$21="Yes",41&gt;=Projects!$C$21,41&lt;Projects!$C$21+Projects!$D$21),(Projects!$N$21+Projects!$P$21)/Projects!$D$21*0.95,0)+IF(AND(Projects!$G$21="Yes",41=Projects!$C$21+Projects!$D$21-1),(Projects!$N$21+Projects!$P$21)*0.05,0),Actuals!AT8)</f>
        <v>256855.533253623</v>
      </c>
      <c r="AT10" s="13" t="n">
        <f aca="false">IF(ISBLANK(Actuals!AU8),0+SUMPRODUCT((Projects!$G$10:$G$14="Yes")*(42&gt;=Projects!$C$10:$C$14)*(42&lt;Projects!$C$10:$C$14+Projects!$D$10:$D$14)*Projects!$B$10:$B$14*Assumptions!$B$10/Projects!$D$10:$D$14*0.95)+SUMPRODUCT((Projects!$G$10:$G$14="Yes")*(42=Projects!$C$10:$C$14+Projects!$D$10:$D$14-1)*Projects!$B$10:$B$14*Assumptions!$B$10*0.05)+SUMPRODUCT((Projects!$G$17:$G$46="Yes")*(42&gt;=Projects!$C$17:$C$46)*(42&lt;Projects!$C$17:$C$46+Projects!$D$17:$D$46)*Projects!$B$17:$B$46*(ROW(Projects!$B$17:$B$46)&lt;&gt;21)*Assumptions!$B$10/Projects!$D$17:$D$46*0.95)+SUMPRODUCT((Projects!$G$17:$G$46="Yes")*(42=Projects!$C$17:$C$46+Projects!$D$17:$D$46-1)*Projects!$B$17:$B$46*(ROW(Projects!$B$17:$B$46)&lt;&gt;21)*Assumptions!$B$10*0.05)+SUMPRODUCT((Projects!$G$10:$G$14="Yes")*(42&gt;=Projects!$C$10:$C$14)*(42&lt;Projects!$C$10:$C$14+Projects!$D$10:$D$14)*Projects!$B$10:$B$14*Assumptions!$B$12/Projects!$D$10:$D$14*0.95)+SUMPRODUCT((Projects!$G$10:$G$14="Yes")*(42=Projects!$C$10:$C$14+Projects!$D$10:$D$14-1)*Projects!$B$10:$B$14*Assumptions!$B$12*0.05)+SUMPRODUCT((Projects!$G$17:$G$46="Yes")*(42&gt;=Projects!$C$17:$C$46)*(42&lt;Projects!$C$17:$C$46+Projects!$D$17:$D$46)*Projects!$B$17:$B$46*(ROW(Projects!$B$17:$B$46)&lt;&gt;21)*Assumptions!$B$12/Projects!$D$17:$D$46*0.95)+SUMPRODUCT((Projects!$G$17:$G$46="Yes")*(42=Projects!$C$17:$C$46+Projects!$D$17:$D$46-1)*Projects!$B$17:$B$46*(ROW(Projects!$B$17:$B$46)&lt;&gt;21)*Assumptions!$B$12*0.05)+0+IF(AND(Projects!$G$21="Yes",42&gt;=Projects!$C$21,42&lt;Projects!$C$21+Projects!$D$21),(Projects!$N$21+Projects!$P$21)/Projects!$D$21*0.95,0)+IF(AND(Projects!$G$21="Yes",42=Projects!$C$21+Projects!$D$21-1),(Projects!$N$21+Projects!$P$21)*0.05,0),Actuals!AU8)</f>
        <v>342939.853866178</v>
      </c>
      <c r="AU10" s="13" t="n">
        <f aca="false">IF(ISBLANK(Actuals!AV8),0+SUMPRODUCT((Projects!$G$10:$G$14="Yes")*(43&gt;=Projects!$C$10:$C$14)*(43&lt;Projects!$C$10:$C$14+Projects!$D$10:$D$14)*Projects!$B$10:$B$14*Assumptions!$B$10/Projects!$D$10:$D$14*0.95)+SUMPRODUCT((Projects!$G$10:$G$14="Yes")*(43=Projects!$C$10:$C$14+Projects!$D$10:$D$14-1)*Projects!$B$10:$B$14*Assumptions!$B$10*0.05)+SUMPRODUCT((Projects!$G$17:$G$46="Yes")*(43&gt;=Projects!$C$17:$C$46)*(43&lt;Projects!$C$17:$C$46+Projects!$D$17:$D$46)*Projects!$B$17:$B$46*(ROW(Projects!$B$17:$B$46)&lt;&gt;21)*Assumptions!$B$10/Projects!$D$17:$D$46*0.95)+SUMPRODUCT((Projects!$G$17:$G$46="Yes")*(43=Projects!$C$17:$C$46+Projects!$D$17:$D$46-1)*Projects!$B$17:$B$46*(ROW(Projects!$B$17:$B$46)&lt;&gt;21)*Assumptions!$B$10*0.05)+SUMPRODUCT((Projects!$G$10:$G$14="Yes")*(43&gt;=Projects!$C$10:$C$14)*(43&lt;Projects!$C$10:$C$14+Projects!$D$10:$D$14)*Projects!$B$10:$B$14*Assumptions!$B$12/Projects!$D$10:$D$14*0.95)+SUMPRODUCT((Projects!$G$10:$G$14="Yes")*(43=Projects!$C$10:$C$14+Projects!$D$10:$D$14-1)*Projects!$B$10:$B$14*Assumptions!$B$12*0.05)+SUMPRODUCT((Projects!$G$17:$G$46="Yes")*(43&gt;=Projects!$C$17:$C$46)*(43&lt;Projects!$C$17:$C$46+Projects!$D$17:$D$46)*Projects!$B$17:$B$46*(ROW(Projects!$B$17:$B$46)&lt;&gt;21)*Assumptions!$B$12/Projects!$D$17:$D$46*0.95)+SUMPRODUCT((Projects!$G$17:$G$46="Yes")*(43=Projects!$C$17:$C$46+Projects!$D$17:$D$46-1)*Projects!$B$17:$B$46*(ROW(Projects!$B$17:$B$46)&lt;&gt;21)*Assumptions!$B$12*0.05)+0+IF(AND(Projects!$G$21="Yes",43&gt;=Projects!$C$21,43&lt;Projects!$C$21+Projects!$D$21),(Projects!$N$21+Projects!$P$21)/Projects!$D$21*0.95,0)+IF(AND(Projects!$G$21="Yes",43=Projects!$C$21+Projects!$D$21-1),(Projects!$N$21+Projects!$P$21)*0.05,0),Actuals!AV8)</f>
        <v>188705.446102017</v>
      </c>
      <c r="AV10" s="13" t="n">
        <f aca="false">IF(ISBLANK(Actuals!AW8),0+SUMPRODUCT((Projects!$G$10:$G$14="Yes")*(44&gt;=Projects!$C$10:$C$14)*(44&lt;Projects!$C$10:$C$14+Projects!$D$10:$D$14)*Projects!$B$10:$B$14*Assumptions!$B$10/Projects!$D$10:$D$14*0.95)+SUMPRODUCT((Projects!$G$10:$G$14="Yes")*(44=Projects!$C$10:$C$14+Projects!$D$10:$D$14-1)*Projects!$B$10:$B$14*Assumptions!$B$10*0.05)+SUMPRODUCT((Projects!$G$17:$G$46="Yes")*(44&gt;=Projects!$C$17:$C$46)*(44&lt;Projects!$C$17:$C$46+Projects!$D$17:$D$46)*Projects!$B$17:$B$46*(ROW(Projects!$B$17:$B$46)&lt;&gt;21)*Assumptions!$B$10/Projects!$D$17:$D$46*0.95)+SUMPRODUCT((Projects!$G$17:$G$46="Yes")*(44=Projects!$C$17:$C$46+Projects!$D$17:$D$46-1)*Projects!$B$17:$B$46*(ROW(Projects!$B$17:$B$46)&lt;&gt;21)*Assumptions!$B$10*0.05)+SUMPRODUCT((Projects!$G$10:$G$14="Yes")*(44&gt;=Projects!$C$10:$C$14)*(44&lt;Projects!$C$10:$C$14+Projects!$D$10:$D$14)*Projects!$B$10:$B$14*Assumptions!$B$12/Projects!$D$10:$D$14*0.95)+SUMPRODUCT((Projects!$G$10:$G$14="Yes")*(44=Projects!$C$10:$C$14+Projects!$D$10:$D$14-1)*Projects!$B$10:$B$14*Assumptions!$B$12*0.05)+SUMPRODUCT((Projects!$G$17:$G$46="Yes")*(44&gt;=Projects!$C$17:$C$46)*(44&lt;Projects!$C$17:$C$46+Projects!$D$17:$D$46)*Projects!$B$17:$B$46*(ROW(Projects!$B$17:$B$46)&lt;&gt;21)*Assumptions!$B$12/Projects!$D$17:$D$46*0.95)+SUMPRODUCT((Projects!$G$17:$G$46="Yes")*(44=Projects!$C$17:$C$46+Projects!$D$17:$D$46-1)*Projects!$B$17:$B$46*(ROW(Projects!$B$17:$B$46)&lt;&gt;21)*Assumptions!$B$12*0.05)+0+IF(AND(Projects!$G$21="Yes",44&gt;=Projects!$C$21,44&lt;Projects!$C$21+Projects!$D$21),(Projects!$N$21+Projects!$P$21)/Projects!$D$21*0.95,0)+IF(AND(Projects!$G$21="Yes",44=Projects!$C$21+Projects!$D$21-1),(Projects!$N$21+Projects!$P$21)*0.05,0),Actuals!AW8)</f>
        <v>344411.818209517</v>
      </c>
      <c r="AW10" s="13" t="n">
        <f aca="false">IF(ISBLANK(Actuals!AX8),0+SUMPRODUCT((Projects!$G$10:$G$14="Yes")*(45&gt;=Projects!$C$10:$C$14)*(45&lt;Projects!$C$10:$C$14+Projects!$D$10:$D$14)*Projects!$B$10:$B$14*Assumptions!$B$10/Projects!$D$10:$D$14*0.95)+SUMPRODUCT((Projects!$G$10:$G$14="Yes")*(45=Projects!$C$10:$C$14+Projects!$D$10:$D$14-1)*Projects!$B$10:$B$14*Assumptions!$B$10*0.05)+SUMPRODUCT((Projects!$G$17:$G$46="Yes")*(45&gt;=Projects!$C$17:$C$46)*(45&lt;Projects!$C$17:$C$46+Projects!$D$17:$D$46)*Projects!$B$17:$B$46*(ROW(Projects!$B$17:$B$46)&lt;&gt;21)*Assumptions!$B$10/Projects!$D$17:$D$46*0.95)+SUMPRODUCT((Projects!$G$17:$G$46="Yes")*(45=Projects!$C$17:$C$46+Projects!$D$17:$D$46-1)*Projects!$B$17:$B$46*(ROW(Projects!$B$17:$B$46)&lt;&gt;21)*Assumptions!$B$10*0.05)+SUMPRODUCT((Projects!$G$10:$G$14="Yes")*(45&gt;=Projects!$C$10:$C$14)*(45&lt;Projects!$C$10:$C$14+Projects!$D$10:$D$14)*Projects!$B$10:$B$14*Assumptions!$B$12/Projects!$D$10:$D$14*0.95)+SUMPRODUCT((Projects!$G$10:$G$14="Yes")*(45=Projects!$C$10:$C$14+Projects!$D$10:$D$14-1)*Projects!$B$10:$B$14*Assumptions!$B$12*0.05)+SUMPRODUCT((Projects!$G$17:$G$46="Yes")*(45&gt;=Projects!$C$17:$C$46)*(45&lt;Projects!$C$17:$C$46+Projects!$D$17:$D$46)*Projects!$B$17:$B$46*(ROW(Projects!$B$17:$B$46)&lt;&gt;21)*Assumptions!$B$12/Projects!$D$17:$D$46*0.95)+SUMPRODUCT((Projects!$G$17:$G$46="Yes")*(45=Projects!$C$17:$C$46+Projects!$D$17:$D$46-1)*Projects!$B$17:$B$46*(ROW(Projects!$B$17:$B$46)&lt;&gt;21)*Assumptions!$B$12*0.05)+0+IF(AND(Projects!$G$21="Yes",45&gt;=Projects!$C$21,45&lt;Projects!$C$21+Projects!$D$21),(Projects!$N$21+Projects!$P$21)/Projects!$D$21*0.95,0)+IF(AND(Projects!$G$21="Yes",45=Projects!$C$21+Projects!$D$21-1),(Projects!$N$21+Projects!$P$21)*0.05,0),Actuals!AX8)</f>
        <v>90091.4104339333</v>
      </c>
      <c r="AX10" s="13" t="n">
        <f aca="false">IF(ISBLANK(Actuals!AY8),0+SUMPRODUCT((Projects!$G$10:$G$14="Yes")*(46&gt;=Projects!$C$10:$C$14)*(46&lt;Projects!$C$10:$C$14+Projects!$D$10:$D$14)*Projects!$B$10:$B$14*Assumptions!$B$10/Projects!$D$10:$D$14*0.95)+SUMPRODUCT((Projects!$G$10:$G$14="Yes")*(46=Projects!$C$10:$C$14+Projects!$D$10:$D$14-1)*Projects!$B$10:$B$14*Assumptions!$B$10*0.05)+SUMPRODUCT((Projects!$G$17:$G$46="Yes")*(46&gt;=Projects!$C$17:$C$46)*(46&lt;Projects!$C$17:$C$46+Projects!$D$17:$D$46)*Projects!$B$17:$B$46*(ROW(Projects!$B$17:$B$46)&lt;&gt;21)*Assumptions!$B$10/Projects!$D$17:$D$46*0.95)+SUMPRODUCT((Projects!$G$17:$G$46="Yes")*(46=Projects!$C$17:$C$46+Projects!$D$17:$D$46-1)*Projects!$B$17:$B$46*(ROW(Projects!$B$17:$B$46)&lt;&gt;21)*Assumptions!$B$10*0.05)+SUMPRODUCT((Projects!$G$10:$G$14="Yes")*(46&gt;=Projects!$C$10:$C$14)*(46&lt;Projects!$C$10:$C$14+Projects!$D$10:$D$14)*Projects!$B$10:$B$14*Assumptions!$B$12/Projects!$D$10:$D$14*0.95)+SUMPRODUCT((Projects!$G$10:$G$14="Yes")*(46=Projects!$C$10:$C$14+Projects!$D$10:$D$14-1)*Projects!$B$10:$B$14*Assumptions!$B$12*0.05)+SUMPRODUCT((Projects!$G$17:$G$46="Yes")*(46&gt;=Projects!$C$17:$C$46)*(46&lt;Projects!$C$17:$C$46+Projects!$D$17:$D$46)*Projects!$B$17:$B$46*(ROW(Projects!$B$17:$B$46)&lt;&gt;21)*Assumptions!$B$12/Projects!$D$17:$D$46*0.95)+SUMPRODUCT((Projects!$G$17:$G$46="Yes")*(46=Projects!$C$17:$C$46+Projects!$D$17:$D$46-1)*Projects!$B$17:$B$46*(ROW(Projects!$B$17:$B$46)&lt;&gt;21)*Assumptions!$B$12*0.05)+0+IF(AND(Projects!$G$21="Yes",46&gt;=Projects!$C$21,46&lt;Projects!$C$21+Projects!$D$21),(Projects!$N$21+Projects!$P$21)/Projects!$D$21*0.95,0)+IF(AND(Projects!$G$21="Yes",46=Projects!$C$21+Projects!$D$21-1),(Projects!$N$21+Projects!$P$21)*0.05,0),Actuals!AY8)</f>
        <v>90091.4104339333</v>
      </c>
      <c r="AY10" s="13" t="n">
        <f aca="false">IF(ISBLANK(Actuals!AZ8),0+SUMPRODUCT((Projects!$G$10:$G$14="Yes")*(47&gt;=Projects!$C$10:$C$14)*(47&lt;Projects!$C$10:$C$14+Projects!$D$10:$D$14)*Projects!$B$10:$B$14*Assumptions!$B$10/Projects!$D$10:$D$14*0.95)+SUMPRODUCT((Projects!$G$10:$G$14="Yes")*(47=Projects!$C$10:$C$14+Projects!$D$10:$D$14-1)*Projects!$B$10:$B$14*Assumptions!$B$10*0.05)+SUMPRODUCT((Projects!$G$17:$G$46="Yes")*(47&gt;=Projects!$C$17:$C$46)*(47&lt;Projects!$C$17:$C$46+Projects!$D$17:$D$46)*Projects!$B$17:$B$46*(ROW(Projects!$B$17:$B$46)&lt;&gt;21)*Assumptions!$B$10/Projects!$D$17:$D$46*0.95)+SUMPRODUCT((Projects!$G$17:$G$46="Yes")*(47=Projects!$C$17:$C$46+Projects!$D$17:$D$46-1)*Projects!$B$17:$B$46*(ROW(Projects!$B$17:$B$46)&lt;&gt;21)*Assumptions!$B$10*0.05)+SUMPRODUCT((Projects!$G$10:$G$14="Yes")*(47&gt;=Projects!$C$10:$C$14)*(47&lt;Projects!$C$10:$C$14+Projects!$D$10:$D$14)*Projects!$B$10:$B$14*Assumptions!$B$12/Projects!$D$10:$D$14*0.95)+SUMPRODUCT((Projects!$G$10:$G$14="Yes")*(47=Projects!$C$10:$C$14+Projects!$D$10:$D$14-1)*Projects!$B$10:$B$14*Assumptions!$B$12*0.05)+SUMPRODUCT((Projects!$G$17:$G$46="Yes")*(47&gt;=Projects!$C$17:$C$46)*(47&lt;Projects!$C$17:$C$46+Projects!$D$17:$D$46)*Projects!$B$17:$B$46*(ROW(Projects!$B$17:$B$46)&lt;&gt;21)*Assumptions!$B$12/Projects!$D$17:$D$46*0.95)+SUMPRODUCT((Projects!$G$17:$G$46="Yes")*(47=Projects!$C$17:$C$46+Projects!$D$17:$D$46-1)*Projects!$B$17:$B$46*(ROW(Projects!$B$17:$B$46)&lt;&gt;21)*Assumptions!$B$12*0.05)+0+IF(AND(Projects!$G$21="Yes",47&gt;=Projects!$C$21,47&lt;Projects!$C$21+Projects!$D$21),(Projects!$N$21+Projects!$P$21)/Projects!$D$21*0.95,0)+IF(AND(Projects!$G$21="Yes",47=Projects!$C$21+Projects!$D$21-1),(Projects!$N$21+Projects!$P$21)*0.05,0),Actuals!AZ8)</f>
        <v>90091.4104339333</v>
      </c>
      <c r="AZ10" s="13" t="n">
        <f aca="false">IF(ISBLANK(Actuals!BA8),0+SUMPRODUCT((Projects!$G$10:$G$14="Yes")*(48&gt;=Projects!$C$10:$C$14)*(48&lt;Projects!$C$10:$C$14+Projects!$D$10:$D$14)*Projects!$B$10:$B$14*Assumptions!$B$10/Projects!$D$10:$D$14*0.95)+SUMPRODUCT((Projects!$G$10:$G$14="Yes")*(48=Projects!$C$10:$C$14+Projects!$D$10:$D$14-1)*Projects!$B$10:$B$14*Assumptions!$B$10*0.05)+SUMPRODUCT((Projects!$G$17:$G$46="Yes")*(48&gt;=Projects!$C$17:$C$46)*(48&lt;Projects!$C$17:$C$46+Projects!$D$17:$D$46)*Projects!$B$17:$B$46*(ROW(Projects!$B$17:$B$46)&lt;&gt;21)*Assumptions!$B$10/Projects!$D$17:$D$46*0.95)+SUMPRODUCT((Projects!$G$17:$G$46="Yes")*(48=Projects!$C$17:$C$46+Projects!$D$17:$D$46-1)*Projects!$B$17:$B$46*(ROW(Projects!$B$17:$B$46)&lt;&gt;21)*Assumptions!$B$10*0.05)+SUMPRODUCT((Projects!$G$10:$G$14="Yes")*(48&gt;=Projects!$C$10:$C$14)*(48&lt;Projects!$C$10:$C$14+Projects!$D$10:$D$14)*Projects!$B$10:$B$14*Assumptions!$B$12/Projects!$D$10:$D$14*0.95)+SUMPRODUCT((Projects!$G$10:$G$14="Yes")*(48=Projects!$C$10:$C$14+Projects!$D$10:$D$14-1)*Projects!$B$10:$B$14*Assumptions!$B$12*0.05)+SUMPRODUCT((Projects!$G$17:$G$46="Yes")*(48&gt;=Projects!$C$17:$C$46)*(48&lt;Projects!$C$17:$C$46+Projects!$D$17:$D$46)*Projects!$B$17:$B$46*(ROW(Projects!$B$17:$B$46)&lt;&gt;21)*Assumptions!$B$12/Projects!$D$17:$D$46*0.95)+SUMPRODUCT((Projects!$G$17:$G$46="Yes")*(48=Projects!$C$17:$C$46+Projects!$D$17:$D$46-1)*Projects!$B$17:$B$46*(ROW(Projects!$B$17:$B$46)&lt;&gt;21)*Assumptions!$B$12*0.05)+0+IF(AND(Projects!$G$21="Yes",48&gt;=Projects!$C$21,48&lt;Projects!$C$21+Projects!$D$21),(Projects!$N$21+Projects!$P$21)/Projects!$D$21*0.95,0)+IF(AND(Projects!$G$21="Yes",48=Projects!$C$21+Projects!$D$21-1),(Projects!$N$21+Projects!$P$21)*0.05,0),Actuals!BA8)</f>
        <v>90091.4104339333</v>
      </c>
      <c r="BA10" s="13" t="n">
        <f aca="false">IF(ISBLANK(Actuals!BB8),0+SUMPRODUCT((Projects!$G$10:$G$14="Yes")*(49&gt;=Projects!$C$10:$C$14)*(49&lt;Projects!$C$10:$C$14+Projects!$D$10:$D$14)*Projects!$B$10:$B$14*Assumptions!$B$10/Projects!$D$10:$D$14*0.95)+SUMPRODUCT((Projects!$G$10:$G$14="Yes")*(49=Projects!$C$10:$C$14+Projects!$D$10:$D$14-1)*Projects!$B$10:$B$14*Assumptions!$B$10*0.05)+SUMPRODUCT((Projects!$G$17:$G$46="Yes")*(49&gt;=Projects!$C$17:$C$46)*(49&lt;Projects!$C$17:$C$46+Projects!$D$17:$D$46)*Projects!$B$17:$B$46*(ROW(Projects!$B$17:$B$46)&lt;&gt;21)*Assumptions!$B$10/Projects!$D$17:$D$46*0.95)+SUMPRODUCT((Projects!$G$17:$G$46="Yes")*(49=Projects!$C$17:$C$46+Projects!$D$17:$D$46-1)*Projects!$B$17:$B$46*(ROW(Projects!$B$17:$B$46)&lt;&gt;21)*Assumptions!$B$10*0.05)+SUMPRODUCT((Projects!$G$10:$G$14="Yes")*(49&gt;=Projects!$C$10:$C$14)*(49&lt;Projects!$C$10:$C$14+Projects!$D$10:$D$14)*Projects!$B$10:$B$14*Assumptions!$B$12/Projects!$D$10:$D$14*0.95)+SUMPRODUCT((Projects!$G$10:$G$14="Yes")*(49=Projects!$C$10:$C$14+Projects!$D$10:$D$14-1)*Projects!$B$10:$B$14*Assumptions!$B$12*0.05)+SUMPRODUCT((Projects!$G$17:$G$46="Yes")*(49&gt;=Projects!$C$17:$C$46)*(49&lt;Projects!$C$17:$C$46+Projects!$D$17:$D$46)*Projects!$B$17:$B$46*(ROW(Projects!$B$17:$B$46)&lt;&gt;21)*Assumptions!$B$12/Projects!$D$17:$D$46*0.95)+SUMPRODUCT((Projects!$G$17:$G$46="Yes")*(49=Projects!$C$17:$C$46+Projects!$D$17:$D$46-1)*Projects!$B$17:$B$46*(ROW(Projects!$B$17:$B$46)&lt;&gt;21)*Assumptions!$B$12*0.05)+0+IF(AND(Projects!$G$21="Yes",49&gt;=Projects!$C$21,49&lt;Projects!$C$21+Projects!$D$21),(Projects!$N$21+Projects!$P$21)/Projects!$D$21*0.95,0)+IF(AND(Projects!$G$21="Yes",49=Projects!$C$21+Projects!$D$21-1),(Projects!$N$21+Projects!$P$21)*0.05,0),Actuals!BB8)</f>
        <v>90091.4104339333</v>
      </c>
      <c r="BB10" s="13" t="n">
        <f aca="false">IF(ISBLANK(Actuals!BC8),0+SUMPRODUCT((Projects!$G$10:$G$14="Yes")*(50&gt;=Projects!$C$10:$C$14)*(50&lt;Projects!$C$10:$C$14+Projects!$D$10:$D$14)*Projects!$B$10:$B$14*Assumptions!$B$10/Projects!$D$10:$D$14*0.95)+SUMPRODUCT((Projects!$G$10:$G$14="Yes")*(50=Projects!$C$10:$C$14+Projects!$D$10:$D$14-1)*Projects!$B$10:$B$14*Assumptions!$B$10*0.05)+SUMPRODUCT((Projects!$G$17:$G$46="Yes")*(50&gt;=Projects!$C$17:$C$46)*(50&lt;Projects!$C$17:$C$46+Projects!$D$17:$D$46)*Projects!$B$17:$B$46*(ROW(Projects!$B$17:$B$46)&lt;&gt;21)*Assumptions!$B$10/Projects!$D$17:$D$46*0.95)+SUMPRODUCT((Projects!$G$17:$G$46="Yes")*(50=Projects!$C$17:$C$46+Projects!$D$17:$D$46-1)*Projects!$B$17:$B$46*(ROW(Projects!$B$17:$B$46)&lt;&gt;21)*Assumptions!$B$10*0.05)+SUMPRODUCT((Projects!$G$10:$G$14="Yes")*(50&gt;=Projects!$C$10:$C$14)*(50&lt;Projects!$C$10:$C$14+Projects!$D$10:$D$14)*Projects!$B$10:$B$14*Assumptions!$B$12/Projects!$D$10:$D$14*0.95)+SUMPRODUCT((Projects!$G$10:$G$14="Yes")*(50=Projects!$C$10:$C$14+Projects!$D$10:$D$14-1)*Projects!$B$10:$B$14*Assumptions!$B$12*0.05)+SUMPRODUCT((Projects!$G$17:$G$46="Yes")*(50&gt;=Projects!$C$17:$C$46)*(50&lt;Projects!$C$17:$C$46+Projects!$D$17:$D$46)*Projects!$B$17:$B$46*(ROW(Projects!$B$17:$B$46)&lt;&gt;21)*Assumptions!$B$12/Projects!$D$17:$D$46*0.95)+SUMPRODUCT((Projects!$G$17:$G$46="Yes")*(50=Projects!$C$17:$C$46+Projects!$D$17:$D$46-1)*Projects!$B$17:$B$46*(ROW(Projects!$B$17:$B$46)&lt;&gt;21)*Assumptions!$B$12*0.05)+0+IF(AND(Projects!$G$21="Yes",50&gt;=Projects!$C$21,50&lt;Projects!$C$21+Projects!$D$21),(Projects!$N$21+Projects!$P$21)/Projects!$D$21*0.95,0)+IF(AND(Projects!$G$21="Yes",50=Projects!$C$21+Projects!$D$21-1),(Projects!$N$21+Projects!$P$21)*0.05,0),Actuals!BC8)</f>
        <v>90091.4104339333</v>
      </c>
      <c r="BC10" s="13" t="n">
        <f aca="false">IF(ISBLANK(Actuals!BD8),0+SUMPRODUCT((Projects!$G$10:$G$14="Yes")*(51&gt;=Projects!$C$10:$C$14)*(51&lt;Projects!$C$10:$C$14+Projects!$D$10:$D$14)*Projects!$B$10:$B$14*Assumptions!$B$10/Projects!$D$10:$D$14*0.95)+SUMPRODUCT((Projects!$G$10:$G$14="Yes")*(51=Projects!$C$10:$C$14+Projects!$D$10:$D$14-1)*Projects!$B$10:$B$14*Assumptions!$B$10*0.05)+SUMPRODUCT((Projects!$G$17:$G$46="Yes")*(51&gt;=Projects!$C$17:$C$46)*(51&lt;Projects!$C$17:$C$46+Projects!$D$17:$D$46)*Projects!$B$17:$B$46*(ROW(Projects!$B$17:$B$46)&lt;&gt;21)*Assumptions!$B$10/Projects!$D$17:$D$46*0.95)+SUMPRODUCT((Projects!$G$17:$G$46="Yes")*(51=Projects!$C$17:$C$46+Projects!$D$17:$D$46-1)*Projects!$B$17:$B$46*(ROW(Projects!$B$17:$B$46)&lt;&gt;21)*Assumptions!$B$10*0.05)+SUMPRODUCT((Projects!$G$10:$G$14="Yes")*(51&gt;=Projects!$C$10:$C$14)*(51&lt;Projects!$C$10:$C$14+Projects!$D$10:$D$14)*Projects!$B$10:$B$14*Assumptions!$B$12/Projects!$D$10:$D$14*0.95)+SUMPRODUCT((Projects!$G$10:$G$14="Yes")*(51=Projects!$C$10:$C$14+Projects!$D$10:$D$14-1)*Projects!$B$10:$B$14*Assumptions!$B$12*0.05)+SUMPRODUCT((Projects!$G$17:$G$46="Yes")*(51&gt;=Projects!$C$17:$C$46)*(51&lt;Projects!$C$17:$C$46+Projects!$D$17:$D$46)*Projects!$B$17:$B$46*(ROW(Projects!$B$17:$B$46)&lt;&gt;21)*Assumptions!$B$12/Projects!$D$17:$D$46*0.95)+SUMPRODUCT((Projects!$G$17:$G$46="Yes")*(51=Projects!$C$17:$C$46+Projects!$D$17:$D$46-1)*Projects!$B$17:$B$46*(ROW(Projects!$B$17:$B$46)&lt;&gt;21)*Assumptions!$B$12*0.05)+0+IF(AND(Projects!$G$21="Yes",51&gt;=Projects!$C$21,51&lt;Projects!$C$21+Projects!$D$21),(Projects!$N$21+Projects!$P$21)/Projects!$D$21*0.95,0)+IF(AND(Projects!$G$21="Yes",51=Projects!$C$21+Projects!$D$21-1),(Projects!$N$21+Projects!$P$21)*0.05,0),Actuals!BD8)</f>
        <v>90091.4104339333</v>
      </c>
      <c r="BD10" s="13" t="n">
        <f aca="false">IF(ISBLANK(Actuals!BE8),0+SUMPRODUCT((Projects!$G$10:$G$14="Yes")*(52&gt;=Projects!$C$10:$C$14)*(52&lt;Projects!$C$10:$C$14+Projects!$D$10:$D$14)*Projects!$B$10:$B$14*Assumptions!$B$10/Projects!$D$10:$D$14*0.95)+SUMPRODUCT((Projects!$G$10:$G$14="Yes")*(52=Projects!$C$10:$C$14+Projects!$D$10:$D$14-1)*Projects!$B$10:$B$14*Assumptions!$B$10*0.05)+SUMPRODUCT((Projects!$G$17:$G$46="Yes")*(52&gt;=Projects!$C$17:$C$46)*(52&lt;Projects!$C$17:$C$46+Projects!$D$17:$D$46)*Projects!$B$17:$B$46*(ROW(Projects!$B$17:$B$46)&lt;&gt;21)*Assumptions!$B$10/Projects!$D$17:$D$46*0.95)+SUMPRODUCT((Projects!$G$17:$G$46="Yes")*(52=Projects!$C$17:$C$46+Projects!$D$17:$D$46-1)*Projects!$B$17:$B$46*(ROW(Projects!$B$17:$B$46)&lt;&gt;21)*Assumptions!$B$10*0.05)+SUMPRODUCT((Projects!$G$10:$G$14="Yes")*(52&gt;=Projects!$C$10:$C$14)*(52&lt;Projects!$C$10:$C$14+Projects!$D$10:$D$14)*Projects!$B$10:$B$14*Assumptions!$B$12/Projects!$D$10:$D$14*0.95)+SUMPRODUCT((Projects!$G$10:$G$14="Yes")*(52=Projects!$C$10:$C$14+Projects!$D$10:$D$14-1)*Projects!$B$10:$B$14*Assumptions!$B$12*0.05)+SUMPRODUCT((Projects!$G$17:$G$46="Yes")*(52&gt;=Projects!$C$17:$C$46)*(52&lt;Projects!$C$17:$C$46+Projects!$D$17:$D$46)*Projects!$B$17:$B$46*(ROW(Projects!$B$17:$B$46)&lt;&gt;21)*Assumptions!$B$12/Projects!$D$17:$D$46*0.95)+SUMPRODUCT((Projects!$G$17:$G$46="Yes")*(52=Projects!$C$17:$C$46+Projects!$D$17:$D$46-1)*Projects!$B$17:$B$46*(ROW(Projects!$B$17:$B$46)&lt;&gt;21)*Assumptions!$B$12*0.05)+0+IF(AND(Projects!$G$21="Yes",52&gt;=Projects!$C$21,52&lt;Projects!$C$21+Projects!$D$21),(Projects!$N$21+Projects!$P$21)/Projects!$D$21*0.95,0)+IF(AND(Projects!$G$21="Yes",52=Projects!$C$21+Projects!$D$21-1),(Projects!$N$21+Projects!$P$21)*0.05,0),Actuals!BE8)</f>
        <v>90091.4104339333</v>
      </c>
      <c r="BE10" s="13" t="n">
        <f aca="false">IF(ISBLANK(Actuals!BF8),0+SUMPRODUCT((Projects!$G$10:$G$14="Yes")*(53&gt;=Projects!$C$10:$C$14)*(53&lt;Projects!$C$10:$C$14+Projects!$D$10:$D$14)*Projects!$B$10:$B$14*Assumptions!$B$10/Projects!$D$10:$D$14*0.95)+SUMPRODUCT((Projects!$G$10:$G$14="Yes")*(53=Projects!$C$10:$C$14+Projects!$D$10:$D$14-1)*Projects!$B$10:$B$14*Assumptions!$B$10*0.05)+SUMPRODUCT((Projects!$G$17:$G$46="Yes")*(53&gt;=Projects!$C$17:$C$46)*(53&lt;Projects!$C$17:$C$46+Projects!$D$17:$D$46)*Projects!$B$17:$B$46*(ROW(Projects!$B$17:$B$46)&lt;&gt;21)*Assumptions!$B$10/Projects!$D$17:$D$46*0.95)+SUMPRODUCT((Projects!$G$17:$G$46="Yes")*(53=Projects!$C$17:$C$46+Projects!$D$17:$D$46-1)*Projects!$B$17:$B$46*(ROW(Projects!$B$17:$B$46)&lt;&gt;21)*Assumptions!$B$10*0.05)+SUMPRODUCT((Projects!$G$10:$G$14="Yes")*(53&gt;=Projects!$C$10:$C$14)*(53&lt;Projects!$C$10:$C$14+Projects!$D$10:$D$14)*Projects!$B$10:$B$14*Assumptions!$B$12/Projects!$D$10:$D$14*0.95)+SUMPRODUCT((Projects!$G$10:$G$14="Yes")*(53=Projects!$C$10:$C$14+Projects!$D$10:$D$14-1)*Projects!$B$10:$B$14*Assumptions!$B$12*0.05)+SUMPRODUCT((Projects!$G$17:$G$46="Yes")*(53&gt;=Projects!$C$17:$C$46)*(53&lt;Projects!$C$17:$C$46+Projects!$D$17:$D$46)*Projects!$B$17:$B$46*(ROW(Projects!$B$17:$B$46)&lt;&gt;21)*Assumptions!$B$12/Projects!$D$17:$D$46*0.95)+SUMPRODUCT((Projects!$G$17:$G$46="Yes")*(53=Projects!$C$17:$C$46+Projects!$D$17:$D$46-1)*Projects!$B$17:$B$46*(ROW(Projects!$B$17:$B$46)&lt;&gt;21)*Assumptions!$B$12*0.05)+0+IF(AND(Projects!$G$21="Yes",53&gt;=Projects!$C$21,53&lt;Projects!$C$21+Projects!$D$21),(Projects!$N$21+Projects!$P$21)/Projects!$D$21*0.95,0)+IF(AND(Projects!$G$21="Yes",53=Projects!$C$21+Projects!$D$21-1),(Projects!$N$21+Projects!$P$21)*0.05,0),Actuals!BF8)</f>
        <v>90091.4104339333</v>
      </c>
      <c r="BF10" s="13" t="n">
        <f aca="false">IF(ISBLANK(Actuals!BG8),0+SUMPRODUCT((Projects!$G$10:$G$14="Yes")*(54&gt;=Projects!$C$10:$C$14)*(54&lt;Projects!$C$10:$C$14+Projects!$D$10:$D$14)*Projects!$B$10:$B$14*Assumptions!$B$10/Projects!$D$10:$D$14*0.95)+SUMPRODUCT((Projects!$G$10:$G$14="Yes")*(54=Projects!$C$10:$C$14+Projects!$D$10:$D$14-1)*Projects!$B$10:$B$14*Assumptions!$B$10*0.05)+SUMPRODUCT((Projects!$G$17:$G$46="Yes")*(54&gt;=Projects!$C$17:$C$46)*(54&lt;Projects!$C$17:$C$46+Projects!$D$17:$D$46)*Projects!$B$17:$B$46*(ROW(Projects!$B$17:$B$46)&lt;&gt;21)*Assumptions!$B$10/Projects!$D$17:$D$46*0.95)+SUMPRODUCT((Projects!$G$17:$G$46="Yes")*(54=Projects!$C$17:$C$46+Projects!$D$17:$D$46-1)*Projects!$B$17:$B$46*(ROW(Projects!$B$17:$B$46)&lt;&gt;21)*Assumptions!$B$10*0.05)+SUMPRODUCT((Projects!$G$10:$G$14="Yes")*(54&gt;=Projects!$C$10:$C$14)*(54&lt;Projects!$C$10:$C$14+Projects!$D$10:$D$14)*Projects!$B$10:$B$14*Assumptions!$B$12/Projects!$D$10:$D$14*0.95)+SUMPRODUCT((Projects!$G$10:$G$14="Yes")*(54=Projects!$C$10:$C$14+Projects!$D$10:$D$14-1)*Projects!$B$10:$B$14*Assumptions!$B$12*0.05)+SUMPRODUCT((Projects!$G$17:$G$46="Yes")*(54&gt;=Projects!$C$17:$C$46)*(54&lt;Projects!$C$17:$C$46+Projects!$D$17:$D$46)*Projects!$B$17:$B$46*(ROW(Projects!$B$17:$B$46)&lt;&gt;21)*Assumptions!$B$12/Projects!$D$17:$D$46*0.95)+SUMPRODUCT((Projects!$G$17:$G$46="Yes")*(54=Projects!$C$17:$C$46+Projects!$D$17:$D$46-1)*Projects!$B$17:$B$46*(ROW(Projects!$B$17:$B$46)&lt;&gt;21)*Assumptions!$B$12*0.05)+0+IF(AND(Projects!$G$21="Yes",54&gt;=Projects!$C$21,54&lt;Projects!$C$21+Projects!$D$21),(Projects!$N$21+Projects!$P$21)/Projects!$D$21*0.95,0)+IF(AND(Projects!$G$21="Yes",54=Projects!$C$21+Projects!$D$21-1),(Projects!$N$21+Projects!$P$21)*0.05,0),Actuals!BG8)</f>
        <v>90091.4104339333</v>
      </c>
      <c r="BG10" s="13" t="n">
        <f aca="false">IF(ISBLANK(Actuals!BH8),0+SUMPRODUCT((Projects!$G$10:$G$14="Yes")*(55&gt;=Projects!$C$10:$C$14)*(55&lt;Projects!$C$10:$C$14+Projects!$D$10:$D$14)*Projects!$B$10:$B$14*Assumptions!$B$10/Projects!$D$10:$D$14*0.95)+SUMPRODUCT((Projects!$G$10:$G$14="Yes")*(55=Projects!$C$10:$C$14+Projects!$D$10:$D$14-1)*Projects!$B$10:$B$14*Assumptions!$B$10*0.05)+SUMPRODUCT((Projects!$G$17:$G$46="Yes")*(55&gt;=Projects!$C$17:$C$46)*(55&lt;Projects!$C$17:$C$46+Projects!$D$17:$D$46)*Projects!$B$17:$B$46*(ROW(Projects!$B$17:$B$46)&lt;&gt;21)*Assumptions!$B$10/Projects!$D$17:$D$46*0.95)+SUMPRODUCT((Projects!$G$17:$G$46="Yes")*(55=Projects!$C$17:$C$46+Projects!$D$17:$D$46-1)*Projects!$B$17:$B$46*(ROW(Projects!$B$17:$B$46)&lt;&gt;21)*Assumptions!$B$10*0.05)+SUMPRODUCT((Projects!$G$10:$G$14="Yes")*(55&gt;=Projects!$C$10:$C$14)*(55&lt;Projects!$C$10:$C$14+Projects!$D$10:$D$14)*Projects!$B$10:$B$14*Assumptions!$B$12/Projects!$D$10:$D$14*0.95)+SUMPRODUCT((Projects!$G$10:$G$14="Yes")*(55=Projects!$C$10:$C$14+Projects!$D$10:$D$14-1)*Projects!$B$10:$B$14*Assumptions!$B$12*0.05)+SUMPRODUCT((Projects!$G$17:$G$46="Yes")*(55&gt;=Projects!$C$17:$C$46)*(55&lt;Projects!$C$17:$C$46+Projects!$D$17:$D$46)*Projects!$B$17:$B$46*(ROW(Projects!$B$17:$B$46)&lt;&gt;21)*Assumptions!$B$12/Projects!$D$17:$D$46*0.95)+SUMPRODUCT((Projects!$G$17:$G$46="Yes")*(55=Projects!$C$17:$C$46+Projects!$D$17:$D$46-1)*Projects!$B$17:$B$46*(ROW(Projects!$B$17:$B$46)&lt;&gt;21)*Assumptions!$B$12*0.05)+0+IF(AND(Projects!$G$21="Yes",55&gt;=Projects!$C$21,55&lt;Projects!$C$21+Projects!$D$21),(Projects!$N$21+Projects!$P$21)/Projects!$D$21*0.95,0)+IF(AND(Projects!$G$21="Yes",55=Projects!$C$21+Projects!$D$21-1),(Projects!$N$21+Projects!$P$21)*0.05,0),Actuals!BH8)</f>
        <v>90091.4104339333</v>
      </c>
      <c r="BH10" s="13" t="n">
        <f aca="false">IF(ISBLANK(Actuals!BI8),0+SUMPRODUCT((Projects!$G$10:$G$14="Yes")*(56&gt;=Projects!$C$10:$C$14)*(56&lt;Projects!$C$10:$C$14+Projects!$D$10:$D$14)*Projects!$B$10:$B$14*Assumptions!$B$10/Projects!$D$10:$D$14*0.95)+SUMPRODUCT((Projects!$G$10:$G$14="Yes")*(56=Projects!$C$10:$C$14+Projects!$D$10:$D$14-1)*Projects!$B$10:$B$14*Assumptions!$B$10*0.05)+SUMPRODUCT((Projects!$G$17:$G$46="Yes")*(56&gt;=Projects!$C$17:$C$46)*(56&lt;Projects!$C$17:$C$46+Projects!$D$17:$D$46)*Projects!$B$17:$B$46*(ROW(Projects!$B$17:$B$46)&lt;&gt;21)*Assumptions!$B$10/Projects!$D$17:$D$46*0.95)+SUMPRODUCT((Projects!$G$17:$G$46="Yes")*(56=Projects!$C$17:$C$46+Projects!$D$17:$D$46-1)*Projects!$B$17:$B$46*(ROW(Projects!$B$17:$B$46)&lt;&gt;21)*Assumptions!$B$10*0.05)+SUMPRODUCT((Projects!$G$10:$G$14="Yes")*(56&gt;=Projects!$C$10:$C$14)*(56&lt;Projects!$C$10:$C$14+Projects!$D$10:$D$14)*Projects!$B$10:$B$14*Assumptions!$B$12/Projects!$D$10:$D$14*0.95)+SUMPRODUCT((Projects!$G$10:$G$14="Yes")*(56=Projects!$C$10:$C$14+Projects!$D$10:$D$14-1)*Projects!$B$10:$B$14*Assumptions!$B$12*0.05)+SUMPRODUCT((Projects!$G$17:$G$46="Yes")*(56&gt;=Projects!$C$17:$C$46)*(56&lt;Projects!$C$17:$C$46+Projects!$D$17:$D$46)*Projects!$B$17:$B$46*(ROW(Projects!$B$17:$B$46)&lt;&gt;21)*Assumptions!$B$12/Projects!$D$17:$D$46*0.95)+SUMPRODUCT((Projects!$G$17:$G$46="Yes")*(56=Projects!$C$17:$C$46+Projects!$D$17:$D$46-1)*Projects!$B$17:$B$46*(ROW(Projects!$B$17:$B$46)&lt;&gt;21)*Assumptions!$B$12*0.05)+0+IF(AND(Projects!$G$21="Yes",56&gt;=Projects!$C$21,56&lt;Projects!$C$21+Projects!$D$21),(Projects!$N$21+Projects!$P$21)/Projects!$D$21*0.95,0)+IF(AND(Projects!$G$21="Yes",56=Projects!$C$21+Projects!$D$21-1),(Projects!$N$21+Projects!$P$21)*0.05,0),Actuals!BI8)</f>
        <v>232341.005855933</v>
      </c>
      <c r="BI10" s="13" t="n">
        <f aca="false">IF(ISBLANK(Actuals!BJ8),0+SUMPRODUCT((Projects!$G$10:$G$14="Yes")*(57&gt;=Projects!$C$10:$C$14)*(57&lt;Projects!$C$10:$C$14+Projects!$D$10:$D$14)*Projects!$B$10:$B$14*Assumptions!$B$10/Projects!$D$10:$D$14*0.95)+SUMPRODUCT((Projects!$G$10:$G$14="Yes")*(57=Projects!$C$10:$C$14+Projects!$D$10:$D$14-1)*Projects!$B$10:$B$14*Assumptions!$B$10*0.05)+SUMPRODUCT((Projects!$G$17:$G$46="Yes")*(57&gt;=Projects!$C$17:$C$46)*(57&lt;Projects!$C$17:$C$46+Projects!$D$17:$D$46)*Projects!$B$17:$B$46*(ROW(Projects!$B$17:$B$46)&lt;&gt;21)*Assumptions!$B$10/Projects!$D$17:$D$46*0.95)+SUMPRODUCT((Projects!$G$17:$G$46="Yes")*(57=Projects!$C$17:$C$46+Projects!$D$17:$D$46-1)*Projects!$B$17:$B$46*(ROW(Projects!$B$17:$B$46)&lt;&gt;21)*Assumptions!$B$10*0.05)+SUMPRODUCT((Projects!$G$10:$G$14="Yes")*(57&gt;=Projects!$C$10:$C$14)*(57&lt;Projects!$C$10:$C$14+Projects!$D$10:$D$14)*Projects!$B$10:$B$14*Assumptions!$B$12/Projects!$D$10:$D$14*0.95)+SUMPRODUCT((Projects!$G$10:$G$14="Yes")*(57=Projects!$C$10:$C$14+Projects!$D$10:$D$14-1)*Projects!$B$10:$B$14*Assumptions!$B$12*0.05)+SUMPRODUCT((Projects!$G$17:$G$46="Yes")*(57&gt;=Projects!$C$17:$C$46)*(57&lt;Projects!$C$17:$C$46+Projects!$D$17:$D$46)*Projects!$B$17:$B$46*(ROW(Projects!$B$17:$B$46)&lt;&gt;21)*Assumptions!$B$12/Projects!$D$17:$D$46*0.95)+SUMPRODUCT((Projects!$G$17:$G$46="Yes")*(57=Projects!$C$17:$C$46+Projects!$D$17:$D$46-1)*Projects!$B$17:$B$46*(ROW(Projects!$B$17:$B$46)&lt;&gt;21)*Assumptions!$B$12*0.05)+0+IF(AND(Projects!$G$21="Yes",57&gt;=Projects!$C$21,57&lt;Projects!$C$21+Projects!$D$21),(Projects!$N$21+Projects!$P$21)/Projects!$D$21*0.95,0)+IF(AND(Projects!$G$21="Yes",57=Projects!$C$21+Projects!$D$21-1),(Projects!$N$21+Projects!$P$21)*0.05,0),Actuals!BJ8)</f>
        <v>0</v>
      </c>
      <c r="BJ10" s="13" t="n">
        <f aca="false">IF(ISBLANK(Actuals!BK8),0+SUMPRODUCT((Projects!$G$10:$G$14="Yes")*(58&gt;=Projects!$C$10:$C$14)*(58&lt;Projects!$C$10:$C$14+Projects!$D$10:$D$14)*Projects!$B$10:$B$14*Assumptions!$B$10/Projects!$D$10:$D$14*0.95)+SUMPRODUCT((Projects!$G$10:$G$14="Yes")*(58=Projects!$C$10:$C$14+Projects!$D$10:$D$14-1)*Projects!$B$10:$B$14*Assumptions!$B$10*0.05)+SUMPRODUCT((Projects!$G$17:$G$46="Yes")*(58&gt;=Projects!$C$17:$C$46)*(58&lt;Projects!$C$17:$C$46+Projects!$D$17:$D$46)*Projects!$B$17:$B$46*(ROW(Projects!$B$17:$B$46)&lt;&gt;21)*Assumptions!$B$10/Projects!$D$17:$D$46*0.95)+SUMPRODUCT((Projects!$G$17:$G$46="Yes")*(58=Projects!$C$17:$C$46+Projects!$D$17:$D$46-1)*Projects!$B$17:$B$46*(ROW(Projects!$B$17:$B$46)&lt;&gt;21)*Assumptions!$B$10*0.05)+SUMPRODUCT((Projects!$G$10:$G$14="Yes")*(58&gt;=Projects!$C$10:$C$14)*(58&lt;Projects!$C$10:$C$14+Projects!$D$10:$D$14)*Projects!$B$10:$B$14*Assumptions!$B$12/Projects!$D$10:$D$14*0.95)+SUMPRODUCT((Projects!$G$10:$G$14="Yes")*(58=Projects!$C$10:$C$14+Projects!$D$10:$D$14-1)*Projects!$B$10:$B$14*Assumptions!$B$12*0.05)+SUMPRODUCT((Projects!$G$17:$G$46="Yes")*(58&gt;=Projects!$C$17:$C$46)*(58&lt;Projects!$C$17:$C$46+Projects!$D$17:$D$46)*Projects!$B$17:$B$46*(ROW(Projects!$B$17:$B$46)&lt;&gt;21)*Assumptions!$B$12/Projects!$D$17:$D$46*0.95)+SUMPRODUCT((Projects!$G$17:$G$46="Yes")*(58=Projects!$C$17:$C$46+Projects!$D$17:$D$46-1)*Projects!$B$17:$B$46*(ROW(Projects!$B$17:$B$46)&lt;&gt;21)*Assumptions!$B$12*0.05)+0+IF(AND(Projects!$G$21="Yes",58&gt;=Projects!$C$21,58&lt;Projects!$C$21+Projects!$D$21),(Projects!$N$21+Projects!$P$21)/Projects!$D$21*0.95,0)+IF(AND(Projects!$G$21="Yes",58=Projects!$C$21+Projects!$D$21-1),(Projects!$N$21+Projects!$P$21)*0.05,0),Actuals!BK8)</f>
        <v>0</v>
      </c>
      <c r="BK10" s="13" t="n">
        <f aca="false">IF(ISBLANK(Actuals!BL8),0+SUMPRODUCT((Projects!$G$10:$G$14="Yes")*(59&gt;=Projects!$C$10:$C$14)*(59&lt;Projects!$C$10:$C$14+Projects!$D$10:$D$14)*Projects!$B$10:$B$14*Assumptions!$B$10/Projects!$D$10:$D$14*0.95)+SUMPRODUCT((Projects!$G$10:$G$14="Yes")*(59=Projects!$C$10:$C$14+Projects!$D$10:$D$14-1)*Projects!$B$10:$B$14*Assumptions!$B$10*0.05)+SUMPRODUCT((Projects!$G$17:$G$46="Yes")*(59&gt;=Projects!$C$17:$C$46)*(59&lt;Projects!$C$17:$C$46+Projects!$D$17:$D$46)*Projects!$B$17:$B$46*(ROW(Projects!$B$17:$B$46)&lt;&gt;21)*Assumptions!$B$10/Projects!$D$17:$D$46*0.95)+SUMPRODUCT((Projects!$G$17:$G$46="Yes")*(59=Projects!$C$17:$C$46+Projects!$D$17:$D$46-1)*Projects!$B$17:$B$46*(ROW(Projects!$B$17:$B$46)&lt;&gt;21)*Assumptions!$B$10*0.05)+SUMPRODUCT((Projects!$G$10:$G$14="Yes")*(59&gt;=Projects!$C$10:$C$14)*(59&lt;Projects!$C$10:$C$14+Projects!$D$10:$D$14)*Projects!$B$10:$B$14*Assumptions!$B$12/Projects!$D$10:$D$14*0.95)+SUMPRODUCT((Projects!$G$10:$G$14="Yes")*(59=Projects!$C$10:$C$14+Projects!$D$10:$D$14-1)*Projects!$B$10:$B$14*Assumptions!$B$12*0.05)+SUMPRODUCT((Projects!$G$17:$G$46="Yes")*(59&gt;=Projects!$C$17:$C$46)*(59&lt;Projects!$C$17:$C$46+Projects!$D$17:$D$46)*Projects!$B$17:$B$46*(ROW(Projects!$B$17:$B$46)&lt;&gt;21)*Assumptions!$B$12/Projects!$D$17:$D$46*0.95)+SUMPRODUCT((Projects!$G$17:$G$46="Yes")*(59=Projects!$C$17:$C$46+Projects!$D$17:$D$46-1)*Projects!$B$17:$B$46*(ROW(Projects!$B$17:$B$46)&lt;&gt;21)*Assumptions!$B$12*0.05)+0+IF(AND(Projects!$G$21="Yes",59&gt;=Projects!$C$21,59&lt;Projects!$C$21+Projects!$D$21),(Projects!$N$21+Projects!$P$21)/Projects!$D$21*0.95,0)+IF(AND(Projects!$G$21="Yes",59=Projects!$C$21+Projects!$D$21-1),(Projects!$N$21+Projects!$P$21)*0.05,0),Actuals!BL8)</f>
        <v>0</v>
      </c>
      <c r="BL10" s="13" t="n">
        <f aca="false">IF(ISBLANK(Actuals!BM8),0+SUMPRODUCT((Projects!$G$10:$G$14="Yes")*(60&gt;=Projects!$C$10:$C$14)*(60&lt;Projects!$C$10:$C$14+Projects!$D$10:$D$14)*Projects!$B$10:$B$14*Assumptions!$B$10/Projects!$D$10:$D$14*0.95)+SUMPRODUCT((Projects!$G$10:$G$14="Yes")*(60=Projects!$C$10:$C$14+Projects!$D$10:$D$14-1)*Projects!$B$10:$B$14*Assumptions!$B$10*0.05)+SUMPRODUCT((Projects!$G$17:$G$46="Yes")*(60&gt;=Projects!$C$17:$C$46)*(60&lt;Projects!$C$17:$C$46+Projects!$D$17:$D$46)*Projects!$B$17:$B$46*(ROW(Projects!$B$17:$B$46)&lt;&gt;21)*Assumptions!$B$10/Projects!$D$17:$D$46*0.95)+SUMPRODUCT((Projects!$G$17:$G$46="Yes")*(60=Projects!$C$17:$C$46+Projects!$D$17:$D$46-1)*Projects!$B$17:$B$46*(ROW(Projects!$B$17:$B$46)&lt;&gt;21)*Assumptions!$B$10*0.05)+SUMPRODUCT((Projects!$G$10:$G$14="Yes")*(60&gt;=Projects!$C$10:$C$14)*(60&lt;Projects!$C$10:$C$14+Projects!$D$10:$D$14)*Projects!$B$10:$B$14*Assumptions!$B$12/Projects!$D$10:$D$14*0.95)+SUMPRODUCT((Projects!$G$10:$G$14="Yes")*(60=Projects!$C$10:$C$14+Projects!$D$10:$D$14-1)*Projects!$B$10:$B$14*Assumptions!$B$12*0.05)+SUMPRODUCT((Projects!$G$17:$G$46="Yes")*(60&gt;=Projects!$C$17:$C$46)*(60&lt;Projects!$C$17:$C$46+Projects!$D$17:$D$46)*Projects!$B$17:$B$46*(ROW(Projects!$B$17:$B$46)&lt;&gt;21)*Assumptions!$B$12/Projects!$D$17:$D$46*0.95)+SUMPRODUCT((Projects!$G$17:$G$46="Yes")*(60=Projects!$C$17:$C$46+Projects!$D$17:$D$46-1)*Projects!$B$17:$B$46*(ROW(Projects!$B$17:$B$46)&lt;&gt;21)*Assumptions!$B$12*0.05)+0+IF(AND(Projects!$G$21="Yes",60&gt;=Projects!$C$21,60&lt;Projects!$C$21+Projects!$D$21),(Projects!$N$21+Projects!$P$21)/Projects!$D$21*0.95,0)+IF(AND(Projects!$G$21="Yes",60=Projects!$C$21+Projects!$D$21-1),(Projects!$N$21+Projects!$P$21)*0.05,0),Actuals!BM8)</f>
        <v>0</v>
      </c>
      <c r="BM10" s="13" t="n">
        <f aca="false">IF(ISBLANK(Actuals!BN8),0+SUMPRODUCT((Projects!$G$10:$G$14="Yes")*(61&gt;=Projects!$C$10:$C$14)*(61&lt;Projects!$C$10:$C$14+Projects!$D$10:$D$14)*Projects!$B$10:$B$14*Assumptions!$B$10/Projects!$D$10:$D$14*0.95)+SUMPRODUCT((Projects!$G$10:$G$14="Yes")*(61=Projects!$C$10:$C$14+Projects!$D$10:$D$14-1)*Projects!$B$10:$B$14*Assumptions!$B$10*0.05)+SUMPRODUCT((Projects!$G$17:$G$46="Yes")*(61&gt;=Projects!$C$17:$C$46)*(61&lt;Projects!$C$17:$C$46+Projects!$D$17:$D$46)*Projects!$B$17:$B$46*(ROW(Projects!$B$17:$B$46)&lt;&gt;21)*Assumptions!$B$10/Projects!$D$17:$D$46*0.95)+SUMPRODUCT((Projects!$G$17:$G$46="Yes")*(61=Projects!$C$17:$C$46+Projects!$D$17:$D$46-1)*Projects!$B$17:$B$46*(ROW(Projects!$B$17:$B$46)&lt;&gt;21)*Assumptions!$B$10*0.05)+SUMPRODUCT((Projects!$G$10:$G$14="Yes")*(61&gt;=Projects!$C$10:$C$14)*(61&lt;Projects!$C$10:$C$14+Projects!$D$10:$D$14)*Projects!$B$10:$B$14*Assumptions!$B$12/Projects!$D$10:$D$14*0.95)+SUMPRODUCT((Projects!$G$10:$G$14="Yes")*(61=Projects!$C$10:$C$14+Projects!$D$10:$D$14-1)*Projects!$B$10:$B$14*Assumptions!$B$12*0.05)+SUMPRODUCT((Projects!$G$17:$G$46="Yes")*(61&gt;=Projects!$C$17:$C$46)*(61&lt;Projects!$C$17:$C$46+Projects!$D$17:$D$46)*Projects!$B$17:$B$46*(ROW(Projects!$B$17:$B$46)&lt;&gt;21)*Assumptions!$B$12/Projects!$D$17:$D$46*0.95)+SUMPRODUCT((Projects!$G$17:$G$46="Yes")*(61=Projects!$C$17:$C$46+Projects!$D$17:$D$46-1)*Projects!$B$17:$B$46*(ROW(Projects!$B$17:$B$46)&lt;&gt;21)*Assumptions!$B$12*0.05)+0+IF(AND(Projects!$G$21="Yes",61&gt;=Projects!$C$21,61&lt;Projects!$C$21+Projects!$D$21),(Projects!$N$21+Projects!$P$21)/Projects!$D$21*0.95,0)+IF(AND(Projects!$G$21="Yes",61=Projects!$C$21+Projects!$D$21-1),(Projects!$N$21+Projects!$P$21)*0.05,0),Actuals!BN8)</f>
        <v>0</v>
      </c>
      <c r="BN10" s="13" t="n">
        <f aca="false">IF(ISBLANK(Actuals!BO8),0+SUMPRODUCT((Projects!$G$10:$G$14="Yes")*(62&gt;=Projects!$C$10:$C$14)*(62&lt;Projects!$C$10:$C$14+Projects!$D$10:$D$14)*Projects!$B$10:$B$14*Assumptions!$B$10/Projects!$D$10:$D$14*0.95)+SUMPRODUCT((Projects!$G$10:$G$14="Yes")*(62=Projects!$C$10:$C$14+Projects!$D$10:$D$14-1)*Projects!$B$10:$B$14*Assumptions!$B$10*0.05)+SUMPRODUCT((Projects!$G$17:$G$46="Yes")*(62&gt;=Projects!$C$17:$C$46)*(62&lt;Projects!$C$17:$C$46+Projects!$D$17:$D$46)*Projects!$B$17:$B$46*(ROW(Projects!$B$17:$B$46)&lt;&gt;21)*Assumptions!$B$10/Projects!$D$17:$D$46*0.95)+SUMPRODUCT((Projects!$G$17:$G$46="Yes")*(62=Projects!$C$17:$C$46+Projects!$D$17:$D$46-1)*Projects!$B$17:$B$46*(ROW(Projects!$B$17:$B$46)&lt;&gt;21)*Assumptions!$B$10*0.05)+SUMPRODUCT((Projects!$G$10:$G$14="Yes")*(62&gt;=Projects!$C$10:$C$14)*(62&lt;Projects!$C$10:$C$14+Projects!$D$10:$D$14)*Projects!$B$10:$B$14*Assumptions!$B$12/Projects!$D$10:$D$14*0.95)+SUMPRODUCT((Projects!$G$10:$G$14="Yes")*(62=Projects!$C$10:$C$14+Projects!$D$10:$D$14-1)*Projects!$B$10:$B$14*Assumptions!$B$12*0.05)+SUMPRODUCT((Projects!$G$17:$G$46="Yes")*(62&gt;=Projects!$C$17:$C$46)*(62&lt;Projects!$C$17:$C$46+Projects!$D$17:$D$46)*Projects!$B$17:$B$46*(ROW(Projects!$B$17:$B$46)&lt;&gt;21)*Assumptions!$B$12/Projects!$D$17:$D$46*0.95)+SUMPRODUCT((Projects!$G$17:$G$46="Yes")*(62=Projects!$C$17:$C$46+Projects!$D$17:$D$46-1)*Projects!$B$17:$B$46*(ROW(Projects!$B$17:$B$46)&lt;&gt;21)*Assumptions!$B$12*0.05)+0+IF(AND(Projects!$G$21="Yes",62&gt;=Projects!$C$21,62&lt;Projects!$C$21+Projects!$D$21),(Projects!$N$21+Projects!$P$21)/Projects!$D$21*0.95,0)+IF(AND(Projects!$G$21="Yes",62=Projects!$C$21+Projects!$D$21-1),(Projects!$N$21+Projects!$P$21)*0.05,0),Actuals!BO8)</f>
        <v>0</v>
      </c>
      <c r="BO10" s="13" t="n">
        <f aca="false">IF(ISBLANK(Actuals!BP8),0+SUMPRODUCT((Projects!$G$10:$G$14="Yes")*(63&gt;=Projects!$C$10:$C$14)*(63&lt;Projects!$C$10:$C$14+Projects!$D$10:$D$14)*Projects!$B$10:$B$14*Assumptions!$B$10/Projects!$D$10:$D$14*0.95)+SUMPRODUCT((Projects!$G$10:$G$14="Yes")*(63=Projects!$C$10:$C$14+Projects!$D$10:$D$14-1)*Projects!$B$10:$B$14*Assumptions!$B$10*0.05)+SUMPRODUCT((Projects!$G$17:$G$46="Yes")*(63&gt;=Projects!$C$17:$C$46)*(63&lt;Projects!$C$17:$C$46+Projects!$D$17:$D$46)*Projects!$B$17:$B$46*(ROW(Projects!$B$17:$B$46)&lt;&gt;21)*Assumptions!$B$10/Projects!$D$17:$D$46*0.95)+SUMPRODUCT((Projects!$G$17:$G$46="Yes")*(63=Projects!$C$17:$C$46+Projects!$D$17:$D$46-1)*Projects!$B$17:$B$46*(ROW(Projects!$B$17:$B$46)&lt;&gt;21)*Assumptions!$B$10*0.05)+SUMPRODUCT((Projects!$G$10:$G$14="Yes")*(63&gt;=Projects!$C$10:$C$14)*(63&lt;Projects!$C$10:$C$14+Projects!$D$10:$D$14)*Projects!$B$10:$B$14*Assumptions!$B$12/Projects!$D$10:$D$14*0.95)+SUMPRODUCT((Projects!$G$10:$G$14="Yes")*(63=Projects!$C$10:$C$14+Projects!$D$10:$D$14-1)*Projects!$B$10:$B$14*Assumptions!$B$12*0.05)+SUMPRODUCT((Projects!$G$17:$G$46="Yes")*(63&gt;=Projects!$C$17:$C$46)*(63&lt;Projects!$C$17:$C$46+Projects!$D$17:$D$46)*Projects!$B$17:$B$46*(ROW(Projects!$B$17:$B$46)&lt;&gt;21)*Assumptions!$B$12/Projects!$D$17:$D$46*0.95)+SUMPRODUCT((Projects!$G$17:$G$46="Yes")*(63=Projects!$C$17:$C$46+Projects!$D$17:$D$46-1)*Projects!$B$17:$B$46*(ROW(Projects!$B$17:$B$46)&lt;&gt;21)*Assumptions!$B$12*0.05)+0+IF(AND(Projects!$G$21="Yes",63&gt;=Projects!$C$21,63&lt;Projects!$C$21+Projects!$D$21),(Projects!$N$21+Projects!$P$21)/Projects!$D$21*0.95,0)+IF(AND(Projects!$G$21="Yes",63=Projects!$C$21+Projects!$D$21-1),(Projects!$N$21+Projects!$P$21)*0.05,0),Actuals!BP8)</f>
        <v>0</v>
      </c>
      <c r="BP10" s="13" t="n">
        <f aca="false">IF(ISBLANK(Actuals!BQ8),0+SUMPRODUCT((Projects!$G$10:$G$14="Yes")*(64&gt;=Projects!$C$10:$C$14)*(64&lt;Projects!$C$10:$C$14+Projects!$D$10:$D$14)*Projects!$B$10:$B$14*Assumptions!$B$10/Projects!$D$10:$D$14*0.95)+SUMPRODUCT((Projects!$G$10:$G$14="Yes")*(64=Projects!$C$10:$C$14+Projects!$D$10:$D$14-1)*Projects!$B$10:$B$14*Assumptions!$B$10*0.05)+SUMPRODUCT((Projects!$G$17:$G$46="Yes")*(64&gt;=Projects!$C$17:$C$46)*(64&lt;Projects!$C$17:$C$46+Projects!$D$17:$D$46)*Projects!$B$17:$B$46*(ROW(Projects!$B$17:$B$46)&lt;&gt;21)*Assumptions!$B$10/Projects!$D$17:$D$46*0.95)+SUMPRODUCT((Projects!$G$17:$G$46="Yes")*(64=Projects!$C$17:$C$46+Projects!$D$17:$D$46-1)*Projects!$B$17:$B$46*(ROW(Projects!$B$17:$B$46)&lt;&gt;21)*Assumptions!$B$10*0.05)+SUMPRODUCT((Projects!$G$10:$G$14="Yes")*(64&gt;=Projects!$C$10:$C$14)*(64&lt;Projects!$C$10:$C$14+Projects!$D$10:$D$14)*Projects!$B$10:$B$14*Assumptions!$B$12/Projects!$D$10:$D$14*0.95)+SUMPRODUCT((Projects!$G$10:$G$14="Yes")*(64=Projects!$C$10:$C$14+Projects!$D$10:$D$14-1)*Projects!$B$10:$B$14*Assumptions!$B$12*0.05)+SUMPRODUCT((Projects!$G$17:$G$46="Yes")*(64&gt;=Projects!$C$17:$C$46)*(64&lt;Projects!$C$17:$C$46+Projects!$D$17:$D$46)*Projects!$B$17:$B$46*(ROW(Projects!$B$17:$B$46)&lt;&gt;21)*Assumptions!$B$12/Projects!$D$17:$D$46*0.95)+SUMPRODUCT((Projects!$G$17:$G$46="Yes")*(64=Projects!$C$17:$C$46+Projects!$D$17:$D$46-1)*Projects!$B$17:$B$46*(ROW(Projects!$B$17:$B$46)&lt;&gt;21)*Assumptions!$B$12*0.05)+0+IF(AND(Projects!$G$21="Yes",64&gt;=Projects!$C$21,64&lt;Projects!$C$21+Projects!$D$21),(Projects!$N$21+Projects!$P$21)/Projects!$D$21*0.95,0)+IF(AND(Projects!$G$21="Yes",64=Projects!$C$21+Projects!$D$21-1),(Projects!$N$21+Projects!$P$21)*0.05,0),Actuals!BQ8)</f>
        <v>0</v>
      </c>
      <c r="BQ10" s="13" t="n">
        <f aca="false">IF(ISBLANK(Actuals!BR8),0+SUMPRODUCT((Projects!$G$10:$G$14="Yes")*(65&gt;=Projects!$C$10:$C$14)*(65&lt;Projects!$C$10:$C$14+Projects!$D$10:$D$14)*Projects!$B$10:$B$14*Assumptions!$B$10/Projects!$D$10:$D$14*0.95)+SUMPRODUCT((Projects!$G$10:$G$14="Yes")*(65=Projects!$C$10:$C$14+Projects!$D$10:$D$14-1)*Projects!$B$10:$B$14*Assumptions!$B$10*0.05)+SUMPRODUCT((Projects!$G$17:$G$46="Yes")*(65&gt;=Projects!$C$17:$C$46)*(65&lt;Projects!$C$17:$C$46+Projects!$D$17:$D$46)*Projects!$B$17:$B$46*(ROW(Projects!$B$17:$B$46)&lt;&gt;21)*Assumptions!$B$10/Projects!$D$17:$D$46*0.95)+SUMPRODUCT((Projects!$G$17:$G$46="Yes")*(65=Projects!$C$17:$C$46+Projects!$D$17:$D$46-1)*Projects!$B$17:$B$46*(ROW(Projects!$B$17:$B$46)&lt;&gt;21)*Assumptions!$B$10*0.05)+SUMPRODUCT((Projects!$G$10:$G$14="Yes")*(65&gt;=Projects!$C$10:$C$14)*(65&lt;Projects!$C$10:$C$14+Projects!$D$10:$D$14)*Projects!$B$10:$B$14*Assumptions!$B$12/Projects!$D$10:$D$14*0.95)+SUMPRODUCT((Projects!$G$10:$G$14="Yes")*(65=Projects!$C$10:$C$14+Projects!$D$10:$D$14-1)*Projects!$B$10:$B$14*Assumptions!$B$12*0.05)+SUMPRODUCT((Projects!$G$17:$G$46="Yes")*(65&gt;=Projects!$C$17:$C$46)*(65&lt;Projects!$C$17:$C$46+Projects!$D$17:$D$46)*Projects!$B$17:$B$46*(ROW(Projects!$B$17:$B$46)&lt;&gt;21)*Assumptions!$B$12/Projects!$D$17:$D$46*0.95)+SUMPRODUCT((Projects!$G$17:$G$46="Yes")*(65=Projects!$C$17:$C$46+Projects!$D$17:$D$46-1)*Projects!$B$17:$B$46*(ROW(Projects!$B$17:$B$46)&lt;&gt;21)*Assumptions!$B$12*0.05)+0+IF(AND(Projects!$G$21="Yes",65&gt;=Projects!$C$21,65&lt;Projects!$C$21+Projects!$D$21),(Projects!$N$21+Projects!$P$21)/Projects!$D$21*0.95,0)+IF(AND(Projects!$G$21="Yes",65=Projects!$C$21+Projects!$D$21-1),(Projects!$N$21+Projects!$P$21)*0.05,0),Actuals!BR8)</f>
        <v>0</v>
      </c>
      <c r="BR10" s="13" t="n">
        <f aca="false">IF(ISBLANK(Actuals!BS8),0+SUMPRODUCT((Projects!$G$10:$G$14="Yes")*(66&gt;=Projects!$C$10:$C$14)*(66&lt;Projects!$C$10:$C$14+Projects!$D$10:$D$14)*Projects!$B$10:$B$14*Assumptions!$B$10/Projects!$D$10:$D$14*0.95)+SUMPRODUCT((Projects!$G$10:$G$14="Yes")*(66=Projects!$C$10:$C$14+Projects!$D$10:$D$14-1)*Projects!$B$10:$B$14*Assumptions!$B$10*0.05)+SUMPRODUCT((Projects!$G$17:$G$46="Yes")*(66&gt;=Projects!$C$17:$C$46)*(66&lt;Projects!$C$17:$C$46+Projects!$D$17:$D$46)*Projects!$B$17:$B$46*(ROW(Projects!$B$17:$B$46)&lt;&gt;21)*Assumptions!$B$10/Projects!$D$17:$D$46*0.95)+SUMPRODUCT((Projects!$G$17:$G$46="Yes")*(66=Projects!$C$17:$C$46+Projects!$D$17:$D$46-1)*Projects!$B$17:$B$46*(ROW(Projects!$B$17:$B$46)&lt;&gt;21)*Assumptions!$B$10*0.05)+SUMPRODUCT((Projects!$G$10:$G$14="Yes")*(66&gt;=Projects!$C$10:$C$14)*(66&lt;Projects!$C$10:$C$14+Projects!$D$10:$D$14)*Projects!$B$10:$B$14*Assumptions!$B$12/Projects!$D$10:$D$14*0.95)+SUMPRODUCT((Projects!$G$10:$G$14="Yes")*(66=Projects!$C$10:$C$14+Projects!$D$10:$D$14-1)*Projects!$B$10:$B$14*Assumptions!$B$12*0.05)+SUMPRODUCT((Projects!$G$17:$G$46="Yes")*(66&gt;=Projects!$C$17:$C$46)*(66&lt;Projects!$C$17:$C$46+Projects!$D$17:$D$46)*Projects!$B$17:$B$46*(ROW(Projects!$B$17:$B$46)&lt;&gt;21)*Assumptions!$B$12/Projects!$D$17:$D$46*0.95)+SUMPRODUCT((Projects!$G$17:$G$46="Yes")*(66=Projects!$C$17:$C$46+Projects!$D$17:$D$46-1)*Projects!$B$17:$B$46*(ROW(Projects!$B$17:$B$46)&lt;&gt;21)*Assumptions!$B$12*0.05)+0+IF(AND(Projects!$G$21="Yes",66&gt;=Projects!$C$21,66&lt;Projects!$C$21+Projects!$D$21),(Projects!$N$21+Projects!$P$21)/Projects!$D$21*0.95,0)+IF(AND(Projects!$G$21="Yes",66=Projects!$C$21+Projects!$D$21-1),(Projects!$N$21+Projects!$P$21)*0.05,0),Actuals!BS8)</f>
        <v>0</v>
      </c>
      <c r="BS10" s="13" t="n">
        <f aca="false">IF(ISBLANK(Actuals!BT8),0+SUMPRODUCT((Projects!$G$10:$G$14="Yes")*(67&gt;=Projects!$C$10:$C$14)*(67&lt;Projects!$C$10:$C$14+Projects!$D$10:$D$14)*Projects!$B$10:$B$14*Assumptions!$B$10/Projects!$D$10:$D$14*0.95)+SUMPRODUCT((Projects!$G$10:$G$14="Yes")*(67=Projects!$C$10:$C$14+Projects!$D$10:$D$14-1)*Projects!$B$10:$B$14*Assumptions!$B$10*0.05)+SUMPRODUCT((Projects!$G$17:$G$46="Yes")*(67&gt;=Projects!$C$17:$C$46)*(67&lt;Projects!$C$17:$C$46+Projects!$D$17:$D$46)*Projects!$B$17:$B$46*(ROW(Projects!$B$17:$B$46)&lt;&gt;21)*Assumptions!$B$10/Projects!$D$17:$D$46*0.95)+SUMPRODUCT((Projects!$G$17:$G$46="Yes")*(67=Projects!$C$17:$C$46+Projects!$D$17:$D$46-1)*Projects!$B$17:$B$46*(ROW(Projects!$B$17:$B$46)&lt;&gt;21)*Assumptions!$B$10*0.05)+SUMPRODUCT((Projects!$G$10:$G$14="Yes")*(67&gt;=Projects!$C$10:$C$14)*(67&lt;Projects!$C$10:$C$14+Projects!$D$10:$D$14)*Projects!$B$10:$B$14*Assumptions!$B$12/Projects!$D$10:$D$14*0.95)+SUMPRODUCT((Projects!$G$10:$G$14="Yes")*(67=Projects!$C$10:$C$14+Projects!$D$10:$D$14-1)*Projects!$B$10:$B$14*Assumptions!$B$12*0.05)+SUMPRODUCT((Projects!$G$17:$G$46="Yes")*(67&gt;=Projects!$C$17:$C$46)*(67&lt;Projects!$C$17:$C$46+Projects!$D$17:$D$46)*Projects!$B$17:$B$46*(ROW(Projects!$B$17:$B$46)&lt;&gt;21)*Assumptions!$B$12/Projects!$D$17:$D$46*0.95)+SUMPRODUCT((Projects!$G$17:$G$46="Yes")*(67=Projects!$C$17:$C$46+Projects!$D$17:$D$46-1)*Projects!$B$17:$B$46*(ROW(Projects!$B$17:$B$46)&lt;&gt;21)*Assumptions!$B$12*0.05)+0+IF(AND(Projects!$G$21="Yes",67&gt;=Projects!$C$21,67&lt;Projects!$C$21+Projects!$D$21),(Projects!$N$21+Projects!$P$21)/Projects!$D$21*0.95,0)+IF(AND(Projects!$G$21="Yes",67=Projects!$C$21+Projects!$D$21-1),(Projects!$N$21+Projects!$P$21)*0.05,0),Actuals!BT8)</f>
        <v>0</v>
      </c>
      <c r="BT10" s="13" t="n">
        <f aca="false">IF(ISBLANK(Actuals!BU8),0+SUMPRODUCT((Projects!$G$10:$G$14="Yes")*(68&gt;=Projects!$C$10:$C$14)*(68&lt;Projects!$C$10:$C$14+Projects!$D$10:$D$14)*Projects!$B$10:$B$14*Assumptions!$B$10/Projects!$D$10:$D$14*0.95)+SUMPRODUCT((Projects!$G$10:$G$14="Yes")*(68=Projects!$C$10:$C$14+Projects!$D$10:$D$14-1)*Projects!$B$10:$B$14*Assumptions!$B$10*0.05)+SUMPRODUCT((Projects!$G$17:$G$46="Yes")*(68&gt;=Projects!$C$17:$C$46)*(68&lt;Projects!$C$17:$C$46+Projects!$D$17:$D$46)*Projects!$B$17:$B$46*(ROW(Projects!$B$17:$B$46)&lt;&gt;21)*Assumptions!$B$10/Projects!$D$17:$D$46*0.95)+SUMPRODUCT((Projects!$G$17:$G$46="Yes")*(68=Projects!$C$17:$C$46+Projects!$D$17:$D$46-1)*Projects!$B$17:$B$46*(ROW(Projects!$B$17:$B$46)&lt;&gt;21)*Assumptions!$B$10*0.05)+SUMPRODUCT((Projects!$G$10:$G$14="Yes")*(68&gt;=Projects!$C$10:$C$14)*(68&lt;Projects!$C$10:$C$14+Projects!$D$10:$D$14)*Projects!$B$10:$B$14*Assumptions!$B$12/Projects!$D$10:$D$14*0.95)+SUMPRODUCT((Projects!$G$10:$G$14="Yes")*(68=Projects!$C$10:$C$14+Projects!$D$10:$D$14-1)*Projects!$B$10:$B$14*Assumptions!$B$12*0.05)+SUMPRODUCT((Projects!$G$17:$G$46="Yes")*(68&gt;=Projects!$C$17:$C$46)*(68&lt;Projects!$C$17:$C$46+Projects!$D$17:$D$46)*Projects!$B$17:$B$46*(ROW(Projects!$B$17:$B$46)&lt;&gt;21)*Assumptions!$B$12/Projects!$D$17:$D$46*0.95)+SUMPRODUCT((Projects!$G$17:$G$46="Yes")*(68=Projects!$C$17:$C$46+Projects!$D$17:$D$46-1)*Projects!$B$17:$B$46*(ROW(Projects!$B$17:$B$46)&lt;&gt;21)*Assumptions!$B$12*0.05)+0+IF(AND(Projects!$G$21="Yes",68&gt;=Projects!$C$21,68&lt;Projects!$C$21+Projects!$D$21),(Projects!$N$21+Projects!$P$21)/Projects!$D$21*0.95,0)+IF(AND(Projects!$G$21="Yes",68=Projects!$C$21+Projects!$D$21-1),(Projects!$N$21+Projects!$P$21)*0.05,0),Actuals!BU8)</f>
        <v>0</v>
      </c>
      <c r="BU10" s="13" t="n">
        <f aca="false">IF(ISBLANK(Actuals!BV8),0+SUMPRODUCT((Projects!$G$10:$G$14="Yes")*(69&gt;=Projects!$C$10:$C$14)*(69&lt;Projects!$C$10:$C$14+Projects!$D$10:$D$14)*Projects!$B$10:$B$14*Assumptions!$B$10/Projects!$D$10:$D$14*0.95)+SUMPRODUCT((Projects!$G$10:$G$14="Yes")*(69=Projects!$C$10:$C$14+Projects!$D$10:$D$14-1)*Projects!$B$10:$B$14*Assumptions!$B$10*0.05)+SUMPRODUCT((Projects!$G$17:$G$46="Yes")*(69&gt;=Projects!$C$17:$C$46)*(69&lt;Projects!$C$17:$C$46+Projects!$D$17:$D$46)*Projects!$B$17:$B$46*(ROW(Projects!$B$17:$B$46)&lt;&gt;21)*Assumptions!$B$10/Projects!$D$17:$D$46*0.95)+SUMPRODUCT((Projects!$G$17:$G$46="Yes")*(69=Projects!$C$17:$C$46+Projects!$D$17:$D$46-1)*Projects!$B$17:$B$46*(ROW(Projects!$B$17:$B$46)&lt;&gt;21)*Assumptions!$B$10*0.05)+SUMPRODUCT((Projects!$G$10:$G$14="Yes")*(69&gt;=Projects!$C$10:$C$14)*(69&lt;Projects!$C$10:$C$14+Projects!$D$10:$D$14)*Projects!$B$10:$B$14*Assumptions!$B$12/Projects!$D$10:$D$14*0.95)+SUMPRODUCT((Projects!$G$10:$G$14="Yes")*(69=Projects!$C$10:$C$14+Projects!$D$10:$D$14-1)*Projects!$B$10:$B$14*Assumptions!$B$12*0.05)+SUMPRODUCT((Projects!$G$17:$G$46="Yes")*(69&gt;=Projects!$C$17:$C$46)*(69&lt;Projects!$C$17:$C$46+Projects!$D$17:$D$46)*Projects!$B$17:$B$46*(ROW(Projects!$B$17:$B$46)&lt;&gt;21)*Assumptions!$B$12/Projects!$D$17:$D$46*0.95)+SUMPRODUCT((Projects!$G$17:$G$46="Yes")*(69=Projects!$C$17:$C$46+Projects!$D$17:$D$46-1)*Projects!$B$17:$B$46*(ROW(Projects!$B$17:$B$46)&lt;&gt;21)*Assumptions!$B$12*0.05)+0+IF(AND(Projects!$G$21="Yes",69&gt;=Projects!$C$21,69&lt;Projects!$C$21+Projects!$D$21),(Projects!$N$21+Projects!$P$21)/Projects!$D$21*0.95,0)+IF(AND(Projects!$G$21="Yes",69=Projects!$C$21+Projects!$D$21-1),(Projects!$N$21+Projects!$P$21)*0.05,0),Actuals!BV8)</f>
        <v>0</v>
      </c>
      <c r="BV10" s="13" t="n">
        <f aca="false">IF(ISBLANK(Actuals!BW8),0+SUMPRODUCT((Projects!$G$10:$G$14="Yes")*(70&gt;=Projects!$C$10:$C$14)*(70&lt;Projects!$C$10:$C$14+Projects!$D$10:$D$14)*Projects!$B$10:$B$14*Assumptions!$B$10/Projects!$D$10:$D$14*0.95)+SUMPRODUCT((Projects!$G$10:$G$14="Yes")*(70=Projects!$C$10:$C$14+Projects!$D$10:$D$14-1)*Projects!$B$10:$B$14*Assumptions!$B$10*0.05)+SUMPRODUCT((Projects!$G$17:$G$46="Yes")*(70&gt;=Projects!$C$17:$C$46)*(70&lt;Projects!$C$17:$C$46+Projects!$D$17:$D$46)*Projects!$B$17:$B$46*(ROW(Projects!$B$17:$B$46)&lt;&gt;21)*Assumptions!$B$10/Projects!$D$17:$D$46*0.95)+SUMPRODUCT((Projects!$G$17:$G$46="Yes")*(70=Projects!$C$17:$C$46+Projects!$D$17:$D$46-1)*Projects!$B$17:$B$46*(ROW(Projects!$B$17:$B$46)&lt;&gt;21)*Assumptions!$B$10*0.05)+SUMPRODUCT((Projects!$G$10:$G$14="Yes")*(70&gt;=Projects!$C$10:$C$14)*(70&lt;Projects!$C$10:$C$14+Projects!$D$10:$D$14)*Projects!$B$10:$B$14*Assumptions!$B$12/Projects!$D$10:$D$14*0.95)+SUMPRODUCT((Projects!$G$10:$G$14="Yes")*(70=Projects!$C$10:$C$14+Projects!$D$10:$D$14-1)*Projects!$B$10:$B$14*Assumptions!$B$12*0.05)+SUMPRODUCT((Projects!$G$17:$G$46="Yes")*(70&gt;=Projects!$C$17:$C$46)*(70&lt;Projects!$C$17:$C$46+Projects!$D$17:$D$46)*Projects!$B$17:$B$46*(ROW(Projects!$B$17:$B$46)&lt;&gt;21)*Assumptions!$B$12/Projects!$D$17:$D$46*0.95)+SUMPRODUCT((Projects!$G$17:$G$46="Yes")*(70=Projects!$C$17:$C$46+Projects!$D$17:$D$46-1)*Projects!$B$17:$B$46*(ROW(Projects!$B$17:$B$46)&lt;&gt;21)*Assumptions!$B$12*0.05)+0+IF(AND(Projects!$G$21="Yes",70&gt;=Projects!$C$21,70&lt;Projects!$C$21+Projects!$D$21),(Projects!$N$21+Projects!$P$21)/Projects!$D$21*0.95,0)+IF(AND(Projects!$G$21="Yes",70=Projects!$C$21+Projects!$D$21-1),(Projects!$N$21+Projects!$P$21)*0.05,0),Actuals!BW8)</f>
        <v>0</v>
      </c>
      <c r="BW10" s="13" t="n">
        <f aca="false">IF(ISBLANK(Actuals!BX8),0+SUMPRODUCT((Projects!$G$10:$G$14="Yes")*(71&gt;=Projects!$C$10:$C$14)*(71&lt;Projects!$C$10:$C$14+Projects!$D$10:$D$14)*Projects!$B$10:$B$14*Assumptions!$B$10/Projects!$D$10:$D$14*0.95)+SUMPRODUCT((Projects!$G$10:$G$14="Yes")*(71=Projects!$C$10:$C$14+Projects!$D$10:$D$14-1)*Projects!$B$10:$B$14*Assumptions!$B$10*0.05)+SUMPRODUCT((Projects!$G$17:$G$46="Yes")*(71&gt;=Projects!$C$17:$C$46)*(71&lt;Projects!$C$17:$C$46+Projects!$D$17:$D$46)*Projects!$B$17:$B$46*(ROW(Projects!$B$17:$B$46)&lt;&gt;21)*Assumptions!$B$10/Projects!$D$17:$D$46*0.95)+SUMPRODUCT((Projects!$G$17:$G$46="Yes")*(71=Projects!$C$17:$C$46+Projects!$D$17:$D$46-1)*Projects!$B$17:$B$46*(ROW(Projects!$B$17:$B$46)&lt;&gt;21)*Assumptions!$B$10*0.05)+SUMPRODUCT((Projects!$G$10:$G$14="Yes")*(71&gt;=Projects!$C$10:$C$14)*(71&lt;Projects!$C$10:$C$14+Projects!$D$10:$D$14)*Projects!$B$10:$B$14*Assumptions!$B$12/Projects!$D$10:$D$14*0.95)+SUMPRODUCT((Projects!$G$10:$G$14="Yes")*(71=Projects!$C$10:$C$14+Projects!$D$10:$D$14-1)*Projects!$B$10:$B$14*Assumptions!$B$12*0.05)+SUMPRODUCT((Projects!$G$17:$G$46="Yes")*(71&gt;=Projects!$C$17:$C$46)*(71&lt;Projects!$C$17:$C$46+Projects!$D$17:$D$46)*Projects!$B$17:$B$46*(ROW(Projects!$B$17:$B$46)&lt;&gt;21)*Assumptions!$B$12/Projects!$D$17:$D$46*0.95)+SUMPRODUCT((Projects!$G$17:$G$46="Yes")*(71=Projects!$C$17:$C$46+Projects!$D$17:$D$46-1)*Projects!$B$17:$B$46*(ROW(Projects!$B$17:$B$46)&lt;&gt;21)*Assumptions!$B$12*0.05)+0+IF(AND(Projects!$G$21="Yes",71&gt;=Projects!$C$21,71&lt;Projects!$C$21+Projects!$D$21),(Projects!$N$21+Projects!$P$21)/Projects!$D$21*0.95,0)+IF(AND(Projects!$G$21="Yes",71=Projects!$C$21+Projects!$D$21-1),(Projects!$N$21+Projects!$P$21)*0.05,0),Actuals!BX8)</f>
        <v>0</v>
      </c>
      <c r="BX10" s="13" t="n">
        <f aca="false">IF(ISBLANK(Actuals!BY8),0+SUMPRODUCT((Projects!$G$10:$G$14="Yes")*(72&gt;=Projects!$C$10:$C$14)*(72&lt;Projects!$C$10:$C$14+Projects!$D$10:$D$14)*Projects!$B$10:$B$14*Assumptions!$B$10/Projects!$D$10:$D$14*0.95)+SUMPRODUCT((Projects!$G$10:$G$14="Yes")*(72=Projects!$C$10:$C$14+Projects!$D$10:$D$14-1)*Projects!$B$10:$B$14*Assumptions!$B$10*0.05)+SUMPRODUCT((Projects!$G$17:$G$46="Yes")*(72&gt;=Projects!$C$17:$C$46)*(72&lt;Projects!$C$17:$C$46+Projects!$D$17:$D$46)*Projects!$B$17:$B$46*(ROW(Projects!$B$17:$B$46)&lt;&gt;21)*Assumptions!$B$10/Projects!$D$17:$D$46*0.95)+SUMPRODUCT((Projects!$G$17:$G$46="Yes")*(72=Projects!$C$17:$C$46+Projects!$D$17:$D$46-1)*Projects!$B$17:$B$46*(ROW(Projects!$B$17:$B$46)&lt;&gt;21)*Assumptions!$B$10*0.05)+SUMPRODUCT((Projects!$G$10:$G$14="Yes")*(72&gt;=Projects!$C$10:$C$14)*(72&lt;Projects!$C$10:$C$14+Projects!$D$10:$D$14)*Projects!$B$10:$B$14*Assumptions!$B$12/Projects!$D$10:$D$14*0.95)+SUMPRODUCT((Projects!$G$10:$G$14="Yes")*(72=Projects!$C$10:$C$14+Projects!$D$10:$D$14-1)*Projects!$B$10:$B$14*Assumptions!$B$12*0.05)+SUMPRODUCT((Projects!$G$17:$G$46="Yes")*(72&gt;=Projects!$C$17:$C$46)*(72&lt;Projects!$C$17:$C$46+Projects!$D$17:$D$46)*Projects!$B$17:$B$46*(ROW(Projects!$B$17:$B$46)&lt;&gt;21)*Assumptions!$B$12/Projects!$D$17:$D$46*0.95)+SUMPRODUCT((Projects!$G$17:$G$46="Yes")*(72=Projects!$C$17:$C$46+Projects!$D$17:$D$46-1)*Projects!$B$17:$B$46*(ROW(Projects!$B$17:$B$46)&lt;&gt;21)*Assumptions!$B$12*0.05)+0+IF(AND(Projects!$G$21="Yes",72&gt;=Projects!$C$21,72&lt;Projects!$C$21+Projects!$D$21),(Projects!$N$21+Projects!$P$21)/Projects!$D$21*0.95,0)+IF(AND(Projects!$G$21="Yes",72=Projects!$C$21+Projects!$D$21-1),(Projects!$N$21+Projects!$P$21)*0.05,0),Actuals!BY8)</f>
        <v>0</v>
      </c>
      <c r="BY10" s="13" t="n">
        <f aca="false">IF(ISBLANK(Actuals!BZ8),0+SUMPRODUCT((Projects!$G$10:$G$14="Yes")*(73&gt;=Projects!$C$10:$C$14)*(73&lt;Projects!$C$10:$C$14+Projects!$D$10:$D$14)*Projects!$B$10:$B$14*Assumptions!$B$10/Projects!$D$10:$D$14*0.95)+SUMPRODUCT((Projects!$G$10:$G$14="Yes")*(73=Projects!$C$10:$C$14+Projects!$D$10:$D$14-1)*Projects!$B$10:$B$14*Assumptions!$B$10*0.05)+SUMPRODUCT((Projects!$G$17:$G$46="Yes")*(73&gt;=Projects!$C$17:$C$46)*(73&lt;Projects!$C$17:$C$46+Projects!$D$17:$D$46)*Projects!$B$17:$B$46*(ROW(Projects!$B$17:$B$46)&lt;&gt;21)*Assumptions!$B$10/Projects!$D$17:$D$46*0.95)+SUMPRODUCT((Projects!$G$17:$G$46="Yes")*(73=Projects!$C$17:$C$46+Projects!$D$17:$D$46-1)*Projects!$B$17:$B$46*(ROW(Projects!$B$17:$B$46)&lt;&gt;21)*Assumptions!$B$10*0.05)+SUMPRODUCT((Projects!$G$10:$G$14="Yes")*(73&gt;=Projects!$C$10:$C$14)*(73&lt;Projects!$C$10:$C$14+Projects!$D$10:$D$14)*Projects!$B$10:$B$14*Assumptions!$B$12/Projects!$D$10:$D$14*0.95)+SUMPRODUCT((Projects!$G$10:$G$14="Yes")*(73=Projects!$C$10:$C$14+Projects!$D$10:$D$14-1)*Projects!$B$10:$B$14*Assumptions!$B$12*0.05)+SUMPRODUCT((Projects!$G$17:$G$46="Yes")*(73&gt;=Projects!$C$17:$C$46)*(73&lt;Projects!$C$17:$C$46+Projects!$D$17:$D$46)*Projects!$B$17:$B$46*(ROW(Projects!$B$17:$B$46)&lt;&gt;21)*Assumptions!$B$12/Projects!$D$17:$D$46*0.95)+SUMPRODUCT((Projects!$G$17:$G$46="Yes")*(73=Projects!$C$17:$C$46+Projects!$D$17:$D$46-1)*Projects!$B$17:$B$46*(ROW(Projects!$B$17:$B$46)&lt;&gt;21)*Assumptions!$B$12*0.05)+0+IF(AND(Projects!$G$21="Yes",73&gt;=Projects!$C$21,73&lt;Projects!$C$21+Projects!$D$21),(Projects!$N$21+Projects!$P$21)/Projects!$D$21*0.95,0)+IF(AND(Projects!$G$21="Yes",73=Projects!$C$21+Projects!$D$21-1),(Projects!$N$21+Projects!$P$21)*0.05,0),Actuals!BZ8)</f>
        <v>0</v>
      </c>
      <c r="BZ10" s="13" t="n">
        <f aca="false">IF(ISBLANK(Actuals!CA8),0+SUMPRODUCT((Projects!$G$10:$G$14="Yes")*(74&gt;=Projects!$C$10:$C$14)*(74&lt;Projects!$C$10:$C$14+Projects!$D$10:$D$14)*Projects!$B$10:$B$14*Assumptions!$B$10/Projects!$D$10:$D$14*0.95)+SUMPRODUCT((Projects!$G$10:$G$14="Yes")*(74=Projects!$C$10:$C$14+Projects!$D$10:$D$14-1)*Projects!$B$10:$B$14*Assumptions!$B$10*0.05)+SUMPRODUCT((Projects!$G$17:$G$46="Yes")*(74&gt;=Projects!$C$17:$C$46)*(74&lt;Projects!$C$17:$C$46+Projects!$D$17:$D$46)*Projects!$B$17:$B$46*(ROW(Projects!$B$17:$B$46)&lt;&gt;21)*Assumptions!$B$10/Projects!$D$17:$D$46*0.95)+SUMPRODUCT((Projects!$G$17:$G$46="Yes")*(74=Projects!$C$17:$C$46+Projects!$D$17:$D$46-1)*Projects!$B$17:$B$46*(ROW(Projects!$B$17:$B$46)&lt;&gt;21)*Assumptions!$B$10*0.05)+SUMPRODUCT((Projects!$G$10:$G$14="Yes")*(74&gt;=Projects!$C$10:$C$14)*(74&lt;Projects!$C$10:$C$14+Projects!$D$10:$D$14)*Projects!$B$10:$B$14*Assumptions!$B$12/Projects!$D$10:$D$14*0.95)+SUMPRODUCT((Projects!$G$10:$G$14="Yes")*(74=Projects!$C$10:$C$14+Projects!$D$10:$D$14-1)*Projects!$B$10:$B$14*Assumptions!$B$12*0.05)+SUMPRODUCT((Projects!$G$17:$G$46="Yes")*(74&gt;=Projects!$C$17:$C$46)*(74&lt;Projects!$C$17:$C$46+Projects!$D$17:$D$46)*Projects!$B$17:$B$46*(ROW(Projects!$B$17:$B$46)&lt;&gt;21)*Assumptions!$B$12/Projects!$D$17:$D$46*0.95)+SUMPRODUCT((Projects!$G$17:$G$46="Yes")*(74=Projects!$C$17:$C$46+Projects!$D$17:$D$46-1)*Projects!$B$17:$B$46*(ROW(Projects!$B$17:$B$46)&lt;&gt;21)*Assumptions!$B$12*0.05)+0+IF(AND(Projects!$G$21="Yes",74&gt;=Projects!$C$21,74&lt;Projects!$C$21+Projects!$D$21),(Projects!$N$21+Projects!$P$21)/Projects!$D$21*0.95,0)+IF(AND(Projects!$G$21="Yes",74=Projects!$C$21+Projects!$D$21-1),(Projects!$N$21+Projects!$P$21)*0.05,0),Actuals!CA8)</f>
        <v>0</v>
      </c>
      <c r="CA10" s="13" t="n">
        <f aca="false">IF(ISBLANK(Actuals!CB8),0+SUMPRODUCT((Projects!$G$10:$G$14="Yes")*(75&gt;=Projects!$C$10:$C$14)*(75&lt;Projects!$C$10:$C$14+Projects!$D$10:$D$14)*Projects!$B$10:$B$14*Assumptions!$B$10/Projects!$D$10:$D$14*0.95)+SUMPRODUCT((Projects!$G$10:$G$14="Yes")*(75=Projects!$C$10:$C$14+Projects!$D$10:$D$14-1)*Projects!$B$10:$B$14*Assumptions!$B$10*0.05)+SUMPRODUCT((Projects!$G$17:$G$46="Yes")*(75&gt;=Projects!$C$17:$C$46)*(75&lt;Projects!$C$17:$C$46+Projects!$D$17:$D$46)*Projects!$B$17:$B$46*(ROW(Projects!$B$17:$B$46)&lt;&gt;21)*Assumptions!$B$10/Projects!$D$17:$D$46*0.95)+SUMPRODUCT((Projects!$G$17:$G$46="Yes")*(75=Projects!$C$17:$C$46+Projects!$D$17:$D$46-1)*Projects!$B$17:$B$46*(ROW(Projects!$B$17:$B$46)&lt;&gt;21)*Assumptions!$B$10*0.05)+SUMPRODUCT((Projects!$G$10:$G$14="Yes")*(75&gt;=Projects!$C$10:$C$14)*(75&lt;Projects!$C$10:$C$14+Projects!$D$10:$D$14)*Projects!$B$10:$B$14*Assumptions!$B$12/Projects!$D$10:$D$14*0.95)+SUMPRODUCT((Projects!$G$10:$G$14="Yes")*(75=Projects!$C$10:$C$14+Projects!$D$10:$D$14-1)*Projects!$B$10:$B$14*Assumptions!$B$12*0.05)+SUMPRODUCT((Projects!$G$17:$G$46="Yes")*(75&gt;=Projects!$C$17:$C$46)*(75&lt;Projects!$C$17:$C$46+Projects!$D$17:$D$46)*Projects!$B$17:$B$46*(ROW(Projects!$B$17:$B$46)&lt;&gt;21)*Assumptions!$B$12/Projects!$D$17:$D$46*0.95)+SUMPRODUCT((Projects!$G$17:$G$46="Yes")*(75=Projects!$C$17:$C$46+Projects!$D$17:$D$46-1)*Projects!$B$17:$B$46*(ROW(Projects!$B$17:$B$46)&lt;&gt;21)*Assumptions!$B$12*0.05)+0+IF(AND(Projects!$G$21="Yes",75&gt;=Projects!$C$21,75&lt;Projects!$C$21+Projects!$D$21),(Projects!$N$21+Projects!$P$21)/Projects!$D$21*0.95,0)+IF(AND(Projects!$G$21="Yes",75=Projects!$C$21+Projects!$D$21-1),(Projects!$N$21+Projects!$P$21)*0.05,0),Actuals!CB8)</f>
        <v>0</v>
      </c>
      <c r="CB10" s="13" t="n">
        <f aca="false">IF(ISBLANK(Actuals!CC8),0+SUMPRODUCT((Projects!$G$10:$G$14="Yes")*(76&gt;=Projects!$C$10:$C$14)*(76&lt;Projects!$C$10:$C$14+Projects!$D$10:$D$14)*Projects!$B$10:$B$14*Assumptions!$B$10/Projects!$D$10:$D$14*0.95)+SUMPRODUCT((Projects!$G$10:$G$14="Yes")*(76=Projects!$C$10:$C$14+Projects!$D$10:$D$14-1)*Projects!$B$10:$B$14*Assumptions!$B$10*0.05)+SUMPRODUCT((Projects!$G$17:$G$46="Yes")*(76&gt;=Projects!$C$17:$C$46)*(76&lt;Projects!$C$17:$C$46+Projects!$D$17:$D$46)*Projects!$B$17:$B$46*(ROW(Projects!$B$17:$B$46)&lt;&gt;21)*Assumptions!$B$10/Projects!$D$17:$D$46*0.95)+SUMPRODUCT((Projects!$G$17:$G$46="Yes")*(76=Projects!$C$17:$C$46+Projects!$D$17:$D$46-1)*Projects!$B$17:$B$46*(ROW(Projects!$B$17:$B$46)&lt;&gt;21)*Assumptions!$B$10*0.05)+SUMPRODUCT((Projects!$G$10:$G$14="Yes")*(76&gt;=Projects!$C$10:$C$14)*(76&lt;Projects!$C$10:$C$14+Projects!$D$10:$D$14)*Projects!$B$10:$B$14*Assumptions!$B$12/Projects!$D$10:$D$14*0.95)+SUMPRODUCT((Projects!$G$10:$G$14="Yes")*(76=Projects!$C$10:$C$14+Projects!$D$10:$D$14-1)*Projects!$B$10:$B$14*Assumptions!$B$12*0.05)+SUMPRODUCT((Projects!$G$17:$G$46="Yes")*(76&gt;=Projects!$C$17:$C$46)*(76&lt;Projects!$C$17:$C$46+Projects!$D$17:$D$46)*Projects!$B$17:$B$46*(ROW(Projects!$B$17:$B$46)&lt;&gt;21)*Assumptions!$B$12/Projects!$D$17:$D$46*0.95)+SUMPRODUCT((Projects!$G$17:$G$46="Yes")*(76=Projects!$C$17:$C$46+Projects!$D$17:$D$46-1)*Projects!$B$17:$B$46*(ROW(Projects!$B$17:$B$46)&lt;&gt;21)*Assumptions!$B$12*0.05)+0+IF(AND(Projects!$G$21="Yes",76&gt;=Projects!$C$21,76&lt;Projects!$C$21+Projects!$D$21),(Projects!$N$21+Projects!$P$21)/Projects!$D$21*0.95,0)+IF(AND(Projects!$G$21="Yes",76=Projects!$C$21+Projects!$D$21-1),(Projects!$N$21+Projects!$P$21)*0.05,0),Actuals!CC8)</f>
        <v>0</v>
      </c>
      <c r="CC10" s="13" t="n">
        <f aca="false">IF(ISBLANK(Actuals!CD8),0+SUMPRODUCT((Projects!$G$10:$G$14="Yes")*(77&gt;=Projects!$C$10:$C$14)*(77&lt;Projects!$C$10:$C$14+Projects!$D$10:$D$14)*Projects!$B$10:$B$14*Assumptions!$B$10/Projects!$D$10:$D$14*0.95)+SUMPRODUCT((Projects!$G$10:$G$14="Yes")*(77=Projects!$C$10:$C$14+Projects!$D$10:$D$14-1)*Projects!$B$10:$B$14*Assumptions!$B$10*0.05)+SUMPRODUCT((Projects!$G$17:$G$46="Yes")*(77&gt;=Projects!$C$17:$C$46)*(77&lt;Projects!$C$17:$C$46+Projects!$D$17:$D$46)*Projects!$B$17:$B$46*(ROW(Projects!$B$17:$B$46)&lt;&gt;21)*Assumptions!$B$10/Projects!$D$17:$D$46*0.95)+SUMPRODUCT((Projects!$G$17:$G$46="Yes")*(77=Projects!$C$17:$C$46+Projects!$D$17:$D$46-1)*Projects!$B$17:$B$46*(ROW(Projects!$B$17:$B$46)&lt;&gt;21)*Assumptions!$B$10*0.05)+SUMPRODUCT((Projects!$G$10:$G$14="Yes")*(77&gt;=Projects!$C$10:$C$14)*(77&lt;Projects!$C$10:$C$14+Projects!$D$10:$D$14)*Projects!$B$10:$B$14*Assumptions!$B$12/Projects!$D$10:$D$14*0.95)+SUMPRODUCT((Projects!$G$10:$G$14="Yes")*(77=Projects!$C$10:$C$14+Projects!$D$10:$D$14-1)*Projects!$B$10:$B$14*Assumptions!$B$12*0.05)+SUMPRODUCT((Projects!$G$17:$G$46="Yes")*(77&gt;=Projects!$C$17:$C$46)*(77&lt;Projects!$C$17:$C$46+Projects!$D$17:$D$46)*Projects!$B$17:$B$46*(ROW(Projects!$B$17:$B$46)&lt;&gt;21)*Assumptions!$B$12/Projects!$D$17:$D$46*0.95)+SUMPRODUCT((Projects!$G$17:$G$46="Yes")*(77=Projects!$C$17:$C$46+Projects!$D$17:$D$46-1)*Projects!$B$17:$B$46*(ROW(Projects!$B$17:$B$46)&lt;&gt;21)*Assumptions!$B$12*0.05)+0+IF(AND(Projects!$G$21="Yes",77&gt;=Projects!$C$21,77&lt;Projects!$C$21+Projects!$D$21),(Projects!$N$21+Projects!$P$21)/Projects!$D$21*0.95,0)+IF(AND(Projects!$G$21="Yes",77=Projects!$C$21+Projects!$D$21-1),(Projects!$N$21+Projects!$P$21)*0.05,0),Actuals!CD8)</f>
        <v>0</v>
      </c>
      <c r="CD10" s="13" t="n">
        <f aca="false">IF(ISBLANK(Actuals!CE8),0+SUMPRODUCT((Projects!$G$10:$G$14="Yes")*(78&gt;=Projects!$C$10:$C$14)*(78&lt;Projects!$C$10:$C$14+Projects!$D$10:$D$14)*Projects!$B$10:$B$14*Assumptions!$B$10/Projects!$D$10:$D$14*0.95)+SUMPRODUCT((Projects!$G$10:$G$14="Yes")*(78=Projects!$C$10:$C$14+Projects!$D$10:$D$14-1)*Projects!$B$10:$B$14*Assumptions!$B$10*0.05)+SUMPRODUCT((Projects!$G$17:$G$46="Yes")*(78&gt;=Projects!$C$17:$C$46)*(78&lt;Projects!$C$17:$C$46+Projects!$D$17:$D$46)*Projects!$B$17:$B$46*(ROW(Projects!$B$17:$B$46)&lt;&gt;21)*Assumptions!$B$10/Projects!$D$17:$D$46*0.95)+SUMPRODUCT((Projects!$G$17:$G$46="Yes")*(78=Projects!$C$17:$C$46+Projects!$D$17:$D$46-1)*Projects!$B$17:$B$46*(ROW(Projects!$B$17:$B$46)&lt;&gt;21)*Assumptions!$B$10*0.05)+SUMPRODUCT((Projects!$G$10:$G$14="Yes")*(78&gt;=Projects!$C$10:$C$14)*(78&lt;Projects!$C$10:$C$14+Projects!$D$10:$D$14)*Projects!$B$10:$B$14*Assumptions!$B$12/Projects!$D$10:$D$14*0.95)+SUMPRODUCT((Projects!$G$10:$G$14="Yes")*(78=Projects!$C$10:$C$14+Projects!$D$10:$D$14-1)*Projects!$B$10:$B$14*Assumptions!$B$12*0.05)+SUMPRODUCT((Projects!$G$17:$G$46="Yes")*(78&gt;=Projects!$C$17:$C$46)*(78&lt;Projects!$C$17:$C$46+Projects!$D$17:$D$46)*Projects!$B$17:$B$46*(ROW(Projects!$B$17:$B$46)&lt;&gt;21)*Assumptions!$B$12/Projects!$D$17:$D$46*0.95)+SUMPRODUCT((Projects!$G$17:$G$46="Yes")*(78=Projects!$C$17:$C$46+Projects!$D$17:$D$46-1)*Projects!$B$17:$B$46*(ROW(Projects!$B$17:$B$46)&lt;&gt;21)*Assumptions!$B$12*0.05)+0+IF(AND(Projects!$G$21="Yes",78&gt;=Projects!$C$21,78&lt;Projects!$C$21+Projects!$D$21),(Projects!$N$21+Projects!$P$21)/Projects!$D$21*0.95,0)+IF(AND(Projects!$G$21="Yes",78=Projects!$C$21+Projects!$D$21-1),(Projects!$N$21+Projects!$P$21)*0.05,0),Actuals!CE8)</f>
        <v>0</v>
      </c>
      <c r="CE10" s="13" t="n">
        <f aca="false">IF(ISBLANK(Actuals!CF8),0+SUMPRODUCT((Projects!$G$10:$G$14="Yes")*(79&gt;=Projects!$C$10:$C$14)*(79&lt;Projects!$C$10:$C$14+Projects!$D$10:$D$14)*Projects!$B$10:$B$14*Assumptions!$B$10/Projects!$D$10:$D$14*0.95)+SUMPRODUCT((Projects!$G$10:$G$14="Yes")*(79=Projects!$C$10:$C$14+Projects!$D$10:$D$14-1)*Projects!$B$10:$B$14*Assumptions!$B$10*0.05)+SUMPRODUCT((Projects!$G$17:$G$46="Yes")*(79&gt;=Projects!$C$17:$C$46)*(79&lt;Projects!$C$17:$C$46+Projects!$D$17:$D$46)*Projects!$B$17:$B$46*(ROW(Projects!$B$17:$B$46)&lt;&gt;21)*Assumptions!$B$10/Projects!$D$17:$D$46*0.95)+SUMPRODUCT((Projects!$G$17:$G$46="Yes")*(79=Projects!$C$17:$C$46+Projects!$D$17:$D$46-1)*Projects!$B$17:$B$46*(ROW(Projects!$B$17:$B$46)&lt;&gt;21)*Assumptions!$B$10*0.05)+SUMPRODUCT((Projects!$G$10:$G$14="Yes")*(79&gt;=Projects!$C$10:$C$14)*(79&lt;Projects!$C$10:$C$14+Projects!$D$10:$D$14)*Projects!$B$10:$B$14*Assumptions!$B$12/Projects!$D$10:$D$14*0.95)+SUMPRODUCT((Projects!$G$10:$G$14="Yes")*(79=Projects!$C$10:$C$14+Projects!$D$10:$D$14-1)*Projects!$B$10:$B$14*Assumptions!$B$12*0.05)+SUMPRODUCT((Projects!$G$17:$G$46="Yes")*(79&gt;=Projects!$C$17:$C$46)*(79&lt;Projects!$C$17:$C$46+Projects!$D$17:$D$46)*Projects!$B$17:$B$46*(ROW(Projects!$B$17:$B$46)&lt;&gt;21)*Assumptions!$B$12/Projects!$D$17:$D$46*0.95)+SUMPRODUCT((Projects!$G$17:$G$46="Yes")*(79=Projects!$C$17:$C$46+Projects!$D$17:$D$46-1)*Projects!$B$17:$B$46*(ROW(Projects!$B$17:$B$46)&lt;&gt;21)*Assumptions!$B$12*0.05)+0+IF(AND(Projects!$G$21="Yes",79&gt;=Projects!$C$21,79&lt;Projects!$C$21+Projects!$D$21),(Projects!$N$21+Projects!$P$21)/Projects!$D$21*0.95,0)+IF(AND(Projects!$G$21="Yes",79=Projects!$C$21+Projects!$D$21-1),(Projects!$N$21+Projects!$P$21)*0.05,0),Actuals!CF8)</f>
        <v>0</v>
      </c>
      <c r="CF10" s="13" t="n">
        <f aca="false">IF(ISBLANK(Actuals!CG8),0+SUMPRODUCT((Projects!$G$10:$G$14="Yes")*(80&gt;=Projects!$C$10:$C$14)*(80&lt;Projects!$C$10:$C$14+Projects!$D$10:$D$14)*Projects!$B$10:$B$14*Assumptions!$B$10/Projects!$D$10:$D$14*0.95)+SUMPRODUCT((Projects!$G$10:$G$14="Yes")*(80=Projects!$C$10:$C$14+Projects!$D$10:$D$14-1)*Projects!$B$10:$B$14*Assumptions!$B$10*0.05)+SUMPRODUCT((Projects!$G$17:$G$46="Yes")*(80&gt;=Projects!$C$17:$C$46)*(80&lt;Projects!$C$17:$C$46+Projects!$D$17:$D$46)*Projects!$B$17:$B$46*(ROW(Projects!$B$17:$B$46)&lt;&gt;21)*Assumptions!$B$10/Projects!$D$17:$D$46*0.95)+SUMPRODUCT((Projects!$G$17:$G$46="Yes")*(80=Projects!$C$17:$C$46+Projects!$D$17:$D$46-1)*Projects!$B$17:$B$46*(ROW(Projects!$B$17:$B$46)&lt;&gt;21)*Assumptions!$B$10*0.05)+SUMPRODUCT((Projects!$G$10:$G$14="Yes")*(80&gt;=Projects!$C$10:$C$14)*(80&lt;Projects!$C$10:$C$14+Projects!$D$10:$D$14)*Projects!$B$10:$B$14*Assumptions!$B$12/Projects!$D$10:$D$14*0.95)+SUMPRODUCT((Projects!$G$10:$G$14="Yes")*(80=Projects!$C$10:$C$14+Projects!$D$10:$D$14-1)*Projects!$B$10:$B$14*Assumptions!$B$12*0.05)+SUMPRODUCT((Projects!$G$17:$G$46="Yes")*(80&gt;=Projects!$C$17:$C$46)*(80&lt;Projects!$C$17:$C$46+Projects!$D$17:$D$46)*Projects!$B$17:$B$46*(ROW(Projects!$B$17:$B$46)&lt;&gt;21)*Assumptions!$B$12/Projects!$D$17:$D$46*0.95)+SUMPRODUCT((Projects!$G$17:$G$46="Yes")*(80=Projects!$C$17:$C$46+Projects!$D$17:$D$46-1)*Projects!$B$17:$B$46*(ROW(Projects!$B$17:$B$46)&lt;&gt;21)*Assumptions!$B$12*0.05)+0+IF(AND(Projects!$G$21="Yes",80&gt;=Projects!$C$21,80&lt;Projects!$C$21+Projects!$D$21),(Projects!$N$21+Projects!$P$21)/Projects!$D$21*0.95,0)+IF(AND(Projects!$G$21="Yes",80=Projects!$C$21+Projects!$D$21-1),(Projects!$N$21+Projects!$P$21)*0.05,0),Actuals!CG8)</f>
        <v>0</v>
      </c>
      <c r="CG10" s="13" t="n">
        <f aca="false">IF(ISBLANK(Actuals!CH8),0+SUMPRODUCT((Projects!$G$10:$G$14="Yes")*(81&gt;=Projects!$C$10:$C$14)*(81&lt;Projects!$C$10:$C$14+Projects!$D$10:$D$14)*Projects!$B$10:$B$14*Assumptions!$B$10/Projects!$D$10:$D$14*0.95)+SUMPRODUCT((Projects!$G$10:$G$14="Yes")*(81=Projects!$C$10:$C$14+Projects!$D$10:$D$14-1)*Projects!$B$10:$B$14*Assumptions!$B$10*0.05)+SUMPRODUCT((Projects!$G$17:$G$46="Yes")*(81&gt;=Projects!$C$17:$C$46)*(81&lt;Projects!$C$17:$C$46+Projects!$D$17:$D$46)*Projects!$B$17:$B$46*(ROW(Projects!$B$17:$B$46)&lt;&gt;21)*Assumptions!$B$10/Projects!$D$17:$D$46*0.95)+SUMPRODUCT((Projects!$G$17:$G$46="Yes")*(81=Projects!$C$17:$C$46+Projects!$D$17:$D$46-1)*Projects!$B$17:$B$46*(ROW(Projects!$B$17:$B$46)&lt;&gt;21)*Assumptions!$B$10*0.05)+SUMPRODUCT((Projects!$G$10:$G$14="Yes")*(81&gt;=Projects!$C$10:$C$14)*(81&lt;Projects!$C$10:$C$14+Projects!$D$10:$D$14)*Projects!$B$10:$B$14*Assumptions!$B$12/Projects!$D$10:$D$14*0.95)+SUMPRODUCT((Projects!$G$10:$G$14="Yes")*(81=Projects!$C$10:$C$14+Projects!$D$10:$D$14-1)*Projects!$B$10:$B$14*Assumptions!$B$12*0.05)+SUMPRODUCT((Projects!$G$17:$G$46="Yes")*(81&gt;=Projects!$C$17:$C$46)*(81&lt;Projects!$C$17:$C$46+Projects!$D$17:$D$46)*Projects!$B$17:$B$46*(ROW(Projects!$B$17:$B$46)&lt;&gt;21)*Assumptions!$B$12/Projects!$D$17:$D$46*0.95)+SUMPRODUCT((Projects!$G$17:$G$46="Yes")*(81=Projects!$C$17:$C$46+Projects!$D$17:$D$46-1)*Projects!$B$17:$B$46*(ROW(Projects!$B$17:$B$46)&lt;&gt;21)*Assumptions!$B$12*0.05)+0+IF(AND(Projects!$G$21="Yes",81&gt;=Projects!$C$21,81&lt;Projects!$C$21+Projects!$D$21),(Projects!$N$21+Projects!$P$21)/Projects!$D$21*0.95,0)+IF(AND(Projects!$G$21="Yes",81=Projects!$C$21+Projects!$D$21-1),(Projects!$N$21+Projects!$P$21)*0.05,0),Actuals!CH8)</f>
        <v>0</v>
      </c>
      <c r="CH10" s="13" t="n">
        <f aca="false">IF(ISBLANK(Actuals!CI8),0+SUMPRODUCT((Projects!$G$10:$G$14="Yes")*(82&gt;=Projects!$C$10:$C$14)*(82&lt;Projects!$C$10:$C$14+Projects!$D$10:$D$14)*Projects!$B$10:$B$14*Assumptions!$B$10/Projects!$D$10:$D$14*0.95)+SUMPRODUCT((Projects!$G$10:$G$14="Yes")*(82=Projects!$C$10:$C$14+Projects!$D$10:$D$14-1)*Projects!$B$10:$B$14*Assumptions!$B$10*0.05)+SUMPRODUCT((Projects!$G$17:$G$46="Yes")*(82&gt;=Projects!$C$17:$C$46)*(82&lt;Projects!$C$17:$C$46+Projects!$D$17:$D$46)*Projects!$B$17:$B$46*(ROW(Projects!$B$17:$B$46)&lt;&gt;21)*Assumptions!$B$10/Projects!$D$17:$D$46*0.95)+SUMPRODUCT((Projects!$G$17:$G$46="Yes")*(82=Projects!$C$17:$C$46+Projects!$D$17:$D$46-1)*Projects!$B$17:$B$46*(ROW(Projects!$B$17:$B$46)&lt;&gt;21)*Assumptions!$B$10*0.05)+SUMPRODUCT((Projects!$G$10:$G$14="Yes")*(82&gt;=Projects!$C$10:$C$14)*(82&lt;Projects!$C$10:$C$14+Projects!$D$10:$D$14)*Projects!$B$10:$B$14*Assumptions!$B$12/Projects!$D$10:$D$14*0.95)+SUMPRODUCT((Projects!$G$10:$G$14="Yes")*(82=Projects!$C$10:$C$14+Projects!$D$10:$D$14-1)*Projects!$B$10:$B$14*Assumptions!$B$12*0.05)+SUMPRODUCT((Projects!$G$17:$G$46="Yes")*(82&gt;=Projects!$C$17:$C$46)*(82&lt;Projects!$C$17:$C$46+Projects!$D$17:$D$46)*Projects!$B$17:$B$46*(ROW(Projects!$B$17:$B$46)&lt;&gt;21)*Assumptions!$B$12/Projects!$D$17:$D$46*0.95)+SUMPRODUCT((Projects!$G$17:$G$46="Yes")*(82=Projects!$C$17:$C$46+Projects!$D$17:$D$46-1)*Projects!$B$17:$B$46*(ROW(Projects!$B$17:$B$46)&lt;&gt;21)*Assumptions!$B$12*0.05)+0+IF(AND(Projects!$G$21="Yes",82&gt;=Projects!$C$21,82&lt;Projects!$C$21+Projects!$D$21),(Projects!$N$21+Projects!$P$21)/Projects!$D$21*0.95,0)+IF(AND(Projects!$G$21="Yes",82=Projects!$C$21+Projects!$D$21-1),(Projects!$N$21+Projects!$P$21)*0.05,0),Actuals!CI8)</f>
        <v>0</v>
      </c>
      <c r="CI10" s="13" t="n">
        <f aca="false">IF(ISBLANK(Actuals!CJ8),0+SUMPRODUCT((Projects!$G$10:$G$14="Yes")*(83&gt;=Projects!$C$10:$C$14)*(83&lt;Projects!$C$10:$C$14+Projects!$D$10:$D$14)*Projects!$B$10:$B$14*Assumptions!$B$10/Projects!$D$10:$D$14*0.95)+SUMPRODUCT((Projects!$G$10:$G$14="Yes")*(83=Projects!$C$10:$C$14+Projects!$D$10:$D$14-1)*Projects!$B$10:$B$14*Assumptions!$B$10*0.05)+SUMPRODUCT((Projects!$G$17:$G$46="Yes")*(83&gt;=Projects!$C$17:$C$46)*(83&lt;Projects!$C$17:$C$46+Projects!$D$17:$D$46)*Projects!$B$17:$B$46*(ROW(Projects!$B$17:$B$46)&lt;&gt;21)*Assumptions!$B$10/Projects!$D$17:$D$46*0.95)+SUMPRODUCT((Projects!$G$17:$G$46="Yes")*(83=Projects!$C$17:$C$46+Projects!$D$17:$D$46-1)*Projects!$B$17:$B$46*(ROW(Projects!$B$17:$B$46)&lt;&gt;21)*Assumptions!$B$10*0.05)+SUMPRODUCT((Projects!$G$10:$G$14="Yes")*(83&gt;=Projects!$C$10:$C$14)*(83&lt;Projects!$C$10:$C$14+Projects!$D$10:$D$14)*Projects!$B$10:$B$14*Assumptions!$B$12/Projects!$D$10:$D$14*0.95)+SUMPRODUCT((Projects!$G$10:$G$14="Yes")*(83=Projects!$C$10:$C$14+Projects!$D$10:$D$14-1)*Projects!$B$10:$B$14*Assumptions!$B$12*0.05)+SUMPRODUCT((Projects!$G$17:$G$46="Yes")*(83&gt;=Projects!$C$17:$C$46)*(83&lt;Projects!$C$17:$C$46+Projects!$D$17:$D$46)*Projects!$B$17:$B$46*(ROW(Projects!$B$17:$B$46)&lt;&gt;21)*Assumptions!$B$12/Projects!$D$17:$D$46*0.95)+SUMPRODUCT((Projects!$G$17:$G$46="Yes")*(83=Projects!$C$17:$C$46+Projects!$D$17:$D$46-1)*Projects!$B$17:$B$46*(ROW(Projects!$B$17:$B$46)&lt;&gt;21)*Assumptions!$B$12*0.05)+0+IF(AND(Projects!$G$21="Yes",83&gt;=Projects!$C$21,83&lt;Projects!$C$21+Projects!$D$21),(Projects!$N$21+Projects!$P$21)/Projects!$D$21*0.95,0)+IF(AND(Projects!$G$21="Yes",83=Projects!$C$21+Projects!$D$21-1),(Projects!$N$21+Projects!$P$21)*0.05,0),Actuals!CJ8)</f>
        <v>0</v>
      </c>
      <c r="CJ10" s="13" t="n">
        <f aca="false">IF(ISBLANK(Actuals!CK8),0+SUMPRODUCT((Projects!$G$10:$G$14="Yes")*(84&gt;=Projects!$C$10:$C$14)*(84&lt;Projects!$C$10:$C$14+Projects!$D$10:$D$14)*Projects!$B$10:$B$14*Assumptions!$B$10/Projects!$D$10:$D$14*0.95)+SUMPRODUCT((Projects!$G$10:$G$14="Yes")*(84=Projects!$C$10:$C$14+Projects!$D$10:$D$14-1)*Projects!$B$10:$B$14*Assumptions!$B$10*0.05)+SUMPRODUCT((Projects!$G$17:$G$46="Yes")*(84&gt;=Projects!$C$17:$C$46)*(84&lt;Projects!$C$17:$C$46+Projects!$D$17:$D$46)*Projects!$B$17:$B$46*(ROW(Projects!$B$17:$B$46)&lt;&gt;21)*Assumptions!$B$10/Projects!$D$17:$D$46*0.95)+SUMPRODUCT((Projects!$G$17:$G$46="Yes")*(84=Projects!$C$17:$C$46+Projects!$D$17:$D$46-1)*Projects!$B$17:$B$46*(ROW(Projects!$B$17:$B$46)&lt;&gt;21)*Assumptions!$B$10*0.05)+SUMPRODUCT((Projects!$G$10:$G$14="Yes")*(84&gt;=Projects!$C$10:$C$14)*(84&lt;Projects!$C$10:$C$14+Projects!$D$10:$D$14)*Projects!$B$10:$B$14*Assumptions!$B$12/Projects!$D$10:$D$14*0.95)+SUMPRODUCT((Projects!$G$10:$G$14="Yes")*(84=Projects!$C$10:$C$14+Projects!$D$10:$D$14-1)*Projects!$B$10:$B$14*Assumptions!$B$12*0.05)+SUMPRODUCT((Projects!$G$17:$G$46="Yes")*(84&gt;=Projects!$C$17:$C$46)*(84&lt;Projects!$C$17:$C$46+Projects!$D$17:$D$46)*Projects!$B$17:$B$46*(ROW(Projects!$B$17:$B$46)&lt;&gt;21)*Assumptions!$B$12/Projects!$D$17:$D$46*0.95)+SUMPRODUCT((Projects!$G$17:$G$46="Yes")*(84=Projects!$C$17:$C$46+Projects!$D$17:$D$46-1)*Projects!$B$17:$B$46*(ROW(Projects!$B$17:$B$46)&lt;&gt;21)*Assumptions!$B$12*0.05)+0+IF(AND(Projects!$G$21="Yes",84&gt;=Projects!$C$21,84&lt;Projects!$C$21+Projects!$D$21),(Projects!$N$21+Projects!$P$21)/Projects!$D$21*0.95,0)+IF(AND(Projects!$G$21="Yes",84=Projects!$C$21+Projects!$D$21-1),(Projects!$N$21+Projects!$P$21)*0.05,0),Actuals!CK8)</f>
        <v>0</v>
      </c>
      <c r="CK10" s="13" t="n">
        <f aca="false">IF(ISBLANK(Actuals!CL8),0+SUMPRODUCT((Projects!$G$10:$G$14="Yes")*(85&gt;=Projects!$C$10:$C$14)*(85&lt;Projects!$C$10:$C$14+Projects!$D$10:$D$14)*Projects!$B$10:$B$14*Assumptions!$B$10/Projects!$D$10:$D$14*0.95)+SUMPRODUCT((Projects!$G$10:$G$14="Yes")*(85=Projects!$C$10:$C$14+Projects!$D$10:$D$14-1)*Projects!$B$10:$B$14*Assumptions!$B$10*0.05)+SUMPRODUCT((Projects!$G$17:$G$46="Yes")*(85&gt;=Projects!$C$17:$C$46)*(85&lt;Projects!$C$17:$C$46+Projects!$D$17:$D$46)*Projects!$B$17:$B$46*(ROW(Projects!$B$17:$B$46)&lt;&gt;21)*Assumptions!$B$10/Projects!$D$17:$D$46*0.95)+SUMPRODUCT((Projects!$G$17:$G$46="Yes")*(85=Projects!$C$17:$C$46+Projects!$D$17:$D$46-1)*Projects!$B$17:$B$46*(ROW(Projects!$B$17:$B$46)&lt;&gt;21)*Assumptions!$B$10*0.05)+SUMPRODUCT((Projects!$G$10:$G$14="Yes")*(85&gt;=Projects!$C$10:$C$14)*(85&lt;Projects!$C$10:$C$14+Projects!$D$10:$D$14)*Projects!$B$10:$B$14*Assumptions!$B$12/Projects!$D$10:$D$14*0.95)+SUMPRODUCT((Projects!$G$10:$G$14="Yes")*(85=Projects!$C$10:$C$14+Projects!$D$10:$D$14-1)*Projects!$B$10:$B$14*Assumptions!$B$12*0.05)+SUMPRODUCT((Projects!$G$17:$G$46="Yes")*(85&gt;=Projects!$C$17:$C$46)*(85&lt;Projects!$C$17:$C$46+Projects!$D$17:$D$46)*Projects!$B$17:$B$46*(ROW(Projects!$B$17:$B$46)&lt;&gt;21)*Assumptions!$B$12/Projects!$D$17:$D$46*0.95)+SUMPRODUCT((Projects!$G$17:$G$46="Yes")*(85=Projects!$C$17:$C$46+Projects!$D$17:$D$46-1)*Projects!$B$17:$B$46*(ROW(Projects!$B$17:$B$46)&lt;&gt;21)*Assumptions!$B$12*0.05)+0+IF(AND(Projects!$G$21="Yes",85&gt;=Projects!$C$21,85&lt;Projects!$C$21+Projects!$D$21),(Projects!$N$21+Projects!$P$21)/Projects!$D$21*0.95,0)+IF(AND(Projects!$G$21="Yes",85=Projects!$C$21+Projects!$D$21-1),(Projects!$N$21+Projects!$P$21)*0.05,0),Actuals!CL8)</f>
        <v>0</v>
      </c>
      <c r="CL10" s="13" t="n">
        <f aca="false">IF(ISBLANK(Actuals!CM8),0+SUMPRODUCT((Projects!$G$10:$G$14="Yes")*(86&gt;=Projects!$C$10:$C$14)*(86&lt;Projects!$C$10:$C$14+Projects!$D$10:$D$14)*Projects!$B$10:$B$14*Assumptions!$B$10/Projects!$D$10:$D$14*0.95)+SUMPRODUCT((Projects!$G$10:$G$14="Yes")*(86=Projects!$C$10:$C$14+Projects!$D$10:$D$14-1)*Projects!$B$10:$B$14*Assumptions!$B$10*0.05)+SUMPRODUCT((Projects!$G$17:$G$46="Yes")*(86&gt;=Projects!$C$17:$C$46)*(86&lt;Projects!$C$17:$C$46+Projects!$D$17:$D$46)*Projects!$B$17:$B$46*(ROW(Projects!$B$17:$B$46)&lt;&gt;21)*Assumptions!$B$10/Projects!$D$17:$D$46*0.95)+SUMPRODUCT((Projects!$G$17:$G$46="Yes")*(86=Projects!$C$17:$C$46+Projects!$D$17:$D$46-1)*Projects!$B$17:$B$46*(ROW(Projects!$B$17:$B$46)&lt;&gt;21)*Assumptions!$B$10*0.05)+SUMPRODUCT((Projects!$G$10:$G$14="Yes")*(86&gt;=Projects!$C$10:$C$14)*(86&lt;Projects!$C$10:$C$14+Projects!$D$10:$D$14)*Projects!$B$10:$B$14*Assumptions!$B$12/Projects!$D$10:$D$14*0.95)+SUMPRODUCT((Projects!$G$10:$G$14="Yes")*(86=Projects!$C$10:$C$14+Projects!$D$10:$D$14-1)*Projects!$B$10:$B$14*Assumptions!$B$12*0.05)+SUMPRODUCT((Projects!$G$17:$G$46="Yes")*(86&gt;=Projects!$C$17:$C$46)*(86&lt;Projects!$C$17:$C$46+Projects!$D$17:$D$46)*Projects!$B$17:$B$46*(ROW(Projects!$B$17:$B$46)&lt;&gt;21)*Assumptions!$B$12/Projects!$D$17:$D$46*0.95)+SUMPRODUCT((Projects!$G$17:$G$46="Yes")*(86=Projects!$C$17:$C$46+Projects!$D$17:$D$46-1)*Projects!$B$17:$B$46*(ROW(Projects!$B$17:$B$46)&lt;&gt;21)*Assumptions!$B$12*0.05)+0+IF(AND(Projects!$G$21="Yes",86&gt;=Projects!$C$21,86&lt;Projects!$C$21+Projects!$D$21),(Projects!$N$21+Projects!$P$21)/Projects!$D$21*0.95,0)+IF(AND(Projects!$G$21="Yes",86=Projects!$C$21+Projects!$D$21-1),(Projects!$N$21+Projects!$P$21)*0.05,0),Actuals!CM8)</f>
        <v>0</v>
      </c>
      <c r="CM10" s="13" t="n">
        <f aca="false">IF(ISBLANK(Actuals!CN8),0+SUMPRODUCT((Projects!$G$10:$G$14="Yes")*(87&gt;=Projects!$C$10:$C$14)*(87&lt;Projects!$C$10:$C$14+Projects!$D$10:$D$14)*Projects!$B$10:$B$14*Assumptions!$B$10/Projects!$D$10:$D$14*0.95)+SUMPRODUCT((Projects!$G$10:$G$14="Yes")*(87=Projects!$C$10:$C$14+Projects!$D$10:$D$14-1)*Projects!$B$10:$B$14*Assumptions!$B$10*0.05)+SUMPRODUCT((Projects!$G$17:$G$46="Yes")*(87&gt;=Projects!$C$17:$C$46)*(87&lt;Projects!$C$17:$C$46+Projects!$D$17:$D$46)*Projects!$B$17:$B$46*(ROW(Projects!$B$17:$B$46)&lt;&gt;21)*Assumptions!$B$10/Projects!$D$17:$D$46*0.95)+SUMPRODUCT((Projects!$G$17:$G$46="Yes")*(87=Projects!$C$17:$C$46+Projects!$D$17:$D$46-1)*Projects!$B$17:$B$46*(ROW(Projects!$B$17:$B$46)&lt;&gt;21)*Assumptions!$B$10*0.05)+SUMPRODUCT((Projects!$G$10:$G$14="Yes")*(87&gt;=Projects!$C$10:$C$14)*(87&lt;Projects!$C$10:$C$14+Projects!$D$10:$D$14)*Projects!$B$10:$B$14*Assumptions!$B$12/Projects!$D$10:$D$14*0.95)+SUMPRODUCT((Projects!$G$10:$G$14="Yes")*(87=Projects!$C$10:$C$14+Projects!$D$10:$D$14-1)*Projects!$B$10:$B$14*Assumptions!$B$12*0.05)+SUMPRODUCT((Projects!$G$17:$G$46="Yes")*(87&gt;=Projects!$C$17:$C$46)*(87&lt;Projects!$C$17:$C$46+Projects!$D$17:$D$46)*Projects!$B$17:$B$46*(ROW(Projects!$B$17:$B$46)&lt;&gt;21)*Assumptions!$B$12/Projects!$D$17:$D$46*0.95)+SUMPRODUCT((Projects!$G$17:$G$46="Yes")*(87=Projects!$C$17:$C$46+Projects!$D$17:$D$46-1)*Projects!$B$17:$B$46*(ROW(Projects!$B$17:$B$46)&lt;&gt;21)*Assumptions!$B$12*0.05)+0+IF(AND(Projects!$G$21="Yes",87&gt;=Projects!$C$21,87&lt;Projects!$C$21+Projects!$D$21),(Projects!$N$21+Projects!$P$21)/Projects!$D$21*0.95,0)+IF(AND(Projects!$G$21="Yes",87=Projects!$C$21+Projects!$D$21-1),(Projects!$N$21+Projects!$P$21)*0.05,0),Actuals!CN8)</f>
        <v>0</v>
      </c>
      <c r="CN10" s="13" t="n">
        <f aca="false">IF(ISBLANK(Actuals!CO8),0+SUMPRODUCT((Projects!$G$10:$G$14="Yes")*(88&gt;=Projects!$C$10:$C$14)*(88&lt;Projects!$C$10:$C$14+Projects!$D$10:$D$14)*Projects!$B$10:$B$14*Assumptions!$B$10/Projects!$D$10:$D$14*0.95)+SUMPRODUCT((Projects!$G$10:$G$14="Yes")*(88=Projects!$C$10:$C$14+Projects!$D$10:$D$14-1)*Projects!$B$10:$B$14*Assumptions!$B$10*0.05)+SUMPRODUCT((Projects!$G$17:$G$46="Yes")*(88&gt;=Projects!$C$17:$C$46)*(88&lt;Projects!$C$17:$C$46+Projects!$D$17:$D$46)*Projects!$B$17:$B$46*(ROW(Projects!$B$17:$B$46)&lt;&gt;21)*Assumptions!$B$10/Projects!$D$17:$D$46*0.95)+SUMPRODUCT((Projects!$G$17:$G$46="Yes")*(88=Projects!$C$17:$C$46+Projects!$D$17:$D$46-1)*Projects!$B$17:$B$46*(ROW(Projects!$B$17:$B$46)&lt;&gt;21)*Assumptions!$B$10*0.05)+SUMPRODUCT((Projects!$G$10:$G$14="Yes")*(88&gt;=Projects!$C$10:$C$14)*(88&lt;Projects!$C$10:$C$14+Projects!$D$10:$D$14)*Projects!$B$10:$B$14*Assumptions!$B$12/Projects!$D$10:$D$14*0.95)+SUMPRODUCT((Projects!$G$10:$G$14="Yes")*(88=Projects!$C$10:$C$14+Projects!$D$10:$D$14-1)*Projects!$B$10:$B$14*Assumptions!$B$12*0.05)+SUMPRODUCT((Projects!$G$17:$G$46="Yes")*(88&gt;=Projects!$C$17:$C$46)*(88&lt;Projects!$C$17:$C$46+Projects!$D$17:$D$46)*Projects!$B$17:$B$46*(ROW(Projects!$B$17:$B$46)&lt;&gt;21)*Assumptions!$B$12/Projects!$D$17:$D$46*0.95)+SUMPRODUCT((Projects!$G$17:$G$46="Yes")*(88=Projects!$C$17:$C$46+Projects!$D$17:$D$46-1)*Projects!$B$17:$B$46*(ROW(Projects!$B$17:$B$46)&lt;&gt;21)*Assumptions!$B$12*0.05)+0+IF(AND(Projects!$G$21="Yes",88&gt;=Projects!$C$21,88&lt;Projects!$C$21+Projects!$D$21),(Projects!$N$21+Projects!$P$21)/Projects!$D$21*0.95,0)+IF(AND(Projects!$G$21="Yes",88=Projects!$C$21+Projects!$D$21-1),(Projects!$N$21+Projects!$P$21)*0.05,0),Actuals!CO8)</f>
        <v>0</v>
      </c>
      <c r="CO10" s="13" t="n">
        <f aca="false">IF(ISBLANK(Actuals!CP8),0+SUMPRODUCT((Projects!$G$10:$G$14="Yes")*(89&gt;=Projects!$C$10:$C$14)*(89&lt;Projects!$C$10:$C$14+Projects!$D$10:$D$14)*Projects!$B$10:$B$14*Assumptions!$B$10/Projects!$D$10:$D$14*0.95)+SUMPRODUCT((Projects!$G$10:$G$14="Yes")*(89=Projects!$C$10:$C$14+Projects!$D$10:$D$14-1)*Projects!$B$10:$B$14*Assumptions!$B$10*0.05)+SUMPRODUCT((Projects!$G$17:$G$46="Yes")*(89&gt;=Projects!$C$17:$C$46)*(89&lt;Projects!$C$17:$C$46+Projects!$D$17:$D$46)*Projects!$B$17:$B$46*(ROW(Projects!$B$17:$B$46)&lt;&gt;21)*Assumptions!$B$10/Projects!$D$17:$D$46*0.95)+SUMPRODUCT((Projects!$G$17:$G$46="Yes")*(89=Projects!$C$17:$C$46+Projects!$D$17:$D$46-1)*Projects!$B$17:$B$46*(ROW(Projects!$B$17:$B$46)&lt;&gt;21)*Assumptions!$B$10*0.05)+SUMPRODUCT((Projects!$G$10:$G$14="Yes")*(89&gt;=Projects!$C$10:$C$14)*(89&lt;Projects!$C$10:$C$14+Projects!$D$10:$D$14)*Projects!$B$10:$B$14*Assumptions!$B$12/Projects!$D$10:$D$14*0.95)+SUMPRODUCT((Projects!$G$10:$G$14="Yes")*(89=Projects!$C$10:$C$14+Projects!$D$10:$D$14-1)*Projects!$B$10:$B$14*Assumptions!$B$12*0.05)+SUMPRODUCT((Projects!$G$17:$G$46="Yes")*(89&gt;=Projects!$C$17:$C$46)*(89&lt;Projects!$C$17:$C$46+Projects!$D$17:$D$46)*Projects!$B$17:$B$46*(ROW(Projects!$B$17:$B$46)&lt;&gt;21)*Assumptions!$B$12/Projects!$D$17:$D$46*0.95)+SUMPRODUCT((Projects!$G$17:$G$46="Yes")*(89=Projects!$C$17:$C$46+Projects!$D$17:$D$46-1)*Projects!$B$17:$B$46*(ROW(Projects!$B$17:$B$46)&lt;&gt;21)*Assumptions!$B$12*0.05)+0+IF(AND(Projects!$G$21="Yes",89&gt;=Projects!$C$21,89&lt;Projects!$C$21+Projects!$D$21),(Projects!$N$21+Projects!$P$21)/Projects!$D$21*0.95,0)+IF(AND(Projects!$G$21="Yes",89=Projects!$C$21+Projects!$D$21-1),(Projects!$N$21+Projects!$P$21)*0.05,0),Actuals!CP8)</f>
        <v>0</v>
      </c>
      <c r="CP10" s="13" t="n">
        <f aca="false">IF(ISBLANK(Actuals!CQ8),0+SUMPRODUCT((Projects!$G$10:$G$14="Yes")*(90&gt;=Projects!$C$10:$C$14)*(90&lt;Projects!$C$10:$C$14+Projects!$D$10:$D$14)*Projects!$B$10:$B$14*Assumptions!$B$10/Projects!$D$10:$D$14*0.95)+SUMPRODUCT((Projects!$G$10:$G$14="Yes")*(90=Projects!$C$10:$C$14+Projects!$D$10:$D$14-1)*Projects!$B$10:$B$14*Assumptions!$B$10*0.05)+SUMPRODUCT((Projects!$G$17:$G$46="Yes")*(90&gt;=Projects!$C$17:$C$46)*(90&lt;Projects!$C$17:$C$46+Projects!$D$17:$D$46)*Projects!$B$17:$B$46*(ROW(Projects!$B$17:$B$46)&lt;&gt;21)*Assumptions!$B$10/Projects!$D$17:$D$46*0.95)+SUMPRODUCT((Projects!$G$17:$G$46="Yes")*(90=Projects!$C$17:$C$46+Projects!$D$17:$D$46-1)*Projects!$B$17:$B$46*(ROW(Projects!$B$17:$B$46)&lt;&gt;21)*Assumptions!$B$10*0.05)+SUMPRODUCT((Projects!$G$10:$G$14="Yes")*(90&gt;=Projects!$C$10:$C$14)*(90&lt;Projects!$C$10:$C$14+Projects!$D$10:$D$14)*Projects!$B$10:$B$14*Assumptions!$B$12/Projects!$D$10:$D$14*0.95)+SUMPRODUCT((Projects!$G$10:$G$14="Yes")*(90=Projects!$C$10:$C$14+Projects!$D$10:$D$14-1)*Projects!$B$10:$B$14*Assumptions!$B$12*0.05)+SUMPRODUCT((Projects!$G$17:$G$46="Yes")*(90&gt;=Projects!$C$17:$C$46)*(90&lt;Projects!$C$17:$C$46+Projects!$D$17:$D$46)*Projects!$B$17:$B$46*(ROW(Projects!$B$17:$B$46)&lt;&gt;21)*Assumptions!$B$12/Projects!$D$17:$D$46*0.95)+SUMPRODUCT((Projects!$G$17:$G$46="Yes")*(90=Projects!$C$17:$C$46+Projects!$D$17:$D$46-1)*Projects!$B$17:$B$46*(ROW(Projects!$B$17:$B$46)&lt;&gt;21)*Assumptions!$B$12*0.05)+0+IF(AND(Projects!$G$21="Yes",90&gt;=Projects!$C$21,90&lt;Projects!$C$21+Projects!$D$21),(Projects!$N$21+Projects!$P$21)/Projects!$D$21*0.95,0)+IF(AND(Projects!$G$21="Yes",90=Projects!$C$21+Projects!$D$21-1),(Projects!$N$21+Projects!$P$21)*0.05,0),Actuals!CQ8)</f>
        <v>0</v>
      </c>
      <c r="CQ10" s="13" t="n">
        <f aca="false">IF(ISBLANK(Actuals!CR8),0+SUMPRODUCT((Projects!$G$10:$G$14="Yes")*(91&gt;=Projects!$C$10:$C$14)*(91&lt;Projects!$C$10:$C$14+Projects!$D$10:$D$14)*Projects!$B$10:$B$14*Assumptions!$B$10/Projects!$D$10:$D$14*0.95)+SUMPRODUCT((Projects!$G$10:$G$14="Yes")*(91=Projects!$C$10:$C$14+Projects!$D$10:$D$14-1)*Projects!$B$10:$B$14*Assumptions!$B$10*0.05)+SUMPRODUCT((Projects!$G$17:$G$46="Yes")*(91&gt;=Projects!$C$17:$C$46)*(91&lt;Projects!$C$17:$C$46+Projects!$D$17:$D$46)*Projects!$B$17:$B$46*(ROW(Projects!$B$17:$B$46)&lt;&gt;21)*Assumptions!$B$10/Projects!$D$17:$D$46*0.95)+SUMPRODUCT((Projects!$G$17:$G$46="Yes")*(91=Projects!$C$17:$C$46+Projects!$D$17:$D$46-1)*Projects!$B$17:$B$46*(ROW(Projects!$B$17:$B$46)&lt;&gt;21)*Assumptions!$B$10*0.05)+SUMPRODUCT((Projects!$G$10:$G$14="Yes")*(91&gt;=Projects!$C$10:$C$14)*(91&lt;Projects!$C$10:$C$14+Projects!$D$10:$D$14)*Projects!$B$10:$B$14*Assumptions!$B$12/Projects!$D$10:$D$14*0.95)+SUMPRODUCT((Projects!$G$10:$G$14="Yes")*(91=Projects!$C$10:$C$14+Projects!$D$10:$D$14-1)*Projects!$B$10:$B$14*Assumptions!$B$12*0.05)+SUMPRODUCT((Projects!$G$17:$G$46="Yes")*(91&gt;=Projects!$C$17:$C$46)*(91&lt;Projects!$C$17:$C$46+Projects!$D$17:$D$46)*Projects!$B$17:$B$46*(ROW(Projects!$B$17:$B$46)&lt;&gt;21)*Assumptions!$B$12/Projects!$D$17:$D$46*0.95)+SUMPRODUCT((Projects!$G$17:$G$46="Yes")*(91=Projects!$C$17:$C$46+Projects!$D$17:$D$46-1)*Projects!$B$17:$B$46*(ROW(Projects!$B$17:$B$46)&lt;&gt;21)*Assumptions!$B$12*0.05)+0+IF(AND(Projects!$G$21="Yes",91&gt;=Projects!$C$21,91&lt;Projects!$C$21+Projects!$D$21),(Projects!$N$21+Projects!$P$21)/Projects!$D$21*0.95,0)+IF(AND(Projects!$G$21="Yes",91=Projects!$C$21+Projects!$D$21-1),(Projects!$N$21+Projects!$P$21)*0.05,0),Actuals!CR8)</f>
        <v>0</v>
      </c>
      <c r="CR10" s="13" t="n">
        <f aca="false">IF(ISBLANK(Actuals!CS8),0+SUMPRODUCT((Projects!$G$10:$G$14="Yes")*(92&gt;=Projects!$C$10:$C$14)*(92&lt;Projects!$C$10:$C$14+Projects!$D$10:$D$14)*Projects!$B$10:$B$14*Assumptions!$B$10/Projects!$D$10:$D$14*0.95)+SUMPRODUCT((Projects!$G$10:$G$14="Yes")*(92=Projects!$C$10:$C$14+Projects!$D$10:$D$14-1)*Projects!$B$10:$B$14*Assumptions!$B$10*0.05)+SUMPRODUCT((Projects!$G$17:$G$46="Yes")*(92&gt;=Projects!$C$17:$C$46)*(92&lt;Projects!$C$17:$C$46+Projects!$D$17:$D$46)*Projects!$B$17:$B$46*(ROW(Projects!$B$17:$B$46)&lt;&gt;21)*Assumptions!$B$10/Projects!$D$17:$D$46*0.95)+SUMPRODUCT((Projects!$G$17:$G$46="Yes")*(92=Projects!$C$17:$C$46+Projects!$D$17:$D$46-1)*Projects!$B$17:$B$46*(ROW(Projects!$B$17:$B$46)&lt;&gt;21)*Assumptions!$B$10*0.05)+SUMPRODUCT((Projects!$G$10:$G$14="Yes")*(92&gt;=Projects!$C$10:$C$14)*(92&lt;Projects!$C$10:$C$14+Projects!$D$10:$D$14)*Projects!$B$10:$B$14*Assumptions!$B$12/Projects!$D$10:$D$14*0.95)+SUMPRODUCT((Projects!$G$10:$G$14="Yes")*(92=Projects!$C$10:$C$14+Projects!$D$10:$D$14-1)*Projects!$B$10:$B$14*Assumptions!$B$12*0.05)+SUMPRODUCT((Projects!$G$17:$G$46="Yes")*(92&gt;=Projects!$C$17:$C$46)*(92&lt;Projects!$C$17:$C$46+Projects!$D$17:$D$46)*Projects!$B$17:$B$46*(ROW(Projects!$B$17:$B$46)&lt;&gt;21)*Assumptions!$B$12/Projects!$D$17:$D$46*0.95)+SUMPRODUCT((Projects!$G$17:$G$46="Yes")*(92=Projects!$C$17:$C$46+Projects!$D$17:$D$46-1)*Projects!$B$17:$B$46*(ROW(Projects!$B$17:$B$46)&lt;&gt;21)*Assumptions!$B$12*0.05)+0+IF(AND(Projects!$G$21="Yes",92&gt;=Projects!$C$21,92&lt;Projects!$C$21+Projects!$D$21),(Projects!$N$21+Projects!$P$21)/Projects!$D$21*0.95,0)+IF(AND(Projects!$G$21="Yes",92=Projects!$C$21+Projects!$D$21-1),(Projects!$N$21+Projects!$P$21)*0.05,0),Actuals!CS8)</f>
        <v>0</v>
      </c>
      <c r="CS10" s="13" t="n">
        <f aca="false">IF(ISBLANK(Actuals!CT8),0+SUMPRODUCT((Projects!$G$10:$G$14="Yes")*(93&gt;=Projects!$C$10:$C$14)*(93&lt;Projects!$C$10:$C$14+Projects!$D$10:$D$14)*Projects!$B$10:$B$14*Assumptions!$B$10/Projects!$D$10:$D$14*0.95)+SUMPRODUCT((Projects!$G$10:$G$14="Yes")*(93=Projects!$C$10:$C$14+Projects!$D$10:$D$14-1)*Projects!$B$10:$B$14*Assumptions!$B$10*0.05)+SUMPRODUCT((Projects!$G$17:$G$46="Yes")*(93&gt;=Projects!$C$17:$C$46)*(93&lt;Projects!$C$17:$C$46+Projects!$D$17:$D$46)*Projects!$B$17:$B$46*(ROW(Projects!$B$17:$B$46)&lt;&gt;21)*Assumptions!$B$10/Projects!$D$17:$D$46*0.95)+SUMPRODUCT((Projects!$G$17:$G$46="Yes")*(93=Projects!$C$17:$C$46+Projects!$D$17:$D$46-1)*Projects!$B$17:$B$46*(ROW(Projects!$B$17:$B$46)&lt;&gt;21)*Assumptions!$B$10*0.05)+SUMPRODUCT((Projects!$G$10:$G$14="Yes")*(93&gt;=Projects!$C$10:$C$14)*(93&lt;Projects!$C$10:$C$14+Projects!$D$10:$D$14)*Projects!$B$10:$B$14*Assumptions!$B$12/Projects!$D$10:$D$14*0.95)+SUMPRODUCT((Projects!$G$10:$G$14="Yes")*(93=Projects!$C$10:$C$14+Projects!$D$10:$D$14-1)*Projects!$B$10:$B$14*Assumptions!$B$12*0.05)+SUMPRODUCT((Projects!$G$17:$G$46="Yes")*(93&gt;=Projects!$C$17:$C$46)*(93&lt;Projects!$C$17:$C$46+Projects!$D$17:$D$46)*Projects!$B$17:$B$46*(ROW(Projects!$B$17:$B$46)&lt;&gt;21)*Assumptions!$B$12/Projects!$D$17:$D$46*0.95)+SUMPRODUCT((Projects!$G$17:$G$46="Yes")*(93=Projects!$C$17:$C$46+Projects!$D$17:$D$46-1)*Projects!$B$17:$B$46*(ROW(Projects!$B$17:$B$46)&lt;&gt;21)*Assumptions!$B$12*0.05)+0+IF(AND(Projects!$G$21="Yes",93&gt;=Projects!$C$21,93&lt;Projects!$C$21+Projects!$D$21),(Projects!$N$21+Projects!$P$21)/Projects!$D$21*0.95,0)+IF(AND(Projects!$G$21="Yes",93=Projects!$C$21+Projects!$D$21-1),(Projects!$N$21+Projects!$P$21)*0.05,0),Actuals!CT8)</f>
        <v>0</v>
      </c>
      <c r="CT10" s="13" t="n">
        <f aca="false">IF(ISBLANK(Actuals!CU8),0+SUMPRODUCT((Projects!$G$10:$G$14="Yes")*(94&gt;=Projects!$C$10:$C$14)*(94&lt;Projects!$C$10:$C$14+Projects!$D$10:$D$14)*Projects!$B$10:$B$14*Assumptions!$B$10/Projects!$D$10:$D$14*0.95)+SUMPRODUCT((Projects!$G$10:$G$14="Yes")*(94=Projects!$C$10:$C$14+Projects!$D$10:$D$14-1)*Projects!$B$10:$B$14*Assumptions!$B$10*0.05)+SUMPRODUCT((Projects!$G$17:$G$46="Yes")*(94&gt;=Projects!$C$17:$C$46)*(94&lt;Projects!$C$17:$C$46+Projects!$D$17:$D$46)*Projects!$B$17:$B$46*(ROW(Projects!$B$17:$B$46)&lt;&gt;21)*Assumptions!$B$10/Projects!$D$17:$D$46*0.95)+SUMPRODUCT((Projects!$G$17:$G$46="Yes")*(94=Projects!$C$17:$C$46+Projects!$D$17:$D$46-1)*Projects!$B$17:$B$46*(ROW(Projects!$B$17:$B$46)&lt;&gt;21)*Assumptions!$B$10*0.05)+SUMPRODUCT((Projects!$G$10:$G$14="Yes")*(94&gt;=Projects!$C$10:$C$14)*(94&lt;Projects!$C$10:$C$14+Projects!$D$10:$D$14)*Projects!$B$10:$B$14*Assumptions!$B$12/Projects!$D$10:$D$14*0.95)+SUMPRODUCT((Projects!$G$10:$G$14="Yes")*(94=Projects!$C$10:$C$14+Projects!$D$10:$D$14-1)*Projects!$B$10:$B$14*Assumptions!$B$12*0.05)+SUMPRODUCT((Projects!$G$17:$G$46="Yes")*(94&gt;=Projects!$C$17:$C$46)*(94&lt;Projects!$C$17:$C$46+Projects!$D$17:$D$46)*Projects!$B$17:$B$46*(ROW(Projects!$B$17:$B$46)&lt;&gt;21)*Assumptions!$B$12/Projects!$D$17:$D$46*0.95)+SUMPRODUCT((Projects!$G$17:$G$46="Yes")*(94=Projects!$C$17:$C$46+Projects!$D$17:$D$46-1)*Projects!$B$17:$B$46*(ROW(Projects!$B$17:$B$46)&lt;&gt;21)*Assumptions!$B$12*0.05)+0+IF(AND(Projects!$G$21="Yes",94&gt;=Projects!$C$21,94&lt;Projects!$C$21+Projects!$D$21),(Projects!$N$21+Projects!$P$21)/Projects!$D$21*0.95,0)+IF(AND(Projects!$G$21="Yes",94=Projects!$C$21+Projects!$D$21-1),(Projects!$N$21+Projects!$P$21)*0.05,0),Actuals!CU8)</f>
        <v>0</v>
      </c>
      <c r="CU10" s="13" t="n">
        <f aca="false">IF(ISBLANK(Actuals!CV8),0+SUMPRODUCT((Projects!$G$10:$G$14="Yes")*(95&gt;=Projects!$C$10:$C$14)*(95&lt;Projects!$C$10:$C$14+Projects!$D$10:$D$14)*Projects!$B$10:$B$14*Assumptions!$B$10/Projects!$D$10:$D$14*0.95)+SUMPRODUCT((Projects!$G$10:$G$14="Yes")*(95=Projects!$C$10:$C$14+Projects!$D$10:$D$14-1)*Projects!$B$10:$B$14*Assumptions!$B$10*0.05)+SUMPRODUCT((Projects!$G$17:$G$46="Yes")*(95&gt;=Projects!$C$17:$C$46)*(95&lt;Projects!$C$17:$C$46+Projects!$D$17:$D$46)*Projects!$B$17:$B$46*(ROW(Projects!$B$17:$B$46)&lt;&gt;21)*Assumptions!$B$10/Projects!$D$17:$D$46*0.95)+SUMPRODUCT((Projects!$G$17:$G$46="Yes")*(95=Projects!$C$17:$C$46+Projects!$D$17:$D$46-1)*Projects!$B$17:$B$46*(ROW(Projects!$B$17:$B$46)&lt;&gt;21)*Assumptions!$B$10*0.05)+SUMPRODUCT((Projects!$G$10:$G$14="Yes")*(95&gt;=Projects!$C$10:$C$14)*(95&lt;Projects!$C$10:$C$14+Projects!$D$10:$D$14)*Projects!$B$10:$B$14*Assumptions!$B$12/Projects!$D$10:$D$14*0.95)+SUMPRODUCT((Projects!$G$10:$G$14="Yes")*(95=Projects!$C$10:$C$14+Projects!$D$10:$D$14-1)*Projects!$B$10:$B$14*Assumptions!$B$12*0.05)+SUMPRODUCT((Projects!$G$17:$G$46="Yes")*(95&gt;=Projects!$C$17:$C$46)*(95&lt;Projects!$C$17:$C$46+Projects!$D$17:$D$46)*Projects!$B$17:$B$46*(ROW(Projects!$B$17:$B$46)&lt;&gt;21)*Assumptions!$B$12/Projects!$D$17:$D$46*0.95)+SUMPRODUCT((Projects!$G$17:$G$46="Yes")*(95=Projects!$C$17:$C$46+Projects!$D$17:$D$46-1)*Projects!$B$17:$B$46*(ROW(Projects!$B$17:$B$46)&lt;&gt;21)*Assumptions!$B$12*0.05)+0+IF(AND(Projects!$G$21="Yes",95&gt;=Projects!$C$21,95&lt;Projects!$C$21+Projects!$D$21),(Projects!$N$21+Projects!$P$21)/Projects!$D$21*0.95,0)+IF(AND(Projects!$G$21="Yes",95=Projects!$C$21+Projects!$D$21-1),(Projects!$N$21+Projects!$P$21)*0.05,0),Actuals!CV8)</f>
        <v>0</v>
      </c>
      <c r="CV10" s="13" t="n">
        <f aca="false">IF(ISBLANK(Actuals!CW8),0+SUMPRODUCT((Projects!$G$10:$G$14="Yes")*(96&gt;=Projects!$C$10:$C$14)*(96&lt;Projects!$C$10:$C$14+Projects!$D$10:$D$14)*Projects!$B$10:$B$14*Assumptions!$B$10/Projects!$D$10:$D$14*0.95)+SUMPRODUCT((Projects!$G$10:$G$14="Yes")*(96=Projects!$C$10:$C$14+Projects!$D$10:$D$14-1)*Projects!$B$10:$B$14*Assumptions!$B$10*0.05)+SUMPRODUCT((Projects!$G$17:$G$46="Yes")*(96&gt;=Projects!$C$17:$C$46)*(96&lt;Projects!$C$17:$C$46+Projects!$D$17:$D$46)*Projects!$B$17:$B$46*(ROW(Projects!$B$17:$B$46)&lt;&gt;21)*Assumptions!$B$10/Projects!$D$17:$D$46*0.95)+SUMPRODUCT((Projects!$G$17:$G$46="Yes")*(96=Projects!$C$17:$C$46+Projects!$D$17:$D$46-1)*Projects!$B$17:$B$46*(ROW(Projects!$B$17:$B$46)&lt;&gt;21)*Assumptions!$B$10*0.05)+SUMPRODUCT((Projects!$G$10:$G$14="Yes")*(96&gt;=Projects!$C$10:$C$14)*(96&lt;Projects!$C$10:$C$14+Projects!$D$10:$D$14)*Projects!$B$10:$B$14*Assumptions!$B$12/Projects!$D$10:$D$14*0.95)+SUMPRODUCT((Projects!$G$10:$G$14="Yes")*(96=Projects!$C$10:$C$14+Projects!$D$10:$D$14-1)*Projects!$B$10:$B$14*Assumptions!$B$12*0.05)+SUMPRODUCT((Projects!$G$17:$G$46="Yes")*(96&gt;=Projects!$C$17:$C$46)*(96&lt;Projects!$C$17:$C$46+Projects!$D$17:$D$46)*Projects!$B$17:$B$46*(ROW(Projects!$B$17:$B$46)&lt;&gt;21)*Assumptions!$B$12/Projects!$D$17:$D$46*0.95)+SUMPRODUCT((Projects!$G$17:$G$46="Yes")*(96=Projects!$C$17:$C$46+Projects!$D$17:$D$46-1)*Projects!$B$17:$B$46*(ROW(Projects!$B$17:$B$46)&lt;&gt;21)*Assumptions!$B$12*0.05)+0+IF(AND(Projects!$G$21="Yes",96&gt;=Projects!$C$21,96&lt;Projects!$C$21+Projects!$D$21),(Projects!$N$21+Projects!$P$21)/Projects!$D$21*0.95,0)+IF(AND(Projects!$G$21="Yes",96=Projects!$C$21+Projects!$D$21-1),(Projects!$N$21+Projects!$P$21)*0.05,0),Actuals!CW8)</f>
        <v>0</v>
      </c>
      <c r="CW10" s="13" t="n">
        <f aca="false">IF(ISBLANK(Actuals!CX8),0+SUMPRODUCT((Projects!$G$10:$G$14="Yes")*(97&gt;=Projects!$C$10:$C$14)*(97&lt;Projects!$C$10:$C$14+Projects!$D$10:$D$14)*Projects!$B$10:$B$14*Assumptions!$B$10/Projects!$D$10:$D$14*0.95)+SUMPRODUCT((Projects!$G$10:$G$14="Yes")*(97=Projects!$C$10:$C$14+Projects!$D$10:$D$14-1)*Projects!$B$10:$B$14*Assumptions!$B$10*0.05)+SUMPRODUCT((Projects!$G$17:$G$46="Yes")*(97&gt;=Projects!$C$17:$C$46)*(97&lt;Projects!$C$17:$C$46+Projects!$D$17:$D$46)*Projects!$B$17:$B$46*(ROW(Projects!$B$17:$B$46)&lt;&gt;21)*Assumptions!$B$10/Projects!$D$17:$D$46*0.95)+SUMPRODUCT((Projects!$G$17:$G$46="Yes")*(97=Projects!$C$17:$C$46+Projects!$D$17:$D$46-1)*Projects!$B$17:$B$46*(ROW(Projects!$B$17:$B$46)&lt;&gt;21)*Assumptions!$B$10*0.05)+SUMPRODUCT((Projects!$G$10:$G$14="Yes")*(97&gt;=Projects!$C$10:$C$14)*(97&lt;Projects!$C$10:$C$14+Projects!$D$10:$D$14)*Projects!$B$10:$B$14*Assumptions!$B$12/Projects!$D$10:$D$14*0.95)+SUMPRODUCT((Projects!$G$10:$G$14="Yes")*(97=Projects!$C$10:$C$14+Projects!$D$10:$D$14-1)*Projects!$B$10:$B$14*Assumptions!$B$12*0.05)+SUMPRODUCT((Projects!$G$17:$G$46="Yes")*(97&gt;=Projects!$C$17:$C$46)*(97&lt;Projects!$C$17:$C$46+Projects!$D$17:$D$46)*Projects!$B$17:$B$46*(ROW(Projects!$B$17:$B$46)&lt;&gt;21)*Assumptions!$B$12/Projects!$D$17:$D$46*0.95)+SUMPRODUCT((Projects!$G$17:$G$46="Yes")*(97=Projects!$C$17:$C$46+Projects!$D$17:$D$46-1)*Projects!$B$17:$B$46*(ROW(Projects!$B$17:$B$46)&lt;&gt;21)*Assumptions!$B$12*0.05)+0+IF(AND(Projects!$G$21="Yes",97&gt;=Projects!$C$21,97&lt;Projects!$C$21+Projects!$D$21),(Projects!$N$21+Projects!$P$21)/Projects!$D$21*0.95,0)+IF(AND(Projects!$G$21="Yes",97=Projects!$C$21+Projects!$D$21-1),(Projects!$N$21+Projects!$P$21)*0.05,0),Actuals!CX8)</f>
        <v>0</v>
      </c>
      <c r="CX10" s="13" t="n">
        <f aca="false">IF(ISBLANK(Actuals!CY8),0+SUMPRODUCT((Projects!$G$10:$G$14="Yes")*(98&gt;=Projects!$C$10:$C$14)*(98&lt;Projects!$C$10:$C$14+Projects!$D$10:$D$14)*Projects!$B$10:$B$14*Assumptions!$B$10/Projects!$D$10:$D$14*0.95)+SUMPRODUCT((Projects!$G$10:$G$14="Yes")*(98=Projects!$C$10:$C$14+Projects!$D$10:$D$14-1)*Projects!$B$10:$B$14*Assumptions!$B$10*0.05)+SUMPRODUCT((Projects!$G$17:$G$46="Yes")*(98&gt;=Projects!$C$17:$C$46)*(98&lt;Projects!$C$17:$C$46+Projects!$D$17:$D$46)*Projects!$B$17:$B$46*(ROW(Projects!$B$17:$B$46)&lt;&gt;21)*Assumptions!$B$10/Projects!$D$17:$D$46*0.95)+SUMPRODUCT((Projects!$G$17:$G$46="Yes")*(98=Projects!$C$17:$C$46+Projects!$D$17:$D$46-1)*Projects!$B$17:$B$46*(ROW(Projects!$B$17:$B$46)&lt;&gt;21)*Assumptions!$B$10*0.05)+SUMPRODUCT((Projects!$G$10:$G$14="Yes")*(98&gt;=Projects!$C$10:$C$14)*(98&lt;Projects!$C$10:$C$14+Projects!$D$10:$D$14)*Projects!$B$10:$B$14*Assumptions!$B$12/Projects!$D$10:$D$14*0.95)+SUMPRODUCT((Projects!$G$10:$G$14="Yes")*(98=Projects!$C$10:$C$14+Projects!$D$10:$D$14-1)*Projects!$B$10:$B$14*Assumptions!$B$12*0.05)+SUMPRODUCT((Projects!$G$17:$G$46="Yes")*(98&gt;=Projects!$C$17:$C$46)*(98&lt;Projects!$C$17:$C$46+Projects!$D$17:$D$46)*Projects!$B$17:$B$46*(ROW(Projects!$B$17:$B$46)&lt;&gt;21)*Assumptions!$B$12/Projects!$D$17:$D$46*0.95)+SUMPRODUCT((Projects!$G$17:$G$46="Yes")*(98=Projects!$C$17:$C$46+Projects!$D$17:$D$46-1)*Projects!$B$17:$B$46*(ROW(Projects!$B$17:$B$46)&lt;&gt;21)*Assumptions!$B$12*0.05)+0+IF(AND(Projects!$G$21="Yes",98&gt;=Projects!$C$21,98&lt;Projects!$C$21+Projects!$D$21),(Projects!$N$21+Projects!$P$21)/Projects!$D$21*0.95,0)+IF(AND(Projects!$G$21="Yes",98=Projects!$C$21+Projects!$D$21-1),(Projects!$N$21+Projects!$P$21)*0.05,0),Actuals!CY8)</f>
        <v>0</v>
      </c>
      <c r="CY10" s="13" t="n">
        <f aca="false">IF(ISBLANK(Actuals!CZ8),0+SUMPRODUCT((Projects!$G$10:$G$14="Yes")*(99&gt;=Projects!$C$10:$C$14)*(99&lt;Projects!$C$10:$C$14+Projects!$D$10:$D$14)*Projects!$B$10:$B$14*Assumptions!$B$10/Projects!$D$10:$D$14*0.95)+SUMPRODUCT((Projects!$G$10:$G$14="Yes")*(99=Projects!$C$10:$C$14+Projects!$D$10:$D$14-1)*Projects!$B$10:$B$14*Assumptions!$B$10*0.05)+SUMPRODUCT((Projects!$G$17:$G$46="Yes")*(99&gt;=Projects!$C$17:$C$46)*(99&lt;Projects!$C$17:$C$46+Projects!$D$17:$D$46)*Projects!$B$17:$B$46*(ROW(Projects!$B$17:$B$46)&lt;&gt;21)*Assumptions!$B$10/Projects!$D$17:$D$46*0.95)+SUMPRODUCT((Projects!$G$17:$G$46="Yes")*(99=Projects!$C$17:$C$46+Projects!$D$17:$D$46-1)*Projects!$B$17:$B$46*(ROW(Projects!$B$17:$B$46)&lt;&gt;21)*Assumptions!$B$10*0.05)+SUMPRODUCT((Projects!$G$10:$G$14="Yes")*(99&gt;=Projects!$C$10:$C$14)*(99&lt;Projects!$C$10:$C$14+Projects!$D$10:$D$14)*Projects!$B$10:$B$14*Assumptions!$B$12/Projects!$D$10:$D$14*0.95)+SUMPRODUCT((Projects!$G$10:$G$14="Yes")*(99=Projects!$C$10:$C$14+Projects!$D$10:$D$14-1)*Projects!$B$10:$B$14*Assumptions!$B$12*0.05)+SUMPRODUCT((Projects!$G$17:$G$46="Yes")*(99&gt;=Projects!$C$17:$C$46)*(99&lt;Projects!$C$17:$C$46+Projects!$D$17:$D$46)*Projects!$B$17:$B$46*(ROW(Projects!$B$17:$B$46)&lt;&gt;21)*Assumptions!$B$12/Projects!$D$17:$D$46*0.95)+SUMPRODUCT((Projects!$G$17:$G$46="Yes")*(99=Projects!$C$17:$C$46+Projects!$D$17:$D$46-1)*Projects!$B$17:$B$46*(ROW(Projects!$B$17:$B$46)&lt;&gt;21)*Assumptions!$B$12*0.05)+0+IF(AND(Projects!$G$21="Yes",99&gt;=Projects!$C$21,99&lt;Projects!$C$21+Projects!$D$21),(Projects!$N$21+Projects!$P$21)/Projects!$D$21*0.95,0)+IF(AND(Projects!$G$21="Yes",99=Projects!$C$21+Projects!$D$21-1),(Projects!$N$21+Projects!$P$21)*0.05,0),Actuals!CZ8)</f>
        <v>0</v>
      </c>
      <c r="CZ10" s="13" t="n">
        <f aca="false">IF(ISBLANK(Actuals!DA8),0+SUMPRODUCT((Projects!$G$10:$G$14="Yes")*(100&gt;=Projects!$C$10:$C$14)*(100&lt;Projects!$C$10:$C$14+Projects!$D$10:$D$14)*Projects!$B$10:$B$14*Assumptions!$B$10/Projects!$D$10:$D$14*0.95)+SUMPRODUCT((Projects!$G$10:$G$14="Yes")*(100=Projects!$C$10:$C$14+Projects!$D$10:$D$14-1)*Projects!$B$10:$B$14*Assumptions!$B$10*0.05)+SUMPRODUCT((Projects!$G$17:$G$46="Yes")*(100&gt;=Projects!$C$17:$C$46)*(100&lt;Projects!$C$17:$C$46+Projects!$D$17:$D$46)*Projects!$B$17:$B$46*(ROW(Projects!$B$17:$B$46)&lt;&gt;21)*Assumptions!$B$10/Projects!$D$17:$D$46*0.95)+SUMPRODUCT((Projects!$G$17:$G$46="Yes")*(100=Projects!$C$17:$C$46+Projects!$D$17:$D$46-1)*Projects!$B$17:$B$46*(ROW(Projects!$B$17:$B$46)&lt;&gt;21)*Assumptions!$B$10*0.05)+SUMPRODUCT((Projects!$G$10:$G$14="Yes")*(100&gt;=Projects!$C$10:$C$14)*(100&lt;Projects!$C$10:$C$14+Projects!$D$10:$D$14)*Projects!$B$10:$B$14*Assumptions!$B$12/Projects!$D$10:$D$14*0.95)+SUMPRODUCT((Projects!$G$10:$G$14="Yes")*(100=Projects!$C$10:$C$14+Projects!$D$10:$D$14-1)*Projects!$B$10:$B$14*Assumptions!$B$12*0.05)+SUMPRODUCT((Projects!$G$17:$G$46="Yes")*(100&gt;=Projects!$C$17:$C$46)*(100&lt;Projects!$C$17:$C$46+Projects!$D$17:$D$46)*Projects!$B$17:$B$46*(ROW(Projects!$B$17:$B$46)&lt;&gt;21)*Assumptions!$B$12/Projects!$D$17:$D$46*0.95)+SUMPRODUCT((Projects!$G$17:$G$46="Yes")*(100=Projects!$C$17:$C$46+Projects!$D$17:$D$46-1)*Projects!$B$17:$B$46*(ROW(Projects!$B$17:$B$46)&lt;&gt;21)*Assumptions!$B$12*0.05)+0+IF(AND(Projects!$G$21="Yes",100&gt;=Projects!$C$21,100&lt;Projects!$C$21+Projects!$D$21),(Projects!$N$21+Projects!$P$21)/Projects!$D$21*0.95,0)+IF(AND(Projects!$G$21="Yes",100=Projects!$C$21+Projects!$D$21-1),(Projects!$N$21+Projects!$P$21)*0.05,0),Actuals!DA8)</f>
        <v>0</v>
      </c>
      <c r="DA10" s="13" t="n">
        <f aca="false">IF(ISBLANK(Actuals!DB8),0+SUMPRODUCT((Projects!$G$10:$G$14="Yes")*(101&gt;=Projects!$C$10:$C$14)*(101&lt;Projects!$C$10:$C$14+Projects!$D$10:$D$14)*Projects!$B$10:$B$14*Assumptions!$B$10/Projects!$D$10:$D$14*0.95)+SUMPRODUCT((Projects!$G$10:$G$14="Yes")*(101=Projects!$C$10:$C$14+Projects!$D$10:$D$14-1)*Projects!$B$10:$B$14*Assumptions!$B$10*0.05)+SUMPRODUCT((Projects!$G$17:$G$46="Yes")*(101&gt;=Projects!$C$17:$C$46)*(101&lt;Projects!$C$17:$C$46+Projects!$D$17:$D$46)*Projects!$B$17:$B$46*(ROW(Projects!$B$17:$B$46)&lt;&gt;21)*Assumptions!$B$10/Projects!$D$17:$D$46*0.95)+SUMPRODUCT((Projects!$G$17:$G$46="Yes")*(101=Projects!$C$17:$C$46+Projects!$D$17:$D$46-1)*Projects!$B$17:$B$46*(ROW(Projects!$B$17:$B$46)&lt;&gt;21)*Assumptions!$B$10*0.05)+SUMPRODUCT((Projects!$G$10:$G$14="Yes")*(101&gt;=Projects!$C$10:$C$14)*(101&lt;Projects!$C$10:$C$14+Projects!$D$10:$D$14)*Projects!$B$10:$B$14*Assumptions!$B$12/Projects!$D$10:$D$14*0.95)+SUMPRODUCT((Projects!$G$10:$G$14="Yes")*(101=Projects!$C$10:$C$14+Projects!$D$10:$D$14-1)*Projects!$B$10:$B$14*Assumptions!$B$12*0.05)+SUMPRODUCT((Projects!$G$17:$G$46="Yes")*(101&gt;=Projects!$C$17:$C$46)*(101&lt;Projects!$C$17:$C$46+Projects!$D$17:$D$46)*Projects!$B$17:$B$46*(ROW(Projects!$B$17:$B$46)&lt;&gt;21)*Assumptions!$B$12/Projects!$D$17:$D$46*0.95)+SUMPRODUCT((Projects!$G$17:$G$46="Yes")*(101=Projects!$C$17:$C$46+Projects!$D$17:$D$46-1)*Projects!$B$17:$B$46*(ROW(Projects!$B$17:$B$46)&lt;&gt;21)*Assumptions!$B$12*0.05)+0+IF(AND(Projects!$G$21="Yes",101&gt;=Projects!$C$21,101&lt;Projects!$C$21+Projects!$D$21),(Projects!$N$21+Projects!$P$21)/Projects!$D$21*0.95,0)+IF(AND(Projects!$G$21="Yes",101=Projects!$C$21+Projects!$D$21-1),(Projects!$N$21+Projects!$P$21)*0.05,0),Actuals!DB8)</f>
        <v>0</v>
      </c>
      <c r="DB10" s="13" t="n">
        <f aca="false">IF(ISBLANK(Actuals!DC8),0+SUMPRODUCT((Projects!$G$10:$G$14="Yes")*(102&gt;=Projects!$C$10:$C$14)*(102&lt;Projects!$C$10:$C$14+Projects!$D$10:$D$14)*Projects!$B$10:$B$14*Assumptions!$B$10/Projects!$D$10:$D$14*0.95)+SUMPRODUCT((Projects!$G$10:$G$14="Yes")*(102=Projects!$C$10:$C$14+Projects!$D$10:$D$14-1)*Projects!$B$10:$B$14*Assumptions!$B$10*0.05)+SUMPRODUCT((Projects!$G$17:$G$46="Yes")*(102&gt;=Projects!$C$17:$C$46)*(102&lt;Projects!$C$17:$C$46+Projects!$D$17:$D$46)*Projects!$B$17:$B$46*(ROW(Projects!$B$17:$B$46)&lt;&gt;21)*Assumptions!$B$10/Projects!$D$17:$D$46*0.95)+SUMPRODUCT((Projects!$G$17:$G$46="Yes")*(102=Projects!$C$17:$C$46+Projects!$D$17:$D$46-1)*Projects!$B$17:$B$46*(ROW(Projects!$B$17:$B$46)&lt;&gt;21)*Assumptions!$B$10*0.05)+SUMPRODUCT((Projects!$G$10:$G$14="Yes")*(102&gt;=Projects!$C$10:$C$14)*(102&lt;Projects!$C$10:$C$14+Projects!$D$10:$D$14)*Projects!$B$10:$B$14*Assumptions!$B$12/Projects!$D$10:$D$14*0.95)+SUMPRODUCT((Projects!$G$10:$G$14="Yes")*(102=Projects!$C$10:$C$14+Projects!$D$10:$D$14-1)*Projects!$B$10:$B$14*Assumptions!$B$12*0.05)+SUMPRODUCT((Projects!$G$17:$G$46="Yes")*(102&gt;=Projects!$C$17:$C$46)*(102&lt;Projects!$C$17:$C$46+Projects!$D$17:$D$46)*Projects!$B$17:$B$46*(ROW(Projects!$B$17:$B$46)&lt;&gt;21)*Assumptions!$B$12/Projects!$D$17:$D$46*0.95)+SUMPRODUCT((Projects!$G$17:$G$46="Yes")*(102=Projects!$C$17:$C$46+Projects!$D$17:$D$46-1)*Projects!$B$17:$B$46*(ROW(Projects!$B$17:$B$46)&lt;&gt;21)*Assumptions!$B$12*0.05)+0+IF(AND(Projects!$G$21="Yes",102&gt;=Projects!$C$21,102&lt;Projects!$C$21+Projects!$D$21),(Projects!$N$21+Projects!$P$21)/Projects!$D$21*0.95,0)+IF(AND(Projects!$G$21="Yes",102=Projects!$C$21+Projects!$D$21-1),(Projects!$N$21+Projects!$P$21)*0.05,0),Actuals!DC8)</f>
        <v>0</v>
      </c>
      <c r="DC10" s="13" t="n">
        <f aca="false">IF(ISBLANK(Actuals!DD8),0+SUMPRODUCT((Projects!$G$10:$G$14="Yes")*(103&gt;=Projects!$C$10:$C$14)*(103&lt;Projects!$C$10:$C$14+Projects!$D$10:$D$14)*Projects!$B$10:$B$14*Assumptions!$B$10/Projects!$D$10:$D$14*0.95)+SUMPRODUCT((Projects!$G$10:$G$14="Yes")*(103=Projects!$C$10:$C$14+Projects!$D$10:$D$14-1)*Projects!$B$10:$B$14*Assumptions!$B$10*0.05)+SUMPRODUCT((Projects!$G$17:$G$46="Yes")*(103&gt;=Projects!$C$17:$C$46)*(103&lt;Projects!$C$17:$C$46+Projects!$D$17:$D$46)*Projects!$B$17:$B$46*(ROW(Projects!$B$17:$B$46)&lt;&gt;21)*Assumptions!$B$10/Projects!$D$17:$D$46*0.95)+SUMPRODUCT((Projects!$G$17:$G$46="Yes")*(103=Projects!$C$17:$C$46+Projects!$D$17:$D$46-1)*Projects!$B$17:$B$46*(ROW(Projects!$B$17:$B$46)&lt;&gt;21)*Assumptions!$B$10*0.05)+SUMPRODUCT((Projects!$G$10:$G$14="Yes")*(103&gt;=Projects!$C$10:$C$14)*(103&lt;Projects!$C$10:$C$14+Projects!$D$10:$D$14)*Projects!$B$10:$B$14*Assumptions!$B$12/Projects!$D$10:$D$14*0.95)+SUMPRODUCT((Projects!$G$10:$G$14="Yes")*(103=Projects!$C$10:$C$14+Projects!$D$10:$D$14-1)*Projects!$B$10:$B$14*Assumptions!$B$12*0.05)+SUMPRODUCT((Projects!$G$17:$G$46="Yes")*(103&gt;=Projects!$C$17:$C$46)*(103&lt;Projects!$C$17:$C$46+Projects!$D$17:$D$46)*Projects!$B$17:$B$46*(ROW(Projects!$B$17:$B$46)&lt;&gt;21)*Assumptions!$B$12/Projects!$D$17:$D$46*0.95)+SUMPRODUCT((Projects!$G$17:$G$46="Yes")*(103=Projects!$C$17:$C$46+Projects!$D$17:$D$46-1)*Projects!$B$17:$B$46*(ROW(Projects!$B$17:$B$46)&lt;&gt;21)*Assumptions!$B$12*0.05)+0+IF(AND(Projects!$G$21="Yes",103&gt;=Projects!$C$21,103&lt;Projects!$C$21+Projects!$D$21),(Projects!$N$21+Projects!$P$21)/Projects!$D$21*0.95,0)+IF(AND(Projects!$G$21="Yes",103=Projects!$C$21+Projects!$D$21-1),(Projects!$N$21+Projects!$P$21)*0.05,0),Actuals!DD8)</f>
        <v>0</v>
      </c>
      <c r="DD10" s="13" t="n">
        <f aca="false">IF(ISBLANK(Actuals!DE8),0+SUMPRODUCT((Projects!$G$10:$G$14="Yes")*(104&gt;=Projects!$C$10:$C$14)*(104&lt;Projects!$C$10:$C$14+Projects!$D$10:$D$14)*Projects!$B$10:$B$14*Assumptions!$B$10/Projects!$D$10:$D$14*0.95)+SUMPRODUCT((Projects!$G$10:$G$14="Yes")*(104=Projects!$C$10:$C$14+Projects!$D$10:$D$14-1)*Projects!$B$10:$B$14*Assumptions!$B$10*0.05)+SUMPRODUCT((Projects!$G$17:$G$46="Yes")*(104&gt;=Projects!$C$17:$C$46)*(104&lt;Projects!$C$17:$C$46+Projects!$D$17:$D$46)*Projects!$B$17:$B$46*(ROW(Projects!$B$17:$B$46)&lt;&gt;21)*Assumptions!$B$10/Projects!$D$17:$D$46*0.95)+SUMPRODUCT((Projects!$G$17:$G$46="Yes")*(104=Projects!$C$17:$C$46+Projects!$D$17:$D$46-1)*Projects!$B$17:$B$46*(ROW(Projects!$B$17:$B$46)&lt;&gt;21)*Assumptions!$B$10*0.05)+SUMPRODUCT((Projects!$G$10:$G$14="Yes")*(104&gt;=Projects!$C$10:$C$14)*(104&lt;Projects!$C$10:$C$14+Projects!$D$10:$D$14)*Projects!$B$10:$B$14*Assumptions!$B$12/Projects!$D$10:$D$14*0.95)+SUMPRODUCT((Projects!$G$10:$G$14="Yes")*(104=Projects!$C$10:$C$14+Projects!$D$10:$D$14-1)*Projects!$B$10:$B$14*Assumptions!$B$12*0.05)+SUMPRODUCT((Projects!$G$17:$G$46="Yes")*(104&gt;=Projects!$C$17:$C$46)*(104&lt;Projects!$C$17:$C$46+Projects!$D$17:$D$46)*Projects!$B$17:$B$46*(ROW(Projects!$B$17:$B$46)&lt;&gt;21)*Assumptions!$B$12/Projects!$D$17:$D$46*0.95)+SUMPRODUCT((Projects!$G$17:$G$46="Yes")*(104=Projects!$C$17:$C$46+Projects!$D$17:$D$46-1)*Projects!$B$17:$B$46*(ROW(Projects!$B$17:$B$46)&lt;&gt;21)*Assumptions!$B$12*0.05)+0+IF(AND(Projects!$G$21="Yes",104&gt;=Projects!$C$21,104&lt;Projects!$C$21+Projects!$D$21),(Projects!$N$21+Projects!$P$21)/Projects!$D$21*0.95,0)+IF(AND(Projects!$G$21="Yes",104=Projects!$C$21+Projects!$D$21-1),(Projects!$N$21+Projects!$P$21)*0.05,0),Actuals!DE8)</f>
        <v>0</v>
      </c>
      <c r="DE10" s="13" t="n">
        <f aca="false">IF(ISBLANK(Actuals!DF8),0+SUMPRODUCT((Projects!$G$10:$G$14="Yes")*(105&gt;=Projects!$C$10:$C$14)*(105&lt;Projects!$C$10:$C$14+Projects!$D$10:$D$14)*Projects!$B$10:$B$14*Assumptions!$B$10/Projects!$D$10:$D$14*0.95)+SUMPRODUCT((Projects!$G$10:$G$14="Yes")*(105=Projects!$C$10:$C$14+Projects!$D$10:$D$14-1)*Projects!$B$10:$B$14*Assumptions!$B$10*0.05)+SUMPRODUCT((Projects!$G$17:$G$46="Yes")*(105&gt;=Projects!$C$17:$C$46)*(105&lt;Projects!$C$17:$C$46+Projects!$D$17:$D$46)*Projects!$B$17:$B$46*(ROW(Projects!$B$17:$B$46)&lt;&gt;21)*Assumptions!$B$10/Projects!$D$17:$D$46*0.95)+SUMPRODUCT((Projects!$G$17:$G$46="Yes")*(105=Projects!$C$17:$C$46+Projects!$D$17:$D$46-1)*Projects!$B$17:$B$46*(ROW(Projects!$B$17:$B$46)&lt;&gt;21)*Assumptions!$B$10*0.05)+SUMPRODUCT((Projects!$G$10:$G$14="Yes")*(105&gt;=Projects!$C$10:$C$14)*(105&lt;Projects!$C$10:$C$14+Projects!$D$10:$D$14)*Projects!$B$10:$B$14*Assumptions!$B$12/Projects!$D$10:$D$14*0.95)+SUMPRODUCT((Projects!$G$10:$G$14="Yes")*(105=Projects!$C$10:$C$14+Projects!$D$10:$D$14-1)*Projects!$B$10:$B$14*Assumptions!$B$12*0.05)+SUMPRODUCT((Projects!$G$17:$G$46="Yes")*(105&gt;=Projects!$C$17:$C$46)*(105&lt;Projects!$C$17:$C$46+Projects!$D$17:$D$46)*Projects!$B$17:$B$46*(ROW(Projects!$B$17:$B$46)&lt;&gt;21)*Assumptions!$B$12/Projects!$D$17:$D$46*0.95)+SUMPRODUCT((Projects!$G$17:$G$46="Yes")*(105=Projects!$C$17:$C$46+Projects!$D$17:$D$46-1)*Projects!$B$17:$B$46*(ROW(Projects!$B$17:$B$46)&lt;&gt;21)*Assumptions!$B$12*0.05)+0+IF(AND(Projects!$G$21="Yes",105&gt;=Projects!$C$21,105&lt;Projects!$C$21+Projects!$D$21),(Projects!$N$21+Projects!$P$21)/Projects!$D$21*0.95,0)+IF(AND(Projects!$G$21="Yes",105=Projects!$C$21+Projects!$D$21-1),(Projects!$N$21+Projects!$P$21)*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ROW(Projects!$B$17:$B$46)&lt;&gt;21)*Assumptions!$B$11/Projects!$D$17:$D$46*0.95)+SUMPRODUCT((Projects!$G$17:$G$46="Yes")*(1=Projects!$C$17:$C$46+Projects!$D$17:$D$46-1)*Projects!$B$17:$B$46*(ROW(Projects!$B$17:$B$46)&lt;&gt;21)*Assumptions!$B$11*0.05)+IF(AND(Projects!$G$21="Yes",1&gt;=Projects!$C$21,1&lt;Projects!$C$21+Projects!$D$21),(Projects!$O$21)/Projects!$D$21*0.95,0)+IF(AND(Projects!$G$21="Yes",1=Projects!$C$21+Projects!$D$21-1),(Projects!$O$21)*0.05,0),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ROW(Projects!$B$17:$B$46)&lt;&gt;21)*Assumptions!$B$11/Projects!$D$17:$D$46*0.95)+SUMPRODUCT((Projects!$G$17:$G$46="Yes")*(2=Projects!$C$17:$C$46+Projects!$D$17:$D$46-1)*Projects!$B$17:$B$46*(ROW(Projects!$B$17:$B$46)&lt;&gt;21)*Assumptions!$B$11*0.05)+IF(AND(Projects!$G$21="Yes",2&gt;=Projects!$C$21,2&lt;Projects!$C$21+Projects!$D$21),(Projects!$O$21)/Projects!$D$21*0.95,0)+IF(AND(Projects!$G$21="Yes",2=Projects!$C$21+Projects!$D$21-1),(Projects!$O$21)*0.05,0),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ROW(Projects!$B$17:$B$46)&lt;&gt;21)*Assumptions!$B$11/Projects!$D$17:$D$46*0.95)+SUMPRODUCT((Projects!$G$17:$G$46="Yes")*(3=Projects!$C$17:$C$46+Projects!$D$17:$D$46-1)*Projects!$B$17:$B$46*(ROW(Projects!$B$17:$B$46)&lt;&gt;21)*Assumptions!$B$11*0.05)+IF(AND(Projects!$G$21="Yes",3&gt;=Projects!$C$21,3&lt;Projects!$C$21+Projects!$D$21),(Projects!$O$21)/Projects!$D$21*0.95,0)+IF(AND(Projects!$G$21="Yes",3=Projects!$C$21+Projects!$D$21-1),(Projects!$O$21)*0.05,0),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ROW(Projects!$B$17:$B$46)&lt;&gt;21)*Assumptions!$B$11/Projects!$D$17:$D$46*0.95)+SUMPRODUCT((Projects!$G$17:$G$46="Yes")*(4=Projects!$C$17:$C$46+Projects!$D$17:$D$46-1)*Projects!$B$17:$B$46*(ROW(Projects!$B$17:$B$46)&lt;&gt;21)*Assumptions!$B$11*0.05)+IF(AND(Projects!$G$21="Yes",4&gt;=Projects!$C$21,4&lt;Projects!$C$21+Projects!$D$21),(Projects!$O$21)/Projects!$D$21*0.95,0)+IF(AND(Projects!$G$21="Yes",4=Projects!$C$21+Projects!$D$21-1),(Projects!$O$21)*0.05,0),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ROW(Projects!$B$17:$B$46)&lt;&gt;21)*Assumptions!$B$11/Projects!$D$17:$D$46*0.95)+SUMPRODUCT((Projects!$G$17:$G$46="Yes")*(5=Projects!$C$17:$C$46+Projects!$D$17:$D$46-1)*Projects!$B$17:$B$46*(ROW(Projects!$B$17:$B$46)&lt;&gt;21)*Assumptions!$B$11*0.05)+147961.15+18690.7+IF(AND(Projects!$G$21="Yes",5&gt;=Projects!$C$21,5&lt;Projects!$C$21+Projects!$D$21),(Projects!$O$21)/Projects!$D$21*0.95,0)+IF(AND(Projects!$G$21="Yes",5=Projects!$C$21+Projects!$D$21-1),(Projects!$O$21)*0.05,0),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ROW(Projects!$B$17:$B$46)&lt;&gt;21)*Assumptions!$B$11/Projects!$D$17:$D$46*0.95)+SUMPRODUCT((Projects!$G$17:$G$46="Yes")*(6=Projects!$C$17:$C$46+Projects!$D$17:$D$46-1)*Projects!$B$17:$B$46*(ROW(Projects!$B$17:$B$46)&lt;&gt;21)*Assumptions!$B$11*0.05)+162842.07+44385.79+IF(AND(Projects!$G$21="Yes",6&gt;=Projects!$C$21,6&lt;Projects!$C$21+Projects!$D$21),(Projects!$O$21)/Projects!$D$21*0.95,0)+IF(AND(Projects!$G$21="Yes",6=Projects!$C$21+Projects!$D$21-1),(Projects!$O$21)*0.05,0),Actuals!K10)</f>
        <v>325922.51</v>
      </c>
      <c r="K11" s="13" t="n">
        <f aca="false">IF(ISBLANK(Actuals!L10),0*Curves!H$6/SUM(Curves!$E$6:$I$6)+0*Curves!H$7/SUM(Curves!$E$7:$Q$7)+0*Curves!H$8/SUM(Curves!$E$8:$P$8)+0*Curves!H$9/SUM(Curves!$E$9:$P$9)+0*Curves!H$4/SUM(Curves!$E$4:$T$4)+SUMPRODUCT((Projects!$G$10:$G$14="Yes")*(7&gt;=Projects!$C$10:$C$14)*(7&lt;Projects!$C$10:$C$14+Projects!$D$10:$D$14)*Projects!$B$10:$B$14*Assumptions!$B$11/Projects!$D$10:$D$14*0.95)+SUMPRODUCT((Projects!$G$10:$G$14="Yes")*(7=Projects!$C$10:$C$14+Projects!$D$10:$D$14-1)*Projects!$B$10:$B$14*Assumptions!$B$11*0.05)+SUMPRODUCT((Projects!$G$17:$G$46="Yes")*(7&gt;=Projects!$C$17:$C$46)*(7&lt;Projects!$C$17:$C$46+Projects!$D$17:$D$46)*Projects!$B$17:$B$46*(ROW(Projects!$B$17:$B$46)&lt;&gt;21)*Assumptions!$B$11/Projects!$D$17:$D$46*0.95)+SUMPRODUCT((Projects!$G$17:$G$46="Yes")*(7=Projects!$C$17:$C$46+Projects!$D$17:$D$46-1)*Projects!$B$17:$B$46*(ROW(Projects!$B$17:$B$46)&lt;&gt;21)*Assumptions!$B$11*0.05)+310932.05+0+IF(AND(Projects!$G$21="Yes",7&gt;=Projects!$C$21,7&lt;Projects!$C$21+Projects!$D$21),(Projects!$O$21)/Projects!$D$21*0.95,0)+IF(AND(Projects!$G$21="Yes",7=Projects!$C$21+Projects!$D$21-1),(Projects!$O$21)*0.05,0),Actuals!L10)</f>
        <v>310932.05</v>
      </c>
      <c r="L11" s="13" t="n">
        <f aca="false">IF(ISBLANK(Actuals!M10),0*Curves!I$6/SUM(Curves!$E$6:$I$6)+0*Curves!I$7/SUM(Curves!$E$7:$Q$7)+0*Curves!I$8/SUM(Curves!$E$8:$P$8)+0*Curves!I$9/SUM(Curves!$E$9:$P$9)+0*Curves!I$4/SUM(Curves!$E$4:$T$4)+SUMPRODUCT((Projects!$G$10:$G$14="Yes")*(8&gt;=Projects!$C$10:$C$14)*(8&lt;Projects!$C$10:$C$14+Projects!$D$10:$D$14)*Projects!$B$10:$B$14*Assumptions!$B$11/Projects!$D$10:$D$14*0.95)+SUMPRODUCT((Projects!$G$10:$G$14="Yes")*(8=Projects!$C$10:$C$14+Projects!$D$10:$D$14-1)*Projects!$B$10:$B$14*Assumptions!$B$11*0.05)+SUMPRODUCT((Projects!$G$17:$G$46="Yes")*(8&gt;=Projects!$C$17:$C$46)*(8&lt;Projects!$C$17:$C$46+Projects!$D$17:$D$46)*Projects!$B$17:$B$46*(ROW(Projects!$B$17:$B$46)&lt;&gt;21)*Assumptions!$B$11/Projects!$D$17:$D$46*0.95)+SUMPRODUCT((Projects!$G$17:$G$46="Yes")*(8=Projects!$C$17:$C$46+Projects!$D$17:$D$46-1)*Projects!$B$17:$B$46*(ROW(Projects!$B$17:$B$46)&lt;&gt;21)*Assumptions!$B$11*0.05)+248042.22+0+IF(AND(Projects!$G$21="Yes",8&gt;=Projects!$C$21,8&lt;Projects!$C$21+Projects!$D$21),(Projects!$O$21)/Projects!$D$21*0.95,0)+IF(AND(Projects!$G$21="Yes",8=Projects!$C$21+Projects!$D$21-1),(Projects!$O$21)*0.05,0),Actuals!M10)</f>
        <v>248042.22</v>
      </c>
      <c r="M11" s="13" t="n">
        <f aca="false">IF(ISBLANK(Actuals!N10),0*Curves!J$7/SUM(Curves!$E$7:$Q$7)+0*Curves!J$8/SUM(Curves!$E$8:$P$8)+0*Curves!J$9/SUM(Curves!$E$9:$P$9)+0*Curves!J$4/SUM(Curves!$E$4:$T$4)+SUMPRODUCT((Projects!$G$10:$G$14="Yes")*(9&gt;=Projects!$C$10:$C$14)*(9&lt;Projects!$C$10:$C$14+Projects!$D$10:$D$14)*Projects!$B$10:$B$14*Assumptions!$B$11/Projects!$D$10:$D$14*0.95)+SUMPRODUCT((Projects!$G$10:$G$14="Yes")*(9=Projects!$C$10:$C$14+Projects!$D$10:$D$14-1)*Projects!$B$10:$B$14*Assumptions!$B$11*0.05)+SUMPRODUCT((Projects!$G$17:$G$46="Yes")*(9&gt;=Projects!$C$17:$C$46)*(9&lt;Projects!$C$17:$C$46+Projects!$D$17:$D$46)*Projects!$B$17:$B$46*(ROW(Projects!$B$17:$B$46)&lt;&gt;21)*Assumptions!$B$11/Projects!$D$17:$D$46*0.95)+SUMPRODUCT((Projects!$G$17:$G$46="Yes")*(9=Projects!$C$17:$C$46+Projects!$D$17:$D$46-1)*Projects!$B$17:$B$46*(ROW(Projects!$B$17:$B$46)&lt;&gt;21)*Assumptions!$B$11*0.05)+226367.81+0+IF(AND(Projects!$G$21="Yes",9&gt;=Projects!$C$21,9&lt;Projects!$C$21+Projects!$D$21),(Projects!$O$21)/Projects!$D$21*0.95,0)+IF(AND(Projects!$G$21="Yes",9=Projects!$C$21+Projects!$D$21-1),(Projects!$O$21)*0.05,0),Actuals!N10)</f>
        <v>259336.1825</v>
      </c>
      <c r="N11" s="13" t="n">
        <f aca="false">IF(ISBLANK(Actuals!O10),0*Curves!K$7/SUM(Curves!$E$7:$Q$7)+0*Curves!K$8/SUM(Curves!$E$8:$P$8)+0*Curves!K$9/SUM(Curves!$E$9:$P$9)+0*Curves!K$4/SUM(Curves!$E$4:$T$4)+SUMPRODUCT((Projects!$G$10:$G$14="Yes")*(10&gt;=Projects!$C$10:$C$14)*(10&lt;Projects!$C$10:$C$14+Projects!$D$10:$D$14)*Projects!$B$10:$B$14*Assumptions!$B$11/Projects!$D$10:$D$14*0.95)+SUMPRODUCT((Projects!$G$10:$G$14="Yes")*(10=Projects!$C$10:$C$14+Projects!$D$10:$D$14-1)*Projects!$B$10:$B$14*Assumptions!$B$11*0.05)+SUMPRODUCT((Projects!$G$17:$G$46="Yes")*(10&gt;=Projects!$C$17:$C$46)*(10&lt;Projects!$C$17:$C$46+Projects!$D$17:$D$46)*Projects!$B$17:$B$46*(ROW(Projects!$B$17:$B$46)&lt;&gt;21)*Assumptions!$B$11/Projects!$D$17:$D$46*0.95)+SUMPRODUCT((Projects!$G$17:$G$46="Yes")*(10=Projects!$C$17:$C$46+Projects!$D$17:$D$46-1)*Projects!$B$17:$B$46*(ROW(Projects!$B$17:$B$46)&lt;&gt;21)*Assumptions!$B$11*0.05)+263729.18+0+IF(AND(Projects!$G$21="Yes",10&gt;=Projects!$C$21,10&lt;Projects!$C$21+Projects!$D$21),(Projects!$O$21)/Projects!$D$21*0.95,0)+IF(AND(Projects!$G$21="Yes",10=Projects!$C$21+Projects!$D$21-1),(Projects!$O$21)*0.05,0),Actuals!O10)</f>
        <v>316162.6671994</v>
      </c>
      <c r="O11" s="13" t="n">
        <f aca="false">IF(ISBLANK(Actuals!P10),0*Curves!L$7/SUM(Curves!$E$7:$Q$7)+0*Curves!L$8/SUM(Curves!$E$8:$P$8)+0*Curves!L$9/SUM(Curves!$E$9:$P$9)+0*Curves!L$4/SUM(Curves!$E$4:$T$4)+SUMPRODUCT((Projects!$G$10:$G$14="Yes")*(11&gt;=Projects!$C$10:$C$14)*(11&lt;Projects!$C$10:$C$14+Projects!$D$10:$D$14)*Projects!$B$10:$B$14*Assumptions!$B$11/Projects!$D$10:$D$14*0.95)+SUMPRODUCT((Projects!$G$10:$G$14="Yes")*(11=Projects!$C$10:$C$14+Projects!$D$10:$D$14-1)*Projects!$B$10:$B$14*Assumptions!$B$11*0.05)+SUMPRODUCT((Projects!$G$17:$G$46="Yes")*(11&gt;=Projects!$C$17:$C$46)*(11&lt;Projects!$C$17:$C$46+Projects!$D$17:$D$46)*Projects!$B$17:$B$46*(ROW(Projects!$B$17:$B$46)&lt;&gt;21)*Assumptions!$B$11/Projects!$D$17:$D$46*0.95)+SUMPRODUCT((Projects!$G$17:$G$46="Yes")*(11=Projects!$C$17:$C$46+Projects!$D$17:$D$46-1)*Projects!$B$17:$B$46*(ROW(Projects!$B$17:$B$46)&lt;&gt;21)*Assumptions!$B$11*0.05)+247410.71+0+IF(AND(Projects!$G$21="Yes",11&gt;=Projects!$C$21,11&lt;Projects!$C$21+Projects!$D$21),(Projects!$O$21)/Projects!$D$21*0.95,0)+IF(AND(Projects!$G$21="Yes",11=Projects!$C$21+Projects!$D$21-1),(Projects!$O$21)*0.05,0),Actuals!P10)</f>
        <v>324551.2229976</v>
      </c>
      <c r="P11" s="13" t="n">
        <f aca="false">IF(ISBLANK(Actuals!Q10),0*Curves!M$7/SUM(Curves!$E$7:$Q$7)+0*Curves!M$8/SUM(Curves!$E$8:$P$8)+0*Curves!M$9/SUM(Curves!$E$9:$P$9)+0*Curves!M$4/SUM(Curves!$E$4:$T$4)+SUMPRODUCT((Projects!$G$10:$G$14="Yes")*(12&gt;=Projects!$C$10:$C$14)*(12&lt;Projects!$C$10:$C$14+Projects!$D$10:$D$14)*Projects!$B$10:$B$14*Assumptions!$B$11/Projects!$D$10:$D$14*0.95)+SUMPRODUCT((Projects!$G$10:$G$14="Yes")*(12=Projects!$C$10:$C$14+Projects!$D$10:$D$14-1)*Projects!$B$10:$B$14*Assumptions!$B$11*0.05)+SUMPRODUCT((Projects!$G$17:$G$46="Yes")*(12&gt;=Projects!$C$17:$C$46)*(12&lt;Projects!$C$17:$C$46+Projects!$D$17:$D$46)*Projects!$B$17:$B$46*(ROW(Projects!$B$17:$B$46)&lt;&gt;21)*Assumptions!$B$11/Projects!$D$17:$D$46*0.95)+SUMPRODUCT((Projects!$G$17:$G$46="Yes")*(12=Projects!$C$17:$C$46+Projects!$D$17:$D$46-1)*Projects!$B$17:$B$46*(ROW(Projects!$B$17:$B$46)&lt;&gt;21)*Assumptions!$B$11*0.05)+256996.61+0+IF(AND(Projects!$G$21="Yes",12&gt;=Projects!$C$21,12&lt;Projects!$C$21+Projects!$D$21),(Projects!$O$21)/Projects!$D$21*0.95,0)+IF(AND(Projects!$G$21="Yes",12=Projects!$C$21+Projects!$D$21-1),(Projects!$O$21)*0.05,0),Actuals!Q10)</f>
        <v>334137.1229976</v>
      </c>
      <c r="Q11" s="13" t="n">
        <f aca="false">IF(ISBLANK(Actuals!R10),0*Curves!N$7/SUM(Curves!$E$7:$Q$7)+0*Curves!N$8/SUM(Curves!$E$8:$P$8)+0*Curves!N$9/SUM(Curves!$E$9:$P$9)+0*Curves!N$4/SUM(Curves!$E$4:$T$4)+SUMPRODUCT((Projects!$G$10:$G$14="Yes")*(13&gt;=Projects!$C$10:$C$14)*(13&lt;Projects!$C$10:$C$14+Projects!$D$10:$D$14)*Projects!$B$10:$B$14*Assumptions!$B$11/Projects!$D$10:$D$14*0.95)+SUMPRODUCT((Projects!$G$10:$G$14="Yes")*(13=Projects!$C$10:$C$14+Projects!$D$10:$D$14-1)*Projects!$B$10:$B$14*Assumptions!$B$11*0.05)+SUMPRODUCT((Projects!$G$17:$G$46="Yes")*(13&gt;=Projects!$C$17:$C$46)*(13&lt;Projects!$C$17:$C$46+Projects!$D$17:$D$46)*Projects!$B$17:$B$46*(ROW(Projects!$B$17:$B$46)&lt;&gt;21)*Assumptions!$B$11/Projects!$D$17:$D$46*0.95)+SUMPRODUCT((Projects!$G$17:$G$46="Yes")*(13=Projects!$C$17:$C$46+Projects!$D$17:$D$46-1)*Projects!$B$17:$B$46*(ROW(Projects!$B$17:$B$46)&lt;&gt;21)*Assumptions!$B$11*0.05)+241883.55+0+IF(AND(Projects!$G$21="Yes",13&gt;=Projects!$C$21,13&lt;Projects!$C$21+Projects!$D$21),(Projects!$O$21)/Projects!$D$21*0.95,0)+IF(AND(Projects!$G$21="Yes",13=Projects!$C$21+Projects!$D$21-1),(Projects!$O$21)*0.05,0),Actuals!R10)</f>
        <v>370122.321401878</v>
      </c>
      <c r="R11" s="13" t="n">
        <f aca="false">IF(ISBLANK(Actuals!S10),0*Curves!O$7/SUM(Curves!$E$7:$Q$7)+0*Curves!O$8/SUM(Curves!$E$8:$P$8)+0*Curves!O$9/SUM(Curves!$E$9:$P$9)+0*Curves!O$4/SUM(Curves!$E$4:$T$4)+SUMPRODUCT((Projects!$G$10:$G$14="Yes")*(14&gt;=Projects!$C$10:$C$14)*(14&lt;Projects!$C$10:$C$14+Projects!$D$10:$D$14)*Projects!$B$10:$B$14*Assumptions!$B$11/Projects!$D$10:$D$14*0.95)+SUMPRODUCT((Projects!$G$10:$G$14="Yes")*(14=Projects!$C$10:$C$14+Projects!$D$10:$D$14-1)*Projects!$B$10:$B$14*Assumptions!$B$11*0.05)+SUMPRODUCT((Projects!$G$17:$G$46="Yes")*(14&gt;=Projects!$C$17:$C$46)*(14&lt;Projects!$C$17:$C$46+Projects!$D$17:$D$46)*Projects!$B$17:$B$46*(ROW(Projects!$B$17:$B$46)&lt;&gt;21)*Assumptions!$B$11/Projects!$D$17:$D$46*0.95)+SUMPRODUCT((Projects!$G$17:$G$46="Yes")*(14=Projects!$C$17:$C$46+Projects!$D$17:$D$46-1)*Projects!$B$17:$B$46*(ROW(Projects!$B$17:$B$46)&lt;&gt;21)*Assumptions!$B$11*0.05)+231759.18+0+IF(AND(Projects!$G$21="Yes",14&gt;=Projects!$C$21,14&lt;Projects!$C$21+Projects!$D$21),(Projects!$O$21)/Projects!$D$21*0.95,0)+IF(AND(Projects!$G$21="Yes",14=Projects!$C$21+Projects!$D$21-1),(Projects!$O$21)*0.05,0),Actuals!S10)</f>
        <v>389762.561588878</v>
      </c>
      <c r="S11" s="13" t="n">
        <f aca="false">IF(ISBLANK(Actuals!T10),0*Curves!P$7/SUM(Curves!$E$7:$Q$7)+0*Curves!P$8/SUM(Curves!$E$8:$P$8)+0*Curves!P$9/SUM(Curves!$E$9:$P$9)+0*Curves!P$4/SUM(Curves!$E$4:$T$4)+SUMPRODUCT((Projects!$G$10:$G$14="Yes")*(15&gt;=Projects!$C$10:$C$14)*(15&lt;Projects!$C$10:$C$14+Projects!$D$10:$D$14)*Projects!$B$10:$B$14*Assumptions!$B$11/Projects!$D$10:$D$14*0.95)+SUMPRODUCT((Projects!$G$10:$G$14="Yes")*(15=Projects!$C$10:$C$14+Projects!$D$10:$D$14-1)*Projects!$B$10:$B$14*Assumptions!$B$11*0.05)+SUMPRODUCT((Projects!$G$17:$G$46="Yes")*(15&gt;=Projects!$C$17:$C$46)*(15&lt;Projects!$C$17:$C$46+Projects!$D$17:$D$46)*Projects!$B$17:$B$46*(ROW(Projects!$B$17:$B$46)&lt;&gt;21)*Assumptions!$B$11/Projects!$D$17:$D$46*0.95)+SUMPRODUCT((Projects!$G$17:$G$46="Yes")*(15=Projects!$C$17:$C$46+Projects!$D$17:$D$46-1)*Projects!$B$17:$B$46*(ROW(Projects!$B$17:$B$46)&lt;&gt;21)*Assumptions!$B$11*0.05)+234093.21+0+IF(AND(Projects!$G$21="Yes",15&gt;=Projects!$C$21,15&lt;Projects!$C$21+Projects!$D$21),(Projects!$O$21)/Projects!$D$21*0.95,0)+IF(AND(Projects!$G$21="Yes",15=Projects!$C$21+Projects!$D$21-1),(Projects!$O$21)*0.05,0),Actuals!T10)</f>
        <v>509483.897984719</v>
      </c>
      <c r="T11" s="13" t="n">
        <f aca="false">IF(ISBLANK(Actuals!U10),0*Curves!Q$7/SUM(Curves!$E$7:$Q$7)+0*Curves!Q$4/SUM(Curves!$E$4:$T$4)+SUMPRODUCT((Projects!$G$10:$G$14="Yes")*(16&gt;=Projects!$C$10:$C$14)*(16&lt;Projects!$C$10:$C$14+Projects!$D$10:$D$14)*Projects!$B$10:$B$14*Assumptions!$B$11/Projects!$D$10:$D$14*0.95)+SUMPRODUCT((Projects!$G$10:$G$14="Yes")*(16=Projects!$C$10:$C$14+Projects!$D$10:$D$14-1)*Projects!$B$10:$B$14*Assumptions!$B$11*0.05)+SUMPRODUCT((Projects!$G$17:$G$46="Yes")*(16&gt;=Projects!$C$17:$C$46)*(16&lt;Projects!$C$17:$C$46+Projects!$D$17:$D$46)*Projects!$B$17:$B$46*(ROW(Projects!$B$17:$B$46)&lt;&gt;21)*Assumptions!$B$11/Projects!$D$17:$D$46*0.95)+SUMPRODUCT((Projects!$G$17:$G$46="Yes")*(16=Projects!$C$17:$C$46+Projects!$D$17:$D$46-1)*Projects!$B$17:$B$46*(ROW(Projects!$B$17:$B$46)&lt;&gt;21)*Assumptions!$B$11*0.05)+274422.66+0+IF(AND(Projects!$G$21="Yes",16&gt;=Projects!$C$21,16&lt;Projects!$C$21+Projects!$D$21),(Projects!$O$21)/Projects!$D$21*0.95,0)+IF(AND(Projects!$G$21="Yes",16=Projects!$C$21+Projects!$D$21-1),(Projects!$O$21)*0.05,0),Actuals!U10)</f>
        <v>549813.347984719</v>
      </c>
      <c r="U11" s="13" t="n">
        <f aca="false">IF(ISBLANK(Actuals!V10),0*Curves!R$4/SUM(Curves!$E$4:$T$4)+SUMPRODUCT((Projects!$G$10:$G$14="Yes")*(17&gt;=Projects!$C$10:$C$14)*(17&lt;Projects!$C$10:$C$14+Projects!$D$10:$D$14)*Projects!$B$10:$B$14*Assumptions!$B$11/Projects!$D$10:$D$14*0.95)+SUMPRODUCT((Projects!$G$10:$G$14="Yes")*(17=Projects!$C$10:$C$14+Projects!$D$10:$D$14-1)*Projects!$B$10:$B$14*Assumptions!$B$11*0.05)+SUMPRODUCT((Projects!$G$17:$G$46="Yes")*(17&gt;=Projects!$C$17:$C$46)*(17&lt;Projects!$C$17:$C$46+Projects!$D$17:$D$46)*Projects!$B$17:$B$46*(ROW(Projects!$B$17:$B$46)&lt;&gt;21)*Assumptions!$B$11/Projects!$D$17:$D$46*0.95)+SUMPRODUCT((Projects!$G$17:$G$46="Yes")*(17=Projects!$C$17:$C$46+Projects!$D$17:$D$46-1)*Projects!$B$17:$B$46*(ROW(Projects!$B$17:$B$46)&lt;&gt;21)*Assumptions!$B$11*0.05)+227545.39+0+IF(AND(Projects!$G$21="Yes",17&gt;=Projects!$C$21,17&lt;Projects!$C$21+Projects!$D$21),(Projects!$O$21)/Projects!$D$21*0.95,0)+IF(AND(Projects!$G$21="Yes",17=Projects!$C$21+Projects!$D$21-1),(Projects!$O$21)*0.05,0),Actuals!V10)</f>
        <v>502936.07798472</v>
      </c>
      <c r="V11" s="13" t="n">
        <f aca="false">IF(ISBLANK(Actuals!W10),0*Curves!S$4/SUM(Curves!$E$4:$T$4)+SUMPRODUCT((Projects!$G$10:$G$14="Yes")*(18&gt;=Projects!$C$10:$C$14)*(18&lt;Projects!$C$10:$C$14+Projects!$D$10:$D$14)*Projects!$B$10:$B$14*Assumptions!$B$11/Projects!$D$10:$D$14*0.95)+SUMPRODUCT((Projects!$G$10:$G$14="Yes")*(18=Projects!$C$10:$C$14+Projects!$D$10:$D$14-1)*Projects!$B$10:$B$14*Assumptions!$B$11*0.05)+SUMPRODUCT((Projects!$G$17:$G$46="Yes")*(18&gt;=Projects!$C$17:$C$46)*(18&lt;Projects!$C$17:$C$46+Projects!$D$17:$D$46)*Projects!$B$17:$B$46*(ROW(Projects!$B$17:$B$46)&lt;&gt;21)*Assumptions!$B$11/Projects!$D$17:$D$46*0.95)+SUMPRODUCT((Projects!$G$17:$G$46="Yes")*(18=Projects!$C$17:$C$46+Projects!$D$17:$D$46-1)*Projects!$B$17:$B$46*(ROW(Projects!$B$17:$B$46)&lt;&gt;21)*Assumptions!$B$11*0.05)+254191.15+0+IF(AND(Projects!$G$21="Yes",18&gt;=Projects!$C$21,18&lt;Projects!$C$21+Projects!$D$21),(Projects!$O$21)/Projects!$D$21*0.95,0)+IF(AND(Projects!$G$21="Yes",18=Projects!$C$21+Projects!$D$21-1),(Projects!$O$21)*0.05,0),Actuals!W10)</f>
        <v>566265.42017572</v>
      </c>
      <c r="W11" s="13" t="n">
        <f aca="false">IF(ISBLANK(Actuals!X10),0*Curves!T$4/SUM(Curves!$E$4:$T$4)+SUMPRODUCT((Projects!$G$10:$G$14="Yes")*(19&gt;=Projects!$C$10:$C$14)*(19&lt;Projects!$C$10:$C$14+Projects!$D$10:$D$14)*Projects!$B$10:$B$14*Assumptions!$B$11/Projects!$D$10:$D$14*0.95)+SUMPRODUCT((Projects!$G$10:$G$14="Yes")*(19=Projects!$C$10:$C$14+Projects!$D$10:$D$14-1)*Projects!$B$10:$B$14*Assumptions!$B$11*0.05)+SUMPRODUCT((Projects!$G$17:$G$46="Yes")*(19&gt;=Projects!$C$17:$C$46)*(19&lt;Projects!$C$17:$C$46+Projects!$D$17:$D$46)*Projects!$B$17:$B$46*(ROW(Projects!$B$17:$B$46)&lt;&gt;21)*Assumptions!$B$11/Projects!$D$17:$D$46*0.95)+SUMPRODUCT((Projects!$G$17:$G$46="Yes")*(19=Projects!$C$17:$C$46+Projects!$D$17:$D$46-1)*Projects!$B$17:$B$46*(ROW(Projects!$B$17:$B$46)&lt;&gt;21)*Assumptions!$B$11*0.05)+169092.93+0+IF(AND(Projects!$G$21="Yes",19&gt;=Projects!$C$21,19&lt;Projects!$C$21+Projects!$D$21),(Projects!$O$21)/Projects!$D$21*0.95,0)+IF(AND(Projects!$G$21="Yes",19=Projects!$C$21+Projects!$D$21-1),(Projects!$O$21)*0.05,0),Actuals!X10)</f>
        <v>567638.256683028</v>
      </c>
      <c r="X11" s="13" t="n">
        <f aca="false">IF(ISBLANK(Actuals!Y10),0+SUMPRODUCT((Projects!$G$10:$G$14="Yes")*(20&gt;=Projects!$C$10:$C$14)*(20&lt;Projects!$C$10:$C$14+Projects!$D$10:$D$14)*Projects!$B$10:$B$14*Assumptions!$B$11/Projects!$D$10:$D$14*0.95)+SUMPRODUCT((Projects!$G$10:$G$14="Yes")*(20=Projects!$C$10:$C$14+Projects!$D$10:$D$14-1)*Projects!$B$10:$B$14*Assumptions!$B$11*0.05)+SUMPRODUCT((Projects!$G$17:$G$46="Yes")*(20&gt;=Projects!$C$17:$C$46)*(20&lt;Projects!$C$17:$C$46+Projects!$D$17:$D$46)*Projects!$B$17:$B$46*(ROW(Projects!$B$17:$B$46)&lt;&gt;21)*Assumptions!$B$11/Projects!$D$17:$D$46*0.95)+SUMPRODUCT((Projects!$G$17:$G$46="Yes")*(20=Projects!$C$17:$C$46+Projects!$D$17:$D$46-1)*Projects!$B$17:$B$46*(ROW(Projects!$B$17:$B$46)&lt;&gt;21)*Assumptions!$B$11*0.05)+234976.08+0+IF(AND(Projects!$G$21="Yes",20&gt;=Projects!$C$21,20&lt;Projects!$C$21+Projects!$D$21),(Projects!$O$21)/Projects!$D$21*0.95,0)+IF(AND(Projects!$G$21="Yes",20=Projects!$C$21+Projects!$D$21-1),(Projects!$O$21)*0.05,0),Actuals!Y10)</f>
        <v>633521.406683028</v>
      </c>
      <c r="Y11" s="13" t="n">
        <f aca="false">IF(ISBLANK(Actuals!Z10),0+SUMPRODUCT((Projects!$G$10:$G$14="Yes")*(21&gt;=Projects!$C$10:$C$14)*(21&lt;Projects!$C$10:$C$14+Projects!$D$10:$D$14)*Projects!$B$10:$B$14*Assumptions!$B$11/Projects!$D$10:$D$14*0.95)+SUMPRODUCT((Projects!$G$10:$G$14="Yes")*(21=Projects!$C$10:$C$14+Projects!$D$10:$D$14-1)*Projects!$B$10:$B$14*Assumptions!$B$11*0.05)+SUMPRODUCT((Projects!$G$17:$G$46="Yes")*(21&gt;=Projects!$C$17:$C$46)*(21&lt;Projects!$C$17:$C$46+Projects!$D$17:$D$46)*Projects!$B$17:$B$46*(ROW(Projects!$B$17:$B$46)&lt;&gt;21)*Assumptions!$B$11/Projects!$D$17:$D$46*0.95)+SUMPRODUCT((Projects!$G$17:$G$46="Yes")*(21=Projects!$C$17:$C$46+Projects!$D$17:$D$46-1)*Projects!$B$17:$B$46*(ROW(Projects!$B$17:$B$46)&lt;&gt;21)*Assumptions!$B$11*0.05)+153820.6+0+IF(AND(Projects!$G$21="Yes",21&gt;=Projects!$C$21,21&lt;Projects!$C$21+Projects!$D$21),(Projects!$O$21)/Projects!$D$21*0.95,0)+IF(AND(Projects!$G$21="Yes",21=Projects!$C$21+Projects!$D$21-1),(Projects!$O$21)*0.05,0),Actuals!Z10)</f>
        <v>552365.926683028</v>
      </c>
      <c r="Z11" s="13" t="n">
        <f aca="false">IF(ISBLANK(Actuals!AA10),0+SUMPRODUCT((Projects!$G$10:$G$14="Yes")*(22&gt;=Projects!$C$10:$C$14)*(22&lt;Projects!$C$10:$C$14+Projects!$D$10:$D$14)*Projects!$B$10:$B$14*Assumptions!$B$11/Projects!$D$10:$D$14*0.95)+SUMPRODUCT((Projects!$G$10:$G$14="Yes")*(22=Projects!$C$10:$C$14+Projects!$D$10:$D$14-1)*Projects!$B$10:$B$14*Assumptions!$B$11*0.05)+SUMPRODUCT((Projects!$G$17:$G$46="Yes")*(22&gt;=Projects!$C$17:$C$46)*(22&lt;Projects!$C$17:$C$46+Projects!$D$17:$D$46)*Projects!$B$17:$B$46*(ROW(Projects!$B$17:$B$46)&lt;&gt;21)*Assumptions!$B$11/Projects!$D$17:$D$46*0.95)+SUMPRODUCT((Projects!$G$17:$G$46="Yes")*(22=Projects!$C$17:$C$46+Projects!$D$17:$D$46-1)*Projects!$B$17:$B$46*(ROW(Projects!$B$17:$B$46)&lt;&gt;21)*Assumptions!$B$11*0.05)+197801.47+0+IF(AND(Projects!$G$21="Yes",22&gt;=Projects!$C$21,22&lt;Projects!$C$21+Projects!$D$21),(Projects!$O$21)/Projects!$D$21*0.95,0)+IF(AND(Projects!$G$21="Yes",22=Projects!$C$21+Projects!$D$21-1),(Projects!$O$21)*0.05,0),Actuals!AA10)</f>
        <v>596346.796683028</v>
      </c>
      <c r="AA11" s="13" t="n">
        <f aca="false">IF(ISBLANK(Actuals!AB10),0+SUMPRODUCT((Projects!$G$10:$G$14="Yes")*(23&gt;=Projects!$C$10:$C$14)*(23&lt;Projects!$C$10:$C$14+Projects!$D$10:$D$14)*Projects!$B$10:$B$14*Assumptions!$B$11/Projects!$D$10:$D$14*0.95)+SUMPRODUCT((Projects!$G$10:$G$14="Yes")*(23=Projects!$C$10:$C$14+Projects!$D$10:$D$14-1)*Projects!$B$10:$B$14*Assumptions!$B$11*0.05)+SUMPRODUCT((Projects!$G$17:$G$46="Yes")*(23&gt;=Projects!$C$17:$C$46)*(23&lt;Projects!$C$17:$C$46+Projects!$D$17:$D$46)*Projects!$B$17:$B$46*(ROW(Projects!$B$17:$B$46)&lt;&gt;21)*Assumptions!$B$11/Projects!$D$17:$D$46*0.95)+SUMPRODUCT((Projects!$G$17:$G$46="Yes")*(23=Projects!$C$17:$C$46+Projects!$D$17:$D$46-1)*Projects!$B$17:$B$46*(ROW(Projects!$B$17:$B$46)&lt;&gt;21)*Assumptions!$B$11*0.05)+157686.57+0+IF(AND(Projects!$G$21="Yes",23&gt;=Projects!$C$21,23&lt;Projects!$C$21+Projects!$D$21),(Projects!$O$21)/Projects!$D$21*0.95,0)+IF(AND(Projects!$G$21="Yes",23=Projects!$C$21+Projects!$D$21-1),(Projects!$O$21)*0.05,0),Actuals!AB10)</f>
        <v>556231.896683028</v>
      </c>
      <c r="AB11" s="13" t="n">
        <f aca="false">IF(ISBLANK(Actuals!AC10),0+SUMPRODUCT((Projects!$G$10:$G$14="Yes")*(24&gt;=Projects!$C$10:$C$14)*(24&lt;Projects!$C$10:$C$14+Projects!$D$10:$D$14)*Projects!$B$10:$B$14*Assumptions!$B$11/Projects!$D$10:$D$14*0.95)+SUMPRODUCT((Projects!$G$10:$G$14="Yes")*(24=Projects!$C$10:$C$14+Projects!$D$10:$D$14-1)*Projects!$B$10:$B$14*Assumptions!$B$11*0.05)+SUMPRODUCT((Projects!$G$17:$G$46="Yes")*(24&gt;=Projects!$C$17:$C$46)*(24&lt;Projects!$C$17:$C$46+Projects!$D$17:$D$46)*Projects!$B$17:$B$46*(ROW(Projects!$B$17:$B$46)&lt;&gt;21)*Assumptions!$B$11/Projects!$D$17:$D$46*0.95)+SUMPRODUCT((Projects!$G$17:$G$46="Yes")*(24=Projects!$C$17:$C$46+Projects!$D$17:$D$46-1)*Projects!$B$17:$B$46*(ROW(Projects!$B$17:$B$46)&lt;&gt;21)*Assumptions!$B$11*0.05)+96393.69+0+IF(AND(Projects!$G$21="Yes",24&gt;=Projects!$C$21,24&lt;Projects!$C$21+Projects!$D$21),(Projects!$O$21)/Projects!$D$21*0.95,0)+IF(AND(Projects!$G$21="Yes",24=Projects!$C$21+Projects!$D$21-1),(Projects!$O$21)*0.05,0),Actuals!AC10)</f>
        <v>494939.016683028</v>
      </c>
      <c r="AC11" s="13" t="n">
        <f aca="false">IF(ISBLANK(Actuals!AD10),0+SUMPRODUCT((Projects!$G$10:$G$14="Yes")*(25&gt;=Projects!$C$10:$C$14)*(25&lt;Projects!$C$10:$C$14+Projects!$D$10:$D$14)*Projects!$B$10:$B$14*Assumptions!$B$11/Projects!$D$10:$D$14*0.95)+SUMPRODUCT((Projects!$G$10:$G$14="Yes")*(25=Projects!$C$10:$C$14+Projects!$D$10:$D$14-1)*Projects!$B$10:$B$14*Assumptions!$B$11*0.05)+SUMPRODUCT((Projects!$G$17:$G$46="Yes")*(25&gt;=Projects!$C$17:$C$46)*(25&lt;Projects!$C$17:$C$46+Projects!$D$17:$D$46)*Projects!$B$17:$B$46*(ROW(Projects!$B$17:$B$46)&lt;&gt;21)*Assumptions!$B$11/Projects!$D$17:$D$46*0.95)+SUMPRODUCT((Projects!$G$17:$G$46="Yes")*(25=Projects!$C$17:$C$46+Projects!$D$17:$D$46-1)*Projects!$B$17:$B$46*(ROW(Projects!$B$17:$B$46)&lt;&gt;21)*Assumptions!$B$11*0.05)+54088.1+0+IF(AND(Projects!$G$21="Yes",25&gt;=Projects!$C$21,25&lt;Projects!$C$21+Projects!$D$21),(Projects!$O$21)/Projects!$D$21*0.95,0)+IF(AND(Projects!$G$21="Yes",25=Projects!$C$21+Projects!$D$21-1),(Projects!$O$21)*0.05,0),Actuals!AD10)</f>
        <v>452633.426683028</v>
      </c>
      <c r="AD11" s="13" t="n">
        <f aca="false">IF(ISBLANK(Actuals!AE10),0+SUMPRODUCT((Projects!$G$10:$G$14="Yes")*(26&gt;=Projects!$C$10:$C$14)*(26&lt;Projects!$C$10:$C$14+Projects!$D$10:$D$14)*Projects!$B$10:$B$14*Assumptions!$B$11/Projects!$D$10:$D$14*0.95)+SUMPRODUCT((Projects!$G$10:$G$14="Yes")*(26=Projects!$C$10:$C$14+Projects!$D$10:$D$14-1)*Projects!$B$10:$B$14*Assumptions!$B$11*0.05)+SUMPRODUCT((Projects!$G$17:$G$46="Yes")*(26&gt;=Projects!$C$17:$C$46)*(26&lt;Projects!$C$17:$C$46+Projects!$D$17:$D$46)*Projects!$B$17:$B$46*(ROW(Projects!$B$17:$B$46)&lt;&gt;21)*Assumptions!$B$11/Projects!$D$17:$D$46*0.95)+SUMPRODUCT((Projects!$G$17:$G$46="Yes")*(26=Projects!$C$17:$C$46+Projects!$D$17:$D$46-1)*Projects!$B$17:$B$46*(ROW(Projects!$B$17:$B$46)&lt;&gt;21)*Assumptions!$B$11*0.05)+64049.67+0+IF(AND(Projects!$G$21="Yes",26&gt;=Projects!$C$21,26&lt;Projects!$C$21+Projects!$D$21),(Projects!$O$21)/Projects!$D$21*0.95,0)+IF(AND(Projects!$G$21="Yes",26=Projects!$C$21+Projects!$D$21-1),(Projects!$O$21)*0.05,0),Actuals!AE10)</f>
        <v>462594.996683028</v>
      </c>
      <c r="AE11" s="13" t="n">
        <f aca="false">IF(ISBLANK(Actuals!AF10),0+SUMPRODUCT((Projects!$G$10:$G$14="Yes")*(27&gt;=Projects!$C$10:$C$14)*(27&lt;Projects!$C$10:$C$14+Projects!$D$10:$D$14)*Projects!$B$10:$B$14*Assumptions!$B$11/Projects!$D$10:$D$14*0.95)+SUMPRODUCT((Projects!$G$10:$G$14="Yes")*(27=Projects!$C$10:$C$14+Projects!$D$10:$D$14-1)*Projects!$B$10:$B$14*Assumptions!$B$11*0.05)+SUMPRODUCT((Projects!$G$17:$G$46="Yes")*(27&gt;=Projects!$C$17:$C$46)*(27&lt;Projects!$C$17:$C$46+Projects!$D$17:$D$46)*Projects!$B$17:$B$46*(ROW(Projects!$B$17:$B$46)&lt;&gt;21)*Assumptions!$B$11/Projects!$D$17:$D$46*0.95)+SUMPRODUCT((Projects!$G$17:$G$46="Yes")*(27=Projects!$C$17:$C$46+Projects!$D$17:$D$46-1)*Projects!$B$17:$B$46*(ROW(Projects!$B$17:$B$46)&lt;&gt;21)*Assumptions!$B$11*0.05)+60113.64+0+IF(AND(Projects!$G$21="Yes",27&gt;=Projects!$C$21,27&lt;Projects!$C$21+Projects!$D$21),(Projects!$O$21)/Projects!$D$21*0.95,0)+IF(AND(Projects!$G$21="Yes",27=Projects!$C$21+Projects!$D$21-1),(Projects!$O$21)*0.05,0),Actuals!AF10)</f>
        <v>526227.197117641</v>
      </c>
      <c r="AF11" s="13" t="n">
        <f aca="false">IF(ISBLANK(Actuals!AG10),0+SUMPRODUCT((Projects!$G$10:$G$14="Yes")*(28&gt;=Projects!$C$10:$C$14)*(28&lt;Projects!$C$10:$C$14+Projects!$D$10:$D$14)*Projects!$B$10:$B$14*Assumptions!$B$11/Projects!$D$10:$D$14*0.95)+SUMPRODUCT((Projects!$G$10:$G$14="Yes")*(28=Projects!$C$10:$C$14+Projects!$D$10:$D$14-1)*Projects!$B$10:$B$14*Assumptions!$B$11*0.05)+SUMPRODUCT((Projects!$G$17:$G$46="Yes")*(28&gt;=Projects!$C$17:$C$46)*(28&lt;Projects!$C$17:$C$46+Projects!$D$17:$D$46)*Projects!$B$17:$B$46*(ROW(Projects!$B$17:$B$46)&lt;&gt;21)*Assumptions!$B$11/Projects!$D$17:$D$46*0.95)+SUMPRODUCT((Projects!$G$17:$G$46="Yes")*(28=Projects!$C$17:$C$46+Projects!$D$17:$D$46-1)*Projects!$B$17:$B$46*(ROW(Projects!$B$17:$B$46)&lt;&gt;21)*Assumptions!$B$11*0.05)+74336.42+0+IF(AND(Projects!$G$21="Yes",28&gt;=Projects!$C$21,28&lt;Projects!$C$21+Projects!$D$21),(Projects!$O$21)/Projects!$D$21*0.95,0)+IF(AND(Projects!$G$21="Yes",28=Projects!$C$21+Projects!$D$21-1),(Projects!$O$21)*0.05,0),Actuals!AG10)</f>
        <v>594618.641817041</v>
      </c>
      <c r="AG11" s="13" t="n">
        <f aca="false">IF(ISBLANK(Actuals!AH10),0+SUMPRODUCT((Projects!$G$10:$G$14="Yes")*(29&gt;=Projects!$C$10:$C$14)*(29&lt;Projects!$C$10:$C$14+Projects!$D$10:$D$14)*Projects!$B$10:$B$14*Assumptions!$B$11/Projects!$D$10:$D$14*0.95)+SUMPRODUCT((Projects!$G$10:$G$14="Yes")*(29=Projects!$C$10:$C$14+Projects!$D$10:$D$14-1)*Projects!$B$10:$B$14*Assumptions!$B$11*0.05)+SUMPRODUCT((Projects!$G$17:$G$46="Yes")*(29&gt;=Projects!$C$17:$C$46)*(29&lt;Projects!$C$17:$C$46+Projects!$D$17:$D$46)*Projects!$B$17:$B$46*(ROW(Projects!$B$17:$B$46)&lt;&gt;21)*Assumptions!$B$11/Projects!$D$17:$D$46*0.95)+SUMPRODUCT((Projects!$G$17:$G$46="Yes")*(29=Projects!$C$17:$C$46+Projects!$D$17:$D$46-1)*Projects!$B$17:$B$46*(ROW(Projects!$B$17:$B$46)&lt;&gt;21)*Assumptions!$B$11*0.05)+129093.86+0+IF(AND(Projects!$G$21="Yes",29&gt;=Projects!$C$21,29&lt;Projects!$C$21+Projects!$D$21),(Projects!$O$21)/Projects!$D$21*0.95,0)+IF(AND(Projects!$G$21="Yes",29=Projects!$C$21+Projects!$D$21-1),(Projects!$O$21)*0.05,0),Actuals!AH10)</f>
        <v>567480.955716441</v>
      </c>
      <c r="AH11" s="13" t="n">
        <f aca="false">IF(ISBLANK(Actuals!AI10),0+SUMPRODUCT((Projects!$G$10:$G$14="Yes")*(30&gt;=Projects!$C$10:$C$14)*(30&lt;Projects!$C$10:$C$14+Projects!$D$10:$D$14)*Projects!$B$10:$B$14*Assumptions!$B$11/Projects!$D$10:$D$14*0.95)+SUMPRODUCT((Projects!$G$10:$G$14="Yes")*(30=Projects!$C$10:$C$14+Projects!$D$10:$D$14-1)*Projects!$B$10:$B$14*Assumptions!$B$11*0.05)+SUMPRODUCT((Projects!$G$17:$G$46="Yes")*(30&gt;=Projects!$C$17:$C$46)*(30&lt;Projects!$C$17:$C$46+Projects!$D$17:$D$46)*Projects!$B$17:$B$46*(ROW(Projects!$B$17:$B$46)&lt;&gt;21)*Assumptions!$B$11/Projects!$D$17:$D$46*0.95)+SUMPRODUCT((Projects!$G$17:$G$46="Yes")*(30=Projects!$C$17:$C$46+Projects!$D$17:$D$46-1)*Projects!$B$17:$B$46*(ROW(Projects!$B$17:$B$46)&lt;&gt;21)*Assumptions!$B$11*0.05)+119807.84+0+IF(AND(Projects!$G$21="Yes",30&gt;=Projects!$C$21,30&lt;Projects!$C$21+Projects!$D$21),(Projects!$O$21)/Projects!$D$21*0.95,0)+IF(AND(Projects!$G$21="Yes",30=Projects!$C$21+Projects!$D$21-1),(Projects!$O$21)*0.05,0),Actuals!AI10)</f>
        <v>557189.760503041</v>
      </c>
      <c r="AI11" s="13" t="n">
        <f aca="false">IF(ISBLANK(Actuals!AJ10),0+SUMPRODUCT((Projects!$G$10:$G$14="Yes")*(31&gt;=Projects!$C$10:$C$14)*(31&lt;Projects!$C$10:$C$14+Projects!$D$10:$D$14)*Projects!$B$10:$B$14*Assumptions!$B$11/Projects!$D$10:$D$14*0.95)+SUMPRODUCT((Projects!$G$10:$G$14="Yes")*(31=Projects!$C$10:$C$14+Projects!$D$10:$D$14-1)*Projects!$B$10:$B$14*Assumptions!$B$11*0.05)+SUMPRODUCT((Projects!$G$17:$G$46="Yes")*(31&gt;=Projects!$C$17:$C$46)*(31&lt;Projects!$C$17:$C$46+Projects!$D$17:$D$46)*Projects!$B$17:$B$46*(ROW(Projects!$B$17:$B$46)&lt;&gt;21)*Assumptions!$B$11/Projects!$D$17:$D$46*0.95)+SUMPRODUCT((Projects!$G$17:$G$46="Yes")*(31=Projects!$C$17:$C$46+Projects!$D$17:$D$46-1)*Projects!$B$17:$B$46*(ROW(Projects!$B$17:$B$46)&lt;&gt;21)*Assumptions!$B$11*0.05)+117131.07+0+IF(AND(Projects!$G$21="Yes",31&gt;=Projects!$C$21,31&lt;Projects!$C$21+Projects!$D$21),(Projects!$O$21)/Projects!$D$21*0.95,0)+IF(AND(Projects!$G$21="Yes",31=Projects!$C$21+Projects!$D$21-1),(Projects!$O$21)*0.05,0),Actuals!AJ10)</f>
        <v>455005.855715763</v>
      </c>
      <c r="AJ11" s="13" t="n">
        <f aca="false">IF(ISBLANK(Actuals!AK10),0+SUMPRODUCT((Projects!$G$10:$G$14="Yes")*(32&gt;=Projects!$C$10:$C$14)*(32&lt;Projects!$C$10:$C$14+Projects!$D$10:$D$14)*Projects!$B$10:$B$14*Assumptions!$B$11/Projects!$D$10:$D$14*0.95)+SUMPRODUCT((Projects!$G$10:$G$14="Yes")*(32=Projects!$C$10:$C$14+Projects!$D$10:$D$14-1)*Projects!$B$10:$B$14*Assumptions!$B$11*0.05)+SUMPRODUCT((Projects!$G$17:$G$46="Yes")*(32&gt;=Projects!$C$17:$C$46)*(32&lt;Projects!$C$17:$C$46+Projects!$D$17:$D$46)*Projects!$B$17:$B$46*(ROW(Projects!$B$17:$B$46)&lt;&gt;21)*Assumptions!$B$11/Projects!$D$17:$D$46*0.95)+SUMPRODUCT((Projects!$G$17:$G$46="Yes")*(32=Projects!$C$17:$C$46+Projects!$D$17:$D$46-1)*Projects!$B$17:$B$46*(ROW(Projects!$B$17:$B$46)&lt;&gt;21)*Assumptions!$B$11*0.05)+63904.82+0+IF(AND(Projects!$G$21="Yes",32&gt;=Projects!$C$21,32&lt;Projects!$C$21+Projects!$D$21),(Projects!$O$21)/Projects!$D$21*0.95,0)+IF(AND(Projects!$G$21="Yes",32=Projects!$C$21+Projects!$D$21-1),(Projects!$O$21)*0.05,0),Actuals!AK10)</f>
        <v>431544.215902763</v>
      </c>
      <c r="AK11" s="13" t="n">
        <f aca="false">IF(ISBLANK(Actuals!AL10),0+SUMPRODUCT((Projects!$G$10:$G$14="Yes")*(33&gt;=Projects!$C$10:$C$14)*(33&lt;Projects!$C$10:$C$14+Projects!$D$10:$D$14)*Projects!$B$10:$B$14*Assumptions!$B$11/Projects!$D$10:$D$14*0.95)+SUMPRODUCT((Projects!$G$10:$G$14="Yes")*(33=Projects!$C$10:$C$14+Projects!$D$10:$D$14-1)*Projects!$B$10:$B$14*Assumptions!$B$11*0.05)+SUMPRODUCT((Projects!$G$17:$G$46="Yes")*(33&gt;=Projects!$C$17:$C$46)*(33&lt;Projects!$C$17:$C$46+Projects!$D$17:$D$46)*Projects!$B$17:$B$46*(ROW(Projects!$B$17:$B$46)&lt;&gt;21)*Assumptions!$B$11/Projects!$D$17:$D$46*0.95)+SUMPRODUCT((Projects!$G$17:$G$46="Yes")*(33=Projects!$C$17:$C$46+Projects!$D$17:$D$46-1)*Projects!$B$17:$B$46*(ROW(Projects!$B$17:$B$46)&lt;&gt;21)*Assumptions!$B$11*0.05)+53049.92+0+IF(AND(Projects!$G$21="Yes",33&gt;=Projects!$C$21,33&lt;Projects!$C$21+Projects!$D$21),(Projects!$O$21)/Projects!$D$21*0.95,0)+IF(AND(Projects!$G$21="Yes",33=Projects!$C$21+Projects!$D$21-1),(Projects!$O$21)*0.05,0),Actuals!AL10)</f>
        <v>361160.095528763</v>
      </c>
      <c r="AL11" s="13" t="n">
        <f aca="false">IF(ISBLANK(Actuals!AM10),0+SUMPRODUCT((Projects!$G$10:$G$14="Yes")*(34&gt;=Projects!$C$10:$C$14)*(34&lt;Projects!$C$10:$C$14+Projects!$D$10:$D$14)*Projects!$B$10:$B$14*Assumptions!$B$11/Projects!$D$10:$D$14*0.95)+SUMPRODUCT((Projects!$G$10:$G$14="Yes")*(34=Projects!$C$10:$C$14+Projects!$D$10:$D$14-1)*Projects!$B$10:$B$14*Assumptions!$B$11*0.05)+SUMPRODUCT((Projects!$G$17:$G$46="Yes")*(34&gt;=Projects!$C$17:$C$46)*(34&lt;Projects!$C$17:$C$46+Projects!$D$17:$D$46)*Projects!$B$17:$B$46*(ROW(Projects!$B$17:$B$46)&lt;&gt;21)*Assumptions!$B$11/Projects!$D$17:$D$46*0.95)+SUMPRODUCT((Projects!$G$17:$G$46="Yes")*(34=Projects!$C$17:$C$46+Projects!$D$17:$D$46-1)*Projects!$B$17:$B$46*(ROW(Projects!$B$17:$B$46)&lt;&gt;21)*Assumptions!$B$11*0.05)+59261.31+0+IF(AND(Projects!$G$21="Yes",34&gt;=Projects!$C$21,34&lt;Projects!$C$21+Projects!$D$21),(Projects!$O$21)/Projects!$D$21*0.95,0)+IF(AND(Projects!$G$21="Yes",34=Projects!$C$21+Projects!$D$21-1),(Projects!$O$21)*0.05,0),Actuals!AM10)</f>
        <v>367371.485528763</v>
      </c>
      <c r="AM11" s="13" t="n">
        <f aca="false">IF(ISBLANK(Actuals!AN10),0+SUMPRODUCT((Projects!$G$10:$G$14="Yes")*(35&gt;=Projects!$C$10:$C$14)*(35&lt;Projects!$C$10:$C$14+Projects!$D$10:$D$14)*Projects!$B$10:$B$14*Assumptions!$B$11/Projects!$D$10:$D$14*0.95)+SUMPRODUCT((Projects!$G$10:$G$14="Yes")*(35=Projects!$C$10:$C$14+Projects!$D$10:$D$14-1)*Projects!$B$10:$B$14*Assumptions!$B$11*0.05)+SUMPRODUCT((Projects!$G$17:$G$46="Yes")*(35&gt;=Projects!$C$17:$C$46)*(35&lt;Projects!$C$17:$C$46+Projects!$D$17:$D$46)*Projects!$B$17:$B$46*(ROW(Projects!$B$17:$B$46)&lt;&gt;21)*Assumptions!$B$11/Projects!$D$17:$D$46*0.95)+SUMPRODUCT((Projects!$G$17:$G$46="Yes")*(35=Projects!$C$17:$C$46+Projects!$D$17:$D$46-1)*Projects!$B$17:$B$46*(ROW(Projects!$B$17:$B$46)&lt;&gt;21)*Assumptions!$B$11*0.05)+64418.68+0+IF(AND(Projects!$G$21="Yes",35&gt;=Projects!$C$21,35&lt;Projects!$C$21+Projects!$D$21),(Projects!$O$21)/Projects!$D$21*0.95,0)+IF(AND(Projects!$G$21="Yes",35=Projects!$C$21+Projects!$D$21-1),(Projects!$O$21)*0.05,0),Actuals!AN10)</f>
        <v>372528.855528763</v>
      </c>
      <c r="AN11" s="13" t="n">
        <f aca="false">IF(ISBLANK(Actuals!AO10),0+SUMPRODUCT((Projects!$G$10:$G$14="Yes")*(36&gt;=Projects!$C$10:$C$14)*(36&lt;Projects!$C$10:$C$14+Projects!$D$10:$D$14)*Projects!$B$10:$B$14*Assumptions!$B$11/Projects!$D$10:$D$14*0.95)+SUMPRODUCT((Projects!$G$10:$G$14="Yes")*(36=Projects!$C$10:$C$14+Projects!$D$10:$D$14-1)*Projects!$B$10:$B$14*Assumptions!$B$11*0.05)+SUMPRODUCT((Projects!$G$17:$G$46="Yes")*(36&gt;=Projects!$C$17:$C$46)*(36&lt;Projects!$C$17:$C$46+Projects!$D$17:$D$46)*Projects!$B$17:$B$46*(ROW(Projects!$B$17:$B$46)&lt;&gt;21)*Assumptions!$B$11/Projects!$D$17:$D$46*0.95)+SUMPRODUCT((Projects!$G$17:$G$46="Yes")*(36=Projects!$C$17:$C$46+Projects!$D$17:$D$46-1)*Projects!$B$17:$B$46*(ROW(Projects!$B$17:$B$46)&lt;&gt;21)*Assumptions!$B$11*0.05)+17331.29+0+IF(AND(Projects!$G$21="Yes",36&gt;=Projects!$C$21,36&lt;Projects!$C$21+Projects!$D$21),(Projects!$O$21)/Projects!$D$21*0.95,0)+IF(AND(Projects!$G$21="Yes",36=Projects!$C$21+Projects!$D$21-1),(Projects!$O$21)*0.05,0),Actuals!AO10)</f>
        <v>362125.047719763</v>
      </c>
      <c r="AO11" s="13" t="n">
        <f aca="false">IF(ISBLANK(Actuals!AP10),0+SUMPRODUCT((Projects!$G$10:$G$14="Yes")*(37&gt;=Projects!$C$10:$C$14)*(37&lt;Projects!$C$10:$C$14+Projects!$D$10:$D$14)*Projects!$B$10:$B$14*Assumptions!$B$11/Projects!$D$10:$D$14*0.95)+SUMPRODUCT((Projects!$G$10:$G$14="Yes")*(37=Projects!$C$10:$C$14+Projects!$D$10:$D$14-1)*Projects!$B$10:$B$14*Assumptions!$B$11*0.05)+SUMPRODUCT((Projects!$G$17:$G$46="Yes")*(37&gt;=Projects!$C$17:$C$46)*(37&lt;Projects!$C$17:$C$46+Projects!$D$17:$D$46)*Projects!$B$17:$B$46*(ROW(Projects!$B$17:$B$46)&lt;&gt;21)*Assumptions!$B$11/Projects!$D$17:$D$46*0.95)+SUMPRODUCT((Projects!$G$17:$G$46="Yes")*(37=Projects!$C$17:$C$46+Projects!$D$17:$D$46-1)*Projects!$B$17:$B$46*(ROW(Projects!$B$17:$B$46)&lt;&gt;21)*Assumptions!$B$11*0.05)+0+IF(AND(Projects!$G$21="Yes",37&gt;=Projects!$C$21,37&lt;Projects!$C$21+Projects!$D$21),(Projects!$O$21)/Projects!$D$21*0.95,0)+IF(AND(Projects!$G$21="Yes",37=Projects!$C$21+Projects!$D$21-1),(Projects!$O$21)*0.05,0),Actuals!AP10)</f>
        <v>306785.332137763</v>
      </c>
      <c r="AP11" s="13" t="n">
        <f aca="false">IF(ISBLANK(Actuals!AQ10),0+SUMPRODUCT((Projects!$G$10:$G$14="Yes")*(38&gt;=Projects!$C$10:$C$14)*(38&lt;Projects!$C$10:$C$14+Projects!$D$10:$D$14)*Projects!$B$10:$B$14*Assumptions!$B$11/Projects!$D$10:$D$14*0.95)+SUMPRODUCT((Projects!$G$10:$G$14="Yes")*(38=Projects!$C$10:$C$14+Projects!$D$10:$D$14-1)*Projects!$B$10:$B$14*Assumptions!$B$11*0.05)+SUMPRODUCT((Projects!$G$17:$G$46="Yes")*(38&gt;=Projects!$C$17:$C$46)*(38&lt;Projects!$C$17:$C$46+Projects!$D$17:$D$46)*Projects!$B$17:$B$46*(ROW(Projects!$B$17:$B$46)&lt;&gt;21)*Assumptions!$B$11/Projects!$D$17:$D$46*0.95)+SUMPRODUCT((Projects!$G$17:$G$46="Yes")*(38=Projects!$C$17:$C$46+Projects!$D$17:$D$46-1)*Projects!$B$17:$B$46*(ROW(Projects!$B$17:$B$46)&lt;&gt;21)*Assumptions!$B$11*0.05)+0+IF(AND(Projects!$G$21="Yes",38&gt;=Projects!$C$21,38&lt;Projects!$C$21+Projects!$D$21),(Projects!$O$21)/Projects!$D$21*0.95,0)+IF(AND(Projects!$G$21="Yes",38=Projects!$C$21+Projects!$D$21-1),(Projects!$O$21)*0.05,0),Actuals!AQ10)</f>
        <v>290923.186756763</v>
      </c>
      <c r="AQ11" s="13" t="n">
        <f aca="false">IF(ISBLANK(Actuals!AR10),0+SUMPRODUCT((Projects!$G$10:$G$14="Yes")*(39&gt;=Projects!$C$10:$C$14)*(39&lt;Projects!$C$10:$C$14+Projects!$D$10:$D$14)*Projects!$B$10:$B$14*Assumptions!$B$11/Projects!$D$10:$D$14*0.95)+SUMPRODUCT((Projects!$G$10:$G$14="Yes")*(39=Projects!$C$10:$C$14+Projects!$D$10:$D$14-1)*Projects!$B$10:$B$14*Assumptions!$B$11*0.05)+SUMPRODUCT((Projects!$G$17:$G$46="Yes")*(39&gt;=Projects!$C$17:$C$46)*(39&lt;Projects!$C$17:$C$46+Projects!$D$17:$D$46)*Projects!$B$17:$B$46*(ROW(Projects!$B$17:$B$46)&lt;&gt;21)*Assumptions!$B$11/Projects!$D$17:$D$46*0.95)+SUMPRODUCT((Projects!$G$17:$G$46="Yes")*(39=Projects!$C$17:$C$46+Projects!$D$17:$D$46-1)*Projects!$B$17:$B$46*(ROW(Projects!$B$17:$B$46)&lt;&gt;21)*Assumptions!$B$11*0.05)+0+IF(AND(Projects!$G$21="Yes",39&gt;=Projects!$C$21,39&lt;Projects!$C$21+Projects!$D$21),(Projects!$O$21)/Projects!$D$21*0.95,0)+IF(AND(Projects!$G$21="Yes",39=Projects!$C$21+Projects!$D$21-1),(Projects!$O$21)*0.05,0),Actuals!AR10)</f>
        <v>192640.716531055</v>
      </c>
      <c r="AR11" s="13" t="n">
        <f aca="false">IF(ISBLANK(Actuals!AS10),0+SUMPRODUCT((Projects!$G$10:$G$14="Yes")*(40&gt;=Projects!$C$10:$C$14)*(40&lt;Projects!$C$10:$C$14+Projects!$D$10:$D$14)*Projects!$B$10:$B$14*Assumptions!$B$11/Projects!$D$10:$D$14*0.95)+SUMPRODUCT((Projects!$G$10:$G$14="Yes")*(40=Projects!$C$10:$C$14+Projects!$D$10:$D$14-1)*Projects!$B$10:$B$14*Assumptions!$B$11*0.05)+SUMPRODUCT((Projects!$G$17:$G$46="Yes")*(40&gt;=Projects!$C$17:$C$46)*(40&lt;Projects!$C$17:$C$46+Projects!$D$17:$D$46)*Projects!$B$17:$B$46*(ROW(Projects!$B$17:$B$46)&lt;&gt;21)*Assumptions!$B$11/Projects!$D$17:$D$46*0.95)+SUMPRODUCT((Projects!$G$17:$G$46="Yes")*(40=Projects!$C$17:$C$46+Projects!$D$17:$D$46-1)*Projects!$B$17:$B$46*(ROW(Projects!$B$17:$B$46)&lt;&gt;21)*Assumptions!$B$11*0.05)+0+IF(AND(Projects!$G$21="Yes",40&gt;=Projects!$C$21,40&lt;Projects!$C$21+Projects!$D$21),(Projects!$O$21)/Projects!$D$21*0.95,0)+IF(AND(Projects!$G$21="Yes",40=Projects!$C$21+Projects!$D$21-1),(Projects!$O$21)*0.05,0),Actuals!AS10)</f>
        <v>192640.716531055</v>
      </c>
      <c r="AS11" s="13" t="n">
        <f aca="false">IF(ISBLANK(Actuals!AT10),0+SUMPRODUCT((Projects!$G$10:$G$14="Yes")*(41&gt;=Projects!$C$10:$C$14)*(41&lt;Projects!$C$10:$C$14+Projects!$D$10:$D$14)*Projects!$B$10:$B$14*Assumptions!$B$11/Projects!$D$10:$D$14*0.95)+SUMPRODUCT((Projects!$G$10:$G$14="Yes")*(41=Projects!$C$10:$C$14+Projects!$D$10:$D$14-1)*Projects!$B$10:$B$14*Assumptions!$B$11*0.05)+SUMPRODUCT((Projects!$G$17:$G$46="Yes")*(41&gt;=Projects!$C$17:$C$46)*(41&lt;Projects!$C$17:$C$46+Projects!$D$17:$D$46)*Projects!$B$17:$B$46*(ROW(Projects!$B$17:$B$46)&lt;&gt;21)*Assumptions!$B$11/Projects!$D$17:$D$46*0.95)+SUMPRODUCT((Projects!$G$17:$G$46="Yes")*(41=Projects!$C$17:$C$46+Projects!$D$17:$D$46-1)*Projects!$B$17:$B$46*(ROW(Projects!$B$17:$B$46)&lt;&gt;21)*Assumptions!$B$11*0.05)+0+IF(AND(Projects!$G$21="Yes",41&gt;=Projects!$C$21,41&lt;Projects!$C$21+Projects!$D$21),(Projects!$O$21)/Projects!$D$21*0.95,0)+IF(AND(Projects!$G$21="Yes",41=Projects!$C$21+Projects!$D$21-1),(Projects!$O$21)*0.05,0),Actuals!AT10)</f>
        <v>192640.716531055</v>
      </c>
      <c r="AT11" s="13" t="n">
        <f aca="false">IF(ISBLANK(Actuals!AU10),0+SUMPRODUCT((Projects!$G$10:$G$14="Yes")*(42&gt;=Projects!$C$10:$C$14)*(42&lt;Projects!$C$10:$C$14+Projects!$D$10:$D$14)*Projects!$B$10:$B$14*Assumptions!$B$11/Projects!$D$10:$D$14*0.95)+SUMPRODUCT((Projects!$G$10:$G$14="Yes")*(42=Projects!$C$10:$C$14+Projects!$D$10:$D$14-1)*Projects!$B$10:$B$14*Assumptions!$B$11*0.05)+SUMPRODUCT((Projects!$G$17:$G$46="Yes")*(42&gt;=Projects!$C$17:$C$46)*(42&lt;Projects!$C$17:$C$46+Projects!$D$17:$D$46)*Projects!$B$17:$B$46*(ROW(Projects!$B$17:$B$46)&lt;&gt;21)*Assumptions!$B$11/Projects!$D$17:$D$46*0.95)+SUMPRODUCT((Projects!$G$17:$G$46="Yes")*(42=Projects!$C$17:$C$46+Projects!$D$17:$D$46-1)*Projects!$B$17:$B$46*(ROW(Projects!$B$17:$B$46)&lt;&gt;21)*Assumptions!$B$11*0.05)+0+IF(AND(Projects!$G$21="Yes",42&gt;=Projects!$C$21,42&lt;Projects!$C$21+Projects!$D$21),(Projects!$O$21)/Projects!$D$21*0.95,0)+IF(AND(Projects!$G$21="Yes",42=Projects!$C$21+Projects!$D$21-1),(Projects!$O$21)*0.05,0),Actuals!AU10)</f>
        <v>257203.644161339</v>
      </c>
      <c r="AU11" s="13" t="n">
        <f aca="false">IF(ISBLANK(Actuals!AV10),0+SUMPRODUCT((Projects!$G$10:$G$14="Yes")*(43&gt;=Projects!$C$10:$C$14)*(43&lt;Projects!$C$10:$C$14+Projects!$D$10:$D$14)*Projects!$B$10:$B$14*Assumptions!$B$11/Projects!$D$10:$D$14*0.95)+SUMPRODUCT((Projects!$G$10:$G$14="Yes")*(43=Projects!$C$10:$C$14+Projects!$D$10:$D$14-1)*Projects!$B$10:$B$14*Assumptions!$B$11*0.05)+SUMPRODUCT((Projects!$G$17:$G$46="Yes")*(43&gt;=Projects!$C$17:$C$46)*(43&lt;Projects!$C$17:$C$46+Projects!$D$17:$D$46)*Projects!$B$17:$B$46*(ROW(Projects!$B$17:$B$46)&lt;&gt;21)*Assumptions!$B$11/Projects!$D$17:$D$46*0.95)+SUMPRODUCT((Projects!$G$17:$G$46="Yes")*(43=Projects!$C$17:$C$46+Projects!$D$17:$D$46-1)*Projects!$B$17:$B$46*(ROW(Projects!$B$17:$B$46)&lt;&gt;21)*Assumptions!$B$11*0.05)+0+IF(AND(Projects!$G$21="Yes",43&gt;=Projects!$C$21,43&lt;Projects!$C$21+Projects!$D$21),(Projects!$O$21)/Projects!$D$21*0.95,0)+IF(AND(Projects!$G$21="Yes",43=Projects!$C$21+Projects!$D$21-1),(Projects!$O$21)*0.05,0),Actuals!AV10)</f>
        <v>141528.398823747</v>
      </c>
      <c r="AV11" s="13" t="n">
        <f aca="false">IF(ISBLANK(Actuals!AW10),0+SUMPRODUCT((Projects!$G$10:$G$14="Yes")*(44&gt;=Projects!$C$10:$C$14)*(44&lt;Projects!$C$10:$C$14+Projects!$D$10:$D$14)*Projects!$B$10:$B$14*Assumptions!$B$11/Projects!$D$10:$D$14*0.95)+SUMPRODUCT((Projects!$G$10:$G$14="Yes")*(44=Projects!$C$10:$C$14+Projects!$D$10:$D$14-1)*Projects!$B$10:$B$14*Assumptions!$B$11*0.05)+SUMPRODUCT((Projects!$G$17:$G$46="Yes")*(44&gt;=Projects!$C$17:$C$46)*(44&lt;Projects!$C$17:$C$46+Projects!$D$17:$D$46)*Projects!$B$17:$B$46*(ROW(Projects!$B$17:$B$46)&lt;&gt;21)*Assumptions!$B$11/Projects!$D$17:$D$46*0.95)+SUMPRODUCT((Projects!$G$17:$G$46="Yes")*(44=Projects!$C$17:$C$46+Projects!$D$17:$D$46-1)*Projects!$B$17:$B$46*(ROW(Projects!$B$17:$B$46)&lt;&gt;21)*Assumptions!$B$11*0.05)+0+IF(AND(Projects!$G$21="Yes",44&gt;=Projects!$C$21,44&lt;Projects!$C$21+Projects!$D$21),(Projects!$O$21)/Projects!$D$21*0.95,0)+IF(AND(Projects!$G$21="Yes",44=Projects!$C$21+Projects!$D$21-1),(Projects!$O$21)*0.05,0),Actuals!AW10)</f>
        <v>258307.612069747</v>
      </c>
      <c r="AW11" s="13" t="n">
        <f aca="false">IF(ISBLANK(Actuals!AX10),0+SUMPRODUCT((Projects!$G$10:$G$14="Yes")*(45&gt;=Projects!$C$10:$C$14)*(45&lt;Projects!$C$10:$C$14+Projects!$D$10:$D$14)*Projects!$B$10:$B$14*Assumptions!$B$11/Projects!$D$10:$D$14*0.95)+SUMPRODUCT((Projects!$G$10:$G$14="Yes")*(45=Projects!$C$10:$C$14+Projects!$D$10:$D$14-1)*Projects!$B$10:$B$14*Assumptions!$B$11*0.05)+SUMPRODUCT((Projects!$G$17:$G$46="Yes")*(45&gt;=Projects!$C$17:$C$46)*(45&lt;Projects!$C$17:$C$46+Projects!$D$17:$D$46)*Projects!$B$17:$B$46*(ROW(Projects!$B$17:$B$46)&lt;&gt;21)*Assumptions!$B$11/Projects!$D$17:$D$46*0.95)+SUMPRODUCT((Projects!$G$17:$G$46="Yes")*(45=Projects!$C$17:$C$46+Projects!$D$17:$D$46-1)*Projects!$B$17:$B$46*(ROW(Projects!$B$17:$B$46)&lt;&gt;21)*Assumptions!$B$11*0.05)+0+IF(AND(Projects!$G$21="Yes",45&gt;=Projects!$C$21,45&lt;Projects!$C$21+Projects!$D$21),(Projects!$O$21)/Projects!$D$21*0.95,0)+IF(AND(Projects!$G$21="Yes",45=Projects!$C$21+Projects!$D$21-1),(Projects!$O$21)*0.05,0),Actuals!AX10)</f>
        <v>67568.2304346134</v>
      </c>
      <c r="AX11" s="13" t="n">
        <f aca="false">IF(ISBLANK(Actuals!AY10),0+SUMPRODUCT((Projects!$G$10:$G$14="Yes")*(46&gt;=Projects!$C$10:$C$14)*(46&lt;Projects!$C$10:$C$14+Projects!$D$10:$D$14)*Projects!$B$10:$B$14*Assumptions!$B$11/Projects!$D$10:$D$14*0.95)+SUMPRODUCT((Projects!$G$10:$G$14="Yes")*(46=Projects!$C$10:$C$14+Projects!$D$10:$D$14-1)*Projects!$B$10:$B$14*Assumptions!$B$11*0.05)+SUMPRODUCT((Projects!$G$17:$G$46="Yes")*(46&gt;=Projects!$C$17:$C$46)*(46&lt;Projects!$C$17:$C$46+Projects!$D$17:$D$46)*Projects!$B$17:$B$46*(ROW(Projects!$B$17:$B$46)&lt;&gt;21)*Assumptions!$B$11/Projects!$D$17:$D$46*0.95)+SUMPRODUCT((Projects!$G$17:$G$46="Yes")*(46=Projects!$C$17:$C$46+Projects!$D$17:$D$46-1)*Projects!$B$17:$B$46*(ROW(Projects!$B$17:$B$46)&lt;&gt;21)*Assumptions!$B$11*0.05)+0+IF(AND(Projects!$G$21="Yes",46&gt;=Projects!$C$21,46&lt;Projects!$C$21+Projects!$D$21),(Projects!$O$21)/Projects!$D$21*0.95,0)+IF(AND(Projects!$G$21="Yes",46=Projects!$C$21+Projects!$D$21-1),(Projects!$O$21)*0.05,0),Actuals!AY10)</f>
        <v>67568.2304346134</v>
      </c>
      <c r="AY11" s="13" t="n">
        <f aca="false">IF(ISBLANK(Actuals!AZ10),0+SUMPRODUCT((Projects!$G$10:$G$14="Yes")*(47&gt;=Projects!$C$10:$C$14)*(47&lt;Projects!$C$10:$C$14+Projects!$D$10:$D$14)*Projects!$B$10:$B$14*Assumptions!$B$11/Projects!$D$10:$D$14*0.95)+SUMPRODUCT((Projects!$G$10:$G$14="Yes")*(47=Projects!$C$10:$C$14+Projects!$D$10:$D$14-1)*Projects!$B$10:$B$14*Assumptions!$B$11*0.05)+SUMPRODUCT((Projects!$G$17:$G$46="Yes")*(47&gt;=Projects!$C$17:$C$46)*(47&lt;Projects!$C$17:$C$46+Projects!$D$17:$D$46)*Projects!$B$17:$B$46*(ROW(Projects!$B$17:$B$46)&lt;&gt;21)*Assumptions!$B$11/Projects!$D$17:$D$46*0.95)+SUMPRODUCT((Projects!$G$17:$G$46="Yes")*(47=Projects!$C$17:$C$46+Projects!$D$17:$D$46-1)*Projects!$B$17:$B$46*(ROW(Projects!$B$17:$B$46)&lt;&gt;21)*Assumptions!$B$11*0.05)+0+IF(AND(Projects!$G$21="Yes",47&gt;=Projects!$C$21,47&lt;Projects!$C$21+Projects!$D$21),(Projects!$O$21)/Projects!$D$21*0.95,0)+IF(AND(Projects!$G$21="Yes",47=Projects!$C$21+Projects!$D$21-1),(Projects!$O$21)*0.05,0),Actuals!AZ10)</f>
        <v>67568.2304346134</v>
      </c>
      <c r="AZ11" s="13" t="n">
        <f aca="false">IF(ISBLANK(Actuals!BA10),0+SUMPRODUCT((Projects!$G$10:$G$14="Yes")*(48&gt;=Projects!$C$10:$C$14)*(48&lt;Projects!$C$10:$C$14+Projects!$D$10:$D$14)*Projects!$B$10:$B$14*Assumptions!$B$11/Projects!$D$10:$D$14*0.95)+SUMPRODUCT((Projects!$G$10:$G$14="Yes")*(48=Projects!$C$10:$C$14+Projects!$D$10:$D$14-1)*Projects!$B$10:$B$14*Assumptions!$B$11*0.05)+SUMPRODUCT((Projects!$G$17:$G$46="Yes")*(48&gt;=Projects!$C$17:$C$46)*(48&lt;Projects!$C$17:$C$46+Projects!$D$17:$D$46)*Projects!$B$17:$B$46*(ROW(Projects!$B$17:$B$46)&lt;&gt;21)*Assumptions!$B$11/Projects!$D$17:$D$46*0.95)+SUMPRODUCT((Projects!$G$17:$G$46="Yes")*(48=Projects!$C$17:$C$46+Projects!$D$17:$D$46-1)*Projects!$B$17:$B$46*(ROW(Projects!$B$17:$B$46)&lt;&gt;21)*Assumptions!$B$11*0.05)+0+IF(AND(Projects!$G$21="Yes",48&gt;=Projects!$C$21,48&lt;Projects!$C$21+Projects!$D$21),(Projects!$O$21)/Projects!$D$21*0.95,0)+IF(AND(Projects!$G$21="Yes",48=Projects!$C$21+Projects!$D$21-1),(Projects!$O$21)*0.05,0),Actuals!BA10)</f>
        <v>67568.2304346134</v>
      </c>
      <c r="BA11" s="13" t="n">
        <f aca="false">IF(ISBLANK(Actuals!BB10),0+SUMPRODUCT((Projects!$G$10:$G$14="Yes")*(49&gt;=Projects!$C$10:$C$14)*(49&lt;Projects!$C$10:$C$14+Projects!$D$10:$D$14)*Projects!$B$10:$B$14*Assumptions!$B$11/Projects!$D$10:$D$14*0.95)+SUMPRODUCT((Projects!$G$10:$G$14="Yes")*(49=Projects!$C$10:$C$14+Projects!$D$10:$D$14-1)*Projects!$B$10:$B$14*Assumptions!$B$11*0.05)+SUMPRODUCT((Projects!$G$17:$G$46="Yes")*(49&gt;=Projects!$C$17:$C$46)*(49&lt;Projects!$C$17:$C$46+Projects!$D$17:$D$46)*Projects!$B$17:$B$46*(ROW(Projects!$B$17:$B$46)&lt;&gt;21)*Assumptions!$B$11/Projects!$D$17:$D$46*0.95)+SUMPRODUCT((Projects!$G$17:$G$46="Yes")*(49=Projects!$C$17:$C$46+Projects!$D$17:$D$46-1)*Projects!$B$17:$B$46*(ROW(Projects!$B$17:$B$46)&lt;&gt;21)*Assumptions!$B$11*0.05)+0+IF(AND(Projects!$G$21="Yes",49&gt;=Projects!$C$21,49&lt;Projects!$C$21+Projects!$D$21),(Projects!$O$21)/Projects!$D$21*0.95,0)+IF(AND(Projects!$G$21="Yes",49=Projects!$C$21+Projects!$D$21-1),(Projects!$O$21)*0.05,0),Actuals!BB10)</f>
        <v>67568.2304346134</v>
      </c>
      <c r="BB11" s="13" t="n">
        <f aca="false">IF(ISBLANK(Actuals!BC10),0+SUMPRODUCT((Projects!$G$10:$G$14="Yes")*(50&gt;=Projects!$C$10:$C$14)*(50&lt;Projects!$C$10:$C$14+Projects!$D$10:$D$14)*Projects!$B$10:$B$14*Assumptions!$B$11/Projects!$D$10:$D$14*0.95)+SUMPRODUCT((Projects!$G$10:$G$14="Yes")*(50=Projects!$C$10:$C$14+Projects!$D$10:$D$14-1)*Projects!$B$10:$B$14*Assumptions!$B$11*0.05)+SUMPRODUCT((Projects!$G$17:$G$46="Yes")*(50&gt;=Projects!$C$17:$C$46)*(50&lt;Projects!$C$17:$C$46+Projects!$D$17:$D$46)*Projects!$B$17:$B$46*(ROW(Projects!$B$17:$B$46)&lt;&gt;21)*Assumptions!$B$11/Projects!$D$17:$D$46*0.95)+SUMPRODUCT((Projects!$G$17:$G$46="Yes")*(50=Projects!$C$17:$C$46+Projects!$D$17:$D$46-1)*Projects!$B$17:$B$46*(ROW(Projects!$B$17:$B$46)&lt;&gt;21)*Assumptions!$B$11*0.05)+0+IF(AND(Projects!$G$21="Yes",50&gt;=Projects!$C$21,50&lt;Projects!$C$21+Projects!$D$21),(Projects!$O$21)/Projects!$D$21*0.95,0)+IF(AND(Projects!$G$21="Yes",50=Projects!$C$21+Projects!$D$21-1),(Projects!$O$21)*0.05,0),Actuals!BC10)</f>
        <v>67568.2304346134</v>
      </c>
      <c r="BC11" s="13" t="n">
        <f aca="false">IF(ISBLANK(Actuals!BD10),0+SUMPRODUCT((Projects!$G$10:$G$14="Yes")*(51&gt;=Projects!$C$10:$C$14)*(51&lt;Projects!$C$10:$C$14+Projects!$D$10:$D$14)*Projects!$B$10:$B$14*Assumptions!$B$11/Projects!$D$10:$D$14*0.95)+SUMPRODUCT((Projects!$G$10:$G$14="Yes")*(51=Projects!$C$10:$C$14+Projects!$D$10:$D$14-1)*Projects!$B$10:$B$14*Assumptions!$B$11*0.05)+SUMPRODUCT((Projects!$G$17:$G$46="Yes")*(51&gt;=Projects!$C$17:$C$46)*(51&lt;Projects!$C$17:$C$46+Projects!$D$17:$D$46)*Projects!$B$17:$B$46*(ROW(Projects!$B$17:$B$46)&lt;&gt;21)*Assumptions!$B$11/Projects!$D$17:$D$46*0.95)+SUMPRODUCT((Projects!$G$17:$G$46="Yes")*(51=Projects!$C$17:$C$46+Projects!$D$17:$D$46-1)*Projects!$B$17:$B$46*(ROW(Projects!$B$17:$B$46)&lt;&gt;21)*Assumptions!$B$11*0.05)+0+IF(AND(Projects!$G$21="Yes",51&gt;=Projects!$C$21,51&lt;Projects!$C$21+Projects!$D$21),(Projects!$O$21)/Projects!$D$21*0.95,0)+IF(AND(Projects!$G$21="Yes",51=Projects!$C$21+Projects!$D$21-1),(Projects!$O$21)*0.05,0),Actuals!BD10)</f>
        <v>67568.2304346134</v>
      </c>
      <c r="BD11" s="13" t="n">
        <f aca="false">IF(ISBLANK(Actuals!BE10),0+SUMPRODUCT((Projects!$G$10:$G$14="Yes")*(52&gt;=Projects!$C$10:$C$14)*(52&lt;Projects!$C$10:$C$14+Projects!$D$10:$D$14)*Projects!$B$10:$B$14*Assumptions!$B$11/Projects!$D$10:$D$14*0.95)+SUMPRODUCT((Projects!$G$10:$G$14="Yes")*(52=Projects!$C$10:$C$14+Projects!$D$10:$D$14-1)*Projects!$B$10:$B$14*Assumptions!$B$11*0.05)+SUMPRODUCT((Projects!$G$17:$G$46="Yes")*(52&gt;=Projects!$C$17:$C$46)*(52&lt;Projects!$C$17:$C$46+Projects!$D$17:$D$46)*Projects!$B$17:$B$46*(ROW(Projects!$B$17:$B$46)&lt;&gt;21)*Assumptions!$B$11/Projects!$D$17:$D$46*0.95)+SUMPRODUCT((Projects!$G$17:$G$46="Yes")*(52=Projects!$C$17:$C$46+Projects!$D$17:$D$46-1)*Projects!$B$17:$B$46*(ROW(Projects!$B$17:$B$46)&lt;&gt;21)*Assumptions!$B$11*0.05)+0+IF(AND(Projects!$G$21="Yes",52&gt;=Projects!$C$21,52&lt;Projects!$C$21+Projects!$D$21),(Projects!$O$21)/Projects!$D$21*0.95,0)+IF(AND(Projects!$G$21="Yes",52=Projects!$C$21+Projects!$D$21-1),(Projects!$O$21)*0.05,0),Actuals!BE10)</f>
        <v>67568.2304346134</v>
      </c>
      <c r="BE11" s="13" t="n">
        <f aca="false">IF(ISBLANK(Actuals!BF10),0+SUMPRODUCT((Projects!$G$10:$G$14="Yes")*(53&gt;=Projects!$C$10:$C$14)*(53&lt;Projects!$C$10:$C$14+Projects!$D$10:$D$14)*Projects!$B$10:$B$14*Assumptions!$B$11/Projects!$D$10:$D$14*0.95)+SUMPRODUCT((Projects!$G$10:$G$14="Yes")*(53=Projects!$C$10:$C$14+Projects!$D$10:$D$14-1)*Projects!$B$10:$B$14*Assumptions!$B$11*0.05)+SUMPRODUCT((Projects!$G$17:$G$46="Yes")*(53&gt;=Projects!$C$17:$C$46)*(53&lt;Projects!$C$17:$C$46+Projects!$D$17:$D$46)*Projects!$B$17:$B$46*(ROW(Projects!$B$17:$B$46)&lt;&gt;21)*Assumptions!$B$11/Projects!$D$17:$D$46*0.95)+SUMPRODUCT((Projects!$G$17:$G$46="Yes")*(53=Projects!$C$17:$C$46+Projects!$D$17:$D$46-1)*Projects!$B$17:$B$46*(ROW(Projects!$B$17:$B$46)&lt;&gt;21)*Assumptions!$B$11*0.05)+0+IF(AND(Projects!$G$21="Yes",53&gt;=Projects!$C$21,53&lt;Projects!$C$21+Projects!$D$21),(Projects!$O$21)/Projects!$D$21*0.95,0)+IF(AND(Projects!$G$21="Yes",53=Projects!$C$21+Projects!$D$21-1),(Projects!$O$21)*0.05,0),Actuals!BF10)</f>
        <v>67568.2304346134</v>
      </c>
      <c r="BF11" s="13" t="n">
        <f aca="false">IF(ISBLANK(Actuals!BG10),0+SUMPRODUCT((Projects!$G$10:$G$14="Yes")*(54&gt;=Projects!$C$10:$C$14)*(54&lt;Projects!$C$10:$C$14+Projects!$D$10:$D$14)*Projects!$B$10:$B$14*Assumptions!$B$11/Projects!$D$10:$D$14*0.95)+SUMPRODUCT((Projects!$G$10:$G$14="Yes")*(54=Projects!$C$10:$C$14+Projects!$D$10:$D$14-1)*Projects!$B$10:$B$14*Assumptions!$B$11*0.05)+SUMPRODUCT((Projects!$G$17:$G$46="Yes")*(54&gt;=Projects!$C$17:$C$46)*(54&lt;Projects!$C$17:$C$46+Projects!$D$17:$D$46)*Projects!$B$17:$B$46*(ROW(Projects!$B$17:$B$46)&lt;&gt;21)*Assumptions!$B$11/Projects!$D$17:$D$46*0.95)+SUMPRODUCT((Projects!$G$17:$G$46="Yes")*(54=Projects!$C$17:$C$46+Projects!$D$17:$D$46-1)*Projects!$B$17:$B$46*(ROW(Projects!$B$17:$B$46)&lt;&gt;21)*Assumptions!$B$11*0.05)+0+IF(AND(Projects!$G$21="Yes",54&gt;=Projects!$C$21,54&lt;Projects!$C$21+Projects!$D$21),(Projects!$O$21)/Projects!$D$21*0.95,0)+IF(AND(Projects!$G$21="Yes",54=Projects!$C$21+Projects!$D$21-1),(Projects!$O$21)*0.05,0),Actuals!BG10)</f>
        <v>67568.2304346134</v>
      </c>
      <c r="BG11" s="13" t="n">
        <f aca="false">IF(ISBLANK(Actuals!BH10),0+SUMPRODUCT((Projects!$G$10:$G$14="Yes")*(55&gt;=Projects!$C$10:$C$14)*(55&lt;Projects!$C$10:$C$14+Projects!$D$10:$D$14)*Projects!$B$10:$B$14*Assumptions!$B$11/Projects!$D$10:$D$14*0.95)+SUMPRODUCT((Projects!$G$10:$G$14="Yes")*(55=Projects!$C$10:$C$14+Projects!$D$10:$D$14-1)*Projects!$B$10:$B$14*Assumptions!$B$11*0.05)+SUMPRODUCT((Projects!$G$17:$G$46="Yes")*(55&gt;=Projects!$C$17:$C$46)*(55&lt;Projects!$C$17:$C$46+Projects!$D$17:$D$46)*Projects!$B$17:$B$46*(ROW(Projects!$B$17:$B$46)&lt;&gt;21)*Assumptions!$B$11/Projects!$D$17:$D$46*0.95)+SUMPRODUCT((Projects!$G$17:$G$46="Yes")*(55=Projects!$C$17:$C$46+Projects!$D$17:$D$46-1)*Projects!$B$17:$B$46*(ROW(Projects!$B$17:$B$46)&lt;&gt;21)*Assumptions!$B$11*0.05)+0+IF(AND(Projects!$G$21="Yes",55&gt;=Projects!$C$21,55&lt;Projects!$C$21+Projects!$D$21),(Projects!$O$21)/Projects!$D$21*0.95,0)+IF(AND(Projects!$G$21="Yes",55=Projects!$C$21+Projects!$D$21-1),(Projects!$O$21)*0.05,0),Actuals!BH10)</f>
        <v>67568.2304346134</v>
      </c>
      <c r="BH11" s="13" t="n">
        <f aca="false">IF(ISBLANK(Actuals!BI10),0+SUMPRODUCT((Projects!$G$10:$G$14="Yes")*(56&gt;=Projects!$C$10:$C$14)*(56&lt;Projects!$C$10:$C$14+Projects!$D$10:$D$14)*Projects!$B$10:$B$14*Assumptions!$B$11/Projects!$D$10:$D$14*0.95)+SUMPRODUCT((Projects!$G$10:$G$14="Yes")*(56=Projects!$C$10:$C$14+Projects!$D$10:$D$14-1)*Projects!$B$10:$B$14*Assumptions!$B$11*0.05)+SUMPRODUCT((Projects!$G$17:$G$46="Yes")*(56&gt;=Projects!$C$17:$C$46)*(56&lt;Projects!$C$17:$C$46+Projects!$D$17:$D$46)*Projects!$B$17:$B$46*(ROW(Projects!$B$17:$B$46)&lt;&gt;21)*Assumptions!$B$11/Projects!$D$17:$D$46*0.95)+SUMPRODUCT((Projects!$G$17:$G$46="Yes")*(56=Projects!$C$17:$C$46+Projects!$D$17:$D$46-1)*Projects!$B$17:$B$46*(ROW(Projects!$B$17:$B$46)&lt;&gt;21)*Assumptions!$B$11*0.05)+0+IF(AND(Projects!$G$21="Yes",56&gt;=Projects!$C$21,56&lt;Projects!$C$21+Projects!$D$21),(Projects!$O$21)/Projects!$D$21*0.95,0)+IF(AND(Projects!$G$21="Yes",56=Projects!$C$21+Projects!$D$21-1),(Projects!$O$21)*0.05,0),Actuals!BI10)</f>
        <v>174254.910068213</v>
      </c>
      <c r="BI11" s="13" t="n">
        <f aca="false">IF(ISBLANK(Actuals!BJ10),0+SUMPRODUCT((Projects!$G$10:$G$14="Yes")*(57&gt;=Projects!$C$10:$C$14)*(57&lt;Projects!$C$10:$C$14+Projects!$D$10:$D$14)*Projects!$B$10:$B$14*Assumptions!$B$11/Projects!$D$10:$D$14*0.95)+SUMPRODUCT((Projects!$G$10:$G$14="Yes")*(57=Projects!$C$10:$C$14+Projects!$D$10:$D$14-1)*Projects!$B$10:$B$14*Assumptions!$B$11*0.05)+SUMPRODUCT((Projects!$G$17:$G$46="Yes")*(57&gt;=Projects!$C$17:$C$46)*(57&lt;Projects!$C$17:$C$46+Projects!$D$17:$D$46)*Projects!$B$17:$B$46*(ROW(Projects!$B$17:$B$46)&lt;&gt;21)*Assumptions!$B$11/Projects!$D$17:$D$46*0.95)+SUMPRODUCT((Projects!$G$17:$G$46="Yes")*(57=Projects!$C$17:$C$46+Projects!$D$17:$D$46-1)*Projects!$B$17:$B$46*(ROW(Projects!$B$17:$B$46)&lt;&gt;21)*Assumptions!$B$11*0.05)+0+IF(AND(Projects!$G$21="Yes",57&gt;=Projects!$C$21,57&lt;Projects!$C$21+Projects!$D$21),(Projects!$O$21)/Projects!$D$21*0.95,0)+IF(AND(Projects!$G$21="Yes",57=Projects!$C$21+Projects!$D$21-1),(Projects!$O$21)*0.05,0),Actuals!BJ10)</f>
        <v>0</v>
      </c>
      <c r="BJ11" s="13" t="n">
        <f aca="false">IF(ISBLANK(Actuals!BK10),0+SUMPRODUCT((Projects!$G$10:$G$14="Yes")*(58&gt;=Projects!$C$10:$C$14)*(58&lt;Projects!$C$10:$C$14+Projects!$D$10:$D$14)*Projects!$B$10:$B$14*Assumptions!$B$11/Projects!$D$10:$D$14*0.95)+SUMPRODUCT((Projects!$G$10:$G$14="Yes")*(58=Projects!$C$10:$C$14+Projects!$D$10:$D$14-1)*Projects!$B$10:$B$14*Assumptions!$B$11*0.05)+SUMPRODUCT((Projects!$G$17:$G$46="Yes")*(58&gt;=Projects!$C$17:$C$46)*(58&lt;Projects!$C$17:$C$46+Projects!$D$17:$D$46)*Projects!$B$17:$B$46*(ROW(Projects!$B$17:$B$46)&lt;&gt;21)*Assumptions!$B$11/Projects!$D$17:$D$46*0.95)+SUMPRODUCT((Projects!$G$17:$G$46="Yes")*(58=Projects!$C$17:$C$46+Projects!$D$17:$D$46-1)*Projects!$B$17:$B$46*(ROW(Projects!$B$17:$B$46)&lt;&gt;21)*Assumptions!$B$11*0.05)+0+IF(AND(Projects!$G$21="Yes",58&gt;=Projects!$C$21,58&lt;Projects!$C$21+Projects!$D$21),(Projects!$O$21)/Projects!$D$21*0.95,0)+IF(AND(Projects!$G$21="Yes",58=Projects!$C$21+Projects!$D$21-1),(Projects!$O$21)*0.05,0),Actuals!BK10)</f>
        <v>0</v>
      </c>
      <c r="BK11" s="13" t="n">
        <f aca="false">IF(ISBLANK(Actuals!BL10),0+SUMPRODUCT((Projects!$G$10:$G$14="Yes")*(59&gt;=Projects!$C$10:$C$14)*(59&lt;Projects!$C$10:$C$14+Projects!$D$10:$D$14)*Projects!$B$10:$B$14*Assumptions!$B$11/Projects!$D$10:$D$14*0.95)+SUMPRODUCT((Projects!$G$10:$G$14="Yes")*(59=Projects!$C$10:$C$14+Projects!$D$10:$D$14-1)*Projects!$B$10:$B$14*Assumptions!$B$11*0.05)+SUMPRODUCT((Projects!$G$17:$G$46="Yes")*(59&gt;=Projects!$C$17:$C$46)*(59&lt;Projects!$C$17:$C$46+Projects!$D$17:$D$46)*Projects!$B$17:$B$46*(ROW(Projects!$B$17:$B$46)&lt;&gt;21)*Assumptions!$B$11/Projects!$D$17:$D$46*0.95)+SUMPRODUCT((Projects!$G$17:$G$46="Yes")*(59=Projects!$C$17:$C$46+Projects!$D$17:$D$46-1)*Projects!$B$17:$B$46*(ROW(Projects!$B$17:$B$46)&lt;&gt;21)*Assumptions!$B$11*0.05)+0+IF(AND(Projects!$G$21="Yes",59&gt;=Projects!$C$21,59&lt;Projects!$C$21+Projects!$D$21),(Projects!$O$21)/Projects!$D$21*0.95,0)+IF(AND(Projects!$G$21="Yes",59=Projects!$C$21+Projects!$D$21-1),(Projects!$O$21)*0.05,0),Actuals!BL10)</f>
        <v>0</v>
      </c>
      <c r="BL11" s="13" t="n">
        <f aca="false">IF(ISBLANK(Actuals!BM10),0+SUMPRODUCT((Projects!$G$10:$G$14="Yes")*(60&gt;=Projects!$C$10:$C$14)*(60&lt;Projects!$C$10:$C$14+Projects!$D$10:$D$14)*Projects!$B$10:$B$14*Assumptions!$B$11/Projects!$D$10:$D$14*0.95)+SUMPRODUCT((Projects!$G$10:$G$14="Yes")*(60=Projects!$C$10:$C$14+Projects!$D$10:$D$14-1)*Projects!$B$10:$B$14*Assumptions!$B$11*0.05)+SUMPRODUCT((Projects!$G$17:$G$46="Yes")*(60&gt;=Projects!$C$17:$C$46)*(60&lt;Projects!$C$17:$C$46+Projects!$D$17:$D$46)*Projects!$B$17:$B$46*(ROW(Projects!$B$17:$B$46)&lt;&gt;21)*Assumptions!$B$11/Projects!$D$17:$D$46*0.95)+SUMPRODUCT((Projects!$G$17:$G$46="Yes")*(60=Projects!$C$17:$C$46+Projects!$D$17:$D$46-1)*Projects!$B$17:$B$46*(ROW(Projects!$B$17:$B$46)&lt;&gt;21)*Assumptions!$B$11*0.05)+0+IF(AND(Projects!$G$21="Yes",60&gt;=Projects!$C$21,60&lt;Projects!$C$21+Projects!$D$21),(Projects!$O$21)/Projects!$D$21*0.95,0)+IF(AND(Projects!$G$21="Yes",60=Projects!$C$21+Projects!$D$21-1),(Projects!$O$21)*0.05,0),Actuals!BM10)</f>
        <v>0</v>
      </c>
      <c r="BM11" s="13" t="n">
        <f aca="false">IF(ISBLANK(Actuals!BN10),0+SUMPRODUCT((Projects!$G$10:$G$14="Yes")*(61&gt;=Projects!$C$10:$C$14)*(61&lt;Projects!$C$10:$C$14+Projects!$D$10:$D$14)*Projects!$B$10:$B$14*Assumptions!$B$11/Projects!$D$10:$D$14*0.95)+SUMPRODUCT((Projects!$G$10:$G$14="Yes")*(61=Projects!$C$10:$C$14+Projects!$D$10:$D$14-1)*Projects!$B$10:$B$14*Assumptions!$B$11*0.05)+SUMPRODUCT((Projects!$G$17:$G$46="Yes")*(61&gt;=Projects!$C$17:$C$46)*(61&lt;Projects!$C$17:$C$46+Projects!$D$17:$D$46)*Projects!$B$17:$B$46*(ROW(Projects!$B$17:$B$46)&lt;&gt;21)*Assumptions!$B$11/Projects!$D$17:$D$46*0.95)+SUMPRODUCT((Projects!$G$17:$G$46="Yes")*(61=Projects!$C$17:$C$46+Projects!$D$17:$D$46-1)*Projects!$B$17:$B$46*(ROW(Projects!$B$17:$B$46)&lt;&gt;21)*Assumptions!$B$11*0.05)+0+IF(AND(Projects!$G$21="Yes",61&gt;=Projects!$C$21,61&lt;Projects!$C$21+Projects!$D$21),(Projects!$O$21)/Projects!$D$21*0.95,0)+IF(AND(Projects!$G$21="Yes",61=Projects!$C$21+Projects!$D$21-1),(Projects!$O$21)*0.05,0),Actuals!BN10)</f>
        <v>0</v>
      </c>
      <c r="BN11" s="13" t="n">
        <f aca="false">IF(ISBLANK(Actuals!BO10),0+SUMPRODUCT((Projects!$G$10:$G$14="Yes")*(62&gt;=Projects!$C$10:$C$14)*(62&lt;Projects!$C$10:$C$14+Projects!$D$10:$D$14)*Projects!$B$10:$B$14*Assumptions!$B$11/Projects!$D$10:$D$14*0.95)+SUMPRODUCT((Projects!$G$10:$G$14="Yes")*(62=Projects!$C$10:$C$14+Projects!$D$10:$D$14-1)*Projects!$B$10:$B$14*Assumptions!$B$11*0.05)+SUMPRODUCT((Projects!$G$17:$G$46="Yes")*(62&gt;=Projects!$C$17:$C$46)*(62&lt;Projects!$C$17:$C$46+Projects!$D$17:$D$46)*Projects!$B$17:$B$46*(ROW(Projects!$B$17:$B$46)&lt;&gt;21)*Assumptions!$B$11/Projects!$D$17:$D$46*0.95)+SUMPRODUCT((Projects!$G$17:$G$46="Yes")*(62=Projects!$C$17:$C$46+Projects!$D$17:$D$46-1)*Projects!$B$17:$B$46*(ROW(Projects!$B$17:$B$46)&lt;&gt;21)*Assumptions!$B$11*0.05)+0+IF(AND(Projects!$G$21="Yes",62&gt;=Projects!$C$21,62&lt;Projects!$C$21+Projects!$D$21),(Projects!$O$21)/Projects!$D$21*0.95,0)+IF(AND(Projects!$G$21="Yes",62=Projects!$C$21+Projects!$D$21-1),(Projects!$O$21)*0.05,0),Actuals!BO10)</f>
        <v>0</v>
      </c>
      <c r="BO11" s="13" t="n">
        <f aca="false">IF(ISBLANK(Actuals!BP10),0+SUMPRODUCT((Projects!$G$10:$G$14="Yes")*(63&gt;=Projects!$C$10:$C$14)*(63&lt;Projects!$C$10:$C$14+Projects!$D$10:$D$14)*Projects!$B$10:$B$14*Assumptions!$B$11/Projects!$D$10:$D$14*0.95)+SUMPRODUCT((Projects!$G$10:$G$14="Yes")*(63=Projects!$C$10:$C$14+Projects!$D$10:$D$14-1)*Projects!$B$10:$B$14*Assumptions!$B$11*0.05)+SUMPRODUCT((Projects!$G$17:$G$46="Yes")*(63&gt;=Projects!$C$17:$C$46)*(63&lt;Projects!$C$17:$C$46+Projects!$D$17:$D$46)*Projects!$B$17:$B$46*(ROW(Projects!$B$17:$B$46)&lt;&gt;21)*Assumptions!$B$11/Projects!$D$17:$D$46*0.95)+SUMPRODUCT((Projects!$G$17:$G$46="Yes")*(63=Projects!$C$17:$C$46+Projects!$D$17:$D$46-1)*Projects!$B$17:$B$46*(ROW(Projects!$B$17:$B$46)&lt;&gt;21)*Assumptions!$B$11*0.05)+0+IF(AND(Projects!$G$21="Yes",63&gt;=Projects!$C$21,63&lt;Projects!$C$21+Projects!$D$21),(Projects!$O$21)/Projects!$D$21*0.95,0)+IF(AND(Projects!$G$21="Yes",63=Projects!$C$21+Projects!$D$21-1),(Projects!$O$21)*0.05,0),Actuals!BP10)</f>
        <v>0</v>
      </c>
      <c r="BP11" s="13" t="n">
        <f aca="false">IF(ISBLANK(Actuals!BQ10),0+SUMPRODUCT((Projects!$G$10:$G$14="Yes")*(64&gt;=Projects!$C$10:$C$14)*(64&lt;Projects!$C$10:$C$14+Projects!$D$10:$D$14)*Projects!$B$10:$B$14*Assumptions!$B$11/Projects!$D$10:$D$14*0.95)+SUMPRODUCT((Projects!$G$10:$G$14="Yes")*(64=Projects!$C$10:$C$14+Projects!$D$10:$D$14-1)*Projects!$B$10:$B$14*Assumptions!$B$11*0.05)+SUMPRODUCT((Projects!$G$17:$G$46="Yes")*(64&gt;=Projects!$C$17:$C$46)*(64&lt;Projects!$C$17:$C$46+Projects!$D$17:$D$46)*Projects!$B$17:$B$46*(ROW(Projects!$B$17:$B$46)&lt;&gt;21)*Assumptions!$B$11/Projects!$D$17:$D$46*0.95)+SUMPRODUCT((Projects!$G$17:$G$46="Yes")*(64=Projects!$C$17:$C$46+Projects!$D$17:$D$46-1)*Projects!$B$17:$B$46*(ROW(Projects!$B$17:$B$46)&lt;&gt;21)*Assumptions!$B$11*0.05)+0+IF(AND(Projects!$G$21="Yes",64&gt;=Projects!$C$21,64&lt;Projects!$C$21+Projects!$D$21),(Projects!$O$21)/Projects!$D$21*0.95,0)+IF(AND(Projects!$G$21="Yes",64=Projects!$C$21+Projects!$D$21-1),(Projects!$O$21)*0.05,0),Actuals!BQ10)</f>
        <v>0</v>
      </c>
      <c r="BQ11" s="13" t="n">
        <f aca="false">IF(ISBLANK(Actuals!BR10),0+SUMPRODUCT((Projects!$G$10:$G$14="Yes")*(65&gt;=Projects!$C$10:$C$14)*(65&lt;Projects!$C$10:$C$14+Projects!$D$10:$D$14)*Projects!$B$10:$B$14*Assumptions!$B$11/Projects!$D$10:$D$14*0.95)+SUMPRODUCT((Projects!$G$10:$G$14="Yes")*(65=Projects!$C$10:$C$14+Projects!$D$10:$D$14-1)*Projects!$B$10:$B$14*Assumptions!$B$11*0.05)+SUMPRODUCT((Projects!$G$17:$G$46="Yes")*(65&gt;=Projects!$C$17:$C$46)*(65&lt;Projects!$C$17:$C$46+Projects!$D$17:$D$46)*Projects!$B$17:$B$46*(ROW(Projects!$B$17:$B$46)&lt;&gt;21)*Assumptions!$B$11/Projects!$D$17:$D$46*0.95)+SUMPRODUCT((Projects!$G$17:$G$46="Yes")*(65=Projects!$C$17:$C$46+Projects!$D$17:$D$46-1)*Projects!$B$17:$B$46*(ROW(Projects!$B$17:$B$46)&lt;&gt;21)*Assumptions!$B$11*0.05)+0+IF(AND(Projects!$G$21="Yes",65&gt;=Projects!$C$21,65&lt;Projects!$C$21+Projects!$D$21),(Projects!$O$21)/Projects!$D$21*0.95,0)+IF(AND(Projects!$G$21="Yes",65=Projects!$C$21+Projects!$D$21-1),(Projects!$O$21)*0.05,0),Actuals!BR10)</f>
        <v>0</v>
      </c>
      <c r="BR11" s="13" t="n">
        <f aca="false">IF(ISBLANK(Actuals!BS10),0+SUMPRODUCT((Projects!$G$10:$G$14="Yes")*(66&gt;=Projects!$C$10:$C$14)*(66&lt;Projects!$C$10:$C$14+Projects!$D$10:$D$14)*Projects!$B$10:$B$14*Assumptions!$B$11/Projects!$D$10:$D$14*0.95)+SUMPRODUCT((Projects!$G$10:$G$14="Yes")*(66=Projects!$C$10:$C$14+Projects!$D$10:$D$14-1)*Projects!$B$10:$B$14*Assumptions!$B$11*0.05)+SUMPRODUCT((Projects!$G$17:$G$46="Yes")*(66&gt;=Projects!$C$17:$C$46)*(66&lt;Projects!$C$17:$C$46+Projects!$D$17:$D$46)*Projects!$B$17:$B$46*(ROW(Projects!$B$17:$B$46)&lt;&gt;21)*Assumptions!$B$11/Projects!$D$17:$D$46*0.95)+SUMPRODUCT((Projects!$G$17:$G$46="Yes")*(66=Projects!$C$17:$C$46+Projects!$D$17:$D$46-1)*Projects!$B$17:$B$46*(ROW(Projects!$B$17:$B$46)&lt;&gt;21)*Assumptions!$B$11*0.05)+0+IF(AND(Projects!$G$21="Yes",66&gt;=Projects!$C$21,66&lt;Projects!$C$21+Projects!$D$21),(Projects!$O$21)/Projects!$D$21*0.95,0)+IF(AND(Projects!$G$21="Yes",66=Projects!$C$21+Projects!$D$21-1),(Projects!$O$21)*0.05,0),Actuals!BS10)</f>
        <v>0</v>
      </c>
      <c r="BS11" s="13" t="n">
        <f aca="false">IF(ISBLANK(Actuals!BT10),0+SUMPRODUCT((Projects!$G$10:$G$14="Yes")*(67&gt;=Projects!$C$10:$C$14)*(67&lt;Projects!$C$10:$C$14+Projects!$D$10:$D$14)*Projects!$B$10:$B$14*Assumptions!$B$11/Projects!$D$10:$D$14*0.95)+SUMPRODUCT((Projects!$G$10:$G$14="Yes")*(67=Projects!$C$10:$C$14+Projects!$D$10:$D$14-1)*Projects!$B$10:$B$14*Assumptions!$B$11*0.05)+SUMPRODUCT((Projects!$G$17:$G$46="Yes")*(67&gt;=Projects!$C$17:$C$46)*(67&lt;Projects!$C$17:$C$46+Projects!$D$17:$D$46)*Projects!$B$17:$B$46*(ROW(Projects!$B$17:$B$46)&lt;&gt;21)*Assumptions!$B$11/Projects!$D$17:$D$46*0.95)+SUMPRODUCT((Projects!$G$17:$G$46="Yes")*(67=Projects!$C$17:$C$46+Projects!$D$17:$D$46-1)*Projects!$B$17:$B$46*(ROW(Projects!$B$17:$B$46)&lt;&gt;21)*Assumptions!$B$11*0.05)+0+IF(AND(Projects!$G$21="Yes",67&gt;=Projects!$C$21,67&lt;Projects!$C$21+Projects!$D$21),(Projects!$O$21)/Projects!$D$21*0.95,0)+IF(AND(Projects!$G$21="Yes",67=Projects!$C$21+Projects!$D$21-1),(Projects!$O$21)*0.05,0),Actuals!BT10)</f>
        <v>0</v>
      </c>
      <c r="BT11" s="13" t="n">
        <f aca="false">IF(ISBLANK(Actuals!BU10),0+SUMPRODUCT((Projects!$G$10:$G$14="Yes")*(68&gt;=Projects!$C$10:$C$14)*(68&lt;Projects!$C$10:$C$14+Projects!$D$10:$D$14)*Projects!$B$10:$B$14*Assumptions!$B$11/Projects!$D$10:$D$14*0.95)+SUMPRODUCT((Projects!$G$10:$G$14="Yes")*(68=Projects!$C$10:$C$14+Projects!$D$10:$D$14-1)*Projects!$B$10:$B$14*Assumptions!$B$11*0.05)+SUMPRODUCT((Projects!$G$17:$G$46="Yes")*(68&gt;=Projects!$C$17:$C$46)*(68&lt;Projects!$C$17:$C$46+Projects!$D$17:$D$46)*Projects!$B$17:$B$46*(ROW(Projects!$B$17:$B$46)&lt;&gt;21)*Assumptions!$B$11/Projects!$D$17:$D$46*0.95)+SUMPRODUCT((Projects!$G$17:$G$46="Yes")*(68=Projects!$C$17:$C$46+Projects!$D$17:$D$46-1)*Projects!$B$17:$B$46*(ROW(Projects!$B$17:$B$46)&lt;&gt;21)*Assumptions!$B$11*0.05)+0+IF(AND(Projects!$G$21="Yes",68&gt;=Projects!$C$21,68&lt;Projects!$C$21+Projects!$D$21),(Projects!$O$21)/Projects!$D$21*0.95,0)+IF(AND(Projects!$G$21="Yes",68=Projects!$C$21+Projects!$D$21-1),(Projects!$O$21)*0.05,0),Actuals!BU10)</f>
        <v>0</v>
      </c>
      <c r="BU11" s="13" t="n">
        <f aca="false">IF(ISBLANK(Actuals!BV10),0+SUMPRODUCT((Projects!$G$10:$G$14="Yes")*(69&gt;=Projects!$C$10:$C$14)*(69&lt;Projects!$C$10:$C$14+Projects!$D$10:$D$14)*Projects!$B$10:$B$14*Assumptions!$B$11/Projects!$D$10:$D$14*0.95)+SUMPRODUCT((Projects!$G$10:$G$14="Yes")*(69=Projects!$C$10:$C$14+Projects!$D$10:$D$14-1)*Projects!$B$10:$B$14*Assumptions!$B$11*0.05)+SUMPRODUCT((Projects!$G$17:$G$46="Yes")*(69&gt;=Projects!$C$17:$C$46)*(69&lt;Projects!$C$17:$C$46+Projects!$D$17:$D$46)*Projects!$B$17:$B$46*(ROW(Projects!$B$17:$B$46)&lt;&gt;21)*Assumptions!$B$11/Projects!$D$17:$D$46*0.95)+SUMPRODUCT((Projects!$G$17:$G$46="Yes")*(69=Projects!$C$17:$C$46+Projects!$D$17:$D$46-1)*Projects!$B$17:$B$46*(ROW(Projects!$B$17:$B$46)&lt;&gt;21)*Assumptions!$B$11*0.05)+0+IF(AND(Projects!$G$21="Yes",69&gt;=Projects!$C$21,69&lt;Projects!$C$21+Projects!$D$21),(Projects!$O$21)/Projects!$D$21*0.95,0)+IF(AND(Projects!$G$21="Yes",69=Projects!$C$21+Projects!$D$21-1),(Projects!$O$21)*0.05,0),Actuals!BV10)</f>
        <v>0</v>
      </c>
      <c r="BV11" s="13" t="n">
        <f aca="false">IF(ISBLANK(Actuals!BW10),0+SUMPRODUCT((Projects!$G$10:$G$14="Yes")*(70&gt;=Projects!$C$10:$C$14)*(70&lt;Projects!$C$10:$C$14+Projects!$D$10:$D$14)*Projects!$B$10:$B$14*Assumptions!$B$11/Projects!$D$10:$D$14*0.95)+SUMPRODUCT((Projects!$G$10:$G$14="Yes")*(70=Projects!$C$10:$C$14+Projects!$D$10:$D$14-1)*Projects!$B$10:$B$14*Assumptions!$B$11*0.05)+SUMPRODUCT((Projects!$G$17:$G$46="Yes")*(70&gt;=Projects!$C$17:$C$46)*(70&lt;Projects!$C$17:$C$46+Projects!$D$17:$D$46)*Projects!$B$17:$B$46*(ROW(Projects!$B$17:$B$46)&lt;&gt;21)*Assumptions!$B$11/Projects!$D$17:$D$46*0.95)+SUMPRODUCT((Projects!$G$17:$G$46="Yes")*(70=Projects!$C$17:$C$46+Projects!$D$17:$D$46-1)*Projects!$B$17:$B$46*(ROW(Projects!$B$17:$B$46)&lt;&gt;21)*Assumptions!$B$11*0.05)+0+IF(AND(Projects!$G$21="Yes",70&gt;=Projects!$C$21,70&lt;Projects!$C$21+Projects!$D$21),(Projects!$O$21)/Projects!$D$21*0.95,0)+IF(AND(Projects!$G$21="Yes",70=Projects!$C$21+Projects!$D$21-1),(Projects!$O$21)*0.05,0),Actuals!BW10)</f>
        <v>0</v>
      </c>
      <c r="BW11" s="13" t="n">
        <f aca="false">IF(ISBLANK(Actuals!BX10),0+SUMPRODUCT((Projects!$G$10:$G$14="Yes")*(71&gt;=Projects!$C$10:$C$14)*(71&lt;Projects!$C$10:$C$14+Projects!$D$10:$D$14)*Projects!$B$10:$B$14*Assumptions!$B$11/Projects!$D$10:$D$14*0.95)+SUMPRODUCT((Projects!$G$10:$G$14="Yes")*(71=Projects!$C$10:$C$14+Projects!$D$10:$D$14-1)*Projects!$B$10:$B$14*Assumptions!$B$11*0.05)+SUMPRODUCT((Projects!$G$17:$G$46="Yes")*(71&gt;=Projects!$C$17:$C$46)*(71&lt;Projects!$C$17:$C$46+Projects!$D$17:$D$46)*Projects!$B$17:$B$46*(ROW(Projects!$B$17:$B$46)&lt;&gt;21)*Assumptions!$B$11/Projects!$D$17:$D$46*0.95)+SUMPRODUCT((Projects!$G$17:$G$46="Yes")*(71=Projects!$C$17:$C$46+Projects!$D$17:$D$46-1)*Projects!$B$17:$B$46*(ROW(Projects!$B$17:$B$46)&lt;&gt;21)*Assumptions!$B$11*0.05)+0+IF(AND(Projects!$G$21="Yes",71&gt;=Projects!$C$21,71&lt;Projects!$C$21+Projects!$D$21),(Projects!$O$21)/Projects!$D$21*0.95,0)+IF(AND(Projects!$G$21="Yes",71=Projects!$C$21+Projects!$D$21-1),(Projects!$O$21)*0.05,0),Actuals!BX10)</f>
        <v>0</v>
      </c>
      <c r="BX11" s="13" t="n">
        <f aca="false">IF(ISBLANK(Actuals!BY10),0+SUMPRODUCT((Projects!$G$10:$G$14="Yes")*(72&gt;=Projects!$C$10:$C$14)*(72&lt;Projects!$C$10:$C$14+Projects!$D$10:$D$14)*Projects!$B$10:$B$14*Assumptions!$B$11/Projects!$D$10:$D$14*0.95)+SUMPRODUCT((Projects!$G$10:$G$14="Yes")*(72=Projects!$C$10:$C$14+Projects!$D$10:$D$14-1)*Projects!$B$10:$B$14*Assumptions!$B$11*0.05)+SUMPRODUCT((Projects!$G$17:$G$46="Yes")*(72&gt;=Projects!$C$17:$C$46)*(72&lt;Projects!$C$17:$C$46+Projects!$D$17:$D$46)*Projects!$B$17:$B$46*(ROW(Projects!$B$17:$B$46)&lt;&gt;21)*Assumptions!$B$11/Projects!$D$17:$D$46*0.95)+SUMPRODUCT((Projects!$G$17:$G$46="Yes")*(72=Projects!$C$17:$C$46+Projects!$D$17:$D$46-1)*Projects!$B$17:$B$46*(ROW(Projects!$B$17:$B$46)&lt;&gt;21)*Assumptions!$B$11*0.05)+0+IF(AND(Projects!$G$21="Yes",72&gt;=Projects!$C$21,72&lt;Projects!$C$21+Projects!$D$21),(Projects!$O$21)/Projects!$D$21*0.95,0)+IF(AND(Projects!$G$21="Yes",72=Projects!$C$21+Projects!$D$21-1),(Projects!$O$21)*0.05,0),Actuals!BY10)</f>
        <v>0</v>
      </c>
      <c r="BY11" s="13" t="n">
        <f aca="false">IF(ISBLANK(Actuals!BZ10),0+SUMPRODUCT((Projects!$G$10:$G$14="Yes")*(73&gt;=Projects!$C$10:$C$14)*(73&lt;Projects!$C$10:$C$14+Projects!$D$10:$D$14)*Projects!$B$10:$B$14*Assumptions!$B$11/Projects!$D$10:$D$14*0.95)+SUMPRODUCT((Projects!$G$10:$G$14="Yes")*(73=Projects!$C$10:$C$14+Projects!$D$10:$D$14-1)*Projects!$B$10:$B$14*Assumptions!$B$11*0.05)+SUMPRODUCT((Projects!$G$17:$G$46="Yes")*(73&gt;=Projects!$C$17:$C$46)*(73&lt;Projects!$C$17:$C$46+Projects!$D$17:$D$46)*Projects!$B$17:$B$46*(ROW(Projects!$B$17:$B$46)&lt;&gt;21)*Assumptions!$B$11/Projects!$D$17:$D$46*0.95)+SUMPRODUCT((Projects!$G$17:$G$46="Yes")*(73=Projects!$C$17:$C$46+Projects!$D$17:$D$46-1)*Projects!$B$17:$B$46*(ROW(Projects!$B$17:$B$46)&lt;&gt;21)*Assumptions!$B$11*0.05)+0+IF(AND(Projects!$G$21="Yes",73&gt;=Projects!$C$21,73&lt;Projects!$C$21+Projects!$D$21),(Projects!$O$21)/Projects!$D$21*0.95,0)+IF(AND(Projects!$G$21="Yes",73=Projects!$C$21+Projects!$D$21-1),(Projects!$O$21)*0.05,0),Actuals!BZ10)</f>
        <v>0</v>
      </c>
      <c r="BZ11" s="13" t="n">
        <f aca="false">IF(ISBLANK(Actuals!CA10),0+SUMPRODUCT((Projects!$G$10:$G$14="Yes")*(74&gt;=Projects!$C$10:$C$14)*(74&lt;Projects!$C$10:$C$14+Projects!$D$10:$D$14)*Projects!$B$10:$B$14*Assumptions!$B$11/Projects!$D$10:$D$14*0.95)+SUMPRODUCT((Projects!$G$10:$G$14="Yes")*(74=Projects!$C$10:$C$14+Projects!$D$10:$D$14-1)*Projects!$B$10:$B$14*Assumptions!$B$11*0.05)+SUMPRODUCT((Projects!$G$17:$G$46="Yes")*(74&gt;=Projects!$C$17:$C$46)*(74&lt;Projects!$C$17:$C$46+Projects!$D$17:$D$46)*Projects!$B$17:$B$46*(ROW(Projects!$B$17:$B$46)&lt;&gt;21)*Assumptions!$B$11/Projects!$D$17:$D$46*0.95)+SUMPRODUCT((Projects!$G$17:$G$46="Yes")*(74=Projects!$C$17:$C$46+Projects!$D$17:$D$46-1)*Projects!$B$17:$B$46*(ROW(Projects!$B$17:$B$46)&lt;&gt;21)*Assumptions!$B$11*0.05)+0+IF(AND(Projects!$G$21="Yes",74&gt;=Projects!$C$21,74&lt;Projects!$C$21+Projects!$D$21),(Projects!$O$21)/Projects!$D$21*0.95,0)+IF(AND(Projects!$G$21="Yes",74=Projects!$C$21+Projects!$D$21-1),(Projects!$O$21)*0.05,0),Actuals!CA10)</f>
        <v>0</v>
      </c>
      <c r="CA11" s="13" t="n">
        <f aca="false">IF(ISBLANK(Actuals!CB10),0+SUMPRODUCT((Projects!$G$10:$G$14="Yes")*(75&gt;=Projects!$C$10:$C$14)*(75&lt;Projects!$C$10:$C$14+Projects!$D$10:$D$14)*Projects!$B$10:$B$14*Assumptions!$B$11/Projects!$D$10:$D$14*0.95)+SUMPRODUCT((Projects!$G$10:$G$14="Yes")*(75=Projects!$C$10:$C$14+Projects!$D$10:$D$14-1)*Projects!$B$10:$B$14*Assumptions!$B$11*0.05)+SUMPRODUCT((Projects!$G$17:$G$46="Yes")*(75&gt;=Projects!$C$17:$C$46)*(75&lt;Projects!$C$17:$C$46+Projects!$D$17:$D$46)*Projects!$B$17:$B$46*(ROW(Projects!$B$17:$B$46)&lt;&gt;21)*Assumptions!$B$11/Projects!$D$17:$D$46*0.95)+SUMPRODUCT((Projects!$G$17:$G$46="Yes")*(75=Projects!$C$17:$C$46+Projects!$D$17:$D$46-1)*Projects!$B$17:$B$46*(ROW(Projects!$B$17:$B$46)&lt;&gt;21)*Assumptions!$B$11*0.05)+0+IF(AND(Projects!$G$21="Yes",75&gt;=Projects!$C$21,75&lt;Projects!$C$21+Projects!$D$21),(Projects!$O$21)/Projects!$D$21*0.95,0)+IF(AND(Projects!$G$21="Yes",75=Projects!$C$21+Projects!$D$21-1),(Projects!$O$21)*0.05,0),Actuals!CB10)</f>
        <v>0</v>
      </c>
      <c r="CB11" s="13" t="n">
        <f aca="false">IF(ISBLANK(Actuals!CC10),0+SUMPRODUCT((Projects!$G$10:$G$14="Yes")*(76&gt;=Projects!$C$10:$C$14)*(76&lt;Projects!$C$10:$C$14+Projects!$D$10:$D$14)*Projects!$B$10:$B$14*Assumptions!$B$11/Projects!$D$10:$D$14*0.95)+SUMPRODUCT((Projects!$G$10:$G$14="Yes")*(76=Projects!$C$10:$C$14+Projects!$D$10:$D$14-1)*Projects!$B$10:$B$14*Assumptions!$B$11*0.05)+SUMPRODUCT((Projects!$G$17:$G$46="Yes")*(76&gt;=Projects!$C$17:$C$46)*(76&lt;Projects!$C$17:$C$46+Projects!$D$17:$D$46)*Projects!$B$17:$B$46*(ROW(Projects!$B$17:$B$46)&lt;&gt;21)*Assumptions!$B$11/Projects!$D$17:$D$46*0.95)+SUMPRODUCT((Projects!$G$17:$G$46="Yes")*(76=Projects!$C$17:$C$46+Projects!$D$17:$D$46-1)*Projects!$B$17:$B$46*(ROW(Projects!$B$17:$B$46)&lt;&gt;21)*Assumptions!$B$11*0.05)+0+IF(AND(Projects!$G$21="Yes",76&gt;=Projects!$C$21,76&lt;Projects!$C$21+Projects!$D$21),(Projects!$O$21)/Projects!$D$21*0.95,0)+IF(AND(Projects!$G$21="Yes",76=Projects!$C$21+Projects!$D$21-1),(Projects!$O$21)*0.05,0),Actuals!CC10)</f>
        <v>0</v>
      </c>
      <c r="CC11" s="13" t="n">
        <f aca="false">IF(ISBLANK(Actuals!CD10),0+SUMPRODUCT((Projects!$G$10:$G$14="Yes")*(77&gt;=Projects!$C$10:$C$14)*(77&lt;Projects!$C$10:$C$14+Projects!$D$10:$D$14)*Projects!$B$10:$B$14*Assumptions!$B$11/Projects!$D$10:$D$14*0.95)+SUMPRODUCT((Projects!$G$10:$G$14="Yes")*(77=Projects!$C$10:$C$14+Projects!$D$10:$D$14-1)*Projects!$B$10:$B$14*Assumptions!$B$11*0.05)+SUMPRODUCT((Projects!$G$17:$G$46="Yes")*(77&gt;=Projects!$C$17:$C$46)*(77&lt;Projects!$C$17:$C$46+Projects!$D$17:$D$46)*Projects!$B$17:$B$46*(ROW(Projects!$B$17:$B$46)&lt;&gt;21)*Assumptions!$B$11/Projects!$D$17:$D$46*0.95)+SUMPRODUCT((Projects!$G$17:$G$46="Yes")*(77=Projects!$C$17:$C$46+Projects!$D$17:$D$46-1)*Projects!$B$17:$B$46*(ROW(Projects!$B$17:$B$46)&lt;&gt;21)*Assumptions!$B$11*0.05)+0+IF(AND(Projects!$G$21="Yes",77&gt;=Projects!$C$21,77&lt;Projects!$C$21+Projects!$D$21),(Projects!$O$21)/Projects!$D$21*0.95,0)+IF(AND(Projects!$G$21="Yes",77=Projects!$C$21+Projects!$D$21-1),(Projects!$O$21)*0.05,0),Actuals!CD10)</f>
        <v>0</v>
      </c>
      <c r="CD11" s="13" t="n">
        <f aca="false">IF(ISBLANK(Actuals!CE10),0+SUMPRODUCT((Projects!$G$10:$G$14="Yes")*(78&gt;=Projects!$C$10:$C$14)*(78&lt;Projects!$C$10:$C$14+Projects!$D$10:$D$14)*Projects!$B$10:$B$14*Assumptions!$B$11/Projects!$D$10:$D$14*0.95)+SUMPRODUCT((Projects!$G$10:$G$14="Yes")*(78=Projects!$C$10:$C$14+Projects!$D$10:$D$14-1)*Projects!$B$10:$B$14*Assumptions!$B$11*0.05)+SUMPRODUCT((Projects!$G$17:$G$46="Yes")*(78&gt;=Projects!$C$17:$C$46)*(78&lt;Projects!$C$17:$C$46+Projects!$D$17:$D$46)*Projects!$B$17:$B$46*(ROW(Projects!$B$17:$B$46)&lt;&gt;21)*Assumptions!$B$11/Projects!$D$17:$D$46*0.95)+SUMPRODUCT((Projects!$G$17:$G$46="Yes")*(78=Projects!$C$17:$C$46+Projects!$D$17:$D$46-1)*Projects!$B$17:$B$46*(ROW(Projects!$B$17:$B$46)&lt;&gt;21)*Assumptions!$B$11*0.05)+0+IF(AND(Projects!$G$21="Yes",78&gt;=Projects!$C$21,78&lt;Projects!$C$21+Projects!$D$21),(Projects!$O$21)/Projects!$D$21*0.95,0)+IF(AND(Projects!$G$21="Yes",78=Projects!$C$21+Projects!$D$21-1),(Projects!$O$21)*0.05,0),Actuals!CE10)</f>
        <v>0</v>
      </c>
      <c r="CE11" s="13" t="n">
        <f aca="false">IF(ISBLANK(Actuals!CF10),0+SUMPRODUCT((Projects!$G$10:$G$14="Yes")*(79&gt;=Projects!$C$10:$C$14)*(79&lt;Projects!$C$10:$C$14+Projects!$D$10:$D$14)*Projects!$B$10:$B$14*Assumptions!$B$11/Projects!$D$10:$D$14*0.95)+SUMPRODUCT((Projects!$G$10:$G$14="Yes")*(79=Projects!$C$10:$C$14+Projects!$D$10:$D$14-1)*Projects!$B$10:$B$14*Assumptions!$B$11*0.05)+SUMPRODUCT((Projects!$G$17:$G$46="Yes")*(79&gt;=Projects!$C$17:$C$46)*(79&lt;Projects!$C$17:$C$46+Projects!$D$17:$D$46)*Projects!$B$17:$B$46*(ROW(Projects!$B$17:$B$46)&lt;&gt;21)*Assumptions!$B$11/Projects!$D$17:$D$46*0.95)+SUMPRODUCT((Projects!$G$17:$G$46="Yes")*(79=Projects!$C$17:$C$46+Projects!$D$17:$D$46-1)*Projects!$B$17:$B$46*(ROW(Projects!$B$17:$B$46)&lt;&gt;21)*Assumptions!$B$11*0.05)+0+IF(AND(Projects!$G$21="Yes",79&gt;=Projects!$C$21,79&lt;Projects!$C$21+Projects!$D$21),(Projects!$O$21)/Projects!$D$21*0.95,0)+IF(AND(Projects!$G$21="Yes",79=Projects!$C$21+Projects!$D$21-1),(Projects!$O$21)*0.05,0),Actuals!CF10)</f>
        <v>0</v>
      </c>
      <c r="CF11" s="13" t="n">
        <f aca="false">IF(ISBLANK(Actuals!CG10),0+SUMPRODUCT((Projects!$G$10:$G$14="Yes")*(80&gt;=Projects!$C$10:$C$14)*(80&lt;Projects!$C$10:$C$14+Projects!$D$10:$D$14)*Projects!$B$10:$B$14*Assumptions!$B$11/Projects!$D$10:$D$14*0.95)+SUMPRODUCT((Projects!$G$10:$G$14="Yes")*(80=Projects!$C$10:$C$14+Projects!$D$10:$D$14-1)*Projects!$B$10:$B$14*Assumptions!$B$11*0.05)+SUMPRODUCT((Projects!$G$17:$G$46="Yes")*(80&gt;=Projects!$C$17:$C$46)*(80&lt;Projects!$C$17:$C$46+Projects!$D$17:$D$46)*Projects!$B$17:$B$46*(ROW(Projects!$B$17:$B$46)&lt;&gt;21)*Assumptions!$B$11/Projects!$D$17:$D$46*0.95)+SUMPRODUCT((Projects!$G$17:$G$46="Yes")*(80=Projects!$C$17:$C$46+Projects!$D$17:$D$46-1)*Projects!$B$17:$B$46*(ROW(Projects!$B$17:$B$46)&lt;&gt;21)*Assumptions!$B$11*0.05)+0+IF(AND(Projects!$G$21="Yes",80&gt;=Projects!$C$21,80&lt;Projects!$C$21+Projects!$D$21),(Projects!$O$21)/Projects!$D$21*0.95,0)+IF(AND(Projects!$G$21="Yes",80=Projects!$C$21+Projects!$D$21-1),(Projects!$O$21)*0.05,0),Actuals!CG10)</f>
        <v>0</v>
      </c>
      <c r="CG11" s="13" t="n">
        <f aca="false">IF(ISBLANK(Actuals!CH10),0+SUMPRODUCT((Projects!$G$10:$G$14="Yes")*(81&gt;=Projects!$C$10:$C$14)*(81&lt;Projects!$C$10:$C$14+Projects!$D$10:$D$14)*Projects!$B$10:$B$14*Assumptions!$B$11/Projects!$D$10:$D$14*0.95)+SUMPRODUCT((Projects!$G$10:$G$14="Yes")*(81=Projects!$C$10:$C$14+Projects!$D$10:$D$14-1)*Projects!$B$10:$B$14*Assumptions!$B$11*0.05)+SUMPRODUCT((Projects!$G$17:$G$46="Yes")*(81&gt;=Projects!$C$17:$C$46)*(81&lt;Projects!$C$17:$C$46+Projects!$D$17:$D$46)*Projects!$B$17:$B$46*(ROW(Projects!$B$17:$B$46)&lt;&gt;21)*Assumptions!$B$11/Projects!$D$17:$D$46*0.95)+SUMPRODUCT((Projects!$G$17:$G$46="Yes")*(81=Projects!$C$17:$C$46+Projects!$D$17:$D$46-1)*Projects!$B$17:$B$46*(ROW(Projects!$B$17:$B$46)&lt;&gt;21)*Assumptions!$B$11*0.05)+0+IF(AND(Projects!$G$21="Yes",81&gt;=Projects!$C$21,81&lt;Projects!$C$21+Projects!$D$21),(Projects!$O$21)/Projects!$D$21*0.95,0)+IF(AND(Projects!$G$21="Yes",81=Projects!$C$21+Projects!$D$21-1),(Projects!$O$21)*0.05,0),Actuals!CH10)</f>
        <v>0</v>
      </c>
      <c r="CH11" s="13" t="n">
        <f aca="false">IF(ISBLANK(Actuals!CI10),0+SUMPRODUCT((Projects!$G$10:$G$14="Yes")*(82&gt;=Projects!$C$10:$C$14)*(82&lt;Projects!$C$10:$C$14+Projects!$D$10:$D$14)*Projects!$B$10:$B$14*Assumptions!$B$11/Projects!$D$10:$D$14*0.95)+SUMPRODUCT((Projects!$G$10:$G$14="Yes")*(82=Projects!$C$10:$C$14+Projects!$D$10:$D$14-1)*Projects!$B$10:$B$14*Assumptions!$B$11*0.05)+SUMPRODUCT((Projects!$G$17:$G$46="Yes")*(82&gt;=Projects!$C$17:$C$46)*(82&lt;Projects!$C$17:$C$46+Projects!$D$17:$D$46)*Projects!$B$17:$B$46*(ROW(Projects!$B$17:$B$46)&lt;&gt;21)*Assumptions!$B$11/Projects!$D$17:$D$46*0.95)+SUMPRODUCT((Projects!$G$17:$G$46="Yes")*(82=Projects!$C$17:$C$46+Projects!$D$17:$D$46-1)*Projects!$B$17:$B$46*(ROW(Projects!$B$17:$B$46)&lt;&gt;21)*Assumptions!$B$11*0.05)+0+IF(AND(Projects!$G$21="Yes",82&gt;=Projects!$C$21,82&lt;Projects!$C$21+Projects!$D$21),(Projects!$O$21)/Projects!$D$21*0.95,0)+IF(AND(Projects!$G$21="Yes",82=Projects!$C$21+Projects!$D$21-1),(Projects!$O$21)*0.05,0),Actuals!CI10)</f>
        <v>0</v>
      </c>
      <c r="CI11" s="13" t="n">
        <f aca="false">IF(ISBLANK(Actuals!CJ10),0+SUMPRODUCT((Projects!$G$10:$G$14="Yes")*(83&gt;=Projects!$C$10:$C$14)*(83&lt;Projects!$C$10:$C$14+Projects!$D$10:$D$14)*Projects!$B$10:$B$14*Assumptions!$B$11/Projects!$D$10:$D$14*0.95)+SUMPRODUCT((Projects!$G$10:$G$14="Yes")*(83=Projects!$C$10:$C$14+Projects!$D$10:$D$14-1)*Projects!$B$10:$B$14*Assumptions!$B$11*0.05)+SUMPRODUCT((Projects!$G$17:$G$46="Yes")*(83&gt;=Projects!$C$17:$C$46)*(83&lt;Projects!$C$17:$C$46+Projects!$D$17:$D$46)*Projects!$B$17:$B$46*(ROW(Projects!$B$17:$B$46)&lt;&gt;21)*Assumptions!$B$11/Projects!$D$17:$D$46*0.95)+SUMPRODUCT((Projects!$G$17:$G$46="Yes")*(83=Projects!$C$17:$C$46+Projects!$D$17:$D$46-1)*Projects!$B$17:$B$46*(ROW(Projects!$B$17:$B$46)&lt;&gt;21)*Assumptions!$B$11*0.05)+0+IF(AND(Projects!$G$21="Yes",83&gt;=Projects!$C$21,83&lt;Projects!$C$21+Projects!$D$21),(Projects!$O$21)/Projects!$D$21*0.95,0)+IF(AND(Projects!$G$21="Yes",83=Projects!$C$21+Projects!$D$21-1),(Projects!$O$21)*0.05,0),Actuals!CJ10)</f>
        <v>0</v>
      </c>
      <c r="CJ11" s="13" t="n">
        <f aca="false">IF(ISBLANK(Actuals!CK10),0+SUMPRODUCT((Projects!$G$10:$G$14="Yes")*(84&gt;=Projects!$C$10:$C$14)*(84&lt;Projects!$C$10:$C$14+Projects!$D$10:$D$14)*Projects!$B$10:$B$14*Assumptions!$B$11/Projects!$D$10:$D$14*0.95)+SUMPRODUCT((Projects!$G$10:$G$14="Yes")*(84=Projects!$C$10:$C$14+Projects!$D$10:$D$14-1)*Projects!$B$10:$B$14*Assumptions!$B$11*0.05)+SUMPRODUCT((Projects!$G$17:$G$46="Yes")*(84&gt;=Projects!$C$17:$C$46)*(84&lt;Projects!$C$17:$C$46+Projects!$D$17:$D$46)*Projects!$B$17:$B$46*(ROW(Projects!$B$17:$B$46)&lt;&gt;21)*Assumptions!$B$11/Projects!$D$17:$D$46*0.95)+SUMPRODUCT((Projects!$G$17:$G$46="Yes")*(84=Projects!$C$17:$C$46+Projects!$D$17:$D$46-1)*Projects!$B$17:$B$46*(ROW(Projects!$B$17:$B$46)&lt;&gt;21)*Assumptions!$B$11*0.05)+0+IF(AND(Projects!$G$21="Yes",84&gt;=Projects!$C$21,84&lt;Projects!$C$21+Projects!$D$21),(Projects!$O$21)/Projects!$D$21*0.95,0)+IF(AND(Projects!$G$21="Yes",84=Projects!$C$21+Projects!$D$21-1),(Projects!$O$21)*0.05,0),Actuals!CK10)</f>
        <v>0</v>
      </c>
      <c r="CK11" s="13" t="n">
        <f aca="false">IF(ISBLANK(Actuals!CL10),0+SUMPRODUCT((Projects!$G$10:$G$14="Yes")*(85&gt;=Projects!$C$10:$C$14)*(85&lt;Projects!$C$10:$C$14+Projects!$D$10:$D$14)*Projects!$B$10:$B$14*Assumptions!$B$11/Projects!$D$10:$D$14*0.95)+SUMPRODUCT((Projects!$G$10:$G$14="Yes")*(85=Projects!$C$10:$C$14+Projects!$D$10:$D$14-1)*Projects!$B$10:$B$14*Assumptions!$B$11*0.05)+SUMPRODUCT((Projects!$G$17:$G$46="Yes")*(85&gt;=Projects!$C$17:$C$46)*(85&lt;Projects!$C$17:$C$46+Projects!$D$17:$D$46)*Projects!$B$17:$B$46*(ROW(Projects!$B$17:$B$46)&lt;&gt;21)*Assumptions!$B$11/Projects!$D$17:$D$46*0.95)+SUMPRODUCT((Projects!$G$17:$G$46="Yes")*(85=Projects!$C$17:$C$46+Projects!$D$17:$D$46-1)*Projects!$B$17:$B$46*(ROW(Projects!$B$17:$B$46)&lt;&gt;21)*Assumptions!$B$11*0.05)+0+IF(AND(Projects!$G$21="Yes",85&gt;=Projects!$C$21,85&lt;Projects!$C$21+Projects!$D$21),(Projects!$O$21)/Projects!$D$21*0.95,0)+IF(AND(Projects!$G$21="Yes",85=Projects!$C$21+Projects!$D$21-1),(Projects!$O$21)*0.05,0),Actuals!CL10)</f>
        <v>0</v>
      </c>
      <c r="CL11" s="13" t="n">
        <f aca="false">IF(ISBLANK(Actuals!CM10),0+SUMPRODUCT((Projects!$G$10:$G$14="Yes")*(86&gt;=Projects!$C$10:$C$14)*(86&lt;Projects!$C$10:$C$14+Projects!$D$10:$D$14)*Projects!$B$10:$B$14*Assumptions!$B$11/Projects!$D$10:$D$14*0.95)+SUMPRODUCT((Projects!$G$10:$G$14="Yes")*(86=Projects!$C$10:$C$14+Projects!$D$10:$D$14-1)*Projects!$B$10:$B$14*Assumptions!$B$11*0.05)+SUMPRODUCT((Projects!$G$17:$G$46="Yes")*(86&gt;=Projects!$C$17:$C$46)*(86&lt;Projects!$C$17:$C$46+Projects!$D$17:$D$46)*Projects!$B$17:$B$46*(ROW(Projects!$B$17:$B$46)&lt;&gt;21)*Assumptions!$B$11/Projects!$D$17:$D$46*0.95)+SUMPRODUCT((Projects!$G$17:$G$46="Yes")*(86=Projects!$C$17:$C$46+Projects!$D$17:$D$46-1)*Projects!$B$17:$B$46*(ROW(Projects!$B$17:$B$46)&lt;&gt;21)*Assumptions!$B$11*0.05)+0+IF(AND(Projects!$G$21="Yes",86&gt;=Projects!$C$21,86&lt;Projects!$C$21+Projects!$D$21),(Projects!$O$21)/Projects!$D$21*0.95,0)+IF(AND(Projects!$G$21="Yes",86=Projects!$C$21+Projects!$D$21-1),(Projects!$O$21)*0.05,0),Actuals!CM10)</f>
        <v>0</v>
      </c>
      <c r="CM11" s="13" t="n">
        <f aca="false">IF(ISBLANK(Actuals!CN10),0+SUMPRODUCT((Projects!$G$10:$G$14="Yes")*(87&gt;=Projects!$C$10:$C$14)*(87&lt;Projects!$C$10:$C$14+Projects!$D$10:$D$14)*Projects!$B$10:$B$14*Assumptions!$B$11/Projects!$D$10:$D$14*0.95)+SUMPRODUCT((Projects!$G$10:$G$14="Yes")*(87=Projects!$C$10:$C$14+Projects!$D$10:$D$14-1)*Projects!$B$10:$B$14*Assumptions!$B$11*0.05)+SUMPRODUCT((Projects!$G$17:$G$46="Yes")*(87&gt;=Projects!$C$17:$C$46)*(87&lt;Projects!$C$17:$C$46+Projects!$D$17:$D$46)*Projects!$B$17:$B$46*(ROW(Projects!$B$17:$B$46)&lt;&gt;21)*Assumptions!$B$11/Projects!$D$17:$D$46*0.95)+SUMPRODUCT((Projects!$G$17:$G$46="Yes")*(87=Projects!$C$17:$C$46+Projects!$D$17:$D$46-1)*Projects!$B$17:$B$46*(ROW(Projects!$B$17:$B$46)&lt;&gt;21)*Assumptions!$B$11*0.05)+0+IF(AND(Projects!$G$21="Yes",87&gt;=Projects!$C$21,87&lt;Projects!$C$21+Projects!$D$21),(Projects!$O$21)/Projects!$D$21*0.95,0)+IF(AND(Projects!$G$21="Yes",87=Projects!$C$21+Projects!$D$21-1),(Projects!$O$21)*0.05,0),Actuals!CN10)</f>
        <v>0</v>
      </c>
      <c r="CN11" s="13" t="n">
        <f aca="false">IF(ISBLANK(Actuals!CO10),0+SUMPRODUCT((Projects!$G$10:$G$14="Yes")*(88&gt;=Projects!$C$10:$C$14)*(88&lt;Projects!$C$10:$C$14+Projects!$D$10:$D$14)*Projects!$B$10:$B$14*Assumptions!$B$11/Projects!$D$10:$D$14*0.95)+SUMPRODUCT((Projects!$G$10:$G$14="Yes")*(88=Projects!$C$10:$C$14+Projects!$D$10:$D$14-1)*Projects!$B$10:$B$14*Assumptions!$B$11*0.05)+SUMPRODUCT((Projects!$G$17:$G$46="Yes")*(88&gt;=Projects!$C$17:$C$46)*(88&lt;Projects!$C$17:$C$46+Projects!$D$17:$D$46)*Projects!$B$17:$B$46*(ROW(Projects!$B$17:$B$46)&lt;&gt;21)*Assumptions!$B$11/Projects!$D$17:$D$46*0.95)+SUMPRODUCT((Projects!$G$17:$G$46="Yes")*(88=Projects!$C$17:$C$46+Projects!$D$17:$D$46-1)*Projects!$B$17:$B$46*(ROW(Projects!$B$17:$B$46)&lt;&gt;21)*Assumptions!$B$11*0.05)+0+IF(AND(Projects!$G$21="Yes",88&gt;=Projects!$C$21,88&lt;Projects!$C$21+Projects!$D$21),(Projects!$O$21)/Projects!$D$21*0.95,0)+IF(AND(Projects!$G$21="Yes",88=Projects!$C$21+Projects!$D$21-1),(Projects!$O$21)*0.05,0),Actuals!CO10)</f>
        <v>0</v>
      </c>
      <c r="CO11" s="13" t="n">
        <f aca="false">IF(ISBLANK(Actuals!CP10),0+SUMPRODUCT((Projects!$G$10:$G$14="Yes")*(89&gt;=Projects!$C$10:$C$14)*(89&lt;Projects!$C$10:$C$14+Projects!$D$10:$D$14)*Projects!$B$10:$B$14*Assumptions!$B$11/Projects!$D$10:$D$14*0.95)+SUMPRODUCT((Projects!$G$10:$G$14="Yes")*(89=Projects!$C$10:$C$14+Projects!$D$10:$D$14-1)*Projects!$B$10:$B$14*Assumptions!$B$11*0.05)+SUMPRODUCT((Projects!$G$17:$G$46="Yes")*(89&gt;=Projects!$C$17:$C$46)*(89&lt;Projects!$C$17:$C$46+Projects!$D$17:$D$46)*Projects!$B$17:$B$46*(ROW(Projects!$B$17:$B$46)&lt;&gt;21)*Assumptions!$B$11/Projects!$D$17:$D$46*0.95)+SUMPRODUCT((Projects!$G$17:$G$46="Yes")*(89=Projects!$C$17:$C$46+Projects!$D$17:$D$46-1)*Projects!$B$17:$B$46*(ROW(Projects!$B$17:$B$46)&lt;&gt;21)*Assumptions!$B$11*0.05)+0+IF(AND(Projects!$G$21="Yes",89&gt;=Projects!$C$21,89&lt;Projects!$C$21+Projects!$D$21),(Projects!$O$21)/Projects!$D$21*0.95,0)+IF(AND(Projects!$G$21="Yes",89=Projects!$C$21+Projects!$D$21-1),(Projects!$O$21)*0.05,0),Actuals!CP10)</f>
        <v>0</v>
      </c>
      <c r="CP11" s="13" t="n">
        <f aca="false">IF(ISBLANK(Actuals!CQ10),0+SUMPRODUCT((Projects!$G$10:$G$14="Yes")*(90&gt;=Projects!$C$10:$C$14)*(90&lt;Projects!$C$10:$C$14+Projects!$D$10:$D$14)*Projects!$B$10:$B$14*Assumptions!$B$11/Projects!$D$10:$D$14*0.95)+SUMPRODUCT((Projects!$G$10:$G$14="Yes")*(90=Projects!$C$10:$C$14+Projects!$D$10:$D$14-1)*Projects!$B$10:$B$14*Assumptions!$B$11*0.05)+SUMPRODUCT((Projects!$G$17:$G$46="Yes")*(90&gt;=Projects!$C$17:$C$46)*(90&lt;Projects!$C$17:$C$46+Projects!$D$17:$D$46)*Projects!$B$17:$B$46*(ROW(Projects!$B$17:$B$46)&lt;&gt;21)*Assumptions!$B$11/Projects!$D$17:$D$46*0.95)+SUMPRODUCT((Projects!$G$17:$G$46="Yes")*(90=Projects!$C$17:$C$46+Projects!$D$17:$D$46-1)*Projects!$B$17:$B$46*(ROW(Projects!$B$17:$B$46)&lt;&gt;21)*Assumptions!$B$11*0.05)+0+IF(AND(Projects!$G$21="Yes",90&gt;=Projects!$C$21,90&lt;Projects!$C$21+Projects!$D$21),(Projects!$O$21)/Projects!$D$21*0.95,0)+IF(AND(Projects!$G$21="Yes",90=Projects!$C$21+Projects!$D$21-1),(Projects!$O$21)*0.05,0),Actuals!CQ10)</f>
        <v>0</v>
      </c>
      <c r="CQ11" s="13" t="n">
        <f aca="false">IF(ISBLANK(Actuals!CR10),0+SUMPRODUCT((Projects!$G$10:$G$14="Yes")*(91&gt;=Projects!$C$10:$C$14)*(91&lt;Projects!$C$10:$C$14+Projects!$D$10:$D$14)*Projects!$B$10:$B$14*Assumptions!$B$11/Projects!$D$10:$D$14*0.95)+SUMPRODUCT((Projects!$G$10:$G$14="Yes")*(91=Projects!$C$10:$C$14+Projects!$D$10:$D$14-1)*Projects!$B$10:$B$14*Assumptions!$B$11*0.05)+SUMPRODUCT((Projects!$G$17:$G$46="Yes")*(91&gt;=Projects!$C$17:$C$46)*(91&lt;Projects!$C$17:$C$46+Projects!$D$17:$D$46)*Projects!$B$17:$B$46*(ROW(Projects!$B$17:$B$46)&lt;&gt;21)*Assumptions!$B$11/Projects!$D$17:$D$46*0.95)+SUMPRODUCT((Projects!$G$17:$G$46="Yes")*(91=Projects!$C$17:$C$46+Projects!$D$17:$D$46-1)*Projects!$B$17:$B$46*(ROW(Projects!$B$17:$B$46)&lt;&gt;21)*Assumptions!$B$11*0.05)+0+IF(AND(Projects!$G$21="Yes",91&gt;=Projects!$C$21,91&lt;Projects!$C$21+Projects!$D$21),(Projects!$O$21)/Projects!$D$21*0.95,0)+IF(AND(Projects!$G$21="Yes",91=Projects!$C$21+Projects!$D$21-1),(Projects!$O$21)*0.05,0),Actuals!CR10)</f>
        <v>0</v>
      </c>
      <c r="CR11" s="13" t="n">
        <f aca="false">IF(ISBLANK(Actuals!CS10),0+SUMPRODUCT((Projects!$G$10:$G$14="Yes")*(92&gt;=Projects!$C$10:$C$14)*(92&lt;Projects!$C$10:$C$14+Projects!$D$10:$D$14)*Projects!$B$10:$B$14*Assumptions!$B$11/Projects!$D$10:$D$14*0.95)+SUMPRODUCT((Projects!$G$10:$G$14="Yes")*(92=Projects!$C$10:$C$14+Projects!$D$10:$D$14-1)*Projects!$B$10:$B$14*Assumptions!$B$11*0.05)+SUMPRODUCT((Projects!$G$17:$G$46="Yes")*(92&gt;=Projects!$C$17:$C$46)*(92&lt;Projects!$C$17:$C$46+Projects!$D$17:$D$46)*Projects!$B$17:$B$46*(ROW(Projects!$B$17:$B$46)&lt;&gt;21)*Assumptions!$B$11/Projects!$D$17:$D$46*0.95)+SUMPRODUCT((Projects!$G$17:$G$46="Yes")*(92=Projects!$C$17:$C$46+Projects!$D$17:$D$46-1)*Projects!$B$17:$B$46*(ROW(Projects!$B$17:$B$46)&lt;&gt;21)*Assumptions!$B$11*0.05)+0+IF(AND(Projects!$G$21="Yes",92&gt;=Projects!$C$21,92&lt;Projects!$C$21+Projects!$D$21),(Projects!$O$21)/Projects!$D$21*0.95,0)+IF(AND(Projects!$G$21="Yes",92=Projects!$C$21+Projects!$D$21-1),(Projects!$O$21)*0.05,0),Actuals!CS10)</f>
        <v>0</v>
      </c>
      <c r="CS11" s="13" t="n">
        <f aca="false">IF(ISBLANK(Actuals!CT10),0+SUMPRODUCT((Projects!$G$10:$G$14="Yes")*(93&gt;=Projects!$C$10:$C$14)*(93&lt;Projects!$C$10:$C$14+Projects!$D$10:$D$14)*Projects!$B$10:$B$14*Assumptions!$B$11/Projects!$D$10:$D$14*0.95)+SUMPRODUCT((Projects!$G$10:$G$14="Yes")*(93=Projects!$C$10:$C$14+Projects!$D$10:$D$14-1)*Projects!$B$10:$B$14*Assumptions!$B$11*0.05)+SUMPRODUCT((Projects!$G$17:$G$46="Yes")*(93&gt;=Projects!$C$17:$C$46)*(93&lt;Projects!$C$17:$C$46+Projects!$D$17:$D$46)*Projects!$B$17:$B$46*(ROW(Projects!$B$17:$B$46)&lt;&gt;21)*Assumptions!$B$11/Projects!$D$17:$D$46*0.95)+SUMPRODUCT((Projects!$G$17:$G$46="Yes")*(93=Projects!$C$17:$C$46+Projects!$D$17:$D$46-1)*Projects!$B$17:$B$46*(ROW(Projects!$B$17:$B$46)&lt;&gt;21)*Assumptions!$B$11*0.05)+0+IF(AND(Projects!$G$21="Yes",93&gt;=Projects!$C$21,93&lt;Projects!$C$21+Projects!$D$21),(Projects!$O$21)/Projects!$D$21*0.95,0)+IF(AND(Projects!$G$21="Yes",93=Projects!$C$21+Projects!$D$21-1),(Projects!$O$21)*0.05,0),Actuals!CT10)</f>
        <v>0</v>
      </c>
      <c r="CT11" s="13" t="n">
        <f aca="false">IF(ISBLANK(Actuals!CU10),0+SUMPRODUCT((Projects!$G$10:$G$14="Yes")*(94&gt;=Projects!$C$10:$C$14)*(94&lt;Projects!$C$10:$C$14+Projects!$D$10:$D$14)*Projects!$B$10:$B$14*Assumptions!$B$11/Projects!$D$10:$D$14*0.95)+SUMPRODUCT((Projects!$G$10:$G$14="Yes")*(94=Projects!$C$10:$C$14+Projects!$D$10:$D$14-1)*Projects!$B$10:$B$14*Assumptions!$B$11*0.05)+SUMPRODUCT((Projects!$G$17:$G$46="Yes")*(94&gt;=Projects!$C$17:$C$46)*(94&lt;Projects!$C$17:$C$46+Projects!$D$17:$D$46)*Projects!$B$17:$B$46*(ROW(Projects!$B$17:$B$46)&lt;&gt;21)*Assumptions!$B$11/Projects!$D$17:$D$46*0.95)+SUMPRODUCT((Projects!$G$17:$G$46="Yes")*(94=Projects!$C$17:$C$46+Projects!$D$17:$D$46-1)*Projects!$B$17:$B$46*(ROW(Projects!$B$17:$B$46)&lt;&gt;21)*Assumptions!$B$11*0.05)+0+IF(AND(Projects!$G$21="Yes",94&gt;=Projects!$C$21,94&lt;Projects!$C$21+Projects!$D$21),(Projects!$O$21)/Projects!$D$21*0.95,0)+IF(AND(Projects!$G$21="Yes",94=Projects!$C$21+Projects!$D$21-1),(Projects!$O$21)*0.05,0),Actuals!CU10)</f>
        <v>0</v>
      </c>
      <c r="CU11" s="13" t="n">
        <f aca="false">IF(ISBLANK(Actuals!CV10),0+SUMPRODUCT((Projects!$G$10:$G$14="Yes")*(95&gt;=Projects!$C$10:$C$14)*(95&lt;Projects!$C$10:$C$14+Projects!$D$10:$D$14)*Projects!$B$10:$B$14*Assumptions!$B$11/Projects!$D$10:$D$14*0.95)+SUMPRODUCT((Projects!$G$10:$G$14="Yes")*(95=Projects!$C$10:$C$14+Projects!$D$10:$D$14-1)*Projects!$B$10:$B$14*Assumptions!$B$11*0.05)+SUMPRODUCT((Projects!$G$17:$G$46="Yes")*(95&gt;=Projects!$C$17:$C$46)*(95&lt;Projects!$C$17:$C$46+Projects!$D$17:$D$46)*Projects!$B$17:$B$46*(ROW(Projects!$B$17:$B$46)&lt;&gt;21)*Assumptions!$B$11/Projects!$D$17:$D$46*0.95)+SUMPRODUCT((Projects!$G$17:$G$46="Yes")*(95=Projects!$C$17:$C$46+Projects!$D$17:$D$46-1)*Projects!$B$17:$B$46*(ROW(Projects!$B$17:$B$46)&lt;&gt;21)*Assumptions!$B$11*0.05)+0+IF(AND(Projects!$G$21="Yes",95&gt;=Projects!$C$21,95&lt;Projects!$C$21+Projects!$D$21),(Projects!$O$21)/Projects!$D$21*0.95,0)+IF(AND(Projects!$G$21="Yes",95=Projects!$C$21+Projects!$D$21-1),(Projects!$O$21)*0.05,0),Actuals!CV10)</f>
        <v>0</v>
      </c>
      <c r="CV11" s="13" t="n">
        <f aca="false">IF(ISBLANK(Actuals!CW10),0+SUMPRODUCT((Projects!$G$10:$G$14="Yes")*(96&gt;=Projects!$C$10:$C$14)*(96&lt;Projects!$C$10:$C$14+Projects!$D$10:$D$14)*Projects!$B$10:$B$14*Assumptions!$B$11/Projects!$D$10:$D$14*0.95)+SUMPRODUCT((Projects!$G$10:$G$14="Yes")*(96=Projects!$C$10:$C$14+Projects!$D$10:$D$14-1)*Projects!$B$10:$B$14*Assumptions!$B$11*0.05)+SUMPRODUCT((Projects!$G$17:$G$46="Yes")*(96&gt;=Projects!$C$17:$C$46)*(96&lt;Projects!$C$17:$C$46+Projects!$D$17:$D$46)*Projects!$B$17:$B$46*(ROW(Projects!$B$17:$B$46)&lt;&gt;21)*Assumptions!$B$11/Projects!$D$17:$D$46*0.95)+SUMPRODUCT((Projects!$G$17:$G$46="Yes")*(96=Projects!$C$17:$C$46+Projects!$D$17:$D$46-1)*Projects!$B$17:$B$46*(ROW(Projects!$B$17:$B$46)&lt;&gt;21)*Assumptions!$B$11*0.05)+0+IF(AND(Projects!$G$21="Yes",96&gt;=Projects!$C$21,96&lt;Projects!$C$21+Projects!$D$21),(Projects!$O$21)/Projects!$D$21*0.95,0)+IF(AND(Projects!$G$21="Yes",96=Projects!$C$21+Projects!$D$21-1),(Projects!$O$21)*0.05,0),Actuals!CW10)</f>
        <v>0</v>
      </c>
      <c r="CW11" s="13" t="n">
        <f aca="false">IF(ISBLANK(Actuals!CX10),0+SUMPRODUCT((Projects!$G$10:$G$14="Yes")*(97&gt;=Projects!$C$10:$C$14)*(97&lt;Projects!$C$10:$C$14+Projects!$D$10:$D$14)*Projects!$B$10:$B$14*Assumptions!$B$11/Projects!$D$10:$D$14*0.95)+SUMPRODUCT((Projects!$G$10:$G$14="Yes")*(97=Projects!$C$10:$C$14+Projects!$D$10:$D$14-1)*Projects!$B$10:$B$14*Assumptions!$B$11*0.05)+SUMPRODUCT((Projects!$G$17:$G$46="Yes")*(97&gt;=Projects!$C$17:$C$46)*(97&lt;Projects!$C$17:$C$46+Projects!$D$17:$D$46)*Projects!$B$17:$B$46*(ROW(Projects!$B$17:$B$46)&lt;&gt;21)*Assumptions!$B$11/Projects!$D$17:$D$46*0.95)+SUMPRODUCT((Projects!$G$17:$G$46="Yes")*(97=Projects!$C$17:$C$46+Projects!$D$17:$D$46-1)*Projects!$B$17:$B$46*(ROW(Projects!$B$17:$B$46)&lt;&gt;21)*Assumptions!$B$11*0.05)+0+IF(AND(Projects!$G$21="Yes",97&gt;=Projects!$C$21,97&lt;Projects!$C$21+Projects!$D$21),(Projects!$O$21)/Projects!$D$21*0.95,0)+IF(AND(Projects!$G$21="Yes",97=Projects!$C$21+Projects!$D$21-1),(Projects!$O$21)*0.05,0),Actuals!CX10)</f>
        <v>0</v>
      </c>
      <c r="CX11" s="13" t="n">
        <f aca="false">IF(ISBLANK(Actuals!CY10),0+SUMPRODUCT((Projects!$G$10:$G$14="Yes")*(98&gt;=Projects!$C$10:$C$14)*(98&lt;Projects!$C$10:$C$14+Projects!$D$10:$D$14)*Projects!$B$10:$B$14*Assumptions!$B$11/Projects!$D$10:$D$14*0.95)+SUMPRODUCT((Projects!$G$10:$G$14="Yes")*(98=Projects!$C$10:$C$14+Projects!$D$10:$D$14-1)*Projects!$B$10:$B$14*Assumptions!$B$11*0.05)+SUMPRODUCT((Projects!$G$17:$G$46="Yes")*(98&gt;=Projects!$C$17:$C$46)*(98&lt;Projects!$C$17:$C$46+Projects!$D$17:$D$46)*Projects!$B$17:$B$46*(ROW(Projects!$B$17:$B$46)&lt;&gt;21)*Assumptions!$B$11/Projects!$D$17:$D$46*0.95)+SUMPRODUCT((Projects!$G$17:$G$46="Yes")*(98=Projects!$C$17:$C$46+Projects!$D$17:$D$46-1)*Projects!$B$17:$B$46*(ROW(Projects!$B$17:$B$46)&lt;&gt;21)*Assumptions!$B$11*0.05)+0+IF(AND(Projects!$G$21="Yes",98&gt;=Projects!$C$21,98&lt;Projects!$C$21+Projects!$D$21),(Projects!$O$21)/Projects!$D$21*0.95,0)+IF(AND(Projects!$G$21="Yes",98=Projects!$C$21+Projects!$D$21-1),(Projects!$O$21)*0.05,0),Actuals!CY10)</f>
        <v>0</v>
      </c>
      <c r="CY11" s="13" t="n">
        <f aca="false">IF(ISBLANK(Actuals!CZ10),0+SUMPRODUCT((Projects!$G$10:$G$14="Yes")*(99&gt;=Projects!$C$10:$C$14)*(99&lt;Projects!$C$10:$C$14+Projects!$D$10:$D$14)*Projects!$B$10:$B$14*Assumptions!$B$11/Projects!$D$10:$D$14*0.95)+SUMPRODUCT((Projects!$G$10:$G$14="Yes")*(99=Projects!$C$10:$C$14+Projects!$D$10:$D$14-1)*Projects!$B$10:$B$14*Assumptions!$B$11*0.05)+SUMPRODUCT((Projects!$G$17:$G$46="Yes")*(99&gt;=Projects!$C$17:$C$46)*(99&lt;Projects!$C$17:$C$46+Projects!$D$17:$D$46)*Projects!$B$17:$B$46*(ROW(Projects!$B$17:$B$46)&lt;&gt;21)*Assumptions!$B$11/Projects!$D$17:$D$46*0.95)+SUMPRODUCT((Projects!$G$17:$G$46="Yes")*(99=Projects!$C$17:$C$46+Projects!$D$17:$D$46-1)*Projects!$B$17:$B$46*(ROW(Projects!$B$17:$B$46)&lt;&gt;21)*Assumptions!$B$11*0.05)+0+IF(AND(Projects!$G$21="Yes",99&gt;=Projects!$C$21,99&lt;Projects!$C$21+Projects!$D$21),(Projects!$O$21)/Projects!$D$21*0.95,0)+IF(AND(Projects!$G$21="Yes",99=Projects!$C$21+Projects!$D$21-1),(Projects!$O$21)*0.05,0),Actuals!CZ10)</f>
        <v>0</v>
      </c>
      <c r="CZ11" s="13" t="n">
        <f aca="false">IF(ISBLANK(Actuals!DA10),0+SUMPRODUCT((Projects!$G$10:$G$14="Yes")*(100&gt;=Projects!$C$10:$C$14)*(100&lt;Projects!$C$10:$C$14+Projects!$D$10:$D$14)*Projects!$B$10:$B$14*Assumptions!$B$11/Projects!$D$10:$D$14*0.95)+SUMPRODUCT((Projects!$G$10:$G$14="Yes")*(100=Projects!$C$10:$C$14+Projects!$D$10:$D$14-1)*Projects!$B$10:$B$14*Assumptions!$B$11*0.05)+SUMPRODUCT((Projects!$G$17:$G$46="Yes")*(100&gt;=Projects!$C$17:$C$46)*(100&lt;Projects!$C$17:$C$46+Projects!$D$17:$D$46)*Projects!$B$17:$B$46*(ROW(Projects!$B$17:$B$46)&lt;&gt;21)*Assumptions!$B$11/Projects!$D$17:$D$46*0.95)+SUMPRODUCT((Projects!$G$17:$G$46="Yes")*(100=Projects!$C$17:$C$46+Projects!$D$17:$D$46-1)*Projects!$B$17:$B$46*(ROW(Projects!$B$17:$B$46)&lt;&gt;21)*Assumptions!$B$11*0.05)+0+IF(AND(Projects!$G$21="Yes",100&gt;=Projects!$C$21,100&lt;Projects!$C$21+Projects!$D$21),(Projects!$O$21)/Projects!$D$21*0.95,0)+IF(AND(Projects!$G$21="Yes",100=Projects!$C$21+Projects!$D$21-1),(Projects!$O$21)*0.05,0),Actuals!DA10)</f>
        <v>0</v>
      </c>
      <c r="DA11" s="13" t="n">
        <f aca="false">IF(ISBLANK(Actuals!DB10),0+SUMPRODUCT((Projects!$G$10:$G$14="Yes")*(101&gt;=Projects!$C$10:$C$14)*(101&lt;Projects!$C$10:$C$14+Projects!$D$10:$D$14)*Projects!$B$10:$B$14*Assumptions!$B$11/Projects!$D$10:$D$14*0.95)+SUMPRODUCT((Projects!$G$10:$G$14="Yes")*(101=Projects!$C$10:$C$14+Projects!$D$10:$D$14-1)*Projects!$B$10:$B$14*Assumptions!$B$11*0.05)+SUMPRODUCT((Projects!$G$17:$G$46="Yes")*(101&gt;=Projects!$C$17:$C$46)*(101&lt;Projects!$C$17:$C$46+Projects!$D$17:$D$46)*Projects!$B$17:$B$46*(ROW(Projects!$B$17:$B$46)&lt;&gt;21)*Assumptions!$B$11/Projects!$D$17:$D$46*0.95)+SUMPRODUCT((Projects!$G$17:$G$46="Yes")*(101=Projects!$C$17:$C$46+Projects!$D$17:$D$46-1)*Projects!$B$17:$B$46*(ROW(Projects!$B$17:$B$46)&lt;&gt;21)*Assumptions!$B$11*0.05)+0+IF(AND(Projects!$G$21="Yes",101&gt;=Projects!$C$21,101&lt;Projects!$C$21+Projects!$D$21),(Projects!$O$21)/Projects!$D$21*0.95,0)+IF(AND(Projects!$G$21="Yes",101=Projects!$C$21+Projects!$D$21-1),(Projects!$O$21)*0.05,0),Actuals!DB10)</f>
        <v>0</v>
      </c>
      <c r="DB11" s="13" t="n">
        <f aca="false">IF(ISBLANK(Actuals!DC10),0+SUMPRODUCT((Projects!$G$10:$G$14="Yes")*(102&gt;=Projects!$C$10:$C$14)*(102&lt;Projects!$C$10:$C$14+Projects!$D$10:$D$14)*Projects!$B$10:$B$14*Assumptions!$B$11/Projects!$D$10:$D$14*0.95)+SUMPRODUCT((Projects!$G$10:$G$14="Yes")*(102=Projects!$C$10:$C$14+Projects!$D$10:$D$14-1)*Projects!$B$10:$B$14*Assumptions!$B$11*0.05)+SUMPRODUCT((Projects!$G$17:$G$46="Yes")*(102&gt;=Projects!$C$17:$C$46)*(102&lt;Projects!$C$17:$C$46+Projects!$D$17:$D$46)*Projects!$B$17:$B$46*(ROW(Projects!$B$17:$B$46)&lt;&gt;21)*Assumptions!$B$11/Projects!$D$17:$D$46*0.95)+SUMPRODUCT((Projects!$G$17:$G$46="Yes")*(102=Projects!$C$17:$C$46+Projects!$D$17:$D$46-1)*Projects!$B$17:$B$46*(ROW(Projects!$B$17:$B$46)&lt;&gt;21)*Assumptions!$B$11*0.05)+0+IF(AND(Projects!$G$21="Yes",102&gt;=Projects!$C$21,102&lt;Projects!$C$21+Projects!$D$21),(Projects!$O$21)/Projects!$D$21*0.95,0)+IF(AND(Projects!$G$21="Yes",102=Projects!$C$21+Projects!$D$21-1),(Projects!$O$21)*0.05,0),Actuals!DC10)</f>
        <v>0</v>
      </c>
      <c r="DC11" s="13" t="n">
        <f aca="false">IF(ISBLANK(Actuals!DD10),0+SUMPRODUCT((Projects!$G$10:$G$14="Yes")*(103&gt;=Projects!$C$10:$C$14)*(103&lt;Projects!$C$10:$C$14+Projects!$D$10:$D$14)*Projects!$B$10:$B$14*Assumptions!$B$11/Projects!$D$10:$D$14*0.95)+SUMPRODUCT((Projects!$G$10:$G$14="Yes")*(103=Projects!$C$10:$C$14+Projects!$D$10:$D$14-1)*Projects!$B$10:$B$14*Assumptions!$B$11*0.05)+SUMPRODUCT((Projects!$G$17:$G$46="Yes")*(103&gt;=Projects!$C$17:$C$46)*(103&lt;Projects!$C$17:$C$46+Projects!$D$17:$D$46)*Projects!$B$17:$B$46*(ROW(Projects!$B$17:$B$46)&lt;&gt;21)*Assumptions!$B$11/Projects!$D$17:$D$46*0.95)+SUMPRODUCT((Projects!$G$17:$G$46="Yes")*(103=Projects!$C$17:$C$46+Projects!$D$17:$D$46-1)*Projects!$B$17:$B$46*(ROW(Projects!$B$17:$B$46)&lt;&gt;21)*Assumptions!$B$11*0.05)+0+IF(AND(Projects!$G$21="Yes",103&gt;=Projects!$C$21,103&lt;Projects!$C$21+Projects!$D$21),(Projects!$O$21)/Projects!$D$21*0.95,0)+IF(AND(Projects!$G$21="Yes",103=Projects!$C$21+Projects!$D$21-1),(Projects!$O$21)*0.05,0),Actuals!DD10)</f>
        <v>0</v>
      </c>
      <c r="DD11" s="13" t="n">
        <f aca="false">IF(ISBLANK(Actuals!DE10),0+SUMPRODUCT((Projects!$G$10:$G$14="Yes")*(104&gt;=Projects!$C$10:$C$14)*(104&lt;Projects!$C$10:$C$14+Projects!$D$10:$D$14)*Projects!$B$10:$B$14*Assumptions!$B$11/Projects!$D$10:$D$14*0.95)+SUMPRODUCT((Projects!$G$10:$G$14="Yes")*(104=Projects!$C$10:$C$14+Projects!$D$10:$D$14-1)*Projects!$B$10:$B$14*Assumptions!$B$11*0.05)+SUMPRODUCT((Projects!$G$17:$G$46="Yes")*(104&gt;=Projects!$C$17:$C$46)*(104&lt;Projects!$C$17:$C$46+Projects!$D$17:$D$46)*Projects!$B$17:$B$46*(ROW(Projects!$B$17:$B$46)&lt;&gt;21)*Assumptions!$B$11/Projects!$D$17:$D$46*0.95)+SUMPRODUCT((Projects!$G$17:$G$46="Yes")*(104=Projects!$C$17:$C$46+Projects!$D$17:$D$46-1)*Projects!$B$17:$B$46*(ROW(Projects!$B$17:$B$46)&lt;&gt;21)*Assumptions!$B$11*0.05)+0+IF(AND(Projects!$G$21="Yes",104&gt;=Projects!$C$21,104&lt;Projects!$C$21+Projects!$D$21),(Projects!$O$21)/Projects!$D$21*0.95,0)+IF(AND(Projects!$G$21="Yes",104=Projects!$C$21+Projects!$D$21-1),(Projects!$O$21)*0.05,0),Actuals!DE10)</f>
        <v>0</v>
      </c>
      <c r="DE11" s="13" t="n">
        <f aca="false">IF(ISBLANK(Actuals!DF10),0+SUMPRODUCT((Projects!$G$10:$G$14="Yes")*(105&gt;=Projects!$C$10:$C$14)*(105&lt;Projects!$C$10:$C$14+Projects!$D$10:$D$14)*Projects!$B$10:$B$14*Assumptions!$B$11/Projects!$D$10:$D$14*0.95)+SUMPRODUCT((Projects!$G$10:$G$14="Yes")*(105=Projects!$C$10:$C$14+Projects!$D$10:$D$14-1)*Projects!$B$10:$B$14*Assumptions!$B$11*0.05)+SUMPRODUCT((Projects!$G$17:$G$46="Yes")*(105&gt;=Projects!$C$17:$C$46)*(105&lt;Projects!$C$17:$C$46+Projects!$D$17:$D$46)*Projects!$B$17:$B$46*(ROW(Projects!$B$17:$B$46)&lt;&gt;21)*Assumptions!$B$11/Projects!$D$17:$D$46*0.95)+SUMPRODUCT((Projects!$G$17:$G$46="Yes")*(105=Projects!$C$17:$C$46+Projects!$D$17:$D$46-1)*Projects!$B$17:$B$46*(ROW(Projects!$B$17:$B$46)&lt;&gt;21)*Assumptions!$B$11*0.05)+0+IF(AND(Projects!$G$21="Yes",105&gt;=Projects!$C$21,105&lt;Projects!$C$21+Projects!$D$21),(Projects!$O$21)/Projects!$D$21*0.95,0)+IF(AND(Projects!$G$21="Yes",105=Projects!$C$21+Projects!$D$21-1),(Projects!$O$21)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fals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v>635529.47</v>
      </c>
      <c r="K13" s="19" t="n">
        <v>1090625.42</v>
      </c>
      <c r="L13" s="19" t="n">
        <v>505960.25</v>
      </c>
      <c r="M13" s="19" t="n">
        <v>56217.81</v>
      </c>
      <c r="N13" s="19" t="n">
        <v>0</v>
      </c>
      <c r="O13" s="19" t="n">
        <v>0</v>
      </c>
      <c r="P13" s="19" t="n">
        <v>0</v>
      </c>
      <c r="Q13" s="19" t="n">
        <v>0</v>
      </c>
      <c r="R13" s="19" t="n">
        <v>0</v>
      </c>
      <c r="S13" s="19" t="n">
        <v>0</v>
      </c>
      <c r="T13" s="19" t="n">
        <v>0</v>
      </c>
      <c r="U13" s="19" t="n">
        <v>0</v>
      </c>
      <c r="V13" s="19" t="n">
        <v>0</v>
      </c>
      <c r="W13" s="19" t="n">
        <v>0</v>
      </c>
      <c r="X13" s="19" t="n">
        <v>0</v>
      </c>
      <c r="Y13" s="19" t="n">
        <v>0</v>
      </c>
      <c r="Z13" s="19" t="n">
        <v>0</v>
      </c>
      <c r="AA13" s="19" t="n">
        <v>0</v>
      </c>
      <c r="AB13" s="19" t="n">
        <v>0</v>
      </c>
      <c r="AC13" s="19" t="n">
        <v>0</v>
      </c>
      <c r="AD13" s="19" t="n">
        <v>0</v>
      </c>
      <c r="AE13" s="19" t="n">
        <v>0</v>
      </c>
      <c r="AF13" s="19" t="n">
        <v>0</v>
      </c>
      <c r="AG13" s="19" t="n">
        <v>0</v>
      </c>
      <c r="AH13" s="19" t="n">
        <v>0</v>
      </c>
      <c r="AI13" s="19" t="n">
        <v>0</v>
      </c>
      <c r="AJ13" s="19" t="n">
        <v>0</v>
      </c>
      <c r="AK13" s="19" t="n">
        <v>0</v>
      </c>
      <c r="AL13" s="19" t="n">
        <v>0</v>
      </c>
      <c r="AM13" s="19" t="n">
        <v>0</v>
      </c>
      <c r="AN13" s="19" t="n">
        <v>0</v>
      </c>
      <c r="AO13" s="19" t="n">
        <v>0</v>
      </c>
      <c r="AP13" s="19" t="n">
        <v>0</v>
      </c>
      <c r="AQ13" s="19" t="n">
        <v>0</v>
      </c>
      <c r="AR13" s="19" t="n">
        <v>0</v>
      </c>
      <c r="AS13" s="19" t="n">
        <v>0</v>
      </c>
      <c r="AT13" s="19" t="n">
        <v>0</v>
      </c>
      <c r="AU13" s="19" t="n">
        <v>0</v>
      </c>
      <c r="AV13" s="19" t="n">
        <v>0</v>
      </c>
      <c r="AW13" s="19" t="n">
        <v>0</v>
      </c>
      <c r="AX13" s="19" t="n">
        <v>0</v>
      </c>
      <c r="AY13" s="19" t="n">
        <v>0</v>
      </c>
      <c r="AZ13" s="19" t="n">
        <v>0</v>
      </c>
      <c r="BA13" s="19" t="n">
        <v>0</v>
      </c>
      <c r="BB13" s="19" t="n">
        <v>0</v>
      </c>
      <c r="BC13" s="19" t="n">
        <v>0</v>
      </c>
      <c r="BD13" s="19" t="n">
        <v>0</v>
      </c>
      <c r="BE13" s="19" t="n">
        <v>0</v>
      </c>
      <c r="BF13" s="19" t="n">
        <v>0</v>
      </c>
      <c r="BG13" s="19" t="n">
        <v>0</v>
      </c>
      <c r="BH13" s="19" t="n">
        <v>0</v>
      </c>
      <c r="BI13" s="19" t="n">
        <v>0</v>
      </c>
      <c r="BJ13" s="19" t="n">
        <v>0</v>
      </c>
      <c r="BK13" s="19" t="n">
        <v>0</v>
      </c>
      <c r="BL13" s="19" t="n">
        <v>0</v>
      </c>
      <c r="BM13" s="19" t="n">
        <v>0</v>
      </c>
      <c r="BN13" s="19" t="n">
        <v>0</v>
      </c>
      <c r="BO13" s="19" t="n">
        <v>0</v>
      </c>
      <c r="BP13" s="19" t="n">
        <v>0</v>
      </c>
      <c r="BQ13" s="19" t="n">
        <v>0</v>
      </c>
      <c r="BR13" s="19" t="n">
        <v>0</v>
      </c>
      <c r="BS13" s="19" t="n">
        <v>0</v>
      </c>
      <c r="BT13" s="19" t="n">
        <v>0</v>
      </c>
      <c r="BU13" s="19" t="n">
        <v>0</v>
      </c>
      <c r="BV13" s="19" t="n">
        <v>0</v>
      </c>
      <c r="BW13" s="19" t="n">
        <v>0</v>
      </c>
      <c r="BX13" s="19" t="n">
        <v>0</v>
      </c>
      <c r="BY13" s="19" t="n">
        <v>0</v>
      </c>
      <c r="BZ13" s="19" t="n">
        <v>0</v>
      </c>
      <c r="CA13" s="19" t="n">
        <v>0</v>
      </c>
      <c r="CB13" s="19" t="n">
        <v>0</v>
      </c>
      <c r="CC13" s="19" t="n">
        <v>0</v>
      </c>
      <c r="CD13" s="19" t="n">
        <v>0</v>
      </c>
      <c r="CE13" s="19" t="n">
        <v>0</v>
      </c>
      <c r="CF13" s="19" t="n">
        <v>0</v>
      </c>
      <c r="CG13" s="19" t="n">
        <v>0</v>
      </c>
      <c r="CH13" s="19" t="n">
        <v>0</v>
      </c>
      <c r="CI13" s="19" t="n">
        <v>0</v>
      </c>
      <c r="CJ13" s="19" t="n">
        <v>0</v>
      </c>
      <c r="CK13" s="19" t="n">
        <v>0</v>
      </c>
      <c r="CL13" s="19" t="n">
        <v>0</v>
      </c>
      <c r="CM13" s="19" t="n">
        <v>0</v>
      </c>
      <c r="CN13" s="19" t="n">
        <v>0</v>
      </c>
      <c r="CO13" s="19" t="n">
        <v>0</v>
      </c>
      <c r="CP13" s="19" t="n">
        <v>0</v>
      </c>
      <c r="CQ13" s="19" t="n">
        <v>0</v>
      </c>
      <c r="CR13" s="19" t="n">
        <v>0</v>
      </c>
      <c r="CS13" s="19" t="n">
        <v>0</v>
      </c>
      <c r="CT13" s="19" t="n">
        <v>0</v>
      </c>
      <c r="CU13" s="19" t="n">
        <v>0</v>
      </c>
      <c r="CV13" s="19" t="n">
        <v>0</v>
      </c>
      <c r="CW13" s="19" t="n">
        <v>0</v>
      </c>
      <c r="CX13" s="19" t="n">
        <v>0</v>
      </c>
      <c r="CY13" s="19" t="n">
        <v>0</v>
      </c>
      <c r="CZ13" s="19" t="n">
        <v>0</v>
      </c>
      <c r="DA13" s="19" t="n">
        <v>0</v>
      </c>
      <c r="DB13" s="19" t="n">
        <v>0</v>
      </c>
      <c r="DC13" s="19" t="n">
        <v>0</v>
      </c>
      <c r="DD13" s="19" t="n">
        <v>0</v>
      </c>
      <c r="DE13" s="19" t="n">
        <v>0</v>
      </c>
    </row>
    <row r="14" customFormat="false" ht="15" hidden="fals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1194967.04</v>
      </c>
      <c r="K14" s="19" t="n">
        <v>815077.04</v>
      </c>
      <c r="L14" s="19" t="n">
        <v>741216.48</v>
      </c>
      <c r="M14" s="19" t="n">
        <v>749168.4</v>
      </c>
      <c r="N14" s="19" t="n">
        <v>971939.79</v>
      </c>
      <c r="O14" s="19" t="n">
        <v>809808.44</v>
      </c>
      <c r="P14" s="19" t="n">
        <v>1050106.48</v>
      </c>
      <c r="Q14" s="19" t="n">
        <v>858162.3</v>
      </c>
      <c r="R14" s="19" t="n">
        <v>677761.69</v>
      </c>
      <c r="S14" s="19" t="n">
        <v>619657.29</v>
      </c>
      <c r="T14" s="19" t="n">
        <v>833901.29</v>
      </c>
      <c r="U14" s="19" t="n">
        <v>832480.71</v>
      </c>
      <c r="V14" s="19" t="n">
        <v>283737.27</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fals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1261242.08</v>
      </c>
      <c r="K15" s="19" t="n">
        <v>461886.09</v>
      </c>
      <c r="L15" s="19" t="n">
        <v>488171.48</v>
      </c>
      <c r="M15" s="19" t="n">
        <v>650549</v>
      </c>
      <c r="N15" s="19" t="n">
        <v>585157.97</v>
      </c>
      <c r="O15" s="19" t="n">
        <v>497554.02</v>
      </c>
      <c r="P15" s="19" t="n">
        <v>597185.64</v>
      </c>
      <c r="Q15" s="19" t="n">
        <v>572361.81</v>
      </c>
      <c r="R15" s="19" t="n">
        <v>509265.9</v>
      </c>
      <c r="S15" s="19" t="n">
        <v>344727.54</v>
      </c>
      <c r="T15" s="19" t="n">
        <v>149345.54</v>
      </c>
      <c r="U15" s="19" t="n">
        <v>141640.49</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fals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1527496.71</v>
      </c>
      <c r="K16" s="19" t="n">
        <v>542154.36</v>
      </c>
      <c r="L16" s="19" t="n">
        <v>509835.57</v>
      </c>
      <c r="M16" s="19" t="n">
        <v>439331.57</v>
      </c>
      <c r="N16" s="19" t="n">
        <v>515849.83</v>
      </c>
      <c r="O16" s="19" t="n">
        <v>492274.7</v>
      </c>
      <c r="P16" s="19" t="n">
        <v>347513.21</v>
      </c>
      <c r="Q16" s="19" t="n">
        <v>326394.52</v>
      </c>
      <c r="R16" s="19" t="n">
        <v>251483.96</v>
      </c>
      <c r="S16" s="19" t="n">
        <v>612215.42</v>
      </c>
      <c r="T16" s="19" t="n">
        <v>871620.13</v>
      </c>
      <c r="U16" s="19" t="n">
        <v>588727.53</v>
      </c>
      <c r="V16" s="19" t="n">
        <v>374851.55</v>
      </c>
      <c r="W16" s="19" t="n">
        <v>145501.97</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fals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228950.43</v>
      </c>
      <c r="K17" s="19" t="n">
        <v>371003.8</v>
      </c>
      <c r="L17" s="19" t="n">
        <v>217495.84</v>
      </c>
      <c r="M17" s="19" t="n">
        <v>185467.9</v>
      </c>
      <c r="N17" s="19" t="n">
        <v>280874.08</v>
      </c>
      <c r="O17" s="19" t="n">
        <v>251083.56</v>
      </c>
      <c r="P17" s="19" t="n">
        <v>95915.43</v>
      </c>
      <c r="Q17" s="19" t="n">
        <v>80111.01</v>
      </c>
      <c r="R17" s="19" t="n">
        <v>54755.77</v>
      </c>
      <c r="S17" s="19" t="n">
        <v>16794.36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false" customHeight="true" outlineLevel="1" collapsed="false">
      <c r="A18" s="28" t="s">
        <v>12</v>
      </c>
      <c r="B18" s="19" t="n">
        <v>0</v>
      </c>
      <c r="C18" s="19" t="n">
        <v>0</v>
      </c>
      <c r="D18" s="19" t="n">
        <v>0</v>
      </c>
      <c r="E18" s="19" t="n">
        <v>0</v>
      </c>
      <c r="F18" s="19" t="n">
        <v>0</v>
      </c>
      <c r="G18" s="19" t="n">
        <v>0</v>
      </c>
      <c r="H18" s="19" t="n">
        <v>932055</v>
      </c>
      <c r="I18" s="19" t="n">
        <v>173887.43</v>
      </c>
      <c r="J18" s="19" t="n">
        <v>425637.22</v>
      </c>
      <c r="K18" s="19" t="n">
        <v>1053412.24</v>
      </c>
      <c r="L18" s="19" t="n">
        <v>684770.71</v>
      </c>
      <c r="M18" s="19" t="n">
        <v>513200.1</v>
      </c>
      <c r="N18" s="19" t="n">
        <v>653798.18</v>
      </c>
      <c r="O18" s="19" t="n">
        <v>528908.03</v>
      </c>
      <c r="P18" s="19" t="n">
        <v>638138.2</v>
      </c>
      <c r="Q18" s="19" t="n">
        <v>538967.17</v>
      </c>
      <c r="R18" s="19" t="n">
        <v>662393.2</v>
      </c>
      <c r="S18" s="19" t="n">
        <v>622572.88</v>
      </c>
      <c r="T18" s="19" t="n">
        <v>1116701.29</v>
      </c>
      <c r="U18" s="19" t="n">
        <v>713626.26</v>
      </c>
      <c r="V18" s="19" t="n">
        <v>2128085.39</v>
      </c>
      <c r="W18" s="19" t="n">
        <v>1344331.61</v>
      </c>
      <c r="X18" s="19" t="n">
        <v>2761329.57</v>
      </c>
      <c r="Y18" s="19" t="n">
        <v>1589952.85</v>
      </c>
      <c r="Z18" s="19" t="n">
        <v>2504877.59</v>
      </c>
      <c r="AA18" s="19" t="n">
        <v>2091655.82</v>
      </c>
      <c r="AB18" s="19" t="n">
        <v>1425853.63</v>
      </c>
      <c r="AC18" s="19" t="n">
        <v>902356.71</v>
      </c>
      <c r="AD18" s="19" t="n">
        <v>1068546.51</v>
      </c>
      <c r="AE18" s="19" t="n">
        <v>1002881.47</v>
      </c>
      <c r="AF18" s="19" t="n">
        <v>1240161.39</v>
      </c>
      <c r="AG18" s="19" t="n">
        <v>2153684.82</v>
      </c>
      <c r="AH18" s="19" t="n">
        <v>1998765.3</v>
      </c>
      <c r="AI18" s="19" t="n">
        <v>1954108.47</v>
      </c>
      <c r="AJ18" s="19" t="n">
        <v>1066130.08</v>
      </c>
      <c r="AK18" s="19" t="n">
        <v>885036.77</v>
      </c>
      <c r="AL18" s="19" t="n">
        <v>988661.87</v>
      </c>
      <c r="AM18" s="19" t="n">
        <v>1074702.75</v>
      </c>
      <c r="AN18" s="19" t="n">
        <v>289139.49</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fals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v>163426.21</v>
      </c>
      <c r="K19" s="19" t="n">
        <v>344698.93</v>
      </c>
      <c r="L19" s="19" t="n">
        <v>431333.03</v>
      </c>
      <c r="M19" s="19" t="n">
        <v>520661.15</v>
      </c>
      <c r="N19" s="19" t="n">
        <v>608390.91</v>
      </c>
      <c r="O19" s="19" t="n">
        <v>689649.86</v>
      </c>
      <c r="P19" s="19" t="n">
        <v>759449.54</v>
      </c>
      <c r="Q19" s="19" t="n">
        <v>813162.42</v>
      </c>
      <c r="R19" s="19" t="n">
        <v>847037.51</v>
      </c>
      <c r="S19" s="19" t="n">
        <v>858612.78</v>
      </c>
      <c r="T19" s="19" t="n">
        <v>847037.51</v>
      </c>
      <c r="U19" s="19" t="n">
        <v>813162.42</v>
      </c>
      <c r="V19" s="19" t="n">
        <v>759449.54</v>
      </c>
      <c r="W19" s="19" t="n">
        <v>689649.86</v>
      </c>
      <c r="X19" s="19" t="n">
        <v>608390.91</v>
      </c>
      <c r="Y19" s="19" t="n">
        <v>520661.15</v>
      </c>
      <c r="Z19" s="19" t="n">
        <v>431333.03</v>
      </c>
      <c r="AA19" s="19" t="n">
        <v>344698.93</v>
      </c>
      <c r="AB19" s="19" t="n">
        <v>186621.02</v>
      </c>
      <c r="AC19" s="19" t="n">
        <v>0</v>
      </c>
      <c r="AD19" s="19" t="n">
        <v>0</v>
      </c>
      <c r="AE19" s="19" t="n">
        <v>0</v>
      </c>
      <c r="AF19" s="19" t="n">
        <v>0</v>
      </c>
      <c r="AG19" s="19" t="n">
        <v>0</v>
      </c>
      <c r="AH19" s="19" t="n">
        <v>0</v>
      </c>
      <c r="AI19" s="19" t="n">
        <v>0</v>
      </c>
      <c r="AJ19" s="19" t="n">
        <v>0</v>
      </c>
      <c r="AK19" s="19" t="n">
        <v>0</v>
      </c>
      <c r="AL19" s="19" t="n">
        <v>0</v>
      </c>
      <c r="AM19" s="19" t="n">
        <v>0</v>
      </c>
      <c r="AN19" s="19" t="n">
        <v>0</v>
      </c>
      <c r="AO19" s="19" t="n">
        <v>0</v>
      </c>
      <c r="AP19" s="19" t="n">
        <v>0</v>
      </c>
      <c r="AQ19" s="19" t="n">
        <v>0</v>
      </c>
      <c r="AR19" s="19" t="n">
        <v>0</v>
      </c>
      <c r="AS19" s="19" t="n">
        <v>0</v>
      </c>
      <c r="AT19" s="19" t="n">
        <v>0</v>
      </c>
      <c r="AU19" s="19" t="n">
        <v>0</v>
      </c>
      <c r="AV19" s="19" t="n">
        <v>0</v>
      </c>
      <c r="AW19" s="19" t="n">
        <v>0</v>
      </c>
      <c r="AX19" s="19" t="n">
        <v>0</v>
      </c>
      <c r="AY19" s="19" t="n">
        <v>0</v>
      </c>
      <c r="AZ19" s="19" t="n">
        <v>0</v>
      </c>
      <c r="BA19" s="19" t="n">
        <v>0</v>
      </c>
      <c r="BB19" s="19" t="n">
        <v>0</v>
      </c>
      <c r="BC19" s="19" t="n">
        <v>0</v>
      </c>
      <c r="BD19" s="19" t="n">
        <v>0</v>
      </c>
      <c r="BE19" s="19" t="n">
        <v>0</v>
      </c>
      <c r="BF19" s="19" t="n">
        <v>0</v>
      </c>
      <c r="BG19" s="19" t="n">
        <v>0</v>
      </c>
      <c r="BH19" s="19" t="n">
        <v>0</v>
      </c>
      <c r="BI19" s="19" t="n">
        <v>0</v>
      </c>
      <c r="BJ19" s="19" t="n">
        <v>0</v>
      </c>
      <c r="BK19" s="19" t="n">
        <v>0</v>
      </c>
      <c r="BL19" s="19" t="n">
        <v>0</v>
      </c>
      <c r="BM19" s="19" t="n">
        <v>0</v>
      </c>
      <c r="BN19" s="19" t="n">
        <v>0</v>
      </c>
      <c r="BO19" s="19" t="n">
        <v>0</v>
      </c>
      <c r="BP19" s="19" t="n">
        <v>0</v>
      </c>
      <c r="BQ19" s="19" t="n">
        <v>0</v>
      </c>
      <c r="BR19" s="19" t="n">
        <v>0</v>
      </c>
      <c r="BS19" s="19" t="n">
        <v>0</v>
      </c>
      <c r="BT19" s="19" t="n">
        <v>0</v>
      </c>
      <c r="BU19" s="19" t="n">
        <v>0</v>
      </c>
      <c r="BV19" s="19" t="n">
        <v>0</v>
      </c>
      <c r="BW19" s="19" t="n">
        <v>0</v>
      </c>
      <c r="BX19" s="19" t="n">
        <v>0</v>
      </c>
      <c r="BY19" s="19" t="n">
        <v>0</v>
      </c>
      <c r="BZ19" s="19" t="n">
        <v>0</v>
      </c>
      <c r="CA19" s="19" t="n">
        <v>0</v>
      </c>
      <c r="CB19" s="19" t="n">
        <v>0</v>
      </c>
      <c r="CC19" s="19" t="n">
        <v>0</v>
      </c>
      <c r="CD19" s="19" t="n">
        <v>0</v>
      </c>
      <c r="CE19" s="19" t="n">
        <v>0</v>
      </c>
      <c r="CF19" s="19" t="n">
        <v>0</v>
      </c>
      <c r="CG19" s="19" t="n">
        <v>0</v>
      </c>
      <c r="CH19" s="19" t="n">
        <v>0</v>
      </c>
      <c r="CI19" s="19" t="n">
        <v>0</v>
      </c>
      <c r="CJ19" s="19" t="n">
        <v>0</v>
      </c>
      <c r="CK19" s="19" t="n">
        <v>0</v>
      </c>
      <c r="CL19" s="19" t="n">
        <v>0</v>
      </c>
      <c r="CM19" s="19" t="n">
        <v>0</v>
      </c>
      <c r="CN19" s="19" t="n">
        <v>0</v>
      </c>
      <c r="CO19" s="19" t="n">
        <v>0</v>
      </c>
      <c r="CP19" s="19" t="n">
        <v>0</v>
      </c>
      <c r="CQ19" s="19" t="n">
        <v>0</v>
      </c>
      <c r="CR19" s="19" t="n">
        <v>0</v>
      </c>
      <c r="CS19" s="19" t="n">
        <v>0</v>
      </c>
      <c r="CT19" s="19" t="n">
        <v>0</v>
      </c>
      <c r="CU19" s="19" t="n">
        <v>0</v>
      </c>
      <c r="CV19" s="19" t="n">
        <v>0</v>
      </c>
      <c r="CW19" s="19" t="n">
        <v>0</v>
      </c>
      <c r="CX19" s="19" t="n">
        <v>0</v>
      </c>
      <c r="CY19" s="19" t="n">
        <v>0</v>
      </c>
      <c r="CZ19" s="19" t="n">
        <v>0</v>
      </c>
      <c r="DA19" s="19" t="n">
        <v>0</v>
      </c>
      <c r="DB19" s="19" t="n">
        <v>0</v>
      </c>
      <c r="DC19" s="19" t="n">
        <v>0</v>
      </c>
      <c r="DD19" s="19" t="n">
        <v>0</v>
      </c>
      <c r="DE19" s="19" t="n">
        <v>0</v>
      </c>
    </row>
    <row r="20" customFormat="false" ht="15" hidden="fals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v>193610.23</v>
      </c>
      <c r="K20" s="19" t="n">
        <v>482353.29</v>
      </c>
      <c r="L20" s="19" t="n">
        <v>582247.59</v>
      </c>
      <c r="M20" s="19" t="n">
        <v>680354.47</v>
      </c>
      <c r="N20" s="19" t="n">
        <v>771225.14</v>
      </c>
      <c r="O20" s="19" t="n">
        <v>849281.08</v>
      </c>
      <c r="P20" s="19" t="n">
        <v>909347.4</v>
      </c>
      <c r="Q20" s="19" t="n">
        <v>947229.39</v>
      </c>
      <c r="R20" s="19" t="n">
        <v>960173.85</v>
      </c>
      <c r="S20" s="19" t="n">
        <v>947229.39</v>
      </c>
      <c r="T20" s="19" t="n">
        <v>909347.4</v>
      </c>
      <c r="U20" s="19" t="n">
        <v>849281.08</v>
      </c>
      <c r="V20" s="19" t="n">
        <v>771225.14</v>
      </c>
      <c r="W20" s="19" t="n">
        <v>680354.47</v>
      </c>
      <c r="X20" s="19" t="n">
        <v>582247.59</v>
      </c>
      <c r="Y20" s="19" t="n">
        <v>482353.29</v>
      </c>
      <c r="Z20" s="19" t="n">
        <v>385471.66</v>
      </c>
      <c r="AA20" s="19" t="n">
        <v>208695.5</v>
      </c>
      <c r="AB20" s="19" t="n">
        <v>0</v>
      </c>
      <c r="AC20" s="19" t="n">
        <v>0</v>
      </c>
      <c r="AD20" s="19" t="n">
        <v>0</v>
      </c>
      <c r="AE20" s="19" t="n">
        <v>0</v>
      </c>
      <c r="AF20" s="19" t="n">
        <v>0</v>
      </c>
      <c r="AG20" s="19" t="n">
        <v>0</v>
      </c>
      <c r="AH20" s="19" t="n">
        <v>0</v>
      </c>
      <c r="AI20" s="19" t="n">
        <v>0</v>
      </c>
      <c r="AJ20" s="19" t="n">
        <v>0</v>
      </c>
      <c r="AK20" s="19" t="n">
        <v>0</v>
      </c>
      <c r="AL20" s="19" t="n">
        <v>0</v>
      </c>
      <c r="AM20" s="19" t="n">
        <v>0</v>
      </c>
      <c r="AN20" s="19" t="n">
        <v>0</v>
      </c>
      <c r="AO20" s="19" t="n">
        <v>0</v>
      </c>
      <c r="AP20" s="19" t="n">
        <v>0</v>
      </c>
      <c r="AQ20" s="19" t="n">
        <v>0</v>
      </c>
      <c r="AR20" s="19" t="n">
        <v>0</v>
      </c>
      <c r="AS20" s="19" t="n">
        <v>0</v>
      </c>
      <c r="AT20" s="19" t="n">
        <v>0</v>
      </c>
      <c r="AU20" s="19" t="n">
        <v>0</v>
      </c>
      <c r="AV20" s="19" t="n">
        <v>0</v>
      </c>
      <c r="AW20" s="19" t="n">
        <v>0</v>
      </c>
      <c r="AX20" s="19" t="n">
        <v>0</v>
      </c>
      <c r="AY20" s="19" t="n">
        <v>0</v>
      </c>
      <c r="AZ20" s="19" t="n">
        <v>0</v>
      </c>
      <c r="BA20" s="19" t="n">
        <v>0</v>
      </c>
      <c r="BB20" s="19" t="n">
        <v>0</v>
      </c>
      <c r="BC20" s="19" t="n">
        <v>0</v>
      </c>
      <c r="BD20" s="19" t="n">
        <v>0</v>
      </c>
      <c r="BE20" s="19" t="n">
        <v>0</v>
      </c>
      <c r="BF20" s="19" t="n">
        <v>0</v>
      </c>
      <c r="BG20" s="19" t="n">
        <v>0</v>
      </c>
      <c r="BH20" s="19" t="n">
        <v>0</v>
      </c>
      <c r="BI20" s="19" t="n">
        <v>0</v>
      </c>
      <c r="BJ20" s="19" t="n">
        <v>0</v>
      </c>
      <c r="BK20" s="19" t="n">
        <v>0</v>
      </c>
      <c r="BL20" s="19" t="n">
        <v>0</v>
      </c>
      <c r="BM20" s="19" t="n">
        <v>0</v>
      </c>
      <c r="BN20" s="19" t="n">
        <v>0</v>
      </c>
      <c r="BO20" s="19" t="n">
        <v>0</v>
      </c>
      <c r="BP20" s="19" t="n">
        <v>0</v>
      </c>
      <c r="BQ20" s="19" t="n">
        <v>0</v>
      </c>
      <c r="BR20" s="19" t="n">
        <v>0</v>
      </c>
      <c r="BS20" s="19" t="n">
        <v>0</v>
      </c>
      <c r="BT20" s="19" t="n">
        <v>0</v>
      </c>
      <c r="BU20" s="19" t="n">
        <v>0</v>
      </c>
      <c r="BV20" s="19" t="n">
        <v>0</v>
      </c>
      <c r="BW20" s="19" t="n">
        <v>0</v>
      </c>
      <c r="BX20" s="19" t="n">
        <v>0</v>
      </c>
      <c r="BY20" s="19" t="n">
        <v>0</v>
      </c>
      <c r="BZ20" s="19" t="n">
        <v>0</v>
      </c>
      <c r="CA20" s="19" t="n">
        <v>0</v>
      </c>
      <c r="CB20" s="19" t="n">
        <v>0</v>
      </c>
      <c r="CC20" s="19" t="n">
        <v>0</v>
      </c>
      <c r="CD20" s="19" t="n">
        <v>0</v>
      </c>
      <c r="CE20" s="19" t="n">
        <v>0</v>
      </c>
      <c r="CF20" s="19" t="n">
        <v>0</v>
      </c>
      <c r="CG20" s="19" t="n">
        <v>0</v>
      </c>
      <c r="CH20" s="19" t="n">
        <v>0</v>
      </c>
      <c r="CI20" s="19" t="n">
        <v>0</v>
      </c>
      <c r="CJ20" s="19" t="n">
        <v>0</v>
      </c>
      <c r="CK20" s="19" t="n">
        <v>0</v>
      </c>
      <c r="CL20" s="19" t="n">
        <v>0</v>
      </c>
      <c r="CM20" s="19" t="n">
        <v>0</v>
      </c>
      <c r="CN20" s="19" t="n">
        <v>0</v>
      </c>
      <c r="CO20" s="19" t="n">
        <v>0</v>
      </c>
      <c r="CP20" s="19" t="n">
        <v>0</v>
      </c>
      <c r="CQ20" s="19" t="n">
        <v>0</v>
      </c>
      <c r="CR20" s="19" t="n">
        <v>0</v>
      </c>
      <c r="CS20" s="19" t="n">
        <v>0</v>
      </c>
      <c r="CT20" s="19" t="n">
        <v>0</v>
      </c>
      <c r="CU20" s="19" t="n">
        <v>0</v>
      </c>
      <c r="CV20" s="19" t="n">
        <v>0</v>
      </c>
      <c r="CW20" s="19" t="n">
        <v>0</v>
      </c>
      <c r="CX20" s="19" t="n">
        <v>0</v>
      </c>
      <c r="CY20" s="19" t="n">
        <v>0</v>
      </c>
      <c r="CZ20" s="19" t="n">
        <v>0</v>
      </c>
      <c r="DA20" s="19" t="n">
        <v>0</v>
      </c>
      <c r="DB20" s="19" t="n">
        <v>0</v>
      </c>
      <c r="DC20" s="19" t="n">
        <v>0</v>
      </c>
      <c r="DD20" s="19" t="n">
        <v>0</v>
      </c>
      <c r="DE20" s="19" t="n">
        <v>0</v>
      </c>
    </row>
    <row r="21" customFormat="false" ht="15" hidden="fals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0</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0</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0</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0</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0</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0</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334505.743043865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416135.954838865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503507.285983865</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594727.293433865</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687265.631993865</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778294.268798865</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864623.693098865</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943000.603928865</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1010278.01734886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1063542.84687386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1100477.38135886</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1119380.54840386</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1119380.54840386</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1100477.38135886</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1063542.84687386</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1010278.01734886</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943000.603928865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864623.693098865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778294.268798865</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687265.631993865</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594727.293433865</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503507.285983865</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416135.954838865</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206509.613476115</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fals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fals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fals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0</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0</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556266.059712783</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665675.842802783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781966.174932784</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903552.719152783</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1028579.53789278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1154783.29265278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1279674.31108278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1400536.58698278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1514473.04707278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1618722.41838278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1710478.16117278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1787250.60309278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1846912.20595278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1887652.29895278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1908339.21284278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1908339.21284278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1887652.29895278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1846912.20595278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1787250.60309278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1710478.16117278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1618722.41838278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1514473.04707278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1400536.58698278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1279674.31108278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1154783.29265278</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1028579.53789278</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903552.719152783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781966.174932784</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665675.842802783</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283780.474359283</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fals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fals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0</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0</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0</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0</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291464.41266025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380251.25164025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475820.81358525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574362.26043525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671140.48370525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760780.49538525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837779.33156025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897032.17557525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934401.13983525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947170.29124525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934401.13983525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897032.17557525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837779.33156025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760780.49538525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671140.48370525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574362.26043525</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475820.81358525</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380251.25164025</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205869.1505555</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fals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236490.66170925</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308531.21756925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386075.19193425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466030.51738425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544555.18477425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617287.99453425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679763.90900925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727840.94236425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758161.66318425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768522.39655425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758161.66318425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727840.94236425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679763.90900925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617287.99453425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544555.18477425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466030.51738425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386075.19193425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308531.21756925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167039.7123135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0</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false" customHeight="true" outlineLevel="1" collapsed="false">
      <c r="A28" s="28" t="s">
        <v>22</v>
      </c>
      <c r="B28" s="19" t="n">
        <v>0</v>
      </c>
      <c r="C28" s="19" t="n">
        <v>0</v>
      </c>
      <c r="D28" s="19" t="n">
        <v>0</v>
      </c>
      <c r="E28" s="19" t="n">
        <v>0</v>
      </c>
      <c r="F28" s="19" t="n">
        <f aca="false">IF(AND(Projects!$G$19="Yes",F$3&gt;=Projects!$C$19,F$3&lt;Projects!$C$19+Projects!$D$19),Projects!$B$19*INDEX(Curves!$B$10:$AR$10,1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$10:$AR$10,1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$10:$AR$10,1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$10:$AR$10,1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$10:$AR$10,1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$10:$AR$10,1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$10:$AR$10,1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$10:$AR$10,1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$10:$AR$10,1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$10:$AR$10,1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$10:$AR$10,1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$10:$AR$10,1,Q$3-Projects!$C$19+1),0)-IF(AND(Projects!$G$19="Yes",Q$3&gt;=Projects!$C$19,Q$3&lt;Projects!$C$19+Projects!$D$19),Projects!$B$19*(Assumptions!$B$10+Assumptions!$B$11+Assumptions!$B$12)/Projects!$D$19*0.95,0)-IF(AND(Projects!$G$19="Yes",Q$3=Projects!$C$19+Projects!$D$19-1),Projects!$B$19*(Assumptions!$B$10+Assumptions!$B$11+Assumptions!$B$12)*0.05,0)</f>
        <v>410240.522810006</v>
      </c>
      <c r="R28" s="19" t="n">
        <f aca="false">IF(AND(Projects!$G$19="Yes",R$3&gt;=Projects!$C$19,R$3&lt;Projects!$C$19+Projects!$D$19),Projects!$B$19*INDEX(Curves!$B$10:$AR$10,1,R$3-Projects!$C$19+1),0)-IF(AND(Projects!$G$19="Yes",R$3&gt;=Projects!$C$19,R$3&lt;Projects!$C$19+Projects!$D$19),Projects!$B$19*(Assumptions!$B$10+Assumptions!$B$11+Assumptions!$B$12)/Projects!$D$19*0.95,0)-IF(AND(Projects!$G$19="Yes",R$3=Projects!$C$19+Projects!$D$19-1),Projects!$B$19*(Assumptions!$B$10+Assumptions!$B$11+Assumptions!$B$12)*0.05,0)</f>
        <v>541775.431953637</v>
      </c>
      <c r="S28" s="19" t="n">
        <f aca="false">IF(AND(Projects!$G$19="Yes",S$3&gt;=Projects!$C$19,S$3&lt;Projects!$C$19+Projects!$D$19),Projects!$B$19*INDEX(Curves!$B$10:$AR$10,1,S$3-Projects!$C$19+1),0)-IF(AND(Projects!$G$19="Yes",S$3&gt;=Projects!$C$19,S$3&lt;Projects!$C$19+Projects!$D$19),Projects!$B$19*(Assumptions!$B$10+Assumptions!$B$11+Assumptions!$B$12)/Projects!$D$19*0.95,0)-IF(AND(Projects!$G$19="Yes",S$3=Projects!$C$19+Projects!$D$19-1),Projects!$B$19*(Assumptions!$B$10+Assumptions!$B$11+Assumptions!$B$12)*0.05,0)</f>
        <v>683085.791293572</v>
      </c>
      <c r="T28" s="19" t="n">
        <f aca="false">IF(AND(Projects!$G$19="Yes",T$3&gt;=Projects!$C$19,T$3&lt;Projects!$C$19+Projects!$D$19),Projects!$B$19*INDEX(Curves!$B$10:$AR$10,1,T$3-Projects!$C$19+1),0)-IF(AND(Projects!$G$19="Yes",T$3&gt;=Projects!$C$19,T$3&lt;Projects!$C$19+Projects!$D$19),Projects!$B$19*(Assumptions!$B$10+Assumptions!$B$11+Assumptions!$B$12)/Projects!$D$19*0.95,0)-IF(AND(Projects!$G$19="Yes",T$3=Projects!$C$19+Projects!$D$19-1),Projects!$B$19*(Assumptions!$B$10+Assumptions!$B$11+Assumptions!$B$12)*0.05,0)</f>
        <v>827718.370996161</v>
      </c>
      <c r="U28" s="19" t="n">
        <f aca="false">IF(AND(Projects!$G$19="Yes",U$3&gt;=Projects!$C$19,U$3&lt;Projects!$C$19+Projects!$D$19),Projects!$B$19*INDEX(Curves!$B$10:$AR$10,1,U$3-Projects!$C$19+1),0)-IF(AND(Projects!$G$19="Yes",U$3&gt;=Projects!$C$19,U$3&lt;Projects!$C$19+Projects!$D$19),Projects!$B$19*(Assumptions!$B$10+Assumptions!$B$11+Assumptions!$B$12)/Projects!$D$19*0.95,0)-IF(AND(Projects!$G$19="Yes",U$3=Projects!$C$19+Projects!$D$19-1),Projects!$B$19*(Assumptions!$B$10+Assumptions!$B$11+Assumptions!$B$12)*0.05,0)</f>
        <v>967743.153937676</v>
      </c>
      <c r="V28" s="19" t="n">
        <f aca="false">IF(AND(Projects!$G$19="Yes",V$3&gt;=Projects!$C$19,V$3&lt;Projects!$C$19+Projects!$D$19),Projects!$B$19*INDEX(Curves!$B$10:$AR$10,1,V$3-Projects!$C$19+1),0)-IF(AND(Projects!$G$19="Yes",V$3&gt;=Projects!$C$19,V$3&lt;Projects!$C$19+Projects!$D$19),Projects!$B$19*(Assumptions!$B$10+Assumptions!$B$11+Assumptions!$B$12)/Projects!$D$19*0.95,0)-IF(AND(Projects!$G$19="Yes",V$3=Projects!$C$19+Projects!$D$19-1),Projects!$B$19*(Assumptions!$B$10+Assumptions!$B$11+Assumptions!$B$12)*0.05,0)</f>
        <v>1094357.27558114</v>
      </c>
      <c r="W28" s="19" t="n">
        <f aca="false">IF(AND(Projects!$G$19="Yes",W$3&gt;=Projects!$C$19,W$3&lt;Projects!$C$19+Projects!$D$19),Projects!$B$19*INDEX(Curves!$B$10:$AR$10,1,W$3-Projects!$C$19+1),0)-IF(AND(Projects!$G$19="Yes",W$3&gt;=Projects!$C$19,W$3&lt;Projects!$C$19+Projects!$D$19),Projects!$B$19*(Assumptions!$B$10+Assumptions!$B$11+Assumptions!$B$12)/Projects!$D$19*0.95,0)-IF(AND(Projects!$G$19="Yes",W$3=Projects!$C$19+Projects!$D$19-1),Projects!$B$19*(Assumptions!$B$10+Assumptions!$B$11+Assumptions!$B$12)*0.05,0)</f>
        <v>1198804.70979243</v>
      </c>
      <c r="X28" s="19" t="n">
        <f aca="false">IF(AND(Projects!$G$19="Yes",X$3&gt;=Projects!$C$19,X$3&lt;Projects!$C$19+Projects!$D$19),Projects!$B$19*INDEX(Curves!$B$10:$AR$10,1,X$3-Projects!$C$19+1),0)-IF(AND(Projects!$G$19="Yes",X$3&gt;=Projects!$C$19,X$3&lt;Projects!$C$19+Projects!$D$19),Projects!$B$19*(Assumptions!$B$10+Assumptions!$B$11+Assumptions!$B$12)/Projects!$D$19*0.95,0)-IF(AND(Projects!$G$19="Yes",X$3=Projects!$C$19+Projects!$D$19-1),Projects!$B$19*(Assumptions!$B$10+Assumptions!$B$11+Assumptions!$B$12)*0.05,0)</f>
        <v>1273338.93577902</v>
      </c>
      <c r="Y28" s="19" t="n">
        <f aca="false">IF(AND(Projects!$G$19="Yes",Y$3&gt;=Projects!$C$19,Y$3&lt;Projects!$C$19+Projects!$D$19),Projects!$B$19*INDEX(Curves!$B$10:$AR$10,1,Y$3-Projects!$C$19+1),0)-IF(AND(Projects!$G$19="Yes",Y$3&gt;=Projects!$C$19,Y$3&lt;Projects!$C$19+Projects!$D$19),Projects!$B$19*(Assumptions!$B$10+Assumptions!$B$11+Assumptions!$B$12)/Projects!$D$19*0.95,0)-IF(AND(Projects!$G$19="Yes",Y$3=Projects!$C$19+Projects!$D$19-1),Projects!$B$19*(Assumptions!$B$10+Assumptions!$B$11+Assumptions!$B$12)*0.05,0)</f>
        <v>1312161.91030723</v>
      </c>
      <c r="Z28" s="19" t="n">
        <f aca="false">IF(AND(Projects!$G$19="Yes",Z$3&gt;=Projects!$C$19,Z$3&lt;Projects!$C$19+Projects!$D$19),Projects!$B$19*INDEX(Curves!$B$10:$AR$10,1,Z$3-Projects!$C$19+1),0)-IF(AND(Projects!$G$19="Yes",Z$3&gt;=Projects!$C$19,Z$3&lt;Projects!$C$19+Projects!$D$19),Projects!$B$19*(Assumptions!$B$10+Assumptions!$B$11+Assumptions!$B$12)/Projects!$D$19*0.95,0)-IF(AND(Projects!$G$19="Yes",Z$3=Projects!$C$19+Projects!$D$19-1),Projects!$B$19*(Assumptions!$B$10+Assumptions!$B$11+Assumptions!$B$12)*0.05,0)</f>
        <v>1312161.91030723</v>
      </c>
      <c r="AA28" s="19" t="n">
        <f aca="false">IF(AND(Projects!$G$19="Yes",AA$3&gt;=Projects!$C$19,AA$3&lt;Projects!$C$19+Projects!$D$19),Projects!$B$19*INDEX(Curves!$B$10:$AR$10,1,AA$3-Projects!$C$19+1),0)-IF(AND(Projects!$G$19="Yes",AA$3&gt;=Projects!$C$19,AA$3&lt;Projects!$C$19+Projects!$D$19),Projects!$B$19*(Assumptions!$B$10+Assumptions!$B$11+Assumptions!$B$12)/Projects!$D$19*0.95,0)-IF(AND(Projects!$G$19="Yes",AA$3=Projects!$C$19+Projects!$D$19-1),Projects!$B$19*(Assumptions!$B$10+Assumptions!$B$11+Assumptions!$B$12)*0.05,0)</f>
        <v>1273338.93577902</v>
      </c>
      <c r="AB28" s="19" t="n">
        <f aca="false">IF(AND(Projects!$G$19="Yes",AB$3&gt;=Projects!$C$19,AB$3&lt;Projects!$C$19+Projects!$D$19),Projects!$B$19*INDEX(Curves!$B$10:$AR$10,1,AB$3-Projects!$C$19+1),0)-IF(AND(Projects!$G$19="Yes",AB$3&gt;=Projects!$C$19,AB$3&lt;Projects!$C$19+Projects!$D$19),Projects!$B$19*(Assumptions!$B$10+Assumptions!$B$11+Assumptions!$B$12)/Projects!$D$19*0.95,0)-IF(AND(Projects!$G$19="Yes",AB$3=Projects!$C$19+Projects!$D$19-1),Projects!$B$19*(Assumptions!$B$10+Assumptions!$B$11+Assumptions!$B$12)*0.05,0)</f>
        <v>1198804.70979243</v>
      </c>
      <c r="AC28" s="19" t="n">
        <f aca="false">IF(AND(Projects!$G$19="Yes",AC$3&gt;=Projects!$C$19,AC$3&lt;Projects!$C$19+Projects!$D$19),Projects!$B$19*INDEX(Curves!$B$10:$AR$10,1,AC$3-Projects!$C$19+1),0)-IF(AND(Projects!$G$19="Yes",AC$3&gt;=Projects!$C$19,AC$3&lt;Projects!$C$19+Projects!$D$19),Projects!$B$19*(Assumptions!$B$10+Assumptions!$B$11+Assumptions!$B$12)/Projects!$D$19*0.95,0)-IF(AND(Projects!$G$19="Yes",AC$3=Projects!$C$19+Projects!$D$19-1),Projects!$B$19*(Assumptions!$B$10+Assumptions!$B$11+Assumptions!$B$12)*0.05,0)</f>
        <v>1094357.27558114</v>
      </c>
      <c r="AD28" s="19" t="n">
        <f aca="false">IF(AND(Projects!$G$19="Yes",AD$3&gt;=Projects!$C$19,AD$3&lt;Projects!$C$19+Projects!$D$19),Projects!$B$19*INDEX(Curves!$B$10:$AR$10,1,AD$3-Projects!$C$19+1),0)-IF(AND(Projects!$G$19="Yes",AD$3&gt;=Projects!$C$19,AD$3&lt;Projects!$C$19+Projects!$D$19),Projects!$B$19*(Assumptions!$B$10+Assumptions!$B$11+Assumptions!$B$12)/Projects!$D$19*0.95,0)-IF(AND(Projects!$G$19="Yes",AD$3=Projects!$C$19+Projects!$D$19-1),Projects!$B$19*(Assumptions!$B$10+Assumptions!$B$11+Assumptions!$B$12)*0.05,0)</f>
        <v>967743.153937676</v>
      </c>
      <c r="AE28" s="19" t="n">
        <f aca="false">IF(AND(Projects!$G$19="Yes",AE$3&gt;=Projects!$C$19,AE$3&lt;Projects!$C$19+Projects!$D$19),Projects!$B$19*INDEX(Curves!$B$10:$AR$10,1,AE$3-Projects!$C$19+1),0)-IF(AND(Projects!$G$19="Yes",AE$3&gt;=Projects!$C$19,AE$3&lt;Projects!$C$19+Projects!$D$19),Projects!$B$19*(Assumptions!$B$10+Assumptions!$B$11+Assumptions!$B$12)/Projects!$D$19*0.95,0)-IF(AND(Projects!$G$19="Yes",AE$3=Projects!$C$19+Projects!$D$19-1),Projects!$B$19*(Assumptions!$B$10+Assumptions!$B$11+Assumptions!$B$12)*0.05,0)</f>
        <v>827718.370996161</v>
      </c>
      <c r="AF28" s="19" t="n">
        <f aca="false">IF(AND(Projects!$G$19="Yes",AF$3&gt;=Projects!$C$19,AF$3&lt;Projects!$C$19+Projects!$D$19),Projects!$B$19*INDEX(Curves!$B$10:$AR$10,1,AF$3-Projects!$C$19+1),0)-IF(AND(Projects!$G$19="Yes",AF$3&gt;=Projects!$C$19,AF$3&lt;Projects!$C$19+Projects!$D$19),Projects!$B$19*(Assumptions!$B$10+Assumptions!$B$11+Assumptions!$B$12)/Projects!$D$19*0.95,0)-IF(AND(Projects!$G$19="Yes",AF$3=Projects!$C$19+Projects!$D$19-1),Projects!$B$19*(Assumptions!$B$10+Assumptions!$B$11+Assumptions!$B$12)*0.05,0)</f>
        <v>683085.791293572</v>
      </c>
      <c r="AG28" s="19" t="n">
        <f aca="false">IF(AND(Projects!$G$19="Yes",AG$3&gt;=Projects!$C$19,AG$3&lt;Projects!$C$19+Projects!$D$19),Projects!$B$19*INDEX(Curves!$B$10:$AR$10,1,AG$3-Projects!$C$19+1),0)-IF(AND(Projects!$G$19="Yes",AG$3&gt;=Projects!$C$19,AG$3&lt;Projects!$C$19+Projects!$D$19),Projects!$B$19*(Assumptions!$B$10+Assumptions!$B$11+Assumptions!$B$12)/Projects!$D$19*0.95,0)-IF(AND(Projects!$G$19="Yes",AG$3=Projects!$C$19+Projects!$D$19-1),Projects!$B$19*(Assumptions!$B$10+Assumptions!$B$11+Assumptions!$B$12)*0.05,0)</f>
        <v>541775.431953637</v>
      </c>
      <c r="AH28" s="19" t="n">
        <f aca="false">IF(AND(Projects!$G$19="Yes",AH$3&gt;=Projects!$C$19,AH$3&lt;Projects!$C$19+Projects!$D$19),Projects!$B$19*INDEX(Curves!$B$10:$AR$10,1,AH$3-Projects!$C$19+1),0)-IF(AND(Projects!$G$19="Yes",AH$3&gt;=Projects!$C$19,AH$3&lt;Projects!$C$19+Projects!$D$19),Projects!$B$19*(Assumptions!$B$10+Assumptions!$B$11+Assumptions!$B$12)/Projects!$D$19*0.95,0)-IF(AND(Projects!$G$19="Yes",AH$3=Projects!$C$19+Projects!$D$19-1),Projects!$B$19*(Assumptions!$B$10+Assumptions!$B$11+Assumptions!$B$12)*0.05,0)</f>
        <v>297286.165173256</v>
      </c>
      <c r="AI28" s="19" t="n">
        <f aca="false">IF(AND(Projects!$G$19="Yes",AI$3&gt;=Projects!$C$19,AI$3&lt;Projects!$C$19+Projects!$D$19),Projects!$B$19*INDEX(Curves!$B$10:$AR$10,1,AI$3-Projects!$C$19+1),0)-IF(AND(Projects!$G$19="Yes",AI$3&gt;=Projects!$C$19,AI$3&lt;Projects!$C$19+Projects!$D$19),Projects!$B$19*(Assumptions!$B$10+Assumptions!$B$11+Assumptions!$B$12)/Projects!$D$19*0.95,0)-IF(AND(Projects!$G$19="Yes",AI$3=Projects!$C$19+Projects!$D$19-1),Projects!$B$19*(Assumptions!$B$10+Assumptions!$B$11+Assumptions!$B$12)*0.05,0)</f>
        <v>0</v>
      </c>
      <c r="AJ28" s="19" t="n">
        <f aca="false">IF(AND(Projects!$G$19="Yes",AJ$3&gt;=Projects!$C$19,AJ$3&lt;Projects!$C$19+Projects!$D$19),Projects!$B$19*INDEX(Curves!$B$10:$AR$10,1,AJ$3-Projects!$C$19+1),0)-IF(AND(Projects!$G$19="Yes",AJ$3&gt;=Projects!$C$19,AJ$3&lt;Projects!$C$19+Projects!$D$19),Projects!$B$19*(Assumptions!$B$10+Assumptions!$B$11+Assumptions!$B$12)/Projects!$D$19*0.95,0)-IF(AND(Projects!$G$19="Yes",AJ$3=Projects!$C$19+Projects!$D$19-1),Projects!$B$19*(Assumptions!$B$10+Assumptions!$B$11+Assumptions!$B$12)*0.05,0)</f>
        <v>0</v>
      </c>
      <c r="AK28" s="19" t="n">
        <f aca="false">IF(AND(Projects!$G$19="Yes",AK$3&gt;=Projects!$C$19,AK$3&lt;Projects!$C$19+Projects!$D$19),Projects!$B$19*INDEX(Curves!$B$10:$AR$10,1,AK$3-Projects!$C$19+1),0)-IF(AND(Projects!$G$19="Yes",AK$3&gt;=Projects!$C$19,AK$3&lt;Projects!$C$19+Projects!$D$19),Projects!$B$19*(Assumptions!$B$10+Assumptions!$B$11+Assumptions!$B$12)/Projects!$D$19*0.95,0)-IF(AND(Projects!$G$19="Yes",AK$3=Projects!$C$19+Projects!$D$19-1),Projects!$B$19*(Assumptions!$B$10+Assumptions!$B$11+Assumptions!$B$12)*0.05,0)</f>
        <v>0</v>
      </c>
      <c r="AL28" s="19" t="n">
        <f aca="false">IF(AND(Projects!$G$19="Yes",AL$3&gt;=Projects!$C$19,AL$3&lt;Projects!$C$19+Projects!$D$19),Projects!$B$19*INDEX(Curves!$B$10:$AR$10,1,AL$3-Projects!$C$19+1),0)-IF(AND(Projects!$G$19="Yes",AL$3&gt;=Projects!$C$19,AL$3&lt;Projects!$C$19+Projects!$D$19),Projects!$B$19*(Assumptions!$B$10+Assumptions!$B$11+Assumptions!$B$12)/Projects!$D$19*0.95,0)-IF(AND(Projects!$G$19="Yes",AL$3=Projects!$C$19+Projects!$D$19-1),Projects!$B$19*(Assumptions!$B$10+Assumptions!$B$11+Assumptions!$B$12)*0.05,0)</f>
        <v>0</v>
      </c>
      <c r="AM28" s="19" t="n">
        <f aca="false">IF(AND(Projects!$G$19="Yes",AM$3&gt;=Projects!$C$19,AM$3&lt;Projects!$C$19+Projects!$D$19),Projects!$B$19*INDEX(Curves!$B$10:$AR$10,1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$10:$AR$10,1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$10:$AR$10,1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$10:$AR$10,1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$10:$AR$10,1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$10:$AR$10,1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$10:$AR$10,1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$10:$AR$10,1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$10:$AR$10,1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$10:$AR$10,1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$10:$AR$10,1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$10:$AR$10,1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$10:$AR$10,1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$10:$AR$10,1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$10:$AR$10,1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$10:$AR$10,1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$10:$AR$10,1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$10:$AR$10,1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$10:$AR$10,1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$10:$AR$10,1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$10:$AR$10,1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$10:$AR$10,1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$10:$AR$10,1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$10:$AR$10,1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$10:$AR$10,1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$10:$AR$10,1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$10:$AR$10,1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$10:$AR$10,1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$10:$AR$10,1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$10:$AR$10,1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$10:$AR$10,1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$10:$AR$10,1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$10:$AR$10,1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$10:$AR$10,1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$10:$AR$10,1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$10:$AR$10,1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$10:$AR$10,1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$10:$AR$10,1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$10:$AR$10,1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$10:$AR$10,1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$10:$AR$10,1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$10:$AR$10,1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$10:$AR$10,1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$10:$AR$10,1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$10:$AR$10,1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$10:$AR$10,1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$10:$AR$10,1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$10:$AR$10,1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$10:$AR$10,1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$10:$AR$10,1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$10:$AR$10,1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$10:$AR$10,1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$10:$AR$10,1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$10:$AR$10,1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$10:$AR$10,1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$10:$AR$10,1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$10:$AR$10,1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$10:$AR$10,1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$10:$AR$10,1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$10:$AR$10,1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$10:$AR$10,1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$10:$AR$10,1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$10:$AR$10,1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$10:$AR$10,1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$10:$AR$10,1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$10:$AR$10,1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$10:$AR$10,1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$10:$AR$10,1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$10:$AR$10,1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$10:$AR$10,1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$10:$AR$10,1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fals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544360.803130946</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700625.211272466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868827.179100646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1042259.65002005</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1212588.85594753</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1370354.84392385</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1505872.42401455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1610157.14354141</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1675926.34030565</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1698399.98516649</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1675926.34030565</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1610157.14354141</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1505872.42401455</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1370354.84392385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1212588.85594753</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1042259.65002005</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868827.179100646</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700625.211272466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544360.803130946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-119262.404858914</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-269909.653101753</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0</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false" customHeight="true" outlineLevel="1" collapsed="false">
      <c r="A30" s="28" t="s">
        <v>24</v>
      </c>
      <c r="B30" s="19" t="n">
        <v>0</v>
      </c>
      <c r="C30" s="19" t="n">
        <v>0</v>
      </c>
      <c r="D30" s="19" t="n">
        <v>0</v>
      </c>
      <c r="E30" s="19" t="n">
        <v>0</v>
      </c>
      <c r="F30" s="19" t="n">
        <f aca="false">IF(AND(Projects!$G$21="Yes",F$3&gt;=Projects!$C$21,F$3&lt;Projects!$C$21+Projects!$D$21),Projects!$B$21*INDEX(Curves!$B$11:$AR$11,1,F$3-Projects!$C$21+1),0)-IF(AND(Projects!$G$21="Yes",F$3&gt;=Projects!$C$21,F$3&lt;Projects!$C$21+Projects!$D$21),Projects!$Q$21/Projects!$D$21*0.95,0)-IF(AND(Projects!$G$21="Yes",F$3=Projects!$C$21+Projects!$D$21-1),Projects!$Q$21*0.05,0)</f>
        <v>0</v>
      </c>
      <c r="G30" s="19" t="n">
        <f aca="false">IF(AND(Projects!$G$21="Yes",G$3&gt;=Projects!$C$21,G$3&lt;Projects!$C$21+Projects!$D$21),Projects!$B$21*INDEX(Curves!$B$11:$AR$11,1,G$3-Projects!$C$21+1),0)-IF(AND(Projects!$G$21="Yes",G$3&gt;=Projects!$C$21,G$3&lt;Projects!$C$21+Projects!$D$21),Projects!$Q$21/Projects!$D$21*0.95,0)-IF(AND(Projects!$G$21="Yes",G$3=Projects!$C$21+Projects!$D$21-1),Projects!$Q$21*0.05,0)</f>
        <v>0</v>
      </c>
      <c r="H30" s="19" t="n">
        <f aca="false">IF(AND(Projects!$G$21="Yes",H$3&gt;=Projects!$C$21,H$3&lt;Projects!$C$21+Projects!$D$21),Projects!$B$21*INDEX(Curves!$B$11:$AR$11,1,H$3-Projects!$C$21+1),0)-IF(AND(Projects!$G$21="Yes",H$3&gt;=Projects!$C$21,H$3&lt;Projects!$C$21+Projects!$D$21),Projects!$Q$21/Projects!$D$21*0.95,0)-IF(AND(Projects!$G$21="Yes",H$3=Projects!$C$21+Projects!$D$21-1),Projects!$Q$21*0.05,0)</f>
        <v>0</v>
      </c>
      <c r="I30" s="19" t="n">
        <f aca="false">IF(AND(Projects!$G$21="Yes",I$3&gt;=Projects!$C$21,I$3&lt;Projects!$C$21+Projects!$D$21),Projects!$B$21*INDEX(Curves!$B$11:$AR$11,1,I$3-Projects!$C$21+1),0)-IF(AND(Projects!$G$21="Yes",I$3&gt;=Projects!$C$21,I$3&lt;Projects!$C$21+Projects!$D$21),Projects!$Q$21/Projects!$D$21*0.95,0)-IF(AND(Projects!$G$21="Yes",I$3=Projects!$C$21+Projects!$D$21-1),Projects!$Q$21*0.05,0)</f>
        <v>0</v>
      </c>
      <c r="J30" s="19" t="n">
        <f aca="false">IF(AND(Projects!$G$21="Yes",J$3&gt;=Projects!$C$21,J$3&lt;Projects!$C$21+Projects!$D$21),Projects!$B$21*INDEX(Curves!$B$11:$AR$11,1,J$3-Projects!$C$21+1),0)-IF(AND(Projects!$G$21="Yes",J$3&gt;=Projects!$C$21,J$3&lt;Projects!$C$21+Projects!$D$21),Projects!$Q$21/Projects!$D$21*0.95,0)-IF(AND(Projects!$G$21="Yes",J$3=Projects!$C$21+Projects!$D$21-1),Projects!$Q$21*0.05,0)</f>
        <v>0</v>
      </c>
      <c r="K30" s="19" t="n">
        <f aca="false">IF(AND(Projects!$G$21="Yes",K$3&gt;=Projects!$C$21,K$3&lt;Projects!$C$21+Projects!$D$21),Projects!$B$21*INDEX(Curves!$B$11:$AR$11,1,K$3-Projects!$C$21+1),0)-IF(AND(Projects!$G$21="Yes",K$3&gt;=Projects!$C$21,K$3&lt;Projects!$C$21+Projects!$D$21),Projects!$Q$21/Projects!$D$21*0.95,0)-IF(AND(Projects!$G$21="Yes",K$3=Projects!$C$21+Projects!$D$21-1),Projects!$Q$21*0.05,0)</f>
        <v>0</v>
      </c>
      <c r="L30" s="19" t="n">
        <f aca="false">IF(AND(Projects!$G$21="Yes",L$3&gt;=Projects!$C$21,L$3&lt;Projects!$C$21+Projects!$D$21),Projects!$B$21*INDEX(Curves!$B$11:$AR$11,1,L$3-Projects!$C$21+1),0)-IF(AND(Projects!$G$21="Yes",L$3&gt;=Projects!$C$21,L$3&lt;Projects!$C$21+Projects!$D$21),Projects!$Q$21/Projects!$D$21*0.95,0)-IF(AND(Projects!$G$21="Yes",L$3=Projects!$C$21+Projects!$D$21-1),Projects!$Q$21*0.05,0)</f>
        <v>0</v>
      </c>
      <c r="M30" s="19" t="n">
        <f aca="false">IF(AND(Projects!$G$21="Yes",M$3&gt;=Projects!$C$21,M$3&lt;Projects!$C$21+Projects!$D$21),Projects!$B$21*INDEX(Curves!$B$11:$AR$11,1,M$3-Projects!$C$21+1),0)-IF(AND(Projects!$G$21="Yes",M$3&gt;=Projects!$C$21,M$3&lt;Projects!$C$21+Projects!$D$21),Projects!$Q$21/Projects!$D$21*0.95,0)-IF(AND(Projects!$G$21="Yes",M$3=Projects!$C$21+Projects!$D$21-1),Projects!$Q$21*0.05,0)</f>
        <v>300000.450999356</v>
      </c>
      <c r="N30" s="19" t="n">
        <f aca="false">IF(AND(Projects!$G$21="Yes",N$3&gt;=Projects!$C$21,N$3&lt;Projects!$C$21+Projects!$D$21),Projects!$B$21*INDEX(Curves!$B$11:$AR$11,1,N$3-Projects!$C$21+1),0)-IF(AND(Projects!$G$21="Yes",N$3&gt;=Projects!$C$21,N$3&lt;Projects!$C$21+Projects!$D$21),Projects!$Q$21/Projects!$D$21*0.95,0)-IF(AND(Projects!$G$21="Yes",N$3=Projects!$C$21+Projects!$D$21-1),Projects!$Q$21*0.05,0)</f>
        <v>382052.01181668</v>
      </c>
      <c r="O30" s="19" t="n">
        <f aca="false">IF(AND(Projects!$G$21="Yes",O$3&gt;=Projects!$C$21,O$3&lt;Projects!$C$21+Projects!$D$21),Projects!$B$21*INDEX(Curves!$B$11:$AR$11,1,O$3-Projects!$C$21+1),0)-IF(AND(Projects!$G$21="Yes",O$3&gt;=Projects!$C$21,O$3&lt;Projects!$C$21+Projects!$D$21),Projects!$Q$21/Projects!$D$21*0.95,0)-IF(AND(Projects!$G$21="Yes",O$3=Projects!$C$21+Projects!$D$21-1),Projects!$Q$21*0.05,0)</f>
        <v>472250.553751396</v>
      </c>
      <c r="P30" s="19" t="n">
        <f aca="false">IF(AND(Projects!$G$21="Yes",P$3&gt;=Projects!$C$21,P$3&lt;Projects!$C$21+Projects!$D$21),Projects!$B$21*INDEX(Curves!$B$11:$AR$11,1,P$3-Projects!$C$21+1),0)-IF(AND(Projects!$G$21="Yes",P$3&gt;=Projects!$C$21,P$3&lt;Projects!$C$21+Projects!$D$21),Projects!$Q$21/Projects!$D$21*0.95,0)-IF(AND(Projects!$G$21="Yes",P$3=Projects!$C$21+Projects!$D$21-1),Projects!$Q$21*0.05,0)</f>
        <v>565406.855777904</v>
      </c>
      <c r="Q30" s="19" t="n">
        <f aca="false">IF(AND(Projects!$G$21="Yes",Q$3&gt;=Projects!$C$21,Q$3&lt;Projects!$C$21+Projects!$D$21),Projects!$B$21*INDEX(Curves!$B$11:$AR$11,1,Q$3-Projects!$C$21+1),0)-IF(AND(Projects!$G$21="Yes",Q$3&gt;=Projects!$C$21,Q$3&lt;Projects!$C$21+Projects!$D$21),Projects!$Q$21/Projects!$D$21*0.95,0)-IF(AND(Projects!$G$21="Yes",Q$3=Projects!$C$21+Projects!$D$21-1),Projects!$Q$21*0.05,0)</f>
        <v>657569.069128027</v>
      </c>
      <c r="R30" s="19" t="n">
        <f aca="false">IF(AND(Projects!$G$21="Yes",R$3&gt;=Projects!$C$21,R$3&lt;Projects!$C$21+Projects!$D$21),Projects!$B$21*INDEX(Curves!$B$11:$AR$11,1,R$3-Projects!$C$21+1),0)-IF(AND(Projects!$G$21="Yes",R$3&gt;=Projects!$C$21,R$3&lt;Projects!$C$21+Projects!$D$21),Projects!$Q$21/Projects!$D$21*0.95,0)-IF(AND(Projects!$G$21="Yes",R$3=Projects!$C$21+Projects!$D$21-1),Projects!$Q$21*0.05,0)</f>
        <v>744252.607264895</v>
      </c>
      <c r="S30" s="19" t="n">
        <f aca="false">IF(AND(Projects!$G$21="Yes",S$3&gt;=Projects!$C$21,S$3&lt;Projects!$C$21+Projects!$D$21),Projects!$B$21*INDEX(Curves!$B$11:$AR$11,1,S$3-Projects!$C$21+1),0)-IF(AND(Projects!$G$21="Yes",S$3&gt;=Projects!$C$21,S$3&lt;Projects!$C$21+Projects!$D$21),Projects!$Q$21/Projects!$D$21*0.95,0)-IF(AND(Projects!$G$21="Yes",S$3=Projects!$C$21+Projects!$D$21-1),Projects!$Q$21*0.05,0)</f>
        <v>820806.669467804</v>
      </c>
      <c r="T30" s="19" t="n">
        <f aca="false">IF(AND(Projects!$G$21="Yes",T$3&gt;=Projects!$C$21,T$3&lt;Projects!$C$21+Projects!$D$21),Projects!$B$21*INDEX(Curves!$B$11:$AR$11,1,T$3-Projects!$C$21+1),0)-IF(AND(Projects!$G$21="Yes",T$3&gt;=Projects!$C$21,T$3&lt;Projects!$C$21+Projects!$D$21),Projects!$Q$21/Projects!$D$21*0.95,0)-IF(AND(Projects!$G$21="Yes",T$3=Projects!$C$21+Projects!$D$21-1),Projects!$Q$21*0.05,0)</f>
        <v>882806.690988486</v>
      </c>
      <c r="U30" s="19" t="n">
        <f aca="false">IF(AND(Projects!$G$21="Yes",U$3&gt;=Projects!$C$21,U$3&lt;Projects!$C$21+Projects!$D$21),Projects!$B$21*INDEX(Curves!$B$11:$AR$11,1,U$3-Projects!$C$21+1),0)-IF(AND(Projects!$G$21="Yes",U$3&gt;=Projects!$C$21,U$3&lt;Projects!$C$21+Projects!$D$21),Projects!$Q$21/Projects!$D$21*0.95,0)-IF(AND(Projects!$G$21="Yes",U$3=Projects!$C$21+Projects!$D$21-1),Projects!$Q$21*0.05,0)</f>
        <v>926473.074937312</v>
      </c>
      <c r="V30" s="19" t="n">
        <f aca="false">IF(AND(Projects!$G$21="Yes",V$3&gt;=Projects!$C$21,V$3&lt;Projects!$C$21+Projects!$D$21),Projects!$B$21*INDEX(Curves!$B$11:$AR$11,1,V$3-Projects!$C$21+1),0)-IF(AND(Projects!$G$21="Yes",V$3&gt;=Projects!$C$21,V$3&lt;Projects!$C$21+Projects!$D$21),Projects!$Q$21/Projects!$D$21*0.95,0)-IF(AND(Projects!$G$21="Yes",V$3=Projects!$C$21+Projects!$D$21-1),Projects!$Q$21*0.05,0)</f>
        <v>949037.715868141</v>
      </c>
      <c r="W30" s="19" t="n">
        <f aca="false">IF(AND(Projects!$G$21="Yes",W$3&gt;=Projects!$C$21,W$3&lt;Projects!$C$21+Projects!$D$21),Projects!$B$21*INDEX(Curves!$B$11:$AR$11,1,W$3-Projects!$C$21+1),0)-IF(AND(Projects!$G$21="Yes",W$3&gt;=Projects!$C$21,W$3&lt;Projects!$C$21+Projects!$D$21),Projects!$Q$21/Projects!$D$21*0.95,0)-IF(AND(Projects!$G$21="Yes",W$3=Projects!$C$21+Projects!$D$21-1),Projects!$Q$21*0.05,0)</f>
        <v>949037.715868141</v>
      </c>
      <c r="X30" s="19" t="n">
        <f aca="false">IF(AND(Projects!$G$21="Yes",X$3&gt;=Projects!$C$21,X$3&lt;Projects!$C$21+Projects!$D$21),Projects!$B$21*INDEX(Curves!$B$11:$AR$11,1,X$3-Projects!$C$21+1),0)-IF(AND(Projects!$G$21="Yes",X$3&gt;=Projects!$C$21,X$3&lt;Projects!$C$21+Projects!$D$21),Projects!$Q$21/Projects!$D$21*0.95,0)-IF(AND(Projects!$G$21="Yes",X$3=Projects!$C$21+Projects!$D$21-1),Projects!$Q$21*0.05,0)</f>
        <v>926473.074937312</v>
      </c>
      <c r="Y30" s="19" t="n">
        <f aca="false">IF(AND(Projects!$G$21="Yes",Y$3&gt;=Projects!$C$21,Y$3&lt;Projects!$C$21+Projects!$D$21),Projects!$B$21*INDEX(Curves!$B$11:$AR$11,1,Y$3-Projects!$C$21+1),0)-IF(AND(Projects!$G$21="Yes",Y$3&gt;=Projects!$C$21,Y$3&lt;Projects!$C$21+Projects!$D$21),Projects!$Q$21/Projects!$D$21*0.95,0)-IF(AND(Projects!$G$21="Yes",Y$3=Projects!$C$21+Projects!$D$21-1),Projects!$Q$21*0.05,0)</f>
        <v>882806.690988486</v>
      </c>
      <c r="Z30" s="19" t="n">
        <f aca="false">IF(AND(Projects!$G$21="Yes",Z$3&gt;=Projects!$C$21,Z$3&lt;Projects!$C$21+Projects!$D$21),Projects!$B$21*INDEX(Curves!$B$11:$AR$11,1,Z$3-Projects!$C$21+1),0)-IF(AND(Projects!$G$21="Yes",Z$3&gt;=Projects!$C$21,Z$3&lt;Projects!$C$21+Projects!$D$21),Projects!$Q$21/Projects!$D$21*0.95,0)-IF(AND(Projects!$G$21="Yes",Z$3=Projects!$C$21+Projects!$D$21-1),Projects!$Q$21*0.05,0)</f>
        <v>820806.669467804</v>
      </c>
      <c r="AA30" s="19" t="n">
        <f aca="false">IF(AND(Projects!$G$21="Yes",AA$3&gt;=Projects!$C$21,AA$3&lt;Projects!$C$21+Projects!$D$21),Projects!$B$21*INDEX(Curves!$B$11:$AR$11,1,AA$3-Projects!$C$21+1),0)-IF(AND(Projects!$G$21="Yes",AA$3&gt;=Projects!$C$21,AA$3&lt;Projects!$C$21+Projects!$D$21),Projects!$Q$21/Projects!$D$21*0.95,0)-IF(AND(Projects!$G$21="Yes",AA$3=Projects!$C$21+Projects!$D$21-1),Projects!$Q$21*0.05,0)</f>
        <v>744252.607264895</v>
      </c>
      <c r="AB30" s="19" t="n">
        <f aca="false">IF(AND(Projects!$G$21="Yes",AB$3&gt;=Projects!$C$21,AB$3&lt;Projects!$C$21+Projects!$D$21),Projects!$B$21*INDEX(Curves!$B$11:$AR$11,1,AB$3-Projects!$C$21+1),0)-IF(AND(Projects!$G$21="Yes",AB$3&gt;=Projects!$C$21,AB$3&lt;Projects!$C$21+Projects!$D$21),Projects!$Q$21/Projects!$D$21*0.95,0)-IF(AND(Projects!$G$21="Yes",AB$3=Projects!$C$21+Projects!$D$21-1),Projects!$Q$21*0.05,0)</f>
        <v>657569.069128027</v>
      </c>
      <c r="AC30" s="19" t="n">
        <f aca="false">IF(AND(Projects!$G$21="Yes",AC$3&gt;=Projects!$C$21,AC$3&lt;Projects!$C$21+Projects!$D$21),Projects!$B$21*INDEX(Curves!$B$11:$AR$11,1,AC$3-Projects!$C$21+1),0)-IF(AND(Projects!$G$21="Yes",AC$3&gt;=Projects!$C$21,AC$3&lt;Projects!$C$21+Projects!$D$21),Projects!$Q$21/Projects!$D$21*0.95,0)-IF(AND(Projects!$G$21="Yes",AC$3=Projects!$C$21+Projects!$D$21-1),Projects!$Q$21*0.05,0)</f>
        <v>565406.855777904</v>
      </c>
      <c r="AD30" s="19" t="n">
        <f aca="false">IF(AND(Projects!$G$21="Yes",AD$3&gt;=Projects!$C$21,AD$3&lt;Projects!$C$21+Projects!$D$21),Projects!$B$21*INDEX(Curves!$B$11:$AR$11,1,AD$3-Projects!$C$21+1),0)-IF(AND(Projects!$G$21="Yes",AD$3&gt;=Projects!$C$21,AD$3&lt;Projects!$C$21+Projects!$D$21),Projects!$Q$21/Projects!$D$21*0.95,0)-IF(AND(Projects!$G$21="Yes",AD$3=Projects!$C$21+Projects!$D$21-1),Projects!$Q$21*0.05,0)</f>
        <v>472250.553751396</v>
      </c>
      <c r="AE30" s="19" t="n">
        <f aca="false">IF(AND(Projects!$G$21="Yes",AE$3&gt;=Projects!$C$21,AE$3&lt;Projects!$C$21+Projects!$D$21),Projects!$B$21*INDEX(Curves!$B$11:$AR$11,1,AE$3-Projects!$C$21+1),0)-IF(AND(Projects!$G$21="Yes",AE$3&gt;=Projects!$C$21,AE$3&lt;Projects!$C$21+Projects!$D$21),Projects!$Q$21/Projects!$D$21*0.95,0)-IF(AND(Projects!$G$21="Yes",AE$3=Projects!$C$21+Projects!$D$21-1),Projects!$Q$21*0.05,0)</f>
        <v>382052.01181668</v>
      </c>
      <c r="AF30" s="19" t="n">
        <f aca="false">IF(AND(Projects!$G$21="Yes",AF$3&gt;=Projects!$C$21,AF$3&lt;Projects!$C$21+Projects!$D$21),Projects!$B$21*INDEX(Curves!$B$11:$AR$11,1,AF$3-Projects!$C$21+1),0)-IF(AND(Projects!$G$21="Yes",AF$3&gt;=Projects!$C$21,AF$3&lt;Projects!$C$21+Projects!$D$21),Projects!$Q$21/Projects!$D$21*0.95,0)-IF(AND(Projects!$G$21="Yes",AF$3=Projects!$C$21+Projects!$D$21-1),Projects!$Q$21*0.05,0)</f>
        <v>219254.050999356</v>
      </c>
      <c r="AG30" s="19" t="n">
        <f aca="false">IF(AND(Projects!$G$21="Yes",AG$3&gt;=Projects!$C$21,AG$3&lt;Projects!$C$21+Projects!$D$21),Projects!$B$21*INDEX(Curves!$B$11:$AR$11,1,AG$3-Projects!$C$21+1),0)-IF(AND(Projects!$G$21="Yes",AG$3&gt;=Projects!$C$21,AG$3&lt;Projects!$C$21+Projects!$D$21),Projects!$Q$21/Projects!$D$21*0.95,0)-IF(AND(Projects!$G$21="Yes",AG$3=Projects!$C$21+Projects!$D$21-1),Projects!$Q$21*0.05,0)</f>
        <v>0</v>
      </c>
      <c r="AH30" s="19" t="n">
        <f aca="false">IF(AND(Projects!$G$21="Yes",AH$3&gt;=Projects!$C$21,AH$3&lt;Projects!$C$21+Projects!$D$21),Projects!$B$21*INDEX(Curves!$B$11:$AR$11,1,AH$3-Projects!$C$21+1),0)-IF(AND(Projects!$G$21="Yes",AH$3&gt;=Projects!$C$21,AH$3&lt;Projects!$C$21+Projects!$D$21),Projects!$Q$21/Projects!$D$21*0.95,0)-IF(AND(Projects!$G$21="Yes",AH$3=Projects!$C$21+Projects!$D$21-1),Projects!$Q$21*0.05,0)</f>
        <v>0</v>
      </c>
      <c r="AI30" s="19" t="n">
        <f aca="false">IF(AND(Projects!$G$21="Yes",AI$3&gt;=Projects!$C$21,AI$3&lt;Projects!$C$21+Projects!$D$21),Projects!$B$21*INDEX(Curves!$B$11:$AR$11,1,AI$3-Projects!$C$21+1),0)-IF(AND(Projects!$G$21="Yes",AI$3&gt;=Projects!$C$21,AI$3&lt;Projects!$C$21+Projects!$D$21),Projects!$Q$21/Projects!$D$21*0.95,0)-IF(AND(Projects!$G$21="Yes",AI$3=Projects!$C$21+Projects!$D$21-1),Projects!$Q$21*0.05,0)</f>
        <v>0</v>
      </c>
      <c r="AJ30" s="19" t="n">
        <f aca="false">IF(AND(Projects!$G$21="Yes",AJ$3&gt;=Projects!$C$21,AJ$3&lt;Projects!$C$21+Projects!$D$21),Projects!$B$21*INDEX(Curves!$B$11:$AR$11,1,AJ$3-Projects!$C$21+1),0)-IF(AND(Projects!$G$21="Yes",AJ$3&gt;=Projects!$C$21,AJ$3&lt;Projects!$C$21+Projects!$D$21),Projects!$Q$21/Projects!$D$21*0.95,0)-IF(AND(Projects!$G$21="Yes",AJ$3=Projects!$C$21+Projects!$D$21-1),Projects!$Q$21*0.05,0)</f>
        <v>0</v>
      </c>
      <c r="AK30" s="19" t="n">
        <f aca="false">IF(AND(Projects!$G$21="Yes",AK$3&gt;=Projects!$C$21,AK$3&lt;Projects!$C$21+Projects!$D$21),Projects!$B$21*INDEX(Curves!$B$11:$AR$11,1,AK$3-Projects!$C$21+1),0)-IF(AND(Projects!$G$21="Yes",AK$3&gt;=Projects!$C$21,AK$3&lt;Projects!$C$21+Projects!$D$21),Projects!$Q$21/Projects!$D$21*0.95,0)-IF(AND(Projects!$G$21="Yes",AK$3=Projects!$C$21+Projects!$D$21-1),Projects!$Q$21*0.05,0)</f>
        <v>0</v>
      </c>
      <c r="AL30" s="19" t="n">
        <f aca="false">IF(AND(Projects!$G$21="Yes",AL$3&gt;=Projects!$C$21,AL$3&lt;Projects!$C$21+Projects!$D$21),Projects!$B$21*INDEX(Curves!$B$11:$AR$11,1,AL$3-Projects!$C$21+1),0)-IF(AND(Projects!$G$21="Yes",AL$3&gt;=Projects!$C$21,AL$3&lt;Projects!$C$21+Projects!$D$21),Projects!$Q$21/Projects!$D$21*0.95,0)-IF(AND(Projects!$G$21="Yes",AL$3=Projects!$C$21+Projects!$D$21-1),Projects!$Q$21*0.05,0)</f>
        <v>0</v>
      </c>
      <c r="AM30" s="19" t="n">
        <f aca="false">IF(AND(Projects!$G$21="Yes",AM$3&gt;=Projects!$C$21,AM$3&lt;Projects!$C$21+Projects!$D$21),Projects!$B$21*INDEX(Curves!$B$11:$AR$11,1,AM$3-Projects!$C$21+1),0)-IF(AND(Projects!$G$21="Yes",AM$3&gt;=Projects!$C$21,AM$3&lt;Projects!$C$21+Projects!$D$21),Projects!$Q$21/Projects!$D$21*0.95,0)-IF(AND(Projects!$G$21="Yes",AM$3=Projects!$C$21+Projects!$D$21-1),Projects!$Q$21*0.05,0)</f>
        <v>0</v>
      </c>
      <c r="AN30" s="19" t="n">
        <f aca="false">IF(AND(Projects!$G$21="Yes",AN$3&gt;=Projects!$C$21,AN$3&lt;Projects!$C$21+Projects!$D$21),Projects!$B$21*INDEX(Curves!$B$11:$AR$11,1,AN$3-Projects!$C$21+1),0)-IF(AND(Projects!$G$21="Yes",AN$3&gt;=Projects!$C$21,AN$3&lt;Projects!$C$21+Projects!$D$21),Projects!$Q$21/Projects!$D$21*0.95,0)-IF(AND(Projects!$G$21="Yes",AN$3=Projects!$C$21+Projects!$D$21-1),Projects!$Q$21*0.05,0)</f>
        <v>0</v>
      </c>
      <c r="AO30" s="19" t="n">
        <f aca="false">IF(AND(Projects!$G$21="Yes",AO$3&gt;=Projects!$C$21,AO$3&lt;Projects!$C$21+Projects!$D$21),Projects!$B$21*INDEX(Curves!$B$11:$AR$11,1,AO$3-Projects!$C$21+1),0)-IF(AND(Projects!$G$21="Yes",AO$3&gt;=Projects!$C$21,AO$3&lt;Projects!$C$21+Projects!$D$21),Projects!$Q$21/Projects!$D$21*0.95,0)-IF(AND(Projects!$G$21="Yes",AO$3=Projects!$C$21+Projects!$D$21-1),Projects!$Q$21*0.05,0)</f>
        <v>0</v>
      </c>
      <c r="AP30" s="19" t="n">
        <f aca="false">IF(AND(Projects!$G$21="Yes",AP$3&gt;=Projects!$C$21,AP$3&lt;Projects!$C$21+Projects!$D$21),Projects!$B$21*INDEX(Curves!$B$11:$AR$11,1,AP$3-Projects!$C$21+1),0)-IF(AND(Projects!$G$21="Yes",AP$3&gt;=Projects!$C$21,AP$3&lt;Projects!$C$21+Projects!$D$21),Projects!$Q$21/Projects!$D$21*0.95,0)-IF(AND(Projects!$G$21="Yes",AP$3=Projects!$C$21+Projects!$D$21-1),Projects!$Q$21*0.05,0)</f>
        <v>0</v>
      </c>
      <c r="AQ30" s="19" t="n">
        <f aca="false">IF(AND(Projects!$G$21="Yes",AQ$3&gt;=Projects!$C$21,AQ$3&lt;Projects!$C$21+Projects!$D$21),Projects!$B$21*INDEX(Curves!$B$11:$AR$11,1,AQ$3-Projects!$C$21+1),0)-IF(AND(Projects!$G$21="Yes",AQ$3&gt;=Projects!$C$21,AQ$3&lt;Projects!$C$21+Projects!$D$21),Projects!$Q$21/Projects!$D$21*0.95,0)-IF(AND(Projects!$G$21="Yes",AQ$3=Projects!$C$21+Projects!$D$21-1),Projects!$Q$21*0.05,0)</f>
        <v>0</v>
      </c>
      <c r="AR30" s="19" t="n">
        <f aca="false">IF(AND(Projects!$G$21="Yes",AR$3&gt;=Projects!$C$21,AR$3&lt;Projects!$C$21+Projects!$D$21),Projects!$B$21*INDEX(Curves!$B$11:$AR$11,1,AR$3-Projects!$C$21+1),0)-IF(AND(Projects!$G$21="Yes",AR$3&gt;=Projects!$C$21,AR$3&lt;Projects!$C$21+Projects!$D$21),Projects!$Q$21/Projects!$D$21*0.95,0)-IF(AND(Projects!$G$21="Yes",AR$3=Projects!$C$21+Projects!$D$21-1),Projects!$Q$21*0.05,0)</f>
        <v>0</v>
      </c>
      <c r="AS30" s="19" t="n">
        <f aca="false">IF(AND(Projects!$G$21="Yes",AS$3&gt;=Projects!$C$21,AS$3&lt;Projects!$C$21+Projects!$D$21),Projects!$B$21*INDEX(Curves!$B$11:$AR$11,1,AS$3-Projects!$C$21+1),0)-IF(AND(Projects!$G$21="Yes",AS$3&gt;=Projects!$C$21,AS$3&lt;Projects!$C$21+Projects!$D$21),Projects!$Q$21/Projects!$D$21*0.95,0)-IF(AND(Projects!$G$21="Yes",AS$3=Projects!$C$21+Projects!$D$21-1),Projects!$Q$21*0.05,0)</f>
        <v>0</v>
      </c>
      <c r="AT30" s="19" t="n">
        <f aca="false">IF(AND(Projects!$G$21="Yes",AT$3&gt;=Projects!$C$21,AT$3&lt;Projects!$C$21+Projects!$D$21),Projects!$B$21*INDEX(Curves!$B$11:$AR$11,1,AT$3-Projects!$C$21+1),0)-IF(AND(Projects!$G$21="Yes",AT$3&gt;=Projects!$C$21,AT$3&lt;Projects!$C$21+Projects!$D$21),Projects!$Q$21/Projects!$D$21*0.95,0)-IF(AND(Projects!$G$21="Yes",AT$3=Projects!$C$21+Projects!$D$21-1),Projects!$Q$21*0.05,0)</f>
        <v>0</v>
      </c>
      <c r="AU30" s="19" t="n">
        <f aca="false">IF(AND(Projects!$G$21="Yes",AU$3&gt;=Projects!$C$21,AU$3&lt;Projects!$C$21+Projects!$D$21),Projects!$B$21*INDEX(Curves!$B$11:$AR$11,1,AU$3-Projects!$C$21+1),0)-IF(AND(Projects!$G$21="Yes",AU$3&gt;=Projects!$C$21,AU$3&lt;Projects!$C$21+Projects!$D$21),Projects!$Q$21/Projects!$D$21*0.95,0)-IF(AND(Projects!$G$21="Yes",AU$3=Projects!$C$21+Projects!$D$21-1),Projects!$Q$21*0.05,0)</f>
        <v>0</v>
      </c>
      <c r="AV30" s="19" t="n">
        <f aca="false">IF(AND(Projects!$G$21="Yes",AV$3&gt;=Projects!$C$21,AV$3&lt;Projects!$C$21+Projects!$D$21),Projects!$B$21*INDEX(Curves!$B$11:$AR$11,1,AV$3-Projects!$C$21+1),0)-IF(AND(Projects!$G$21="Yes",AV$3&gt;=Projects!$C$21,AV$3&lt;Projects!$C$21+Projects!$D$21),Projects!$Q$21/Projects!$D$21*0.95,0)-IF(AND(Projects!$G$21="Yes",AV$3=Projects!$C$21+Projects!$D$21-1),Projects!$Q$21*0.05,0)</f>
        <v>0</v>
      </c>
      <c r="AW30" s="19" t="n">
        <f aca="false">IF(AND(Projects!$G$21="Yes",AW$3&gt;=Projects!$C$21,AW$3&lt;Projects!$C$21+Projects!$D$21),Projects!$B$21*INDEX(Curves!$B$11:$AR$11,1,AW$3-Projects!$C$21+1),0)-IF(AND(Projects!$G$21="Yes",AW$3&gt;=Projects!$C$21,AW$3&lt;Projects!$C$21+Projects!$D$21),Projects!$Q$21/Projects!$D$21*0.95,0)-IF(AND(Projects!$G$21="Yes",AW$3=Projects!$C$21+Projects!$D$21-1),Projects!$Q$21*0.05,0)</f>
        <v>0</v>
      </c>
      <c r="AX30" s="19" t="n">
        <f aca="false">IF(AND(Projects!$G$21="Yes",AX$3&gt;=Projects!$C$21,AX$3&lt;Projects!$C$21+Projects!$D$21),Projects!$B$21*INDEX(Curves!$B$11:$AR$11,1,AX$3-Projects!$C$21+1),0)-IF(AND(Projects!$G$21="Yes",AX$3&gt;=Projects!$C$21,AX$3&lt;Projects!$C$21+Projects!$D$21),Projects!$Q$21/Projects!$D$21*0.95,0)-IF(AND(Projects!$G$21="Yes",AX$3=Projects!$C$21+Projects!$D$21-1),Projects!$Q$21*0.05,0)</f>
        <v>0</v>
      </c>
      <c r="AY30" s="19" t="n">
        <f aca="false">IF(AND(Projects!$G$21="Yes",AY$3&gt;=Projects!$C$21,AY$3&lt;Projects!$C$21+Projects!$D$21),Projects!$B$21*INDEX(Curves!$B$11:$AR$11,1,AY$3-Projects!$C$21+1),0)-IF(AND(Projects!$G$21="Yes",AY$3&gt;=Projects!$C$21,AY$3&lt;Projects!$C$21+Projects!$D$21),Projects!$Q$21/Projects!$D$21*0.95,0)-IF(AND(Projects!$G$21="Yes",AY$3=Projects!$C$21+Projects!$D$21-1),Projects!$Q$21*0.05,0)</f>
        <v>0</v>
      </c>
      <c r="AZ30" s="19" t="n">
        <f aca="false">IF(AND(Projects!$G$21="Yes",AZ$3&gt;=Projects!$C$21,AZ$3&lt;Projects!$C$21+Projects!$D$21),Projects!$B$21*INDEX(Curves!$B$11:$AR$11,1,AZ$3-Projects!$C$21+1),0)-IF(AND(Projects!$G$21="Yes",AZ$3&gt;=Projects!$C$21,AZ$3&lt;Projects!$C$21+Projects!$D$21),Projects!$Q$21/Projects!$D$21*0.95,0)-IF(AND(Projects!$G$21="Yes",AZ$3=Projects!$C$21+Projects!$D$21-1),Projects!$Q$21*0.05,0)</f>
        <v>0</v>
      </c>
      <c r="BA30" s="19" t="n">
        <f aca="false">IF(AND(Projects!$G$21="Yes",BA$3&gt;=Projects!$C$21,BA$3&lt;Projects!$C$21+Projects!$D$21),Projects!$B$21*INDEX(Curves!$B$11:$AR$11,1,BA$3-Projects!$C$21+1),0)-IF(AND(Projects!$G$21="Yes",BA$3&gt;=Projects!$C$21,BA$3&lt;Projects!$C$21+Projects!$D$21),Projects!$Q$21/Projects!$D$21*0.95,0)-IF(AND(Projects!$G$21="Yes",BA$3=Projects!$C$21+Projects!$D$21-1),Projects!$Q$21*0.05,0)</f>
        <v>0</v>
      </c>
      <c r="BB30" s="19" t="n">
        <f aca="false">IF(AND(Projects!$G$21="Yes",BB$3&gt;=Projects!$C$21,BB$3&lt;Projects!$C$21+Projects!$D$21),Projects!$B$21*INDEX(Curves!$B$11:$AR$11,1,BB$3-Projects!$C$21+1),0)-IF(AND(Projects!$G$21="Yes",BB$3&gt;=Projects!$C$21,BB$3&lt;Projects!$C$21+Projects!$D$21),Projects!$Q$21/Projects!$D$21*0.95,0)-IF(AND(Projects!$G$21="Yes",BB$3=Projects!$C$21+Projects!$D$21-1),Projects!$Q$21*0.05,0)</f>
        <v>0</v>
      </c>
      <c r="BC30" s="19" t="n">
        <f aca="false">IF(AND(Projects!$G$21="Yes",BC$3&gt;=Projects!$C$21,BC$3&lt;Projects!$C$21+Projects!$D$21),Projects!$B$21*INDEX(Curves!$B$11:$AR$11,1,BC$3-Projects!$C$21+1),0)-IF(AND(Projects!$G$21="Yes",BC$3&gt;=Projects!$C$21,BC$3&lt;Projects!$C$21+Projects!$D$21),Projects!$Q$21/Projects!$D$21*0.95,0)-IF(AND(Projects!$G$21="Yes",BC$3=Projects!$C$21+Projects!$D$21-1),Projects!$Q$21*0.05,0)</f>
        <v>0</v>
      </c>
      <c r="BD30" s="19" t="n">
        <f aca="false">IF(AND(Projects!$G$21="Yes",BD$3&gt;=Projects!$C$21,BD$3&lt;Projects!$C$21+Projects!$D$21),Projects!$B$21*INDEX(Curves!$B$11:$AR$11,1,BD$3-Projects!$C$21+1),0)-IF(AND(Projects!$G$21="Yes",BD$3&gt;=Projects!$C$21,BD$3&lt;Projects!$C$21+Projects!$D$21),Projects!$Q$21/Projects!$D$21*0.95,0)-IF(AND(Projects!$G$21="Yes",BD$3=Projects!$C$21+Projects!$D$21-1),Projects!$Q$21*0.05,0)</f>
        <v>0</v>
      </c>
      <c r="BE30" s="19" t="n">
        <f aca="false">IF(AND(Projects!$G$21="Yes",BE$3&gt;=Projects!$C$21,BE$3&lt;Projects!$C$21+Projects!$D$21),Projects!$B$21*INDEX(Curves!$B$11:$AR$11,1,BE$3-Projects!$C$21+1),0)-IF(AND(Projects!$G$21="Yes",BE$3&gt;=Projects!$C$21,BE$3&lt;Projects!$C$21+Projects!$D$21),Projects!$Q$21/Projects!$D$21*0.95,0)-IF(AND(Projects!$G$21="Yes",BE$3=Projects!$C$21+Projects!$D$21-1),Projects!$Q$21*0.05,0)</f>
        <v>0</v>
      </c>
      <c r="BF30" s="19" t="n">
        <f aca="false">IF(AND(Projects!$G$21="Yes",BF$3&gt;=Projects!$C$21,BF$3&lt;Projects!$C$21+Projects!$D$21),Projects!$B$21*INDEX(Curves!$B$11:$AR$11,1,BF$3-Projects!$C$21+1),0)-IF(AND(Projects!$G$21="Yes",BF$3&gt;=Projects!$C$21,BF$3&lt;Projects!$C$21+Projects!$D$21),Projects!$Q$21/Projects!$D$21*0.95,0)-IF(AND(Projects!$G$21="Yes",BF$3=Projects!$C$21+Projects!$D$21-1),Projects!$Q$21*0.05,0)</f>
        <v>0</v>
      </c>
      <c r="BG30" s="19" t="n">
        <f aca="false">IF(AND(Projects!$G$21="Yes",BG$3&gt;=Projects!$C$21,BG$3&lt;Projects!$C$21+Projects!$D$21),Projects!$B$21*INDEX(Curves!$B$11:$AR$11,1,BG$3-Projects!$C$21+1),0)-IF(AND(Projects!$G$21="Yes",BG$3&gt;=Projects!$C$21,BG$3&lt;Projects!$C$21+Projects!$D$21),Projects!$Q$21/Projects!$D$21*0.95,0)-IF(AND(Projects!$G$21="Yes",BG$3=Projects!$C$21+Projects!$D$21-1),Projects!$Q$21*0.05,0)</f>
        <v>0</v>
      </c>
      <c r="BH30" s="19" t="n">
        <f aca="false">IF(AND(Projects!$G$21="Yes",BH$3&gt;=Projects!$C$21,BH$3&lt;Projects!$C$21+Projects!$D$21),Projects!$B$21*INDEX(Curves!$B$11:$AR$11,1,BH$3-Projects!$C$21+1),0)-IF(AND(Projects!$G$21="Yes",BH$3&gt;=Projects!$C$21,BH$3&lt;Projects!$C$21+Projects!$D$21),Projects!$Q$21/Projects!$D$21*0.95,0)-IF(AND(Projects!$G$21="Yes",BH$3=Projects!$C$21+Projects!$D$21-1),Projects!$Q$21*0.05,0)</f>
        <v>0</v>
      </c>
      <c r="BI30" s="19" t="n">
        <f aca="false">IF(AND(Projects!$G$21="Yes",BI$3&gt;=Projects!$C$21,BI$3&lt;Projects!$C$21+Projects!$D$21),Projects!$B$21*INDEX(Curves!$B$11:$AR$11,1,BI$3-Projects!$C$21+1),0)-IF(AND(Projects!$G$21="Yes",BI$3&gt;=Projects!$C$21,BI$3&lt;Projects!$C$21+Projects!$D$21),Projects!$Q$21/Projects!$D$21*0.95,0)-IF(AND(Projects!$G$21="Yes",BI$3=Projects!$C$21+Projects!$D$21-1),Projects!$Q$21*0.05,0)</f>
        <v>0</v>
      </c>
      <c r="BJ30" s="19" t="n">
        <f aca="false">IF(AND(Projects!$G$21="Yes",BJ$3&gt;=Projects!$C$21,BJ$3&lt;Projects!$C$21+Projects!$D$21),Projects!$B$21*INDEX(Curves!$B$11:$AR$11,1,BJ$3-Projects!$C$21+1),0)-IF(AND(Projects!$G$21="Yes",BJ$3&gt;=Projects!$C$21,BJ$3&lt;Projects!$C$21+Projects!$D$21),Projects!$Q$21/Projects!$D$21*0.95,0)-IF(AND(Projects!$G$21="Yes",BJ$3=Projects!$C$21+Projects!$D$21-1),Projects!$Q$21*0.05,0)</f>
        <v>0</v>
      </c>
      <c r="BK30" s="19" t="n">
        <f aca="false">IF(AND(Projects!$G$21="Yes",BK$3&gt;=Projects!$C$21,BK$3&lt;Projects!$C$21+Projects!$D$21),Projects!$B$21*INDEX(Curves!$B$11:$AR$11,1,BK$3-Projects!$C$21+1),0)-IF(AND(Projects!$G$21="Yes",BK$3&gt;=Projects!$C$21,BK$3&lt;Projects!$C$21+Projects!$D$21),Projects!$Q$21/Projects!$D$21*0.95,0)-IF(AND(Projects!$G$21="Yes",BK$3=Projects!$C$21+Projects!$D$21-1),Projects!$Q$21*0.05,0)</f>
        <v>0</v>
      </c>
      <c r="BL30" s="19" t="n">
        <f aca="false">IF(AND(Projects!$G$21="Yes",BL$3&gt;=Projects!$C$21,BL$3&lt;Projects!$C$21+Projects!$D$21),Projects!$B$21*INDEX(Curves!$B$11:$AR$11,1,BL$3-Projects!$C$21+1),0)-IF(AND(Projects!$G$21="Yes",BL$3&gt;=Projects!$C$21,BL$3&lt;Projects!$C$21+Projects!$D$21),Projects!$Q$21/Projects!$D$21*0.95,0)-IF(AND(Projects!$G$21="Yes",BL$3=Projects!$C$21+Projects!$D$21-1),Projects!$Q$21*0.05,0)</f>
        <v>0</v>
      </c>
      <c r="BM30" s="19" t="n">
        <f aca="false">IF(AND(Projects!$G$21="Yes",BM$3&gt;=Projects!$C$21,BM$3&lt;Projects!$C$21+Projects!$D$21),Projects!$B$21*INDEX(Curves!$B$11:$AR$11,1,BM$3-Projects!$C$21+1),0)-IF(AND(Projects!$G$21="Yes",BM$3&gt;=Projects!$C$21,BM$3&lt;Projects!$C$21+Projects!$D$21),Projects!$Q$21/Projects!$D$21*0.95,0)-IF(AND(Projects!$G$21="Yes",BM$3=Projects!$C$21+Projects!$D$21-1),Projects!$Q$21*0.05,0)</f>
        <v>0</v>
      </c>
      <c r="BN30" s="19" t="n">
        <f aca="false">IF(AND(Projects!$G$21="Yes",BN$3&gt;=Projects!$C$21,BN$3&lt;Projects!$C$21+Projects!$D$21),Projects!$B$21*INDEX(Curves!$B$11:$AR$11,1,BN$3-Projects!$C$21+1),0)-IF(AND(Projects!$G$21="Yes",BN$3&gt;=Projects!$C$21,BN$3&lt;Projects!$C$21+Projects!$D$21),Projects!$Q$21/Projects!$D$21*0.95,0)-IF(AND(Projects!$G$21="Yes",BN$3=Projects!$C$21+Projects!$D$21-1),Projects!$Q$21*0.05,0)</f>
        <v>0</v>
      </c>
      <c r="BO30" s="19" t="n">
        <f aca="false">IF(AND(Projects!$G$21="Yes",BO$3&gt;=Projects!$C$21,BO$3&lt;Projects!$C$21+Projects!$D$21),Projects!$B$21*INDEX(Curves!$B$11:$AR$11,1,BO$3-Projects!$C$21+1),0)-IF(AND(Projects!$G$21="Yes",BO$3&gt;=Projects!$C$21,BO$3&lt;Projects!$C$21+Projects!$D$21),Projects!$Q$21/Projects!$D$21*0.95,0)-IF(AND(Projects!$G$21="Yes",BO$3=Projects!$C$21+Projects!$D$21-1),Projects!$Q$21*0.05,0)</f>
        <v>0</v>
      </c>
      <c r="BP30" s="19" t="n">
        <f aca="false">IF(AND(Projects!$G$21="Yes",BP$3&gt;=Projects!$C$21,BP$3&lt;Projects!$C$21+Projects!$D$21),Projects!$B$21*INDEX(Curves!$B$11:$AR$11,1,BP$3-Projects!$C$21+1),0)-IF(AND(Projects!$G$21="Yes",BP$3&gt;=Projects!$C$21,BP$3&lt;Projects!$C$21+Projects!$D$21),Projects!$Q$21/Projects!$D$21*0.95,0)-IF(AND(Projects!$G$21="Yes",BP$3=Projects!$C$21+Projects!$D$21-1),Projects!$Q$21*0.05,0)</f>
        <v>0</v>
      </c>
      <c r="BQ30" s="19" t="n">
        <f aca="false">IF(AND(Projects!$G$21="Yes",BQ$3&gt;=Projects!$C$21,BQ$3&lt;Projects!$C$21+Projects!$D$21),Projects!$B$21*INDEX(Curves!$B$11:$AR$11,1,BQ$3-Projects!$C$21+1),0)-IF(AND(Projects!$G$21="Yes",BQ$3&gt;=Projects!$C$21,BQ$3&lt;Projects!$C$21+Projects!$D$21),Projects!$Q$21/Projects!$D$21*0.95,0)-IF(AND(Projects!$G$21="Yes",BQ$3=Projects!$C$21+Projects!$D$21-1),Projects!$Q$21*0.05,0)</f>
        <v>0</v>
      </c>
      <c r="BR30" s="19" t="n">
        <f aca="false">IF(AND(Projects!$G$21="Yes",BR$3&gt;=Projects!$C$21,BR$3&lt;Projects!$C$21+Projects!$D$21),Projects!$B$21*INDEX(Curves!$B$11:$AR$11,1,BR$3-Projects!$C$21+1),0)-IF(AND(Projects!$G$21="Yes",BR$3&gt;=Projects!$C$21,BR$3&lt;Projects!$C$21+Projects!$D$21),Projects!$Q$21/Projects!$D$21*0.95,0)-IF(AND(Projects!$G$21="Yes",BR$3=Projects!$C$21+Projects!$D$21-1),Projects!$Q$21*0.05,0)</f>
        <v>0</v>
      </c>
      <c r="BS30" s="19" t="n">
        <f aca="false">IF(AND(Projects!$G$21="Yes",BS$3&gt;=Projects!$C$21,BS$3&lt;Projects!$C$21+Projects!$D$21),Projects!$B$21*INDEX(Curves!$B$11:$AR$11,1,BS$3-Projects!$C$21+1),0)-IF(AND(Projects!$G$21="Yes",BS$3&gt;=Projects!$C$21,BS$3&lt;Projects!$C$21+Projects!$D$21),Projects!$Q$21/Projects!$D$21*0.95,0)-IF(AND(Projects!$G$21="Yes",BS$3=Projects!$C$21+Projects!$D$21-1),Projects!$Q$21*0.05,0)</f>
        <v>0</v>
      </c>
      <c r="BT30" s="19" t="n">
        <f aca="false">IF(AND(Projects!$G$21="Yes",BT$3&gt;=Projects!$C$21,BT$3&lt;Projects!$C$21+Projects!$D$21),Projects!$B$21*INDEX(Curves!$B$11:$AR$11,1,BT$3-Projects!$C$21+1),0)-IF(AND(Projects!$G$21="Yes",BT$3&gt;=Projects!$C$21,BT$3&lt;Projects!$C$21+Projects!$D$21),Projects!$Q$21/Projects!$D$21*0.95,0)-IF(AND(Projects!$G$21="Yes",BT$3=Projects!$C$21+Projects!$D$21-1),Projects!$Q$21*0.05,0)</f>
        <v>0</v>
      </c>
      <c r="BU30" s="19" t="n">
        <f aca="false">IF(AND(Projects!$G$21="Yes",BU$3&gt;=Projects!$C$21,BU$3&lt;Projects!$C$21+Projects!$D$21),Projects!$B$21*INDEX(Curves!$B$11:$AR$11,1,BU$3-Projects!$C$21+1),0)-IF(AND(Projects!$G$21="Yes",BU$3&gt;=Projects!$C$21,BU$3&lt;Projects!$C$21+Projects!$D$21),Projects!$Q$21/Projects!$D$21*0.95,0)-IF(AND(Projects!$G$21="Yes",BU$3=Projects!$C$21+Projects!$D$21-1),Projects!$Q$21*0.05,0)</f>
        <v>0</v>
      </c>
      <c r="BV30" s="19" t="n">
        <f aca="false">IF(AND(Projects!$G$21="Yes",BV$3&gt;=Projects!$C$21,BV$3&lt;Projects!$C$21+Projects!$D$21),Projects!$B$21*INDEX(Curves!$B$11:$AR$11,1,BV$3-Projects!$C$21+1),0)-IF(AND(Projects!$G$21="Yes",BV$3&gt;=Projects!$C$21,BV$3&lt;Projects!$C$21+Projects!$D$21),Projects!$Q$21/Projects!$D$21*0.95,0)-IF(AND(Projects!$G$21="Yes",BV$3=Projects!$C$21+Projects!$D$21-1),Projects!$Q$21*0.05,0)</f>
        <v>0</v>
      </c>
      <c r="BW30" s="19" t="n">
        <f aca="false">IF(AND(Projects!$G$21="Yes",BW$3&gt;=Projects!$C$21,BW$3&lt;Projects!$C$21+Projects!$D$21),Projects!$B$21*INDEX(Curves!$B$11:$AR$11,1,BW$3-Projects!$C$21+1),0)-IF(AND(Projects!$G$21="Yes",BW$3&gt;=Projects!$C$21,BW$3&lt;Projects!$C$21+Projects!$D$21),Projects!$Q$21/Projects!$D$21*0.95,0)-IF(AND(Projects!$G$21="Yes",BW$3=Projects!$C$21+Projects!$D$21-1),Projects!$Q$21*0.05,0)</f>
        <v>0</v>
      </c>
      <c r="BX30" s="19" t="n">
        <f aca="false">IF(AND(Projects!$G$21="Yes",BX$3&gt;=Projects!$C$21,BX$3&lt;Projects!$C$21+Projects!$D$21),Projects!$B$21*INDEX(Curves!$B$11:$AR$11,1,BX$3-Projects!$C$21+1),0)-IF(AND(Projects!$G$21="Yes",BX$3&gt;=Projects!$C$21,BX$3&lt;Projects!$C$21+Projects!$D$21),Projects!$Q$21/Projects!$D$21*0.95,0)-IF(AND(Projects!$G$21="Yes",BX$3=Projects!$C$21+Projects!$D$21-1),Projects!$Q$21*0.05,0)</f>
        <v>0</v>
      </c>
      <c r="BY30" s="19" t="n">
        <f aca="false">IF(AND(Projects!$G$21="Yes",BY$3&gt;=Projects!$C$21,BY$3&lt;Projects!$C$21+Projects!$D$21),Projects!$B$21*INDEX(Curves!$B$11:$AR$11,1,BY$3-Projects!$C$21+1),0)-IF(AND(Projects!$G$21="Yes",BY$3&gt;=Projects!$C$21,BY$3&lt;Projects!$C$21+Projects!$D$21),Projects!$Q$21/Projects!$D$21*0.95,0)-IF(AND(Projects!$G$21="Yes",BY$3=Projects!$C$21+Projects!$D$21-1),Projects!$Q$21*0.05,0)</f>
        <v>0</v>
      </c>
      <c r="BZ30" s="19" t="n">
        <f aca="false">IF(AND(Projects!$G$21="Yes",BZ$3&gt;=Projects!$C$21,BZ$3&lt;Projects!$C$21+Projects!$D$21),Projects!$B$21*INDEX(Curves!$B$11:$AR$11,1,BZ$3-Projects!$C$21+1),0)-IF(AND(Projects!$G$21="Yes",BZ$3&gt;=Projects!$C$21,BZ$3&lt;Projects!$C$21+Projects!$D$21),Projects!$Q$21/Projects!$D$21*0.95,0)-IF(AND(Projects!$G$21="Yes",BZ$3=Projects!$C$21+Projects!$D$21-1),Projects!$Q$21*0.05,0)</f>
        <v>0</v>
      </c>
      <c r="CA30" s="19" t="n">
        <f aca="false">IF(AND(Projects!$G$21="Yes",CA$3&gt;=Projects!$C$21,CA$3&lt;Projects!$C$21+Projects!$D$21),Projects!$B$21*INDEX(Curves!$B$11:$AR$11,1,CA$3-Projects!$C$21+1),0)-IF(AND(Projects!$G$21="Yes",CA$3&gt;=Projects!$C$21,CA$3&lt;Projects!$C$21+Projects!$D$21),Projects!$Q$21/Projects!$D$21*0.95,0)-IF(AND(Projects!$G$21="Yes",CA$3=Projects!$C$21+Projects!$D$21-1),Projects!$Q$21*0.05,0)</f>
        <v>0</v>
      </c>
      <c r="CB30" s="19" t="n">
        <f aca="false">IF(AND(Projects!$G$21="Yes",CB$3&gt;=Projects!$C$21,CB$3&lt;Projects!$C$21+Projects!$D$21),Projects!$B$21*INDEX(Curves!$B$11:$AR$11,1,CB$3-Projects!$C$21+1),0)-IF(AND(Projects!$G$21="Yes",CB$3&gt;=Projects!$C$21,CB$3&lt;Projects!$C$21+Projects!$D$21),Projects!$Q$21/Projects!$D$21*0.95,0)-IF(AND(Projects!$G$21="Yes",CB$3=Projects!$C$21+Projects!$D$21-1),Projects!$Q$21*0.05,0)</f>
        <v>0</v>
      </c>
      <c r="CC30" s="19" t="n">
        <f aca="false">IF(AND(Projects!$G$21="Yes",CC$3&gt;=Projects!$C$21,CC$3&lt;Projects!$C$21+Projects!$D$21),Projects!$B$21*INDEX(Curves!$B$11:$AR$11,1,CC$3-Projects!$C$21+1),0)-IF(AND(Projects!$G$21="Yes",CC$3&gt;=Projects!$C$21,CC$3&lt;Projects!$C$21+Projects!$D$21),Projects!$Q$21/Projects!$D$21*0.95,0)-IF(AND(Projects!$G$21="Yes",CC$3=Projects!$C$21+Projects!$D$21-1),Projects!$Q$21*0.05,0)</f>
        <v>0</v>
      </c>
      <c r="CD30" s="19" t="n">
        <f aca="false">IF(AND(Projects!$G$21="Yes",CD$3&gt;=Projects!$C$21,CD$3&lt;Projects!$C$21+Projects!$D$21),Projects!$B$21*INDEX(Curves!$B$11:$AR$11,1,CD$3-Projects!$C$21+1),0)-IF(AND(Projects!$G$21="Yes",CD$3&gt;=Projects!$C$21,CD$3&lt;Projects!$C$21+Projects!$D$21),Projects!$Q$21/Projects!$D$21*0.95,0)-IF(AND(Projects!$G$21="Yes",CD$3=Projects!$C$21+Projects!$D$21-1),Projects!$Q$21*0.05,0)</f>
        <v>0</v>
      </c>
      <c r="CE30" s="19" t="n">
        <f aca="false">IF(AND(Projects!$G$21="Yes",CE$3&gt;=Projects!$C$21,CE$3&lt;Projects!$C$21+Projects!$D$21),Projects!$B$21*INDEX(Curves!$B$11:$AR$11,1,CE$3-Projects!$C$21+1),0)-IF(AND(Projects!$G$21="Yes",CE$3&gt;=Projects!$C$21,CE$3&lt;Projects!$C$21+Projects!$D$21),Projects!$Q$21/Projects!$D$21*0.95,0)-IF(AND(Projects!$G$21="Yes",CE$3=Projects!$C$21+Projects!$D$21-1),Projects!$Q$21*0.05,0)</f>
        <v>0</v>
      </c>
      <c r="CF30" s="19" t="n">
        <f aca="false">IF(AND(Projects!$G$21="Yes",CF$3&gt;=Projects!$C$21,CF$3&lt;Projects!$C$21+Projects!$D$21),Projects!$B$21*INDEX(Curves!$B$11:$AR$11,1,CF$3-Projects!$C$21+1),0)-IF(AND(Projects!$G$21="Yes",CF$3&gt;=Projects!$C$21,CF$3&lt;Projects!$C$21+Projects!$D$21),Projects!$Q$21/Projects!$D$21*0.95,0)-IF(AND(Projects!$G$21="Yes",CF$3=Projects!$C$21+Projects!$D$21-1),Projects!$Q$21*0.05,0)</f>
        <v>0</v>
      </c>
      <c r="CG30" s="19" t="n">
        <f aca="false">IF(AND(Projects!$G$21="Yes",CG$3&gt;=Projects!$C$21,CG$3&lt;Projects!$C$21+Projects!$D$21),Projects!$B$21*INDEX(Curves!$B$11:$AR$11,1,CG$3-Projects!$C$21+1),0)-IF(AND(Projects!$G$21="Yes",CG$3&gt;=Projects!$C$21,CG$3&lt;Projects!$C$21+Projects!$D$21),Projects!$Q$21/Projects!$D$21*0.95,0)-IF(AND(Projects!$G$21="Yes",CG$3=Projects!$C$21+Projects!$D$21-1),Projects!$Q$21*0.05,0)</f>
        <v>0</v>
      </c>
      <c r="CH30" s="19" t="n">
        <f aca="false">IF(AND(Projects!$G$21="Yes",CH$3&gt;=Projects!$C$21,CH$3&lt;Projects!$C$21+Projects!$D$21),Projects!$B$21*INDEX(Curves!$B$11:$AR$11,1,CH$3-Projects!$C$21+1),0)-IF(AND(Projects!$G$21="Yes",CH$3&gt;=Projects!$C$21,CH$3&lt;Projects!$C$21+Projects!$D$21),Projects!$Q$21/Projects!$D$21*0.95,0)-IF(AND(Projects!$G$21="Yes",CH$3=Projects!$C$21+Projects!$D$21-1),Projects!$Q$21*0.05,0)</f>
        <v>0</v>
      </c>
      <c r="CI30" s="19" t="n">
        <f aca="false">IF(AND(Projects!$G$21="Yes",CI$3&gt;=Projects!$C$21,CI$3&lt;Projects!$C$21+Projects!$D$21),Projects!$B$21*INDEX(Curves!$B$11:$AR$11,1,CI$3-Projects!$C$21+1),0)-IF(AND(Projects!$G$21="Yes",CI$3&gt;=Projects!$C$21,CI$3&lt;Projects!$C$21+Projects!$D$21),Projects!$Q$21/Projects!$D$21*0.95,0)-IF(AND(Projects!$G$21="Yes",CI$3=Projects!$C$21+Projects!$D$21-1),Projects!$Q$21*0.05,0)</f>
        <v>0</v>
      </c>
      <c r="CJ30" s="19" t="n">
        <f aca="false">IF(AND(Projects!$G$21="Yes",CJ$3&gt;=Projects!$C$21,CJ$3&lt;Projects!$C$21+Projects!$D$21),Projects!$B$21*INDEX(Curves!$B$11:$AR$11,1,CJ$3-Projects!$C$21+1),0)-IF(AND(Projects!$G$21="Yes",CJ$3&gt;=Projects!$C$21,CJ$3&lt;Projects!$C$21+Projects!$D$21),Projects!$Q$21/Projects!$D$21*0.95,0)-IF(AND(Projects!$G$21="Yes",CJ$3=Projects!$C$21+Projects!$D$21-1),Projects!$Q$21*0.05,0)</f>
        <v>0</v>
      </c>
      <c r="CK30" s="19" t="n">
        <f aca="false">IF(AND(Projects!$G$21="Yes",CK$3&gt;=Projects!$C$21,CK$3&lt;Projects!$C$21+Projects!$D$21),Projects!$B$21*INDEX(Curves!$B$11:$AR$11,1,CK$3-Projects!$C$21+1),0)-IF(AND(Projects!$G$21="Yes",CK$3&gt;=Projects!$C$21,CK$3&lt;Projects!$C$21+Projects!$D$21),Projects!$Q$21/Projects!$D$21*0.95,0)-IF(AND(Projects!$G$21="Yes",CK$3=Projects!$C$21+Projects!$D$21-1),Projects!$Q$21*0.05,0)</f>
        <v>0</v>
      </c>
      <c r="CL30" s="19" t="n">
        <f aca="false">IF(AND(Projects!$G$21="Yes",CL$3&gt;=Projects!$C$21,CL$3&lt;Projects!$C$21+Projects!$D$21),Projects!$B$21*INDEX(Curves!$B$11:$AR$11,1,CL$3-Projects!$C$21+1),0)-IF(AND(Projects!$G$21="Yes",CL$3&gt;=Projects!$C$21,CL$3&lt;Projects!$C$21+Projects!$D$21),Projects!$Q$21/Projects!$D$21*0.95,0)-IF(AND(Projects!$G$21="Yes",CL$3=Projects!$C$21+Projects!$D$21-1),Projects!$Q$21*0.05,0)</f>
        <v>0</v>
      </c>
      <c r="CM30" s="19" t="n">
        <f aca="false">IF(AND(Projects!$G$21="Yes",CM$3&gt;=Projects!$C$21,CM$3&lt;Projects!$C$21+Projects!$D$21),Projects!$B$21*INDEX(Curves!$B$11:$AR$11,1,CM$3-Projects!$C$21+1),0)-IF(AND(Projects!$G$21="Yes",CM$3&gt;=Projects!$C$21,CM$3&lt;Projects!$C$21+Projects!$D$21),Projects!$Q$21/Projects!$D$21*0.95,0)-IF(AND(Projects!$G$21="Yes",CM$3=Projects!$C$21+Projects!$D$21-1),Projects!$Q$21*0.05,0)</f>
        <v>0</v>
      </c>
      <c r="CN30" s="19" t="n">
        <f aca="false">IF(AND(Projects!$G$21="Yes",CN$3&gt;=Projects!$C$21,CN$3&lt;Projects!$C$21+Projects!$D$21),Projects!$B$21*INDEX(Curves!$B$11:$AR$11,1,CN$3-Projects!$C$21+1),0)-IF(AND(Projects!$G$21="Yes",CN$3&gt;=Projects!$C$21,CN$3&lt;Projects!$C$21+Projects!$D$21),Projects!$Q$21/Projects!$D$21*0.95,0)-IF(AND(Projects!$G$21="Yes",CN$3=Projects!$C$21+Projects!$D$21-1),Projects!$Q$21*0.05,0)</f>
        <v>0</v>
      </c>
      <c r="CO30" s="19" t="n">
        <f aca="false">IF(AND(Projects!$G$21="Yes",CO$3&gt;=Projects!$C$21,CO$3&lt;Projects!$C$21+Projects!$D$21),Projects!$B$21*INDEX(Curves!$B$11:$AR$11,1,CO$3-Projects!$C$21+1),0)-IF(AND(Projects!$G$21="Yes",CO$3&gt;=Projects!$C$21,CO$3&lt;Projects!$C$21+Projects!$D$21),Projects!$Q$21/Projects!$D$21*0.95,0)-IF(AND(Projects!$G$21="Yes",CO$3=Projects!$C$21+Projects!$D$21-1),Projects!$Q$21*0.05,0)</f>
        <v>0</v>
      </c>
      <c r="CP30" s="19" t="n">
        <f aca="false">IF(AND(Projects!$G$21="Yes",CP$3&gt;=Projects!$C$21,CP$3&lt;Projects!$C$21+Projects!$D$21),Projects!$B$21*INDEX(Curves!$B$11:$AR$11,1,CP$3-Projects!$C$21+1),0)-IF(AND(Projects!$G$21="Yes",CP$3&gt;=Projects!$C$21,CP$3&lt;Projects!$C$21+Projects!$D$21),Projects!$Q$21/Projects!$D$21*0.95,0)-IF(AND(Projects!$G$21="Yes",CP$3=Projects!$C$21+Projects!$D$21-1),Projects!$Q$21*0.05,0)</f>
        <v>0</v>
      </c>
      <c r="CQ30" s="19" t="n">
        <f aca="false">IF(AND(Projects!$G$21="Yes",CQ$3&gt;=Projects!$C$21,CQ$3&lt;Projects!$C$21+Projects!$D$21),Projects!$B$21*INDEX(Curves!$B$11:$AR$11,1,CQ$3-Projects!$C$21+1),0)-IF(AND(Projects!$G$21="Yes",CQ$3&gt;=Projects!$C$21,CQ$3&lt;Projects!$C$21+Projects!$D$21),Projects!$Q$21/Projects!$D$21*0.95,0)-IF(AND(Projects!$G$21="Yes",CQ$3=Projects!$C$21+Projects!$D$21-1),Projects!$Q$21*0.05,0)</f>
        <v>0</v>
      </c>
      <c r="CR30" s="19" t="n">
        <f aca="false">IF(AND(Projects!$G$21="Yes",CR$3&gt;=Projects!$C$21,CR$3&lt;Projects!$C$21+Projects!$D$21),Projects!$B$21*INDEX(Curves!$B$11:$AR$11,1,CR$3-Projects!$C$21+1),0)-IF(AND(Projects!$G$21="Yes",CR$3&gt;=Projects!$C$21,CR$3&lt;Projects!$C$21+Projects!$D$21),Projects!$Q$21/Projects!$D$21*0.95,0)-IF(AND(Projects!$G$21="Yes",CR$3=Projects!$C$21+Projects!$D$21-1),Projects!$Q$21*0.05,0)</f>
        <v>0</v>
      </c>
      <c r="CS30" s="19" t="n">
        <f aca="false">IF(AND(Projects!$G$21="Yes",CS$3&gt;=Projects!$C$21,CS$3&lt;Projects!$C$21+Projects!$D$21),Projects!$B$21*INDEX(Curves!$B$11:$AR$11,1,CS$3-Projects!$C$21+1),0)-IF(AND(Projects!$G$21="Yes",CS$3&gt;=Projects!$C$21,CS$3&lt;Projects!$C$21+Projects!$D$21),Projects!$Q$21/Projects!$D$21*0.95,0)-IF(AND(Projects!$G$21="Yes",CS$3=Projects!$C$21+Projects!$D$21-1),Projects!$Q$21*0.05,0)</f>
        <v>0</v>
      </c>
      <c r="CT30" s="19" t="n">
        <f aca="false">IF(AND(Projects!$G$21="Yes",CT$3&gt;=Projects!$C$21,CT$3&lt;Projects!$C$21+Projects!$D$21),Projects!$B$21*INDEX(Curves!$B$11:$AR$11,1,CT$3-Projects!$C$21+1),0)-IF(AND(Projects!$G$21="Yes",CT$3&gt;=Projects!$C$21,CT$3&lt;Projects!$C$21+Projects!$D$21),Projects!$Q$21/Projects!$D$21*0.95,0)-IF(AND(Projects!$G$21="Yes",CT$3=Projects!$C$21+Projects!$D$21-1),Projects!$Q$21*0.05,0)</f>
        <v>0</v>
      </c>
      <c r="CU30" s="19" t="n">
        <f aca="false">IF(AND(Projects!$G$21="Yes",CU$3&gt;=Projects!$C$21,CU$3&lt;Projects!$C$21+Projects!$D$21),Projects!$B$21*INDEX(Curves!$B$11:$AR$11,1,CU$3-Projects!$C$21+1),0)-IF(AND(Projects!$G$21="Yes",CU$3&gt;=Projects!$C$21,CU$3&lt;Projects!$C$21+Projects!$D$21),Projects!$Q$21/Projects!$D$21*0.95,0)-IF(AND(Projects!$G$21="Yes",CU$3=Projects!$C$21+Projects!$D$21-1),Projects!$Q$21*0.05,0)</f>
        <v>0</v>
      </c>
      <c r="CV30" s="19" t="n">
        <f aca="false">IF(AND(Projects!$G$21="Yes",CV$3&gt;=Projects!$C$21,CV$3&lt;Projects!$C$21+Projects!$D$21),Projects!$B$21*INDEX(Curves!$B$11:$AR$11,1,CV$3-Projects!$C$21+1),0)-IF(AND(Projects!$G$21="Yes",CV$3&gt;=Projects!$C$21,CV$3&lt;Projects!$C$21+Projects!$D$21),Projects!$Q$21/Projects!$D$21*0.95,0)-IF(AND(Projects!$G$21="Yes",CV$3=Projects!$C$21+Projects!$D$21-1),Projects!$Q$21*0.05,0)</f>
        <v>0</v>
      </c>
      <c r="CW30" s="19" t="n">
        <f aca="false">IF(AND(Projects!$G$21="Yes",CW$3&gt;=Projects!$C$21,CW$3&lt;Projects!$C$21+Projects!$D$21),Projects!$B$21*INDEX(Curves!$B$11:$AR$11,1,CW$3-Projects!$C$21+1),0)-IF(AND(Projects!$G$21="Yes",CW$3&gt;=Projects!$C$21,CW$3&lt;Projects!$C$21+Projects!$D$21),Projects!$Q$21/Projects!$D$21*0.95,0)-IF(AND(Projects!$G$21="Yes",CW$3=Projects!$C$21+Projects!$D$21-1),Projects!$Q$21*0.05,0)</f>
        <v>0</v>
      </c>
      <c r="CX30" s="19" t="n">
        <f aca="false">IF(AND(Projects!$G$21="Yes",CX$3&gt;=Projects!$C$21,CX$3&lt;Projects!$C$21+Projects!$D$21),Projects!$B$21*INDEX(Curves!$B$11:$AR$11,1,CX$3-Projects!$C$21+1),0)-IF(AND(Projects!$G$21="Yes",CX$3&gt;=Projects!$C$21,CX$3&lt;Projects!$C$21+Projects!$D$21),Projects!$Q$21/Projects!$D$21*0.95,0)-IF(AND(Projects!$G$21="Yes",CX$3=Projects!$C$21+Projects!$D$21-1),Projects!$Q$21*0.05,0)</f>
        <v>0</v>
      </c>
      <c r="CY30" s="19" t="n">
        <f aca="false">IF(AND(Projects!$G$21="Yes",CY$3&gt;=Projects!$C$21,CY$3&lt;Projects!$C$21+Projects!$D$21),Projects!$B$21*INDEX(Curves!$B$11:$AR$11,1,CY$3-Projects!$C$21+1),0)-IF(AND(Projects!$G$21="Yes",CY$3&gt;=Projects!$C$21,CY$3&lt;Projects!$C$21+Projects!$D$21),Projects!$Q$21/Projects!$D$21*0.95,0)-IF(AND(Projects!$G$21="Yes",CY$3=Projects!$C$21+Projects!$D$21-1),Projects!$Q$21*0.05,0)</f>
        <v>0</v>
      </c>
      <c r="CZ30" s="19" t="n">
        <f aca="false">IF(AND(Projects!$G$21="Yes",CZ$3&gt;=Projects!$C$21,CZ$3&lt;Projects!$C$21+Projects!$D$21),Projects!$B$21*INDEX(Curves!$B$11:$AR$11,1,CZ$3-Projects!$C$21+1),0)-IF(AND(Projects!$G$21="Yes",CZ$3&gt;=Projects!$C$21,CZ$3&lt;Projects!$C$21+Projects!$D$21),Projects!$Q$21/Projects!$D$21*0.95,0)-IF(AND(Projects!$G$21="Yes",CZ$3=Projects!$C$21+Projects!$D$21-1),Projects!$Q$21*0.05,0)</f>
        <v>0</v>
      </c>
      <c r="DA30" s="19" t="n">
        <f aca="false">IF(AND(Projects!$G$21="Yes",DA$3&gt;=Projects!$C$21,DA$3&lt;Projects!$C$21+Projects!$D$21),Projects!$B$21*INDEX(Curves!$B$11:$AR$11,1,DA$3-Projects!$C$21+1),0)-IF(AND(Projects!$G$21="Yes",DA$3&gt;=Projects!$C$21,DA$3&lt;Projects!$C$21+Projects!$D$21),Projects!$Q$21/Projects!$D$21*0.95,0)-IF(AND(Projects!$G$21="Yes",DA$3=Projects!$C$21+Projects!$D$21-1),Projects!$Q$21*0.05,0)</f>
        <v>0</v>
      </c>
      <c r="DB30" s="19" t="n">
        <f aca="false">IF(AND(Projects!$G$21="Yes",DB$3&gt;=Projects!$C$21,DB$3&lt;Projects!$C$21+Projects!$D$21),Projects!$B$21*INDEX(Curves!$B$11:$AR$11,1,DB$3-Projects!$C$21+1),0)-IF(AND(Projects!$G$21="Yes",DB$3&gt;=Projects!$C$21,DB$3&lt;Projects!$C$21+Projects!$D$21),Projects!$Q$21/Projects!$D$21*0.95,0)-IF(AND(Projects!$G$21="Yes",DB$3=Projects!$C$21+Projects!$D$21-1),Projects!$Q$21*0.05,0)</f>
        <v>0</v>
      </c>
      <c r="DC30" s="19" t="n">
        <f aca="false">IF(AND(Projects!$G$21="Yes",DC$3&gt;=Projects!$C$21,DC$3&lt;Projects!$C$21+Projects!$D$21),Projects!$B$21*INDEX(Curves!$B$11:$AR$11,1,DC$3-Projects!$C$21+1),0)-IF(AND(Projects!$G$21="Yes",DC$3&gt;=Projects!$C$21,DC$3&lt;Projects!$C$21+Projects!$D$21),Projects!$Q$21/Projects!$D$21*0.95,0)-IF(AND(Projects!$G$21="Yes",DC$3=Projects!$C$21+Projects!$D$21-1),Projects!$Q$21*0.05,0)</f>
        <v>0</v>
      </c>
      <c r="DD30" s="19" t="n">
        <f aca="false">IF(AND(Projects!$G$21="Yes",DD$3&gt;=Projects!$C$21,DD$3&lt;Projects!$C$21+Projects!$D$21),Projects!$B$21*INDEX(Curves!$B$11:$AR$11,1,DD$3-Projects!$C$21+1),0)-IF(AND(Projects!$G$21="Yes",DD$3&gt;=Projects!$C$21,DD$3&lt;Projects!$C$21+Projects!$D$21),Projects!$Q$21/Projects!$D$21*0.95,0)-IF(AND(Projects!$G$21="Yes",DD$3=Projects!$C$21+Projects!$D$21-1),Projects!$Q$21*0.05,0)</f>
        <v>0</v>
      </c>
      <c r="DE30" s="19" t="n">
        <f aca="false">IF(AND(Projects!$G$21="Yes",DE$3&gt;=Projects!$C$21,DE$3&lt;Projects!$C$21+Projects!$D$21),Projects!$B$21*INDEX(Curves!$B$11:$AR$11,1,DE$3-Projects!$C$21+1),0)-IF(AND(Projects!$G$21="Yes",DE$3&gt;=Projects!$C$21,DE$3&lt;Projects!$C$21+Projects!$D$21),Projects!$Q$21/Projects!$D$21*0.95,0)-IF(AND(Projects!$G$21="Yes",DE$3=Projects!$C$21+Projects!$D$21-1),Projects!$Q$21*0.05,0)</f>
        <v>0</v>
      </c>
    </row>
    <row r="31" customFormat="false" ht="15" hidden="fals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280938.0497</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366518.3137</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458636.3397</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553618.9197</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646901.9557</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733304.5797</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807522.5697</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864635.4717</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900654.8397</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912962.8277</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900654.8397</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864635.4717</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807522.5697</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733304.5797</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646901.9557</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553618.9197</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458636.3397</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366518.3137</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198434.0974</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fals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fals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0</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0</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0</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0</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0</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0</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0</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0</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0</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0</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0</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0</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0</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0</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0</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0</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0</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0</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0</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fals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0</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0</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0</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0</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0</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0</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0</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0</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0</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0</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0</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0</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0</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0</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0</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0</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0</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0</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0</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fals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0</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0</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0</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0</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0</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0</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0</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0</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0</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0</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0</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0</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0</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0</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0</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0</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0</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0</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0</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fals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0</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0</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0</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0</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0</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0</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0</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0</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0</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0</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0</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0</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0</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0</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0</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0</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0</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0</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0</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fals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0</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0</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0</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0</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0</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0</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0</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0</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0</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0</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0</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0</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0</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0</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0</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0</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0</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0</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0</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fals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0</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0</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0</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0</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0</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0</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0</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0</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0</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0</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0</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0</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0</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0</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0</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0</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0</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0</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0</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fals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0</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0</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0</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0</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0</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0</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0</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0</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0</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0</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0</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0</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0</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0</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0</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0</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0</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0</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0</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fals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0</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0</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0</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0</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0</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0</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0</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0</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0</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0</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0</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0</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0</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0</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0</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0</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0</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0</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0</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fals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0</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0</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0</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0</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0</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0</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0</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0</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0</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0</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0</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0</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0</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0</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0</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0</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0</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0</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0</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fals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0</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0</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0</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0</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0</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0</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0</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0</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0</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0</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0</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0</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0</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0</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0</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0</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0</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0</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0</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fals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0</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0</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0</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0</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0</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0</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0</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0</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0</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0</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0</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0</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0</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0</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0</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0</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0</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0</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0</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fals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0</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0</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0</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0</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0</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0</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0</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0</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0</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0</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0</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0</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0</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0</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0</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0</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0</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0</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0</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fals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0</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0</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0</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0</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0</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0</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0</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0</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0</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0</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0</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0</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0</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0</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0</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0</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0</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0</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0</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fals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0</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0</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0</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0</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0</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0</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0</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0</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0</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0</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0</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0</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0</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0</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0</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0</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0</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0</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0</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fals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0</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0</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0</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0</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0</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0</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0</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0</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0</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0</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0</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0</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0</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0</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0</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0</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0</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0</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0</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fals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0</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0</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0</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0</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0</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0</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0</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0</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0</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0</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0</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0</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0</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0</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0</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0</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0</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0</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0</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fals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0</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0</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0</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0</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0</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0</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0</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0</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0</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0</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0</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0</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0</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0</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0</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0</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0</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0</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0</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fals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0</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0</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0</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0</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0</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0</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0</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0</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0</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0</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0</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0</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0</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0</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0</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0</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0</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0</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0</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fals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0</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0</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0</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0</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0</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0</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0</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0</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0</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0</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0</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0</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0</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0</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0</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0</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0</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0</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0</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fals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0</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0</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0</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0</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0</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0</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0</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0</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0</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0</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0</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0</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0</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0</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0</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0</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0</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0</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0</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fals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0</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0</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0</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0</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0</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0</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0</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0</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0</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0</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0</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0</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0</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0</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0</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0</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0</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0</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0</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fals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0</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0</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0</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0</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0</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0</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0</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0</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0</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0</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0</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0</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0</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0</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0</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0</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0</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0</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0</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fals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0</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0</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0</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0</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0</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0</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0</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0</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0</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0</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0</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0</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0</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0</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0</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0</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0</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0</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0</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fals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fals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5630859.39</v>
      </c>
      <c r="K57" s="30" t="n">
        <f aca="false">SUM(K13:K56)</f>
        <v>5161211.17</v>
      </c>
      <c r="L57" s="30" t="n">
        <f aca="false">SUM(L13:L56)</f>
        <v>4161030.95</v>
      </c>
      <c r="M57" s="30" t="n">
        <f aca="false">SUM(M13:M56)</f>
        <v>4094950.85099936</v>
      </c>
      <c r="N57" s="30" t="n">
        <f aca="false">SUM(N13:N56)</f>
        <v>4923945.33304903</v>
      </c>
      <c r="O57" s="30" t="n">
        <f aca="false">SUM(O13:O56)</f>
        <v>4988886.2253878</v>
      </c>
      <c r="P57" s="30" t="n">
        <f aca="false">SUM(P13:P56)</f>
        <v>5471649.5153733</v>
      </c>
      <c r="Q57" s="30" t="n">
        <f aca="false">SUM(Q13:Q56)</f>
        <v>5829440.97791243</v>
      </c>
      <c r="R57" s="30" t="n">
        <f aca="false">SUM(R13:R56)</f>
        <v>6228355.36389018</v>
      </c>
      <c r="S57" s="30" t="n">
        <f aca="false">SUM(S13:S56)</f>
        <v>7580716.68761567</v>
      </c>
      <c r="T57" s="30" t="n">
        <f aca="false">SUM(T13:T56)</f>
        <v>8863308.12746994</v>
      </c>
      <c r="U57" s="30" t="n">
        <f aca="false">SUM(U13:U56)</f>
        <v>8624882.51922129</v>
      </c>
      <c r="V57" s="30" t="n">
        <f aca="false">SUM(V13:V56)</f>
        <v>9795023.92020283</v>
      </c>
      <c r="W57" s="30" t="n">
        <f aca="false">SUM(W13:W56)</f>
        <v>9678288.26803107</v>
      </c>
      <c r="X57" s="30" t="n">
        <f aca="false">SUM(X13:X56)</f>
        <v>11441335.2048013</v>
      </c>
      <c r="Y57" s="30" t="n">
        <f aca="false">SUM(Y13:Y56)</f>
        <v>10667220.8947779</v>
      </c>
      <c r="Z57" s="30" t="n">
        <f aca="false">SUM(Z13:Z56)</f>
        <v>11872079.5416436</v>
      </c>
      <c r="AA57" s="30" t="n">
        <f aca="false">SUM(AA13:AA56)</f>
        <v>11544132.247952</v>
      </c>
      <c r="AB57" s="30" t="n">
        <f aca="false">SUM(AB13:AB56)</f>
        <v>10719234.7944979</v>
      </c>
      <c r="AC57" s="30" t="n">
        <f aca="false">SUM(AC13:AC56)</f>
        <v>10068138.4307431</v>
      </c>
      <c r="AD57" s="30" t="n">
        <f aca="false">SUM(AD13:AD56)</f>
        <v>10143452.907826</v>
      </c>
      <c r="AE57" s="30" t="n">
        <f aca="false">SUM(AE13:AE56)</f>
        <v>10350418.5617395</v>
      </c>
      <c r="AF57" s="30" t="n">
        <f aca="false">SUM(AF13:AF56)</f>
        <v>10194439.9605698</v>
      </c>
      <c r="AG57" s="30" t="n">
        <f aca="false">SUM(AG13:AG56)</f>
        <v>10460028.095142</v>
      </c>
      <c r="AH57" s="30" t="n">
        <f aca="false">SUM(AH13:AH56)</f>
        <v>9738779.85976826</v>
      </c>
      <c r="AI57" s="30" t="n">
        <f aca="false">SUM(AI13:AI56)</f>
        <v>9107153.59880215</v>
      </c>
      <c r="AJ57" s="30" t="n">
        <f aca="false">SUM(AJ13:AJ56)</f>
        <v>7774487.8319617</v>
      </c>
      <c r="AK57" s="30" t="n">
        <f aca="false">SUM(AK13:AK56)</f>
        <v>7053514.37692988</v>
      </c>
      <c r="AL57" s="30" t="n">
        <f aca="false">SUM(AL13:AL56)</f>
        <v>6737601.5768674</v>
      </c>
      <c r="AM57" s="30" t="n">
        <f aca="false">SUM(AM13:AM56)</f>
        <v>6379453.371397</v>
      </c>
      <c r="AN57" s="30" t="n">
        <f aca="false">SUM(AN13:AN56)</f>
        <v>5058958.35522007</v>
      </c>
      <c r="AO57" s="30" t="n">
        <f aca="false">SUM(AO13:AO56)</f>
        <v>4122119.13805205</v>
      </c>
      <c r="AP57" s="30" t="n">
        <f aca="false">SUM(AP13:AP56)</f>
        <v>2999710.67127144</v>
      </c>
      <c r="AQ57" s="30" t="n">
        <f aca="false">SUM(AQ13:AQ56)</f>
        <v>2722815.44434132</v>
      </c>
      <c r="AR57" s="30" t="n">
        <f aca="false">SUM(AR13:AR56)</f>
        <v>2633830.85838132</v>
      </c>
      <c r="AS57" s="30" t="n">
        <f aca="false">SUM(AS13:AS56)</f>
        <v>2527703.10646532</v>
      </c>
      <c r="AT57" s="30" t="n">
        <f aca="false">SUM(AT13:AT56)</f>
        <v>2255469.31400248</v>
      </c>
      <c r="AU57" s="30" t="n">
        <f aca="false">SUM(AU13:AU56)</f>
        <v>2390189.56815024</v>
      </c>
      <c r="AV57" s="30" t="n">
        <f aca="false">SUM(AV13:AV56)</f>
        <v>1971075.03090674</v>
      </c>
      <c r="AW57" s="30" t="n">
        <f aca="false">SUM(AW13:AW56)</f>
        <v>1632789.15157145</v>
      </c>
      <c r="AX57" s="30" t="n">
        <f aca="false">SUM(AX13:AX56)</f>
        <v>1562651.69569945</v>
      </c>
      <c r="AY57" s="30" t="n">
        <f aca="false">SUM(AY13:AY56)</f>
        <v>1478825.85663545</v>
      </c>
      <c r="AZ57" s="30" t="n">
        <f aca="false">SUM(AZ13:AZ56)</f>
        <v>1383586.13913945</v>
      </c>
      <c r="BA57" s="30" t="n">
        <f aca="false">SUM(BA13:BA56)</f>
        <v>1279496.53039545</v>
      </c>
      <c r="BB57" s="30" t="n">
        <f aca="false">SUM(BB13:BB56)</f>
        <v>1169079.66295545</v>
      </c>
      <c r="BC57" s="30" t="n">
        <f aca="false">SUM(BC13:BC56)</f>
        <v>1054982.23326745</v>
      </c>
      <c r="BD57" s="30" t="n">
        <f aca="false">SUM(BD13:BD56)</f>
        <v>939685.519251453</v>
      </c>
      <c r="BE57" s="30" t="n">
        <f aca="false">SUM(BE13:BE56)</f>
        <v>825464.025667453</v>
      </c>
      <c r="BF57" s="30" t="n">
        <f aca="false">SUM(BF13:BF56)</f>
        <v>714385.484115453</v>
      </c>
      <c r="BG57" s="30" t="n">
        <f aca="false">SUM(BG13:BG56)</f>
        <v>608145.434507453</v>
      </c>
      <c r="BH57" s="30" t="n">
        <f aca="false">SUM(BH13:BH56)</f>
        <v>259255.013907853</v>
      </c>
      <c r="BI57" s="30" t="n">
        <f aca="false">SUM(BI13:BI56)</f>
        <v>0</v>
      </c>
      <c r="BJ57" s="30" t="n">
        <f aca="false">SUM(BJ13:BJ56)</f>
        <v>0</v>
      </c>
      <c r="BK57" s="30" t="n">
        <f aca="false">SUM(BK13:BK56)</f>
        <v>0</v>
      </c>
      <c r="BL57" s="30" t="n">
        <f aca="false">SUM(BL13:BL56)</f>
        <v>0</v>
      </c>
      <c r="BM57" s="30" t="n">
        <f aca="false">SUM(BM13:BM56)</f>
        <v>0</v>
      </c>
      <c r="BN57" s="30" t="n">
        <f aca="false">SUM(BN13:BN56)</f>
        <v>0</v>
      </c>
      <c r="BO57" s="30" t="n">
        <f aca="false">SUM(BO13:BO56)</f>
        <v>0</v>
      </c>
      <c r="BP57" s="30" t="n">
        <f aca="false">SUM(BP13:BP56)</f>
        <v>0</v>
      </c>
      <c r="BQ57" s="30" t="n">
        <f aca="false">SUM(BQ13:BQ56)</f>
        <v>0</v>
      </c>
      <c r="BR57" s="30" t="n">
        <f aca="false">SUM(BR13:BR56)</f>
        <v>0</v>
      </c>
      <c r="BS57" s="30" t="n">
        <f aca="false">SUM(BS13:BS56)</f>
        <v>0</v>
      </c>
      <c r="BT57" s="30" t="n">
        <f aca="false">SUM(BT13:BT56)</f>
        <v>0</v>
      </c>
      <c r="BU57" s="30" t="n">
        <f aca="false">SUM(BU13:BU56)</f>
        <v>0</v>
      </c>
      <c r="BV57" s="30" t="n">
        <f aca="false">SUM(BV13:BV56)</f>
        <v>0</v>
      </c>
      <c r="BW57" s="30" t="n">
        <f aca="false">SUM(BW13:BW56)</f>
        <v>0</v>
      </c>
      <c r="BX57" s="30" t="n">
        <f aca="false">SUM(BX13:BX56)</f>
        <v>0</v>
      </c>
      <c r="BY57" s="30" t="n">
        <f aca="false">SUM(BY13:BY56)</f>
        <v>0</v>
      </c>
      <c r="BZ57" s="30" t="n">
        <f aca="false">SUM(BZ13:BZ56)</f>
        <v>0</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6380882.05</v>
      </c>
      <c r="K58" s="30" t="n">
        <f aca="false">K10+K11+K57</f>
        <v>5863956.57</v>
      </c>
      <c r="L58" s="30" t="n">
        <f aca="false">L10+L11+L57</f>
        <v>4729790.82</v>
      </c>
      <c r="M58" s="30" t="n">
        <f aca="false">M10+M11+M57</f>
        <v>4696674.76099936</v>
      </c>
      <c r="N58" s="30" t="n">
        <f aca="false">N10+N11+N57</f>
        <v>5653414.31976768</v>
      </c>
      <c r="O58" s="30" t="n">
        <f aca="false">O10+O11+O57</f>
        <v>5737029.0785874</v>
      </c>
      <c r="P58" s="30" t="n">
        <f aca="false">P10+P11+P57</f>
        <v>6249137.2685729</v>
      </c>
      <c r="Q58" s="30" t="n">
        <f aca="false">Q10+Q11+Q57</f>
        <v>6690394.38083971</v>
      </c>
      <c r="R58" s="30" t="n">
        <f aca="false">R10+R11+R57</f>
        <v>7133494.69621321</v>
      </c>
      <c r="S58" s="30" t="n">
        <f aca="false">S10+S11+S57</f>
        <v>8768040.94323706</v>
      </c>
      <c r="T58" s="30" t="n">
        <f aca="false">T10+T11+T57</f>
        <v>10144347.3730913</v>
      </c>
      <c r="U58" s="30" t="n">
        <f aca="false">U10+U11+U57</f>
        <v>9796181.31484267</v>
      </c>
      <c r="V58" s="30" t="n">
        <f aca="false">V10+V11+V57</f>
        <v>11103411.537929</v>
      </c>
      <c r="W58" s="30" t="n">
        <f aca="false">W10+W11+W57</f>
        <v>10990981.1829161</v>
      </c>
      <c r="X58" s="30" t="n">
        <f aca="false">X10+X11+X57</f>
        <v>12901723.7996864</v>
      </c>
      <c r="Y58" s="30" t="n">
        <f aca="false">Y10+Y11+Y57</f>
        <v>11944082.569663</v>
      </c>
      <c r="Z58" s="30" t="n">
        <f aca="false">Z10+Z11+Z57</f>
        <v>13248868.2165287</v>
      </c>
      <c r="AA58" s="30" t="n">
        <f aca="false">AA10+AA11+AA57</f>
        <v>12830753.982837</v>
      </c>
      <c r="AB58" s="30" t="n">
        <f aca="false">AB10+AB11+AB57</f>
        <v>11867722.2593829</v>
      </c>
      <c r="AC58" s="30" t="n">
        <f aca="false">AC10+AC11+AC57</f>
        <v>11120389.0556282</v>
      </c>
      <c r="AD58" s="30" t="n">
        <f aca="false">AD10+AD11+AD57</f>
        <v>11218269.5727111</v>
      </c>
      <c r="AE58" s="30" t="n">
        <f aca="false">AE10+AE11+AE57</f>
        <v>11573978.5474931</v>
      </c>
      <c r="AF58" s="30" t="n">
        <f aca="false">AF10+AF11+AF57</f>
        <v>11576384.073042</v>
      </c>
      <c r="AG58" s="30" t="n">
        <f aca="false">AG10+AG11+AG57</f>
        <v>11775371.7106579</v>
      </c>
      <c r="AH58" s="30" t="n">
        <f aca="false">AH10+AH11+AH57</f>
        <v>11030742.349959</v>
      </c>
      <c r="AI58" s="30" t="n">
        <f aca="false">AI10+AI11+AI57</f>
        <v>10160868.4216285</v>
      </c>
      <c r="AJ58" s="30" t="n">
        <f aca="false">AJ10+AJ11+AJ57</f>
        <v>8777079.67418376</v>
      </c>
      <c r="AK58" s="30" t="n">
        <f aca="false">AK10+AK11+AK57</f>
        <v>7892614.61036044</v>
      </c>
      <c r="AL58" s="30" t="n">
        <f aca="false">AL10+AL11+AL57</f>
        <v>7590772.52029796</v>
      </c>
      <c r="AM58" s="30" t="n">
        <f aca="false">AM10+AM11+AM57</f>
        <v>7244307.35482756</v>
      </c>
      <c r="AN58" s="30" t="n">
        <f aca="false">AN10+AN11+AN57</f>
        <v>5902740.09075538</v>
      </c>
      <c r="AO58" s="30" t="n">
        <f aca="false">AO10+AO11+AO57</f>
        <v>4837953.56167786</v>
      </c>
      <c r="AP58" s="30" t="n">
        <f aca="false">AP10+AP11+AP57</f>
        <v>3678533.319865</v>
      </c>
      <c r="AQ58" s="30" t="n">
        <f aca="false">AQ10+AQ11+AQ57</f>
        <v>3172311.694126</v>
      </c>
      <c r="AR58" s="30" t="n">
        <f aca="false">AR10+AR11+AR57</f>
        <v>3083327.108166</v>
      </c>
      <c r="AS58" s="30" t="n">
        <f aca="false">AS10+AS11+AS57</f>
        <v>2977199.35625</v>
      </c>
      <c r="AT58" s="30" t="n">
        <f aca="false">AT10+AT11+AT57</f>
        <v>2855612.81203</v>
      </c>
      <c r="AU58" s="30" t="n">
        <f aca="false">AU10+AU11+AU57</f>
        <v>2720423.413076</v>
      </c>
      <c r="AV58" s="30" t="n">
        <f aca="false">AV10+AV11+AV57</f>
        <v>2573794.461186</v>
      </c>
      <c r="AW58" s="30" t="n">
        <f aca="false">AW10+AW11+AW57</f>
        <v>1790448.79244</v>
      </c>
      <c r="AX58" s="30" t="n">
        <f aca="false">AX10+AX11+AX57</f>
        <v>1720311.336568</v>
      </c>
      <c r="AY58" s="30" t="n">
        <f aca="false">AY10+AY11+AY57</f>
        <v>1636485.497504</v>
      </c>
      <c r="AZ58" s="30" t="n">
        <f aca="false">AZ10+AZ11+AZ57</f>
        <v>1541245.780008</v>
      </c>
      <c r="BA58" s="30" t="n">
        <f aca="false">BA10+BA11+BA57</f>
        <v>1437156.171264</v>
      </c>
      <c r="BB58" s="30" t="n">
        <f aca="false">BB10+BB11+BB57</f>
        <v>1326739.303824</v>
      </c>
      <c r="BC58" s="30" t="n">
        <f aca="false">BC10+BC11+BC57</f>
        <v>1212641.874136</v>
      </c>
      <c r="BD58" s="30" t="n">
        <f aca="false">BD10+BD11+BD57</f>
        <v>1097345.16012</v>
      </c>
      <c r="BE58" s="30" t="n">
        <f aca="false">BE10+BE11+BE57</f>
        <v>983123.666536</v>
      </c>
      <c r="BF58" s="30" t="n">
        <f aca="false">BF10+BF11+BF57</f>
        <v>872045.124984</v>
      </c>
      <c r="BG58" s="30" t="n">
        <f aca="false">BG10+BG11+BG57</f>
        <v>765805.075376</v>
      </c>
      <c r="BH58" s="30" t="n">
        <f aca="false">BH10+BH11+BH57</f>
        <v>665850.929832</v>
      </c>
      <c r="BI58" s="30" t="n">
        <f aca="false">BI10+BI11+BI57</f>
        <v>0</v>
      </c>
      <c r="BJ58" s="30" t="n">
        <f aca="false">BJ10+BJ11+BJ57</f>
        <v>0</v>
      </c>
      <c r="BK58" s="30" t="n">
        <f aca="false">BK10+BK11+BK57</f>
        <v>0</v>
      </c>
      <c r="BL58" s="30" t="n">
        <f aca="false">BL10+BL11+BL57</f>
        <v>0</v>
      </c>
      <c r="BM58" s="30" t="n">
        <f aca="false">BM10+BM11+BM57</f>
        <v>0</v>
      </c>
      <c r="BN58" s="30" t="n">
        <f aca="false">BN10+BN11+BN57</f>
        <v>0</v>
      </c>
      <c r="BO58" s="30" t="n">
        <f aca="false">BO10+BO11+BO57</f>
        <v>0</v>
      </c>
      <c r="BP58" s="30" t="n">
        <f aca="false">BP10+BP11+BP57</f>
        <v>0</v>
      </c>
      <c r="BQ58" s="30" t="n">
        <f aca="false">BQ10+BQ11+BQ57</f>
        <v>0</v>
      </c>
      <c r="BR58" s="30" t="n">
        <f aca="false">BR10+BR11+BR57</f>
        <v>0</v>
      </c>
      <c r="BS58" s="30" t="n">
        <f aca="false">BS10+BS11+BS57</f>
        <v>0</v>
      </c>
      <c r="BT58" s="30" t="n">
        <f aca="false">BT10+BT11+BT57</f>
        <v>0</v>
      </c>
      <c r="BU58" s="30" t="n">
        <f aca="false">BU10+BU11+BU57</f>
        <v>0</v>
      </c>
      <c r="BV58" s="30" t="n">
        <f aca="false">BV10+BV11+BV57</f>
        <v>0</v>
      </c>
      <c r="BW58" s="30" t="n">
        <f aca="false">BW10+BW11+BW57</f>
        <v>0</v>
      </c>
      <c r="BX58" s="30" t="n">
        <f aca="false">BX10+BX11+BX57</f>
        <v>0</v>
      </c>
      <c r="BY58" s="30" t="n">
        <f aca="false">BY10+BY11+BY57</f>
        <v>0</v>
      </c>
      <c r="BZ58" s="30" t="n">
        <f aca="false">BZ10+BZ11+BZ57</f>
        <v>0</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fals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v>-576355.56</v>
      </c>
      <c r="K60" s="19" t="n">
        <v>-1223906.92</v>
      </c>
      <c r="L60" s="19" t="n">
        <v>-567791.87</v>
      </c>
      <c r="M60" s="19" t="n">
        <v>-63087.99</v>
      </c>
      <c r="N60" s="19" t="n">
        <v>0</v>
      </c>
      <c r="O60" s="19" t="n">
        <v>0</v>
      </c>
      <c r="P60" s="19" t="n">
        <v>0</v>
      </c>
      <c r="Q60" s="19" t="n">
        <v>0</v>
      </c>
      <c r="R60" s="19" t="n">
        <v>0</v>
      </c>
      <c r="S60" s="19" t="n">
        <v>0</v>
      </c>
      <c r="T60" s="19" t="n">
        <v>0</v>
      </c>
      <c r="U60" s="19" t="n">
        <v>0</v>
      </c>
      <c r="V60" s="19" t="n">
        <v>0</v>
      </c>
      <c r="W60" s="19" t="n">
        <v>0</v>
      </c>
      <c r="X60" s="19" t="n">
        <v>0</v>
      </c>
      <c r="Y60" s="19" t="n">
        <v>0</v>
      </c>
      <c r="Z60" s="19" t="n">
        <v>0</v>
      </c>
      <c r="AA60" s="19" t="n">
        <v>0</v>
      </c>
      <c r="AB60" s="19" t="n">
        <v>0</v>
      </c>
      <c r="AC60" s="19" t="n">
        <v>0</v>
      </c>
      <c r="AD60" s="19" t="n">
        <v>0</v>
      </c>
      <c r="AE60" s="19" t="n">
        <v>0</v>
      </c>
      <c r="AF60" s="19" t="n">
        <v>0</v>
      </c>
      <c r="AG60" s="19" t="n">
        <v>0</v>
      </c>
      <c r="AH60" s="19" t="n">
        <v>0</v>
      </c>
      <c r="AI60" s="19" t="n">
        <v>0</v>
      </c>
      <c r="AJ60" s="19" t="n">
        <v>0</v>
      </c>
      <c r="AK60" s="19" t="n">
        <v>0</v>
      </c>
      <c r="AL60" s="19" t="n">
        <v>0</v>
      </c>
      <c r="AM60" s="19" t="n">
        <v>0</v>
      </c>
      <c r="AN60" s="19" t="n">
        <v>0</v>
      </c>
      <c r="AO60" s="19" t="n">
        <v>0</v>
      </c>
      <c r="AP60" s="19" t="n">
        <v>0</v>
      </c>
      <c r="AQ60" s="19" t="n">
        <v>0</v>
      </c>
      <c r="AR60" s="19" t="n">
        <v>0</v>
      </c>
      <c r="AS60" s="19" t="n">
        <v>0</v>
      </c>
      <c r="AT60" s="19" t="n">
        <v>0</v>
      </c>
      <c r="AU60" s="19" t="n">
        <v>0</v>
      </c>
      <c r="AV60" s="19" t="n">
        <v>0</v>
      </c>
      <c r="AW60" s="19" t="n">
        <v>0</v>
      </c>
      <c r="AX60" s="19" t="n">
        <v>0</v>
      </c>
      <c r="AY60" s="19" t="n">
        <v>0</v>
      </c>
      <c r="AZ60" s="19" t="n">
        <v>0</v>
      </c>
      <c r="BA60" s="19" t="n">
        <v>0</v>
      </c>
      <c r="BB60" s="19" t="n">
        <v>0</v>
      </c>
      <c r="BC60" s="19" t="n">
        <v>0</v>
      </c>
      <c r="BD60" s="19" t="n">
        <v>0</v>
      </c>
      <c r="BE60" s="19" t="n">
        <v>0</v>
      </c>
      <c r="BF60" s="19" t="n">
        <v>0</v>
      </c>
      <c r="BG60" s="19" t="n">
        <v>0</v>
      </c>
      <c r="BH60" s="19" t="n">
        <v>0</v>
      </c>
      <c r="BI60" s="19" t="n">
        <v>0</v>
      </c>
      <c r="BJ60" s="19" t="n">
        <v>0</v>
      </c>
      <c r="BK60" s="19" t="n">
        <v>0</v>
      </c>
      <c r="BL60" s="19" t="n">
        <v>0</v>
      </c>
      <c r="BM60" s="19" t="n">
        <v>0</v>
      </c>
      <c r="BN60" s="19" t="n">
        <v>0</v>
      </c>
      <c r="BO60" s="19" t="n">
        <v>0</v>
      </c>
      <c r="BP60" s="19" t="n">
        <v>0</v>
      </c>
      <c r="BQ60" s="19" t="n">
        <v>0</v>
      </c>
      <c r="BR60" s="19" t="n">
        <v>0</v>
      </c>
      <c r="BS60" s="19" t="n">
        <v>0</v>
      </c>
      <c r="BT60" s="19" t="n">
        <v>0</v>
      </c>
      <c r="BU60" s="19" t="n">
        <v>0</v>
      </c>
      <c r="BV60" s="19" t="n">
        <v>0</v>
      </c>
      <c r="BW60" s="19" t="n">
        <v>0</v>
      </c>
      <c r="BX60" s="19" t="n">
        <v>0</v>
      </c>
      <c r="BY60" s="19" t="n">
        <v>0</v>
      </c>
      <c r="BZ60" s="19" t="n">
        <v>0</v>
      </c>
      <c r="CA60" s="19" t="n">
        <v>0</v>
      </c>
      <c r="CB60" s="19" t="n">
        <v>0</v>
      </c>
      <c r="CC60" s="19" t="n">
        <v>0</v>
      </c>
      <c r="CD60" s="19" t="n">
        <v>0</v>
      </c>
      <c r="CE60" s="19" t="n">
        <v>0</v>
      </c>
      <c r="CF60" s="19" t="n">
        <v>0</v>
      </c>
      <c r="CG60" s="19" t="n">
        <v>0</v>
      </c>
      <c r="CH60" s="19" t="n">
        <v>0</v>
      </c>
      <c r="CI60" s="19" t="n">
        <v>0</v>
      </c>
      <c r="CJ60" s="19" t="n">
        <v>0</v>
      </c>
      <c r="CK60" s="19" t="n">
        <v>0</v>
      </c>
      <c r="CL60" s="19" t="n">
        <v>0</v>
      </c>
      <c r="CM60" s="19" t="n">
        <v>0</v>
      </c>
      <c r="CN60" s="19" t="n">
        <v>0</v>
      </c>
      <c r="CO60" s="19" t="n">
        <v>0</v>
      </c>
      <c r="CP60" s="19" t="n">
        <v>0</v>
      </c>
      <c r="CQ60" s="19" t="n">
        <v>0</v>
      </c>
      <c r="CR60" s="19" t="n">
        <v>0</v>
      </c>
      <c r="CS60" s="19" t="n">
        <v>0</v>
      </c>
      <c r="CT60" s="19" t="n">
        <v>0</v>
      </c>
      <c r="CU60" s="19" t="n">
        <v>0</v>
      </c>
      <c r="CV60" s="19" t="n">
        <v>0</v>
      </c>
      <c r="CW60" s="19" t="n">
        <v>0</v>
      </c>
      <c r="CX60" s="19" t="n">
        <v>0</v>
      </c>
      <c r="CY60" s="19" t="n">
        <v>0</v>
      </c>
      <c r="CZ60" s="19" t="n">
        <v>0</v>
      </c>
      <c r="DA60" s="19" t="n">
        <v>0</v>
      </c>
      <c r="DB60" s="19" t="n">
        <v>0</v>
      </c>
      <c r="DC60" s="19" t="n">
        <v>0</v>
      </c>
      <c r="DD60" s="19" t="n">
        <v>0</v>
      </c>
      <c r="DE60" s="19" t="n">
        <v>0</v>
      </c>
    </row>
    <row r="61" customFormat="false" ht="15" hidden="fals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-1134365.23</v>
      </c>
      <c r="K61" s="19" t="n">
        <v>-854223.83</v>
      </c>
      <c r="L61" s="19" t="n">
        <v>-776815.86</v>
      </c>
      <c r="M61" s="19" t="n">
        <v>-785149.7</v>
      </c>
      <c r="N61" s="19" t="n">
        <v>-1018620.43</v>
      </c>
      <c r="O61" s="19" t="n">
        <v>-848702.18</v>
      </c>
      <c r="P61" s="19" t="n">
        <v>-1100541.33</v>
      </c>
      <c r="Q61" s="19" t="n">
        <v>-899378.4</v>
      </c>
      <c r="R61" s="19" t="n">
        <v>-710313.45</v>
      </c>
      <c r="S61" s="19" t="n">
        <v>-649418.4</v>
      </c>
      <c r="T61" s="19" t="n">
        <v>-873952.17</v>
      </c>
      <c r="U61" s="19" t="n">
        <v>-872463.36</v>
      </c>
      <c r="V61" s="19" t="n">
        <v>-297364.7</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fals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-1169566.64</v>
      </c>
      <c r="K62" s="19" t="n">
        <v>-473819.22</v>
      </c>
      <c r="L62" s="19" t="n">
        <v>-500783.7</v>
      </c>
      <c r="M62" s="19" t="n">
        <v>-667356.35</v>
      </c>
      <c r="N62" s="19" t="n">
        <v>-600275.89</v>
      </c>
      <c r="O62" s="19" t="n">
        <v>-510408.64</v>
      </c>
      <c r="P62" s="19" t="n">
        <v>-612614.31</v>
      </c>
      <c r="Q62" s="19" t="n">
        <v>-587149.14</v>
      </c>
      <c r="R62" s="19" t="n">
        <v>-522423.11</v>
      </c>
      <c r="S62" s="19" t="n">
        <v>-353633.79</v>
      </c>
      <c r="T62" s="19" t="n">
        <v>-153203.98</v>
      </c>
      <c r="U62" s="19" t="n">
        <v>-145299.86</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fals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-1453224.92</v>
      </c>
      <c r="K63" s="19" t="n">
        <v>-553214.45</v>
      </c>
      <c r="L63" s="19" t="n">
        <v>-520236.35</v>
      </c>
      <c r="M63" s="19" t="n">
        <v>-448294.05</v>
      </c>
      <c r="N63" s="19" t="n">
        <v>-526373.31</v>
      </c>
      <c r="O63" s="19" t="n">
        <v>-502317.24</v>
      </c>
      <c r="P63" s="19" t="n">
        <v>-354602.58</v>
      </c>
      <c r="Q63" s="19" t="n">
        <v>-333053.05</v>
      </c>
      <c r="R63" s="19" t="n">
        <v>-256614.3</v>
      </c>
      <c r="S63" s="19" t="n">
        <v>-624704.78</v>
      </c>
      <c r="T63" s="19" t="n">
        <v>-889401.42</v>
      </c>
      <c r="U63" s="19" t="n">
        <v>-600737.73</v>
      </c>
      <c r="V63" s="19" t="n">
        <v>-382498.63</v>
      </c>
      <c r="W63" s="19" t="n">
        <v>-148470.25</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fals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-229410.86</v>
      </c>
      <c r="K64" s="19" t="n">
        <v>-371701.27</v>
      </c>
      <c r="L64" s="19" t="n">
        <v>-217904.73</v>
      </c>
      <c r="M64" s="19" t="n">
        <v>-185816.58</v>
      </c>
      <c r="N64" s="19" t="n">
        <v>-281402.12</v>
      </c>
      <c r="O64" s="19" t="n">
        <v>-251555.59</v>
      </c>
      <c r="P64" s="19" t="n">
        <v>-96095.75</v>
      </c>
      <c r="Q64" s="19" t="n">
        <v>-80261.61</v>
      </c>
      <c r="R64" s="19" t="n">
        <v>-54858.71</v>
      </c>
      <c r="S64" s="19" t="n">
        <v>-16825.94</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false" customHeight="true" outlineLevel="1" collapsed="false">
      <c r="A65" s="28" t="s">
        <v>12</v>
      </c>
      <c r="B65" s="19" t="n">
        <v>-2000</v>
      </c>
      <c r="C65" s="19" t="n">
        <v>0</v>
      </c>
      <c r="D65" s="19" t="n">
        <v>0</v>
      </c>
      <c r="E65" s="19" t="n">
        <v>0</v>
      </c>
      <c r="F65" s="19" t="n">
        <v>-8000</v>
      </c>
      <c r="G65" s="19" t="n">
        <v>-5130</v>
      </c>
      <c r="H65" s="19" t="n">
        <v>-7159</v>
      </c>
      <c r="I65" s="19" t="n">
        <v>-488133.15</v>
      </c>
      <c r="J65" s="19" t="n">
        <v>-791331.44</v>
      </c>
      <c r="K65" s="19" t="n">
        <v>-1053092.36</v>
      </c>
      <c r="L65" s="19" t="n">
        <v>-684562.77</v>
      </c>
      <c r="M65" s="19" t="n">
        <v>-513044.26</v>
      </c>
      <c r="N65" s="19" t="n">
        <v>-653599.65</v>
      </c>
      <c r="O65" s="19" t="n">
        <v>-528747.41</v>
      </c>
      <c r="P65" s="19" t="n">
        <v>-637944.42</v>
      </c>
      <c r="Q65" s="19" t="n">
        <v>-538803.5</v>
      </c>
      <c r="R65" s="19" t="n">
        <v>-662192.06</v>
      </c>
      <c r="S65" s="19" t="n">
        <v>-622383.82</v>
      </c>
      <c r="T65" s="19" t="n">
        <v>-1116362.18</v>
      </c>
      <c r="U65" s="19" t="n">
        <v>-713409.55</v>
      </c>
      <c r="V65" s="19" t="n">
        <v>-2127439.16</v>
      </c>
      <c r="W65" s="19" t="n">
        <v>-1343923.38</v>
      </c>
      <c r="X65" s="19" t="n">
        <v>-2760491.05</v>
      </c>
      <c r="Y65" s="19" t="n">
        <v>-1589470.04</v>
      </c>
      <c r="Z65" s="19" t="n">
        <v>-2504116.94</v>
      </c>
      <c r="AA65" s="19" t="n">
        <v>-2091020.65</v>
      </c>
      <c r="AB65" s="19" t="n">
        <v>-1425420.65</v>
      </c>
      <c r="AC65" s="19" t="n">
        <v>-902082.7</v>
      </c>
      <c r="AD65" s="19" t="n">
        <v>-1068222.03</v>
      </c>
      <c r="AE65" s="19" t="n">
        <v>-1002576.93</v>
      </c>
      <c r="AF65" s="19" t="n">
        <v>-1239784.79</v>
      </c>
      <c r="AG65" s="19" t="n">
        <v>-2153030.82</v>
      </c>
      <c r="AH65" s="19" t="n">
        <v>-1998158.34</v>
      </c>
      <c r="AI65" s="19" t="n">
        <v>-1953515.07</v>
      </c>
      <c r="AJ65" s="19" t="n">
        <v>-1065806.33</v>
      </c>
      <c r="AK65" s="19" t="n">
        <v>-884768.02</v>
      </c>
      <c r="AL65" s="19" t="n">
        <v>-988361.65</v>
      </c>
      <c r="AM65" s="19" t="n">
        <v>-1074376.4</v>
      </c>
      <c r="AN65" s="19" t="n">
        <v>-289051.68</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fals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v>-491237.41</v>
      </c>
      <c r="K66" s="19" t="n">
        <v>-344680.33</v>
      </c>
      <c r="L66" s="19" t="n">
        <v>-431309.76</v>
      </c>
      <c r="M66" s="19" t="n">
        <v>-520633.06</v>
      </c>
      <c r="N66" s="19" t="n">
        <v>-608358.09</v>
      </c>
      <c r="O66" s="19" t="n">
        <v>-689612.65</v>
      </c>
      <c r="P66" s="19" t="n">
        <v>-759408.56</v>
      </c>
      <c r="Q66" s="19" t="n">
        <v>-813118.55</v>
      </c>
      <c r="R66" s="19" t="n">
        <v>-846991.8</v>
      </c>
      <c r="S66" s="19" t="n">
        <v>-858566.46</v>
      </c>
      <c r="T66" s="19" t="n">
        <v>-846991.8</v>
      </c>
      <c r="U66" s="19" t="n">
        <v>-813118.55</v>
      </c>
      <c r="V66" s="19" t="n">
        <v>-759408.56</v>
      </c>
      <c r="W66" s="19" t="n">
        <v>-689612.65</v>
      </c>
      <c r="X66" s="19" t="n">
        <v>-608358.09</v>
      </c>
      <c r="Y66" s="19" t="n">
        <v>-520633.06</v>
      </c>
      <c r="Z66" s="19" t="n">
        <v>-431309.76</v>
      </c>
      <c r="AA66" s="19" t="n">
        <v>-344680.33</v>
      </c>
      <c r="AB66" s="19" t="n">
        <v>-186610.95</v>
      </c>
      <c r="AC66" s="19" t="n">
        <v>0</v>
      </c>
      <c r="AD66" s="19" t="n">
        <v>0</v>
      </c>
      <c r="AE66" s="19" t="n">
        <v>0</v>
      </c>
      <c r="AF66" s="19" t="n">
        <v>0</v>
      </c>
      <c r="AG66" s="19" t="n">
        <v>0</v>
      </c>
      <c r="AH66" s="19" t="n">
        <v>0</v>
      </c>
      <c r="AI66" s="19" t="n">
        <v>0</v>
      </c>
      <c r="AJ66" s="19" t="n">
        <v>0</v>
      </c>
      <c r="AK66" s="19" t="n">
        <v>0</v>
      </c>
      <c r="AL66" s="19" t="n">
        <v>0</v>
      </c>
      <c r="AM66" s="19" t="n">
        <v>0</v>
      </c>
      <c r="AN66" s="19" t="n">
        <v>0</v>
      </c>
      <c r="AO66" s="19" t="n">
        <v>0</v>
      </c>
      <c r="AP66" s="19" t="n">
        <v>0</v>
      </c>
      <c r="AQ66" s="19" t="n">
        <v>0</v>
      </c>
      <c r="AR66" s="19" t="n">
        <v>0</v>
      </c>
      <c r="AS66" s="19" t="n">
        <v>0</v>
      </c>
      <c r="AT66" s="19" t="n">
        <v>0</v>
      </c>
      <c r="AU66" s="19" t="n">
        <v>0</v>
      </c>
      <c r="AV66" s="19" t="n">
        <v>0</v>
      </c>
      <c r="AW66" s="19" t="n">
        <v>0</v>
      </c>
      <c r="AX66" s="19" t="n">
        <v>0</v>
      </c>
      <c r="AY66" s="19" t="n">
        <v>0</v>
      </c>
      <c r="AZ66" s="19" t="n">
        <v>0</v>
      </c>
      <c r="BA66" s="19" t="n">
        <v>0</v>
      </c>
      <c r="BB66" s="19" t="n">
        <v>0</v>
      </c>
      <c r="BC66" s="19" t="n">
        <v>0</v>
      </c>
      <c r="BD66" s="19" t="n">
        <v>0</v>
      </c>
      <c r="BE66" s="19" t="n">
        <v>0</v>
      </c>
      <c r="BF66" s="19" t="n">
        <v>0</v>
      </c>
      <c r="BG66" s="19" t="n">
        <v>0</v>
      </c>
      <c r="BH66" s="19" t="n">
        <v>0</v>
      </c>
      <c r="BI66" s="19" t="n">
        <v>0</v>
      </c>
      <c r="BJ66" s="19" t="n">
        <v>0</v>
      </c>
      <c r="BK66" s="19" t="n">
        <v>0</v>
      </c>
      <c r="BL66" s="19" t="n">
        <v>0</v>
      </c>
      <c r="BM66" s="19" t="n">
        <v>0</v>
      </c>
      <c r="BN66" s="19" t="n">
        <v>0</v>
      </c>
      <c r="BO66" s="19" t="n">
        <v>0</v>
      </c>
      <c r="BP66" s="19" t="n">
        <v>0</v>
      </c>
      <c r="BQ66" s="19" t="n">
        <v>0</v>
      </c>
      <c r="BR66" s="19" t="n">
        <v>0</v>
      </c>
      <c r="BS66" s="19" t="n">
        <v>0</v>
      </c>
      <c r="BT66" s="19" t="n">
        <v>0</v>
      </c>
      <c r="BU66" s="19" t="n">
        <v>0</v>
      </c>
      <c r="BV66" s="19" t="n">
        <v>0</v>
      </c>
      <c r="BW66" s="19" t="n">
        <v>0</v>
      </c>
      <c r="BX66" s="19" t="n">
        <v>0</v>
      </c>
      <c r="BY66" s="19" t="n">
        <v>0</v>
      </c>
      <c r="BZ66" s="19" t="n">
        <v>0</v>
      </c>
      <c r="CA66" s="19" t="n">
        <v>0</v>
      </c>
      <c r="CB66" s="19" t="n">
        <v>0</v>
      </c>
      <c r="CC66" s="19" t="n">
        <v>0</v>
      </c>
      <c r="CD66" s="19" t="n">
        <v>0</v>
      </c>
      <c r="CE66" s="19" t="n">
        <v>0</v>
      </c>
      <c r="CF66" s="19" t="n">
        <v>0</v>
      </c>
      <c r="CG66" s="19" t="n">
        <v>0</v>
      </c>
      <c r="CH66" s="19" t="n">
        <v>0</v>
      </c>
      <c r="CI66" s="19" t="n">
        <v>0</v>
      </c>
      <c r="CJ66" s="19" t="n">
        <v>0</v>
      </c>
      <c r="CK66" s="19" t="n">
        <v>0</v>
      </c>
      <c r="CL66" s="19" t="n">
        <v>0</v>
      </c>
      <c r="CM66" s="19" t="n">
        <v>0</v>
      </c>
      <c r="CN66" s="19" t="n">
        <v>0</v>
      </c>
      <c r="CO66" s="19" t="n">
        <v>0</v>
      </c>
      <c r="CP66" s="19" t="n">
        <v>0</v>
      </c>
      <c r="CQ66" s="19" t="n">
        <v>0</v>
      </c>
      <c r="CR66" s="19" t="n">
        <v>0</v>
      </c>
      <c r="CS66" s="19" t="n">
        <v>0</v>
      </c>
      <c r="CT66" s="19" t="n">
        <v>0</v>
      </c>
      <c r="CU66" s="19" t="n">
        <v>0</v>
      </c>
      <c r="CV66" s="19" t="n">
        <v>0</v>
      </c>
      <c r="CW66" s="19" t="n">
        <v>0</v>
      </c>
      <c r="CX66" s="19" t="n">
        <v>0</v>
      </c>
      <c r="CY66" s="19" t="n">
        <v>0</v>
      </c>
      <c r="CZ66" s="19" t="n">
        <v>0</v>
      </c>
      <c r="DA66" s="19" t="n">
        <v>0</v>
      </c>
      <c r="DB66" s="19" t="n">
        <v>0</v>
      </c>
      <c r="DC66" s="19" t="n">
        <v>0</v>
      </c>
      <c r="DD66" s="19" t="n">
        <v>0</v>
      </c>
      <c r="DE66" s="19" t="n">
        <v>0</v>
      </c>
    </row>
    <row r="67" customFormat="false" ht="15" hidden="fals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v>-194053.1</v>
      </c>
      <c r="K67" s="19" t="n">
        <v>-482214.01</v>
      </c>
      <c r="L67" s="19" t="n">
        <v>-582079.47</v>
      </c>
      <c r="M67" s="19" t="n">
        <v>-680158.02</v>
      </c>
      <c r="N67" s="19" t="n">
        <v>-771002.45</v>
      </c>
      <c r="O67" s="19" t="n">
        <v>-849035.85</v>
      </c>
      <c r="P67" s="19" t="n">
        <v>-909084.82</v>
      </c>
      <c r="Q67" s="19" t="n">
        <v>-946955.88</v>
      </c>
      <c r="R67" s="19" t="n">
        <v>-959896.6</v>
      </c>
      <c r="S67" s="19" t="n">
        <v>-946955.88</v>
      </c>
      <c r="T67" s="19" t="n">
        <v>-909084.82</v>
      </c>
      <c r="U67" s="19" t="n">
        <v>-849035.85</v>
      </c>
      <c r="V67" s="19" t="n">
        <v>-771002.45</v>
      </c>
      <c r="W67" s="19" t="n">
        <v>-680158.02</v>
      </c>
      <c r="X67" s="19" t="n">
        <v>-582079.47</v>
      </c>
      <c r="Y67" s="19" t="n">
        <v>-482214.01</v>
      </c>
      <c r="Z67" s="19" t="n">
        <v>-385360.36</v>
      </c>
      <c r="AA67" s="19" t="n">
        <v>-208635.24</v>
      </c>
      <c r="AB67" s="19" t="n">
        <v>0</v>
      </c>
      <c r="AC67" s="19" t="n">
        <v>0</v>
      </c>
      <c r="AD67" s="19" t="n">
        <v>0</v>
      </c>
      <c r="AE67" s="19" t="n">
        <v>0</v>
      </c>
      <c r="AF67" s="19" t="n">
        <v>0</v>
      </c>
      <c r="AG67" s="19" t="n">
        <v>0</v>
      </c>
      <c r="AH67" s="19" t="n">
        <v>0</v>
      </c>
      <c r="AI67" s="19" t="n">
        <v>0</v>
      </c>
      <c r="AJ67" s="19" t="n">
        <v>0</v>
      </c>
      <c r="AK67" s="19" t="n">
        <v>0</v>
      </c>
      <c r="AL67" s="19" t="n">
        <v>0</v>
      </c>
      <c r="AM67" s="19" t="n">
        <v>0</v>
      </c>
      <c r="AN67" s="19" t="n">
        <v>0</v>
      </c>
      <c r="AO67" s="19" t="n">
        <v>0</v>
      </c>
      <c r="AP67" s="19" t="n">
        <v>0</v>
      </c>
      <c r="AQ67" s="19" t="n">
        <v>0</v>
      </c>
      <c r="AR67" s="19" t="n">
        <v>0</v>
      </c>
      <c r="AS67" s="19" t="n">
        <v>0</v>
      </c>
      <c r="AT67" s="19" t="n">
        <v>0</v>
      </c>
      <c r="AU67" s="19" t="n">
        <v>0</v>
      </c>
      <c r="AV67" s="19" t="n">
        <v>0</v>
      </c>
      <c r="AW67" s="19" t="n">
        <v>0</v>
      </c>
      <c r="AX67" s="19" t="n">
        <v>0</v>
      </c>
      <c r="AY67" s="19" t="n">
        <v>0</v>
      </c>
      <c r="AZ67" s="19" t="n">
        <v>0</v>
      </c>
      <c r="BA67" s="19" t="n">
        <v>0</v>
      </c>
      <c r="BB67" s="19" t="n">
        <v>0</v>
      </c>
      <c r="BC67" s="19" t="n">
        <v>0</v>
      </c>
      <c r="BD67" s="19" t="n">
        <v>0</v>
      </c>
      <c r="BE67" s="19" t="n">
        <v>0</v>
      </c>
      <c r="BF67" s="19" t="n">
        <v>0</v>
      </c>
      <c r="BG67" s="19" t="n">
        <v>0</v>
      </c>
      <c r="BH67" s="19" t="n">
        <v>0</v>
      </c>
      <c r="BI67" s="19" t="n">
        <v>0</v>
      </c>
      <c r="BJ67" s="19" t="n">
        <v>0</v>
      </c>
      <c r="BK67" s="19" t="n">
        <v>0</v>
      </c>
      <c r="BL67" s="19" t="n">
        <v>0</v>
      </c>
      <c r="BM67" s="19" t="n">
        <v>0</v>
      </c>
      <c r="BN67" s="19" t="n">
        <v>0</v>
      </c>
      <c r="BO67" s="19" t="n">
        <v>0</v>
      </c>
      <c r="BP67" s="19" t="n">
        <v>0</v>
      </c>
      <c r="BQ67" s="19" t="n">
        <v>0</v>
      </c>
      <c r="BR67" s="19" t="n">
        <v>0</v>
      </c>
      <c r="BS67" s="19" t="n">
        <v>0</v>
      </c>
      <c r="BT67" s="19" t="n">
        <v>0</v>
      </c>
      <c r="BU67" s="19" t="n">
        <v>0</v>
      </c>
      <c r="BV67" s="19" t="n">
        <v>0</v>
      </c>
      <c r="BW67" s="19" t="n">
        <v>0</v>
      </c>
      <c r="BX67" s="19" t="n">
        <v>0</v>
      </c>
      <c r="BY67" s="19" t="n">
        <v>0</v>
      </c>
      <c r="BZ67" s="19" t="n">
        <v>0</v>
      </c>
      <c r="CA67" s="19" t="n">
        <v>0</v>
      </c>
      <c r="CB67" s="19" t="n">
        <v>0</v>
      </c>
      <c r="CC67" s="19" t="n">
        <v>0</v>
      </c>
      <c r="CD67" s="19" t="n">
        <v>0</v>
      </c>
      <c r="CE67" s="19" t="n">
        <v>0</v>
      </c>
      <c r="CF67" s="19" t="n">
        <v>0</v>
      </c>
      <c r="CG67" s="19" t="n">
        <v>0</v>
      </c>
      <c r="CH67" s="19" t="n">
        <v>0</v>
      </c>
      <c r="CI67" s="19" t="n">
        <v>0</v>
      </c>
      <c r="CJ67" s="19" t="n">
        <v>0</v>
      </c>
      <c r="CK67" s="19" t="n">
        <v>0</v>
      </c>
      <c r="CL67" s="19" t="n">
        <v>0</v>
      </c>
      <c r="CM67" s="19" t="n">
        <v>0</v>
      </c>
      <c r="CN67" s="19" t="n">
        <v>0</v>
      </c>
      <c r="CO67" s="19" t="n">
        <v>0</v>
      </c>
      <c r="CP67" s="19" t="n">
        <v>0</v>
      </c>
      <c r="CQ67" s="19" t="n">
        <v>0</v>
      </c>
      <c r="CR67" s="19" t="n">
        <v>0</v>
      </c>
      <c r="CS67" s="19" t="n">
        <v>0</v>
      </c>
      <c r="CT67" s="19" t="n">
        <v>0</v>
      </c>
      <c r="CU67" s="19" t="n">
        <v>0</v>
      </c>
      <c r="CV67" s="19" t="n">
        <v>0</v>
      </c>
      <c r="CW67" s="19" t="n">
        <v>0</v>
      </c>
      <c r="CX67" s="19" t="n">
        <v>0</v>
      </c>
      <c r="CY67" s="19" t="n">
        <v>0</v>
      </c>
      <c r="CZ67" s="19" t="n">
        <v>0</v>
      </c>
      <c r="DA67" s="19" t="n">
        <v>0</v>
      </c>
      <c r="DB67" s="19" t="n">
        <v>0</v>
      </c>
      <c r="DC67" s="19" t="n">
        <v>0</v>
      </c>
      <c r="DD67" s="19" t="n">
        <v>0</v>
      </c>
      <c r="DE67" s="19" t="n">
        <v>0</v>
      </c>
    </row>
    <row r="68" customFormat="false" ht="15" hidden="false" customHeight="true" outlineLevel="1" collapsed="false">
      <c r="A68" s="28" t="s">
        <v>15</v>
      </c>
      <c r="B68" s="19" t="n">
        <v>0</v>
      </c>
      <c r="C68" s="19" t="n">
        <v>0</v>
      </c>
      <c r="D68" s="19" t="n">
        <v>0</v>
      </c>
      <c r="E68" s="19" t="n">
        <v>0</v>
      </c>
      <c r="F68" s="19" t="n">
        <v>-50</v>
      </c>
      <c r="G68" s="19" t="n">
        <v>-5164</v>
      </c>
      <c r="H68" s="19" t="n">
        <v>5164</v>
      </c>
      <c r="I68" s="19" t="n">
        <v>0</v>
      </c>
      <c r="J68" s="19" t="n">
        <v>0</v>
      </c>
      <c r="K68" s="19" t="n">
        <f aca="false">-K21</f>
        <v>-0</v>
      </c>
      <c r="L68" s="19" t="n">
        <f aca="false">-L21</f>
        <v>-0</v>
      </c>
      <c r="M68" s="19" t="n">
        <f aca="false">-M21</f>
        <v>-0</v>
      </c>
      <c r="N68" s="19" t="n">
        <f aca="false">-N21</f>
        <v>-0</v>
      </c>
      <c r="O68" s="19" t="n">
        <f aca="false">-O21</f>
        <v>-0</v>
      </c>
      <c r="P68" s="19" t="n">
        <f aca="false">-P21</f>
        <v>-0</v>
      </c>
      <c r="Q68" s="19" t="n">
        <f aca="false">-Q21</f>
        <v>-0</v>
      </c>
      <c r="R68" s="19" t="n">
        <f aca="false">-R21</f>
        <v>-0</v>
      </c>
      <c r="S68" s="19" t="n">
        <f aca="false">-S21</f>
        <v>-334505.743043865</v>
      </c>
      <c r="T68" s="19" t="n">
        <f aca="false">-T21</f>
        <v>-416135.954838865</v>
      </c>
      <c r="U68" s="19" t="n">
        <f aca="false">-U21</f>
        <v>-503507.285983865</v>
      </c>
      <c r="V68" s="19" t="n">
        <f aca="false">-V21</f>
        <v>-594727.293433865</v>
      </c>
      <c r="W68" s="19" t="n">
        <f aca="false">-W21</f>
        <v>-687265.631993865</v>
      </c>
      <c r="X68" s="19" t="n">
        <f aca="false">-X21</f>
        <v>-778294.268798865</v>
      </c>
      <c r="Y68" s="19" t="n">
        <f aca="false">-Y21</f>
        <v>-864623.693098865</v>
      </c>
      <c r="Z68" s="19" t="n">
        <f aca="false">-Z21</f>
        <v>-943000.603928865</v>
      </c>
      <c r="AA68" s="19" t="n">
        <f aca="false">-AA21</f>
        <v>-1010278.01734886</v>
      </c>
      <c r="AB68" s="19" t="n">
        <f aca="false">-AB21</f>
        <v>-1063542.84687386</v>
      </c>
      <c r="AC68" s="19" t="n">
        <f aca="false">-AC21</f>
        <v>-1100477.38135886</v>
      </c>
      <c r="AD68" s="19" t="n">
        <f aca="false">-AD21</f>
        <v>-1119380.54840386</v>
      </c>
      <c r="AE68" s="19" t="n">
        <f aca="false">-AE21</f>
        <v>-1119380.54840386</v>
      </c>
      <c r="AF68" s="19" t="n">
        <f aca="false">-AF21</f>
        <v>-1100477.38135886</v>
      </c>
      <c r="AG68" s="19" t="n">
        <f aca="false">-AG21</f>
        <v>-1063542.84687386</v>
      </c>
      <c r="AH68" s="19" t="n">
        <f aca="false">-AH21</f>
        <v>-1010278.01734886</v>
      </c>
      <c r="AI68" s="19" t="n">
        <f aca="false">-AI21</f>
        <v>-943000.603928865</v>
      </c>
      <c r="AJ68" s="19" t="n">
        <f aca="false">-AJ21</f>
        <v>-864623.693098865</v>
      </c>
      <c r="AK68" s="19" t="n">
        <f aca="false">-AK21</f>
        <v>-778294.268798865</v>
      </c>
      <c r="AL68" s="19" t="n">
        <f aca="false">-AL21</f>
        <v>-687265.631993865</v>
      </c>
      <c r="AM68" s="19" t="n">
        <f aca="false">-AM21</f>
        <v>-594727.293433865</v>
      </c>
      <c r="AN68" s="19" t="n">
        <f aca="false">-AN21</f>
        <v>-503507.285983865</v>
      </c>
      <c r="AO68" s="19" t="n">
        <f aca="false">-AO21</f>
        <v>-416135.954838865</v>
      </c>
      <c r="AP68" s="19" t="n">
        <f aca="false">-AP21</f>
        <v>-206509.613476115</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fals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v>1265</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fals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v>1265</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fals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-0</v>
      </c>
      <c r="R71" s="19" t="n">
        <f aca="false">-R24</f>
        <v>-0</v>
      </c>
      <c r="S71" s="19" t="n">
        <f aca="false">-S24</f>
        <v>-556266.059712783</v>
      </c>
      <c r="T71" s="19" t="n">
        <f aca="false">-T24</f>
        <v>-665675.842802783</v>
      </c>
      <c r="U71" s="19" t="n">
        <f aca="false">-U24</f>
        <v>-781966.174932784</v>
      </c>
      <c r="V71" s="19" t="n">
        <f aca="false">-V24</f>
        <v>-903552.719152783</v>
      </c>
      <c r="W71" s="19" t="n">
        <f aca="false">-W24</f>
        <v>-1028579.53789278</v>
      </c>
      <c r="X71" s="19" t="n">
        <f aca="false">-X24</f>
        <v>-1154783.29265278</v>
      </c>
      <c r="Y71" s="19" t="n">
        <f aca="false">-Y24</f>
        <v>-1279674.31108278</v>
      </c>
      <c r="Z71" s="19" t="n">
        <f aca="false">-Z24</f>
        <v>-1400536.58698278</v>
      </c>
      <c r="AA71" s="19" t="n">
        <f aca="false">-AA24</f>
        <v>-1514473.04707278</v>
      </c>
      <c r="AB71" s="19" t="n">
        <f aca="false">-AB24</f>
        <v>-1618722.41838278</v>
      </c>
      <c r="AC71" s="19" t="n">
        <f aca="false">-AC24</f>
        <v>-1710478.16117278</v>
      </c>
      <c r="AD71" s="19" t="n">
        <f aca="false">-AD24</f>
        <v>-1787250.60309278</v>
      </c>
      <c r="AE71" s="19" t="n">
        <f aca="false">-AE24</f>
        <v>-1846912.20595278</v>
      </c>
      <c r="AF71" s="19" t="n">
        <f aca="false">-AF24</f>
        <v>-1887652.29895278</v>
      </c>
      <c r="AG71" s="19" t="n">
        <f aca="false">-AG24</f>
        <v>-1908339.21284278</v>
      </c>
      <c r="AH71" s="19" t="n">
        <f aca="false">-AH24</f>
        <v>-1908339.21284278</v>
      </c>
      <c r="AI71" s="19" t="n">
        <f aca="false">-AI24</f>
        <v>-1887652.29895278</v>
      </c>
      <c r="AJ71" s="19" t="n">
        <f aca="false">-AJ24</f>
        <v>-1846912.20595278</v>
      </c>
      <c r="AK71" s="19" t="n">
        <f aca="false">-AK24</f>
        <v>-1787250.60309278</v>
      </c>
      <c r="AL71" s="19" t="n">
        <f aca="false">-AL24</f>
        <v>-1710478.16117278</v>
      </c>
      <c r="AM71" s="19" t="n">
        <f aca="false">-AM24</f>
        <v>-1618722.41838278</v>
      </c>
      <c r="AN71" s="19" t="n">
        <f aca="false">-AN24</f>
        <v>-1514473.04707278</v>
      </c>
      <c r="AO71" s="19" t="n">
        <f aca="false">-AO24</f>
        <v>-1400536.58698278</v>
      </c>
      <c r="AP71" s="19" t="n">
        <f aca="false">-AP24</f>
        <v>-1279674.31108278</v>
      </c>
      <c r="AQ71" s="19" t="n">
        <f aca="false">-AQ24</f>
        <v>-1154783.29265278</v>
      </c>
      <c r="AR71" s="19" t="n">
        <f aca="false">-AR24</f>
        <v>-1028579.53789278</v>
      </c>
      <c r="AS71" s="19" t="n">
        <f aca="false">-AS24</f>
        <v>-903552.719152783</v>
      </c>
      <c r="AT71" s="19" t="n">
        <f aca="false">-AT24</f>
        <v>-781966.174932784</v>
      </c>
      <c r="AU71" s="19" t="n">
        <f aca="false">-AU24</f>
        <v>-665675.842802783</v>
      </c>
      <c r="AV71" s="19" t="n">
        <f aca="false">-AV24</f>
        <v>-283780.474359283</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fals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fals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-0</v>
      </c>
      <c r="S73" s="19" t="n">
        <f aca="false">-S26</f>
        <v>-0</v>
      </c>
      <c r="T73" s="19" t="n">
        <f aca="false">-T26</f>
        <v>-0</v>
      </c>
      <c r="U73" s="19" t="n">
        <f aca="false">-U26</f>
        <v>-0</v>
      </c>
      <c r="V73" s="19" t="n">
        <f aca="false">-V26</f>
        <v>-291464.41266025</v>
      </c>
      <c r="W73" s="19" t="n">
        <f aca="false">-W26</f>
        <v>-380251.25164025</v>
      </c>
      <c r="X73" s="19" t="n">
        <f aca="false">-X26</f>
        <v>-475820.81358525</v>
      </c>
      <c r="Y73" s="19" t="n">
        <f aca="false">-Y26</f>
        <v>-574362.26043525</v>
      </c>
      <c r="Z73" s="19" t="n">
        <f aca="false">-Z26</f>
        <v>-671140.48370525</v>
      </c>
      <c r="AA73" s="19" t="n">
        <f aca="false">-AA26</f>
        <v>-760780.49538525</v>
      </c>
      <c r="AB73" s="19" t="n">
        <f aca="false">-AB26</f>
        <v>-837779.33156025</v>
      </c>
      <c r="AC73" s="19" t="n">
        <f aca="false">-AC26</f>
        <v>-897032.17557525</v>
      </c>
      <c r="AD73" s="19" t="n">
        <f aca="false">-AD26</f>
        <v>-934401.13983525</v>
      </c>
      <c r="AE73" s="19" t="n">
        <f aca="false">-AE26</f>
        <v>-947170.29124525</v>
      </c>
      <c r="AF73" s="19" t="n">
        <f aca="false">-AF26</f>
        <v>-934401.13983525</v>
      </c>
      <c r="AG73" s="19" t="n">
        <f aca="false">-AG26</f>
        <v>-897032.17557525</v>
      </c>
      <c r="AH73" s="19" t="n">
        <f aca="false">-AH26</f>
        <v>-837779.33156025</v>
      </c>
      <c r="AI73" s="19" t="n">
        <f aca="false">-AI26</f>
        <v>-760780.49538525</v>
      </c>
      <c r="AJ73" s="19" t="n">
        <f aca="false">-AJ26</f>
        <v>-671140.48370525</v>
      </c>
      <c r="AK73" s="19" t="n">
        <f aca="false">-AK26</f>
        <v>-574362.26043525</v>
      </c>
      <c r="AL73" s="19" t="n">
        <f aca="false">-AL26</f>
        <v>-475820.81358525</v>
      </c>
      <c r="AM73" s="19" t="n">
        <f aca="false">-AM26</f>
        <v>-380251.25164025</v>
      </c>
      <c r="AN73" s="19" t="n">
        <f aca="false">-AN26</f>
        <v>-205869.1505555</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fals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-236490.66170925</v>
      </c>
      <c r="S74" s="19" t="n">
        <f aca="false">-S27</f>
        <v>-308531.21756925</v>
      </c>
      <c r="T74" s="19" t="n">
        <f aca="false">-T27</f>
        <v>-386075.19193425</v>
      </c>
      <c r="U74" s="19" t="n">
        <f aca="false">-U27</f>
        <v>-466030.51738425</v>
      </c>
      <c r="V74" s="19" t="n">
        <f aca="false">-V27</f>
        <v>-544555.18477425</v>
      </c>
      <c r="W74" s="19" t="n">
        <f aca="false">-W27</f>
        <v>-617287.99453425</v>
      </c>
      <c r="X74" s="19" t="n">
        <f aca="false">-X27</f>
        <v>-679763.90900925</v>
      </c>
      <c r="Y74" s="19" t="n">
        <f aca="false">-Y27</f>
        <v>-727840.94236425</v>
      </c>
      <c r="Z74" s="19" t="n">
        <f aca="false">-Z27</f>
        <v>-758161.66318425</v>
      </c>
      <c r="AA74" s="19" t="n">
        <f aca="false">-AA27</f>
        <v>-768522.39655425</v>
      </c>
      <c r="AB74" s="19" t="n">
        <f aca="false">-AB27</f>
        <v>-758161.66318425</v>
      </c>
      <c r="AC74" s="19" t="n">
        <f aca="false">-AC27</f>
        <v>-727840.94236425</v>
      </c>
      <c r="AD74" s="19" t="n">
        <f aca="false">-AD27</f>
        <v>-679763.90900925</v>
      </c>
      <c r="AE74" s="19" t="n">
        <f aca="false">-AE27</f>
        <v>-617287.99453425</v>
      </c>
      <c r="AF74" s="19" t="n">
        <f aca="false">-AF27</f>
        <v>-544555.18477425</v>
      </c>
      <c r="AG74" s="19" t="n">
        <f aca="false">-AG27</f>
        <v>-466030.51738425</v>
      </c>
      <c r="AH74" s="19" t="n">
        <f aca="false">-AH27</f>
        <v>-386075.19193425</v>
      </c>
      <c r="AI74" s="19" t="n">
        <f aca="false">-AI27</f>
        <v>-308531.21756925</v>
      </c>
      <c r="AJ74" s="19" t="n">
        <f aca="false">-AJ27</f>
        <v>-167039.7123135</v>
      </c>
      <c r="AK74" s="19" t="n">
        <f aca="false">-AK27</f>
        <v>-0</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fals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-410240.522810006</v>
      </c>
      <c r="R75" s="19" t="n">
        <f aca="false">-R28</f>
        <v>-541775.431953637</v>
      </c>
      <c r="S75" s="19" t="n">
        <f aca="false">-S28</f>
        <v>-683085.791293572</v>
      </c>
      <c r="T75" s="19" t="n">
        <f aca="false">-T28</f>
        <v>-827718.370996161</v>
      </c>
      <c r="U75" s="19" t="n">
        <f aca="false">-U28</f>
        <v>-967743.153937676</v>
      </c>
      <c r="V75" s="19" t="n">
        <f aca="false">-V28</f>
        <v>-1094357.27558114</v>
      </c>
      <c r="W75" s="19" t="n">
        <f aca="false">-W28</f>
        <v>-1198804.70979243</v>
      </c>
      <c r="X75" s="19" t="n">
        <f aca="false">-X28</f>
        <v>-1273338.93577902</v>
      </c>
      <c r="Y75" s="19" t="n">
        <f aca="false">-Y28</f>
        <v>-1312161.91030723</v>
      </c>
      <c r="Z75" s="19" t="n">
        <f aca="false">-Z28</f>
        <v>-1312161.91030723</v>
      </c>
      <c r="AA75" s="19" t="n">
        <f aca="false">-AA28</f>
        <v>-1273338.93577902</v>
      </c>
      <c r="AB75" s="19" t="n">
        <f aca="false">-AB28</f>
        <v>-1198804.70979243</v>
      </c>
      <c r="AC75" s="19" t="n">
        <f aca="false">-AC28</f>
        <v>-1094357.27558114</v>
      </c>
      <c r="AD75" s="19" t="n">
        <f aca="false">-AD28</f>
        <v>-967743.153937676</v>
      </c>
      <c r="AE75" s="19" t="n">
        <f aca="false">-AE28</f>
        <v>-827718.370996161</v>
      </c>
      <c r="AF75" s="19" t="n">
        <f aca="false">-AF28</f>
        <v>-683085.791293572</v>
      </c>
      <c r="AG75" s="19" t="n">
        <f aca="false">-AG28</f>
        <v>-541775.431953637</v>
      </c>
      <c r="AH75" s="19" t="n">
        <f aca="false">-AH28</f>
        <v>-297286.165173256</v>
      </c>
      <c r="AI75" s="19" t="n">
        <f aca="false">-AI28</f>
        <v>-0</v>
      </c>
      <c r="AJ75" s="19" t="n">
        <f aca="false">-AJ28</f>
        <v>-0</v>
      </c>
      <c r="AK75" s="19" t="n">
        <f aca="false">-AK28</f>
        <v>-0</v>
      </c>
      <c r="AL75" s="19" t="n">
        <f aca="false">-AL28</f>
        <v>-0</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fals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-544360.803130946</v>
      </c>
      <c r="X76" s="19" t="n">
        <f aca="false">-X29</f>
        <v>-700625.211272466</v>
      </c>
      <c r="Y76" s="19" t="n">
        <f aca="false">-Y29</f>
        <v>-868827.179100646</v>
      </c>
      <c r="Z76" s="19" t="n">
        <f aca="false">-Z29</f>
        <v>-1042259.65002005</v>
      </c>
      <c r="AA76" s="19" t="n">
        <f aca="false">-AA29</f>
        <v>-1212588.85594753</v>
      </c>
      <c r="AB76" s="19" t="n">
        <f aca="false">-AB29</f>
        <v>-1370354.84392385</v>
      </c>
      <c r="AC76" s="19" t="n">
        <f aca="false">-AC29</f>
        <v>-1505872.42401455</v>
      </c>
      <c r="AD76" s="19" t="n">
        <f aca="false">-AD29</f>
        <v>-1610157.14354141</v>
      </c>
      <c r="AE76" s="19" t="n">
        <f aca="false">-AE29</f>
        <v>-1675926.34030565</v>
      </c>
      <c r="AF76" s="19" t="n">
        <f aca="false">-AF29</f>
        <v>-1698399.98516649</v>
      </c>
      <c r="AG76" s="19" t="n">
        <f aca="false">-AG29</f>
        <v>-1675926.34030565</v>
      </c>
      <c r="AH76" s="19" t="n">
        <f aca="false">-AH29</f>
        <v>-1610157.14354141</v>
      </c>
      <c r="AI76" s="19" t="n">
        <f aca="false">-AI29</f>
        <v>-1505872.42401455</v>
      </c>
      <c r="AJ76" s="19" t="n">
        <f aca="false">-AJ29</f>
        <v>-1370354.84392385</v>
      </c>
      <c r="AK76" s="19" t="n">
        <f aca="false">-AK29</f>
        <v>-1212588.85594753</v>
      </c>
      <c r="AL76" s="19" t="n">
        <f aca="false">-AL29</f>
        <v>-1042259.65002005</v>
      </c>
      <c r="AM76" s="19" t="n">
        <f aca="false">-AM29</f>
        <v>-868827.179100646</v>
      </c>
      <c r="AN76" s="19" t="n">
        <f aca="false">-AN29</f>
        <v>-700625.211272466</v>
      </c>
      <c r="AO76" s="19" t="n">
        <f aca="false">-AO29</f>
        <v>-544360.803130946</v>
      </c>
      <c r="AP76" s="19" t="n">
        <f aca="false">-AP29</f>
        <v>119262.404858914</v>
      </c>
      <c r="AQ76" s="19" t="n">
        <f aca="false">-AQ29</f>
        <v>119262.404858914</v>
      </c>
      <c r="AR76" s="19" t="n">
        <f aca="false">-AR29</f>
        <v>119262.404858914</v>
      </c>
      <c r="AS76" s="19" t="n">
        <f aca="false">-AS29</f>
        <v>119262.404858914</v>
      </c>
      <c r="AT76" s="19" t="n">
        <f aca="false">-AT29</f>
        <v>269909.653101753</v>
      </c>
      <c r="AU76" s="19" t="n">
        <f aca="false">-AU29</f>
        <v>-0</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fals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-300000.450999356</v>
      </c>
      <c r="N77" s="19" t="n">
        <f aca="false">-N30</f>
        <v>-382052.01181668</v>
      </c>
      <c r="O77" s="19" t="n">
        <f aca="false">-O30</f>
        <v>-472250.553751396</v>
      </c>
      <c r="P77" s="19" t="n">
        <f aca="false">-P30</f>
        <v>-565406.855777904</v>
      </c>
      <c r="Q77" s="19" t="n">
        <f aca="false">-Q30</f>
        <v>-657569.069128027</v>
      </c>
      <c r="R77" s="19" t="n">
        <f aca="false">-R30</f>
        <v>-744252.607264895</v>
      </c>
      <c r="S77" s="19" t="n">
        <f aca="false">-S30</f>
        <v>-820806.669467804</v>
      </c>
      <c r="T77" s="19" t="n">
        <f aca="false">-T30</f>
        <v>-882806.690988486</v>
      </c>
      <c r="U77" s="19" t="n">
        <f aca="false">-U30</f>
        <v>-926473.074937312</v>
      </c>
      <c r="V77" s="19" t="n">
        <f aca="false">-V30</f>
        <v>-949037.715868141</v>
      </c>
      <c r="W77" s="19" t="n">
        <f aca="false">-W30</f>
        <v>-949037.715868141</v>
      </c>
      <c r="X77" s="19" t="n">
        <f aca="false">-X30</f>
        <v>-926473.074937312</v>
      </c>
      <c r="Y77" s="19" t="n">
        <f aca="false">-Y30</f>
        <v>-882806.690988486</v>
      </c>
      <c r="Z77" s="19" t="n">
        <f aca="false">-Z30</f>
        <v>-820806.669467804</v>
      </c>
      <c r="AA77" s="19" t="n">
        <f aca="false">-AA30</f>
        <v>-744252.607264895</v>
      </c>
      <c r="AB77" s="19" t="n">
        <f aca="false">-AB30</f>
        <v>-657569.069128027</v>
      </c>
      <c r="AC77" s="19" t="n">
        <f aca="false">-AC30</f>
        <v>-565406.855777904</v>
      </c>
      <c r="AD77" s="19" t="n">
        <f aca="false">-AD30</f>
        <v>-472250.553751396</v>
      </c>
      <c r="AE77" s="19" t="n">
        <f aca="false">-AE30</f>
        <v>-382052.01181668</v>
      </c>
      <c r="AF77" s="19" t="n">
        <f aca="false">-AF30</f>
        <v>-219254.050999356</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fals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-280938.0497</v>
      </c>
      <c r="X78" s="19" t="n">
        <f aca="false">-X31</f>
        <v>-366518.3137</v>
      </c>
      <c r="Y78" s="19" t="n">
        <f aca="false">-Y31</f>
        <v>-458636.3397</v>
      </c>
      <c r="Z78" s="19" t="n">
        <f aca="false">-Z31</f>
        <v>-553618.9197</v>
      </c>
      <c r="AA78" s="19" t="n">
        <f aca="false">-AA31</f>
        <v>-646901.9557</v>
      </c>
      <c r="AB78" s="19" t="n">
        <f aca="false">-AB31</f>
        <v>-733304.5797</v>
      </c>
      <c r="AC78" s="19" t="n">
        <f aca="false">-AC31</f>
        <v>-807522.5697</v>
      </c>
      <c r="AD78" s="19" t="n">
        <f aca="false">-AD31</f>
        <v>-864635.4717</v>
      </c>
      <c r="AE78" s="19" t="n">
        <f aca="false">-AE31</f>
        <v>-900654.8397</v>
      </c>
      <c r="AF78" s="19" t="n">
        <f aca="false">-AF31</f>
        <v>-912962.8277</v>
      </c>
      <c r="AG78" s="19" t="n">
        <f aca="false">-AG31</f>
        <v>-900654.8397</v>
      </c>
      <c r="AH78" s="19" t="n">
        <f aca="false">-AH31</f>
        <v>-864635.4717</v>
      </c>
      <c r="AI78" s="19" t="n">
        <f aca="false">-AI31</f>
        <v>-807522.5697</v>
      </c>
      <c r="AJ78" s="19" t="n">
        <f aca="false">-AJ31</f>
        <v>-733304.5797</v>
      </c>
      <c r="AK78" s="19" t="n">
        <f aca="false">-AK31</f>
        <v>-646901.9557</v>
      </c>
      <c r="AL78" s="19" t="n">
        <f aca="false">-AL31</f>
        <v>-553618.9197</v>
      </c>
      <c r="AM78" s="19" t="n">
        <f aca="false">-AM31</f>
        <v>-458636.3397</v>
      </c>
      <c r="AN78" s="19" t="n">
        <f aca="false">-AN31</f>
        <v>-366518.3137</v>
      </c>
      <c r="AO78" s="19" t="n">
        <f aca="false">-AO31</f>
        <v>-198434.0974</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fals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fals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-0</v>
      </c>
      <c r="AC80" s="19" t="n">
        <f aca="false">-AC33</f>
        <v>-0</v>
      </c>
      <c r="AD80" s="19" t="n">
        <f aca="false">-AD33</f>
        <v>-0</v>
      </c>
      <c r="AE80" s="19" t="n">
        <f aca="false">-AE33</f>
        <v>-0</v>
      </c>
      <c r="AF80" s="19" t="n">
        <f aca="false">-AF33</f>
        <v>-0</v>
      </c>
      <c r="AG80" s="19" t="n">
        <f aca="false">-AG33</f>
        <v>-0</v>
      </c>
      <c r="AH80" s="19" t="n">
        <f aca="false">-AH33</f>
        <v>-0</v>
      </c>
      <c r="AI80" s="19" t="n">
        <f aca="false">-AI33</f>
        <v>-0</v>
      </c>
      <c r="AJ80" s="19" t="n">
        <f aca="false">-AJ33</f>
        <v>-0</v>
      </c>
      <c r="AK80" s="19" t="n">
        <f aca="false">-AK33</f>
        <v>-0</v>
      </c>
      <c r="AL80" s="19" t="n">
        <f aca="false">-AL33</f>
        <v>-0</v>
      </c>
      <c r="AM80" s="19" t="n">
        <f aca="false">-AM33</f>
        <v>-0</v>
      </c>
      <c r="AN80" s="19" t="n">
        <f aca="false">-AN33</f>
        <v>-0</v>
      </c>
      <c r="AO80" s="19" t="n">
        <f aca="false">-AO33</f>
        <v>-0</v>
      </c>
      <c r="AP80" s="19" t="n">
        <f aca="false">-AP33</f>
        <v>-0</v>
      </c>
      <c r="AQ80" s="19" t="n">
        <f aca="false">-AQ33</f>
        <v>-0</v>
      </c>
      <c r="AR80" s="19" t="n">
        <f aca="false">-AR33</f>
        <v>-0</v>
      </c>
      <c r="AS80" s="19" t="n">
        <f aca="false">-AS33</f>
        <v>-0</v>
      </c>
      <c r="AT80" s="19" t="n">
        <f aca="false">-AT33</f>
        <v>-0</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fals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-0</v>
      </c>
      <c r="AH81" s="19" t="n">
        <f aca="false">-AH34</f>
        <v>-0</v>
      </c>
      <c r="AI81" s="19" t="n">
        <f aca="false">-AI34</f>
        <v>-0</v>
      </c>
      <c r="AJ81" s="19" t="n">
        <f aca="false">-AJ34</f>
        <v>-0</v>
      </c>
      <c r="AK81" s="19" t="n">
        <f aca="false">-AK34</f>
        <v>-0</v>
      </c>
      <c r="AL81" s="19" t="n">
        <f aca="false">-AL34</f>
        <v>-0</v>
      </c>
      <c r="AM81" s="19" t="n">
        <f aca="false">-AM34</f>
        <v>-0</v>
      </c>
      <c r="AN81" s="19" t="n">
        <f aca="false">-AN34</f>
        <v>-0</v>
      </c>
      <c r="AO81" s="19" t="n">
        <f aca="false">-AO34</f>
        <v>-0</v>
      </c>
      <c r="AP81" s="19" t="n">
        <f aca="false">-AP34</f>
        <v>-0</v>
      </c>
      <c r="AQ81" s="19" t="n">
        <f aca="false">-AQ34</f>
        <v>-0</v>
      </c>
      <c r="AR81" s="19" t="n">
        <f aca="false">-AR34</f>
        <v>-0</v>
      </c>
      <c r="AS81" s="19" t="n">
        <f aca="false">-AS34</f>
        <v>-0</v>
      </c>
      <c r="AT81" s="19" t="n">
        <f aca="false">-AT34</f>
        <v>-0</v>
      </c>
      <c r="AU81" s="19" t="n">
        <f aca="false">-AU34</f>
        <v>-0</v>
      </c>
      <c r="AV81" s="19" t="n">
        <f aca="false">-AV34</f>
        <v>-0</v>
      </c>
      <c r="AW81" s="19" t="n">
        <f aca="false">-AW34</f>
        <v>-0</v>
      </c>
      <c r="AX81" s="19" t="n">
        <f aca="false">-AX34</f>
        <v>-0</v>
      </c>
      <c r="AY81" s="19" t="n">
        <f aca="false">-AY34</f>
        <v>-0</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fals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-0</v>
      </c>
      <c r="AI82" s="19" t="n">
        <f aca="false">-AI35</f>
        <v>-0</v>
      </c>
      <c r="AJ82" s="19" t="n">
        <f aca="false">-AJ35</f>
        <v>-0</v>
      </c>
      <c r="AK82" s="19" t="n">
        <f aca="false">-AK35</f>
        <v>-0</v>
      </c>
      <c r="AL82" s="19" t="n">
        <f aca="false">-AL35</f>
        <v>-0</v>
      </c>
      <c r="AM82" s="19" t="n">
        <f aca="false">-AM35</f>
        <v>-0</v>
      </c>
      <c r="AN82" s="19" t="n">
        <f aca="false">-AN35</f>
        <v>-0</v>
      </c>
      <c r="AO82" s="19" t="n">
        <f aca="false">-AO35</f>
        <v>-0</v>
      </c>
      <c r="AP82" s="19" t="n">
        <f aca="false">-AP35</f>
        <v>-0</v>
      </c>
      <c r="AQ82" s="19" t="n">
        <f aca="false">-AQ35</f>
        <v>-0</v>
      </c>
      <c r="AR82" s="19" t="n">
        <f aca="false">-AR35</f>
        <v>-0</v>
      </c>
      <c r="AS82" s="19" t="n">
        <f aca="false">-AS35</f>
        <v>-0</v>
      </c>
      <c r="AT82" s="19" t="n">
        <f aca="false">-AT35</f>
        <v>-0</v>
      </c>
      <c r="AU82" s="19" t="n">
        <f aca="false">-AU35</f>
        <v>-0</v>
      </c>
      <c r="AV82" s="19" t="n">
        <f aca="false">-AV35</f>
        <v>-0</v>
      </c>
      <c r="AW82" s="19" t="n">
        <f aca="false">-AW35</f>
        <v>-0</v>
      </c>
      <c r="AX82" s="19" t="n">
        <f aca="false">-AX35</f>
        <v>-0</v>
      </c>
      <c r="AY82" s="19" t="n">
        <f aca="false">-AY35</f>
        <v>-0</v>
      </c>
      <c r="AZ82" s="19" t="n">
        <f aca="false">-AZ35</f>
        <v>-0</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fals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-0</v>
      </c>
      <c r="AJ83" s="19" t="n">
        <f aca="false">-AJ36</f>
        <v>-0</v>
      </c>
      <c r="AK83" s="19" t="n">
        <f aca="false">-AK36</f>
        <v>-0</v>
      </c>
      <c r="AL83" s="19" t="n">
        <f aca="false">-AL36</f>
        <v>-0</v>
      </c>
      <c r="AM83" s="19" t="n">
        <f aca="false">-AM36</f>
        <v>-0</v>
      </c>
      <c r="AN83" s="19" t="n">
        <f aca="false">-AN36</f>
        <v>-0</v>
      </c>
      <c r="AO83" s="19" t="n">
        <f aca="false">-AO36</f>
        <v>-0</v>
      </c>
      <c r="AP83" s="19" t="n">
        <f aca="false">-AP36</f>
        <v>-0</v>
      </c>
      <c r="AQ83" s="19" t="n">
        <f aca="false">-AQ36</f>
        <v>-0</v>
      </c>
      <c r="AR83" s="19" t="n">
        <f aca="false">-AR36</f>
        <v>-0</v>
      </c>
      <c r="AS83" s="19" t="n">
        <f aca="false">-AS36</f>
        <v>-0</v>
      </c>
      <c r="AT83" s="19" t="n">
        <f aca="false">-AT36</f>
        <v>-0</v>
      </c>
      <c r="AU83" s="19" t="n">
        <f aca="false">-AU36</f>
        <v>-0</v>
      </c>
      <c r="AV83" s="19" t="n">
        <f aca="false">-AV36</f>
        <v>-0</v>
      </c>
      <c r="AW83" s="19" t="n">
        <f aca="false">-AW36</f>
        <v>-0</v>
      </c>
      <c r="AX83" s="19" t="n">
        <f aca="false">-AX36</f>
        <v>-0</v>
      </c>
      <c r="AY83" s="19" t="n">
        <f aca="false">-AY36</f>
        <v>-0</v>
      </c>
      <c r="AZ83" s="19" t="n">
        <f aca="false">-AZ36</f>
        <v>-0</v>
      </c>
      <c r="BA83" s="19" t="n">
        <f aca="false">-BA36</f>
        <v>-0</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fals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-0</v>
      </c>
      <c r="AK84" s="19" t="n">
        <f aca="false">-AK37</f>
        <v>-0</v>
      </c>
      <c r="AL84" s="19" t="n">
        <f aca="false">-AL37</f>
        <v>-0</v>
      </c>
      <c r="AM84" s="19" t="n">
        <f aca="false">-AM37</f>
        <v>-0</v>
      </c>
      <c r="AN84" s="19" t="n">
        <f aca="false">-AN37</f>
        <v>-0</v>
      </c>
      <c r="AO84" s="19" t="n">
        <f aca="false">-AO37</f>
        <v>-0</v>
      </c>
      <c r="AP84" s="19" t="n">
        <f aca="false">-AP37</f>
        <v>-0</v>
      </c>
      <c r="AQ84" s="19" t="n">
        <f aca="false">-AQ37</f>
        <v>-0</v>
      </c>
      <c r="AR84" s="19" t="n">
        <f aca="false">-AR37</f>
        <v>-0</v>
      </c>
      <c r="AS84" s="19" t="n">
        <f aca="false">-AS37</f>
        <v>-0</v>
      </c>
      <c r="AT84" s="19" t="n">
        <f aca="false">-AT37</f>
        <v>-0</v>
      </c>
      <c r="AU84" s="19" t="n">
        <f aca="false">-AU37</f>
        <v>-0</v>
      </c>
      <c r="AV84" s="19" t="n">
        <f aca="false">-AV37</f>
        <v>-0</v>
      </c>
      <c r="AW84" s="19" t="n">
        <f aca="false">-AW37</f>
        <v>-0</v>
      </c>
      <c r="AX84" s="19" t="n">
        <f aca="false">-AX37</f>
        <v>-0</v>
      </c>
      <c r="AY84" s="19" t="n">
        <f aca="false">-AY37</f>
        <v>-0</v>
      </c>
      <c r="AZ84" s="19" t="n">
        <f aca="false">-AZ37</f>
        <v>-0</v>
      </c>
      <c r="BA84" s="19" t="n">
        <f aca="false">-BA37</f>
        <v>-0</v>
      </c>
      <c r="BB84" s="19" t="n">
        <f aca="false">-BB37</f>
        <v>-0</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fals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-0</v>
      </c>
      <c r="AL85" s="19" t="n">
        <f aca="false">-AL38</f>
        <v>-0</v>
      </c>
      <c r="AM85" s="19" t="n">
        <f aca="false">-AM38</f>
        <v>-0</v>
      </c>
      <c r="AN85" s="19" t="n">
        <f aca="false">-AN38</f>
        <v>-0</v>
      </c>
      <c r="AO85" s="19" t="n">
        <f aca="false">-AO38</f>
        <v>-0</v>
      </c>
      <c r="AP85" s="19" t="n">
        <f aca="false">-AP38</f>
        <v>-0</v>
      </c>
      <c r="AQ85" s="19" t="n">
        <f aca="false">-AQ38</f>
        <v>-0</v>
      </c>
      <c r="AR85" s="19" t="n">
        <f aca="false">-AR38</f>
        <v>-0</v>
      </c>
      <c r="AS85" s="19" t="n">
        <f aca="false">-AS38</f>
        <v>-0</v>
      </c>
      <c r="AT85" s="19" t="n">
        <f aca="false">-AT38</f>
        <v>-0</v>
      </c>
      <c r="AU85" s="19" t="n">
        <f aca="false">-AU38</f>
        <v>-0</v>
      </c>
      <c r="AV85" s="19" t="n">
        <f aca="false">-AV38</f>
        <v>-0</v>
      </c>
      <c r="AW85" s="19" t="n">
        <f aca="false">-AW38</f>
        <v>-0</v>
      </c>
      <c r="AX85" s="19" t="n">
        <f aca="false">-AX38</f>
        <v>-0</v>
      </c>
      <c r="AY85" s="19" t="n">
        <f aca="false">-AY38</f>
        <v>-0</v>
      </c>
      <c r="AZ85" s="19" t="n">
        <f aca="false">-AZ38</f>
        <v>-0</v>
      </c>
      <c r="BA85" s="19" t="n">
        <f aca="false">-BA38</f>
        <v>-0</v>
      </c>
      <c r="BB85" s="19" t="n">
        <f aca="false">-BB38</f>
        <v>-0</v>
      </c>
      <c r="BC85" s="19" t="n">
        <f aca="false">-BC38</f>
        <v>-0</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fals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-0</v>
      </c>
      <c r="AM86" s="19" t="n">
        <f aca="false">-AM39</f>
        <v>-0</v>
      </c>
      <c r="AN86" s="19" t="n">
        <f aca="false">-AN39</f>
        <v>-0</v>
      </c>
      <c r="AO86" s="19" t="n">
        <f aca="false">-AO39</f>
        <v>-0</v>
      </c>
      <c r="AP86" s="19" t="n">
        <f aca="false">-AP39</f>
        <v>-0</v>
      </c>
      <c r="AQ86" s="19" t="n">
        <f aca="false">-AQ39</f>
        <v>-0</v>
      </c>
      <c r="AR86" s="19" t="n">
        <f aca="false">-AR39</f>
        <v>-0</v>
      </c>
      <c r="AS86" s="19" t="n">
        <f aca="false">-AS39</f>
        <v>-0</v>
      </c>
      <c r="AT86" s="19" t="n">
        <f aca="false">-AT39</f>
        <v>-0</v>
      </c>
      <c r="AU86" s="19" t="n">
        <f aca="false">-AU39</f>
        <v>-0</v>
      </c>
      <c r="AV86" s="19" t="n">
        <f aca="false">-AV39</f>
        <v>-0</v>
      </c>
      <c r="AW86" s="19" t="n">
        <f aca="false">-AW39</f>
        <v>-0</v>
      </c>
      <c r="AX86" s="19" t="n">
        <f aca="false">-AX39</f>
        <v>-0</v>
      </c>
      <c r="AY86" s="19" t="n">
        <f aca="false">-AY39</f>
        <v>-0</v>
      </c>
      <c r="AZ86" s="19" t="n">
        <f aca="false">-AZ39</f>
        <v>-0</v>
      </c>
      <c r="BA86" s="19" t="n">
        <f aca="false">-BA39</f>
        <v>-0</v>
      </c>
      <c r="BB86" s="19" t="n">
        <f aca="false">-BB39</f>
        <v>-0</v>
      </c>
      <c r="BC86" s="19" t="n">
        <f aca="false">-BC39</f>
        <v>-0</v>
      </c>
      <c r="BD86" s="19" t="n">
        <f aca="false">-BD39</f>
        <v>-0</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fals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-0</v>
      </c>
      <c r="AN87" s="19" t="n">
        <f aca="false">-AN40</f>
        <v>-0</v>
      </c>
      <c r="AO87" s="19" t="n">
        <f aca="false">-AO40</f>
        <v>-0</v>
      </c>
      <c r="AP87" s="19" t="n">
        <f aca="false">-AP40</f>
        <v>-0</v>
      </c>
      <c r="AQ87" s="19" t="n">
        <f aca="false">-AQ40</f>
        <v>-0</v>
      </c>
      <c r="AR87" s="19" t="n">
        <f aca="false">-AR40</f>
        <v>-0</v>
      </c>
      <c r="AS87" s="19" t="n">
        <f aca="false">-AS40</f>
        <v>-0</v>
      </c>
      <c r="AT87" s="19" t="n">
        <f aca="false">-AT40</f>
        <v>-0</v>
      </c>
      <c r="AU87" s="19" t="n">
        <f aca="false">-AU40</f>
        <v>-0</v>
      </c>
      <c r="AV87" s="19" t="n">
        <f aca="false">-AV40</f>
        <v>-0</v>
      </c>
      <c r="AW87" s="19" t="n">
        <f aca="false">-AW40</f>
        <v>-0</v>
      </c>
      <c r="AX87" s="19" t="n">
        <f aca="false">-AX40</f>
        <v>-0</v>
      </c>
      <c r="AY87" s="19" t="n">
        <f aca="false">-AY40</f>
        <v>-0</v>
      </c>
      <c r="AZ87" s="19" t="n">
        <f aca="false">-AZ40</f>
        <v>-0</v>
      </c>
      <c r="BA87" s="19" t="n">
        <f aca="false">-BA40</f>
        <v>-0</v>
      </c>
      <c r="BB87" s="19" t="n">
        <f aca="false">-BB40</f>
        <v>-0</v>
      </c>
      <c r="BC87" s="19" t="n">
        <f aca="false">-BC40</f>
        <v>-0</v>
      </c>
      <c r="BD87" s="19" t="n">
        <f aca="false">-BD40</f>
        <v>-0</v>
      </c>
      <c r="BE87" s="19" t="n">
        <f aca="false">-BE40</f>
        <v>-0</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fals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-0</v>
      </c>
      <c r="AO88" s="19" t="n">
        <f aca="false">-AO41</f>
        <v>-0</v>
      </c>
      <c r="AP88" s="19" t="n">
        <f aca="false">-AP41</f>
        <v>-0</v>
      </c>
      <c r="AQ88" s="19" t="n">
        <f aca="false">-AQ41</f>
        <v>-0</v>
      </c>
      <c r="AR88" s="19" t="n">
        <f aca="false">-AR41</f>
        <v>-0</v>
      </c>
      <c r="AS88" s="19" t="n">
        <f aca="false">-AS41</f>
        <v>-0</v>
      </c>
      <c r="AT88" s="19" t="n">
        <f aca="false">-AT41</f>
        <v>-0</v>
      </c>
      <c r="AU88" s="19" t="n">
        <f aca="false">-AU41</f>
        <v>-0</v>
      </c>
      <c r="AV88" s="19" t="n">
        <f aca="false">-AV41</f>
        <v>-0</v>
      </c>
      <c r="AW88" s="19" t="n">
        <f aca="false">-AW41</f>
        <v>-0</v>
      </c>
      <c r="AX88" s="19" t="n">
        <f aca="false">-AX41</f>
        <v>-0</v>
      </c>
      <c r="AY88" s="19" t="n">
        <f aca="false">-AY41</f>
        <v>-0</v>
      </c>
      <c r="AZ88" s="19" t="n">
        <f aca="false">-AZ41</f>
        <v>-0</v>
      </c>
      <c r="BA88" s="19" t="n">
        <f aca="false">-BA41</f>
        <v>-0</v>
      </c>
      <c r="BB88" s="19" t="n">
        <f aca="false">-BB41</f>
        <v>-0</v>
      </c>
      <c r="BC88" s="19" t="n">
        <f aca="false">-BC41</f>
        <v>-0</v>
      </c>
      <c r="BD88" s="19" t="n">
        <f aca="false">-BD41</f>
        <v>-0</v>
      </c>
      <c r="BE88" s="19" t="n">
        <f aca="false">-BE41</f>
        <v>-0</v>
      </c>
      <c r="BF88" s="19" t="n">
        <f aca="false">-BF41</f>
        <v>-0</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fals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-0</v>
      </c>
      <c r="AP89" s="19" t="n">
        <f aca="false">-AP42</f>
        <v>-0</v>
      </c>
      <c r="AQ89" s="19" t="n">
        <f aca="false">-AQ42</f>
        <v>-0</v>
      </c>
      <c r="AR89" s="19" t="n">
        <f aca="false">-AR42</f>
        <v>-0</v>
      </c>
      <c r="AS89" s="19" t="n">
        <f aca="false">-AS42</f>
        <v>-0</v>
      </c>
      <c r="AT89" s="19" t="n">
        <f aca="false">-AT42</f>
        <v>-0</v>
      </c>
      <c r="AU89" s="19" t="n">
        <f aca="false">-AU42</f>
        <v>-0</v>
      </c>
      <c r="AV89" s="19" t="n">
        <f aca="false">-AV42</f>
        <v>-0</v>
      </c>
      <c r="AW89" s="19" t="n">
        <f aca="false">-AW42</f>
        <v>-0</v>
      </c>
      <c r="AX89" s="19" t="n">
        <f aca="false">-AX42</f>
        <v>-0</v>
      </c>
      <c r="AY89" s="19" t="n">
        <f aca="false">-AY42</f>
        <v>-0</v>
      </c>
      <c r="AZ89" s="19" t="n">
        <f aca="false">-AZ42</f>
        <v>-0</v>
      </c>
      <c r="BA89" s="19" t="n">
        <f aca="false">-BA42</f>
        <v>-0</v>
      </c>
      <c r="BB89" s="19" t="n">
        <f aca="false">-BB42</f>
        <v>-0</v>
      </c>
      <c r="BC89" s="19" t="n">
        <f aca="false">-BC42</f>
        <v>-0</v>
      </c>
      <c r="BD89" s="19" t="n">
        <f aca="false">-BD42</f>
        <v>-0</v>
      </c>
      <c r="BE89" s="19" t="n">
        <f aca="false">-BE42</f>
        <v>-0</v>
      </c>
      <c r="BF89" s="19" t="n">
        <f aca="false">-BF42</f>
        <v>-0</v>
      </c>
      <c r="BG89" s="19" t="n">
        <f aca="false">-BG42</f>
        <v>-0</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fals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-0</v>
      </c>
      <c r="AQ90" s="19" t="n">
        <f aca="false">-AQ43</f>
        <v>-0</v>
      </c>
      <c r="AR90" s="19" t="n">
        <f aca="false">-AR43</f>
        <v>-0</v>
      </c>
      <c r="AS90" s="19" t="n">
        <f aca="false">-AS43</f>
        <v>-0</v>
      </c>
      <c r="AT90" s="19" t="n">
        <f aca="false">-AT43</f>
        <v>-0</v>
      </c>
      <c r="AU90" s="19" t="n">
        <f aca="false">-AU43</f>
        <v>-0</v>
      </c>
      <c r="AV90" s="19" t="n">
        <f aca="false">-AV43</f>
        <v>-0</v>
      </c>
      <c r="AW90" s="19" t="n">
        <f aca="false">-AW43</f>
        <v>-0</v>
      </c>
      <c r="AX90" s="19" t="n">
        <f aca="false">-AX43</f>
        <v>-0</v>
      </c>
      <c r="AY90" s="19" t="n">
        <f aca="false">-AY43</f>
        <v>-0</v>
      </c>
      <c r="AZ90" s="19" t="n">
        <f aca="false">-AZ43</f>
        <v>-0</v>
      </c>
      <c r="BA90" s="19" t="n">
        <f aca="false">-BA43</f>
        <v>-0</v>
      </c>
      <c r="BB90" s="19" t="n">
        <f aca="false">-BB43</f>
        <v>-0</v>
      </c>
      <c r="BC90" s="19" t="n">
        <f aca="false">-BC43</f>
        <v>-0</v>
      </c>
      <c r="BD90" s="19" t="n">
        <f aca="false">-BD43</f>
        <v>-0</v>
      </c>
      <c r="BE90" s="19" t="n">
        <f aca="false">-BE43</f>
        <v>-0</v>
      </c>
      <c r="BF90" s="19" t="n">
        <f aca="false">-BF43</f>
        <v>-0</v>
      </c>
      <c r="BG90" s="19" t="n">
        <f aca="false">-BG43</f>
        <v>-0</v>
      </c>
      <c r="BH90" s="19" t="n">
        <f aca="false">-BH43</f>
        <v>-0</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fals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-0</v>
      </c>
      <c r="AR91" s="19" t="n">
        <f aca="false">-AR44</f>
        <v>-0</v>
      </c>
      <c r="AS91" s="19" t="n">
        <f aca="false">-AS44</f>
        <v>-0</v>
      </c>
      <c r="AT91" s="19" t="n">
        <f aca="false">-AT44</f>
        <v>-0</v>
      </c>
      <c r="AU91" s="19" t="n">
        <f aca="false">-AU44</f>
        <v>-0</v>
      </c>
      <c r="AV91" s="19" t="n">
        <f aca="false">-AV44</f>
        <v>-0</v>
      </c>
      <c r="AW91" s="19" t="n">
        <f aca="false">-AW44</f>
        <v>-0</v>
      </c>
      <c r="AX91" s="19" t="n">
        <f aca="false">-AX44</f>
        <v>-0</v>
      </c>
      <c r="AY91" s="19" t="n">
        <f aca="false">-AY44</f>
        <v>-0</v>
      </c>
      <c r="AZ91" s="19" t="n">
        <f aca="false">-AZ44</f>
        <v>-0</v>
      </c>
      <c r="BA91" s="19" t="n">
        <f aca="false">-BA44</f>
        <v>-0</v>
      </c>
      <c r="BB91" s="19" t="n">
        <f aca="false">-BB44</f>
        <v>-0</v>
      </c>
      <c r="BC91" s="19" t="n">
        <f aca="false">-BC44</f>
        <v>-0</v>
      </c>
      <c r="BD91" s="19" t="n">
        <f aca="false">-BD44</f>
        <v>-0</v>
      </c>
      <c r="BE91" s="19" t="n">
        <f aca="false">-BE44</f>
        <v>-0</v>
      </c>
      <c r="BF91" s="19" t="n">
        <f aca="false">-BF44</f>
        <v>-0</v>
      </c>
      <c r="BG91" s="19" t="n">
        <f aca="false">-BG44</f>
        <v>-0</v>
      </c>
      <c r="BH91" s="19" t="n">
        <f aca="false">-BH44</f>
        <v>-0</v>
      </c>
      <c r="BI91" s="19" t="n">
        <f aca="false">-BI44</f>
        <v>-0</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fals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-0</v>
      </c>
      <c r="AV92" s="19" t="n">
        <f aca="false">-AV45</f>
        <v>-0</v>
      </c>
      <c r="AW92" s="19" t="n">
        <f aca="false">-AW45</f>
        <v>-0</v>
      </c>
      <c r="AX92" s="19" t="n">
        <f aca="false">-AX45</f>
        <v>-0</v>
      </c>
      <c r="AY92" s="19" t="n">
        <f aca="false">-AY45</f>
        <v>-0</v>
      </c>
      <c r="AZ92" s="19" t="n">
        <f aca="false">-AZ45</f>
        <v>-0</v>
      </c>
      <c r="BA92" s="19" t="n">
        <f aca="false">-BA45</f>
        <v>-0</v>
      </c>
      <c r="BB92" s="19" t="n">
        <f aca="false">-BB45</f>
        <v>-0</v>
      </c>
      <c r="BC92" s="19" t="n">
        <f aca="false">-BC45</f>
        <v>-0</v>
      </c>
      <c r="BD92" s="19" t="n">
        <f aca="false">-BD45</f>
        <v>-0</v>
      </c>
      <c r="BE92" s="19" t="n">
        <f aca="false">-BE45</f>
        <v>-0</v>
      </c>
      <c r="BF92" s="19" t="n">
        <f aca="false">-BF45</f>
        <v>-0</v>
      </c>
      <c r="BG92" s="19" t="n">
        <f aca="false">-BG45</f>
        <v>-0</v>
      </c>
      <c r="BH92" s="19" t="n">
        <f aca="false">-BH45</f>
        <v>-0</v>
      </c>
      <c r="BI92" s="19" t="n">
        <f aca="false">-BI45</f>
        <v>-0</v>
      </c>
      <c r="BJ92" s="19" t="n">
        <f aca="false">-BJ45</f>
        <v>-0</v>
      </c>
      <c r="BK92" s="19" t="n">
        <f aca="false">-BK45</f>
        <v>-0</v>
      </c>
      <c r="BL92" s="19" t="n">
        <f aca="false">-BL45</f>
        <v>-0</v>
      </c>
      <c r="BM92" s="19" t="n">
        <f aca="false">-BM45</f>
        <v>-0</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fals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-0</v>
      </c>
      <c r="AW93" s="19" t="n">
        <f aca="false">-AW46</f>
        <v>-0</v>
      </c>
      <c r="AX93" s="19" t="n">
        <f aca="false">-AX46</f>
        <v>-0</v>
      </c>
      <c r="AY93" s="19" t="n">
        <f aca="false">-AY46</f>
        <v>-0</v>
      </c>
      <c r="AZ93" s="19" t="n">
        <f aca="false">-AZ46</f>
        <v>-0</v>
      </c>
      <c r="BA93" s="19" t="n">
        <f aca="false">-BA46</f>
        <v>-0</v>
      </c>
      <c r="BB93" s="19" t="n">
        <f aca="false">-BB46</f>
        <v>-0</v>
      </c>
      <c r="BC93" s="19" t="n">
        <f aca="false">-BC46</f>
        <v>-0</v>
      </c>
      <c r="BD93" s="19" t="n">
        <f aca="false">-BD46</f>
        <v>-0</v>
      </c>
      <c r="BE93" s="19" t="n">
        <f aca="false">-BE46</f>
        <v>-0</v>
      </c>
      <c r="BF93" s="19" t="n">
        <f aca="false">-BF46</f>
        <v>-0</v>
      </c>
      <c r="BG93" s="19" t="n">
        <f aca="false">-BG46</f>
        <v>-0</v>
      </c>
      <c r="BH93" s="19" t="n">
        <f aca="false">-BH46</f>
        <v>-0</v>
      </c>
      <c r="BI93" s="19" t="n">
        <f aca="false">-BI46</f>
        <v>-0</v>
      </c>
      <c r="BJ93" s="19" t="n">
        <f aca="false">-BJ46</f>
        <v>-0</v>
      </c>
      <c r="BK93" s="19" t="n">
        <f aca="false">-BK46</f>
        <v>-0</v>
      </c>
      <c r="BL93" s="19" t="n">
        <f aca="false">-BL46</f>
        <v>-0</v>
      </c>
      <c r="BM93" s="19" t="n">
        <f aca="false">-BM46</f>
        <v>-0</v>
      </c>
      <c r="BN93" s="19" t="n">
        <f aca="false">-BN46</f>
        <v>-0</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fals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-0</v>
      </c>
      <c r="BA94" s="19" t="n">
        <f aca="false">-BA47</f>
        <v>-0</v>
      </c>
      <c r="BB94" s="19" t="n">
        <f aca="false">-BB47</f>
        <v>-0</v>
      </c>
      <c r="BC94" s="19" t="n">
        <f aca="false">-BC47</f>
        <v>-0</v>
      </c>
      <c r="BD94" s="19" t="n">
        <f aca="false">-BD47</f>
        <v>-0</v>
      </c>
      <c r="BE94" s="19" t="n">
        <f aca="false">-BE47</f>
        <v>-0</v>
      </c>
      <c r="BF94" s="19" t="n">
        <f aca="false">-BF47</f>
        <v>-0</v>
      </c>
      <c r="BG94" s="19" t="n">
        <f aca="false">-BG47</f>
        <v>-0</v>
      </c>
      <c r="BH94" s="19" t="n">
        <f aca="false">-BH47</f>
        <v>-0</v>
      </c>
      <c r="BI94" s="19" t="n">
        <f aca="false">-BI47</f>
        <v>-0</v>
      </c>
      <c r="BJ94" s="19" t="n">
        <f aca="false">-BJ47</f>
        <v>-0</v>
      </c>
      <c r="BK94" s="19" t="n">
        <f aca="false">-BK47</f>
        <v>-0</v>
      </c>
      <c r="BL94" s="19" t="n">
        <f aca="false">-BL47</f>
        <v>-0</v>
      </c>
      <c r="BM94" s="19" t="n">
        <f aca="false">-BM47</f>
        <v>-0</v>
      </c>
      <c r="BN94" s="19" t="n">
        <f aca="false">-BN47</f>
        <v>-0</v>
      </c>
      <c r="BO94" s="19" t="n">
        <f aca="false">-BO47</f>
        <v>-0</v>
      </c>
      <c r="BP94" s="19" t="n">
        <f aca="false">-BP47</f>
        <v>-0</v>
      </c>
      <c r="BQ94" s="19" t="n">
        <f aca="false">-BQ47</f>
        <v>-0</v>
      </c>
      <c r="BR94" s="19" t="n">
        <f aca="false">-BR47</f>
        <v>-0</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fals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-0</v>
      </c>
      <c r="BB95" s="19" t="n">
        <f aca="false">-BB48</f>
        <v>-0</v>
      </c>
      <c r="BC95" s="19" t="n">
        <f aca="false">-BC48</f>
        <v>-0</v>
      </c>
      <c r="BD95" s="19" t="n">
        <f aca="false">-BD48</f>
        <v>-0</v>
      </c>
      <c r="BE95" s="19" t="n">
        <f aca="false">-BE48</f>
        <v>-0</v>
      </c>
      <c r="BF95" s="19" t="n">
        <f aca="false">-BF48</f>
        <v>-0</v>
      </c>
      <c r="BG95" s="19" t="n">
        <f aca="false">-BG48</f>
        <v>-0</v>
      </c>
      <c r="BH95" s="19" t="n">
        <f aca="false">-BH48</f>
        <v>-0</v>
      </c>
      <c r="BI95" s="19" t="n">
        <f aca="false">-BI48</f>
        <v>-0</v>
      </c>
      <c r="BJ95" s="19" t="n">
        <f aca="false">-BJ48</f>
        <v>-0</v>
      </c>
      <c r="BK95" s="19" t="n">
        <f aca="false">-BK48</f>
        <v>-0</v>
      </c>
      <c r="BL95" s="19" t="n">
        <f aca="false">-BL48</f>
        <v>-0</v>
      </c>
      <c r="BM95" s="19" t="n">
        <f aca="false">-BM48</f>
        <v>-0</v>
      </c>
      <c r="BN95" s="19" t="n">
        <f aca="false">-BN48</f>
        <v>-0</v>
      </c>
      <c r="BO95" s="19" t="n">
        <f aca="false">-BO48</f>
        <v>-0</v>
      </c>
      <c r="BP95" s="19" t="n">
        <f aca="false">-BP48</f>
        <v>-0</v>
      </c>
      <c r="BQ95" s="19" t="n">
        <f aca="false">-BQ48</f>
        <v>-0</v>
      </c>
      <c r="BR95" s="19" t="n">
        <f aca="false">-BR48</f>
        <v>-0</v>
      </c>
      <c r="BS95" s="19" t="n">
        <f aca="false">-BS48</f>
        <v>-0</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fals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-0</v>
      </c>
      <c r="BC96" s="19" t="n">
        <f aca="false">-BC49</f>
        <v>-0</v>
      </c>
      <c r="BD96" s="19" t="n">
        <f aca="false">-BD49</f>
        <v>-0</v>
      </c>
      <c r="BE96" s="19" t="n">
        <f aca="false">-BE49</f>
        <v>-0</v>
      </c>
      <c r="BF96" s="19" t="n">
        <f aca="false">-BF49</f>
        <v>-0</v>
      </c>
      <c r="BG96" s="19" t="n">
        <f aca="false">-BG49</f>
        <v>-0</v>
      </c>
      <c r="BH96" s="19" t="n">
        <f aca="false">-BH49</f>
        <v>-0</v>
      </c>
      <c r="BI96" s="19" t="n">
        <f aca="false">-BI49</f>
        <v>-0</v>
      </c>
      <c r="BJ96" s="19" t="n">
        <f aca="false">-BJ49</f>
        <v>-0</v>
      </c>
      <c r="BK96" s="19" t="n">
        <f aca="false">-BK49</f>
        <v>-0</v>
      </c>
      <c r="BL96" s="19" t="n">
        <f aca="false">-BL49</f>
        <v>-0</v>
      </c>
      <c r="BM96" s="19" t="n">
        <f aca="false">-BM49</f>
        <v>-0</v>
      </c>
      <c r="BN96" s="19" t="n">
        <f aca="false">-BN49</f>
        <v>-0</v>
      </c>
      <c r="BO96" s="19" t="n">
        <f aca="false">-BO49</f>
        <v>-0</v>
      </c>
      <c r="BP96" s="19" t="n">
        <f aca="false">-BP49</f>
        <v>-0</v>
      </c>
      <c r="BQ96" s="19" t="n">
        <f aca="false">-BQ49</f>
        <v>-0</v>
      </c>
      <c r="BR96" s="19" t="n">
        <f aca="false">-BR49</f>
        <v>-0</v>
      </c>
      <c r="BS96" s="19" t="n">
        <f aca="false">-BS49</f>
        <v>-0</v>
      </c>
      <c r="BT96" s="19" t="n">
        <f aca="false">-BT49</f>
        <v>-0</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fals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-0</v>
      </c>
      <c r="BD97" s="19" t="n">
        <f aca="false">-BD50</f>
        <v>-0</v>
      </c>
      <c r="BE97" s="19" t="n">
        <f aca="false">-BE50</f>
        <v>-0</v>
      </c>
      <c r="BF97" s="19" t="n">
        <f aca="false">-BF50</f>
        <v>-0</v>
      </c>
      <c r="BG97" s="19" t="n">
        <f aca="false">-BG50</f>
        <v>-0</v>
      </c>
      <c r="BH97" s="19" t="n">
        <f aca="false">-BH50</f>
        <v>-0</v>
      </c>
      <c r="BI97" s="19" t="n">
        <f aca="false">-BI50</f>
        <v>-0</v>
      </c>
      <c r="BJ97" s="19" t="n">
        <f aca="false">-BJ50</f>
        <v>-0</v>
      </c>
      <c r="BK97" s="19" t="n">
        <f aca="false">-BK50</f>
        <v>-0</v>
      </c>
      <c r="BL97" s="19" t="n">
        <f aca="false">-BL50</f>
        <v>-0</v>
      </c>
      <c r="BM97" s="19" t="n">
        <f aca="false">-BM50</f>
        <v>-0</v>
      </c>
      <c r="BN97" s="19" t="n">
        <f aca="false">-BN50</f>
        <v>-0</v>
      </c>
      <c r="BO97" s="19" t="n">
        <f aca="false">-BO50</f>
        <v>-0</v>
      </c>
      <c r="BP97" s="19" t="n">
        <f aca="false">-BP50</f>
        <v>-0</v>
      </c>
      <c r="BQ97" s="19" t="n">
        <f aca="false">-BQ50</f>
        <v>-0</v>
      </c>
      <c r="BR97" s="19" t="n">
        <f aca="false">-BR50</f>
        <v>-0</v>
      </c>
      <c r="BS97" s="19" t="n">
        <f aca="false">-BS50</f>
        <v>-0</v>
      </c>
      <c r="BT97" s="19" t="n">
        <f aca="false">-BT50</f>
        <v>-0</v>
      </c>
      <c r="BU97" s="19" t="n">
        <f aca="false">-BU50</f>
        <v>-0</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fals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-0</v>
      </c>
      <c r="BE98" s="19" t="n">
        <f aca="false">-BE51</f>
        <v>-0</v>
      </c>
      <c r="BF98" s="19" t="n">
        <f aca="false">-BF51</f>
        <v>-0</v>
      </c>
      <c r="BG98" s="19" t="n">
        <f aca="false">-BG51</f>
        <v>-0</v>
      </c>
      <c r="BH98" s="19" t="n">
        <f aca="false">-BH51</f>
        <v>-0</v>
      </c>
      <c r="BI98" s="19" t="n">
        <f aca="false">-BI51</f>
        <v>-0</v>
      </c>
      <c r="BJ98" s="19" t="n">
        <f aca="false">-BJ51</f>
        <v>-0</v>
      </c>
      <c r="BK98" s="19" t="n">
        <f aca="false">-BK51</f>
        <v>-0</v>
      </c>
      <c r="BL98" s="19" t="n">
        <f aca="false">-BL51</f>
        <v>-0</v>
      </c>
      <c r="BM98" s="19" t="n">
        <f aca="false">-BM51</f>
        <v>-0</v>
      </c>
      <c r="BN98" s="19" t="n">
        <f aca="false">-BN51</f>
        <v>-0</v>
      </c>
      <c r="BO98" s="19" t="n">
        <f aca="false">-BO51</f>
        <v>-0</v>
      </c>
      <c r="BP98" s="19" t="n">
        <f aca="false">-BP51</f>
        <v>-0</v>
      </c>
      <c r="BQ98" s="19" t="n">
        <f aca="false">-BQ51</f>
        <v>-0</v>
      </c>
      <c r="BR98" s="19" t="n">
        <f aca="false">-BR51</f>
        <v>-0</v>
      </c>
      <c r="BS98" s="19" t="n">
        <f aca="false">-BS51</f>
        <v>-0</v>
      </c>
      <c r="BT98" s="19" t="n">
        <f aca="false">-BT51</f>
        <v>-0</v>
      </c>
      <c r="BU98" s="19" t="n">
        <f aca="false">-BU51</f>
        <v>-0</v>
      </c>
      <c r="BV98" s="19" t="n">
        <f aca="false">-BV51</f>
        <v>-0</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fals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-0</v>
      </c>
      <c r="BF99" s="19" t="n">
        <f aca="false">-BF52</f>
        <v>-0</v>
      </c>
      <c r="BG99" s="19" t="n">
        <f aca="false">-BG52</f>
        <v>-0</v>
      </c>
      <c r="BH99" s="19" t="n">
        <f aca="false">-BH52</f>
        <v>-0</v>
      </c>
      <c r="BI99" s="19" t="n">
        <f aca="false">-BI52</f>
        <v>-0</v>
      </c>
      <c r="BJ99" s="19" t="n">
        <f aca="false">-BJ52</f>
        <v>-0</v>
      </c>
      <c r="BK99" s="19" t="n">
        <f aca="false">-BK52</f>
        <v>-0</v>
      </c>
      <c r="BL99" s="19" t="n">
        <f aca="false">-BL52</f>
        <v>-0</v>
      </c>
      <c r="BM99" s="19" t="n">
        <f aca="false">-BM52</f>
        <v>-0</v>
      </c>
      <c r="BN99" s="19" t="n">
        <f aca="false">-BN52</f>
        <v>-0</v>
      </c>
      <c r="BO99" s="19" t="n">
        <f aca="false">-BO52</f>
        <v>-0</v>
      </c>
      <c r="BP99" s="19" t="n">
        <f aca="false">-BP52</f>
        <v>-0</v>
      </c>
      <c r="BQ99" s="19" t="n">
        <f aca="false">-BQ52</f>
        <v>-0</v>
      </c>
      <c r="BR99" s="19" t="n">
        <f aca="false">-BR52</f>
        <v>-0</v>
      </c>
      <c r="BS99" s="19" t="n">
        <f aca="false">-BS52</f>
        <v>-0</v>
      </c>
      <c r="BT99" s="19" t="n">
        <f aca="false">-BT52</f>
        <v>-0</v>
      </c>
      <c r="BU99" s="19" t="n">
        <f aca="false">-BU52</f>
        <v>-0</v>
      </c>
      <c r="BV99" s="19" t="n">
        <f aca="false">-BV52</f>
        <v>-0</v>
      </c>
      <c r="BW99" s="19" t="n">
        <f aca="false">-BW52</f>
        <v>-0</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fals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-0</v>
      </c>
      <c r="BG100" s="19" t="n">
        <f aca="false">-BG53</f>
        <v>-0</v>
      </c>
      <c r="BH100" s="19" t="n">
        <f aca="false">-BH53</f>
        <v>-0</v>
      </c>
      <c r="BI100" s="19" t="n">
        <f aca="false">-BI53</f>
        <v>-0</v>
      </c>
      <c r="BJ100" s="19" t="n">
        <f aca="false">-BJ53</f>
        <v>-0</v>
      </c>
      <c r="BK100" s="19" t="n">
        <f aca="false">-BK53</f>
        <v>-0</v>
      </c>
      <c r="BL100" s="19" t="n">
        <f aca="false">-BL53</f>
        <v>-0</v>
      </c>
      <c r="BM100" s="19" t="n">
        <f aca="false">-BM53</f>
        <v>-0</v>
      </c>
      <c r="BN100" s="19" t="n">
        <f aca="false">-BN53</f>
        <v>-0</v>
      </c>
      <c r="BO100" s="19" t="n">
        <f aca="false">-BO53</f>
        <v>-0</v>
      </c>
      <c r="BP100" s="19" t="n">
        <f aca="false">-BP53</f>
        <v>-0</v>
      </c>
      <c r="BQ100" s="19" t="n">
        <f aca="false">-BQ53</f>
        <v>-0</v>
      </c>
      <c r="BR100" s="19" t="n">
        <f aca="false">-BR53</f>
        <v>-0</v>
      </c>
      <c r="BS100" s="19" t="n">
        <f aca="false">-BS53</f>
        <v>-0</v>
      </c>
      <c r="BT100" s="19" t="n">
        <f aca="false">-BT53</f>
        <v>-0</v>
      </c>
      <c r="BU100" s="19" t="n">
        <f aca="false">-BU53</f>
        <v>-0</v>
      </c>
      <c r="BV100" s="19" t="n">
        <f aca="false">-BV53</f>
        <v>-0</v>
      </c>
      <c r="BW100" s="19" t="n">
        <f aca="false">-BW53</f>
        <v>-0</v>
      </c>
      <c r="BX100" s="19" t="n">
        <f aca="false">-BX53</f>
        <v>-0</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fals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-0</v>
      </c>
      <c r="BH101" s="19" t="n">
        <f aca="false">-BH54</f>
        <v>-0</v>
      </c>
      <c r="BI101" s="19" t="n">
        <f aca="false">-BI54</f>
        <v>-0</v>
      </c>
      <c r="BJ101" s="19" t="n">
        <f aca="false">-BJ54</f>
        <v>-0</v>
      </c>
      <c r="BK101" s="19" t="n">
        <f aca="false">-BK54</f>
        <v>-0</v>
      </c>
      <c r="BL101" s="19" t="n">
        <f aca="false">-BL54</f>
        <v>-0</v>
      </c>
      <c r="BM101" s="19" t="n">
        <f aca="false">-BM54</f>
        <v>-0</v>
      </c>
      <c r="BN101" s="19" t="n">
        <f aca="false">-BN54</f>
        <v>-0</v>
      </c>
      <c r="BO101" s="19" t="n">
        <f aca="false">-BO54</f>
        <v>-0</v>
      </c>
      <c r="BP101" s="19" t="n">
        <f aca="false">-BP54</f>
        <v>-0</v>
      </c>
      <c r="BQ101" s="19" t="n">
        <f aca="false">-BQ54</f>
        <v>-0</v>
      </c>
      <c r="BR101" s="19" t="n">
        <f aca="false">-BR54</f>
        <v>-0</v>
      </c>
      <c r="BS101" s="19" t="n">
        <f aca="false">-BS54</f>
        <v>-0</v>
      </c>
      <c r="BT101" s="19" t="n">
        <f aca="false">-BT54</f>
        <v>-0</v>
      </c>
      <c r="BU101" s="19" t="n">
        <f aca="false">-BU54</f>
        <v>-0</v>
      </c>
      <c r="BV101" s="19" t="n">
        <f aca="false">-BV54</f>
        <v>-0</v>
      </c>
      <c r="BW101" s="19" t="n">
        <f aca="false">-BW54</f>
        <v>-0</v>
      </c>
      <c r="BX101" s="19" t="n">
        <f aca="false">-BX54</f>
        <v>-0</v>
      </c>
      <c r="BY101" s="19" t="n">
        <f aca="false">-BY54</f>
        <v>-0</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fals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-0</v>
      </c>
      <c r="BI102" s="19" t="n">
        <f aca="false">-BI55</f>
        <v>-0</v>
      </c>
      <c r="BJ102" s="19" t="n">
        <f aca="false">-BJ55</f>
        <v>-0</v>
      </c>
      <c r="BK102" s="19" t="n">
        <f aca="false">-BK55</f>
        <v>-0</v>
      </c>
      <c r="BL102" s="19" t="n">
        <f aca="false">-BL55</f>
        <v>-0</v>
      </c>
      <c r="BM102" s="19" t="n">
        <f aca="false">-BM55</f>
        <v>-0</v>
      </c>
      <c r="BN102" s="19" t="n">
        <f aca="false">-BN55</f>
        <v>-0</v>
      </c>
      <c r="BO102" s="19" t="n">
        <f aca="false">-BO55</f>
        <v>-0</v>
      </c>
      <c r="BP102" s="19" t="n">
        <f aca="false">-BP55</f>
        <v>-0</v>
      </c>
      <c r="BQ102" s="19" t="n">
        <f aca="false">-BQ55</f>
        <v>-0</v>
      </c>
      <c r="BR102" s="19" t="n">
        <f aca="false">-BR55</f>
        <v>-0</v>
      </c>
      <c r="BS102" s="19" t="n">
        <f aca="false">-BS55</f>
        <v>-0</v>
      </c>
      <c r="BT102" s="19" t="n">
        <f aca="false">-BT55</f>
        <v>-0</v>
      </c>
      <c r="BU102" s="19" t="n">
        <f aca="false">-BU55</f>
        <v>-0</v>
      </c>
      <c r="BV102" s="19" t="n">
        <f aca="false">-BV55</f>
        <v>-0</v>
      </c>
      <c r="BW102" s="19" t="n">
        <f aca="false">-BW55</f>
        <v>-0</v>
      </c>
      <c r="BX102" s="19" t="n">
        <f aca="false">-BX55</f>
        <v>-0</v>
      </c>
      <c r="BY102" s="19" t="n">
        <f aca="false">-BY55</f>
        <v>-0</v>
      </c>
      <c r="BZ102" s="19" t="n">
        <f aca="false">-BZ55</f>
        <v>-0</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fals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fals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-6037015.16</v>
      </c>
      <c r="K104" s="30" t="n">
        <f aca="false">SUM(K60:K103)</f>
        <v>-5356852.39</v>
      </c>
      <c r="L104" s="30" t="n">
        <f aca="false">SUM(L60:L103)</f>
        <v>-4281484.51</v>
      </c>
      <c r="M104" s="30" t="n">
        <f aca="false">SUM(M60:M103)</f>
        <v>-4163540.46099936</v>
      </c>
      <c r="N104" s="30" t="n">
        <f aca="false">SUM(N60:N103)</f>
        <v>-4996341.37304903</v>
      </c>
      <c r="O104" s="30" t="n">
        <f aca="false">SUM(O60:O103)</f>
        <v>-5050706.0953878</v>
      </c>
      <c r="P104" s="30" t="n">
        <f aca="false">SUM(P60:P103)</f>
        <v>-5544285.3853733</v>
      </c>
      <c r="Q104" s="30" t="n">
        <f aca="false">SUM(Q60:Q103)</f>
        <v>-5891772.48791243</v>
      </c>
      <c r="R104" s="30" t="n">
        <f aca="false">SUM(R60:R103)</f>
        <v>-6278773.51389018</v>
      </c>
      <c r="S104" s="30" t="n">
        <f aca="false">SUM(S60:S103)</f>
        <v>-7631396.09761567</v>
      </c>
      <c r="T104" s="30" t="n">
        <f aca="false">SUM(T60:T103)</f>
        <v>-8924351.33746995</v>
      </c>
      <c r="U104" s="30" t="n">
        <f aca="false">SUM(U60:U103)</f>
        <v>-8680028.92922129</v>
      </c>
      <c r="V104" s="30" t="n">
        <f aca="false">SUM(V60:V103)</f>
        <v>-9815388.53020283</v>
      </c>
      <c r="W104" s="30" t="n">
        <f aca="false">SUM(W60:W103)</f>
        <v>-9680614.65803107</v>
      </c>
      <c r="X104" s="30" t="n">
        <f aca="false">SUM(X60:X103)</f>
        <v>-11440295.7448014</v>
      </c>
      <c r="Y104" s="30" t="n">
        <f aca="false">SUM(Y60:Y103)</f>
        <v>-10666570.7147779</v>
      </c>
      <c r="Z104" s="30" t="n">
        <f aca="false">SUM(Z60:Z103)</f>
        <v>-11871184.3216436</v>
      </c>
      <c r="AA104" s="30" t="n">
        <f aca="false">SUM(AA60:AA103)</f>
        <v>-11543418.217952</v>
      </c>
      <c r="AB104" s="30" t="n">
        <f aca="false">SUM(AB60:AB103)</f>
        <v>-10718791.7444979</v>
      </c>
      <c r="AC104" s="30" t="n">
        <f aca="false">SUM(AC60:AC103)</f>
        <v>-10067864.4207431</v>
      </c>
      <c r="AD104" s="30" t="n">
        <f aca="false">SUM(AD60:AD103)</f>
        <v>-10143128.427826</v>
      </c>
      <c r="AE104" s="30" t="n">
        <f aca="false">SUM(AE60:AE103)</f>
        <v>-10350114.0217395</v>
      </c>
      <c r="AF104" s="30" t="n">
        <f aca="false">SUM(AF60:AF103)</f>
        <v>-10194063.3605698</v>
      </c>
      <c r="AG104" s="30" t="n">
        <f aca="false">SUM(AG60:AG103)</f>
        <v>-10459374.095142</v>
      </c>
      <c r="AH104" s="30" t="n">
        <f aca="false">SUM(AH60:AH103)</f>
        <v>-9738172.89976826</v>
      </c>
      <c r="AI104" s="30" t="n">
        <f aca="false">SUM(AI60:AI103)</f>
        <v>-9106560.19880215</v>
      </c>
      <c r="AJ104" s="30" t="n">
        <f aca="false">SUM(AJ60:AJ103)</f>
        <v>-7774164.0819617</v>
      </c>
      <c r="AK104" s="30" t="n">
        <f aca="false">SUM(AK60:AK103)</f>
        <v>-7053245.62692988</v>
      </c>
      <c r="AL104" s="30" t="n">
        <f aca="false">SUM(AL60:AL103)</f>
        <v>-6737301.3568674</v>
      </c>
      <c r="AM104" s="30" t="n">
        <f aca="false">SUM(AM60:AM103)</f>
        <v>-6379127.021397</v>
      </c>
      <c r="AN104" s="30" t="n">
        <f aca="false">SUM(AN60:AN103)</f>
        <v>-5058870.54522007</v>
      </c>
      <c r="AO104" s="30" t="n">
        <f aca="false">SUM(AO60:AO103)</f>
        <v>-4122119.13805205</v>
      </c>
      <c r="AP104" s="30" t="n">
        <f aca="false">SUM(AP60:AP103)</f>
        <v>-2999710.67127144</v>
      </c>
      <c r="AQ104" s="30" t="n">
        <f aca="false">SUM(AQ60:AQ103)</f>
        <v>-2722815.44434132</v>
      </c>
      <c r="AR104" s="30" t="n">
        <f aca="false">SUM(AR60:AR103)</f>
        <v>-2633830.85838132</v>
      </c>
      <c r="AS104" s="30" t="n">
        <f aca="false">SUM(AS60:AS103)</f>
        <v>-2527703.10646532</v>
      </c>
      <c r="AT104" s="30" t="n">
        <f aca="false">SUM(AT60:AT103)</f>
        <v>-2255469.31400248</v>
      </c>
      <c r="AU104" s="30" t="n">
        <f aca="false">SUM(AU60:AU103)</f>
        <v>-2390189.56815024</v>
      </c>
      <c r="AV104" s="30" t="n">
        <f aca="false">SUM(AV60:AV103)</f>
        <v>-1971075.03090674</v>
      </c>
      <c r="AW104" s="30" t="n">
        <f aca="false">SUM(AW60:AW103)</f>
        <v>-1632789.15157145</v>
      </c>
      <c r="AX104" s="30" t="n">
        <f aca="false">SUM(AX60:AX103)</f>
        <v>-1562651.69569945</v>
      </c>
      <c r="AY104" s="30" t="n">
        <f aca="false">SUM(AY60:AY103)</f>
        <v>-1478825.85663545</v>
      </c>
      <c r="AZ104" s="30" t="n">
        <f aca="false">SUM(AZ60:AZ103)</f>
        <v>-1383586.13913945</v>
      </c>
      <c r="BA104" s="30" t="n">
        <f aca="false">SUM(BA60:BA103)</f>
        <v>-1279496.53039545</v>
      </c>
      <c r="BB104" s="30" t="n">
        <f aca="false">SUM(BB60:BB103)</f>
        <v>-1169079.66295545</v>
      </c>
      <c r="BC104" s="30" t="n">
        <f aca="false">SUM(BC60:BC103)</f>
        <v>-1054982.23326745</v>
      </c>
      <c r="BD104" s="30" t="n">
        <f aca="false">SUM(BD60:BD103)</f>
        <v>-939685.519251453</v>
      </c>
      <c r="BE104" s="30" t="n">
        <f aca="false">SUM(BE60:BE103)</f>
        <v>-825464.025667453</v>
      </c>
      <c r="BF104" s="30" t="n">
        <f aca="false">SUM(BF60:BF103)</f>
        <v>-714385.484115453</v>
      </c>
      <c r="BG104" s="30" t="n">
        <f aca="false">SUM(BG60:BG103)</f>
        <v>-608145.434507453</v>
      </c>
      <c r="BH104" s="30" t="n">
        <f aca="false">SUM(BH60:BH103)</f>
        <v>-259255.013907853</v>
      </c>
      <c r="BI104" s="30" t="n">
        <f aca="false">SUM(BI60:BI103)</f>
        <v>0</v>
      </c>
      <c r="BJ104" s="30" t="n">
        <f aca="false">SUM(BJ60:BJ103)</f>
        <v>0</v>
      </c>
      <c r="BK104" s="30" t="n">
        <f aca="false">SUM(BK60:BK103)</f>
        <v>0</v>
      </c>
      <c r="BL104" s="30" t="n">
        <f aca="false">SUM(BL60:BL103)</f>
        <v>0</v>
      </c>
      <c r="BM104" s="30" t="n">
        <f aca="false">SUM(BM60:BM103)</f>
        <v>0</v>
      </c>
      <c r="BN104" s="30" t="n">
        <f aca="false">SUM(BN60:BN103)</f>
        <v>0</v>
      </c>
      <c r="BO104" s="30" t="n">
        <f aca="false">SUM(BO60:BO103)</f>
        <v>0</v>
      </c>
      <c r="BP104" s="30" t="n">
        <f aca="false">SUM(BP60:BP103)</f>
        <v>0</v>
      </c>
      <c r="BQ104" s="30" t="n">
        <f aca="false">SUM(BQ60:BQ103)</f>
        <v>0</v>
      </c>
      <c r="BR104" s="30" t="n">
        <f aca="false">SUM(BR60:BR103)</f>
        <v>0</v>
      </c>
      <c r="BS104" s="30" t="n">
        <f aca="false">SUM(BS60:BS103)</f>
        <v>0</v>
      </c>
      <c r="BT104" s="30" t="n">
        <f aca="false">SUM(BT60:BT103)</f>
        <v>0</v>
      </c>
      <c r="BU104" s="30" t="n">
        <f aca="false">SUM(BU60:BU103)</f>
        <v>0</v>
      </c>
      <c r="BV104" s="30" t="n">
        <f aca="false">SUM(BV60:BV103)</f>
        <v>0</v>
      </c>
      <c r="BW104" s="30" t="n">
        <f aca="false">SUM(BW60:BW103)</f>
        <v>0</v>
      </c>
      <c r="BX104" s="30" t="n">
        <f aca="false">SUM(BX60:BX103)</f>
        <v>0</v>
      </c>
      <c r="BY104" s="30" t="n">
        <f aca="false">SUM(BY60:BY103)</f>
        <v>0</v>
      </c>
      <c r="BZ104" s="30" t="n">
        <f aca="false">SUM(BZ60:BZ103)</f>
        <v>0</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0</v>
      </c>
      <c r="R117" s="19" t="n">
        <f aca="false">IF(AND('Bonding Program'!$S$22=1,R$3='Bonding Program'!$H$22),'Bonding Program'!$T$22,0)</f>
        <v>0</v>
      </c>
      <c r="S117" s="19" t="n">
        <f aca="false">IF(AND('Bonding Program'!$S$22=1,S$3='Bonding Program'!$H$22),'Bonding Program'!$T$22,0)</f>
        <v>887583.725490196</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0</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210141.059113301</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170505.886699507</v>
      </c>
      <c r="S120" s="19" t="n">
        <f aca="false">IF(AND('Bonding Program'!$S$25=1,S$3='Bonding Program'!$H$25),'Bonding Program'!$T$25,0)</f>
        <v>0</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277309.137931035</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0</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202551.724137931</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0</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0</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0</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0</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277309.137931035</v>
      </c>
      <c r="R150" s="30" t="n">
        <f aca="false">SUM(R106:R149)</f>
        <v>170505.886699507</v>
      </c>
      <c r="S150" s="30" t="n">
        <f aca="false">SUM(S106:S149)</f>
        <v>887583.725490196</v>
      </c>
      <c r="T150" s="30" t="n">
        <f aca="false">SUM(T106:T149)</f>
        <v>0</v>
      </c>
      <c r="U150" s="30" t="n">
        <f aca="false">SUM(U106:U149)</f>
        <v>0</v>
      </c>
      <c r="V150" s="30" t="n">
        <f aca="false">SUM(V106:V149)</f>
        <v>210141.059113301</v>
      </c>
      <c r="W150" s="30" t="n">
        <f aca="false">SUM(W106:W149)</f>
        <v>202551.724137931</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0</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0</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0</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0</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Program'!$S$11=1,'Bonding Program'!$H$11&gt;'Bonding Program'!$C$8,B$3='Bonding Program'!$H$11),'Bonding Program'!$T$11-'Bonding Program'!$U$11-'Bonding Program'!$Z$11,0)-IF(AND('Bonding Program'!$S$11=1,'Bonding Program'!$H$11&lt;='Bonding Program'!$C$8,B$3=IF('Bonding Program'!$P$11&lt;&gt;"",'Bonding Program'!$P$11,'Bonding Program'!$C$8)),'Bonding Program'!$Z$11,0)+IF(AND('Bonding Program'!$P$11&lt;&gt;"",B$3='Bonding Program'!$P$11,B$3&lt;='Bonding Program'!$C$8),N('Bonding Program'!$O$11),0)</f>
        <v>0</v>
      </c>
      <c r="C152" s="19" t="n">
        <f aca="false">IF(AND('Bonding Program'!$S$11=1,'Bonding Program'!$H$11&gt;'Bonding Program'!$C$8,C$3='Bonding Program'!$H$11),'Bonding Program'!$T$11-'Bonding Program'!$U$11-'Bonding Program'!$Z$11,0)-IF(AND('Bonding Program'!$S$11=1,'Bonding Program'!$H$11&lt;='Bonding Program'!$C$8,C$3=IF('Bonding Program'!$P$11&lt;&gt;"",'Bonding Program'!$P$11,'Bonding Program'!$C$8)),'Bonding Program'!$Z$11,0)+IF(AND('Bonding Program'!$P$11&lt;&gt;"",C$3='Bonding Program'!$P$11,C$3&lt;='Bonding Program'!$C$8),N('Bonding Program'!$O$11),0)</f>
        <v>0</v>
      </c>
      <c r="D152" s="19" t="n">
        <f aca="false">IF(AND('Bonding Program'!$S$11=1,'Bonding Program'!$H$11&gt;'Bonding Program'!$C$8,D$3='Bonding Program'!$H$11),'Bonding Program'!$T$11-'Bonding Program'!$U$11-'Bonding Program'!$Z$11,0)-IF(AND('Bonding Program'!$S$11=1,'Bonding Program'!$H$11&lt;='Bonding Program'!$C$8,D$3=IF('Bonding Program'!$P$11&lt;&gt;"",'Bonding Program'!$P$11,'Bonding Program'!$C$8)),'Bonding Program'!$Z$11,0)+IF(AND('Bonding Program'!$P$11&lt;&gt;"",D$3='Bonding Program'!$P$11,D$3&lt;='Bonding Program'!$C$8),N('Bonding Program'!$O$11),0)</f>
        <v>0</v>
      </c>
      <c r="E152" s="19" t="n">
        <f aca="false">IF(AND('Bonding Program'!$S$11=1,'Bonding Program'!$H$11&gt;'Bonding Program'!$C$8,E$3='Bonding Program'!$H$11),'Bonding Program'!$T$11-'Bonding Program'!$U$11-'Bonding Program'!$Z$11,0)-IF(AND('Bonding Program'!$S$11=1,'Bonding Program'!$H$11&lt;='Bonding Program'!$C$8,E$3=IF('Bonding Program'!$P$11&lt;&gt;"",'Bonding Program'!$P$11,'Bonding Program'!$C$8)),'Bonding Program'!$Z$11,0)+IF(AND('Bonding Program'!$P$11&lt;&gt;"",E$3='Bonding Program'!$P$11,E$3&lt;='Bonding Program'!$C$8),N('Bonding Program'!$O$11),0)</f>
        <v>0</v>
      </c>
      <c r="F152" s="19" t="n">
        <f aca="false">IF(AND('Bonding Program'!$S$11=1,'Bonding Program'!$H$11&gt;'Bonding Program'!$C$8,F$3='Bonding Program'!$H$11),'Bonding Program'!$T$11-'Bonding Program'!$U$11-'Bonding Program'!$Z$11,0)-IF(AND('Bonding Program'!$S$11=1,'Bonding Program'!$H$11&lt;='Bonding Program'!$C$8,F$3=IF('Bonding Program'!$P$11&lt;&gt;"",'Bonding Program'!$P$11,'Bonding Program'!$C$8)),'Bonding Program'!$Z$11,0)+IF(AND('Bonding Program'!$P$11&lt;&gt;"",F$3='Bonding Program'!$P$11,F$3&lt;='Bonding Program'!$C$8),N('Bonding Program'!$O$11),0)</f>
        <v>0</v>
      </c>
      <c r="G152" s="19" t="n">
        <f aca="false">IF(AND('Bonding Program'!$S$11=1,'Bonding Program'!$H$11&gt;'Bonding Program'!$C$8,G$3='Bonding Program'!$H$11),'Bonding Program'!$T$11-'Bonding Program'!$U$11-'Bonding Program'!$Z$11,0)-IF(AND('Bonding Program'!$S$11=1,'Bonding Program'!$H$11&lt;='Bonding Program'!$C$8,G$3=IF('Bonding Program'!$P$11&lt;&gt;"",'Bonding Program'!$P$11,'Bonding Program'!$C$8)),'Bonding Program'!$Z$11,0)+IF(AND('Bonding Program'!$P$11&lt;&gt;"",G$3='Bonding Program'!$P$11,G$3&lt;='Bonding Program'!$C$8),N('Bonding Program'!$O$11),0)</f>
        <v>0</v>
      </c>
      <c r="H152" s="19" t="n">
        <f aca="false">IF(AND('Bonding Program'!$S$11=1,'Bonding Program'!$H$11&gt;'Bonding Program'!$C$8,H$3='Bonding Program'!$H$11),'Bonding Program'!$T$11-'Bonding Program'!$U$11-'Bonding Program'!$Z$11,0)-IF(AND('Bonding Program'!$S$11=1,'Bonding Program'!$H$11&lt;='Bonding Program'!$C$8,H$3=IF('Bonding Program'!$P$11&lt;&gt;"",'Bonding Program'!$P$11,'Bonding Program'!$C$8)),'Bonding Program'!$Z$11,0)+IF(AND('Bonding Program'!$P$11&lt;&gt;"",H$3='Bonding Program'!$P$11,H$3&lt;='Bonding Program'!$C$8),N('Bonding Program'!$O$11),0)</f>
        <v>0</v>
      </c>
      <c r="I152" s="19" t="n">
        <f aca="false">IF(AND('Bonding Program'!$S$11=1,'Bonding Program'!$H$11&gt;'Bonding Program'!$C$8,I$3='Bonding Program'!$H$11),'Bonding Program'!$T$11-'Bonding Program'!$U$11-'Bonding Program'!$Z$11,0)-IF(AND('Bonding Program'!$S$11=1,'Bonding Program'!$H$11&lt;='Bonding Program'!$C$8,I$3=IF('Bonding Program'!$P$11&lt;&gt;"",'Bonding Program'!$P$11,'Bonding Program'!$C$8)),'Bonding Program'!$Z$11,0)+IF(AND('Bonding Program'!$P$11&lt;&gt;"",I$3='Bonding Program'!$P$11,I$3&lt;='Bonding Program'!$C$8),N('Bonding Program'!$O$11),0)</f>
        <v>0</v>
      </c>
      <c r="J152" s="19" t="n">
        <f aca="false">IF(AND('Bonding Program'!$S$11=1,'Bonding Program'!$H$11&gt;'Bonding Program'!$C$8,J$3='Bonding Program'!$H$11),'Bonding Program'!$T$11-'Bonding Program'!$U$11-'Bonding Program'!$Z$11,0)-IF(AND('Bonding Program'!$S$11=1,'Bonding Program'!$H$11&lt;='Bonding Program'!$C$8,J$3=IF('Bonding Program'!$P$11&lt;&gt;"",'Bonding Program'!$P$11,'Bonding Program'!$C$8)),'Bonding Program'!$Z$11,0)+IF(AND('Bonding Program'!$P$11&lt;&gt;"",J$3='Bonding Program'!$P$11,J$3&lt;='Bonding Program'!$C$8),N('Bonding Program'!$O$11),0)</f>
        <v>0</v>
      </c>
      <c r="K152" s="19" t="n">
        <f aca="false">IF(AND('Bonding Program'!$S$11=1,'Bonding Program'!$H$11&gt;'Bonding Program'!$C$8,K$3='Bonding Program'!$H$11),'Bonding Program'!$T$11-'Bonding Program'!$U$11-'Bonding Program'!$Z$11,0)-IF(AND('Bonding Program'!$S$11=1,'Bonding Program'!$H$11&lt;='Bonding Program'!$C$8,K$3=IF('Bonding Program'!$P$11&lt;&gt;"",'Bonding Program'!$P$11,'Bonding Program'!$C$8)),'Bonding Program'!$Z$11,0)+IF(AND('Bonding Program'!$P$11&lt;&gt;"",K$3='Bonding Program'!$P$11,K$3&lt;='Bonding Program'!$C$8),N('Bonding Program'!$O$11),0)</f>
        <v>0</v>
      </c>
      <c r="L152" s="19" t="n">
        <f aca="false">IF(AND('Bonding Program'!$S$11=1,'Bonding Program'!$H$11&gt;'Bonding Program'!$C$8,L$3='Bonding Program'!$H$11),'Bonding Program'!$T$11-'Bonding Program'!$U$11-'Bonding Program'!$Z$11,0)-IF(AND('Bonding Program'!$S$11=1,'Bonding Program'!$H$11&lt;='Bonding Program'!$C$8,L$3=IF('Bonding Program'!$P$11&lt;&gt;"",'Bonding Program'!$P$11,'Bonding Program'!$C$8)),'Bonding Program'!$Z$11,0)+IF(AND('Bonding Program'!$P$11&lt;&gt;"",L$3='Bonding Program'!$P$11,L$3&lt;='Bonding Program'!$C$8),N('Bonding Program'!$O$11),0)</f>
        <v>0</v>
      </c>
      <c r="M152" s="19" t="n">
        <f aca="false">IF(AND('Bonding Program'!$S$11=1,'Bonding Program'!$H$11&gt;'Bonding Program'!$C$8,M$3='Bonding Program'!$H$11),'Bonding Program'!$T$11-'Bonding Program'!$U$11-'Bonding Program'!$Z$11,0)-IF(AND('Bonding Program'!$S$11=1,'Bonding Program'!$H$11&lt;='Bonding Program'!$C$8,M$3=IF('Bonding Program'!$P$11&lt;&gt;"",'Bonding Program'!$P$11,'Bonding Program'!$C$8)),'Bonding Program'!$Z$11,0)+IF(AND('Bonding Program'!$P$11&lt;&gt;"",M$3='Bonding Program'!$P$11,M$3&lt;='Bonding Program'!$C$8),N('Bonding Program'!$O$11),0)</f>
        <v>0</v>
      </c>
      <c r="N152" s="19" t="n">
        <f aca="false">IF(AND('Bonding Program'!$S$11=1,'Bonding Program'!$H$11&gt;'Bonding Program'!$C$8,N$3='Bonding Program'!$H$11),'Bonding Program'!$T$11-'Bonding Program'!$U$11-'Bonding Program'!$Z$11,0)-IF(AND('Bonding Program'!$S$11=1,'Bonding Program'!$H$11&lt;='Bonding Program'!$C$8,N$3=IF('Bonding Program'!$P$11&lt;&gt;"",'Bonding Program'!$P$11,'Bonding Program'!$C$8)),'Bonding Program'!$Z$11,0)+IF(AND('Bonding Program'!$P$11&lt;&gt;"",N$3='Bonding Program'!$P$11,N$3&lt;='Bonding Program'!$C$8),N('Bonding Program'!$O$11),0)</f>
        <v>0</v>
      </c>
      <c r="O152" s="19" t="n">
        <f aca="false">IF(AND('Bonding Program'!$S$11=1,'Bonding Program'!$H$11&gt;'Bonding Program'!$C$8,O$3='Bonding Program'!$H$11),'Bonding Program'!$T$11-'Bonding Program'!$U$11-'Bonding Program'!$Z$11,0)-IF(AND('Bonding Program'!$S$11=1,'Bonding Program'!$H$11&lt;='Bonding Program'!$C$8,O$3=IF('Bonding Program'!$P$11&lt;&gt;"",'Bonding Program'!$P$11,'Bonding Program'!$C$8)),'Bonding Program'!$Z$11,0)+IF(AND('Bonding Program'!$P$11&lt;&gt;"",O$3='Bonding Program'!$P$11,O$3&lt;='Bonding Program'!$C$8),N('Bonding Program'!$O$11),0)</f>
        <v>0</v>
      </c>
      <c r="P152" s="19" t="n">
        <f aca="false">IF(AND('Bonding Program'!$S$11=1,'Bonding Program'!$H$11&gt;'Bonding Program'!$C$8,P$3='Bonding Program'!$H$11),'Bonding Program'!$T$11-'Bonding Program'!$U$11-'Bonding Program'!$Z$11,0)-IF(AND('Bonding Program'!$S$11=1,'Bonding Program'!$H$11&lt;='Bonding Program'!$C$8,P$3=IF('Bonding Program'!$P$11&lt;&gt;"",'Bonding Program'!$P$11,'Bonding Program'!$C$8)),'Bonding Program'!$Z$11,0)+IF(AND('Bonding Program'!$P$11&lt;&gt;"",P$3='Bonding Program'!$P$11,P$3&lt;='Bonding Program'!$C$8),N('Bonding Program'!$O$11),0)</f>
        <v>0</v>
      </c>
      <c r="Q152" s="19" t="n">
        <f aca="false">IF(AND('Bonding Program'!$S$11=1,'Bonding Program'!$H$11&gt;'Bonding Program'!$C$8,Q$3='Bonding Program'!$H$11),'Bonding Program'!$T$11-'Bonding Program'!$U$11-'Bonding Program'!$Z$11,0)-IF(AND('Bonding Program'!$S$11=1,'Bonding Program'!$H$11&lt;='Bonding Program'!$C$8,Q$3=IF('Bonding Program'!$P$11&lt;&gt;"",'Bonding Program'!$P$11,'Bonding Program'!$C$8)),'Bonding Program'!$Z$11,0)+IF(AND('Bonding Program'!$P$11&lt;&gt;"",Q$3='Bonding Program'!$P$11,Q$3&lt;='Bonding Program'!$C$8),N('Bonding Program'!$O$11),0)</f>
        <v>0</v>
      </c>
      <c r="R152" s="19" t="n">
        <f aca="false">IF(AND('Bonding Program'!$S$11=1,'Bonding Program'!$H$11&gt;'Bonding Program'!$C$8,R$3='Bonding Program'!$H$11),'Bonding Program'!$T$11-'Bonding Program'!$U$11-'Bonding Program'!$Z$11,0)-IF(AND('Bonding Program'!$S$11=1,'Bonding Program'!$H$11&lt;='Bonding Program'!$C$8,R$3=IF('Bonding Program'!$P$11&lt;&gt;"",'Bonding Program'!$P$11,'Bonding Program'!$C$8)),'Bonding Program'!$Z$11,0)+IF(AND('Bonding Program'!$P$11&lt;&gt;"",R$3='Bonding Program'!$P$11,R$3&lt;='Bonding Program'!$C$8),N('Bonding Program'!$O$11),0)</f>
        <v>0</v>
      </c>
      <c r="S152" s="19" t="n">
        <f aca="false">IF(AND('Bonding Program'!$S$11=1,'Bonding Program'!$H$11&gt;'Bonding Program'!$C$8,S$3='Bonding Program'!$H$11),'Bonding Program'!$T$11-'Bonding Program'!$U$11-'Bonding Program'!$Z$11,0)-IF(AND('Bonding Program'!$S$11=1,'Bonding Program'!$H$11&lt;='Bonding Program'!$C$8,S$3=IF('Bonding Program'!$P$11&lt;&gt;"",'Bonding Program'!$P$11,'Bonding Program'!$C$8)),'Bonding Program'!$Z$11,0)+IF(AND('Bonding Program'!$P$11&lt;&gt;"",S$3='Bonding Program'!$P$11,S$3&lt;='Bonding Program'!$C$8),N('Bonding Program'!$O$11),0)</f>
        <v>0</v>
      </c>
      <c r="T152" s="19" t="n">
        <f aca="false">IF(AND('Bonding Program'!$S$11=1,'Bonding Program'!$H$11&gt;'Bonding Program'!$C$8,T$3='Bonding Program'!$H$11),'Bonding Program'!$T$11-'Bonding Program'!$U$11-'Bonding Program'!$Z$11,0)-IF(AND('Bonding Program'!$S$11=1,'Bonding Program'!$H$11&lt;='Bonding Program'!$C$8,T$3=IF('Bonding Program'!$P$11&lt;&gt;"",'Bonding Program'!$P$11,'Bonding Program'!$C$8)),'Bonding Program'!$Z$11,0)+IF(AND('Bonding Program'!$P$11&lt;&gt;"",T$3='Bonding Program'!$P$11,T$3&lt;='Bonding Program'!$C$8),N('Bonding Program'!$O$11),0)</f>
        <v>0</v>
      </c>
      <c r="U152" s="19" t="n">
        <f aca="false">IF(AND('Bonding Program'!$S$11=1,'Bonding Program'!$H$11&gt;'Bonding Program'!$C$8,U$3='Bonding Program'!$H$11),'Bonding Program'!$T$11-'Bonding Program'!$U$11-'Bonding Program'!$Z$11,0)-IF(AND('Bonding Program'!$S$11=1,'Bonding Program'!$H$11&lt;='Bonding Program'!$C$8,U$3=IF('Bonding Program'!$P$11&lt;&gt;"",'Bonding Program'!$P$11,'Bonding Program'!$C$8)),'Bonding Program'!$Z$11,0)+IF(AND('Bonding Program'!$P$11&lt;&gt;"",U$3='Bonding Program'!$P$11,U$3&lt;='Bonding Program'!$C$8),N('Bonding Program'!$O$11),0)</f>
        <v>0</v>
      </c>
      <c r="V152" s="19" t="n">
        <f aca="false">IF(AND('Bonding Program'!$S$11=1,'Bonding Program'!$H$11&gt;'Bonding Program'!$C$8,V$3='Bonding Program'!$H$11),'Bonding Program'!$T$11-'Bonding Program'!$U$11-'Bonding Program'!$Z$11,0)-IF(AND('Bonding Program'!$S$11=1,'Bonding Program'!$H$11&lt;='Bonding Program'!$C$8,V$3=IF('Bonding Program'!$P$11&lt;&gt;"",'Bonding Program'!$P$11,'Bonding Program'!$C$8)),'Bonding Program'!$Z$11,0)+IF(AND('Bonding Program'!$P$11&lt;&gt;"",V$3='Bonding Program'!$P$11,V$3&lt;='Bonding Program'!$C$8),N('Bonding Program'!$O$11),0)</f>
        <v>0</v>
      </c>
      <c r="W152" s="19" t="n">
        <f aca="false">IF(AND('Bonding Program'!$S$11=1,'Bonding Program'!$H$11&gt;'Bonding Program'!$C$8,W$3='Bonding Program'!$H$11),'Bonding Program'!$T$11-'Bonding Program'!$U$11-'Bonding Program'!$Z$11,0)-IF(AND('Bonding Program'!$S$11=1,'Bonding Program'!$H$11&lt;='Bonding Program'!$C$8,W$3=IF('Bonding Program'!$P$11&lt;&gt;"",'Bonding Program'!$P$11,'Bonding Program'!$C$8)),'Bonding Program'!$Z$11,0)+IF(AND('Bonding Program'!$P$11&lt;&gt;"",W$3='Bonding Program'!$P$11,W$3&lt;='Bonding Program'!$C$8),N('Bonding Program'!$O$11),0)</f>
        <v>0</v>
      </c>
      <c r="X152" s="19" t="n">
        <f aca="false">IF(AND('Bonding Program'!$S$11=1,'Bonding Program'!$H$11&gt;'Bonding Program'!$C$8,X$3='Bonding Program'!$H$11),'Bonding Program'!$T$11-'Bonding Program'!$U$11-'Bonding Program'!$Z$11,0)-IF(AND('Bonding Program'!$S$11=1,'Bonding Program'!$H$11&lt;='Bonding Program'!$C$8,X$3=IF('Bonding Program'!$P$11&lt;&gt;"",'Bonding Program'!$P$11,'Bonding Program'!$C$8)),'Bonding Program'!$Z$11,0)+IF(AND('Bonding Program'!$P$11&lt;&gt;"",X$3='Bonding Program'!$P$11,X$3&lt;='Bonding Program'!$C$8),N('Bonding Program'!$O$11),0)</f>
        <v>0</v>
      </c>
      <c r="Y152" s="19" t="n">
        <f aca="false">IF(AND('Bonding Program'!$S$11=1,'Bonding Program'!$H$11&gt;'Bonding Program'!$C$8,Y$3='Bonding Program'!$H$11),'Bonding Program'!$T$11-'Bonding Program'!$U$11-'Bonding Program'!$Z$11,0)-IF(AND('Bonding Program'!$S$11=1,'Bonding Program'!$H$11&lt;='Bonding Program'!$C$8,Y$3=IF('Bonding Program'!$P$11&lt;&gt;"",'Bonding Program'!$P$11,'Bonding Program'!$C$8)),'Bonding Program'!$Z$11,0)+IF(AND('Bonding Program'!$P$11&lt;&gt;"",Y$3='Bonding Program'!$P$11,Y$3&lt;='Bonding Program'!$C$8),N('Bonding Program'!$O$11),0)</f>
        <v>0</v>
      </c>
      <c r="Z152" s="19" t="n">
        <f aca="false">IF(AND('Bonding Program'!$S$11=1,'Bonding Program'!$H$11&gt;'Bonding Program'!$C$8,Z$3='Bonding Program'!$H$11),'Bonding Program'!$T$11-'Bonding Program'!$U$11-'Bonding Program'!$Z$11,0)-IF(AND('Bonding Program'!$S$11=1,'Bonding Program'!$H$11&lt;='Bonding Program'!$C$8,Z$3=IF('Bonding Program'!$P$11&lt;&gt;"",'Bonding Program'!$P$11,'Bonding Program'!$C$8)),'Bonding Program'!$Z$11,0)+IF(AND('Bonding Program'!$P$11&lt;&gt;"",Z$3='Bonding Program'!$P$11,Z$3&lt;='Bonding Program'!$C$8),N('Bonding Program'!$O$11),0)</f>
        <v>0</v>
      </c>
      <c r="AA152" s="19" t="n">
        <f aca="false">IF(AND('Bonding Program'!$S$11=1,'Bonding Program'!$H$11&gt;'Bonding Program'!$C$8,AA$3='Bonding Program'!$H$11),'Bonding Program'!$T$11-'Bonding Program'!$U$11-'Bonding Program'!$Z$11,0)-IF(AND('Bonding Program'!$S$11=1,'Bonding Program'!$H$11&lt;='Bonding Program'!$C$8,AA$3=IF('Bonding Program'!$P$11&lt;&gt;"",'Bonding Program'!$P$11,'Bonding Program'!$C$8)),'Bonding Program'!$Z$11,0)+IF(AND('Bonding Program'!$P$11&lt;&gt;"",AA$3='Bonding Program'!$P$11,AA$3&lt;='Bonding Program'!$C$8),N('Bonding Program'!$O$11),0)</f>
        <v>0</v>
      </c>
      <c r="AB152" s="19" t="n">
        <f aca="false">IF(AND('Bonding Program'!$S$11=1,'Bonding Program'!$H$11&gt;'Bonding Program'!$C$8,AB$3='Bonding Program'!$H$11),'Bonding Program'!$T$11-'Bonding Program'!$U$11-'Bonding Program'!$Z$11,0)-IF(AND('Bonding Program'!$S$11=1,'Bonding Program'!$H$11&lt;='Bonding Program'!$C$8,AB$3=IF('Bonding Program'!$P$11&lt;&gt;"",'Bonding Program'!$P$11,'Bonding Program'!$C$8)),'Bonding Program'!$Z$11,0)+IF(AND('Bonding Program'!$P$11&lt;&gt;"",AB$3='Bonding Program'!$P$11,AB$3&lt;='Bonding Program'!$C$8),N('Bonding Program'!$O$11),0)</f>
        <v>0</v>
      </c>
      <c r="AC152" s="19" t="n">
        <f aca="false">IF(AND('Bonding Program'!$S$11=1,'Bonding Program'!$H$11&gt;'Bonding Program'!$C$8,AC$3='Bonding Program'!$H$11),'Bonding Program'!$T$11-'Bonding Program'!$U$11-'Bonding Program'!$Z$11,0)-IF(AND('Bonding Program'!$S$11=1,'Bonding Program'!$H$11&lt;='Bonding Program'!$C$8,AC$3=IF('Bonding Program'!$P$11&lt;&gt;"",'Bonding Program'!$P$11,'Bonding Program'!$C$8)),'Bonding Program'!$Z$11,0)+IF(AND('Bonding Program'!$P$11&lt;&gt;"",AC$3='Bonding Program'!$P$11,AC$3&lt;='Bonding Program'!$C$8),N('Bonding Program'!$O$11),0)</f>
        <v>0</v>
      </c>
      <c r="AD152" s="19" t="n">
        <f aca="false">IF(AND('Bonding Program'!$S$11=1,'Bonding Program'!$H$11&gt;'Bonding Program'!$C$8,AD$3='Bonding Program'!$H$11),'Bonding Program'!$T$11-'Bonding Program'!$U$11-'Bonding Program'!$Z$11,0)-IF(AND('Bonding Program'!$S$11=1,'Bonding Program'!$H$11&lt;='Bonding Program'!$C$8,AD$3=IF('Bonding Program'!$P$11&lt;&gt;"",'Bonding Program'!$P$11,'Bonding Program'!$C$8)),'Bonding Program'!$Z$11,0)+IF(AND('Bonding Program'!$P$11&lt;&gt;"",AD$3='Bonding Program'!$P$11,AD$3&lt;='Bonding Program'!$C$8),N('Bonding Program'!$O$11),0)</f>
        <v>0</v>
      </c>
      <c r="AE152" s="19" t="n">
        <f aca="false">IF(AND('Bonding Program'!$S$11=1,'Bonding Program'!$H$11&gt;'Bonding Program'!$C$8,AE$3='Bonding Program'!$H$11),'Bonding Program'!$T$11-'Bonding Program'!$U$11-'Bonding Program'!$Z$11,0)-IF(AND('Bonding Program'!$S$11=1,'Bonding Program'!$H$11&lt;='Bonding Program'!$C$8,AE$3=IF('Bonding Program'!$P$11&lt;&gt;"",'Bonding Program'!$P$11,'Bonding Program'!$C$8)),'Bonding Program'!$Z$11,0)+IF(AND('Bonding Program'!$P$11&lt;&gt;"",AE$3='Bonding Program'!$P$11,AE$3&lt;='Bonding Program'!$C$8),N('Bonding Program'!$O$11),0)</f>
        <v>0</v>
      </c>
      <c r="AF152" s="19" t="n">
        <f aca="false">IF(AND('Bonding Program'!$S$11=1,'Bonding Program'!$H$11&gt;'Bonding Program'!$C$8,AF$3='Bonding Program'!$H$11),'Bonding Program'!$T$11-'Bonding Program'!$U$11-'Bonding Program'!$Z$11,0)-IF(AND('Bonding Program'!$S$11=1,'Bonding Program'!$H$11&lt;='Bonding Program'!$C$8,AF$3=IF('Bonding Program'!$P$11&lt;&gt;"",'Bonding Program'!$P$11,'Bonding Program'!$C$8)),'Bonding Program'!$Z$11,0)+IF(AND('Bonding Program'!$P$11&lt;&gt;"",AF$3='Bonding Program'!$P$11,AF$3&lt;='Bonding Program'!$C$8),N('Bonding Program'!$O$11),0)</f>
        <v>0</v>
      </c>
      <c r="AG152" s="19" t="n">
        <f aca="false">IF(AND('Bonding Program'!$S$11=1,'Bonding Program'!$H$11&gt;'Bonding Program'!$C$8,AG$3='Bonding Program'!$H$11),'Bonding Program'!$T$11-'Bonding Program'!$U$11-'Bonding Program'!$Z$11,0)-IF(AND('Bonding Program'!$S$11=1,'Bonding Program'!$H$11&lt;='Bonding Program'!$C$8,AG$3=IF('Bonding Program'!$P$11&lt;&gt;"",'Bonding Program'!$P$11,'Bonding Program'!$C$8)),'Bonding Program'!$Z$11,0)+IF(AND('Bonding Program'!$P$11&lt;&gt;"",AG$3='Bonding Program'!$P$11,AG$3&lt;='Bonding Program'!$C$8),N('Bonding Program'!$O$11),0)</f>
        <v>0</v>
      </c>
      <c r="AH152" s="19" t="n">
        <f aca="false">IF(AND('Bonding Program'!$S$11=1,'Bonding Program'!$H$11&gt;'Bonding Program'!$C$8,AH$3='Bonding Program'!$H$11),'Bonding Program'!$T$11-'Bonding Program'!$U$11-'Bonding Program'!$Z$11,0)-IF(AND('Bonding Program'!$S$11=1,'Bonding Program'!$H$11&lt;='Bonding Program'!$C$8,AH$3=IF('Bonding Program'!$P$11&lt;&gt;"",'Bonding Program'!$P$11,'Bonding Program'!$C$8)),'Bonding Program'!$Z$11,0)+IF(AND('Bonding Program'!$P$11&lt;&gt;"",AH$3='Bonding Program'!$P$11,AH$3&lt;='Bonding Program'!$C$8),N('Bonding Program'!$O$11),0)</f>
        <v>0</v>
      </c>
      <c r="AI152" s="19" t="n">
        <f aca="false">IF(AND('Bonding Program'!$S$11=1,'Bonding Program'!$H$11&gt;'Bonding Program'!$C$8,AI$3='Bonding Program'!$H$11),'Bonding Program'!$T$11-'Bonding Program'!$U$11-'Bonding Program'!$Z$11,0)-IF(AND('Bonding Program'!$S$11=1,'Bonding Program'!$H$11&lt;='Bonding Program'!$C$8,AI$3=IF('Bonding Program'!$P$11&lt;&gt;"",'Bonding Program'!$P$11,'Bonding Program'!$C$8)),'Bonding Program'!$Z$11,0)+IF(AND('Bonding Program'!$P$11&lt;&gt;"",AI$3='Bonding Program'!$P$11,AI$3&lt;='Bonding Program'!$C$8),N('Bonding Program'!$O$11),0)</f>
        <v>0</v>
      </c>
      <c r="AJ152" s="19" t="n">
        <f aca="false">IF(AND('Bonding Program'!$S$11=1,'Bonding Program'!$H$11&gt;'Bonding Program'!$C$8,AJ$3='Bonding Program'!$H$11),'Bonding Program'!$T$11-'Bonding Program'!$U$11-'Bonding Program'!$Z$11,0)-IF(AND('Bonding Program'!$S$11=1,'Bonding Program'!$H$11&lt;='Bonding Program'!$C$8,AJ$3=IF('Bonding Program'!$P$11&lt;&gt;"",'Bonding Program'!$P$11,'Bonding Program'!$C$8)),'Bonding Program'!$Z$11,0)+IF(AND('Bonding Program'!$P$11&lt;&gt;"",AJ$3='Bonding Program'!$P$11,AJ$3&lt;='Bonding Program'!$C$8),N('Bonding Program'!$O$11),0)</f>
        <v>0</v>
      </c>
      <c r="AK152" s="19" t="n">
        <f aca="false">IF(AND('Bonding Program'!$S$11=1,'Bonding Program'!$H$11&gt;'Bonding Program'!$C$8,AK$3='Bonding Program'!$H$11),'Bonding Program'!$T$11-'Bonding Program'!$U$11-'Bonding Program'!$Z$11,0)-IF(AND('Bonding Program'!$S$11=1,'Bonding Program'!$H$11&lt;='Bonding Program'!$C$8,AK$3=IF('Bonding Program'!$P$11&lt;&gt;"",'Bonding Program'!$P$11,'Bonding Program'!$C$8)),'Bonding Program'!$Z$11,0)+IF(AND('Bonding Program'!$P$11&lt;&gt;"",AK$3='Bonding Program'!$P$11,AK$3&lt;='Bonding Program'!$C$8),N('Bonding Program'!$O$11),0)</f>
        <v>0</v>
      </c>
      <c r="AL152" s="19" t="n">
        <f aca="false">IF(AND('Bonding Program'!$S$11=1,'Bonding Program'!$H$11&gt;'Bonding Program'!$C$8,AL$3='Bonding Program'!$H$11),'Bonding Program'!$T$11-'Bonding Program'!$U$11-'Bonding Program'!$Z$11,0)-IF(AND('Bonding Program'!$S$11=1,'Bonding Program'!$H$11&lt;='Bonding Program'!$C$8,AL$3=IF('Bonding Program'!$P$11&lt;&gt;"",'Bonding Program'!$P$11,'Bonding Program'!$C$8)),'Bonding Program'!$Z$11,0)+IF(AND('Bonding Program'!$P$11&lt;&gt;"",AL$3='Bonding Program'!$P$11,AL$3&lt;='Bonding Program'!$C$8),N('Bonding Program'!$O$11),0)</f>
        <v>0</v>
      </c>
      <c r="AM152" s="19" t="n">
        <f aca="false">IF(AND('Bonding Program'!$S$11=1,'Bonding Program'!$H$11&gt;'Bonding Program'!$C$8,AM$3='Bonding Program'!$H$11),'Bonding Program'!$T$11-'Bonding Program'!$U$11-'Bonding Program'!$Z$11,0)-IF(AND('Bonding Program'!$S$11=1,'Bonding Program'!$H$11&lt;='Bonding Program'!$C$8,AM$3=IF('Bonding Program'!$P$11&lt;&gt;"",'Bonding Program'!$P$11,'Bonding Program'!$C$8)),'Bonding Program'!$Z$11,0)+IF(AND('Bonding Program'!$P$11&lt;&gt;"",AM$3='Bonding Program'!$P$11,AM$3&lt;='Bonding Program'!$C$8),N('Bonding Program'!$O$11),0)</f>
        <v>0</v>
      </c>
      <c r="AN152" s="19" t="n">
        <f aca="false">IF(AND('Bonding Program'!$S$11=1,'Bonding Program'!$H$11&gt;'Bonding Program'!$C$8,AN$3='Bonding Program'!$H$11),'Bonding Program'!$T$11-'Bonding Program'!$U$11-'Bonding Program'!$Z$11,0)-IF(AND('Bonding Program'!$S$11=1,'Bonding Program'!$H$11&lt;='Bonding Program'!$C$8,AN$3=IF('Bonding Program'!$P$11&lt;&gt;"",'Bonding Program'!$P$11,'Bonding Program'!$C$8)),'Bonding Program'!$Z$11,0)+IF(AND('Bonding Program'!$P$11&lt;&gt;"",AN$3='Bonding Program'!$P$11,AN$3&lt;='Bonding Program'!$C$8),N('Bonding Program'!$O$11),0)</f>
        <v>0</v>
      </c>
      <c r="AO152" s="19" t="n">
        <f aca="false">IF(AND('Bonding Program'!$S$11=1,'Bonding Program'!$H$11&gt;'Bonding Program'!$C$8,AO$3='Bonding Program'!$H$11),'Bonding Program'!$T$11-'Bonding Program'!$U$11-'Bonding Program'!$Z$11,0)-IF(AND('Bonding Program'!$S$11=1,'Bonding Program'!$H$11&lt;='Bonding Program'!$C$8,AO$3=IF('Bonding Program'!$P$11&lt;&gt;"",'Bonding Program'!$P$11,'Bonding Program'!$C$8)),'Bonding Program'!$Z$11,0)+IF(AND('Bonding Program'!$P$11&lt;&gt;"",AO$3='Bonding Program'!$P$11,AO$3&lt;='Bonding Program'!$C$8),N('Bonding Program'!$O$11),0)</f>
        <v>0</v>
      </c>
      <c r="AP152" s="19" t="n">
        <f aca="false">IF(AND('Bonding Program'!$S$11=1,'Bonding Program'!$H$11&gt;'Bonding Program'!$C$8,AP$3='Bonding Program'!$H$11),'Bonding Program'!$T$11-'Bonding Program'!$U$11-'Bonding Program'!$Z$11,0)-IF(AND('Bonding Program'!$S$11=1,'Bonding Program'!$H$11&lt;='Bonding Program'!$C$8,AP$3=IF('Bonding Program'!$P$11&lt;&gt;"",'Bonding Program'!$P$11,'Bonding Program'!$C$8)),'Bonding Program'!$Z$11,0)+IF(AND('Bonding Program'!$P$11&lt;&gt;"",AP$3='Bonding Program'!$P$11,AP$3&lt;='Bonding Program'!$C$8),N('Bonding Program'!$O$11),0)</f>
        <v>0</v>
      </c>
      <c r="AQ152" s="19" t="n">
        <f aca="false">IF(AND('Bonding Program'!$S$11=1,'Bonding Program'!$H$11&gt;'Bonding Program'!$C$8,AQ$3='Bonding Program'!$H$11),'Bonding Program'!$T$11-'Bonding Program'!$U$11-'Bonding Program'!$Z$11,0)-IF(AND('Bonding Program'!$S$11=1,'Bonding Program'!$H$11&lt;='Bonding Program'!$C$8,AQ$3=IF('Bonding Program'!$P$11&lt;&gt;"",'Bonding Program'!$P$11,'Bonding Program'!$C$8)),'Bonding Program'!$Z$11,0)+IF(AND('Bonding Program'!$P$11&lt;&gt;"",AQ$3='Bonding Program'!$P$11,AQ$3&lt;='Bonding Program'!$C$8),N('Bonding Program'!$O$11),0)</f>
        <v>0</v>
      </c>
      <c r="AR152" s="19" t="n">
        <f aca="false">IF(AND('Bonding Program'!$S$11=1,'Bonding Program'!$H$11&gt;'Bonding Program'!$C$8,AR$3='Bonding Program'!$H$11),'Bonding Program'!$T$11-'Bonding Program'!$U$11-'Bonding Program'!$Z$11,0)-IF(AND('Bonding Program'!$S$11=1,'Bonding Program'!$H$11&lt;='Bonding Program'!$C$8,AR$3=IF('Bonding Program'!$P$11&lt;&gt;"",'Bonding Program'!$P$11,'Bonding Program'!$C$8)),'Bonding Program'!$Z$11,0)+IF(AND('Bonding Program'!$P$11&lt;&gt;"",AR$3='Bonding Program'!$P$11,AR$3&lt;='Bonding Program'!$C$8),N('Bonding Program'!$O$11),0)</f>
        <v>0</v>
      </c>
      <c r="AS152" s="19" t="n">
        <f aca="false">IF(AND('Bonding Program'!$S$11=1,'Bonding Program'!$H$11&gt;'Bonding Program'!$C$8,AS$3='Bonding Program'!$H$11),'Bonding Program'!$T$11-'Bonding Program'!$U$11-'Bonding Program'!$Z$11,0)-IF(AND('Bonding Program'!$S$11=1,'Bonding Program'!$H$11&lt;='Bonding Program'!$C$8,AS$3=IF('Bonding Program'!$P$11&lt;&gt;"",'Bonding Program'!$P$11,'Bonding Program'!$C$8)),'Bonding Program'!$Z$11,0)+IF(AND('Bonding Program'!$P$11&lt;&gt;"",AS$3='Bonding Program'!$P$11,AS$3&lt;='Bonding Program'!$C$8),N('Bonding Program'!$O$11),0)</f>
        <v>0</v>
      </c>
      <c r="AT152" s="19" t="n">
        <f aca="false">IF(AND('Bonding Program'!$S$11=1,'Bonding Program'!$H$11&gt;'Bonding Program'!$C$8,AT$3='Bonding Program'!$H$11),'Bonding Program'!$T$11-'Bonding Program'!$U$11-'Bonding Program'!$Z$11,0)-IF(AND('Bonding Program'!$S$11=1,'Bonding Program'!$H$11&lt;='Bonding Program'!$C$8,AT$3=IF('Bonding Program'!$P$11&lt;&gt;"",'Bonding Program'!$P$11,'Bonding Program'!$C$8)),'Bonding Program'!$Z$11,0)+IF(AND('Bonding Program'!$P$11&lt;&gt;"",AT$3='Bonding Program'!$P$11,AT$3&lt;='Bonding Program'!$C$8),N('Bonding Program'!$O$11),0)</f>
        <v>0</v>
      </c>
      <c r="AU152" s="19" t="n">
        <f aca="false">IF(AND('Bonding Program'!$S$11=1,'Bonding Program'!$H$11&gt;'Bonding Program'!$C$8,AU$3='Bonding Program'!$H$11),'Bonding Program'!$T$11-'Bonding Program'!$U$11-'Bonding Program'!$Z$11,0)-IF(AND('Bonding Program'!$S$11=1,'Bonding Program'!$H$11&lt;='Bonding Program'!$C$8,AU$3=IF('Bonding Program'!$P$11&lt;&gt;"",'Bonding Program'!$P$11,'Bonding Program'!$C$8)),'Bonding Program'!$Z$11,0)+IF(AND('Bonding Program'!$P$11&lt;&gt;"",AU$3='Bonding Program'!$P$11,AU$3&lt;='Bonding Program'!$C$8),N('Bonding Program'!$O$11),0)</f>
        <v>0</v>
      </c>
      <c r="AV152" s="19" t="n">
        <f aca="false">IF(AND('Bonding Program'!$S$11=1,'Bonding Program'!$H$11&gt;'Bonding Program'!$C$8,AV$3='Bonding Program'!$H$11),'Bonding Program'!$T$11-'Bonding Program'!$U$11-'Bonding Program'!$Z$11,0)-IF(AND('Bonding Program'!$S$11=1,'Bonding Program'!$H$11&lt;='Bonding Program'!$C$8,AV$3=IF('Bonding Program'!$P$11&lt;&gt;"",'Bonding Program'!$P$11,'Bonding Program'!$C$8)),'Bonding Program'!$Z$11,0)+IF(AND('Bonding Program'!$P$11&lt;&gt;"",AV$3='Bonding Program'!$P$11,AV$3&lt;='Bonding Program'!$C$8),N('Bonding Program'!$O$11),0)</f>
        <v>0</v>
      </c>
      <c r="AW152" s="19" t="n">
        <f aca="false">IF(AND('Bonding Program'!$S$11=1,'Bonding Program'!$H$11&gt;'Bonding Program'!$C$8,AW$3='Bonding Program'!$H$11),'Bonding Program'!$T$11-'Bonding Program'!$U$11-'Bonding Program'!$Z$11,0)-IF(AND('Bonding Program'!$S$11=1,'Bonding Program'!$H$11&lt;='Bonding Program'!$C$8,AW$3=IF('Bonding Program'!$P$11&lt;&gt;"",'Bonding Program'!$P$11,'Bonding Program'!$C$8)),'Bonding Program'!$Z$11,0)+IF(AND('Bonding Program'!$P$11&lt;&gt;"",AW$3='Bonding Program'!$P$11,AW$3&lt;='Bonding Program'!$C$8),N('Bonding Program'!$O$11),0)</f>
        <v>0</v>
      </c>
      <c r="AX152" s="19" t="n">
        <f aca="false">IF(AND('Bonding Program'!$S$11=1,'Bonding Program'!$H$11&gt;'Bonding Program'!$C$8,AX$3='Bonding Program'!$H$11),'Bonding Program'!$T$11-'Bonding Program'!$U$11-'Bonding Program'!$Z$11,0)-IF(AND('Bonding Program'!$S$11=1,'Bonding Program'!$H$11&lt;='Bonding Program'!$C$8,AX$3=IF('Bonding Program'!$P$11&lt;&gt;"",'Bonding Program'!$P$11,'Bonding Program'!$C$8)),'Bonding Program'!$Z$11,0)+IF(AND('Bonding Program'!$P$11&lt;&gt;"",AX$3='Bonding Program'!$P$11,AX$3&lt;='Bonding Program'!$C$8),N('Bonding Program'!$O$11),0)</f>
        <v>0</v>
      </c>
      <c r="AY152" s="19" t="n">
        <f aca="false">IF(AND('Bonding Program'!$S$11=1,'Bonding Program'!$H$11&gt;'Bonding Program'!$C$8,AY$3='Bonding Program'!$H$11),'Bonding Program'!$T$11-'Bonding Program'!$U$11-'Bonding Program'!$Z$11,0)-IF(AND('Bonding Program'!$S$11=1,'Bonding Program'!$H$11&lt;='Bonding Program'!$C$8,AY$3=IF('Bonding Program'!$P$11&lt;&gt;"",'Bonding Program'!$P$11,'Bonding Program'!$C$8)),'Bonding Program'!$Z$11,0)+IF(AND('Bonding Program'!$P$11&lt;&gt;"",AY$3='Bonding Program'!$P$11,AY$3&lt;='Bonding Program'!$C$8),N('Bonding Program'!$O$11),0)</f>
        <v>0</v>
      </c>
      <c r="AZ152" s="19" t="n">
        <f aca="false">IF(AND('Bonding Program'!$S$11=1,'Bonding Program'!$H$11&gt;'Bonding Program'!$C$8,AZ$3='Bonding Program'!$H$11),'Bonding Program'!$T$11-'Bonding Program'!$U$11-'Bonding Program'!$Z$11,0)-IF(AND('Bonding Program'!$S$11=1,'Bonding Program'!$H$11&lt;='Bonding Program'!$C$8,AZ$3=IF('Bonding Program'!$P$11&lt;&gt;"",'Bonding Program'!$P$11,'Bonding Program'!$C$8)),'Bonding Program'!$Z$11,0)+IF(AND('Bonding Program'!$P$11&lt;&gt;"",AZ$3='Bonding Program'!$P$11,AZ$3&lt;='Bonding Program'!$C$8),N('Bonding Program'!$O$11),0)</f>
        <v>0</v>
      </c>
      <c r="BA152" s="19" t="n">
        <f aca="false">IF(AND('Bonding Program'!$S$11=1,'Bonding Program'!$H$11&gt;'Bonding Program'!$C$8,BA$3='Bonding Program'!$H$11),'Bonding Program'!$T$11-'Bonding Program'!$U$11-'Bonding Program'!$Z$11,0)-IF(AND('Bonding Program'!$S$11=1,'Bonding Program'!$H$11&lt;='Bonding Program'!$C$8,BA$3=IF('Bonding Program'!$P$11&lt;&gt;"",'Bonding Program'!$P$11,'Bonding Program'!$C$8)),'Bonding Program'!$Z$11,0)+IF(AND('Bonding Program'!$P$11&lt;&gt;"",BA$3='Bonding Program'!$P$11,BA$3&lt;='Bonding Program'!$C$8),N('Bonding Program'!$O$11),0)</f>
        <v>0</v>
      </c>
      <c r="BB152" s="19" t="n">
        <f aca="false">IF(AND('Bonding Program'!$S$11=1,'Bonding Program'!$H$11&gt;'Bonding Program'!$C$8,BB$3='Bonding Program'!$H$11),'Bonding Program'!$T$11-'Bonding Program'!$U$11-'Bonding Program'!$Z$11,0)-IF(AND('Bonding Program'!$S$11=1,'Bonding Program'!$H$11&lt;='Bonding Program'!$C$8,BB$3=IF('Bonding Program'!$P$11&lt;&gt;"",'Bonding Program'!$P$11,'Bonding Program'!$C$8)),'Bonding Program'!$Z$11,0)+IF(AND('Bonding Program'!$P$11&lt;&gt;"",BB$3='Bonding Program'!$P$11,BB$3&lt;='Bonding Program'!$C$8),N('Bonding Program'!$O$11),0)</f>
        <v>0</v>
      </c>
      <c r="BC152" s="19" t="n">
        <f aca="false">IF(AND('Bonding Program'!$S$11=1,'Bonding Program'!$H$11&gt;'Bonding Program'!$C$8,BC$3='Bonding Program'!$H$11),'Bonding Program'!$T$11-'Bonding Program'!$U$11-'Bonding Program'!$Z$11,0)-IF(AND('Bonding Program'!$S$11=1,'Bonding Program'!$H$11&lt;='Bonding Program'!$C$8,BC$3=IF('Bonding Program'!$P$11&lt;&gt;"",'Bonding Program'!$P$11,'Bonding Program'!$C$8)),'Bonding Program'!$Z$11,0)+IF(AND('Bonding Program'!$P$11&lt;&gt;"",BC$3='Bonding Program'!$P$11,BC$3&lt;='Bonding Program'!$C$8),N('Bonding Program'!$O$11),0)</f>
        <v>0</v>
      </c>
      <c r="BD152" s="19" t="n">
        <f aca="false">IF(AND('Bonding Program'!$S$11=1,'Bonding Program'!$H$11&gt;'Bonding Program'!$C$8,BD$3='Bonding Program'!$H$11),'Bonding Program'!$T$11-'Bonding Program'!$U$11-'Bonding Program'!$Z$11,0)-IF(AND('Bonding Program'!$S$11=1,'Bonding Program'!$H$11&lt;='Bonding Program'!$C$8,BD$3=IF('Bonding Program'!$P$11&lt;&gt;"",'Bonding Program'!$P$11,'Bonding Program'!$C$8)),'Bonding Program'!$Z$11,0)+IF(AND('Bonding Program'!$P$11&lt;&gt;"",BD$3='Bonding Program'!$P$11,BD$3&lt;='Bonding Program'!$C$8),N('Bonding Program'!$O$11),0)</f>
        <v>0</v>
      </c>
      <c r="BE152" s="19" t="n">
        <f aca="false">IF(AND('Bonding Program'!$S$11=1,'Bonding Program'!$H$11&gt;'Bonding Program'!$C$8,BE$3='Bonding Program'!$H$11),'Bonding Program'!$T$11-'Bonding Program'!$U$11-'Bonding Program'!$Z$11,0)-IF(AND('Bonding Program'!$S$11=1,'Bonding Program'!$H$11&lt;='Bonding Program'!$C$8,BE$3=IF('Bonding Program'!$P$11&lt;&gt;"",'Bonding Program'!$P$11,'Bonding Program'!$C$8)),'Bonding Program'!$Z$11,0)+IF(AND('Bonding Program'!$P$11&lt;&gt;"",BE$3='Bonding Program'!$P$11,BE$3&lt;='Bonding Program'!$C$8),N('Bonding Program'!$O$11),0)</f>
        <v>0</v>
      </c>
      <c r="BF152" s="19" t="n">
        <f aca="false">IF(AND('Bonding Program'!$S$11=1,'Bonding Program'!$H$11&gt;'Bonding Program'!$C$8,BF$3='Bonding Program'!$H$11),'Bonding Program'!$T$11-'Bonding Program'!$U$11-'Bonding Program'!$Z$11,0)-IF(AND('Bonding Program'!$S$11=1,'Bonding Program'!$H$11&lt;='Bonding Program'!$C$8,BF$3=IF('Bonding Program'!$P$11&lt;&gt;"",'Bonding Program'!$P$11,'Bonding Program'!$C$8)),'Bonding Program'!$Z$11,0)+IF(AND('Bonding Program'!$P$11&lt;&gt;"",BF$3='Bonding Program'!$P$11,BF$3&lt;='Bonding Program'!$C$8),N('Bonding Program'!$O$11),0)</f>
        <v>0</v>
      </c>
      <c r="BG152" s="19" t="n">
        <f aca="false">IF(AND('Bonding Program'!$S$11=1,'Bonding Program'!$H$11&gt;'Bonding Program'!$C$8,BG$3='Bonding Program'!$H$11),'Bonding Program'!$T$11-'Bonding Program'!$U$11-'Bonding Program'!$Z$11,0)-IF(AND('Bonding Program'!$S$11=1,'Bonding Program'!$H$11&lt;='Bonding Program'!$C$8,BG$3=IF('Bonding Program'!$P$11&lt;&gt;"",'Bonding Program'!$P$11,'Bonding Program'!$C$8)),'Bonding Program'!$Z$11,0)+IF(AND('Bonding Program'!$P$11&lt;&gt;"",BG$3='Bonding Program'!$P$11,BG$3&lt;='Bonding Program'!$C$8),N('Bonding Program'!$O$11),0)</f>
        <v>0</v>
      </c>
      <c r="BH152" s="19" t="n">
        <f aca="false">IF(AND('Bonding Program'!$S$11=1,'Bonding Program'!$H$11&gt;'Bonding Program'!$C$8,BH$3='Bonding Program'!$H$11),'Bonding Program'!$T$11-'Bonding Program'!$U$11-'Bonding Program'!$Z$11,0)-IF(AND('Bonding Program'!$S$11=1,'Bonding Program'!$H$11&lt;='Bonding Program'!$C$8,BH$3=IF('Bonding Program'!$P$11&lt;&gt;"",'Bonding Program'!$P$11,'Bonding Program'!$C$8)),'Bonding Program'!$Z$11,0)+IF(AND('Bonding Program'!$P$11&lt;&gt;"",BH$3='Bonding Program'!$P$11,BH$3&lt;='Bonding Program'!$C$8),N('Bonding Program'!$O$11),0)</f>
        <v>0</v>
      </c>
      <c r="BI152" s="19" t="n">
        <f aca="false">IF(AND('Bonding Program'!$S$11=1,'Bonding Program'!$H$11&gt;'Bonding Program'!$C$8,BI$3='Bonding Program'!$H$11),'Bonding Program'!$T$11-'Bonding Program'!$U$11-'Bonding Program'!$Z$11,0)-IF(AND('Bonding Program'!$S$11=1,'Bonding Program'!$H$11&lt;='Bonding Program'!$C$8,BI$3=IF('Bonding Program'!$P$11&lt;&gt;"",'Bonding Program'!$P$11,'Bonding Program'!$C$8)),'Bonding Program'!$Z$11,0)+IF(AND('Bonding Program'!$P$11&lt;&gt;"",BI$3='Bonding Program'!$P$11,BI$3&lt;='Bonding Program'!$C$8),N('Bonding Program'!$O$11),0)</f>
        <v>0</v>
      </c>
      <c r="BJ152" s="19" t="n">
        <f aca="false">IF(AND('Bonding Program'!$S$11=1,'Bonding Program'!$H$11&gt;'Bonding Program'!$C$8,BJ$3='Bonding Program'!$H$11),'Bonding Program'!$T$11-'Bonding Program'!$U$11-'Bonding Program'!$Z$11,0)-IF(AND('Bonding Program'!$S$11=1,'Bonding Program'!$H$11&lt;='Bonding Program'!$C$8,BJ$3=IF('Bonding Program'!$P$11&lt;&gt;"",'Bonding Program'!$P$11,'Bonding Program'!$C$8)),'Bonding Program'!$Z$11,0)+IF(AND('Bonding Program'!$P$11&lt;&gt;"",BJ$3='Bonding Program'!$P$11,BJ$3&lt;='Bonding Program'!$C$8),N('Bonding Program'!$O$11),0)</f>
        <v>0</v>
      </c>
      <c r="BK152" s="19" t="n">
        <f aca="false">IF(AND('Bonding Program'!$S$11=1,'Bonding Program'!$H$11&gt;'Bonding Program'!$C$8,BK$3='Bonding Program'!$H$11),'Bonding Program'!$T$11-'Bonding Program'!$U$11-'Bonding Program'!$Z$11,0)-IF(AND('Bonding Program'!$S$11=1,'Bonding Program'!$H$11&lt;='Bonding Program'!$C$8,BK$3=IF('Bonding Program'!$P$11&lt;&gt;"",'Bonding Program'!$P$11,'Bonding Program'!$C$8)),'Bonding Program'!$Z$11,0)+IF(AND('Bonding Program'!$P$11&lt;&gt;"",BK$3='Bonding Program'!$P$11,BK$3&lt;='Bonding Program'!$C$8),N('Bonding Program'!$O$11),0)</f>
        <v>0</v>
      </c>
      <c r="BL152" s="19" t="n">
        <f aca="false">IF(AND('Bonding Program'!$S$11=1,'Bonding Program'!$H$11&gt;'Bonding Program'!$C$8,BL$3='Bonding Program'!$H$11),'Bonding Program'!$T$11-'Bonding Program'!$U$11-'Bonding Program'!$Z$11,0)-IF(AND('Bonding Program'!$S$11=1,'Bonding Program'!$H$11&lt;='Bonding Program'!$C$8,BL$3=IF('Bonding Program'!$P$11&lt;&gt;"",'Bonding Program'!$P$11,'Bonding Program'!$C$8)),'Bonding Program'!$Z$11,0)+IF(AND('Bonding Program'!$P$11&lt;&gt;"",BL$3='Bonding Program'!$P$11,BL$3&lt;='Bonding Program'!$C$8),N('Bonding Program'!$O$11),0)</f>
        <v>0</v>
      </c>
      <c r="BM152" s="19" t="n">
        <f aca="false">IF(AND('Bonding Program'!$S$11=1,'Bonding Program'!$H$11&gt;'Bonding Program'!$C$8,BM$3='Bonding Program'!$H$11),'Bonding Program'!$T$11-'Bonding Program'!$U$11-'Bonding Program'!$Z$11,0)-IF(AND('Bonding Program'!$S$11=1,'Bonding Program'!$H$11&lt;='Bonding Program'!$C$8,BM$3=IF('Bonding Program'!$P$11&lt;&gt;"",'Bonding Program'!$P$11,'Bonding Program'!$C$8)),'Bonding Program'!$Z$11,0)+IF(AND('Bonding Program'!$P$11&lt;&gt;"",BM$3='Bonding Program'!$P$11,BM$3&lt;='Bonding Program'!$C$8),N('Bonding Program'!$O$11),0)</f>
        <v>0</v>
      </c>
      <c r="BN152" s="19" t="n">
        <f aca="false">IF(AND('Bonding Program'!$S$11=1,'Bonding Program'!$H$11&gt;'Bonding Program'!$C$8,BN$3='Bonding Program'!$H$11),'Bonding Program'!$T$11-'Bonding Program'!$U$11-'Bonding Program'!$Z$11,0)-IF(AND('Bonding Program'!$S$11=1,'Bonding Program'!$H$11&lt;='Bonding Program'!$C$8,BN$3=IF('Bonding Program'!$P$11&lt;&gt;"",'Bonding Program'!$P$11,'Bonding Program'!$C$8)),'Bonding Program'!$Z$11,0)+IF(AND('Bonding Program'!$P$11&lt;&gt;"",BN$3='Bonding Program'!$P$11,BN$3&lt;='Bonding Program'!$C$8),N('Bonding Program'!$O$11),0)</f>
        <v>0</v>
      </c>
      <c r="BO152" s="19" t="n">
        <f aca="false">IF(AND('Bonding Program'!$S$11=1,'Bonding Program'!$H$11&gt;'Bonding Program'!$C$8,BO$3='Bonding Program'!$H$11),'Bonding Program'!$T$11-'Bonding Program'!$U$11-'Bonding Program'!$Z$11,0)-IF(AND('Bonding Program'!$S$11=1,'Bonding Program'!$H$11&lt;='Bonding Program'!$C$8,BO$3=IF('Bonding Program'!$P$11&lt;&gt;"",'Bonding Program'!$P$11,'Bonding Program'!$C$8)),'Bonding Program'!$Z$11,0)+IF(AND('Bonding Program'!$P$11&lt;&gt;"",BO$3='Bonding Program'!$P$11,BO$3&lt;='Bonding Program'!$C$8),N('Bonding Program'!$O$11),0)</f>
        <v>0</v>
      </c>
      <c r="BP152" s="19" t="n">
        <f aca="false">IF(AND('Bonding Program'!$S$11=1,'Bonding Program'!$H$11&gt;'Bonding Program'!$C$8,BP$3='Bonding Program'!$H$11),'Bonding Program'!$T$11-'Bonding Program'!$U$11-'Bonding Program'!$Z$11,0)-IF(AND('Bonding Program'!$S$11=1,'Bonding Program'!$H$11&lt;='Bonding Program'!$C$8,BP$3=IF('Bonding Program'!$P$11&lt;&gt;"",'Bonding Program'!$P$11,'Bonding Program'!$C$8)),'Bonding Program'!$Z$11,0)+IF(AND('Bonding Program'!$P$11&lt;&gt;"",BP$3='Bonding Program'!$P$11,BP$3&lt;='Bonding Program'!$C$8),N('Bonding Program'!$O$11),0)</f>
        <v>0</v>
      </c>
      <c r="BQ152" s="19" t="n">
        <f aca="false">IF(AND('Bonding Program'!$S$11=1,'Bonding Program'!$H$11&gt;'Bonding Program'!$C$8,BQ$3='Bonding Program'!$H$11),'Bonding Program'!$T$11-'Bonding Program'!$U$11-'Bonding Program'!$Z$11,0)-IF(AND('Bonding Program'!$S$11=1,'Bonding Program'!$H$11&lt;='Bonding Program'!$C$8,BQ$3=IF('Bonding Program'!$P$11&lt;&gt;"",'Bonding Program'!$P$11,'Bonding Program'!$C$8)),'Bonding Program'!$Z$11,0)+IF(AND('Bonding Program'!$P$11&lt;&gt;"",BQ$3='Bonding Program'!$P$11,BQ$3&lt;='Bonding Program'!$C$8),N('Bonding Program'!$O$11),0)</f>
        <v>0</v>
      </c>
      <c r="BR152" s="19" t="n">
        <f aca="false">IF(AND('Bonding Program'!$S$11=1,'Bonding Program'!$H$11&gt;'Bonding Program'!$C$8,BR$3='Bonding Program'!$H$11),'Bonding Program'!$T$11-'Bonding Program'!$U$11-'Bonding Program'!$Z$11,0)-IF(AND('Bonding Program'!$S$11=1,'Bonding Program'!$H$11&lt;='Bonding Program'!$C$8,BR$3=IF('Bonding Program'!$P$11&lt;&gt;"",'Bonding Program'!$P$11,'Bonding Program'!$C$8)),'Bonding Program'!$Z$11,0)+IF(AND('Bonding Program'!$P$11&lt;&gt;"",BR$3='Bonding Program'!$P$11,BR$3&lt;='Bonding Program'!$C$8),N('Bonding Program'!$O$11),0)</f>
        <v>0</v>
      </c>
      <c r="BS152" s="19" t="n">
        <f aca="false">IF(AND('Bonding Program'!$S$11=1,'Bonding Program'!$H$11&gt;'Bonding Program'!$C$8,BS$3='Bonding Program'!$H$11),'Bonding Program'!$T$11-'Bonding Program'!$U$11-'Bonding Program'!$Z$11,0)-IF(AND('Bonding Program'!$S$11=1,'Bonding Program'!$H$11&lt;='Bonding Program'!$C$8,BS$3=IF('Bonding Program'!$P$11&lt;&gt;"",'Bonding Program'!$P$11,'Bonding Program'!$C$8)),'Bonding Program'!$Z$11,0)+IF(AND('Bonding Program'!$P$11&lt;&gt;"",BS$3='Bonding Program'!$P$11,BS$3&lt;='Bonding Program'!$C$8),N('Bonding Program'!$O$11),0)</f>
        <v>0</v>
      </c>
      <c r="BT152" s="19" t="n">
        <f aca="false">IF(AND('Bonding Program'!$S$11=1,'Bonding Program'!$H$11&gt;'Bonding Program'!$C$8,BT$3='Bonding Program'!$H$11),'Bonding Program'!$T$11-'Bonding Program'!$U$11-'Bonding Program'!$Z$11,0)-IF(AND('Bonding Program'!$S$11=1,'Bonding Program'!$H$11&lt;='Bonding Program'!$C$8,BT$3=IF('Bonding Program'!$P$11&lt;&gt;"",'Bonding Program'!$P$11,'Bonding Program'!$C$8)),'Bonding Program'!$Z$11,0)+IF(AND('Bonding Program'!$P$11&lt;&gt;"",BT$3='Bonding Program'!$P$11,BT$3&lt;='Bonding Program'!$C$8),N('Bonding Program'!$O$11),0)</f>
        <v>0</v>
      </c>
      <c r="BU152" s="19" t="n">
        <f aca="false">IF(AND('Bonding Program'!$S$11=1,'Bonding Program'!$H$11&gt;'Bonding Program'!$C$8,BU$3='Bonding Program'!$H$11),'Bonding Program'!$T$11-'Bonding Program'!$U$11-'Bonding Program'!$Z$11,0)-IF(AND('Bonding Program'!$S$11=1,'Bonding Program'!$H$11&lt;='Bonding Program'!$C$8,BU$3=IF('Bonding Program'!$P$11&lt;&gt;"",'Bonding Program'!$P$11,'Bonding Program'!$C$8)),'Bonding Program'!$Z$11,0)+IF(AND('Bonding Program'!$P$11&lt;&gt;"",BU$3='Bonding Program'!$P$11,BU$3&lt;='Bonding Program'!$C$8),N('Bonding Program'!$O$11),0)</f>
        <v>0</v>
      </c>
      <c r="BV152" s="19" t="n">
        <f aca="false">IF(AND('Bonding Program'!$S$11=1,'Bonding Program'!$H$11&gt;'Bonding Program'!$C$8,BV$3='Bonding Program'!$H$11),'Bonding Program'!$T$11-'Bonding Program'!$U$11-'Bonding Program'!$Z$11,0)-IF(AND('Bonding Program'!$S$11=1,'Bonding Program'!$H$11&lt;='Bonding Program'!$C$8,BV$3=IF('Bonding Program'!$P$11&lt;&gt;"",'Bonding Program'!$P$11,'Bonding Program'!$C$8)),'Bonding Program'!$Z$11,0)+IF(AND('Bonding Program'!$P$11&lt;&gt;"",BV$3='Bonding Program'!$P$11,BV$3&lt;='Bonding Program'!$C$8),N('Bonding Program'!$O$11),0)</f>
        <v>0</v>
      </c>
      <c r="BW152" s="19" t="n">
        <f aca="false">IF(AND('Bonding Program'!$S$11=1,'Bonding Program'!$H$11&gt;'Bonding Program'!$C$8,BW$3='Bonding Program'!$H$11),'Bonding Program'!$T$11-'Bonding Program'!$U$11-'Bonding Program'!$Z$11,0)-IF(AND('Bonding Program'!$S$11=1,'Bonding Program'!$H$11&lt;='Bonding Program'!$C$8,BW$3=IF('Bonding Program'!$P$11&lt;&gt;"",'Bonding Program'!$P$11,'Bonding Program'!$C$8)),'Bonding Program'!$Z$11,0)+IF(AND('Bonding Program'!$P$11&lt;&gt;"",BW$3='Bonding Program'!$P$11,BW$3&lt;='Bonding Program'!$C$8),N('Bonding Program'!$O$11),0)</f>
        <v>0</v>
      </c>
      <c r="BX152" s="19" t="n">
        <f aca="false">IF(AND('Bonding Program'!$S$11=1,'Bonding Program'!$H$11&gt;'Bonding Program'!$C$8,BX$3='Bonding Program'!$H$11),'Bonding Program'!$T$11-'Bonding Program'!$U$11-'Bonding Program'!$Z$11,0)-IF(AND('Bonding Program'!$S$11=1,'Bonding Program'!$H$11&lt;='Bonding Program'!$C$8,BX$3=IF('Bonding Program'!$P$11&lt;&gt;"",'Bonding Program'!$P$11,'Bonding Program'!$C$8)),'Bonding Program'!$Z$11,0)+IF(AND('Bonding Program'!$P$11&lt;&gt;"",BX$3='Bonding Program'!$P$11,BX$3&lt;='Bonding Program'!$C$8),N('Bonding Program'!$O$11),0)</f>
        <v>0</v>
      </c>
      <c r="BY152" s="19" t="n">
        <f aca="false">IF(AND('Bonding Program'!$S$11=1,'Bonding Program'!$H$11&gt;'Bonding Program'!$C$8,BY$3='Bonding Program'!$H$11),'Bonding Program'!$T$11-'Bonding Program'!$U$11-'Bonding Program'!$Z$11,0)-IF(AND('Bonding Program'!$S$11=1,'Bonding Program'!$H$11&lt;='Bonding Program'!$C$8,BY$3=IF('Bonding Program'!$P$11&lt;&gt;"",'Bonding Program'!$P$11,'Bonding Program'!$C$8)),'Bonding Program'!$Z$11,0)+IF(AND('Bonding Program'!$P$11&lt;&gt;"",BY$3='Bonding Program'!$P$11,BY$3&lt;='Bonding Program'!$C$8),N('Bonding Program'!$O$11),0)</f>
        <v>0</v>
      </c>
      <c r="BZ152" s="19" t="n">
        <f aca="false">IF(AND('Bonding Program'!$S$11=1,'Bonding Program'!$H$11&gt;'Bonding Program'!$C$8,BZ$3='Bonding Program'!$H$11),'Bonding Program'!$T$11-'Bonding Program'!$U$11-'Bonding Program'!$Z$11,0)-IF(AND('Bonding Program'!$S$11=1,'Bonding Program'!$H$11&lt;='Bonding Program'!$C$8,BZ$3=IF('Bonding Program'!$P$11&lt;&gt;"",'Bonding Program'!$P$11,'Bonding Program'!$C$8)),'Bonding Program'!$Z$11,0)+IF(AND('Bonding Program'!$P$11&lt;&gt;"",BZ$3='Bonding Program'!$P$11,BZ$3&lt;='Bonding Program'!$C$8),N('Bonding Program'!$O$11),0)</f>
        <v>0</v>
      </c>
      <c r="CA152" s="19" t="n">
        <f aca="false">IF(AND('Bonding Program'!$S$11=1,'Bonding Program'!$H$11&gt;'Bonding Program'!$C$8,CA$3='Bonding Program'!$H$11),'Bonding Program'!$T$11-'Bonding Program'!$U$11-'Bonding Program'!$Z$11,0)-IF(AND('Bonding Program'!$S$11=1,'Bonding Program'!$H$11&lt;='Bonding Program'!$C$8,CA$3=IF('Bonding Program'!$P$11&lt;&gt;"",'Bonding Program'!$P$11,'Bonding Program'!$C$8)),'Bonding Program'!$Z$11,0)+IF(AND('Bonding Program'!$P$11&lt;&gt;"",CA$3='Bonding Program'!$P$11,CA$3&lt;='Bonding Program'!$C$8),N('Bonding Program'!$O$11),0)</f>
        <v>0</v>
      </c>
      <c r="CB152" s="19" t="n">
        <f aca="false">IF(AND('Bonding Program'!$S$11=1,'Bonding Program'!$H$11&gt;'Bonding Program'!$C$8,CB$3='Bonding Program'!$H$11),'Bonding Program'!$T$11-'Bonding Program'!$U$11-'Bonding Program'!$Z$11,0)-IF(AND('Bonding Program'!$S$11=1,'Bonding Program'!$H$11&lt;='Bonding Program'!$C$8,CB$3=IF('Bonding Program'!$P$11&lt;&gt;"",'Bonding Program'!$P$11,'Bonding Program'!$C$8)),'Bonding Program'!$Z$11,0)+IF(AND('Bonding Program'!$P$11&lt;&gt;"",CB$3='Bonding Program'!$P$11,CB$3&lt;='Bonding Program'!$C$8),N('Bonding Program'!$O$11),0)</f>
        <v>0</v>
      </c>
      <c r="CC152" s="19" t="n">
        <f aca="false">IF(AND('Bonding Program'!$S$11=1,'Bonding Program'!$H$11&gt;'Bonding Program'!$C$8,CC$3='Bonding Program'!$H$11),'Bonding Program'!$T$11-'Bonding Program'!$U$11-'Bonding Program'!$Z$11,0)-IF(AND('Bonding Program'!$S$11=1,'Bonding Program'!$H$11&lt;='Bonding Program'!$C$8,CC$3=IF('Bonding Program'!$P$11&lt;&gt;"",'Bonding Program'!$P$11,'Bonding Program'!$C$8)),'Bonding Program'!$Z$11,0)+IF(AND('Bonding Program'!$P$11&lt;&gt;"",CC$3='Bonding Program'!$P$11,CC$3&lt;='Bonding Program'!$C$8),N('Bonding Program'!$O$11),0)</f>
        <v>0</v>
      </c>
      <c r="CD152" s="19" t="n">
        <f aca="false">IF(AND('Bonding Program'!$S$11=1,'Bonding Program'!$H$11&gt;'Bonding Program'!$C$8,CD$3='Bonding Program'!$H$11),'Bonding Program'!$T$11-'Bonding Program'!$U$11-'Bonding Program'!$Z$11,0)-IF(AND('Bonding Program'!$S$11=1,'Bonding Program'!$H$11&lt;='Bonding Program'!$C$8,CD$3=IF('Bonding Program'!$P$11&lt;&gt;"",'Bonding Program'!$P$11,'Bonding Program'!$C$8)),'Bonding Program'!$Z$11,0)+IF(AND('Bonding Program'!$P$11&lt;&gt;"",CD$3='Bonding Program'!$P$11,CD$3&lt;='Bonding Program'!$C$8),N('Bonding Program'!$O$11),0)</f>
        <v>0</v>
      </c>
      <c r="CE152" s="19" t="n">
        <f aca="false">IF(AND('Bonding Program'!$S$11=1,'Bonding Program'!$H$11&gt;'Bonding Program'!$C$8,CE$3='Bonding Program'!$H$11),'Bonding Program'!$T$11-'Bonding Program'!$U$11-'Bonding Program'!$Z$11,0)-IF(AND('Bonding Program'!$S$11=1,'Bonding Program'!$H$11&lt;='Bonding Program'!$C$8,CE$3=IF('Bonding Program'!$P$11&lt;&gt;"",'Bonding Program'!$P$11,'Bonding Program'!$C$8)),'Bonding Program'!$Z$11,0)+IF(AND('Bonding Program'!$P$11&lt;&gt;"",CE$3='Bonding Program'!$P$11,CE$3&lt;='Bonding Program'!$C$8),N('Bonding Program'!$O$11),0)</f>
        <v>0</v>
      </c>
      <c r="CF152" s="19" t="n">
        <f aca="false">IF(AND('Bonding Program'!$S$11=1,'Bonding Program'!$H$11&gt;'Bonding Program'!$C$8,CF$3='Bonding Program'!$H$11),'Bonding Program'!$T$11-'Bonding Program'!$U$11-'Bonding Program'!$Z$11,0)-IF(AND('Bonding Program'!$S$11=1,'Bonding Program'!$H$11&lt;='Bonding Program'!$C$8,CF$3=IF('Bonding Program'!$P$11&lt;&gt;"",'Bonding Program'!$P$11,'Bonding Program'!$C$8)),'Bonding Program'!$Z$11,0)+IF(AND('Bonding Program'!$P$11&lt;&gt;"",CF$3='Bonding Program'!$P$11,CF$3&lt;='Bonding Program'!$C$8),N('Bonding Program'!$O$11),0)</f>
        <v>0</v>
      </c>
      <c r="CG152" s="19" t="n">
        <f aca="false">IF(AND('Bonding Program'!$S$11=1,'Bonding Program'!$H$11&gt;'Bonding Program'!$C$8,CG$3='Bonding Program'!$H$11),'Bonding Program'!$T$11-'Bonding Program'!$U$11-'Bonding Program'!$Z$11,0)-IF(AND('Bonding Program'!$S$11=1,'Bonding Program'!$H$11&lt;='Bonding Program'!$C$8,CG$3=IF('Bonding Program'!$P$11&lt;&gt;"",'Bonding Program'!$P$11,'Bonding Program'!$C$8)),'Bonding Program'!$Z$11,0)+IF(AND('Bonding Program'!$P$11&lt;&gt;"",CG$3='Bonding Program'!$P$11,CG$3&lt;='Bonding Program'!$C$8),N('Bonding Program'!$O$11),0)</f>
        <v>0</v>
      </c>
      <c r="CH152" s="19" t="n">
        <f aca="false">IF(AND('Bonding Program'!$S$11=1,'Bonding Program'!$H$11&gt;'Bonding Program'!$C$8,CH$3='Bonding Program'!$H$11),'Bonding Program'!$T$11-'Bonding Program'!$U$11-'Bonding Program'!$Z$11,0)-IF(AND('Bonding Program'!$S$11=1,'Bonding Program'!$H$11&lt;='Bonding Program'!$C$8,CH$3=IF('Bonding Program'!$P$11&lt;&gt;"",'Bonding Program'!$P$11,'Bonding Program'!$C$8)),'Bonding Program'!$Z$11,0)+IF(AND('Bonding Program'!$P$11&lt;&gt;"",CH$3='Bonding Program'!$P$11,CH$3&lt;='Bonding Program'!$C$8),N('Bonding Program'!$O$11),0)</f>
        <v>0</v>
      </c>
      <c r="CI152" s="19" t="n">
        <f aca="false">IF(AND('Bonding Program'!$S$11=1,'Bonding Program'!$H$11&gt;'Bonding Program'!$C$8,CI$3='Bonding Program'!$H$11),'Bonding Program'!$T$11-'Bonding Program'!$U$11-'Bonding Program'!$Z$11,0)-IF(AND('Bonding Program'!$S$11=1,'Bonding Program'!$H$11&lt;='Bonding Program'!$C$8,CI$3=IF('Bonding Program'!$P$11&lt;&gt;"",'Bonding Program'!$P$11,'Bonding Program'!$C$8)),'Bonding Program'!$Z$11,0)+IF(AND('Bonding Program'!$P$11&lt;&gt;"",CI$3='Bonding Program'!$P$11,CI$3&lt;='Bonding Program'!$C$8),N('Bonding Program'!$O$11),0)</f>
        <v>0</v>
      </c>
      <c r="CJ152" s="19" t="n">
        <f aca="false">IF(AND('Bonding Program'!$S$11=1,'Bonding Program'!$H$11&gt;'Bonding Program'!$C$8,CJ$3='Bonding Program'!$H$11),'Bonding Program'!$T$11-'Bonding Program'!$U$11-'Bonding Program'!$Z$11,0)-IF(AND('Bonding Program'!$S$11=1,'Bonding Program'!$H$11&lt;='Bonding Program'!$C$8,CJ$3=IF('Bonding Program'!$P$11&lt;&gt;"",'Bonding Program'!$P$11,'Bonding Program'!$C$8)),'Bonding Program'!$Z$11,0)+IF(AND('Bonding Program'!$P$11&lt;&gt;"",CJ$3='Bonding Program'!$P$11,CJ$3&lt;='Bonding Program'!$C$8),N('Bonding Program'!$O$11),0)</f>
        <v>0</v>
      </c>
      <c r="CK152" s="19" t="n">
        <f aca="false">IF(AND('Bonding Program'!$S$11=1,'Bonding Program'!$H$11&gt;'Bonding Program'!$C$8,CK$3='Bonding Program'!$H$11),'Bonding Program'!$T$11-'Bonding Program'!$U$11-'Bonding Program'!$Z$11,0)-IF(AND('Bonding Program'!$S$11=1,'Bonding Program'!$H$11&lt;='Bonding Program'!$C$8,CK$3=IF('Bonding Program'!$P$11&lt;&gt;"",'Bonding Program'!$P$11,'Bonding Program'!$C$8)),'Bonding Program'!$Z$11,0)+IF(AND('Bonding Program'!$P$11&lt;&gt;"",CK$3='Bonding Program'!$P$11,CK$3&lt;='Bonding Program'!$C$8),N('Bonding Program'!$O$11),0)</f>
        <v>0</v>
      </c>
      <c r="CL152" s="19" t="n">
        <f aca="false">IF(AND('Bonding Program'!$S$11=1,'Bonding Program'!$H$11&gt;'Bonding Program'!$C$8,CL$3='Bonding Program'!$H$11),'Bonding Program'!$T$11-'Bonding Program'!$U$11-'Bonding Program'!$Z$11,0)-IF(AND('Bonding Program'!$S$11=1,'Bonding Program'!$H$11&lt;='Bonding Program'!$C$8,CL$3=IF('Bonding Program'!$P$11&lt;&gt;"",'Bonding Program'!$P$11,'Bonding Program'!$C$8)),'Bonding Program'!$Z$11,0)+IF(AND('Bonding Program'!$P$11&lt;&gt;"",CL$3='Bonding Program'!$P$11,CL$3&lt;='Bonding Program'!$C$8),N('Bonding Program'!$O$11),0)</f>
        <v>0</v>
      </c>
      <c r="CM152" s="19" t="n">
        <f aca="false">IF(AND('Bonding Program'!$S$11=1,'Bonding Program'!$H$11&gt;'Bonding Program'!$C$8,CM$3='Bonding Program'!$H$11),'Bonding Program'!$T$11-'Bonding Program'!$U$11-'Bonding Program'!$Z$11,0)-IF(AND('Bonding Program'!$S$11=1,'Bonding Program'!$H$11&lt;='Bonding Program'!$C$8,CM$3=IF('Bonding Program'!$P$11&lt;&gt;"",'Bonding Program'!$P$11,'Bonding Program'!$C$8)),'Bonding Program'!$Z$11,0)+IF(AND('Bonding Program'!$P$11&lt;&gt;"",CM$3='Bonding Program'!$P$11,CM$3&lt;='Bonding Program'!$C$8),N('Bonding Program'!$O$11),0)</f>
        <v>0</v>
      </c>
      <c r="CN152" s="19" t="n">
        <f aca="false">IF(AND('Bonding Program'!$S$11=1,'Bonding Program'!$H$11&gt;'Bonding Program'!$C$8,CN$3='Bonding Program'!$H$11),'Bonding Program'!$T$11-'Bonding Program'!$U$11-'Bonding Program'!$Z$11,0)-IF(AND('Bonding Program'!$S$11=1,'Bonding Program'!$H$11&lt;='Bonding Program'!$C$8,CN$3=IF('Bonding Program'!$P$11&lt;&gt;"",'Bonding Program'!$P$11,'Bonding Program'!$C$8)),'Bonding Program'!$Z$11,0)+IF(AND('Bonding Program'!$P$11&lt;&gt;"",CN$3='Bonding Program'!$P$11,CN$3&lt;='Bonding Program'!$C$8),N('Bonding Program'!$O$11),0)</f>
        <v>0</v>
      </c>
      <c r="CO152" s="19" t="n">
        <f aca="false">IF(AND('Bonding Program'!$S$11=1,'Bonding Program'!$H$11&gt;'Bonding Program'!$C$8,CO$3='Bonding Program'!$H$11),'Bonding Program'!$T$11-'Bonding Program'!$U$11-'Bonding Program'!$Z$11,0)-IF(AND('Bonding Program'!$S$11=1,'Bonding Program'!$H$11&lt;='Bonding Program'!$C$8,CO$3=IF('Bonding Program'!$P$11&lt;&gt;"",'Bonding Program'!$P$11,'Bonding Program'!$C$8)),'Bonding Program'!$Z$11,0)+IF(AND('Bonding Program'!$P$11&lt;&gt;"",CO$3='Bonding Program'!$P$11,CO$3&lt;='Bonding Program'!$C$8),N('Bonding Program'!$O$11),0)</f>
        <v>0</v>
      </c>
      <c r="CP152" s="19" t="n">
        <f aca="false">IF(AND('Bonding Program'!$S$11=1,'Bonding Program'!$H$11&gt;'Bonding Program'!$C$8,CP$3='Bonding Program'!$H$11),'Bonding Program'!$T$11-'Bonding Program'!$U$11-'Bonding Program'!$Z$11,0)-IF(AND('Bonding Program'!$S$11=1,'Bonding Program'!$H$11&lt;='Bonding Program'!$C$8,CP$3=IF('Bonding Program'!$P$11&lt;&gt;"",'Bonding Program'!$P$11,'Bonding Program'!$C$8)),'Bonding Program'!$Z$11,0)+IF(AND('Bonding Program'!$P$11&lt;&gt;"",CP$3='Bonding Program'!$P$11,CP$3&lt;='Bonding Program'!$C$8),N('Bonding Program'!$O$11),0)</f>
        <v>0</v>
      </c>
      <c r="CQ152" s="19" t="n">
        <f aca="false">IF(AND('Bonding Program'!$S$11=1,'Bonding Program'!$H$11&gt;'Bonding Program'!$C$8,CQ$3='Bonding Program'!$H$11),'Bonding Program'!$T$11-'Bonding Program'!$U$11-'Bonding Program'!$Z$11,0)-IF(AND('Bonding Program'!$S$11=1,'Bonding Program'!$H$11&lt;='Bonding Program'!$C$8,CQ$3=IF('Bonding Program'!$P$11&lt;&gt;"",'Bonding Program'!$P$11,'Bonding Program'!$C$8)),'Bonding Program'!$Z$11,0)+IF(AND('Bonding Program'!$P$11&lt;&gt;"",CQ$3='Bonding Program'!$P$11,CQ$3&lt;='Bonding Program'!$C$8),N('Bonding Program'!$O$11),0)</f>
        <v>0</v>
      </c>
      <c r="CR152" s="19" t="n">
        <f aca="false">IF(AND('Bonding Program'!$S$11=1,'Bonding Program'!$H$11&gt;'Bonding Program'!$C$8,CR$3='Bonding Program'!$H$11),'Bonding Program'!$T$11-'Bonding Program'!$U$11-'Bonding Program'!$Z$11,0)-IF(AND('Bonding Program'!$S$11=1,'Bonding Program'!$H$11&lt;='Bonding Program'!$C$8,CR$3=IF('Bonding Program'!$P$11&lt;&gt;"",'Bonding Program'!$P$11,'Bonding Program'!$C$8)),'Bonding Program'!$Z$11,0)+IF(AND('Bonding Program'!$P$11&lt;&gt;"",CR$3='Bonding Program'!$P$11,CR$3&lt;='Bonding Program'!$C$8),N('Bonding Program'!$O$11),0)</f>
        <v>0</v>
      </c>
      <c r="CS152" s="19" t="n">
        <f aca="false">IF(AND('Bonding Program'!$S$11=1,'Bonding Program'!$H$11&gt;'Bonding Program'!$C$8,CS$3='Bonding Program'!$H$11),'Bonding Program'!$T$11-'Bonding Program'!$U$11-'Bonding Program'!$Z$11,0)-IF(AND('Bonding Program'!$S$11=1,'Bonding Program'!$H$11&lt;='Bonding Program'!$C$8,CS$3=IF('Bonding Program'!$P$11&lt;&gt;"",'Bonding Program'!$P$11,'Bonding Program'!$C$8)),'Bonding Program'!$Z$11,0)+IF(AND('Bonding Program'!$P$11&lt;&gt;"",CS$3='Bonding Program'!$P$11,CS$3&lt;='Bonding Program'!$C$8),N('Bonding Program'!$O$11),0)</f>
        <v>0</v>
      </c>
      <c r="CT152" s="19" t="n">
        <f aca="false">IF(AND('Bonding Program'!$S$11=1,'Bonding Program'!$H$11&gt;'Bonding Program'!$C$8,CT$3='Bonding Program'!$H$11),'Bonding Program'!$T$11-'Bonding Program'!$U$11-'Bonding Program'!$Z$11,0)-IF(AND('Bonding Program'!$S$11=1,'Bonding Program'!$H$11&lt;='Bonding Program'!$C$8,CT$3=IF('Bonding Program'!$P$11&lt;&gt;"",'Bonding Program'!$P$11,'Bonding Program'!$C$8)),'Bonding Program'!$Z$11,0)+IF(AND('Bonding Program'!$P$11&lt;&gt;"",CT$3='Bonding Program'!$P$11,CT$3&lt;='Bonding Program'!$C$8),N('Bonding Program'!$O$11),0)</f>
        <v>0</v>
      </c>
      <c r="CU152" s="19" t="n">
        <f aca="false">IF(AND('Bonding Program'!$S$11=1,'Bonding Program'!$H$11&gt;'Bonding Program'!$C$8,CU$3='Bonding Program'!$H$11),'Bonding Program'!$T$11-'Bonding Program'!$U$11-'Bonding Program'!$Z$11,0)-IF(AND('Bonding Program'!$S$11=1,'Bonding Program'!$H$11&lt;='Bonding Program'!$C$8,CU$3=IF('Bonding Program'!$P$11&lt;&gt;"",'Bonding Program'!$P$11,'Bonding Program'!$C$8)),'Bonding Program'!$Z$11,0)+IF(AND('Bonding Program'!$P$11&lt;&gt;"",CU$3='Bonding Program'!$P$11,CU$3&lt;='Bonding Program'!$C$8),N('Bonding Program'!$O$11),0)</f>
        <v>0</v>
      </c>
      <c r="CV152" s="19" t="n">
        <f aca="false">IF(AND('Bonding Program'!$S$11=1,'Bonding Program'!$H$11&gt;'Bonding Program'!$C$8,CV$3='Bonding Program'!$H$11),'Bonding Program'!$T$11-'Bonding Program'!$U$11-'Bonding Program'!$Z$11,0)-IF(AND('Bonding Program'!$S$11=1,'Bonding Program'!$H$11&lt;='Bonding Program'!$C$8,CV$3=IF('Bonding Program'!$P$11&lt;&gt;"",'Bonding Program'!$P$11,'Bonding Program'!$C$8)),'Bonding Program'!$Z$11,0)+IF(AND('Bonding Program'!$P$11&lt;&gt;"",CV$3='Bonding Program'!$P$11,CV$3&lt;='Bonding Program'!$C$8),N('Bonding Program'!$O$11),0)</f>
        <v>0</v>
      </c>
      <c r="CW152" s="19" t="n">
        <f aca="false">IF(AND('Bonding Program'!$S$11=1,'Bonding Program'!$H$11&gt;'Bonding Program'!$C$8,CW$3='Bonding Program'!$H$11),'Bonding Program'!$T$11-'Bonding Program'!$U$11-'Bonding Program'!$Z$11,0)-IF(AND('Bonding Program'!$S$11=1,'Bonding Program'!$H$11&lt;='Bonding Program'!$C$8,CW$3=IF('Bonding Program'!$P$11&lt;&gt;"",'Bonding Program'!$P$11,'Bonding Program'!$C$8)),'Bonding Program'!$Z$11,0)+IF(AND('Bonding Program'!$P$11&lt;&gt;"",CW$3='Bonding Program'!$P$11,CW$3&lt;='Bonding Program'!$C$8),N('Bonding Program'!$O$11),0)</f>
        <v>0</v>
      </c>
      <c r="CX152" s="19" t="n">
        <f aca="false">IF(AND('Bonding Program'!$S$11=1,'Bonding Program'!$H$11&gt;'Bonding Program'!$C$8,CX$3='Bonding Program'!$H$11),'Bonding Program'!$T$11-'Bonding Program'!$U$11-'Bonding Program'!$Z$11,0)-IF(AND('Bonding Program'!$S$11=1,'Bonding Program'!$H$11&lt;='Bonding Program'!$C$8,CX$3=IF('Bonding Program'!$P$11&lt;&gt;"",'Bonding Program'!$P$11,'Bonding Program'!$C$8)),'Bonding Program'!$Z$11,0)+IF(AND('Bonding Program'!$P$11&lt;&gt;"",CX$3='Bonding Program'!$P$11,CX$3&lt;='Bonding Program'!$C$8),N('Bonding Program'!$O$11),0)</f>
        <v>0</v>
      </c>
      <c r="CY152" s="19" t="n">
        <f aca="false">IF(AND('Bonding Program'!$S$11=1,'Bonding Program'!$H$11&gt;'Bonding Program'!$C$8,CY$3='Bonding Program'!$H$11),'Bonding Program'!$T$11-'Bonding Program'!$U$11-'Bonding Program'!$Z$11,0)-IF(AND('Bonding Program'!$S$11=1,'Bonding Program'!$H$11&lt;='Bonding Program'!$C$8,CY$3=IF('Bonding Program'!$P$11&lt;&gt;"",'Bonding Program'!$P$11,'Bonding Program'!$C$8)),'Bonding Program'!$Z$11,0)+IF(AND('Bonding Program'!$P$11&lt;&gt;"",CY$3='Bonding Program'!$P$11,CY$3&lt;='Bonding Program'!$C$8),N('Bonding Program'!$O$11),0)</f>
        <v>0</v>
      </c>
      <c r="CZ152" s="19" t="n">
        <f aca="false">IF(AND('Bonding Program'!$S$11=1,'Bonding Program'!$H$11&gt;'Bonding Program'!$C$8,CZ$3='Bonding Program'!$H$11),'Bonding Program'!$T$11-'Bonding Program'!$U$11-'Bonding Program'!$Z$11,0)-IF(AND('Bonding Program'!$S$11=1,'Bonding Program'!$H$11&lt;='Bonding Program'!$C$8,CZ$3=IF('Bonding Program'!$P$11&lt;&gt;"",'Bonding Program'!$P$11,'Bonding Program'!$C$8)),'Bonding Program'!$Z$11,0)+IF(AND('Bonding Program'!$P$11&lt;&gt;"",CZ$3='Bonding Program'!$P$11,CZ$3&lt;='Bonding Program'!$C$8),N('Bonding Program'!$O$11),0)</f>
        <v>0</v>
      </c>
      <c r="DA152" s="19" t="n">
        <f aca="false">IF(AND('Bonding Program'!$S$11=1,'Bonding Program'!$H$11&gt;'Bonding Program'!$C$8,DA$3='Bonding Program'!$H$11),'Bonding Program'!$T$11-'Bonding Program'!$U$11-'Bonding Program'!$Z$11,0)-IF(AND('Bonding Program'!$S$11=1,'Bonding Program'!$H$11&lt;='Bonding Program'!$C$8,DA$3=IF('Bonding Program'!$P$11&lt;&gt;"",'Bonding Program'!$P$11,'Bonding Program'!$C$8)),'Bonding Program'!$Z$11,0)+IF(AND('Bonding Program'!$P$11&lt;&gt;"",DA$3='Bonding Program'!$P$11,DA$3&lt;='Bonding Program'!$C$8),N('Bonding Program'!$O$11),0)</f>
        <v>0</v>
      </c>
      <c r="DB152" s="19" t="n">
        <f aca="false">IF(AND('Bonding Program'!$S$11=1,'Bonding Program'!$H$11&gt;'Bonding Program'!$C$8,DB$3='Bonding Program'!$H$11),'Bonding Program'!$T$11-'Bonding Program'!$U$11-'Bonding Program'!$Z$11,0)-IF(AND('Bonding Program'!$S$11=1,'Bonding Program'!$H$11&lt;='Bonding Program'!$C$8,DB$3=IF('Bonding Program'!$P$11&lt;&gt;"",'Bonding Program'!$P$11,'Bonding Program'!$C$8)),'Bonding Program'!$Z$11,0)+IF(AND('Bonding Program'!$P$11&lt;&gt;"",DB$3='Bonding Program'!$P$11,DB$3&lt;='Bonding Program'!$C$8),N('Bonding Program'!$O$11),0)</f>
        <v>0</v>
      </c>
      <c r="DC152" s="19" t="n">
        <f aca="false">IF(AND('Bonding Program'!$S$11=1,'Bonding Program'!$H$11&gt;'Bonding Program'!$C$8,DC$3='Bonding Program'!$H$11),'Bonding Program'!$T$11-'Bonding Program'!$U$11-'Bonding Program'!$Z$11,0)-IF(AND('Bonding Program'!$S$11=1,'Bonding Program'!$H$11&lt;='Bonding Program'!$C$8,DC$3=IF('Bonding Program'!$P$11&lt;&gt;"",'Bonding Program'!$P$11,'Bonding Program'!$C$8)),'Bonding Program'!$Z$11,0)+IF(AND('Bonding Program'!$P$11&lt;&gt;"",DC$3='Bonding Program'!$P$11,DC$3&lt;='Bonding Program'!$C$8),N('Bonding Program'!$O$11),0)</f>
        <v>0</v>
      </c>
      <c r="DD152" s="19" t="n">
        <f aca="false">IF(AND('Bonding Program'!$S$11=1,'Bonding Program'!$H$11&gt;'Bonding Program'!$C$8,DD$3='Bonding Program'!$H$11),'Bonding Program'!$T$11-'Bonding Program'!$U$11-'Bonding Program'!$Z$11,0)-IF(AND('Bonding Program'!$S$11=1,'Bonding Program'!$H$11&lt;='Bonding Program'!$C$8,DD$3=IF('Bonding Program'!$P$11&lt;&gt;"",'Bonding Program'!$P$11,'Bonding Program'!$C$8)),'Bonding Program'!$Z$11,0)+IF(AND('Bonding Program'!$P$11&lt;&gt;"",DD$3='Bonding Program'!$P$11,DD$3&lt;='Bonding Program'!$C$8),N('Bonding Program'!$O$11),0)</f>
        <v>0</v>
      </c>
      <c r="DE152" s="19" t="n">
        <f aca="false">IF(AND('Bonding Program'!$S$11=1,'Bonding Program'!$H$11&gt;'Bonding Program'!$C$8,DE$3='Bonding Program'!$H$11),'Bonding Program'!$T$11-'Bonding Program'!$U$11-'Bonding Program'!$Z$11,0)-IF(AND('Bonding Program'!$S$11=1,'Bonding Program'!$H$11&lt;='Bonding Program'!$C$8,DE$3=IF('Bonding Program'!$P$11&lt;&gt;"",'Bonding Program'!$P$11,'Bonding Program'!$C$8)),'Bonding Program'!$Z$11,0)+IF(AND('Bonding Program'!$P$11&lt;&gt;"",DE$3='Bonding Program'!$P$11,DE$3&lt;='Bonding Program'!$C$8),N('Bonding Program'!$O$11),0)</f>
        <v>0</v>
      </c>
    </row>
    <row r="153" customFormat="false" ht="15" hidden="false" customHeight="true" outlineLevel="1" collapsed="false">
      <c r="A153" s="28" t="s">
        <v>8</v>
      </c>
      <c r="B153" s="19" t="n">
        <f aca="false">IF(AND('Bonding Program'!$S$12=1,'Bonding Program'!$H$12&gt;'Bonding Program'!$C$8,B$3='Bonding Program'!$H$12),'Bonding Program'!$T$12-'Bonding Program'!$U$12-'Bonding Program'!$Z$12,0)-IF(AND('Bonding Program'!$S$12=1,'Bonding Program'!$H$12&lt;='Bonding Program'!$C$8,B$3=IF('Bonding Program'!$P$12&lt;&gt;"",'Bonding Program'!$P$12,'Bonding Program'!$C$8)),'Bonding Program'!$Z$12,0)+IF(AND('Bonding Program'!$P$12&lt;&gt;"",B$3='Bonding Program'!$P$12,B$3&lt;='Bonding Program'!$C$8),N('Bonding Program'!$O$12),0)</f>
        <v>0</v>
      </c>
      <c r="C153" s="19" t="n">
        <f aca="false">IF(AND('Bonding Program'!$S$12=1,'Bonding Program'!$H$12&gt;'Bonding Program'!$C$8,C$3='Bonding Program'!$H$12),'Bonding Program'!$T$12-'Bonding Program'!$U$12-'Bonding Program'!$Z$12,0)-IF(AND('Bonding Program'!$S$12=1,'Bonding Program'!$H$12&lt;='Bonding Program'!$C$8,C$3=IF('Bonding Program'!$P$12&lt;&gt;"",'Bonding Program'!$P$12,'Bonding Program'!$C$8)),'Bonding Program'!$Z$12,0)+IF(AND('Bonding Program'!$P$12&lt;&gt;"",C$3='Bonding Program'!$P$12,C$3&lt;='Bonding Program'!$C$8),N('Bonding Program'!$O$12),0)</f>
        <v>0</v>
      </c>
      <c r="D153" s="19" t="n">
        <f aca="false">IF(AND('Bonding Program'!$S$12=1,'Bonding Program'!$H$12&gt;'Bonding Program'!$C$8,D$3='Bonding Program'!$H$12),'Bonding Program'!$T$12-'Bonding Program'!$U$12-'Bonding Program'!$Z$12,0)-IF(AND('Bonding Program'!$S$12=1,'Bonding Program'!$H$12&lt;='Bonding Program'!$C$8,D$3=IF('Bonding Program'!$P$12&lt;&gt;"",'Bonding Program'!$P$12,'Bonding Program'!$C$8)),'Bonding Program'!$Z$12,0)+IF(AND('Bonding Program'!$P$12&lt;&gt;"",D$3='Bonding Program'!$P$12,D$3&lt;='Bonding Program'!$C$8),N('Bonding Program'!$O$12),0)</f>
        <v>0</v>
      </c>
      <c r="E153" s="19" t="n">
        <f aca="false">IF(AND('Bonding Program'!$S$12=1,'Bonding Program'!$H$12&gt;'Bonding Program'!$C$8,E$3='Bonding Program'!$H$12),'Bonding Program'!$T$12-'Bonding Program'!$U$12-'Bonding Program'!$Z$12,0)-IF(AND('Bonding Program'!$S$12=1,'Bonding Program'!$H$12&lt;='Bonding Program'!$C$8,E$3=IF('Bonding Program'!$P$12&lt;&gt;"",'Bonding Program'!$P$12,'Bonding Program'!$C$8)),'Bonding Program'!$Z$12,0)+IF(AND('Bonding Program'!$P$12&lt;&gt;"",E$3='Bonding Program'!$P$12,E$3&lt;='Bonding Program'!$C$8),N('Bonding Program'!$O$12),0)</f>
        <v>0</v>
      </c>
      <c r="F153" s="19" t="n">
        <f aca="false">IF(AND('Bonding Program'!$S$12=1,'Bonding Program'!$H$12&gt;'Bonding Program'!$C$8,F$3='Bonding Program'!$H$12),'Bonding Program'!$T$12-'Bonding Program'!$U$12-'Bonding Program'!$Z$12,0)-IF(AND('Bonding Program'!$S$12=1,'Bonding Program'!$H$12&lt;='Bonding Program'!$C$8,F$3=IF('Bonding Program'!$P$12&lt;&gt;"",'Bonding Program'!$P$12,'Bonding Program'!$C$8)),'Bonding Program'!$Z$12,0)+IF(AND('Bonding Program'!$P$12&lt;&gt;"",F$3='Bonding Program'!$P$12,F$3&lt;='Bonding Program'!$C$8),N('Bonding Program'!$O$12),0)</f>
        <v>0</v>
      </c>
      <c r="G153" s="19" t="n">
        <f aca="false">IF(AND('Bonding Program'!$S$12=1,'Bonding Program'!$H$12&gt;'Bonding Program'!$C$8,G$3='Bonding Program'!$H$12),'Bonding Program'!$T$12-'Bonding Program'!$U$12-'Bonding Program'!$Z$12,0)-IF(AND('Bonding Program'!$S$12=1,'Bonding Program'!$H$12&lt;='Bonding Program'!$C$8,G$3=IF('Bonding Program'!$P$12&lt;&gt;"",'Bonding Program'!$P$12,'Bonding Program'!$C$8)),'Bonding Program'!$Z$12,0)+IF(AND('Bonding Program'!$P$12&lt;&gt;"",G$3='Bonding Program'!$P$12,G$3&lt;='Bonding Program'!$C$8),N('Bonding Program'!$O$12),0)</f>
        <v>0</v>
      </c>
      <c r="H153" s="19" t="n">
        <f aca="false">IF(AND('Bonding Program'!$S$12=1,'Bonding Program'!$H$12&gt;'Bonding Program'!$C$8,H$3='Bonding Program'!$H$12),'Bonding Program'!$T$12-'Bonding Program'!$U$12-'Bonding Program'!$Z$12,0)-IF(AND('Bonding Program'!$S$12=1,'Bonding Program'!$H$12&lt;='Bonding Program'!$C$8,H$3=IF('Bonding Program'!$P$12&lt;&gt;"",'Bonding Program'!$P$12,'Bonding Program'!$C$8)),'Bonding Program'!$Z$12,0)+IF(AND('Bonding Program'!$P$12&lt;&gt;"",H$3='Bonding Program'!$P$12,H$3&lt;='Bonding Program'!$C$8),N('Bonding Program'!$O$12),0)</f>
        <v>0</v>
      </c>
      <c r="I153" s="19" t="n">
        <f aca="false">IF(AND('Bonding Program'!$S$12=1,'Bonding Program'!$H$12&gt;'Bonding Program'!$C$8,I$3='Bonding Program'!$H$12),'Bonding Program'!$T$12-'Bonding Program'!$U$12-'Bonding Program'!$Z$12,0)-IF(AND('Bonding Program'!$S$12=1,'Bonding Program'!$H$12&lt;='Bonding Program'!$C$8,I$3=IF('Bonding Program'!$P$12&lt;&gt;"",'Bonding Program'!$P$12,'Bonding Program'!$C$8)),'Bonding Program'!$Z$12,0)+IF(AND('Bonding Program'!$P$12&lt;&gt;"",I$3='Bonding Program'!$P$12,I$3&lt;='Bonding Program'!$C$8),N('Bonding Program'!$O$12),0)</f>
        <v>0</v>
      </c>
      <c r="J153" s="19" t="n">
        <f aca="false">IF(AND('Bonding Program'!$S$12=1,'Bonding Program'!$H$12&gt;'Bonding Program'!$C$8,J$3='Bonding Program'!$H$12),'Bonding Program'!$T$12-'Bonding Program'!$U$12-'Bonding Program'!$Z$12,0)-IF(AND('Bonding Program'!$S$12=1,'Bonding Program'!$H$12&lt;='Bonding Program'!$C$8,J$3=IF('Bonding Program'!$P$12&lt;&gt;"",'Bonding Program'!$P$12,'Bonding Program'!$C$8)),'Bonding Program'!$Z$12,0)+IF(AND('Bonding Program'!$P$12&lt;&gt;"",J$3='Bonding Program'!$P$12,J$3&lt;='Bonding Program'!$C$8),N('Bonding Program'!$O$12),0)</f>
        <v>0</v>
      </c>
      <c r="K153" s="19" t="n">
        <f aca="false">IF(AND('Bonding Program'!$S$12=1,'Bonding Program'!$H$12&gt;'Bonding Program'!$C$8,K$3='Bonding Program'!$H$12),'Bonding Program'!$T$12-'Bonding Program'!$U$12-'Bonding Program'!$Z$12,0)-IF(AND('Bonding Program'!$S$12=1,'Bonding Program'!$H$12&lt;='Bonding Program'!$C$8,K$3=IF('Bonding Program'!$P$12&lt;&gt;"",'Bonding Program'!$P$12,'Bonding Program'!$C$8)),'Bonding Program'!$Z$12,0)+IF(AND('Bonding Program'!$P$12&lt;&gt;"",K$3='Bonding Program'!$P$12,K$3&lt;='Bonding Program'!$C$8),N('Bonding Program'!$O$12),0)</f>
        <v>0</v>
      </c>
      <c r="L153" s="19" t="n">
        <f aca="false">IF(AND('Bonding Program'!$S$12=1,'Bonding Program'!$H$12&gt;'Bonding Program'!$C$8,L$3='Bonding Program'!$H$12),'Bonding Program'!$T$12-'Bonding Program'!$U$12-'Bonding Program'!$Z$12,0)-IF(AND('Bonding Program'!$S$12=1,'Bonding Program'!$H$12&lt;='Bonding Program'!$C$8,L$3=IF('Bonding Program'!$P$12&lt;&gt;"",'Bonding Program'!$P$12,'Bonding Program'!$C$8)),'Bonding Program'!$Z$12,0)+IF(AND('Bonding Program'!$P$12&lt;&gt;"",L$3='Bonding Program'!$P$12,L$3&lt;='Bonding Program'!$C$8),N('Bonding Program'!$O$12),0)</f>
        <v>0</v>
      </c>
      <c r="M153" s="19" t="n">
        <f aca="false">IF(AND('Bonding Program'!$S$12=1,'Bonding Program'!$H$12&gt;'Bonding Program'!$C$8,M$3='Bonding Program'!$H$12),'Bonding Program'!$T$12-'Bonding Program'!$U$12-'Bonding Program'!$Z$12,0)-IF(AND('Bonding Program'!$S$12=1,'Bonding Program'!$H$12&lt;='Bonding Program'!$C$8,M$3=IF('Bonding Program'!$P$12&lt;&gt;"",'Bonding Program'!$P$12,'Bonding Program'!$C$8)),'Bonding Program'!$Z$12,0)+IF(AND('Bonding Program'!$P$12&lt;&gt;"",M$3='Bonding Program'!$P$12,M$3&lt;='Bonding Program'!$C$8),N('Bonding Program'!$O$12),0)</f>
        <v>0</v>
      </c>
      <c r="N153" s="19" t="n">
        <f aca="false">IF(AND('Bonding Program'!$S$12=1,'Bonding Program'!$H$12&gt;'Bonding Program'!$C$8,N$3='Bonding Program'!$H$12),'Bonding Program'!$T$12-'Bonding Program'!$U$12-'Bonding Program'!$Z$12,0)-IF(AND('Bonding Program'!$S$12=1,'Bonding Program'!$H$12&lt;='Bonding Program'!$C$8,N$3=IF('Bonding Program'!$P$12&lt;&gt;"",'Bonding Program'!$P$12,'Bonding Program'!$C$8)),'Bonding Program'!$Z$12,0)+IF(AND('Bonding Program'!$P$12&lt;&gt;"",N$3='Bonding Program'!$P$12,N$3&lt;='Bonding Program'!$C$8),N('Bonding Program'!$O$12),0)</f>
        <v>0</v>
      </c>
      <c r="O153" s="19" t="n">
        <f aca="false">IF(AND('Bonding Program'!$S$12=1,'Bonding Program'!$H$12&gt;'Bonding Program'!$C$8,O$3='Bonding Program'!$H$12),'Bonding Program'!$T$12-'Bonding Program'!$U$12-'Bonding Program'!$Z$12,0)-IF(AND('Bonding Program'!$S$12=1,'Bonding Program'!$H$12&lt;='Bonding Program'!$C$8,O$3=IF('Bonding Program'!$P$12&lt;&gt;"",'Bonding Program'!$P$12,'Bonding Program'!$C$8)),'Bonding Program'!$Z$12,0)+IF(AND('Bonding Program'!$P$12&lt;&gt;"",O$3='Bonding Program'!$P$12,O$3&lt;='Bonding Program'!$C$8),N('Bonding Program'!$O$12),0)</f>
        <v>0</v>
      </c>
      <c r="P153" s="19" t="n">
        <f aca="false">IF(AND('Bonding Program'!$S$12=1,'Bonding Program'!$H$12&gt;'Bonding Program'!$C$8,P$3='Bonding Program'!$H$12),'Bonding Program'!$T$12-'Bonding Program'!$U$12-'Bonding Program'!$Z$12,0)-IF(AND('Bonding Program'!$S$12=1,'Bonding Program'!$H$12&lt;='Bonding Program'!$C$8,P$3=IF('Bonding Program'!$P$12&lt;&gt;"",'Bonding Program'!$P$12,'Bonding Program'!$C$8)),'Bonding Program'!$Z$12,0)+IF(AND('Bonding Program'!$P$12&lt;&gt;"",P$3='Bonding Program'!$P$12,P$3&lt;='Bonding Program'!$C$8),N('Bonding Program'!$O$12),0)</f>
        <v>0</v>
      </c>
      <c r="Q153" s="19" t="n">
        <f aca="false">IF(AND('Bonding Program'!$S$12=1,'Bonding Program'!$H$12&gt;'Bonding Program'!$C$8,Q$3='Bonding Program'!$H$12),'Bonding Program'!$T$12-'Bonding Program'!$U$12-'Bonding Program'!$Z$12,0)-IF(AND('Bonding Program'!$S$12=1,'Bonding Program'!$H$12&lt;='Bonding Program'!$C$8,Q$3=IF('Bonding Program'!$P$12&lt;&gt;"",'Bonding Program'!$P$12,'Bonding Program'!$C$8)),'Bonding Program'!$Z$12,0)+IF(AND('Bonding Program'!$P$12&lt;&gt;"",Q$3='Bonding Program'!$P$12,Q$3&lt;='Bonding Program'!$C$8),N('Bonding Program'!$O$12),0)</f>
        <v>0</v>
      </c>
      <c r="R153" s="19" t="n">
        <f aca="false">IF(AND('Bonding Program'!$S$12=1,'Bonding Program'!$H$12&gt;'Bonding Program'!$C$8,R$3='Bonding Program'!$H$12),'Bonding Program'!$T$12-'Bonding Program'!$U$12-'Bonding Program'!$Z$12,0)-IF(AND('Bonding Program'!$S$12=1,'Bonding Program'!$H$12&lt;='Bonding Program'!$C$8,R$3=IF('Bonding Program'!$P$12&lt;&gt;"",'Bonding Program'!$P$12,'Bonding Program'!$C$8)),'Bonding Program'!$Z$12,0)+IF(AND('Bonding Program'!$P$12&lt;&gt;"",R$3='Bonding Program'!$P$12,R$3&lt;='Bonding Program'!$C$8),N('Bonding Program'!$O$12),0)</f>
        <v>0</v>
      </c>
      <c r="S153" s="19" t="n">
        <f aca="false">IF(AND('Bonding Program'!$S$12=1,'Bonding Program'!$H$12&gt;'Bonding Program'!$C$8,S$3='Bonding Program'!$H$12),'Bonding Program'!$T$12-'Bonding Program'!$U$12-'Bonding Program'!$Z$12,0)-IF(AND('Bonding Program'!$S$12=1,'Bonding Program'!$H$12&lt;='Bonding Program'!$C$8,S$3=IF('Bonding Program'!$P$12&lt;&gt;"",'Bonding Program'!$P$12,'Bonding Program'!$C$8)),'Bonding Program'!$Z$12,0)+IF(AND('Bonding Program'!$P$12&lt;&gt;"",S$3='Bonding Program'!$P$12,S$3&lt;='Bonding Program'!$C$8),N('Bonding Program'!$O$12),0)</f>
        <v>0</v>
      </c>
      <c r="T153" s="19" t="n">
        <f aca="false">IF(AND('Bonding Program'!$S$12=1,'Bonding Program'!$H$12&gt;'Bonding Program'!$C$8,T$3='Bonding Program'!$H$12),'Bonding Program'!$T$12-'Bonding Program'!$U$12-'Bonding Program'!$Z$12,0)-IF(AND('Bonding Program'!$S$12=1,'Bonding Program'!$H$12&lt;='Bonding Program'!$C$8,T$3=IF('Bonding Program'!$P$12&lt;&gt;"",'Bonding Program'!$P$12,'Bonding Program'!$C$8)),'Bonding Program'!$Z$12,0)+IF(AND('Bonding Program'!$P$12&lt;&gt;"",T$3='Bonding Program'!$P$12,T$3&lt;='Bonding Program'!$C$8),N('Bonding Program'!$O$12),0)</f>
        <v>0</v>
      </c>
      <c r="U153" s="19" t="n">
        <f aca="false">IF(AND('Bonding Program'!$S$12=1,'Bonding Program'!$H$12&gt;'Bonding Program'!$C$8,U$3='Bonding Program'!$H$12),'Bonding Program'!$T$12-'Bonding Program'!$U$12-'Bonding Program'!$Z$12,0)-IF(AND('Bonding Program'!$S$12=1,'Bonding Program'!$H$12&lt;='Bonding Program'!$C$8,U$3=IF('Bonding Program'!$P$12&lt;&gt;"",'Bonding Program'!$P$12,'Bonding Program'!$C$8)),'Bonding Program'!$Z$12,0)+IF(AND('Bonding Program'!$P$12&lt;&gt;"",U$3='Bonding Program'!$P$12,U$3&lt;='Bonding Program'!$C$8),N('Bonding Program'!$O$12),0)</f>
        <v>0</v>
      </c>
      <c r="V153" s="19" t="n">
        <f aca="false">IF(AND('Bonding Program'!$S$12=1,'Bonding Program'!$H$12&gt;'Bonding Program'!$C$8,V$3='Bonding Program'!$H$12),'Bonding Program'!$T$12-'Bonding Program'!$U$12-'Bonding Program'!$Z$12,0)-IF(AND('Bonding Program'!$S$12=1,'Bonding Program'!$H$12&lt;='Bonding Program'!$C$8,V$3=IF('Bonding Program'!$P$12&lt;&gt;"",'Bonding Program'!$P$12,'Bonding Program'!$C$8)),'Bonding Program'!$Z$12,0)+IF(AND('Bonding Program'!$P$12&lt;&gt;"",V$3='Bonding Program'!$P$12,V$3&lt;='Bonding Program'!$C$8),N('Bonding Program'!$O$12),0)</f>
        <v>0</v>
      </c>
      <c r="W153" s="19" t="n">
        <f aca="false">IF(AND('Bonding Program'!$S$12=1,'Bonding Program'!$H$12&gt;'Bonding Program'!$C$8,W$3='Bonding Program'!$H$12),'Bonding Program'!$T$12-'Bonding Program'!$U$12-'Bonding Program'!$Z$12,0)-IF(AND('Bonding Program'!$S$12=1,'Bonding Program'!$H$12&lt;='Bonding Program'!$C$8,W$3=IF('Bonding Program'!$P$12&lt;&gt;"",'Bonding Program'!$P$12,'Bonding Program'!$C$8)),'Bonding Program'!$Z$12,0)+IF(AND('Bonding Program'!$P$12&lt;&gt;"",W$3='Bonding Program'!$P$12,W$3&lt;='Bonding Program'!$C$8),N('Bonding Program'!$O$12),0)</f>
        <v>0</v>
      </c>
      <c r="X153" s="19" t="n">
        <f aca="false">IF(AND('Bonding Program'!$S$12=1,'Bonding Program'!$H$12&gt;'Bonding Program'!$C$8,X$3='Bonding Program'!$H$12),'Bonding Program'!$T$12-'Bonding Program'!$U$12-'Bonding Program'!$Z$12,0)-IF(AND('Bonding Program'!$S$12=1,'Bonding Program'!$H$12&lt;='Bonding Program'!$C$8,X$3=IF('Bonding Program'!$P$12&lt;&gt;"",'Bonding Program'!$P$12,'Bonding Program'!$C$8)),'Bonding Program'!$Z$12,0)+IF(AND('Bonding Program'!$P$12&lt;&gt;"",X$3='Bonding Program'!$P$12,X$3&lt;='Bonding Program'!$C$8),N('Bonding Program'!$O$12),0)</f>
        <v>0</v>
      </c>
      <c r="Y153" s="19" t="n">
        <f aca="false">IF(AND('Bonding Program'!$S$12=1,'Bonding Program'!$H$12&gt;'Bonding Program'!$C$8,Y$3='Bonding Program'!$H$12),'Bonding Program'!$T$12-'Bonding Program'!$U$12-'Bonding Program'!$Z$12,0)-IF(AND('Bonding Program'!$S$12=1,'Bonding Program'!$H$12&lt;='Bonding Program'!$C$8,Y$3=IF('Bonding Program'!$P$12&lt;&gt;"",'Bonding Program'!$P$12,'Bonding Program'!$C$8)),'Bonding Program'!$Z$12,0)+IF(AND('Bonding Program'!$P$12&lt;&gt;"",Y$3='Bonding Program'!$P$12,Y$3&lt;='Bonding Program'!$C$8),N('Bonding Program'!$O$12),0)</f>
        <v>0</v>
      </c>
      <c r="Z153" s="19" t="n">
        <f aca="false">IF(AND('Bonding Program'!$S$12=1,'Bonding Program'!$H$12&gt;'Bonding Program'!$C$8,Z$3='Bonding Program'!$H$12),'Bonding Program'!$T$12-'Bonding Program'!$U$12-'Bonding Program'!$Z$12,0)-IF(AND('Bonding Program'!$S$12=1,'Bonding Program'!$H$12&lt;='Bonding Program'!$C$8,Z$3=IF('Bonding Program'!$P$12&lt;&gt;"",'Bonding Program'!$P$12,'Bonding Program'!$C$8)),'Bonding Program'!$Z$12,0)+IF(AND('Bonding Program'!$P$12&lt;&gt;"",Z$3='Bonding Program'!$P$12,Z$3&lt;='Bonding Program'!$C$8),N('Bonding Program'!$O$12),0)</f>
        <v>0</v>
      </c>
      <c r="AA153" s="19" t="n">
        <f aca="false">IF(AND('Bonding Program'!$S$12=1,'Bonding Program'!$H$12&gt;'Bonding Program'!$C$8,AA$3='Bonding Program'!$H$12),'Bonding Program'!$T$12-'Bonding Program'!$U$12-'Bonding Program'!$Z$12,0)-IF(AND('Bonding Program'!$S$12=1,'Bonding Program'!$H$12&lt;='Bonding Program'!$C$8,AA$3=IF('Bonding Program'!$P$12&lt;&gt;"",'Bonding Program'!$P$12,'Bonding Program'!$C$8)),'Bonding Program'!$Z$12,0)+IF(AND('Bonding Program'!$P$12&lt;&gt;"",AA$3='Bonding Program'!$P$12,AA$3&lt;='Bonding Program'!$C$8),N('Bonding Program'!$O$12),0)</f>
        <v>0</v>
      </c>
      <c r="AB153" s="19" t="n">
        <f aca="false">IF(AND('Bonding Program'!$S$12=1,'Bonding Program'!$H$12&gt;'Bonding Program'!$C$8,AB$3='Bonding Program'!$H$12),'Bonding Program'!$T$12-'Bonding Program'!$U$12-'Bonding Program'!$Z$12,0)-IF(AND('Bonding Program'!$S$12=1,'Bonding Program'!$H$12&lt;='Bonding Program'!$C$8,AB$3=IF('Bonding Program'!$P$12&lt;&gt;"",'Bonding Program'!$P$12,'Bonding Program'!$C$8)),'Bonding Program'!$Z$12,0)+IF(AND('Bonding Program'!$P$12&lt;&gt;"",AB$3='Bonding Program'!$P$12,AB$3&lt;='Bonding Program'!$C$8),N('Bonding Program'!$O$12),0)</f>
        <v>0</v>
      </c>
      <c r="AC153" s="19" t="n">
        <f aca="false">IF(AND('Bonding Program'!$S$12=1,'Bonding Program'!$H$12&gt;'Bonding Program'!$C$8,AC$3='Bonding Program'!$H$12),'Bonding Program'!$T$12-'Bonding Program'!$U$12-'Bonding Program'!$Z$12,0)-IF(AND('Bonding Program'!$S$12=1,'Bonding Program'!$H$12&lt;='Bonding Program'!$C$8,AC$3=IF('Bonding Program'!$P$12&lt;&gt;"",'Bonding Program'!$P$12,'Bonding Program'!$C$8)),'Bonding Program'!$Z$12,0)+IF(AND('Bonding Program'!$P$12&lt;&gt;"",AC$3='Bonding Program'!$P$12,AC$3&lt;='Bonding Program'!$C$8),N('Bonding Program'!$O$12),0)</f>
        <v>0</v>
      </c>
      <c r="AD153" s="19" t="n">
        <f aca="false">IF(AND('Bonding Program'!$S$12=1,'Bonding Program'!$H$12&gt;'Bonding Program'!$C$8,AD$3='Bonding Program'!$H$12),'Bonding Program'!$T$12-'Bonding Program'!$U$12-'Bonding Program'!$Z$12,0)-IF(AND('Bonding Program'!$S$12=1,'Bonding Program'!$H$12&lt;='Bonding Program'!$C$8,AD$3=IF('Bonding Program'!$P$12&lt;&gt;"",'Bonding Program'!$P$12,'Bonding Program'!$C$8)),'Bonding Program'!$Z$12,0)+IF(AND('Bonding Program'!$P$12&lt;&gt;"",AD$3='Bonding Program'!$P$12,AD$3&lt;='Bonding Program'!$C$8),N('Bonding Program'!$O$12),0)</f>
        <v>0</v>
      </c>
      <c r="AE153" s="19" t="n">
        <f aca="false">IF(AND('Bonding Program'!$S$12=1,'Bonding Program'!$H$12&gt;'Bonding Program'!$C$8,AE$3='Bonding Program'!$H$12),'Bonding Program'!$T$12-'Bonding Program'!$U$12-'Bonding Program'!$Z$12,0)-IF(AND('Bonding Program'!$S$12=1,'Bonding Program'!$H$12&lt;='Bonding Program'!$C$8,AE$3=IF('Bonding Program'!$P$12&lt;&gt;"",'Bonding Program'!$P$12,'Bonding Program'!$C$8)),'Bonding Program'!$Z$12,0)+IF(AND('Bonding Program'!$P$12&lt;&gt;"",AE$3='Bonding Program'!$P$12,AE$3&lt;='Bonding Program'!$C$8),N('Bonding Program'!$O$12),0)</f>
        <v>0</v>
      </c>
      <c r="AF153" s="19" t="n">
        <f aca="false">IF(AND('Bonding Program'!$S$12=1,'Bonding Program'!$H$12&gt;'Bonding Program'!$C$8,AF$3='Bonding Program'!$H$12),'Bonding Program'!$T$12-'Bonding Program'!$U$12-'Bonding Program'!$Z$12,0)-IF(AND('Bonding Program'!$S$12=1,'Bonding Program'!$H$12&lt;='Bonding Program'!$C$8,AF$3=IF('Bonding Program'!$P$12&lt;&gt;"",'Bonding Program'!$P$12,'Bonding Program'!$C$8)),'Bonding Program'!$Z$12,0)+IF(AND('Bonding Program'!$P$12&lt;&gt;"",AF$3='Bonding Program'!$P$12,AF$3&lt;='Bonding Program'!$C$8),N('Bonding Program'!$O$12),0)</f>
        <v>0</v>
      </c>
      <c r="AG153" s="19" t="n">
        <f aca="false">IF(AND('Bonding Program'!$S$12=1,'Bonding Program'!$H$12&gt;'Bonding Program'!$C$8,AG$3='Bonding Program'!$H$12),'Bonding Program'!$T$12-'Bonding Program'!$U$12-'Bonding Program'!$Z$12,0)-IF(AND('Bonding Program'!$S$12=1,'Bonding Program'!$H$12&lt;='Bonding Program'!$C$8,AG$3=IF('Bonding Program'!$P$12&lt;&gt;"",'Bonding Program'!$P$12,'Bonding Program'!$C$8)),'Bonding Program'!$Z$12,0)+IF(AND('Bonding Program'!$P$12&lt;&gt;"",AG$3='Bonding Program'!$P$12,AG$3&lt;='Bonding Program'!$C$8),N('Bonding Program'!$O$12),0)</f>
        <v>0</v>
      </c>
      <c r="AH153" s="19" t="n">
        <f aca="false">IF(AND('Bonding Program'!$S$12=1,'Bonding Program'!$H$12&gt;'Bonding Program'!$C$8,AH$3='Bonding Program'!$H$12),'Bonding Program'!$T$12-'Bonding Program'!$U$12-'Bonding Program'!$Z$12,0)-IF(AND('Bonding Program'!$S$12=1,'Bonding Program'!$H$12&lt;='Bonding Program'!$C$8,AH$3=IF('Bonding Program'!$P$12&lt;&gt;"",'Bonding Program'!$P$12,'Bonding Program'!$C$8)),'Bonding Program'!$Z$12,0)+IF(AND('Bonding Program'!$P$12&lt;&gt;"",AH$3='Bonding Program'!$P$12,AH$3&lt;='Bonding Program'!$C$8),N('Bonding Program'!$O$12),0)</f>
        <v>0</v>
      </c>
      <c r="AI153" s="19" t="n">
        <f aca="false">IF(AND('Bonding Program'!$S$12=1,'Bonding Program'!$H$12&gt;'Bonding Program'!$C$8,AI$3='Bonding Program'!$H$12),'Bonding Program'!$T$12-'Bonding Program'!$U$12-'Bonding Program'!$Z$12,0)-IF(AND('Bonding Program'!$S$12=1,'Bonding Program'!$H$12&lt;='Bonding Program'!$C$8,AI$3=IF('Bonding Program'!$P$12&lt;&gt;"",'Bonding Program'!$P$12,'Bonding Program'!$C$8)),'Bonding Program'!$Z$12,0)+IF(AND('Bonding Program'!$P$12&lt;&gt;"",AI$3='Bonding Program'!$P$12,AI$3&lt;='Bonding Program'!$C$8),N('Bonding Program'!$O$12),0)</f>
        <v>0</v>
      </c>
      <c r="AJ153" s="19" t="n">
        <f aca="false">IF(AND('Bonding Program'!$S$12=1,'Bonding Program'!$H$12&gt;'Bonding Program'!$C$8,AJ$3='Bonding Program'!$H$12),'Bonding Program'!$T$12-'Bonding Program'!$U$12-'Bonding Program'!$Z$12,0)-IF(AND('Bonding Program'!$S$12=1,'Bonding Program'!$H$12&lt;='Bonding Program'!$C$8,AJ$3=IF('Bonding Program'!$P$12&lt;&gt;"",'Bonding Program'!$P$12,'Bonding Program'!$C$8)),'Bonding Program'!$Z$12,0)+IF(AND('Bonding Program'!$P$12&lt;&gt;"",AJ$3='Bonding Program'!$P$12,AJ$3&lt;='Bonding Program'!$C$8),N('Bonding Program'!$O$12),0)</f>
        <v>0</v>
      </c>
      <c r="AK153" s="19" t="n">
        <f aca="false">IF(AND('Bonding Program'!$S$12=1,'Bonding Program'!$H$12&gt;'Bonding Program'!$C$8,AK$3='Bonding Program'!$H$12),'Bonding Program'!$T$12-'Bonding Program'!$U$12-'Bonding Program'!$Z$12,0)-IF(AND('Bonding Program'!$S$12=1,'Bonding Program'!$H$12&lt;='Bonding Program'!$C$8,AK$3=IF('Bonding Program'!$P$12&lt;&gt;"",'Bonding Program'!$P$12,'Bonding Program'!$C$8)),'Bonding Program'!$Z$12,0)+IF(AND('Bonding Program'!$P$12&lt;&gt;"",AK$3='Bonding Program'!$P$12,AK$3&lt;='Bonding Program'!$C$8),N('Bonding Program'!$O$12),0)</f>
        <v>0</v>
      </c>
      <c r="AL153" s="19" t="n">
        <f aca="false">IF(AND('Bonding Program'!$S$12=1,'Bonding Program'!$H$12&gt;'Bonding Program'!$C$8,AL$3='Bonding Program'!$H$12),'Bonding Program'!$T$12-'Bonding Program'!$U$12-'Bonding Program'!$Z$12,0)-IF(AND('Bonding Program'!$S$12=1,'Bonding Program'!$H$12&lt;='Bonding Program'!$C$8,AL$3=IF('Bonding Program'!$P$12&lt;&gt;"",'Bonding Program'!$P$12,'Bonding Program'!$C$8)),'Bonding Program'!$Z$12,0)+IF(AND('Bonding Program'!$P$12&lt;&gt;"",AL$3='Bonding Program'!$P$12,AL$3&lt;='Bonding Program'!$C$8),N('Bonding Program'!$O$12),0)</f>
        <v>0</v>
      </c>
      <c r="AM153" s="19" t="n">
        <f aca="false">IF(AND('Bonding Program'!$S$12=1,'Bonding Program'!$H$12&gt;'Bonding Program'!$C$8,AM$3='Bonding Program'!$H$12),'Bonding Program'!$T$12-'Bonding Program'!$U$12-'Bonding Program'!$Z$12,0)-IF(AND('Bonding Program'!$S$12=1,'Bonding Program'!$H$12&lt;='Bonding Program'!$C$8,AM$3=IF('Bonding Program'!$P$12&lt;&gt;"",'Bonding Program'!$P$12,'Bonding Program'!$C$8)),'Bonding Program'!$Z$12,0)+IF(AND('Bonding Program'!$P$12&lt;&gt;"",AM$3='Bonding Program'!$P$12,AM$3&lt;='Bonding Program'!$C$8),N('Bonding Program'!$O$12),0)</f>
        <v>0</v>
      </c>
      <c r="AN153" s="19" t="n">
        <f aca="false">IF(AND('Bonding Program'!$S$12=1,'Bonding Program'!$H$12&gt;'Bonding Program'!$C$8,AN$3='Bonding Program'!$H$12),'Bonding Program'!$T$12-'Bonding Program'!$U$12-'Bonding Program'!$Z$12,0)-IF(AND('Bonding Program'!$S$12=1,'Bonding Program'!$H$12&lt;='Bonding Program'!$C$8,AN$3=IF('Bonding Program'!$P$12&lt;&gt;"",'Bonding Program'!$P$12,'Bonding Program'!$C$8)),'Bonding Program'!$Z$12,0)+IF(AND('Bonding Program'!$P$12&lt;&gt;"",AN$3='Bonding Program'!$P$12,AN$3&lt;='Bonding Program'!$C$8),N('Bonding Program'!$O$12),0)</f>
        <v>0</v>
      </c>
      <c r="AO153" s="19" t="n">
        <f aca="false">IF(AND('Bonding Program'!$S$12=1,'Bonding Program'!$H$12&gt;'Bonding Program'!$C$8,AO$3='Bonding Program'!$H$12),'Bonding Program'!$T$12-'Bonding Program'!$U$12-'Bonding Program'!$Z$12,0)-IF(AND('Bonding Program'!$S$12=1,'Bonding Program'!$H$12&lt;='Bonding Program'!$C$8,AO$3=IF('Bonding Program'!$P$12&lt;&gt;"",'Bonding Program'!$P$12,'Bonding Program'!$C$8)),'Bonding Program'!$Z$12,0)+IF(AND('Bonding Program'!$P$12&lt;&gt;"",AO$3='Bonding Program'!$P$12,AO$3&lt;='Bonding Program'!$C$8),N('Bonding Program'!$O$12),0)</f>
        <v>0</v>
      </c>
      <c r="AP153" s="19" t="n">
        <f aca="false">IF(AND('Bonding Program'!$S$12=1,'Bonding Program'!$H$12&gt;'Bonding Program'!$C$8,AP$3='Bonding Program'!$H$12),'Bonding Program'!$T$12-'Bonding Program'!$U$12-'Bonding Program'!$Z$12,0)-IF(AND('Bonding Program'!$S$12=1,'Bonding Program'!$H$12&lt;='Bonding Program'!$C$8,AP$3=IF('Bonding Program'!$P$12&lt;&gt;"",'Bonding Program'!$P$12,'Bonding Program'!$C$8)),'Bonding Program'!$Z$12,0)+IF(AND('Bonding Program'!$P$12&lt;&gt;"",AP$3='Bonding Program'!$P$12,AP$3&lt;='Bonding Program'!$C$8),N('Bonding Program'!$O$12),0)</f>
        <v>0</v>
      </c>
      <c r="AQ153" s="19" t="n">
        <f aca="false">IF(AND('Bonding Program'!$S$12=1,'Bonding Program'!$H$12&gt;'Bonding Program'!$C$8,AQ$3='Bonding Program'!$H$12),'Bonding Program'!$T$12-'Bonding Program'!$U$12-'Bonding Program'!$Z$12,0)-IF(AND('Bonding Program'!$S$12=1,'Bonding Program'!$H$12&lt;='Bonding Program'!$C$8,AQ$3=IF('Bonding Program'!$P$12&lt;&gt;"",'Bonding Program'!$P$12,'Bonding Program'!$C$8)),'Bonding Program'!$Z$12,0)+IF(AND('Bonding Program'!$P$12&lt;&gt;"",AQ$3='Bonding Program'!$P$12,AQ$3&lt;='Bonding Program'!$C$8),N('Bonding Program'!$O$12),0)</f>
        <v>0</v>
      </c>
      <c r="AR153" s="19" t="n">
        <f aca="false">IF(AND('Bonding Program'!$S$12=1,'Bonding Program'!$H$12&gt;'Bonding Program'!$C$8,AR$3='Bonding Program'!$H$12),'Bonding Program'!$T$12-'Bonding Program'!$U$12-'Bonding Program'!$Z$12,0)-IF(AND('Bonding Program'!$S$12=1,'Bonding Program'!$H$12&lt;='Bonding Program'!$C$8,AR$3=IF('Bonding Program'!$P$12&lt;&gt;"",'Bonding Program'!$P$12,'Bonding Program'!$C$8)),'Bonding Program'!$Z$12,0)+IF(AND('Bonding Program'!$P$12&lt;&gt;"",AR$3='Bonding Program'!$P$12,AR$3&lt;='Bonding Program'!$C$8),N('Bonding Program'!$O$12),0)</f>
        <v>0</v>
      </c>
      <c r="AS153" s="19" t="n">
        <f aca="false">IF(AND('Bonding Program'!$S$12=1,'Bonding Program'!$H$12&gt;'Bonding Program'!$C$8,AS$3='Bonding Program'!$H$12),'Bonding Program'!$T$12-'Bonding Program'!$U$12-'Bonding Program'!$Z$12,0)-IF(AND('Bonding Program'!$S$12=1,'Bonding Program'!$H$12&lt;='Bonding Program'!$C$8,AS$3=IF('Bonding Program'!$P$12&lt;&gt;"",'Bonding Program'!$P$12,'Bonding Program'!$C$8)),'Bonding Program'!$Z$12,0)+IF(AND('Bonding Program'!$P$12&lt;&gt;"",AS$3='Bonding Program'!$P$12,AS$3&lt;='Bonding Program'!$C$8),N('Bonding Program'!$O$12),0)</f>
        <v>0</v>
      </c>
      <c r="AT153" s="19" t="n">
        <f aca="false">IF(AND('Bonding Program'!$S$12=1,'Bonding Program'!$H$12&gt;'Bonding Program'!$C$8,AT$3='Bonding Program'!$H$12),'Bonding Program'!$T$12-'Bonding Program'!$U$12-'Bonding Program'!$Z$12,0)-IF(AND('Bonding Program'!$S$12=1,'Bonding Program'!$H$12&lt;='Bonding Program'!$C$8,AT$3=IF('Bonding Program'!$P$12&lt;&gt;"",'Bonding Program'!$P$12,'Bonding Program'!$C$8)),'Bonding Program'!$Z$12,0)+IF(AND('Bonding Program'!$P$12&lt;&gt;"",AT$3='Bonding Program'!$P$12,AT$3&lt;='Bonding Program'!$C$8),N('Bonding Program'!$O$12),0)</f>
        <v>0</v>
      </c>
      <c r="AU153" s="19" t="n">
        <f aca="false">IF(AND('Bonding Program'!$S$12=1,'Bonding Program'!$H$12&gt;'Bonding Program'!$C$8,AU$3='Bonding Program'!$H$12),'Bonding Program'!$T$12-'Bonding Program'!$U$12-'Bonding Program'!$Z$12,0)-IF(AND('Bonding Program'!$S$12=1,'Bonding Program'!$H$12&lt;='Bonding Program'!$C$8,AU$3=IF('Bonding Program'!$P$12&lt;&gt;"",'Bonding Program'!$P$12,'Bonding Program'!$C$8)),'Bonding Program'!$Z$12,0)+IF(AND('Bonding Program'!$P$12&lt;&gt;"",AU$3='Bonding Program'!$P$12,AU$3&lt;='Bonding Program'!$C$8),N('Bonding Program'!$O$12),0)</f>
        <v>0</v>
      </c>
      <c r="AV153" s="19" t="n">
        <f aca="false">IF(AND('Bonding Program'!$S$12=1,'Bonding Program'!$H$12&gt;'Bonding Program'!$C$8,AV$3='Bonding Program'!$H$12),'Bonding Program'!$T$12-'Bonding Program'!$U$12-'Bonding Program'!$Z$12,0)-IF(AND('Bonding Program'!$S$12=1,'Bonding Program'!$H$12&lt;='Bonding Program'!$C$8,AV$3=IF('Bonding Program'!$P$12&lt;&gt;"",'Bonding Program'!$P$12,'Bonding Program'!$C$8)),'Bonding Program'!$Z$12,0)+IF(AND('Bonding Program'!$P$12&lt;&gt;"",AV$3='Bonding Program'!$P$12,AV$3&lt;='Bonding Program'!$C$8),N('Bonding Program'!$O$12),0)</f>
        <v>0</v>
      </c>
      <c r="AW153" s="19" t="n">
        <f aca="false">IF(AND('Bonding Program'!$S$12=1,'Bonding Program'!$H$12&gt;'Bonding Program'!$C$8,AW$3='Bonding Program'!$H$12),'Bonding Program'!$T$12-'Bonding Program'!$U$12-'Bonding Program'!$Z$12,0)-IF(AND('Bonding Program'!$S$12=1,'Bonding Program'!$H$12&lt;='Bonding Program'!$C$8,AW$3=IF('Bonding Program'!$P$12&lt;&gt;"",'Bonding Program'!$P$12,'Bonding Program'!$C$8)),'Bonding Program'!$Z$12,0)+IF(AND('Bonding Program'!$P$12&lt;&gt;"",AW$3='Bonding Program'!$P$12,AW$3&lt;='Bonding Program'!$C$8),N('Bonding Program'!$O$12),0)</f>
        <v>0</v>
      </c>
      <c r="AX153" s="19" t="n">
        <f aca="false">IF(AND('Bonding Program'!$S$12=1,'Bonding Program'!$H$12&gt;'Bonding Program'!$C$8,AX$3='Bonding Program'!$H$12),'Bonding Program'!$T$12-'Bonding Program'!$U$12-'Bonding Program'!$Z$12,0)-IF(AND('Bonding Program'!$S$12=1,'Bonding Program'!$H$12&lt;='Bonding Program'!$C$8,AX$3=IF('Bonding Program'!$P$12&lt;&gt;"",'Bonding Program'!$P$12,'Bonding Program'!$C$8)),'Bonding Program'!$Z$12,0)+IF(AND('Bonding Program'!$P$12&lt;&gt;"",AX$3='Bonding Program'!$P$12,AX$3&lt;='Bonding Program'!$C$8),N('Bonding Program'!$O$12),0)</f>
        <v>0</v>
      </c>
      <c r="AY153" s="19" t="n">
        <f aca="false">IF(AND('Bonding Program'!$S$12=1,'Bonding Program'!$H$12&gt;'Bonding Program'!$C$8,AY$3='Bonding Program'!$H$12),'Bonding Program'!$T$12-'Bonding Program'!$U$12-'Bonding Program'!$Z$12,0)-IF(AND('Bonding Program'!$S$12=1,'Bonding Program'!$H$12&lt;='Bonding Program'!$C$8,AY$3=IF('Bonding Program'!$P$12&lt;&gt;"",'Bonding Program'!$P$12,'Bonding Program'!$C$8)),'Bonding Program'!$Z$12,0)+IF(AND('Bonding Program'!$P$12&lt;&gt;"",AY$3='Bonding Program'!$P$12,AY$3&lt;='Bonding Program'!$C$8),N('Bonding Program'!$O$12),0)</f>
        <v>0</v>
      </c>
      <c r="AZ153" s="19" t="n">
        <f aca="false">IF(AND('Bonding Program'!$S$12=1,'Bonding Program'!$H$12&gt;'Bonding Program'!$C$8,AZ$3='Bonding Program'!$H$12),'Bonding Program'!$T$12-'Bonding Program'!$U$12-'Bonding Program'!$Z$12,0)-IF(AND('Bonding Program'!$S$12=1,'Bonding Program'!$H$12&lt;='Bonding Program'!$C$8,AZ$3=IF('Bonding Program'!$P$12&lt;&gt;"",'Bonding Program'!$P$12,'Bonding Program'!$C$8)),'Bonding Program'!$Z$12,0)+IF(AND('Bonding Program'!$P$12&lt;&gt;"",AZ$3='Bonding Program'!$P$12,AZ$3&lt;='Bonding Program'!$C$8),N('Bonding Program'!$O$12),0)</f>
        <v>0</v>
      </c>
      <c r="BA153" s="19" t="n">
        <f aca="false">IF(AND('Bonding Program'!$S$12=1,'Bonding Program'!$H$12&gt;'Bonding Program'!$C$8,BA$3='Bonding Program'!$H$12),'Bonding Program'!$T$12-'Bonding Program'!$U$12-'Bonding Program'!$Z$12,0)-IF(AND('Bonding Program'!$S$12=1,'Bonding Program'!$H$12&lt;='Bonding Program'!$C$8,BA$3=IF('Bonding Program'!$P$12&lt;&gt;"",'Bonding Program'!$P$12,'Bonding Program'!$C$8)),'Bonding Program'!$Z$12,0)+IF(AND('Bonding Program'!$P$12&lt;&gt;"",BA$3='Bonding Program'!$P$12,BA$3&lt;='Bonding Program'!$C$8),N('Bonding Program'!$O$12),0)</f>
        <v>0</v>
      </c>
      <c r="BB153" s="19" t="n">
        <f aca="false">IF(AND('Bonding Program'!$S$12=1,'Bonding Program'!$H$12&gt;'Bonding Program'!$C$8,BB$3='Bonding Program'!$H$12),'Bonding Program'!$T$12-'Bonding Program'!$U$12-'Bonding Program'!$Z$12,0)-IF(AND('Bonding Program'!$S$12=1,'Bonding Program'!$H$12&lt;='Bonding Program'!$C$8,BB$3=IF('Bonding Program'!$P$12&lt;&gt;"",'Bonding Program'!$P$12,'Bonding Program'!$C$8)),'Bonding Program'!$Z$12,0)+IF(AND('Bonding Program'!$P$12&lt;&gt;"",BB$3='Bonding Program'!$P$12,BB$3&lt;='Bonding Program'!$C$8),N('Bonding Program'!$O$12),0)</f>
        <v>0</v>
      </c>
      <c r="BC153" s="19" t="n">
        <f aca="false">IF(AND('Bonding Program'!$S$12=1,'Bonding Program'!$H$12&gt;'Bonding Program'!$C$8,BC$3='Bonding Program'!$H$12),'Bonding Program'!$T$12-'Bonding Program'!$U$12-'Bonding Program'!$Z$12,0)-IF(AND('Bonding Program'!$S$12=1,'Bonding Program'!$H$12&lt;='Bonding Program'!$C$8,BC$3=IF('Bonding Program'!$P$12&lt;&gt;"",'Bonding Program'!$P$12,'Bonding Program'!$C$8)),'Bonding Program'!$Z$12,0)+IF(AND('Bonding Program'!$P$12&lt;&gt;"",BC$3='Bonding Program'!$P$12,BC$3&lt;='Bonding Program'!$C$8),N('Bonding Program'!$O$12),0)</f>
        <v>0</v>
      </c>
      <c r="BD153" s="19" t="n">
        <f aca="false">IF(AND('Bonding Program'!$S$12=1,'Bonding Program'!$H$12&gt;'Bonding Program'!$C$8,BD$3='Bonding Program'!$H$12),'Bonding Program'!$T$12-'Bonding Program'!$U$12-'Bonding Program'!$Z$12,0)-IF(AND('Bonding Program'!$S$12=1,'Bonding Program'!$H$12&lt;='Bonding Program'!$C$8,BD$3=IF('Bonding Program'!$P$12&lt;&gt;"",'Bonding Program'!$P$12,'Bonding Program'!$C$8)),'Bonding Program'!$Z$12,0)+IF(AND('Bonding Program'!$P$12&lt;&gt;"",BD$3='Bonding Program'!$P$12,BD$3&lt;='Bonding Program'!$C$8),N('Bonding Program'!$O$12),0)</f>
        <v>0</v>
      </c>
      <c r="BE153" s="19" t="n">
        <f aca="false">IF(AND('Bonding Program'!$S$12=1,'Bonding Program'!$H$12&gt;'Bonding Program'!$C$8,BE$3='Bonding Program'!$H$12),'Bonding Program'!$T$12-'Bonding Program'!$U$12-'Bonding Program'!$Z$12,0)-IF(AND('Bonding Program'!$S$12=1,'Bonding Program'!$H$12&lt;='Bonding Program'!$C$8,BE$3=IF('Bonding Program'!$P$12&lt;&gt;"",'Bonding Program'!$P$12,'Bonding Program'!$C$8)),'Bonding Program'!$Z$12,0)+IF(AND('Bonding Program'!$P$12&lt;&gt;"",BE$3='Bonding Program'!$P$12,BE$3&lt;='Bonding Program'!$C$8),N('Bonding Program'!$O$12),0)</f>
        <v>0</v>
      </c>
      <c r="BF153" s="19" t="n">
        <f aca="false">IF(AND('Bonding Program'!$S$12=1,'Bonding Program'!$H$12&gt;'Bonding Program'!$C$8,BF$3='Bonding Program'!$H$12),'Bonding Program'!$T$12-'Bonding Program'!$U$12-'Bonding Program'!$Z$12,0)-IF(AND('Bonding Program'!$S$12=1,'Bonding Program'!$H$12&lt;='Bonding Program'!$C$8,BF$3=IF('Bonding Program'!$P$12&lt;&gt;"",'Bonding Program'!$P$12,'Bonding Program'!$C$8)),'Bonding Program'!$Z$12,0)+IF(AND('Bonding Program'!$P$12&lt;&gt;"",BF$3='Bonding Program'!$P$12,BF$3&lt;='Bonding Program'!$C$8),N('Bonding Program'!$O$12),0)</f>
        <v>0</v>
      </c>
      <c r="BG153" s="19" t="n">
        <f aca="false">IF(AND('Bonding Program'!$S$12=1,'Bonding Program'!$H$12&gt;'Bonding Program'!$C$8,BG$3='Bonding Program'!$H$12),'Bonding Program'!$T$12-'Bonding Program'!$U$12-'Bonding Program'!$Z$12,0)-IF(AND('Bonding Program'!$S$12=1,'Bonding Program'!$H$12&lt;='Bonding Program'!$C$8,BG$3=IF('Bonding Program'!$P$12&lt;&gt;"",'Bonding Program'!$P$12,'Bonding Program'!$C$8)),'Bonding Program'!$Z$12,0)+IF(AND('Bonding Program'!$P$12&lt;&gt;"",BG$3='Bonding Program'!$P$12,BG$3&lt;='Bonding Program'!$C$8),N('Bonding Program'!$O$12),0)</f>
        <v>0</v>
      </c>
      <c r="BH153" s="19" t="n">
        <f aca="false">IF(AND('Bonding Program'!$S$12=1,'Bonding Program'!$H$12&gt;'Bonding Program'!$C$8,BH$3='Bonding Program'!$H$12),'Bonding Program'!$T$12-'Bonding Program'!$U$12-'Bonding Program'!$Z$12,0)-IF(AND('Bonding Program'!$S$12=1,'Bonding Program'!$H$12&lt;='Bonding Program'!$C$8,BH$3=IF('Bonding Program'!$P$12&lt;&gt;"",'Bonding Program'!$P$12,'Bonding Program'!$C$8)),'Bonding Program'!$Z$12,0)+IF(AND('Bonding Program'!$P$12&lt;&gt;"",BH$3='Bonding Program'!$P$12,BH$3&lt;='Bonding Program'!$C$8),N('Bonding Program'!$O$12),0)</f>
        <v>0</v>
      </c>
      <c r="BI153" s="19" t="n">
        <f aca="false">IF(AND('Bonding Program'!$S$12=1,'Bonding Program'!$H$12&gt;'Bonding Program'!$C$8,BI$3='Bonding Program'!$H$12),'Bonding Program'!$T$12-'Bonding Program'!$U$12-'Bonding Program'!$Z$12,0)-IF(AND('Bonding Program'!$S$12=1,'Bonding Program'!$H$12&lt;='Bonding Program'!$C$8,BI$3=IF('Bonding Program'!$P$12&lt;&gt;"",'Bonding Program'!$P$12,'Bonding Program'!$C$8)),'Bonding Program'!$Z$12,0)+IF(AND('Bonding Program'!$P$12&lt;&gt;"",BI$3='Bonding Program'!$P$12,BI$3&lt;='Bonding Program'!$C$8),N('Bonding Program'!$O$12),0)</f>
        <v>0</v>
      </c>
      <c r="BJ153" s="19" t="n">
        <f aca="false">IF(AND('Bonding Program'!$S$12=1,'Bonding Program'!$H$12&gt;'Bonding Program'!$C$8,BJ$3='Bonding Program'!$H$12),'Bonding Program'!$T$12-'Bonding Program'!$U$12-'Bonding Program'!$Z$12,0)-IF(AND('Bonding Program'!$S$12=1,'Bonding Program'!$H$12&lt;='Bonding Program'!$C$8,BJ$3=IF('Bonding Program'!$P$12&lt;&gt;"",'Bonding Program'!$P$12,'Bonding Program'!$C$8)),'Bonding Program'!$Z$12,0)+IF(AND('Bonding Program'!$P$12&lt;&gt;"",BJ$3='Bonding Program'!$P$12,BJ$3&lt;='Bonding Program'!$C$8),N('Bonding Program'!$O$12),0)</f>
        <v>0</v>
      </c>
      <c r="BK153" s="19" t="n">
        <f aca="false">IF(AND('Bonding Program'!$S$12=1,'Bonding Program'!$H$12&gt;'Bonding Program'!$C$8,BK$3='Bonding Program'!$H$12),'Bonding Program'!$T$12-'Bonding Program'!$U$12-'Bonding Program'!$Z$12,0)-IF(AND('Bonding Program'!$S$12=1,'Bonding Program'!$H$12&lt;='Bonding Program'!$C$8,BK$3=IF('Bonding Program'!$P$12&lt;&gt;"",'Bonding Program'!$P$12,'Bonding Program'!$C$8)),'Bonding Program'!$Z$12,0)+IF(AND('Bonding Program'!$P$12&lt;&gt;"",BK$3='Bonding Program'!$P$12,BK$3&lt;='Bonding Program'!$C$8),N('Bonding Program'!$O$12),0)</f>
        <v>0</v>
      </c>
      <c r="BL153" s="19" t="n">
        <f aca="false">IF(AND('Bonding Program'!$S$12=1,'Bonding Program'!$H$12&gt;'Bonding Program'!$C$8,BL$3='Bonding Program'!$H$12),'Bonding Program'!$T$12-'Bonding Program'!$U$12-'Bonding Program'!$Z$12,0)-IF(AND('Bonding Program'!$S$12=1,'Bonding Program'!$H$12&lt;='Bonding Program'!$C$8,BL$3=IF('Bonding Program'!$P$12&lt;&gt;"",'Bonding Program'!$P$12,'Bonding Program'!$C$8)),'Bonding Program'!$Z$12,0)+IF(AND('Bonding Program'!$P$12&lt;&gt;"",BL$3='Bonding Program'!$P$12,BL$3&lt;='Bonding Program'!$C$8),N('Bonding Program'!$O$12),0)</f>
        <v>0</v>
      </c>
      <c r="BM153" s="19" t="n">
        <f aca="false">IF(AND('Bonding Program'!$S$12=1,'Bonding Program'!$H$12&gt;'Bonding Program'!$C$8,BM$3='Bonding Program'!$H$12),'Bonding Program'!$T$12-'Bonding Program'!$U$12-'Bonding Program'!$Z$12,0)-IF(AND('Bonding Program'!$S$12=1,'Bonding Program'!$H$12&lt;='Bonding Program'!$C$8,BM$3=IF('Bonding Program'!$P$12&lt;&gt;"",'Bonding Program'!$P$12,'Bonding Program'!$C$8)),'Bonding Program'!$Z$12,0)+IF(AND('Bonding Program'!$P$12&lt;&gt;"",BM$3='Bonding Program'!$P$12,BM$3&lt;='Bonding Program'!$C$8),N('Bonding Program'!$O$12),0)</f>
        <v>0</v>
      </c>
      <c r="BN153" s="19" t="n">
        <f aca="false">IF(AND('Bonding Program'!$S$12=1,'Bonding Program'!$H$12&gt;'Bonding Program'!$C$8,BN$3='Bonding Program'!$H$12),'Bonding Program'!$T$12-'Bonding Program'!$U$12-'Bonding Program'!$Z$12,0)-IF(AND('Bonding Program'!$S$12=1,'Bonding Program'!$H$12&lt;='Bonding Program'!$C$8,BN$3=IF('Bonding Program'!$P$12&lt;&gt;"",'Bonding Program'!$P$12,'Bonding Program'!$C$8)),'Bonding Program'!$Z$12,0)+IF(AND('Bonding Program'!$P$12&lt;&gt;"",BN$3='Bonding Program'!$P$12,BN$3&lt;='Bonding Program'!$C$8),N('Bonding Program'!$O$12),0)</f>
        <v>0</v>
      </c>
      <c r="BO153" s="19" t="n">
        <f aca="false">IF(AND('Bonding Program'!$S$12=1,'Bonding Program'!$H$12&gt;'Bonding Program'!$C$8,BO$3='Bonding Program'!$H$12),'Bonding Program'!$T$12-'Bonding Program'!$U$12-'Bonding Program'!$Z$12,0)-IF(AND('Bonding Program'!$S$12=1,'Bonding Program'!$H$12&lt;='Bonding Program'!$C$8,BO$3=IF('Bonding Program'!$P$12&lt;&gt;"",'Bonding Program'!$P$12,'Bonding Program'!$C$8)),'Bonding Program'!$Z$12,0)+IF(AND('Bonding Program'!$P$12&lt;&gt;"",BO$3='Bonding Program'!$P$12,BO$3&lt;='Bonding Program'!$C$8),N('Bonding Program'!$O$12),0)</f>
        <v>0</v>
      </c>
      <c r="BP153" s="19" t="n">
        <f aca="false">IF(AND('Bonding Program'!$S$12=1,'Bonding Program'!$H$12&gt;'Bonding Program'!$C$8,BP$3='Bonding Program'!$H$12),'Bonding Program'!$T$12-'Bonding Program'!$U$12-'Bonding Program'!$Z$12,0)-IF(AND('Bonding Program'!$S$12=1,'Bonding Program'!$H$12&lt;='Bonding Program'!$C$8,BP$3=IF('Bonding Program'!$P$12&lt;&gt;"",'Bonding Program'!$P$12,'Bonding Program'!$C$8)),'Bonding Program'!$Z$12,0)+IF(AND('Bonding Program'!$P$12&lt;&gt;"",BP$3='Bonding Program'!$P$12,BP$3&lt;='Bonding Program'!$C$8),N('Bonding Program'!$O$12),0)</f>
        <v>0</v>
      </c>
      <c r="BQ153" s="19" t="n">
        <f aca="false">IF(AND('Bonding Program'!$S$12=1,'Bonding Program'!$H$12&gt;'Bonding Program'!$C$8,BQ$3='Bonding Program'!$H$12),'Bonding Program'!$T$12-'Bonding Program'!$U$12-'Bonding Program'!$Z$12,0)-IF(AND('Bonding Program'!$S$12=1,'Bonding Program'!$H$12&lt;='Bonding Program'!$C$8,BQ$3=IF('Bonding Program'!$P$12&lt;&gt;"",'Bonding Program'!$P$12,'Bonding Program'!$C$8)),'Bonding Program'!$Z$12,0)+IF(AND('Bonding Program'!$P$12&lt;&gt;"",BQ$3='Bonding Program'!$P$12,BQ$3&lt;='Bonding Program'!$C$8),N('Bonding Program'!$O$12),0)</f>
        <v>0</v>
      </c>
      <c r="BR153" s="19" t="n">
        <f aca="false">IF(AND('Bonding Program'!$S$12=1,'Bonding Program'!$H$12&gt;'Bonding Program'!$C$8,BR$3='Bonding Program'!$H$12),'Bonding Program'!$T$12-'Bonding Program'!$U$12-'Bonding Program'!$Z$12,0)-IF(AND('Bonding Program'!$S$12=1,'Bonding Program'!$H$12&lt;='Bonding Program'!$C$8,BR$3=IF('Bonding Program'!$P$12&lt;&gt;"",'Bonding Program'!$P$12,'Bonding Program'!$C$8)),'Bonding Program'!$Z$12,0)+IF(AND('Bonding Program'!$P$12&lt;&gt;"",BR$3='Bonding Program'!$P$12,BR$3&lt;='Bonding Program'!$C$8),N('Bonding Program'!$O$12),0)</f>
        <v>0</v>
      </c>
      <c r="BS153" s="19" t="n">
        <f aca="false">IF(AND('Bonding Program'!$S$12=1,'Bonding Program'!$H$12&gt;'Bonding Program'!$C$8,BS$3='Bonding Program'!$H$12),'Bonding Program'!$T$12-'Bonding Program'!$U$12-'Bonding Program'!$Z$12,0)-IF(AND('Bonding Program'!$S$12=1,'Bonding Program'!$H$12&lt;='Bonding Program'!$C$8,BS$3=IF('Bonding Program'!$P$12&lt;&gt;"",'Bonding Program'!$P$12,'Bonding Program'!$C$8)),'Bonding Program'!$Z$12,0)+IF(AND('Bonding Program'!$P$12&lt;&gt;"",BS$3='Bonding Program'!$P$12,BS$3&lt;='Bonding Program'!$C$8),N('Bonding Program'!$O$12),0)</f>
        <v>0</v>
      </c>
      <c r="BT153" s="19" t="n">
        <f aca="false">IF(AND('Bonding Program'!$S$12=1,'Bonding Program'!$H$12&gt;'Bonding Program'!$C$8,BT$3='Bonding Program'!$H$12),'Bonding Program'!$T$12-'Bonding Program'!$U$12-'Bonding Program'!$Z$12,0)-IF(AND('Bonding Program'!$S$12=1,'Bonding Program'!$H$12&lt;='Bonding Program'!$C$8,BT$3=IF('Bonding Program'!$P$12&lt;&gt;"",'Bonding Program'!$P$12,'Bonding Program'!$C$8)),'Bonding Program'!$Z$12,0)+IF(AND('Bonding Program'!$P$12&lt;&gt;"",BT$3='Bonding Program'!$P$12,BT$3&lt;='Bonding Program'!$C$8),N('Bonding Program'!$O$12),0)</f>
        <v>0</v>
      </c>
      <c r="BU153" s="19" t="n">
        <f aca="false">IF(AND('Bonding Program'!$S$12=1,'Bonding Program'!$H$12&gt;'Bonding Program'!$C$8,BU$3='Bonding Program'!$H$12),'Bonding Program'!$T$12-'Bonding Program'!$U$12-'Bonding Program'!$Z$12,0)-IF(AND('Bonding Program'!$S$12=1,'Bonding Program'!$H$12&lt;='Bonding Program'!$C$8,BU$3=IF('Bonding Program'!$P$12&lt;&gt;"",'Bonding Program'!$P$12,'Bonding Program'!$C$8)),'Bonding Program'!$Z$12,0)+IF(AND('Bonding Program'!$P$12&lt;&gt;"",BU$3='Bonding Program'!$P$12,BU$3&lt;='Bonding Program'!$C$8),N('Bonding Program'!$O$12),0)</f>
        <v>0</v>
      </c>
      <c r="BV153" s="19" t="n">
        <f aca="false">IF(AND('Bonding Program'!$S$12=1,'Bonding Program'!$H$12&gt;'Bonding Program'!$C$8,BV$3='Bonding Program'!$H$12),'Bonding Program'!$T$12-'Bonding Program'!$U$12-'Bonding Program'!$Z$12,0)-IF(AND('Bonding Program'!$S$12=1,'Bonding Program'!$H$12&lt;='Bonding Program'!$C$8,BV$3=IF('Bonding Program'!$P$12&lt;&gt;"",'Bonding Program'!$P$12,'Bonding Program'!$C$8)),'Bonding Program'!$Z$12,0)+IF(AND('Bonding Program'!$P$12&lt;&gt;"",BV$3='Bonding Program'!$P$12,BV$3&lt;='Bonding Program'!$C$8),N('Bonding Program'!$O$12),0)</f>
        <v>0</v>
      </c>
      <c r="BW153" s="19" t="n">
        <f aca="false">IF(AND('Bonding Program'!$S$12=1,'Bonding Program'!$H$12&gt;'Bonding Program'!$C$8,BW$3='Bonding Program'!$H$12),'Bonding Program'!$T$12-'Bonding Program'!$U$12-'Bonding Program'!$Z$12,0)-IF(AND('Bonding Program'!$S$12=1,'Bonding Program'!$H$12&lt;='Bonding Program'!$C$8,BW$3=IF('Bonding Program'!$P$12&lt;&gt;"",'Bonding Program'!$P$12,'Bonding Program'!$C$8)),'Bonding Program'!$Z$12,0)+IF(AND('Bonding Program'!$P$12&lt;&gt;"",BW$3='Bonding Program'!$P$12,BW$3&lt;='Bonding Program'!$C$8),N('Bonding Program'!$O$12),0)</f>
        <v>0</v>
      </c>
      <c r="BX153" s="19" t="n">
        <f aca="false">IF(AND('Bonding Program'!$S$12=1,'Bonding Program'!$H$12&gt;'Bonding Program'!$C$8,BX$3='Bonding Program'!$H$12),'Bonding Program'!$T$12-'Bonding Program'!$U$12-'Bonding Program'!$Z$12,0)-IF(AND('Bonding Program'!$S$12=1,'Bonding Program'!$H$12&lt;='Bonding Program'!$C$8,BX$3=IF('Bonding Program'!$P$12&lt;&gt;"",'Bonding Program'!$P$12,'Bonding Program'!$C$8)),'Bonding Program'!$Z$12,0)+IF(AND('Bonding Program'!$P$12&lt;&gt;"",BX$3='Bonding Program'!$P$12,BX$3&lt;='Bonding Program'!$C$8),N('Bonding Program'!$O$12),0)</f>
        <v>0</v>
      </c>
      <c r="BY153" s="19" t="n">
        <f aca="false">IF(AND('Bonding Program'!$S$12=1,'Bonding Program'!$H$12&gt;'Bonding Program'!$C$8,BY$3='Bonding Program'!$H$12),'Bonding Program'!$T$12-'Bonding Program'!$U$12-'Bonding Program'!$Z$12,0)-IF(AND('Bonding Program'!$S$12=1,'Bonding Program'!$H$12&lt;='Bonding Program'!$C$8,BY$3=IF('Bonding Program'!$P$12&lt;&gt;"",'Bonding Program'!$P$12,'Bonding Program'!$C$8)),'Bonding Program'!$Z$12,0)+IF(AND('Bonding Program'!$P$12&lt;&gt;"",BY$3='Bonding Program'!$P$12,BY$3&lt;='Bonding Program'!$C$8),N('Bonding Program'!$O$12),0)</f>
        <v>0</v>
      </c>
      <c r="BZ153" s="19" t="n">
        <f aca="false">IF(AND('Bonding Program'!$S$12=1,'Bonding Program'!$H$12&gt;'Bonding Program'!$C$8,BZ$3='Bonding Program'!$H$12),'Bonding Program'!$T$12-'Bonding Program'!$U$12-'Bonding Program'!$Z$12,0)-IF(AND('Bonding Program'!$S$12=1,'Bonding Program'!$H$12&lt;='Bonding Program'!$C$8,BZ$3=IF('Bonding Program'!$P$12&lt;&gt;"",'Bonding Program'!$P$12,'Bonding Program'!$C$8)),'Bonding Program'!$Z$12,0)+IF(AND('Bonding Program'!$P$12&lt;&gt;"",BZ$3='Bonding Program'!$P$12,BZ$3&lt;='Bonding Program'!$C$8),N('Bonding Program'!$O$12),0)</f>
        <v>0</v>
      </c>
      <c r="CA153" s="19" t="n">
        <f aca="false">IF(AND('Bonding Program'!$S$12=1,'Bonding Program'!$H$12&gt;'Bonding Program'!$C$8,CA$3='Bonding Program'!$H$12),'Bonding Program'!$T$12-'Bonding Program'!$U$12-'Bonding Program'!$Z$12,0)-IF(AND('Bonding Program'!$S$12=1,'Bonding Program'!$H$12&lt;='Bonding Program'!$C$8,CA$3=IF('Bonding Program'!$P$12&lt;&gt;"",'Bonding Program'!$P$12,'Bonding Program'!$C$8)),'Bonding Program'!$Z$12,0)+IF(AND('Bonding Program'!$P$12&lt;&gt;"",CA$3='Bonding Program'!$P$12,CA$3&lt;='Bonding Program'!$C$8),N('Bonding Program'!$O$12),0)</f>
        <v>0</v>
      </c>
      <c r="CB153" s="19" t="n">
        <f aca="false">IF(AND('Bonding Program'!$S$12=1,'Bonding Program'!$H$12&gt;'Bonding Program'!$C$8,CB$3='Bonding Program'!$H$12),'Bonding Program'!$T$12-'Bonding Program'!$U$12-'Bonding Program'!$Z$12,0)-IF(AND('Bonding Program'!$S$12=1,'Bonding Program'!$H$12&lt;='Bonding Program'!$C$8,CB$3=IF('Bonding Program'!$P$12&lt;&gt;"",'Bonding Program'!$P$12,'Bonding Program'!$C$8)),'Bonding Program'!$Z$12,0)+IF(AND('Bonding Program'!$P$12&lt;&gt;"",CB$3='Bonding Program'!$P$12,CB$3&lt;='Bonding Program'!$C$8),N('Bonding Program'!$O$12),0)</f>
        <v>0</v>
      </c>
      <c r="CC153" s="19" t="n">
        <f aca="false">IF(AND('Bonding Program'!$S$12=1,'Bonding Program'!$H$12&gt;'Bonding Program'!$C$8,CC$3='Bonding Program'!$H$12),'Bonding Program'!$T$12-'Bonding Program'!$U$12-'Bonding Program'!$Z$12,0)-IF(AND('Bonding Program'!$S$12=1,'Bonding Program'!$H$12&lt;='Bonding Program'!$C$8,CC$3=IF('Bonding Program'!$P$12&lt;&gt;"",'Bonding Program'!$P$12,'Bonding Program'!$C$8)),'Bonding Program'!$Z$12,0)+IF(AND('Bonding Program'!$P$12&lt;&gt;"",CC$3='Bonding Program'!$P$12,CC$3&lt;='Bonding Program'!$C$8),N('Bonding Program'!$O$12),0)</f>
        <v>0</v>
      </c>
      <c r="CD153" s="19" t="n">
        <f aca="false">IF(AND('Bonding Program'!$S$12=1,'Bonding Program'!$H$12&gt;'Bonding Program'!$C$8,CD$3='Bonding Program'!$H$12),'Bonding Program'!$T$12-'Bonding Program'!$U$12-'Bonding Program'!$Z$12,0)-IF(AND('Bonding Program'!$S$12=1,'Bonding Program'!$H$12&lt;='Bonding Program'!$C$8,CD$3=IF('Bonding Program'!$P$12&lt;&gt;"",'Bonding Program'!$P$12,'Bonding Program'!$C$8)),'Bonding Program'!$Z$12,0)+IF(AND('Bonding Program'!$P$12&lt;&gt;"",CD$3='Bonding Program'!$P$12,CD$3&lt;='Bonding Program'!$C$8),N('Bonding Program'!$O$12),0)</f>
        <v>0</v>
      </c>
      <c r="CE153" s="19" t="n">
        <f aca="false">IF(AND('Bonding Program'!$S$12=1,'Bonding Program'!$H$12&gt;'Bonding Program'!$C$8,CE$3='Bonding Program'!$H$12),'Bonding Program'!$T$12-'Bonding Program'!$U$12-'Bonding Program'!$Z$12,0)-IF(AND('Bonding Program'!$S$12=1,'Bonding Program'!$H$12&lt;='Bonding Program'!$C$8,CE$3=IF('Bonding Program'!$P$12&lt;&gt;"",'Bonding Program'!$P$12,'Bonding Program'!$C$8)),'Bonding Program'!$Z$12,0)+IF(AND('Bonding Program'!$P$12&lt;&gt;"",CE$3='Bonding Program'!$P$12,CE$3&lt;='Bonding Program'!$C$8),N('Bonding Program'!$O$12),0)</f>
        <v>0</v>
      </c>
      <c r="CF153" s="19" t="n">
        <f aca="false">IF(AND('Bonding Program'!$S$12=1,'Bonding Program'!$H$12&gt;'Bonding Program'!$C$8,CF$3='Bonding Program'!$H$12),'Bonding Program'!$T$12-'Bonding Program'!$U$12-'Bonding Program'!$Z$12,0)-IF(AND('Bonding Program'!$S$12=1,'Bonding Program'!$H$12&lt;='Bonding Program'!$C$8,CF$3=IF('Bonding Program'!$P$12&lt;&gt;"",'Bonding Program'!$P$12,'Bonding Program'!$C$8)),'Bonding Program'!$Z$12,0)+IF(AND('Bonding Program'!$P$12&lt;&gt;"",CF$3='Bonding Program'!$P$12,CF$3&lt;='Bonding Program'!$C$8),N('Bonding Program'!$O$12),0)</f>
        <v>0</v>
      </c>
      <c r="CG153" s="19" t="n">
        <f aca="false">IF(AND('Bonding Program'!$S$12=1,'Bonding Program'!$H$12&gt;'Bonding Program'!$C$8,CG$3='Bonding Program'!$H$12),'Bonding Program'!$T$12-'Bonding Program'!$U$12-'Bonding Program'!$Z$12,0)-IF(AND('Bonding Program'!$S$12=1,'Bonding Program'!$H$12&lt;='Bonding Program'!$C$8,CG$3=IF('Bonding Program'!$P$12&lt;&gt;"",'Bonding Program'!$P$12,'Bonding Program'!$C$8)),'Bonding Program'!$Z$12,0)+IF(AND('Bonding Program'!$P$12&lt;&gt;"",CG$3='Bonding Program'!$P$12,CG$3&lt;='Bonding Program'!$C$8),N('Bonding Program'!$O$12),0)</f>
        <v>0</v>
      </c>
      <c r="CH153" s="19" t="n">
        <f aca="false">IF(AND('Bonding Program'!$S$12=1,'Bonding Program'!$H$12&gt;'Bonding Program'!$C$8,CH$3='Bonding Program'!$H$12),'Bonding Program'!$T$12-'Bonding Program'!$U$12-'Bonding Program'!$Z$12,0)-IF(AND('Bonding Program'!$S$12=1,'Bonding Program'!$H$12&lt;='Bonding Program'!$C$8,CH$3=IF('Bonding Program'!$P$12&lt;&gt;"",'Bonding Program'!$P$12,'Bonding Program'!$C$8)),'Bonding Program'!$Z$12,0)+IF(AND('Bonding Program'!$P$12&lt;&gt;"",CH$3='Bonding Program'!$P$12,CH$3&lt;='Bonding Program'!$C$8),N('Bonding Program'!$O$12),0)</f>
        <v>0</v>
      </c>
      <c r="CI153" s="19" t="n">
        <f aca="false">IF(AND('Bonding Program'!$S$12=1,'Bonding Program'!$H$12&gt;'Bonding Program'!$C$8,CI$3='Bonding Program'!$H$12),'Bonding Program'!$T$12-'Bonding Program'!$U$12-'Bonding Program'!$Z$12,0)-IF(AND('Bonding Program'!$S$12=1,'Bonding Program'!$H$12&lt;='Bonding Program'!$C$8,CI$3=IF('Bonding Program'!$P$12&lt;&gt;"",'Bonding Program'!$P$12,'Bonding Program'!$C$8)),'Bonding Program'!$Z$12,0)+IF(AND('Bonding Program'!$P$12&lt;&gt;"",CI$3='Bonding Program'!$P$12,CI$3&lt;='Bonding Program'!$C$8),N('Bonding Program'!$O$12),0)</f>
        <v>0</v>
      </c>
      <c r="CJ153" s="19" t="n">
        <f aca="false">IF(AND('Bonding Program'!$S$12=1,'Bonding Program'!$H$12&gt;'Bonding Program'!$C$8,CJ$3='Bonding Program'!$H$12),'Bonding Program'!$T$12-'Bonding Program'!$U$12-'Bonding Program'!$Z$12,0)-IF(AND('Bonding Program'!$S$12=1,'Bonding Program'!$H$12&lt;='Bonding Program'!$C$8,CJ$3=IF('Bonding Program'!$P$12&lt;&gt;"",'Bonding Program'!$P$12,'Bonding Program'!$C$8)),'Bonding Program'!$Z$12,0)+IF(AND('Bonding Program'!$P$12&lt;&gt;"",CJ$3='Bonding Program'!$P$12,CJ$3&lt;='Bonding Program'!$C$8),N('Bonding Program'!$O$12),0)</f>
        <v>0</v>
      </c>
      <c r="CK153" s="19" t="n">
        <f aca="false">IF(AND('Bonding Program'!$S$12=1,'Bonding Program'!$H$12&gt;'Bonding Program'!$C$8,CK$3='Bonding Program'!$H$12),'Bonding Program'!$T$12-'Bonding Program'!$U$12-'Bonding Program'!$Z$12,0)-IF(AND('Bonding Program'!$S$12=1,'Bonding Program'!$H$12&lt;='Bonding Program'!$C$8,CK$3=IF('Bonding Program'!$P$12&lt;&gt;"",'Bonding Program'!$P$12,'Bonding Program'!$C$8)),'Bonding Program'!$Z$12,0)+IF(AND('Bonding Program'!$P$12&lt;&gt;"",CK$3='Bonding Program'!$P$12,CK$3&lt;='Bonding Program'!$C$8),N('Bonding Program'!$O$12),0)</f>
        <v>0</v>
      </c>
      <c r="CL153" s="19" t="n">
        <f aca="false">IF(AND('Bonding Program'!$S$12=1,'Bonding Program'!$H$12&gt;'Bonding Program'!$C$8,CL$3='Bonding Program'!$H$12),'Bonding Program'!$T$12-'Bonding Program'!$U$12-'Bonding Program'!$Z$12,0)-IF(AND('Bonding Program'!$S$12=1,'Bonding Program'!$H$12&lt;='Bonding Program'!$C$8,CL$3=IF('Bonding Program'!$P$12&lt;&gt;"",'Bonding Program'!$P$12,'Bonding Program'!$C$8)),'Bonding Program'!$Z$12,0)+IF(AND('Bonding Program'!$P$12&lt;&gt;"",CL$3='Bonding Program'!$P$12,CL$3&lt;='Bonding Program'!$C$8),N('Bonding Program'!$O$12),0)</f>
        <v>0</v>
      </c>
      <c r="CM153" s="19" t="n">
        <f aca="false">IF(AND('Bonding Program'!$S$12=1,'Bonding Program'!$H$12&gt;'Bonding Program'!$C$8,CM$3='Bonding Program'!$H$12),'Bonding Program'!$T$12-'Bonding Program'!$U$12-'Bonding Program'!$Z$12,0)-IF(AND('Bonding Program'!$S$12=1,'Bonding Program'!$H$12&lt;='Bonding Program'!$C$8,CM$3=IF('Bonding Program'!$P$12&lt;&gt;"",'Bonding Program'!$P$12,'Bonding Program'!$C$8)),'Bonding Program'!$Z$12,0)+IF(AND('Bonding Program'!$P$12&lt;&gt;"",CM$3='Bonding Program'!$P$12,CM$3&lt;='Bonding Program'!$C$8),N('Bonding Program'!$O$12),0)</f>
        <v>0</v>
      </c>
      <c r="CN153" s="19" t="n">
        <f aca="false">IF(AND('Bonding Program'!$S$12=1,'Bonding Program'!$H$12&gt;'Bonding Program'!$C$8,CN$3='Bonding Program'!$H$12),'Bonding Program'!$T$12-'Bonding Program'!$U$12-'Bonding Program'!$Z$12,0)-IF(AND('Bonding Program'!$S$12=1,'Bonding Program'!$H$12&lt;='Bonding Program'!$C$8,CN$3=IF('Bonding Program'!$P$12&lt;&gt;"",'Bonding Program'!$P$12,'Bonding Program'!$C$8)),'Bonding Program'!$Z$12,0)+IF(AND('Bonding Program'!$P$12&lt;&gt;"",CN$3='Bonding Program'!$P$12,CN$3&lt;='Bonding Program'!$C$8),N('Bonding Program'!$O$12),0)</f>
        <v>0</v>
      </c>
      <c r="CO153" s="19" t="n">
        <f aca="false">IF(AND('Bonding Program'!$S$12=1,'Bonding Program'!$H$12&gt;'Bonding Program'!$C$8,CO$3='Bonding Program'!$H$12),'Bonding Program'!$T$12-'Bonding Program'!$U$12-'Bonding Program'!$Z$12,0)-IF(AND('Bonding Program'!$S$12=1,'Bonding Program'!$H$12&lt;='Bonding Program'!$C$8,CO$3=IF('Bonding Program'!$P$12&lt;&gt;"",'Bonding Program'!$P$12,'Bonding Program'!$C$8)),'Bonding Program'!$Z$12,0)+IF(AND('Bonding Program'!$P$12&lt;&gt;"",CO$3='Bonding Program'!$P$12,CO$3&lt;='Bonding Program'!$C$8),N('Bonding Program'!$O$12),0)</f>
        <v>0</v>
      </c>
      <c r="CP153" s="19" t="n">
        <f aca="false">IF(AND('Bonding Program'!$S$12=1,'Bonding Program'!$H$12&gt;'Bonding Program'!$C$8,CP$3='Bonding Program'!$H$12),'Bonding Program'!$T$12-'Bonding Program'!$U$12-'Bonding Program'!$Z$12,0)-IF(AND('Bonding Program'!$S$12=1,'Bonding Program'!$H$12&lt;='Bonding Program'!$C$8,CP$3=IF('Bonding Program'!$P$12&lt;&gt;"",'Bonding Program'!$P$12,'Bonding Program'!$C$8)),'Bonding Program'!$Z$12,0)+IF(AND('Bonding Program'!$P$12&lt;&gt;"",CP$3='Bonding Program'!$P$12,CP$3&lt;='Bonding Program'!$C$8),N('Bonding Program'!$O$12),0)</f>
        <v>0</v>
      </c>
      <c r="CQ153" s="19" t="n">
        <f aca="false">IF(AND('Bonding Program'!$S$12=1,'Bonding Program'!$H$12&gt;'Bonding Program'!$C$8,CQ$3='Bonding Program'!$H$12),'Bonding Program'!$T$12-'Bonding Program'!$U$12-'Bonding Program'!$Z$12,0)-IF(AND('Bonding Program'!$S$12=1,'Bonding Program'!$H$12&lt;='Bonding Program'!$C$8,CQ$3=IF('Bonding Program'!$P$12&lt;&gt;"",'Bonding Program'!$P$12,'Bonding Program'!$C$8)),'Bonding Program'!$Z$12,0)+IF(AND('Bonding Program'!$P$12&lt;&gt;"",CQ$3='Bonding Program'!$P$12,CQ$3&lt;='Bonding Program'!$C$8),N('Bonding Program'!$O$12),0)</f>
        <v>0</v>
      </c>
      <c r="CR153" s="19" t="n">
        <f aca="false">IF(AND('Bonding Program'!$S$12=1,'Bonding Program'!$H$12&gt;'Bonding Program'!$C$8,CR$3='Bonding Program'!$H$12),'Bonding Program'!$T$12-'Bonding Program'!$U$12-'Bonding Program'!$Z$12,0)-IF(AND('Bonding Program'!$S$12=1,'Bonding Program'!$H$12&lt;='Bonding Program'!$C$8,CR$3=IF('Bonding Program'!$P$12&lt;&gt;"",'Bonding Program'!$P$12,'Bonding Program'!$C$8)),'Bonding Program'!$Z$12,0)+IF(AND('Bonding Program'!$P$12&lt;&gt;"",CR$3='Bonding Program'!$P$12,CR$3&lt;='Bonding Program'!$C$8),N('Bonding Program'!$O$12),0)</f>
        <v>0</v>
      </c>
      <c r="CS153" s="19" t="n">
        <f aca="false">IF(AND('Bonding Program'!$S$12=1,'Bonding Program'!$H$12&gt;'Bonding Program'!$C$8,CS$3='Bonding Program'!$H$12),'Bonding Program'!$T$12-'Bonding Program'!$U$12-'Bonding Program'!$Z$12,0)-IF(AND('Bonding Program'!$S$12=1,'Bonding Program'!$H$12&lt;='Bonding Program'!$C$8,CS$3=IF('Bonding Program'!$P$12&lt;&gt;"",'Bonding Program'!$P$12,'Bonding Program'!$C$8)),'Bonding Program'!$Z$12,0)+IF(AND('Bonding Program'!$P$12&lt;&gt;"",CS$3='Bonding Program'!$P$12,CS$3&lt;='Bonding Program'!$C$8),N('Bonding Program'!$O$12),0)</f>
        <v>0</v>
      </c>
      <c r="CT153" s="19" t="n">
        <f aca="false">IF(AND('Bonding Program'!$S$12=1,'Bonding Program'!$H$12&gt;'Bonding Program'!$C$8,CT$3='Bonding Program'!$H$12),'Bonding Program'!$T$12-'Bonding Program'!$U$12-'Bonding Program'!$Z$12,0)-IF(AND('Bonding Program'!$S$12=1,'Bonding Program'!$H$12&lt;='Bonding Program'!$C$8,CT$3=IF('Bonding Program'!$P$12&lt;&gt;"",'Bonding Program'!$P$12,'Bonding Program'!$C$8)),'Bonding Program'!$Z$12,0)+IF(AND('Bonding Program'!$P$12&lt;&gt;"",CT$3='Bonding Program'!$P$12,CT$3&lt;='Bonding Program'!$C$8),N('Bonding Program'!$O$12),0)</f>
        <v>0</v>
      </c>
      <c r="CU153" s="19" t="n">
        <f aca="false">IF(AND('Bonding Program'!$S$12=1,'Bonding Program'!$H$12&gt;'Bonding Program'!$C$8,CU$3='Bonding Program'!$H$12),'Bonding Program'!$T$12-'Bonding Program'!$U$12-'Bonding Program'!$Z$12,0)-IF(AND('Bonding Program'!$S$12=1,'Bonding Program'!$H$12&lt;='Bonding Program'!$C$8,CU$3=IF('Bonding Program'!$P$12&lt;&gt;"",'Bonding Program'!$P$12,'Bonding Program'!$C$8)),'Bonding Program'!$Z$12,0)+IF(AND('Bonding Program'!$P$12&lt;&gt;"",CU$3='Bonding Program'!$P$12,CU$3&lt;='Bonding Program'!$C$8),N('Bonding Program'!$O$12),0)</f>
        <v>0</v>
      </c>
      <c r="CV153" s="19" t="n">
        <f aca="false">IF(AND('Bonding Program'!$S$12=1,'Bonding Program'!$H$12&gt;'Bonding Program'!$C$8,CV$3='Bonding Program'!$H$12),'Bonding Program'!$T$12-'Bonding Program'!$U$12-'Bonding Program'!$Z$12,0)-IF(AND('Bonding Program'!$S$12=1,'Bonding Program'!$H$12&lt;='Bonding Program'!$C$8,CV$3=IF('Bonding Program'!$P$12&lt;&gt;"",'Bonding Program'!$P$12,'Bonding Program'!$C$8)),'Bonding Program'!$Z$12,0)+IF(AND('Bonding Program'!$P$12&lt;&gt;"",CV$3='Bonding Program'!$P$12,CV$3&lt;='Bonding Program'!$C$8),N('Bonding Program'!$O$12),0)</f>
        <v>0</v>
      </c>
      <c r="CW153" s="19" t="n">
        <f aca="false">IF(AND('Bonding Program'!$S$12=1,'Bonding Program'!$H$12&gt;'Bonding Program'!$C$8,CW$3='Bonding Program'!$H$12),'Bonding Program'!$T$12-'Bonding Program'!$U$12-'Bonding Program'!$Z$12,0)-IF(AND('Bonding Program'!$S$12=1,'Bonding Program'!$H$12&lt;='Bonding Program'!$C$8,CW$3=IF('Bonding Program'!$P$12&lt;&gt;"",'Bonding Program'!$P$12,'Bonding Program'!$C$8)),'Bonding Program'!$Z$12,0)+IF(AND('Bonding Program'!$P$12&lt;&gt;"",CW$3='Bonding Program'!$P$12,CW$3&lt;='Bonding Program'!$C$8),N('Bonding Program'!$O$12),0)</f>
        <v>0</v>
      </c>
      <c r="CX153" s="19" t="n">
        <f aca="false">IF(AND('Bonding Program'!$S$12=1,'Bonding Program'!$H$12&gt;'Bonding Program'!$C$8,CX$3='Bonding Program'!$H$12),'Bonding Program'!$T$12-'Bonding Program'!$U$12-'Bonding Program'!$Z$12,0)-IF(AND('Bonding Program'!$S$12=1,'Bonding Program'!$H$12&lt;='Bonding Program'!$C$8,CX$3=IF('Bonding Program'!$P$12&lt;&gt;"",'Bonding Program'!$P$12,'Bonding Program'!$C$8)),'Bonding Program'!$Z$12,0)+IF(AND('Bonding Program'!$P$12&lt;&gt;"",CX$3='Bonding Program'!$P$12,CX$3&lt;='Bonding Program'!$C$8),N('Bonding Program'!$O$12),0)</f>
        <v>0</v>
      </c>
      <c r="CY153" s="19" t="n">
        <f aca="false">IF(AND('Bonding Program'!$S$12=1,'Bonding Program'!$H$12&gt;'Bonding Program'!$C$8,CY$3='Bonding Program'!$H$12),'Bonding Program'!$T$12-'Bonding Program'!$U$12-'Bonding Program'!$Z$12,0)-IF(AND('Bonding Program'!$S$12=1,'Bonding Program'!$H$12&lt;='Bonding Program'!$C$8,CY$3=IF('Bonding Program'!$P$12&lt;&gt;"",'Bonding Program'!$P$12,'Bonding Program'!$C$8)),'Bonding Program'!$Z$12,0)+IF(AND('Bonding Program'!$P$12&lt;&gt;"",CY$3='Bonding Program'!$P$12,CY$3&lt;='Bonding Program'!$C$8),N('Bonding Program'!$O$12),0)</f>
        <v>0</v>
      </c>
      <c r="CZ153" s="19" t="n">
        <f aca="false">IF(AND('Bonding Program'!$S$12=1,'Bonding Program'!$H$12&gt;'Bonding Program'!$C$8,CZ$3='Bonding Program'!$H$12),'Bonding Program'!$T$12-'Bonding Program'!$U$12-'Bonding Program'!$Z$12,0)-IF(AND('Bonding Program'!$S$12=1,'Bonding Program'!$H$12&lt;='Bonding Program'!$C$8,CZ$3=IF('Bonding Program'!$P$12&lt;&gt;"",'Bonding Program'!$P$12,'Bonding Program'!$C$8)),'Bonding Program'!$Z$12,0)+IF(AND('Bonding Program'!$P$12&lt;&gt;"",CZ$3='Bonding Program'!$P$12,CZ$3&lt;='Bonding Program'!$C$8),N('Bonding Program'!$O$12),0)</f>
        <v>0</v>
      </c>
      <c r="DA153" s="19" t="n">
        <f aca="false">IF(AND('Bonding Program'!$S$12=1,'Bonding Program'!$H$12&gt;'Bonding Program'!$C$8,DA$3='Bonding Program'!$H$12),'Bonding Program'!$T$12-'Bonding Program'!$U$12-'Bonding Program'!$Z$12,0)-IF(AND('Bonding Program'!$S$12=1,'Bonding Program'!$H$12&lt;='Bonding Program'!$C$8,DA$3=IF('Bonding Program'!$P$12&lt;&gt;"",'Bonding Program'!$P$12,'Bonding Program'!$C$8)),'Bonding Program'!$Z$12,0)+IF(AND('Bonding Program'!$P$12&lt;&gt;"",DA$3='Bonding Program'!$P$12,DA$3&lt;='Bonding Program'!$C$8),N('Bonding Program'!$O$12),0)</f>
        <v>0</v>
      </c>
      <c r="DB153" s="19" t="n">
        <f aca="false">IF(AND('Bonding Program'!$S$12=1,'Bonding Program'!$H$12&gt;'Bonding Program'!$C$8,DB$3='Bonding Program'!$H$12),'Bonding Program'!$T$12-'Bonding Program'!$U$12-'Bonding Program'!$Z$12,0)-IF(AND('Bonding Program'!$S$12=1,'Bonding Program'!$H$12&lt;='Bonding Program'!$C$8,DB$3=IF('Bonding Program'!$P$12&lt;&gt;"",'Bonding Program'!$P$12,'Bonding Program'!$C$8)),'Bonding Program'!$Z$12,0)+IF(AND('Bonding Program'!$P$12&lt;&gt;"",DB$3='Bonding Program'!$P$12,DB$3&lt;='Bonding Program'!$C$8),N('Bonding Program'!$O$12),0)</f>
        <v>0</v>
      </c>
      <c r="DC153" s="19" t="n">
        <f aca="false">IF(AND('Bonding Program'!$S$12=1,'Bonding Program'!$H$12&gt;'Bonding Program'!$C$8,DC$3='Bonding Program'!$H$12),'Bonding Program'!$T$12-'Bonding Program'!$U$12-'Bonding Program'!$Z$12,0)-IF(AND('Bonding Program'!$S$12=1,'Bonding Program'!$H$12&lt;='Bonding Program'!$C$8,DC$3=IF('Bonding Program'!$P$12&lt;&gt;"",'Bonding Program'!$P$12,'Bonding Program'!$C$8)),'Bonding Program'!$Z$12,0)+IF(AND('Bonding Program'!$P$12&lt;&gt;"",DC$3='Bonding Program'!$P$12,DC$3&lt;='Bonding Program'!$C$8),N('Bonding Program'!$O$12),0)</f>
        <v>0</v>
      </c>
      <c r="DD153" s="19" t="n">
        <f aca="false">IF(AND('Bonding Program'!$S$12=1,'Bonding Program'!$H$12&gt;'Bonding Program'!$C$8,DD$3='Bonding Program'!$H$12),'Bonding Program'!$T$12-'Bonding Program'!$U$12-'Bonding Program'!$Z$12,0)-IF(AND('Bonding Program'!$S$12=1,'Bonding Program'!$H$12&lt;='Bonding Program'!$C$8,DD$3=IF('Bonding Program'!$P$12&lt;&gt;"",'Bonding Program'!$P$12,'Bonding Program'!$C$8)),'Bonding Program'!$Z$12,0)+IF(AND('Bonding Program'!$P$12&lt;&gt;"",DD$3='Bonding Program'!$P$12,DD$3&lt;='Bonding Program'!$C$8),N('Bonding Program'!$O$12),0)</f>
        <v>0</v>
      </c>
      <c r="DE153" s="19" t="n">
        <f aca="false">IF(AND('Bonding Program'!$S$12=1,'Bonding Program'!$H$12&gt;'Bonding Program'!$C$8,DE$3='Bonding Program'!$H$12),'Bonding Program'!$T$12-'Bonding Program'!$U$12-'Bonding Program'!$Z$12,0)-IF(AND('Bonding Program'!$S$12=1,'Bonding Program'!$H$12&lt;='Bonding Program'!$C$8,DE$3=IF('Bonding Program'!$P$12&lt;&gt;"",'Bonding Program'!$P$12,'Bonding Program'!$C$8)),'Bonding Program'!$Z$12,0)+IF(AND('Bonding Program'!$P$12&lt;&gt;"",DE$3='Bonding Program'!$P$12,DE$3&lt;='Bonding Program'!$C$8),N('Bonding Program'!$O$12),0)</f>
        <v>0</v>
      </c>
    </row>
    <row r="154" customFormat="false" ht="15" hidden="false" customHeight="true" outlineLevel="1" collapsed="false">
      <c r="A154" s="28" t="s">
        <v>9</v>
      </c>
      <c r="B154" s="19" t="n">
        <f aca="false">IF(AND('Bonding Program'!$S$13=1,'Bonding Program'!$H$13&gt;'Bonding Program'!$C$8,B$3='Bonding Program'!$H$13),'Bonding Program'!$T$13-'Bonding Program'!$U$13-'Bonding Program'!$Z$13,0)-IF(AND('Bonding Program'!$S$13=1,'Bonding Program'!$H$13&lt;='Bonding Program'!$C$8,B$3=IF('Bonding Program'!$P$13&lt;&gt;"",'Bonding Program'!$P$13,'Bonding Program'!$C$8)),'Bonding Program'!$Z$13,0)+IF(AND('Bonding Program'!$P$13&lt;&gt;"",B$3='Bonding Program'!$P$13,B$3&lt;='Bonding Program'!$C$8),N('Bonding Program'!$O$13),0)</f>
        <v>0</v>
      </c>
      <c r="C154" s="19" t="n">
        <f aca="false">IF(AND('Bonding Program'!$S$13=1,'Bonding Program'!$H$13&gt;'Bonding Program'!$C$8,C$3='Bonding Program'!$H$13),'Bonding Program'!$T$13-'Bonding Program'!$U$13-'Bonding Program'!$Z$13,0)-IF(AND('Bonding Program'!$S$13=1,'Bonding Program'!$H$13&lt;='Bonding Program'!$C$8,C$3=IF('Bonding Program'!$P$13&lt;&gt;"",'Bonding Program'!$P$13,'Bonding Program'!$C$8)),'Bonding Program'!$Z$13,0)+IF(AND('Bonding Program'!$P$13&lt;&gt;"",C$3='Bonding Program'!$P$13,C$3&lt;='Bonding Program'!$C$8),N('Bonding Program'!$O$13),0)</f>
        <v>0</v>
      </c>
      <c r="D154" s="19" t="n">
        <f aca="false">IF(AND('Bonding Program'!$S$13=1,'Bonding Program'!$H$13&gt;'Bonding Program'!$C$8,D$3='Bonding Program'!$H$13),'Bonding Program'!$T$13-'Bonding Program'!$U$13-'Bonding Program'!$Z$13,0)-IF(AND('Bonding Program'!$S$13=1,'Bonding Program'!$H$13&lt;='Bonding Program'!$C$8,D$3=IF('Bonding Program'!$P$13&lt;&gt;"",'Bonding Program'!$P$13,'Bonding Program'!$C$8)),'Bonding Program'!$Z$13,0)+IF(AND('Bonding Program'!$P$13&lt;&gt;"",D$3='Bonding Program'!$P$13,D$3&lt;='Bonding Program'!$C$8),N('Bonding Program'!$O$13),0)</f>
        <v>0</v>
      </c>
      <c r="E154" s="19" t="n">
        <f aca="false">IF(AND('Bonding Program'!$S$13=1,'Bonding Program'!$H$13&gt;'Bonding Program'!$C$8,E$3='Bonding Program'!$H$13),'Bonding Program'!$T$13-'Bonding Program'!$U$13-'Bonding Program'!$Z$13,0)-IF(AND('Bonding Program'!$S$13=1,'Bonding Program'!$H$13&lt;='Bonding Program'!$C$8,E$3=IF('Bonding Program'!$P$13&lt;&gt;"",'Bonding Program'!$P$13,'Bonding Program'!$C$8)),'Bonding Program'!$Z$13,0)+IF(AND('Bonding Program'!$P$13&lt;&gt;"",E$3='Bonding Program'!$P$13,E$3&lt;='Bonding Program'!$C$8),N('Bonding Program'!$O$13),0)</f>
        <v>0</v>
      </c>
      <c r="F154" s="19" t="n">
        <f aca="false">IF(AND('Bonding Program'!$S$13=1,'Bonding Program'!$H$13&gt;'Bonding Program'!$C$8,F$3='Bonding Program'!$H$13),'Bonding Program'!$T$13-'Bonding Program'!$U$13-'Bonding Program'!$Z$13,0)-IF(AND('Bonding Program'!$S$13=1,'Bonding Program'!$H$13&lt;='Bonding Program'!$C$8,F$3=IF('Bonding Program'!$P$13&lt;&gt;"",'Bonding Program'!$P$13,'Bonding Program'!$C$8)),'Bonding Program'!$Z$13,0)+IF(AND('Bonding Program'!$P$13&lt;&gt;"",F$3='Bonding Program'!$P$13,F$3&lt;='Bonding Program'!$C$8),N('Bonding Program'!$O$13),0)</f>
        <v>0</v>
      </c>
      <c r="G154" s="19" t="n">
        <f aca="false">IF(AND('Bonding Program'!$S$13=1,'Bonding Program'!$H$13&gt;'Bonding Program'!$C$8,G$3='Bonding Program'!$H$13),'Bonding Program'!$T$13-'Bonding Program'!$U$13-'Bonding Program'!$Z$13,0)-IF(AND('Bonding Program'!$S$13=1,'Bonding Program'!$H$13&lt;='Bonding Program'!$C$8,G$3=IF('Bonding Program'!$P$13&lt;&gt;"",'Bonding Program'!$P$13,'Bonding Program'!$C$8)),'Bonding Program'!$Z$13,0)+IF(AND('Bonding Program'!$P$13&lt;&gt;"",G$3='Bonding Program'!$P$13,G$3&lt;='Bonding Program'!$C$8),N('Bonding Program'!$O$13),0)</f>
        <v>0</v>
      </c>
      <c r="H154" s="19" t="n">
        <f aca="false">IF(AND('Bonding Program'!$S$13=1,'Bonding Program'!$H$13&gt;'Bonding Program'!$C$8,H$3='Bonding Program'!$H$13),'Bonding Program'!$T$13-'Bonding Program'!$U$13-'Bonding Program'!$Z$13,0)-IF(AND('Bonding Program'!$S$13=1,'Bonding Program'!$H$13&lt;='Bonding Program'!$C$8,H$3=IF('Bonding Program'!$P$13&lt;&gt;"",'Bonding Program'!$P$13,'Bonding Program'!$C$8)),'Bonding Program'!$Z$13,0)+IF(AND('Bonding Program'!$P$13&lt;&gt;"",H$3='Bonding Program'!$P$13,H$3&lt;='Bonding Program'!$C$8),N('Bonding Program'!$O$13),0)</f>
        <v>0</v>
      </c>
      <c r="I154" s="19" t="n">
        <f aca="false">IF(AND('Bonding Program'!$S$13=1,'Bonding Program'!$H$13&gt;'Bonding Program'!$C$8,I$3='Bonding Program'!$H$13),'Bonding Program'!$T$13-'Bonding Program'!$U$13-'Bonding Program'!$Z$13,0)-IF(AND('Bonding Program'!$S$13=1,'Bonding Program'!$H$13&lt;='Bonding Program'!$C$8,I$3=IF('Bonding Program'!$P$13&lt;&gt;"",'Bonding Program'!$P$13,'Bonding Program'!$C$8)),'Bonding Program'!$Z$13,0)+IF(AND('Bonding Program'!$P$13&lt;&gt;"",I$3='Bonding Program'!$P$13,I$3&lt;='Bonding Program'!$C$8),N('Bonding Program'!$O$13),0)</f>
        <v>0</v>
      </c>
      <c r="J154" s="19" t="n">
        <f aca="false">IF(AND('Bonding Program'!$S$13=1,'Bonding Program'!$H$13&gt;'Bonding Program'!$C$8,J$3='Bonding Program'!$H$13),'Bonding Program'!$T$13-'Bonding Program'!$U$13-'Bonding Program'!$Z$13,0)-IF(AND('Bonding Program'!$S$13=1,'Bonding Program'!$H$13&lt;='Bonding Program'!$C$8,J$3=IF('Bonding Program'!$P$13&lt;&gt;"",'Bonding Program'!$P$13,'Bonding Program'!$C$8)),'Bonding Program'!$Z$13,0)+IF(AND('Bonding Program'!$P$13&lt;&gt;"",J$3='Bonding Program'!$P$13,J$3&lt;='Bonding Program'!$C$8),N('Bonding Program'!$O$13),0)</f>
        <v>0</v>
      </c>
      <c r="K154" s="19" t="n">
        <f aca="false">IF(AND('Bonding Program'!$S$13=1,'Bonding Program'!$H$13&gt;'Bonding Program'!$C$8,K$3='Bonding Program'!$H$13),'Bonding Program'!$T$13-'Bonding Program'!$U$13-'Bonding Program'!$Z$13,0)-IF(AND('Bonding Program'!$S$13=1,'Bonding Program'!$H$13&lt;='Bonding Program'!$C$8,K$3=IF('Bonding Program'!$P$13&lt;&gt;"",'Bonding Program'!$P$13,'Bonding Program'!$C$8)),'Bonding Program'!$Z$13,0)+IF(AND('Bonding Program'!$P$13&lt;&gt;"",K$3='Bonding Program'!$P$13,K$3&lt;='Bonding Program'!$C$8),N('Bonding Program'!$O$13),0)</f>
        <v>0</v>
      </c>
      <c r="L154" s="19" t="n">
        <f aca="false">IF(AND('Bonding Program'!$S$13=1,'Bonding Program'!$H$13&gt;'Bonding Program'!$C$8,L$3='Bonding Program'!$H$13),'Bonding Program'!$T$13-'Bonding Program'!$U$13-'Bonding Program'!$Z$13,0)-IF(AND('Bonding Program'!$S$13=1,'Bonding Program'!$H$13&lt;='Bonding Program'!$C$8,L$3=IF('Bonding Program'!$P$13&lt;&gt;"",'Bonding Program'!$P$13,'Bonding Program'!$C$8)),'Bonding Program'!$Z$13,0)+IF(AND('Bonding Program'!$P$13&lt;&gt;"",L$3='Bonding Program'!$P$13,L$3&lt;='Bonding Program'!$C$8),N('Bonding Program'!$O$13),0)</f>
        <v>0</v>
      </c>
      <c r="M154" s="19" t="n">
        <f aca="false">IF(AND('Bonding Program'!$S$13=1,'Bonding Program'!$H$13&gt;'Bonding Program'!$C$8,M$3='Bonding Program'!$H$13),'Bonding Program'!$T$13-'Bonding Program'!$U$13-'Bonding Program'!$Z$13,0)-IF(AND('Bonding Program'!$S$13=1,'Bonding Program'!$H$13&lt;='Bonding Program'!$C$8,M$3=IF('Bonding Program'!$P$13&lt;&gt;"",'Bonding Program'!$P$13,'Bonding Program'!$C$8)),'Bonding Program'!$Z$13,0)+IF(AND('Bonding Program'!$P$13&lt;&gt;"",M$3='Bonding Program'!$P$13,M$3&lt;='Bonding Program'!$C$8),N('Bonding Program'!$O$13),0)</f>
        <v>0</v>
      </c>
      <c r="N154" s="19" t="n">
        <f aca="false">IF(AND('Bonding Program'!$S$13=1,'Bonding Program'!$H$13&gt;'Bonding Program'!$C$8,N$3='Bonding Program'!$H$13),'Bonding Program'!$T$13-'Bonding Program'!$U$13-'Bonding Program'!$Z$13,0)-IF(AND('Bonding Program'!$S$13=1,'Bonding Program'!$H$13&lt;='Bonding Program'!$C$8,N$3=IF('Bonding Program'!$P$13&lt;&gt;"",'Bonding Program'!$P$13,'Bonding Program'!$C$8)),'Bonding Program'!$Z$13,0)+IF(AND('Bonding Program'!$P$13&lt;&gt;"",N$3='Bonding Program'!$P$13,N$3&lt;='Bonding Program'!$C$8),N('Bonding Program'!$O$13),0)</f>
        <v>0</v>
      </c>
      <c r="O154" s="19" t="n">
        <f aca="false">IF(AND('Bonding Program'!$S$13=1,'Bonding Program'!$H$13&gt;'Bonding Program'!$C$8,O$3='Bonding Program'!$H$13),'Bonding Program'!$T$13-'Bonding Program'!$U$13-'Bonding Program'!$Z$13,0)-IF(AND('Bonding Program'!$S$13=1,'Bonding Program'!$H$13&lt;='Bonding Program'!$C$8,O$3=IF('Bonding Program'!$P$13&lt;&gt;"",'Bonding Program'!$P$13,'Bonding Program'!$C$8)),'Bonding Program'!$Z$13,0)+IF(AND('Bonding Program'!$P$13&lt;&gt;"",O$3='Bonding Program'!$P$13,O$3&lt;='Bonding Program'!$C$8),N('Bonding Program'!$O$13),0)</f>
        <v>0</v>
      </c>
      <c r="P154" s="19" t="n">
        <f aca="false">IF(AND('Bonding Program'!$S$13=1,'Bonding Program'!$H$13&gt;'Bonding Program'!$C$8,P$3='Bonding Program'!$H$13),'Bonding Program'!$T$13-'Bonding Program'!$U$13-'Bonding Program'!$Z$13,0)-IF(AND('Bonding Program'!$S$13=1,'Bonding Program'!$H$13&lt;='Bonding Program'!$C$8,P$3=IF('Bonding Program'!$P$13&lt;&gt;"",'Bonding Program'!$P$13,'Bonding Program'!$C$8)),'Bonding Program'!$Z$13,0)+IF(AND('Bonding Program'!$P$13&lt;&gt;"",P$3='Bonding Program'!$P$13,P$3&lt;='Bonding Program'!$C$8),N('Bonding Program'!$O$13),0)</f>
        <v>0</v>
      </c>
      <c r="Q154" s="19" t="n">
        <f aca="false">IF(AND('Bonding Program'!$S$13=1,'Bonding Program'!$H$13&gt;'Bonding Program'!$C$8,Q$3='Bonding Program'!$H$13),'Bonding Program'!$T$13-'Bonding Program'!$U$13-'Bonding Program'!$Z$13,0)-IF(AND('Bonding Program'!$S$13=1,'Bonding Program'!$H$13&lt;='Bonding Program'!$C$8,Q$3=IF('Bonding Program'!$P$13&lt;&gt;"",'Bonding Program'!$P$13,'Bonding Program'!$C$8)),'Bonding Program'!$Z$13,0)+IF(AND('Bonding Program'!$P$13&lt;&gt;"",Q$3='Bonding Program'!$P$13,Q$3&lt;='Bonding Program'!$C$8),N('Bonding Program'!$O$13),0)</f>
        <v>0</v>
      </c>
      <c r="R154" s="19" t="n">
        <f aca="false">IF(AND('Bonding Program'!$S$13=1,'Bonding Program'!$H$13&gt;'Bonding Program'!$C$8,R$3='Bonding Program'!$H$13),'Bonding Program'!$T$13-'Bonding Program'!$U$13-'Bonding Program'!$Z$13,0)-IF(AND('Bonding Program'!$S$13=1,'Bonding Program'!$H$13&lt;='Bonding Program'!$C$8,R$3=IF('Bonding Program'!$P$13&lt;&gt;"",'Bonding Program'!$P$13,'Bonding Program'!$C$8)),'Bonding Program'!$Z$13,0)+IF(AND('Bonding Program'!$P$13&lt;&gt;"",R$3='Bonding Program'!$P$13,R$3&lt;='Bonding Program'!$C$8),N('Bonding Program'!$O$13),0)</f>
        <v>0</v>
      </c>
      <c r="S154" s="19" t="n">
        <f aca="false">IF(AND('Bonding Program'!$S$13=1,'Bonding Program'!$H$13&gt;'Bonding Program'!$C$8,S$3='Bonding Program'!$H$13),'Bonding Program'!$T$13-'Bonding Program'!$U$13-'Bonding Program'!$Z$13,0)-IF(AND('Bonding Program'!$S$13=1,'Bonding Program'!$H$13&lt;='Bonding Program'!$C$8,S$3=IF('Bonding Program'!$P$13&lt;&gt;"",'Bonding Program'!$P$13,'Bonding Program'!$C$8)),'Bonding Program'!$Z$13,0)+IF(AND('Bonding Program'!$P$13&lt;&gt;"",S$3='Bonding Program'!$P$13,S$3&lt;='Bonding Program'!$C$8),N('Bonding Program'!$O$13),0)</f>
        <v>0</v>
      </c>
      <c r="T154" s="19" t="n">
        <f aca="false">IF(AND('Bonding Program'!$S$13=1,'Bonding Program'!$H$13&gt;'Bonding Program'!$C$8,T$3='Bonding Program'!$H$13),'Bonding Program'!$T$13-'Bonding Program'!$U$13-'Bonding Program'!$Z$13,0)-IF(AND('Bonding Program'!$S$13=1,'Bonding Program'!$H$13&lt;='Bonding Program'!$C$8,T$3=IF('Bonding Program'!$P$13&lt;&gt;"",'Bonding Program'!$P$13,'Bonding Program'!$C$8)),'Bonding Program'!$Z$13,0)+IF(AND('Bonding Program'!$P$13&lt;&gt;"",T$3='Bonding Program'!$P$13,T$3&lt;='Bonding Program'!$C$8),N('Bonding Program'!$O$13),0)</f>
        <v>0</v>
      </c>
      <c r="U154" s="19" t="n">
        <f aca="false">IF(AND('Bonding Program'!$S$13=1,'Bonding Program'!$H$13&gt;'Bonding Program'!$C$8,U$3='Bonding Program'!$H$13),'Bonding Program'!$T$13-'Bonding Program'!$U$13-'Bonding Program'!$Z$13,0)-IF(AND('Bonding Program'!$S$13=1,'Bonding Program'!$H$13&lt;='Bonding Program'!$C$8,U$3=IF('Bonding Program'!$P$13&lt;&gt;"",'Bonding Program'!$P$13,'Bonding Program'!$C$8)),'Bonding Program'!$Z$13,0)+IF(AND('Bonding Program'!$P$13&lt;&gt;"",U$3='Bonding Program'!$P$13,U$3&lt;='Bonding Program'!$C$8),N('Bonding Program'!$O$13),0)</f>
        <v>0</v>
      </c>
      <c r="V154" s="19" t="n">
        <f aca="false">IF(AND('Bonding Program'!$S$13=1,'Bonding Program'!$H$13&gt;'Bonding Program'!$C$8,V$3='Bonding Program'!$H$13),'Bonding Program'!$T$13-'Bonding Program'!$U$13-'Bonding Program'!$Z$13,0)-IF(AND('Bonding Program'!$S$13=1,'Bonding Program'!$H$13&lt;='Bonding Program'!$C$8,V$3=IF('Bonding Program'!$P$13&lt;&gt;"",'Bonding Program'!$P$13,'Bonding Program'!$C$8)),'Bonding Program'!$Z$13,0)+IF(AND('Bonding Program'!$P$13&lt;&gt;"",V$3='Bonding Program'!$P$13,V$3&lt;='Bonding Program'!$C$8),N('Bonding Program'!$O$13),0)</f>
        <v>0</v>
      </c>
      <c r="W154" s="19" t="n">
        <f aca="false">IF(AND('Bonding Program'!$S$13=1,'Bonding Program'!$H$13&gt;'Bonding Program'!$C$8,W$3='Bonding Program'!$H$13),'Bonding Program'!$T$13-'Bonding Program'!$U$13-'Bonding Program'!$Z$13,0)-IF(AND('Bonding Program'!$S$13=1,'Bonding Program'!$H$13&lt;='Bonding Program'!$C$8,W$3=IF('Bonding Program'!$P$13&lt;&gt;"",'Bonding Program'!$P$13,'Bonding Program'!$C$8)),'Bonding Program'!$Z$13,0)+IF(AND('Bonding Program'!$P$13&lt;&gt;"",W$3='Bonding Program'!$P$13,W$3&lt;='Bonding Program'!$C$8),N('Bonding Program'!$O$13),0)</f>
        <v>0</v>
      </c>
      <c r="X154" s="19" t="n">
        <f aca="false">IF(AND('Bonding Program'!$S$13=1,'Bonding Program'!$H$13&gt;'Bonding Program'!$C$8,X$3='Bonding Program'!$H$13),'Bonding Program'!$T$13-'Bonding Program'!$U$13-'Bonding Program'!$Z$13,0)-IF(AND('Bonding Program'!$S$13=1,'Bonding Program'!$H$13&lt;='Bonding Program'!$C$8,X$3=IF('Bonding Program'!$P$13&lt;&gt;"",'Bonding Program'!$P$13,'Bonding Program'!$C$8)),'Bonding Program'!$Z$13,0)+IF(AND('Bonding Program'!$P$13&lt;&gt;"",X$3='Bonding Program'!$P$13,X$3&lt;='Bonding Program'!$C$8),N('Bonding Program'!$O$13),0)</f>
        <v>0</v>
      </c>
      <c r="Y154" s="19" t="n">
        <f aca="false">IF(AND('Bonding Program'!$S$13=1,'Bonding Program'!$H$13&gt;'Bonding Program'!$C$8,Y$3='Bonding Program'!$H$13),'Bonding Program'!$T$13-'Bonding Program'!$U$13-'Bonding Program'!$Z$13,0)-IF(AND('Bonding Program'!$S$13=1,'Bonding Program'!$H$13&lt;='Bonding Program'!$C$8,Y$3=IF('Bonding Program'!$P$13&lt;&gt;"",'Bonding Program'!$P$13,'Bonding Program'!$C$8)),'Bonding Program'!$Z$13,0)+IF(AND('Bonding Program'!$P$13&lt;&gt;"",Y$3='Bonding Program'!$P$13,Y$3&lt;='Bonding Program'!$C$8),N('Bonding Program'!$O$13),0)</f>
        <v>0</v>
      </c>
      <c r="Z154" s="19" t="n">
        <f aca="false">IF(AND('Bonding Program'!$S$13=1,'Bonding Program'!$H$13&gt;'Bonding Program'!$C$8,Z$3='Bonding Program'!$H$13),'Bonding Program'!$T$13-'Bonding Program'!$U$13-'Bonding Program'!$Z$13,0)-IF(AND('Bonding Program'!$S$13=1,'Bonding Program'!$H$13&lt;='Bonding Program'!$C$8,Z$3=IF('Bonding Program'!$P$13&lt;&gt;"",'Bonding Program'!$P$13,'Bonding Program'!$C$8)),'Bonding Program'!$Z$13,0)+IF(AND('Bonding Program'!$P$13&lt;&gt;"",Z$3='Bonding Program'!$P$13,Z$3&lt;='Bonding Program'!$C$8),N('Bonding Program'!$O$13),0)</f>
        <v>0</v>
      </c>
      <c r="AA154" s="19" t="n">
        <f aca="false">IF(AND('Bonding Program'!$S$13=1,'Bonding Program'!$H$13&gt;'Bonding Program'!$C$8,AA$3='Bonding Program'!$H$13),'Bonding Program'!$T$13-'Bonding Program'!$U$13-'Bonding Program'!$Z$13,0)-IF(AND('Bonding Program'!$S$13=1,'Bonding Program'!$H$13&lt;='Bonding Program'!$C$8,AA$3=IF('Bonding Program'!$P$13&lt;&gt;"",'Bonding Program'!$P$13,'Bonding Program'!$C$8)),'Bonding Program'!$Z$13,0)+IF(AND('Bonding Program'!$P$13&lt;&gt;"",AA$3='Bonding Program'!$P$13,AA$3&lt;='Bonding Program'!$C$8),N('Bonding Program'!$O$13),0)</f>
        <v>0</v>
      </c>
      <c r="AB154" s="19" t="n">
        <f aca="false">IF(AND('Bonding Program'!$S$13=1,'Bonding Program'!$H$13&gt;'Bonding Program'!$C$8,AB$3='Bonding Program'!$H$13),'Bonding Program'!$T$13-'Bonding Program'!$U$13-'Bonding Program'!$Z$13,0)-IF(AND('Bonding Program'!$S$13=1,'Bonding Program'!$H$13&lt;='Bonding Program'!$C$8,AB$3=IF('Bonding Program'!$P$13&lt;&gt;"",'Bonding Program'!$P$13,'Bonding Program'!$C$8)),'Bonding Program'!$Z$13,0)+IF(AND('Bonding Program'!$P$13&lt;&gt;"",AB$3='Bonding Program'!$P$13,AB$3&lt;='Bonding Program'!$C$8),N('Bonding Program'!$O$13),0)</f>
        <v>0</v>
      </c>
      <c r="AC154" s="19" t="n">
        <f aca="false">IF(AND('Bonding Program'!$S$13=1,'Bonding Program'!$H$13&gt;'Bonding Program'!$C$8,AC$3='Bonding Program'!$H$13),'Bonding Program'!$T$13-'Bonding Program'!$U$13-'Bonding Program'!$Z$13,0)-IF(AND('Bonding Program'!$S$13=1,'Bonding Program'!$H$13&lt;='Bonding Program'!$C$8,AC$3=IF('Bonding Program'!$P$13&lt;&gt;"",'Bonding Program'!$P$13,'Bonding Program'!$C$8)),'Bonding Program'!$Z$13,0)+IF(AND('Bonding Program'!$P$13&lt;&gt;"",AC$3='Bonding Program'!$P$13,AC$3&lt;='Bonding Program'!$C$8),N('Bonding Program'!$O$13),0)</f>
        <v>0</v>
      </c>
      <c r="AD154" s="19" t="n">
        <f aca="false">IF(AND('Bonding Program'!$S$13=1,'Bonding Program'!$H$13&gt;'Bonding Program'!$C$8,AD$3='Bonding Program'!$H$13),'Bonding Program'!$T$13-'Bonding Program'!$U$13-'Bonding Program'!$Z$13,0)-IF(AND('Bonding Program'!$S$13=1,'Bonding Program'!$H$13&lt;='Bonding Program'!$C$8,AD$3=IF('Bonding Program'!$P$13&lt;&gt;"",'Bonding Program'!$P$13,'Bonding Program'!$C$8)),'Bonding Program'!$Z$13,0)+IF(AND('Bonding Program'!$P$13&lt;&gt;"",AD$3='Bonding Program'!$P$13,AD$3&lt;='Bonding Program'!$C$8),N('Bonding Program'!$O$13),0)</f>
        <v>0</v>
      </c>
      <c r="AE154" s="19" t="n">
        <f aca="false">IF(AND('Bonding Program'!$S$13=1,'Bonding Program'!$H$13&gt;'Bonding Program'!$C$8,AE$3='Bonding Program'!$H$13),'Bonding Program'!$T$13-'Bonding Program'!$U$13-'Bonding Program'!$Z$13,0)-IF(AND('Bonding Program'!$S$13=1,'Bonding Program'!$H$13&lt;='Bonding Program'!$C$8,AE$3=IF('Bonding Program'!$P$13&lt;&gt;"",'Bonding Program'!$P$13,'Bonding Program'!$C$8)),'Bonding Program'!$Z$13,0)+IF(AND('Bonding Program'!$P$13&lt;&gt;"",AE$3='Bonding Program'!$P$13,AE$3&lt;='Bonding Program'!$C$8),N('Bonding Program'!$O$13),0)</f>
        <v>0</v>
      </c>
      <c r="AF154" s="19" t="n">
        <f aca="false">IF(AND('Bonding Program'!$S$13=1,'Bonding Program'!$H$13&gt;'Bonding Program'!$C$8,AF$3='Bonding Program'!$H$13),'Bonding Program'!$T$13-'Bonding Program'!$U$13-'Bonding Program'!$Z$13,0)-IF(AND('Bonding Program'!$S$13=1,'Bonding Program'!$H$13&lt;='Bonding Program'!$C$8,AF$3=IF('Bonding Program'!$P$13&lt;&gt;"",'Bonding Program'!$P$13,'Bonding Program'!$C$8)),'Bonding Program'!$Z$13,0)+IF(AND('Bonding Program'!$P$13&lt;&gt;"",AF$3='Bonding Program'!$P$13,AF$3&lt;='Bonding Program'!$C$8),N('Bonding Program'!$O$13),0)</f>
        <v>0</v>
      </c>
      <c r="AG154" s="19" t="n">
        <f aca="false">IF(AND('Bonding Program'!$S$13=1,'Bonding Program'!$H$13&gt;'Bonding Program'!$C$8,AG$3='Bonding Program'!$H$13),'Bonding Program'!$T$13-'Bonding Program'!$U$13-'Bonding Program'!$Z$13,0)-IF(AND('Bonding Program'!$S$13=1,'Bonding Program'!$H$13&lt;='Bonding Program'!$C$8,AG$3=IF('Bonding Program'!$P$13&lt;&gt;"",'Bonding Program'!$P$13,'Bonding Program'!$C$8)),'Bonding Program'!$Z$13,0)+IF(AND('Bonding Program'!$P$13&lt;&gt;"",AG$3='Bonding Program'!$P$13,AG$3&lt;='Bonding Program'!$C$8),N('Bonding Program'!$O$13),0)</f>
        <v>0</v>
      </c>
      <c r="AH154" s="19" t="n">
        <f aca="false">IF(AND('Bonding Program'!$S$13=1,'Bonding Program'!$H$13&gt;'Bonding Program'!$C$8,AH$3='Bonding Program'!$H$13),'Bonding Program'!$T$13-'Bonding Program'!$U$13-'Bonding Program'!$Z$13,0)-IF(AND('Bonding Program'!$S$13=1,'Bonding Program'!$H$13&lt;='Bonding Program'!$C$8,AH$3=IF('Bonding Program'!$P$13&lt;&gt;"",'Bonding Program'!$P$13,'Bonding Program'!$C$8)),'Bonding Program'!$Z$13,0)+IF(AND('Bonding Program'!$P$13&lt;&gt;"",AH$3='Bonding Program'!$P$13,AH$3&lt;='Bonding Program'!$C$8),N('Bonding Program'!$O$13),0)</f>
        <v>0</v>
      </c>
      <c r="AI154" s="19" t="n">
        <f aca="false">IF(AND('Bonding Program'!$S$13=1,'Bonding Program'!$H$13&gt;'Bonding Program'!$C$8,AI$3='Bonding Program'!$H$13),'Bonding Program'!$T$13-'Bonding Program'!$U$13-'Bonding Program'!$Z$13,0)-IF(AND('Bonding Program'!$S$13=1,'Bonding Program'!$H$13&lt;='Bonding Program'!$C$8,AI$3=IF('Bonding Program'!$P$13&lt;&gt;"",'Bonding Program'!$P$13,'Bonding Program'!$C$8)),'Bonding Program'!$Z$13,0)+IF(AND('Bonding Program'!$P$13&lt;&gt;"",AI$3='Bonding Program'!$P$13,AI$3&lt;='Bonding Program'!$C$8),N('Bonding Program'!$O$13),0)</f>
        <v>0</v>
      </c>
      <c r="AJ154" s="19" t="n">
        <f aca="false">IF(AND('Bonding Program'!$S$13=1,'Bonding Program'!$H$13&gt;'Bonding Program'!$C$8,AJ$3='Bonding Program'!$H$13),'Bonding Program'!$T$13-'Bonding Program'!$U$13-'Bonding Program'!$Z$13,0)-IF(AND('Bonding Program'!$S$13=1,'Bonding Program'!$H$13&lt;='Bonding Program'!$C$8,AJ$3=IF('Bonding Program'!$P$13&lt;&gt;"",'Bonding Program'!$P$13,'Bonding Program'!$C$8)),'Bonding Program'!$Z$13,0)+IF(AND('Bonding Program'!$P$13&lt;&gt;"",AJ$3='Bonding Program'!$P$13,AJ$3&lt;='Bonding Program'!$C$8),N('Bonding Program'!$O$13),0)</f>
        <v>0</v>
      </c>
      <c r="AK154" s="19" t="n">
        <f aca="false">IF(AND('Bonding Program'!$S$13=1,'Bonding Program'!$H$13&gt;'Bonding Program'!$C$8,AK$3='Bonding Program'!$H$13),'Bonding Program'!$T$13-'Bonding Program'!$U$13-'Bonding Program'!$Z$13,0)-IF(AND('Bonding Program'!$S$13=1,'Bonding Program'!$H$13&lt;='Bonding Program'!$C$8,AK$3=IF('Bonding Program'!$P$13&lt;&gt;"",'Bonding Program'!$P$13,'Bonding Program'!$C$8)),'Bonding Program'!$Z$13,0)+IF(AND('Bonding Program'!$P$13&lt;&gt;"",AK$3='Bonding Program'!$P$13,AK$3&lt;='Bonding Program'!$C$8),N('Bonding Program'!$O$13),0)</f>
        <v>0</v>
      </c>
      <c r="AL154" s="19" t="n">
        <f aca="false">IF(AND('Bonding Program'!$S$13=1,'Bonding Program'!$H$13&gt;'Bonding Program'!$C$8,AL$3='Bonding Program'!$H$13),'Bonding Program'!$T$13-'Bonding Program'!$U$13-'Bonding Program'!$Z$13,0)-IF(AND('Bonding Program'!$S$13=1,'Bonding Program'!$H$13&lt;='Bonding Program'!$C$8,AL$3=IF('Bonding Program'!$P$13&lt;&gt;"",'Bonding Program'!$P$13,'Bonding Program'!$C$8)),'Bonding Program'!$Z$13,0)+IF(AND('Bonding Program'!$P$13&lt;&gt;"",AL$3='Bonding Program'!$P$13,AL$3&lt;='Bonding Program'!$C$8),N('Bonding Program'!$O$13),0)</f>
        <v>0</v>
      </c>
      <c r="AM154" s="19" t="n">
        <f aca="false">IF(AND('Bonding Program'!$S$13=1,'Bonding Program'!$H$13&gt;'Bonding Program'!$C$8,AM$3='Bonding Program'!$H$13),'Bonding Program'!$T$13-'Bonding Program'!$U$13-'Bonding Program'!$Z$13,0)-IF(AND('Bonding Program'!$S$13=1,'Bonding Program'!$H$13&lt;='Bonding Program'!$C$8,AM$3=IF('Bonding Program'!$P$13&lt;&gt;"",'Bonding Program'!$P$13,'Bonding Program'!$C$8)),'Bonding Program'!$Z$13,0)+IF(AND('Bonding Program'!$P$13&lt;&gt;"",AM$3='Bonding Program'!$P$13,AM$3&lt;='Bonding Program'!$C$8),N('Bonding Program'!$O$13),0)</f>
        <v>0</v>
      </c>
      <c r="AN154" s="19" t="n">
        <f aca="false">IF(AND('Bonding Program'!$S$13=1,'Bonding Program'!$H$13&gt;'Bonding Program'!$C$8,AN$3='Bonding Program'!$H$13),'Bonding Program'!$T$13-'Bonding Program'!$U$13-'Bonding Program'!$Z$13,0)-IF(AND('Bonding Program'!$S$13=1,'Bonding Program'!$H$13&lt;='Bonding Program'!$C$8,AN$3=IF('Bonding Program'!$P$13&lt;&gt;"",'Bonding Program'!$P$13,'Bonding Program'!$C$8)),'Bonding Program'!$Z$13,0)+IF(AND('Bonding Program'!$P$13&lt;&gt;"",AN$3='Bonding Program'!$P$13,AN$3&lt;='Bonding Program'!$C$8),N('Bonding Program'!$O$13),0)</f>
        <v>0</v>
      </c>
      <c r="AO154" s="19" t="n">
        <f aca="false">IF(AND('Bonding Program'!$S$13=1,'Bonding Program'!$H$13&gt;'Bonding Program'!$C$8,AO$3='Bonding Program'!$H$13),'Bonding Program'!$T$13-'Bonding Program'!$U$13-'Bonding Program'!$Z$13,0)-IF(AND('Bonding Program'!$S$13=1,'Bonding Program'!$H$13&lt;='Bonding Program'!$C$8,AO$3=IF('Bonding Program'!$P$13&lt;&gt;"",'Bonding Program'!$P$13,'Bonding Program'!$C$8)),'Bonding Program'!$Z$13,0)+IF(AND('Bonding Program'!$P$13&lt;&gt;"",AO$3='Bonding Program'!$P$13,AO$3&lt;='Bonding Program'!$C$8),N('Bonding Program'!$O$13),0)</f>
        <v>0</v>
      </c>
      <c r="AP154" s="19" t="n">
        <f aca="false">IF(AND('Bonding Program'!$S$13=1,'Bonding Program'!$H$13&gt;'Bonding Program'!$C$8,AP$3='Bonding Program'!$H$13),'Bonding Program'!$T$13-'Bonding Program'!$U$13-'Bonding Program'!$Z$13,0)-IF(AND('Bonding Program'!$S$13=1,'Bonding Program'!$H$13&lt;='Bonding Program'!$C$8,AP$3=IF('Bonding Program'!$P$13&lt;&gt;"",'Bonding Program'!$P$13,'Bonding Program'!$C$8)),'Bonding Program'!$Z$13,0)+IF(AND('Bonding Program'!$P$13&lt;&gt;"",AP$3='Bonding Program'!$P$13,AP$3&lt;='Bonding Program'!$C$8),N('Bonding Program'!$O$13),0)</f>
        <v>0</v>
      </c>
      <c r="AQ154" s="19" t="n">
        <f aca="false">IF(AND('Bonding Program'!$S$13=1,'Bonding Program'!$H$13&gt;'Bonding Program'!$C$8,AQ$3='Bonding Program'!$H$13),'Bonding Program'!$T$13-'Bonding Program'!$U$13-'Bonding Program'!$Z$13,0)-IF(AND('Bonding Program'!$S$13=1,'Bonding Program'!$H$13&lt;='Bonding Program'!$C$8,AQ$3=IF('Bonding Program'!$P$13&lt;&gt;"",'Bonding Program'!$P$13,'Bonding Program'!$C$8)),'Bonding Program'!$Z$13,0)+IF(AND('Bonding Program'!$P$13&lt;&gt;"",AQ$3='Bonding Program'!$P$13,AQ$3&lt;='Bonding Program'!$C$8),N('Bonding Program'!$O$13),0)</f>
        <v>0</v>
      </c>
      <c r="AR154" s="19" t="n">
        <f aca="false">IF(AND('Bonding Program'!$S$13=1,'Bonding Program'!$H$13&gt;'Bonding Program'!$C$8,AR$3='Bonding Program'!$H$13),'Bonding Program'!$T$13-'Bonding Program'!$U$13-'Bonding Program'!$Z$13,0)-IF(AND('Bonding Program'!$S$13=1,'Bonding Program'!$H$13&lt;='Bonding Program'!$C$8,AR$3=IF('Bonding Program'!$P$13&lt;&gt;"",'Bonding Program'!$P$13,'Bonding Program'!$C$8)),'Bonding Program'!$Z$13,0)+IF(AND('Bonding Program'!$P$13&lt;&gt;"",AR$3='Bonding Program'!$P$13,AR$3&lt;='Bonding Program'!$C$8),N('Bonding Program'!$O$13),0)</f>
        <v>0</v>
      </c>
      <c r="AS154" s="19" t="n">
        <f aca="false">IF(AND('Bonding Program'!$S$13=1,'Bonding Program'!$H$13&gt;'Bonding Program'!$C$8,AS$3='Bonding Program'!$H$13),'Bonding Program'!$T$13-'Bonding Program'!$U$13-'Bonding Program'!$Z$13,0)-IF(AND('Bonding Program'!$S$13=1,'Bonding Program'!$H$13&lt;='Bonding Program'!$C$8,AS$3=IF('Bonding Program'!$P$13&lt;&gt;"",'Bonding Program'!$P$13,'Bonding Program'!$C$8)),'Bonding Program'!$Z$13,0)+IF(AND('Bonding Program'!$P$13&lt;&gt;"",AS$3='Bonding Program'!$P$13,AS$3&lt;='Bonding Program'!$C$8),N('Bonding Program'!$O$13),0)</f>
        <v>0</v>
      </c>
      <c r="AT154" s="19" t="n">
        <f aca="false">IF(AND('Bonding Program'!$S$13=1,'Bonding Program'!$H$13&gt;'Bonding Program'!$C$8,AT$3='Bonding Program'!$H$13),'Bonding Program'!$T$13-'Bonding Program'!$U$13-'Bonding Program'!$Z$13,0)-IF(AND('Bonding Program'!$S$13=1,'Bonding Program'!$H$13&lt;='Bonding Program'!$C$8,AT$3=IF('Bonding Program'!$P$13&lt;&gt;"",'Bonding Program'!$P$13,'Bonding Program'!$C$8)),'Bonding Program'!$Z$13,0)+IF(AND('Bonding Program'!$P$13&lt;&gt;"",AT$3='Bonding Program'!$P$13,AT$3&lt;='Bonding Program'!$C$8),N('Bonding Program'!$O$13),0)</f>
        <v>0</v>
      </c>
      <c r="AU154" s="19" t="n">
        <f aca="false">IF(AND('Bonding Program'!$S$13=1,'Bonding Program'!$H$13&gt;'Bonding Program'!$C$8,AU$3='Bonding Program'!$H$13),'Bonding Program'!$T$13-'Bonding Program'!$U$13-'Bonding Program'!$Z$13,0)-IF(AND('Bonding Program'!$S$13=1,'Bonding Program'!$H$13&lt;='Bonding Program'!$C$8,AU$3=IF('Bonding Program'!$P$13&lt;&gt;"",'Bonding Program'!$P$13,'Bonding Program'!$C$8)),'Bonding Program'!$Z$13,0)+IF(AND('Bonding Program'!$P$13&lt;&gt;"",AU$3='Bonding Program'!$P$13,AU$3&lt;='Bonding Program'!$C$8),N('Bonding Program'!$O$13),0)</f>
        <v>0</v>
      </c>
      <c r="AV154" s="19" t="n">
        <f aca="false">IF(AND('Bonding Program'!$S$13=1,'Bonding Program'!$H$13&gt;'Bonding Program'!$C$8,AV$3='Bonding Program'!$H$13),'Bonding Program'!$T$13-'Bonding Program'!$U$13-'Bonding Program'!$Z$13,0)-IF(AND('Bonding Program'!$S$13=1,'Bonding Program'!$H$13&lt;='Bonding Program'!$C$8,AV$3=IF('Bonding Program'!$P$13&lt;&gt;"",'Bonding Program'!$P$13,'Bonding Program'!$C$8)),'Bonding Program'!$Z$13,0)+IF(AND('Bonding Program'!$P$13&lt;&gt;"",AV$3='Bonding Program'!$P$13,AV$3&lt;='Bonding Program'!$C$8),N('Bonding Program'!$O$13),0)</f>
        <v>0</v>
      </c>
      <c r="AW154" s="19" t="n">
        <f aca="false">IF(AND('Bonding Program'!$S$13=1,'Bonding Program'!$H$13&gt;'Bonding Program'!$C$8,AW$3='Bonding Program'!$H$13),'Bonding Program'!$T$13-'Bonding Program'!$U$13-'Bonding Program'!$Z$13,0)-IF(AND('Bonding Program'!$S$13=1,'Bonding Program'!$H$13&lt;='Bonding Program'!$C$8,AW$3=IF('Bonding Program'!$P$13&lt;&gt;"",'Bonding Program'!$P$13,'Bonding Program'!$C$8)),'Bonding Program'!$Z$13,0)+IF(AND('Bonding Program'!$P$13&lt;&gt;"",AW$3='Bonding Program'!$P$13,AW$3&lt;='Bonding Program'!$C$8),N('Bonding Program'!$O$13),0)</f>
        <v>0</v>
      </c>
      <c r="AX154" s="19" t="n">
        <f aca="false">IF(AND('Bonding Program'!$S$13=1,'Bonding Program'!$H$13&gt;'Bonding Program'!$C$8,AX$3='Bonding Program'!$H$13),'Bonding Program'!$T$13-'Bonding Program'!$U$13-'Bonding Program'!$Z$13,0)-IF(AND('Bonding Program'!$S$13=1,'Bonding Program'!$H$13&lt;='Bonding Program'!$C$8,AX$3=IF('Bonding Program'!$P$13&lt;&gt;"",'Bonding Program'!$P$13,'Bonding Program'!$C$8)),'Bonding Program'!$Z$13,0)+IF(AND('Bonding Program'!$P$13&lt;&gt;"",AX$3='Bonding Program'!$P$13,AX$3&lt;='Bonding Program'!$C$8),N('Bonding Program'!$O$13),0)</f>
        <v>0</v>
      </c>
      <c r="AY154" s="19" t="n">
        <f aca="false">IF(AND('Bonding Program'!$S$13=1,'Bonding Program'!$H$13&gt;'Bonding Program'!$C$8,AY$3='Bonding Program'!$H$13),'Bonding Program'!$T$13-'Bonding Program'!$U$13-'Bonding Program'!$Z$13,0)-IF(AND('Bonding Program'!$S$13=1,'Bonding Program'!$H$13&lt;='Bonding Program'!$C$8,AY$3=IF('Bonding Program'!$P$13&lt;&gt;"",'Bonding Program'!$P$13,'Bonding Program'!$C$8)),'Bonding Program'!$Z$13,0)+IF(AND('Bonding Program'!$P$13&lt;&gt;"",AY$3='Bonding Program'!$P$13,AY$3&lt;='Bonding Program'!$C$8),N('Bonding Program'!$O$13),0)</f>
        <v>0</v>
      </c>
      <c r="AZ154" s="19" t="n">
        <f aca="false">IF(AND('Bonding Program'!$S$13=1,'Bonding Program'!$H$13&gt;'Bonding Program'!$C$8,AZ$3='Bonding Program'!$H$13),'Bonding Program'!$T$13-'Bonding Program'!$U$13-'Bonding Program'!$Z$13,0)-IF(AND('Bonding Program'!$S$13=1,'Bonding Program'!$H$13&lt;='Bonding Program'!$C$8,AZ$3=IF('Bonding Program'!$P$13&lt;&gt;"",'Bonding Program'!$P$13,'Bonding Program'!$C$8)),'Bonding Program'!$Z$13,0)+IF(AND('Bonding Program'!$P$13&lt;&gt;"",AZ$3='Bonding Program'!$P$13,AZ$3&lt;='Bonding Program'!$C$8),N('Bonding Program'!$O$13),0)</f>
        <v>0</v>
      </c>
      <c r="BA154" s="19" t="n">
        <f aca="false">IF(AND('Bonding Program'!$S$13=1,'Bonding Program'!$H$13&gt;'Bonding Program'!$C$8,BA$3='Bonding Program'!$H$13),'Bonding Program'!$T$13-'Bonding Program'!$U$13-'Bonding Program'!$Z$13,0)-IF(AND('Bonding Program'!$S$13=1,'Bonding Program'!$H$13&lt;='Bonding Program'!$C$8,BA$3=IF('Bonding Program'!$P$13&lt;&gt;"",'Bonding Program'!$P$13,'Bonding Program'!$C$8)),'Bonding Program'!$Z$13,0)+IF(AND('Bonding Program'!$P$13&lt;&gt;"",BA$3='Bonding Program'!$P$13,BA$3&lt;='Bonding Program'!$C$8),N('Bonding Program'!$O$13),0)</f>
        <v>0</v>
      </c>
      <c r="BB154" s="19" t="n">
        <f aca="false">IF(AND('Bonding Program'!$S$13=1,'Bonding Program'!$H$13&gt;'Bonding Program'!$C$8,BB$3='Bonding Program'!$H$13),'Bonding Program'!$T$13-'Bonding Program'!$U$13-'Bonding Program'!$Z$13,0)-IF(AND('Bonding Program'!$S$13=1,'Bonding Program'!$H$13&lt;='Bonding Program'!$C$8,BB$3=IF('Bonding Program'!$P$13&lt;&gt;"",'Bonding Program'!$P$13,'Bonding Program'!$C$8)),'Bonding Program'!$Z$13,0)+IF(AND('Bonding Program'!$P$13&lt;&gt;"",BB$3='Bonding Program'!$P$13,BB$3&lt;='Bonding Program'!$C$8),N('Bonding Program'!$O$13),0)</f>
        <v>0</v>
      </c>
      <c r="BC154" s="19" t="n">
        <f aca="false">IF(AND('Bonding Program'!$S$13=1,'Bonding Program'!$H$13&gt;'Bonding Program'!$C$8,BC$3='Bonding Program'!$H$13),'Bonding Program'!$T$13-'Bonding Program'!$U$13-'Bonding Program'!$Z$13,0)-IF(AND('Bonding Program'!$S$13=1,'Bonding Program'!$H$13&lt;='Bonding Program'!$C$8,BC$3=IF('Bonding Program'!$P$13&lt;&gt;"",'Bonding Program'!$P$13,'Bonding Program'!$C$8)),'Bonding Program'!$Z$13,0)+IF(AND('Bonding Program'!$P$13&lt;&gt;"",BC$3='Bonding Program'!$P$13,BC$3&lt;='Bonding Program'!$C$8),N('Bonding Program'!$O$13),0)</f>
        <v>0</v>
      </c>
      <c r="BD154" s="19" t="n">
        <f aca="false">IF(AND('Bonding Program'!$S$13=1,'Bonding Program'!$H$13&gt;'Bonding Program'!$C$8,BD$3='Bonding Program'!$H$13),'Bonding Program'!$T$13-'Bonding Program'!$U$13-'Bonding Program'!$Z$13,0)-IF(AND('Bonding Program'!$S$13=1,'Bonding Program'!$H$13&lt;='Bonding Program'!$C$8,BD$3=IF('Bonding Program'!$P$13&lt;&gt;"",'Bonding Program'!$P$13,'Bonding Program'!$C$8)),'Bonding Program'!$Z$13,0)+IF(AND('Bonding Program'!$P$13&lt;&gt;"",BD$3='Bonding Program'!$P$13,BD$3&lt;='Bonding Program'!$C$8),N('Bonding Program'!$O$13),0)</f>
        <v>0</v>
      </c>
      <c r="BE154" s="19" t="n">
        <f aca="false">IF(AND('Bonding Program'!$S$13=1,'Bonding Program'!$H$13&gt;'Bonding Program'!$C$8,BE$3='Bonding Program'!$H$13),'Bonding Program'!$T$13-'Bonding Program'!$U$13-'Bonding Program'!$Z$13,0)-IF(AND('Bonding Program'!$S$13=1,'Bonding Program'!$H$13&lt;='Bonding Program'!$C$8,BE$3=IF('Bonding Program'!$P$13&lt;&gt;"",'Bonding Program'!$P$13,'Bonding Program'!$C$8)),'Bonding Program'!$Z$13,0)+IF(AND('Bonding Program'!$P$13&lt;&gt;"",BE$3='Bonding Program'!$P$13,BE$3&lt;='Bonding Program'!$C$8),N('Bonding Program'!$O$13),0)</f>
        <v>0</v>
      </c>
      <c r="BF154" s="19" t="n">
        <f aca="false">IF(AND('Bonding Program'!$S$13=1,'Bonding Program'!$H$13&gt;'Bonding Program'!$C$8,BF$3='Bonding Program'!$H$13),'Bonding Program'!$T$13-'Bonding Program'!$U$13-'Bonding Program'!$Z$13,0)-IF(AND('Bonding Program'!$S$13=1,'Bonding Program'!$H$13&lt;='Bonding Program'!$C$8,BF$3=IF('Bonding Program'!$P$13&lt;&gt;"",'Bonding Program'!$P$13,'Bonding Program'!$C$8)),'Bonding Program'!$Z$13,0)+IF(AND('Bonding Program'!$P$13&lt;&gt;"",BF$3='Bonding Program'!$P$13,BF$3&lt;='Bonding Program'!$C$8),N('Bonding Program'!$O$13),0)</f>
        <v>0</v>
      </c>
      <c r="BG154" s="19" t="n">
        <f aca="false">IF(AND('Bonding Program'!$S$13=1,'Bonding Program'!$H$13&gt;'Bonding Program'!$C$8,BG$3='Bonding Program'!$H$13),'Bonding Program'!$T$13-'Bonding Program'!$U$13-'Bonding Program'!$Z$13,0)-IF(AND('Bonding Program'!$S$13=1,'Bonding Program'!$H$13&lt;='Bonding Program'!$C$8,BG$3=IF('Bonding Program'!$P$13&lt;&gt;"",'Bonding Program'!$P$13,'Bonding Program'!$C$8)),'Bonding Program'!$Z$13,0)+IF(AND('Bonding Program'!$P$13&lt;&gt;"",BG$3='Bonding Program'!$P$13,BG$3&lt;='Bonding Program'!$C$8),N('Bonding Program'!$O$13),0)</f>
        <v>0</v>
      </c>
      <c r="BH154" s="19" t="n">
        <f aca="false">IF(AND('Bonding Program'!$S$13=1,'Bonding Program'!$H$13&gt;'Bonding Program'!$C$8,BH$3='Bonding Program'!$H$13),'Bonding Program'!$T$13-'Bonding Program'!$U$13-'Bonding Program'!$Z$13,0)-IF(AND('Bonding Program'!$S$13=1,'Bonding Program'!$H$13&lt;='Bonding Program'!$C$8,BH$3=IF('Bonding Program'!$P$13&lt;&gt;"",'Bonding Program'!$P$13,'Bonding Program'!$C$8)),'Bonding Program'!$Z$13,0)+IF(AND('Bonding Program'!$P$13&lt;&gt;"",BH$3='Bonding Program'!$P$13,BH$3&lt;='Bonding Program'!$C$8),N('Bonding Program'!$O$13),0)</f>
        <v>0</v>
      </c>
      <c r="BI154" s="19" t="n">
        <f aca="false">IF(AND('Bonding Program'!$S$13=1,'Bonding Program'!$H$13&gt;'Bonding Program'!$C$8,BI$3='Bonding Program'!$H$13),'Bonding Program'!$T$13-'Bonding Program'!$U$13-'Bonding Program'!$Z$13,0)-IF(AND('Bonding Program'!$S$13=1,'Bonding Program'!$H$13&lt;='Bonding Program'!$C$8,BI$3=IF('Bonding Program'!$P$13&lt;&gt;"",'Bonding Program'!$P$13,'Bonding Program'!$C$8)),'Bonding Program'!$Z$13,0)+IF(AND('Bonding Program'!$P$13&lt;&gt;"",BI$3='Bonding Program'!$P$13,BI$3&lt;='Bonding Program'!$C$8),N('Bonding Program'!$O$13),0)</f>
        <v>0</v>
      </c>
      <c r="BJ154" s="19" t="n">
        <f aca="false">IF(AND('Bonding Program'!$S$13=1,'Bonding Program'!$H$13&gt;'Bonding Program'!$C$8,BJ$3='Bonding Program'!$H$13),'Bonding Program'!$T$13-'Bonding Program'!$U$13-'Bonding Program'!$Z$13,0)-IF(AND('Bonding Program'!$S$13=1,'Bonding Program'!$H$13&lt;='Bonding Program'!$C$8,BJ$3=IF('Bonding Program'!$P$13&lt;&gt;"",'Bonding Program'!$P$13,'Bonding Program'!$C$8)),'Bonding Program'!$Z$13,0)+IF(AND('Bonding Program'!$P$13&lt;&gt;"",BJ$3='Bonding Program'!$P$13,BJ$3&lt;='Bonding Program'!$C$8),N('Bonding Program'!$O$13),0)</f>
        <v>0</v>
      </c>
      <c r="BK154" s="19" t="n">
        <f aca="false">IF(AND('Bonding Program'!$S$13=1,'Bonding Program'!$H$13&gt;'Bonding Program'!$C$8,BK$3='Bonding Program'!$H$13),'Bonding Program'!$T$13-'Bonding Program'!$U$13-'Bonding Program'!$Z$13,0)-IF(AND('Bonding Program'!$S$13=1,'Bonding Program'!$H$13&lt;='Bonding Program'!$C$8,BK$3=IF('Bonding Program'!$P$13&lt;&gt;"",'Bonding Program'!$P$13,'Bonding Program'!$C$8)),'Bonding Program'!$Z$13,0)+IF(AND('Bonding Program'!$P$13&lt;&gt;"",BK$3='Bonding Program'!$P$13,BK$3&lt;='Bonding Program'!$C$8),N('Bonding Program'!$O$13),0)</f>
        <v>0</v>
      </c>
      <c r="BL154" s="19" t="n">
        <f aca="false">IF(AND('Bonding Program'!$S$13=1,'Bonding Program'!$H$13&gt;'Bonding Program'!$C$8,BL$3='Bonding Program'!$H$13),'Bonding Program'!$T$13-'Bonding Program'!$U$13-'Bonding Program'!$Z$13,0)-IF(AND('Bonding Program'!$S$13=1,'Bonding Program'!$H$13&lt;='Bonding Program'!$C$8,BL$3=IF('Bonding Program'!$P$13&lt;&gt;"",'Bonding Program'!$P$13,'Bonding Program'!$C$8)),'Bonding Program'!$Z$13,0)+IF(AND('Bonding Program'!$P$13&lt;&gt;"",BL$3='Bonding Program'!$P$13,BL$3&lt;='Bonding Program'!$C$8),N('Bonding Program'!$O$13),0)</f>
        <v>0</v>
      </c>
      <c r="BM154" s="19" t="n">
        <f aca="false">IF(AND('Bonding Program'!$S$13=1,'Bonding Program'!$H$13&gt;'Bonding Program'!$C$8,BM$3='Bonding Program'!$H$13),'Bonding Program'!$T$13-'Bonding Program'!$U$13-'Bonding Program'!$Z$13,0)-IF(AND('Bonding Program'!$S$13=1,'Bonding Program'!$H$13&lt;='Bonding Program'!$C$8,BM$3=IF('Bonding Program'!$P$13&lt;&gt;"",'Bonding Program'!$P$13,'Bonding Program'!$C$8)),'Bonding Program'!$Z$13,0)+IF(AND('Bonding Program'!$P$13&lt;&gt;"",BM$3='Bonding Program'!$P$13,BM$3&lt;='Bonding Program'!$C$8),N('Bonding Program'!$O$13),0)</f>
        <v>0</v>
      </c>
      <c r="BN154" s="19" t="n">
        <f aca="false">IF(AND('Bonding Program'!$S$13=1,'Bonding Program'!$H$13&gt;'Bonding Program'!$C$8,BN$3='Bonding Program'!$H$13),'Bonding Program'!$T$13-'Bonding Program'!$U$13-'Bonding Program'!$Z$13,0)-IF(AND('Bonding Program'!$S$13=1,'Bonding Program'!$H$13&lt;='Bonding Program'!$C$8,BN$3=IF('Bonding Program'!$P$13&lt;&gt;"",'Bonding Program'!$P$13,'Bonding Program'!$C$8)),'Bonding Program'!$Z$13,0)+IF(AND('Bonding Program'!$P$13&lt;&gt;"",BN$3='Bonding Program'!$P$13,BN$3&lt;='Bonding Program'!$C$8),N('Bonding Program'!$O$13),0)</f>
        <v>0</v>
      </c>
      <c r="BO154" s="19" t="n">
        <f aca="false">IF(AND('Bonding Program'!$S$13=1,'Bonding Program'!$H$13&gt;'Bonding Program'!$C$8,BO$3='Bonding Program'!$H$13),'Bonding Program'!$T$13-'Bonding Program'!$U$13-'Bonding Program'!$Z$13,0)-IF(AND('Bonding Program'!$S$13=1,'Bonding Program'!$H$13&lt;='Bonding Program'!$C$8,BO$3=IF('Bonding Program'!$P$13&lt;&gt;"",'Bonding Program'!$P$13,'Bonding Program'!$C$8)),'Bonding Program'!$Z$13,0)+IF(AND('Bonding Program'!$P$13&lt;&gt;"",BO$3='Bonding Program'!$P$13,BO$3&lt;='Bonding Program'!$C$8),N('Bonding Program'!$O$13),0)</f>
        <v>0</v>
      </c>
      <c r="BP154" s="19" t="n">
        <f aca="false">IF(AND('Bonding Program'!$S$13=1,'Bonding Program'!$H$13&gt;'Bonding Program'!$C$8,BP$3='Bonding Program'!$H$13),'Bonding Program'!$T$13-'Bonding Program'!$U$13-'Bonding Program'!$Z$13,0)-IF(AND('Bonding Program'!$S$13=1,'Bonding Program'!$H$13&lt;='Bonding Program'!$C$8,BP$3=IF('Bonding Program'!$P$13&lt;&gt;"",'Bonding Program'!$P$13,'Bonding Program'!$C$8)),'Bonding Program'!$Z$13,0)+IF(AND('Bonding Program'!$P$13&lt;&gt;"",BP$3='Bonding Program'!$P$13,BP$3&lt;='Bonding Program'!$C$8),N('Bonding Program'!$O$13),0)</f>
        <v>0</v>
      </c>
      <c r="BQ154" s="19" t="n">
        <f aca="false">IF(AND('Bonding Program'!$S$13=1,'Bonding Program'!$H$13&gt;'Bonding Program'!$C$8,BQ$3='Bonding Program'!$H$13),'Bonding Program'!$T$13-'Bonding Program'!$U$13-'Bonding Program'!$Z$13,0)-IF(AND('Bonding Program'!$S$13=1,'Bonding Program'!$H$13&lt;='Bonding Program'!$C$8,BQ$3=IF('Bonding Program'!$P$13&lt;&gt;"",'Bonding Program'!$P$13,'Bonding Program'!$C$8)),'Bonding Program'!$Z$13,0)+IF(AND('Bonding Program'!$P$13&lt;&gt;"",BQ$3='Bonding Program'!$P$13,BQ$3&lt;='Bonding Program'!$C$8),N('Bonding Program'!$O$13),0)</f>
        <v>0</v>
      </c>
      <c r="BR154" s="19" t="n">
        <f aca="false">IF(AND('Bonding Program'!$S$13=1,'Bonding Program'!$H$13&gt;'Bonding Program'!$C$8,BR$3='Bonding Program'!$H$13),'Bonding Program'!$T$13-'Bonding Program'!$U$13-'Bonding Program'!$Z$13,0)-IF(AND('Bonding Program'!$S$13=1,'Bonding Program'!$H$13&lt;='Bonding Program'!$C$8,BR$3=IF('Bonding Program'!$P$13&lt;&gt;"",'Bonding Program'!$P$13,'Bonding Program'!$C$8)),'Bonding Program'!$Z$13,0)+IF(AND('Bonding Program'!$P$13&lt;&gt;"",BR$3='Bonding Program'!$P$13,BR$3&lt;='Bonding Program'!$C$8),N('Bonding Program'!$O$13),0)</f>
        <v>0</v>
      </c>
      <c r="BS154" s="19" t="n">
        <f aca="false">IF(AND('Bonding Program'!$S$13=1,'Bonding Program'!$H$13&gt;'Bonding Program'!$C$8,BS$3='Bonding Program'!$H$13),'Bonding Program'!$T$13-'Bonding Program'!$U$13-'Bonding Program'!$Z$13,0)-IF(AND('Bonding Program'!$S$13=1,'Bonding Program'!$H$13&lt;='Bonding Program'!$C$8,BS$3=IF('Bonding Program'!$P$13&lt;&gt;"",'Bonding Program'!$P$13,'Bonding Program'!$C$8)),'Bonding Program'!$Z$13,0)+IF(AND('Bonding Program'!$P$13&lt;&gt;"",BS$3='Bonding Program'!$P$13,BS$3&lt;='Bonding Program'!$C$8),N('Bonding Program'!$O$13),0)</f>
        <v>0</v>
      </c>
      <c r="BT154" s="19" t="n">
        <f aca="false">IF(AND('Bonding Program'!$S$13=1,'Bonding Program'!$H$13&gt;'Bonding Program'!$C$8,BT$3='Bonding Program'!$H$13),'Bonding Program'!$T$13-'Bonding Program'!$U$13-'Bonding Program'!$Z$13,0)-IF(AND('Bonding Program'!$S$13=1,'Bonding Program'!$H$13&lt;='Bonding Program'!$C$8,BT$3=IF('Bonding Program'!$P$13&lt;&gt;"",'Bonding Program'!$P$13,'Bonding Program'!$C$8)),'Bonding Program'!$Z$13,0)+IF(AND('Bonding Program'!$P$13&lt;&gt;"",BT$3='Bonding Program'!$P$13,BT$3&lt;='Bonding Program'!$C$8),N('Bonding Program'!$O$13),0)</f>
        <v>0</v>
      </c>
      <c r="BU154" s="19" t="n">
        <f aca="false">IF(AND('Bonding Program'!$S$13=1,'Bonding Program'!$H$13&gt;'Bonding Program'!$C$8,BU$3='Bonding Program'!$H$13),'Bonding Program'!$T$13-'Bonding Program'!$U$13-'Bonding Program'!$Z$13,0)-IF(AND('Bonding Program'!$S$13=1,'Bonding Program'!$H$13&lt;='Bonding Program'!$C$8,BU$3=IF('Bonding Program'!$P$13&lt;&gt;"",'Bonding Program'!$P$13,'Bonding Program'!$C$8)),'Bonding Program'!$Z$13,0)+IF(AND('Bonding Program'!$P$13&lt;&gt;"",BU$3='Bonding Program'!$P$13,BU$3&lt;='Bonding Program'!$C$8),N('Bonding Program'!$O$13),0)</f>
        <v>0</v>
      </c>
      <c r="BV154" s="19" t="n">
        <f aca="false">IF(AND('Bonding Program'!$S$13=1,'Bonding Program'!$H$13&gt;'Bonding Program'!$C$8,BV$3='Bonding Program'!$H$13),'Bonding Program'!$T$13-'Bonding Program'!$U$13-'Bonding Program'!$Z$13,0)-IF(AND('Bonding Program'!$S$13=1,'Bonding Program'!$H$13&lt;='Bonding Program'!$C$8,BV$3=IF('Bonding Program'!$P$13&lt;&gt;"",'Bonding Program'!$P$13,'Bonding Program'!$C$8)),'Bonding Program'!$Z$13,0)+IF(AND('Bonding Program'!$P$13&lt;&gt;"",BV$3='Bonding Program'!$P$13,BV$3&lt;='Bonding Program'!$C$8),N('Bonding Program'!$O$13),0)</f>
        <v>0</v>
      </c>
      <c r="BW154" s="19" t="n">
        <f aca="false">IF(AND('Bonding Program'!$S$13=1,'Bonding Program'!$H$13&gt;'Bonding Program'!$C$8,BW$3='Bonding Program'!$H$13),'Bonding Program'!$T$13-'Bonding Program'!$U$13-'Bonding Program'!$Z$13,0)-IF(AND('Bonding Program'!$S$13=1,'Bonding Program'!$H$13&lt;='Bonding Program'!$C$8,BW$3=IF('Bonding Program'!$P$13&lt;&gt;"",'Bonding Program'!$P$13,'Bonding Program'!$C$8)),'Bonding Program'!$Z$13,0)+IF(AND('Bonding Program'!$P$13&lt;&gt;"",BW$3='Bonding Program'!$P$13,BW$3&lt;='Bonding Program'!$C$8),N('Bonding Program'!$O$13),0)</f>
        <v>0</v>
      </c>
      <c r="BX154" s="19" t="n">
        <f aca="false">IF(AND('Bonding Program'!$S$13=1,'Bonding Program'!$H$13&gt;'Bonding Program'!$C$8,BX$3='Bonding Program'!$H$13),'Bonding Program'!$T$13-'Bonding Program'!$U$13-'Bonding Program'!$Z$13,0)-IF(AND('Bonding Program'!$S$13=1,'Bonding Program'!$H$13&lt;='Bonding Program'!$C$8,BX$3=IF('Bonding Program'!$P$13&lt;&gt;"",'Bonding Program'!$P$13,'Bonding Program'!$C$8)),'Bonding Program'!$Z$13,0)+IF(AND('Bonding Program'!$P$13&lt;&gt;"",BX$3='Bonding Program'!$P$13,BX$3&lt;='Bonding Program'!$C$8),N('Bonding Program'!$O$13),0)</f>
        <v>0</v>
      </c>
      <c r="BY154" s="19" t="n">
        <f aca="false">IF(AND('Bonding Program'!$S$13=1,'Bonding Program'!$H$13&gt;'Bonding Program'!$C$8,BY$3='Bonding Program'!$H$13),'Bonding Program'!$T$13-'Bonding Program'!$U$13-'Bonding Program'!$Z$13,0)-IF(AND('Bonding Program'!$S$13=1,'Bonding Program'!$H$13&lt;='Bonding Program'!$C$8,BY$3=IF('Bonding Program'!$P$13&lt;&gt;"",'Bonding Program'!$P$13,'Bonding Program'!$C$8)),'Bonding Program'!$Z$13,0)+IF(AND('Bonding Program'!$P$13&lt;&gt;"",BY$3='Bonding Program'!$P$13,BY$3&lt;='Bonding Program'!$C$8),N('Bonding Program'!$O$13),0)</f>
        <v>0</v>
      </c>
      <c r="BZ154" s="19" t="n">
        <f aca="false">IF(AND('Bonding Program'!$S$13=1,'Bonding Program'!$H$13&gt;'Bonding Program'!$C$8,BZ$3='Bonding Program'!$H$13),'Bonding Program'!$T$13-'Bonding Program'!$U$13-'Bonding Program'!$Z$13,0)-IF(AND('Bonding Program'!$S$13=1,'Bonding Program'!$H$13&lt;='Bonding Program'!$C$8,BZ$3=IF('Bonding Program'!$P$13&lt;&gt;"",'Bonding Program'!$P$13,'Bonding Program'!$C$8)),'Bonding Program'!$Z$13,0)+IF(AND('Bonding Program'!$P$13&lt;&gt;"",BZ$3='Bonding Program'!$P$13,BZ$3&lt;='Bonding Program'!$C$8),N('Bonding Program'!$O$13),0)</f>
        <v>0</v>
      </c>
      <c r="CA154" s="19" t="n">
        <f aca="false">IF(AND('Bonding Program'!$S$13=1,'Bonding Program'!$H$13&gt;'Bonding Program'!$C$8,CA$3='Bonding Program'!$H$13),'Bonding Program'!$T$13-'Bonding Program'!$U$13-'Bonding Program'!$Z$13,0)-IF(AND('Bonding Program'!$S$13=1,'Bonding Program'!$H$13&lt;='Bonding Program'!$C$8,CA$3=IF('Bonding Program'!$P$13&lt;&gt;"",'Bonding Program'!$P$13,'Bonding Program'!$C$8)),'Bonding Program'!$Z$13,0)+IF(AND('Bonding Program'!$P$13&lt;&gt;"",CA$3='Bonding Program'!$P$13,CA$3&lt;='Bonding Program'!$C$8),N('Bonding Program'!$O$13),0)</f>
        <v>0</v>
      </c>
      <c r="CB154" s="19" t="n">
        <f aca="false">IF(AND('Bonding Program'!$S$13=1,'Bonding Program'!$H$13&gt;'Bonding Program'!$C$8,CB$3='Bonding Program'!$H$13),'Bonding Program'!$T$13-'Bonding Program'!$U$13-'Bonding Program'!$Z$13,0)-IF(AND('Bonding Program'!$S$13=1,'Bonding Program'!$H$13&lt;='Bonding Program'!$C$8,CB$3=IF('Bonding Program'!$P$13&lt;&gt;"",'Bonding Program'!$P$13,'Bonding Program'!$C$8)),'Bonding Program'!$Z$13,0)+IF(AND('Bonding Program'!$P$13&lt;&gt;"",CB$3='Bonding Program'!$P$13,CB$3&lt;='Bonding Program'!$C$8),N('Bonding Program'!$O$13),0)</f>
        <v>0</v>
      </c>
      <c r="CC154" s="19" t="n">
        <f aca="false">IF(AND('Bonding Program'!$S$13=1,'Bonding Program'!$H$13&gt;'Bonding Program'!$C$8,CC$3='Bonding Program'!$H$13),'Bonding Program'!$T$13-'Bonding Program'!$U$13-'Bonding Program'!$Z$13,0)-IF(AND('Bonding Program'!$S$13=1,'Bonding Program'!$H$13&lt;='Bonding Program'!$C$8,CC$3=IF('Bonding Program'!$P$13&lt;&gt;"",'Bonding Program'!$P$13,'Bonding Program'!$C$8)),'Bonding Program'!$Z$13,0)+IF(AND('Bonding Program'!$P$13&lt;&gt;"",CC$3='Bonding Program'!$P$13,CC$3&lt;='Bonding Program'!$C$8),N('Bonding Program'!$O$13),0)</f>
        <v>0</v>
      </c>
      <c r="CD154" s="19" t="n">
        <f aca="false">IF(AND('Bonding Program'!$S$13=1,'Bonding Program'!$H$13&gt;'Bonding Program'!$C$8,CD$3='Bonding Program'!$H$13),'Bonding Program'!$T$13-'Bonding Program'!$U$13-'Bonding Program'!$Z$13,0)-IF(AND('Bonding Program'!$S$13=1,'Bonding Program'!$H$13&lt;='Bonding Program'!$C$8,CD$3=IF('Bonding Program'!$P$13&lt;&gt;"",'Bonding Program'!$P$13,'Bonding Program'!$C$8)),'Bonding Program'!$Z$13,0)+IF(AND('Bonding Program'!$P$13&lt;&gt;"",CD$3='Bonding Program'!$P$13,CD$3&lt;='Bonding Program'!$C$8),N('Bonding Program'!$O$13),0)</f>
        <v>0</v>
      </c>
      <c r="CE154" s="19" t="n">
        <f aca="false">IF(AND('Bonding Program'!$S$13=1,'Bonding Program'!$H$13&gt;'Bonding Program'!$C$8,CE$3='Bonding Program'!$H$13),'Bonding Program'!$T$13-'Bonding Program'!$U$13-'Bonding Program'!$Z$13,0)-IF(AND('Bonding Program'!$S$13=1,'Bonding Program'!$H$13&lt;='Bonding Program'!$C$8,CE$3=IF('Bonding Program'!$P$13&lt;&gt;"",'Bonding Program'!$P$13,'Bonding Program'!$C$8)),'Bonding Program'!$Z$13,0)+IF(AND('Bonding Program'!$P$13&lt;&gt;"",CE$3='Bonding Program'!$P$13,CE$3&lt;='Bonding Program'!$C$8),N('Bonding Program'!$O$13),0)</f>
        <v>0</v>
      </c>
      <c r="CF154" s="19" t="n">
        <f aca="false">IF(AND('Bonding Program'!$S$13=1,'Bonding Program'!$H$13&gt;'Bonding Program'!$C$8,CF$3='Bonding Program'!$H$13),'Bonding Program'!$T$13-'Bonding Program'!$U$13-'Bonding Program'!$Z$13,0)-IF(AND('Bonding Program'!$S$13=1,'Bonding Program'!$H$13&lt;='Bonding Program'!$C$8,CF$3=IF('Bonding Program'!$P$13&lt;&gt;"",'Bonding Program'!$P$13,'Bonding Program'!$C$8)),'Bonding Program'!$Z$13,0)+IF(AND('Bonding Program'!$P$13&lt;&gt;"",CF$3='Bonding Program'!$P$13,CF$3&lt;='Bonding Program'!$C$8),N('Bonding Program'!$O$13),0)</f>
        <v>0</v>
      </c>
      <c r="CG154" s="19" t="n">
        <f aca="false">IF(AND('Bonding Program'!$S$13=1,'Bonding Program'!$H$13&gt;'Bonding Program'!$C$8,CG$3='Bonding Program'!$H$13),'Bonding Program'!$T$13-'Bonding Program'!$U$13-'Bonding Program'!$Z$13,0)-IF(AND('Bonding Program'!$S$13=1,'Bonding Program'!$H$13&lt;='Bonding Program'!$C$8,CG$3=IF('Bonding Program'!$P$13&lt;&gt;"",'Bonding Program'!$P$13,'Bonding Program'!$C$8)),'Bonding Program'!$Z$13,0)+IF(AND('Bonding Program'!$P$13&lt;&gt;"",CG$3='Bonding Program'!$P$13,CG$3&lt;='Bonding Program'!$C$8),N('Bonding Program'!$O$13),0)</f>
        <v>0</v>
      </c>
      <c r="CH154" s="19" t="n">
        <f aca="false">IF(AND('Bonding Program'!$S$13=1,'Bonding Program'!$H$13&gt;'Bonding Program'!$C$8,CH$3='Bonding Program'!$H$13),'Bonding Program'!$T$13-'Bonding Program'!$U$13-'Bonding Program'!$Z$13,0)-IF(AND('Bonding Program'!$S$13=1,'Bonding Program'!$H$13&lt;='Bonding Program'!$C$8,CH$3=IF('Bonding Program'!$P$13&lt;&gt;"",'Bonding Program'!$P$13,'Bonding Program'!$C$8)),'Bonding Program'!$Z$13,0)+IF(AND('Bonding Program'!$P$13&lt;&gt;"",CH$3='Bonding Program'!$P$13,CH$3&lt;='Bonding Program'!$C$8),N('Bonding Program'!$O$13),0)</f>
        <v>0</v>
      </c>
      <c r="CI154" s="19" t="n">
        <f aca="false">IF(AND('Bonding Program'!$S$13=1,'Bonding Program'!$H$13&gt;'Bonding Program'!$C$8,CI$3='Bonding Program'!$H$13),'Bonding Program'!$T$13-'Bonding Program'!$U$13-'Bonding Program'!$Z$13,0)-IF(AND('Bonding Program'!$S$13=1,'Bonding Program'!$H$13&lt;='Bonding Program'!$C$8,CI$3=IF('Bonding Program'!$P$13&lt;&gt;"",'Bonding Program'!$P$13,'Bonding Program'!$C$8)),'Bonding Program'!$Z$13,0)+IF(AND('Bonding Program'!$P$13&lt;&gt;"",CI$3='Bonding Program'!$P$13,CI$3&lt;='Bonding Program'!$C$8),N('Bonding Program'!$O$13),0)</f>
        <v>0</v>
      </c>
      <c r="CJ154" s="19" t="n">
        <f aca="false">IF(AND('Bonding Program'!$S$13=1,'Bonding Program'!$H$13&gt;'Bonding Program'!$C$8,CJ$3='Bonding Program'!$H$13),'Bonding Program'!$T$13-'Bonding Program'!$U$13-'Bonding Program'!$Z$13,0)-IF(AND('Bonding Program'!$S$13=1,'Bonding Program'!$H$13&lt;='Bonding Program'!$C$8,CJ$3=IF('Bonding Program'!$P$13&lt;&gt;"",'Bonding Program'!$P$13,'Bonding Program'!$C$8)),'Bonding Program'!$Z$13,0)+IF(AND('Bonding Program'!$P$13&lt;&gt;"",CJ$3='Bonding Program'!$P$13,CJ$3&lt;='Bonding Program'!$C$8),N('Bonding Program'!$O$13),0)</f>
        <v>0</v>
      </c>
      <c r="CK154" s="19" t="n">
        <f aca="false">IF(AND('Bonding Program'!$S$13=1,'Bonding Program'!$H$13&gt;'Bonding Program'!$C$8,CK$3='Bonding Program'!$H$13),'Bonding Program'!$T$13-'Bonding Program'!$U$13-'Bonding Program'!$Z$13,0)-IF(AND('Bonding Program'!$S$13=1,'Bonding Program'!$H$13&lt;='Bonding Program'!$C$8,CK$3=IF('Bonding Program'!$P$13&lt;&gt;"",'Bonding Program'!$P$13,'Bonding Program'!$C$8)),'Bonding Program'!$Z$13,0)+IF(AND('Bonding Program'!$P$13&lt;&gt;"",CK$3='Bonding Program'!$P$13,CK$3&lt;='Bonding Program'!$C$8),N('Bonding Program'!$O$13),0)</f>
        <v>0</v>
      </c>
      <c r="CL154" s="19" t="n">
        <f aca="false">IF(AND('Bonding Program'!$S$13=1,'Bonding Program'!$H$13&gt;'Bonding Program'!$C$8,CL$3='Bonding Program'!$H$13),'Bonding Program'!$T$13-'Bonding Program'!$U$13-'Bonding Program'!$Z$13,0)-IF(AND('Bonding Program'!$S$13=1,'Bonding Program'!$H$13&lt;='Bonding Program'!$C$8,CL$3=IF('Bonding Program'!$P$13&lt;&gt;"",'Bonding Program'!$P$13,'Bonding Program'!$C$8)),'Bonding Program'!$Z$13,0)+IF(AND('Bonding Program'!$P$13&lt;&gt;"",CL$3='Bonding Program'!$P$13,CL$3&lt;='Bonding Program'!$C$8),N('Bonding Program'!$O$13),0)</f>
        <v>0</v>
      </c>
      <c r="CM154" s="19" t="n">
        <f aca="false">IF(AND('Bonding Program'!$S$13=1,'Bonding Program'!$H$13&gt;'Bonding Program'!$C$8,CM$3='Bonding Program'!$H$13),'Bonding Program'!$T$13-'Bonding Program'!$U$13-'Bonding Program'!$Z$13,0)-IF(AND('Bonding Program'!$S$13=1,'Bonding Program'!$H$13&lt;='Bonding Program'!$C$8,CM$3=IF('Bonding Program'!$P$13&lt;&gt;"",'Bonding Program'!$P$13,'Bonding Program'!$C$8)),'Bonding Program'!$Z$13,0)+IF(AND('Bonding Program'!$P$13&lt;&gt;"",CM$3='Bonding Program'!$P$13,CM$3&lt;='Bonding Program'!$C$8),N('Bonding Program'!$O$13),0)</f>
        <v>0</v>
      </c>
      <c r="CN154" s="19" t="n">
        <f aca="false">IF(AND('Bonding Program'!$S$13=1,'Bonding Program'!$H$13&gt;'Bonding Program'!$C$8,CN$3='Bonding Program'!$H$13),'Bonding Program'!$T$13-'Bonding Program'!$U$13-'Bonding Program'!$Z$13,0)-IF(AND('Bonding Program'!$S$13=1,'Bonding Program'!$H$13&lt;='Bonding Program'!$C$8,CN$3=IF('Bonding Program'!$P$13&lt;&gt;"",'Bonding Program'!$P$13,'Bonding Program'!$C$8)),'Bonding Program'!$Z$13,0)+IF(AND('Bonding Program'!$P$13&lt;&gt;"",CN$3='Bonding Program'!$P$13,CN$3&lt;='Bonding Program'!$C$8),N('Bonding Program'!$O$13),0)</f>
        <v>0</v>
      </c>
      <c r="CO154" s="19" t="n">
        <f aca="false">IF(AND('Bonding Program'!$S$13=1,'Bonding Program'!$H$13&gt;'Bonding Program'!$C$8,CO$3='Bonding Program'!$H$13),'Bonding Program'!$T$13-'Bonding Program'!$U$13-'Bonding Program'!$Z$13,0)-IF(AND('Bonding Program'!$S$13=1,'Bonding Program'!$H$13&lt;='Bonding Program'!$C$8,CO$3=IF('Bonding Program'!$P$13&lt;&gt;"",'Bonding Program'!$P$13,'Bonding Program'!$C$8)),'Bonding Program'!$Z$13,0)+IF(AND('Bonding Program'!$P$13&lt;&gt;"",CO$3='Bonding Program'!$P$13,CO$3&lt;='Bonding Program'!$C$8),N('Bonding Program'!$O$13),0)</f>
        <v>0</v>
      </c>
      <c r="CP154" s="19" t="n">
        <f aca="false">IF(AND('Bonding Program'!$S$13=1,'Bonding Program'!$H$13&gt;'Bonding Program'!$C$8,CP$3='Bonding Program'!$H$13),'Bonding Program'!$T$13-'Bonding Program'!$U$13-'Bonding Program'!$Z$13,0)-IF(AND('Bonding Program'!$S$13=1,'Bonding Program'!$H$13&lt;='Bonding Program'!$C$8,CP$3=IF('Bonding Program'!$P$13&lt;&gt;"",'Bonding Program'!$P$13,'Bonding Program'!$C$8)),'Bonding Program'!$Z$13,0)+IF(AND('Bonding Program'!$P$13&lt;&gt;"",CP$3='Bonding Program'!$P$13,CP$3&lt;='Bonding Program'!$C$8),N('Bonding Program'!$O$13),0)</f>
        <v>0</v>
      </c>
      <c r="CQ154" s="19" t="n">
        <f aca="false">IF(AND('Bonding Program'!$S$13=1,'Bonding Program'!$H$13&gt;'Bonding Program'!$C$8,CQ$3='Bonding Program'!$H$13),'Bonding Program'!$T$13-'Bonding Program'!$U$13-'Bonding Program'!$Z$13,0)-IF(AND('Bonding Program'!$S$13=1,'Bonding Program'!$H$13&lt;='Bonding Program'!$C$8,CQ$3=IF('Bonding Program'!$P$13&lt;&gt;"",'Bonding Program'!$P$13,'Bonding Program'!$C$8)),'Bonding Program'!$Z$13,0)+IF(AND('Bonding Program'!$P$13&lt;&gt;"",CQ$3='Bonding Program'!$P$13,CQ$3&lt;='Bonding Program'!$C$8),N('Bonding Program'!$O$13),0)</f>
        <v>0</v>
      </c>
      <c r="CR154" s="19" t="n">
        <f aca="false">IF(AND('Bonding Program'!$S$13=1,'Bonding Program'!$H$13&gt;'Bonding Program'!$C$8,CR$3='Bonding Program'!$H$13),'Bonding Program'!$T$13-'Bonding Program'!$U$13-'Bonding Program'!$Z$13,0)-IF(AND('Bonding Program'!$S$13=1,'Bonding Program'!$H$13&lt;='Bonding Program'!$C$8,CR$3=IF('Bonding Program'!$P$13&lt;&gt;"",'Bonding Program'!$P$13,'Bonding Program'!$C$8)),'Bonding Program'!$Z$13,0)+IF(AND('Bonding Program'!$P$13&lt;&gt;"",CR$3='Bonding Program'!$P$13,CR$3&lt;='Bonding Program'!$C$8),N('Bonding Program'!$O$13),0)</f>
        <v>0</v>
      </c>
      <c r="CS154" s="19" t="n">
        <f aca="false">IF(AND('Bonding Program'!$S$13=1,'Bonding Program'!$H$13&gt;'Bonding Program'!$C$8,CS$3='Bonding Program'!$H$13),'Bonding Program'!$T$13-'Bonding Program'!$U$13-'Bonding Program'!$Z$13,0)-IF(AND('Bonding Program'!$S$13=1,'Bonding Program'!$H$13&lt;='Bonding Program'!$C$8,CS$3=IF('Bonding Program'!$P$13&lt;&gt;"",'Bonding Program'!$P$13,'Bonding Program'!$C$8)),'Bonding Program'!$Z$13,0)+IF(AND('Bonding Program'!$P$13&lt;&gt;"",CS$3='Bonding Program'!$P$13,CS$3&lt;='Bonding Program'!$C$8),N('Bonding Program'!$O$13),0)</f>
        <v>0</v>
      </c>
      <c r="CT154" s="19" t="n">
        <f aca="false">IF(AND('Bonding Program'!$S$13=1,'Bonding Program'!$H$13&gt;'Bonding Program'!$C$8,CT$3='Bonding Program'!$H$13),'Bonding Program'!$T$13-'Bonding Program'!$U$13-'Bonding Program'!$Z$13,0)-IF(AND('Bonding Program'!$S$13=1,'Bonding Program'!$H$13&lt;='Bonding Program'!$C$8,CT$3=IF('Bonding Program'!$P$13&lt;&gt;"",'Bonding Program'!$P$13,'Bonding Program'!$C$8)),'Bonding Program'!$Z$13,0)+IF(AND('Bonding Program'!$P$13&lt;&gt;"",CT$3='Bonding Program'!$P$13,CT$3&lt;='Bonding Program'!$C$8),N('Bonding Program'!$O$13),0)</f>
        <v>0</v>
      </c>
      <c r="CU154" s="19" t="n">
        <f aca="false">IF(AND('Bonding Program'!$S$13=1,'Bonding Program'!$H$13&gt;'Bonding Program'!$C$8,CU$3='Bonding Program'!$H$13),'Bonding Program'!$T$13-'Bonding Program'!$U$13-'Bonding Program'!$Z$13,0)-IF(AND('Bonding Program'!$S$13=1,'Bonding Program'!$H$13&lt;='Bonding Program'!$C$8,CU$3=IF('Bonding Program'!$P$13&lt;&gt;"",'Bonding Program'!$P$13,'Bonding Program'!$C$8)),'Bonding Program'!$Z$13,0)+IF(AND('Bonding Program'!$P$13&lt;&gt;"",CU$3='Bonding Program'!$P$13,CU$3&lt;='Bonding Program'!$C$8),N('Bonding Program'!$O$13),0)</f>
        <v>0</v>
      </c>
      <c r="CV154" s="19" t="n">
        <f aca="false">IF(AND('Bonding Program'!$S$13=1,'Bonding Program'!$H$13&gt;'Bonding Program'!$C$8,CV$3='Bonding Program'!$H$13),'Bonding Program'!$T$13-'Bonding Program'!$U$13-'Bonding Program'!$Z$13,0)-IF(AND('Bonding Program'!$S$13=1,'Bonding Program'!$H$13&lt;='Bonding Program'!$C$8,CV$3=IF('Bonding Program'!$P$13&lt;&gt;"",'Bonding Program'!$P$13,'Bonding Program'!$C$8)),'Bonding Program'!$Z$13,0)+IF(AND('Bonding Program'!$P$13&lt;&gt;"",CV$3='Bonding Program'!$P$13,CV$3&lt;='Bonding Program'!$C$8),N('Bonding Program'!$O$13),0)</f>
        <v>0</v>
      </c>
      <c r="CW154" s="19" t="n">
        <f aca="false">IF(AND('Bonding Program'!$S$13=1,'Bonding Program'!$H$13&gt;'Bonding Program'!$C$8,CW$3='Bonding Program'!$H$13),'Bonding Program'!$T$13-'Bonding Program'!$U$13-'Bonding Program'!$Z$13,0)-IF(AND('Bonding Program'!$S$13=1,'Bonding Program'!$H$13&lt;='Bonding Program'!$C$8,CW$3=IF('Bonding Program'!$P$13&lt;&gt;"",'Bonding Program'!$P$13,'Bonding Program'!$C$8)),'Bonding Program'!$Z$13,0)+IF(AND('Bonding Program'!$P$13&lt;&gt;"",CW$3='Bonding Program'!$P$13,CW$3&lt;='Bonding Program'!$C$8),N('Bonding Program'!$O$13),0)</f>
        <v>0</v>
      </c>
      <c r="CX154" s="19" t="n">
        <f aca="false">IF(AND('Bonding Program'!$S$13=1,'Bonding Program'!$H$13&gt;'Bonding Program'!$C$8,CX$3='Bonding Program'!$H$13),'Bonding Program'!$T$13-'Bonding Program'!$U$13-'Bonding Program'!$Z$13,0)-IF(AND('Bonding Program'!$S$13=1,'Bonding Program'!$H$13&lt;='Bonding Program'!$C$8,CX$3=IF('Bonding Program'!$P$13&lt;&gt;"",'Bonding Program'!$P$13,'Bonding Program'!$C$8)),'Bonding Program'!$Z$13,0)+IF(AND('Bonding Program'!$P$13&lt;&gt;"",CX$3='Bonding Program'!$P$13,CX$3&lt;='Bonding Program'!$C$8),N('Bonding Program'!$O$13),0)</f>
        <v>0</v>
      </c>
      <c r="CY154" s="19" t="n">
        <f aca="false">IF(AND('Bonding Program'!$S$13=1,'Bonding Program'!$H$13&gt;'Bonding Program'!$C$8,CY$3='Bonding Program'!$H$13),'Bonding Program'!$T$13-'Bonding Program'!$U$13-'Bonding Program'!$Z$13,0)-IF(AND('Bonding Program'!$S$13=1,'Bonding Program'!$H$13&lt;='Bonding Program'!$C$8,CY$3=IF('Bonding Program'!$P$13&lt;&gt;"",'Bonding Program'!$P$13,'Bonding Program'!$C$8)),'Bonding Program'!$Z$13,0)+IF(AND('Bonding Program'!$P$13&lt;&gt;"",CY$3='Bonding Program'!$P$13,CY$3&lt;='Bonding Program'!$C$8),N('Bonding Program'!$O$13),0)</f>
        <v>0</v>
      </c>
      <c r="CZ154" s="19" t="n">
        <f aca="false">IF(AND('Bonding Program'!$S$13=1,'Bonding Program'!$H$13&gt;'Bonding Program'!$C$8,CZ$3='Bonding Program'!$H$13),'Bonding Program'!$T$13-'Bonding Program'!$U$13-'Bonding Program'!$Z$13,0)-IF(AND('Bonding Program'!$S$13=1,'Bonding Program'!$H$13&lt;='Bonding Program'!$C$8,CZ$3=IF('Bonding Program'!$P$13&lt;&gt;"",'Bonding Program'!$P$13,'Bonding Program'!$C$8)),'Bonding Program'!$Z$13,0)+IF(AND('Bonding Program'!$P$13&lt;&gt;"",CZ$3='Bonding Program'!$P$13,CZ$3&lt;='Bonding Program'!$C$8),N('Bonding Program'!$O$13),0)</f>
        <v>0</v>
      </c>
      <c r="DA154" s="19" t="n">
        <f aca="false">IF(AND('Bonding Program'!$S$13=1,'Bonding Program'!$H$13&gt;'Bonding Program'!$C$8,DA$3='Bonding Program'!$H$13),'Bonding Program'!$T$13-'Bonding Program'!$U$13-'Bonding Program'!$Z$13,0)-IF(AND('Bonding Program'!$S$13=1,'Bonding Program'!$H$13&lt;='Bonding Program'!$C$8,DA$3=IF('Bonding Program'!$P$13&lt;&gt;"",'Bonding Program'!$P$13,'Bonding Program'!$C$8)),'Bonding Program'!$Z$13,0)+IF(AND('Bonding Program'!$P$13&lt;&gt;"",DA$3='Bonding Program'!$P$13,DA$3&lt;='Bonding Program'!$C$8),N('Bonding Program'!$O$13),0)</f>
        <v>0</v>
      </c>
      <c r="DB154" s="19" t="n">
        <f aca="false">IF(AND('Bonding Program'!$S$13=1,'Bonding Program'!$H$13&gt;'Bonding Program'!$C$8,DB$3='Bonding Program'!$H$13),'Bonding Program'!$T$13-'Bonding Program'!$U$13-'Bonding Program'!$Z$13,0)-IF(AND('Bonding Program'!$S$13=1,'Bonding Program'!$H$13&lt;='Bonding Program'!$C$8,DB$3=IF('Bonding Program'!$P$13&lt;&gt;"",'Bonding Program'!$P$13,'Bonding Program'!$C$8)),'Bonding Program'!$Z$13,0)+IF(AND('Bonding Program'!$P$13&lt;&gt;"",DB$3='Bonding Program'!$P$13,DB$3&lt;='Bonding Program'!$C$8),N('Bonding Program'!$O$13),0)</f>
        <v>0</v>
      </c>
      <c r="DC154" s="19" t="n">
        <f aca="false">IF(AND('Bonding Program'!$S$13=1,'Bonding Program'!$H$13&gt;'Bonding Program'!$C$8,DC$3='Bonding Program'!$H$13),'Bonding Program'!$T$13-'Bonding Program'!$U$13-'Bonding Program'!$Z$13,0)-IF(AND('Bonding Program'!$S$13=1,'Bonding Program'!$H$13&lt;='Bonding Program'!$C$8,DC$3=IF('Bonding Program'!$P$13&lt;&gt;"",'Bonding Program'!$P$13,'Bonding Program'!$C$8)),'Bonding Program'!$Z$13,0)+IF(AND('Bonding Program'!$P$13&lt;&gt;"",DC$3='Bonding Program'!$P$13,DC$3&lt;='Bonding Program'!$C$8),N('Bonding Program'!$O$13),0)</f>
        <v>0</v>
      </c>
      <c r="DD154" s="19" t="n">
        <f aca="false">IF(AND('Bonding Program'!$S$13=1,'Bonding Program'!$H$13&gt;'Bonding Program'!$C$8,DD$3='Bonding Program'!$H$13),'Bonding Program'!$T$13-'Bonding Program'!$U$13-'Bonding Program'!$Z$13,0)-IF(AND('Bonding Program'!$S$13=1,'Bonding Program'!$H$13&lt;='Bonding Program'!$C$8,DD$3=IF('Bonding Program'!$P$13&lt;&gt;"",'Bonding Program'!$P$13,'Bonding Program'!$C$8)),'Bonding Program'!$Z$13,0)+IF(AND('Bonding Program'!$P$13&lt;&gt;"",DD$3='Bonding Program'!$P$13,DD$3&lt;='Bonding Program'!$C$8),N('Bonding Program'!$O$13),0)</f>
        <v>0</v>
      </c>
      <c r="DE154" s="19" t="n">
        <f aca="false">IF(AND('Bonding Program'!$S$13=1,'Bonding Program'!$H$13&gt;'Bonding Program'!$C$8,DE$3='Bonding Program'!$H$13),'Bonding Program'!$T$13-'Bonding Program'!$U$13-'Bonding Program'!$Z$13,0)-IF(AND('Bonding Program'!$S$13=1,'Bonding Program'!$H$13&lt;='Bonding Program'!$C$8,DE$3=IF('Bonding Program'!$P$13&lt;&gt;"",'Bonding Program'!$P$13,'Bonding Program'!$C$8)),'Bonding Program'!$Z$13,0)+IF(AND('Bonding Program'!$P$13&lt;&gt;"",DE$3='Bonding Program'!$P$13,DE$3&lt;='Bonding Program'!$C$8),N('Bonding Program'!$O$13),0)</f>
        <v>0</v>
      </c>
    </row>
    <row r="155" customFormat="false" ht="15" hidden="false" customHeight="true" outlineLevel="1" collapsed="false">
      <c r="A155" s="28" t="s">
        <v>10</v>
      </c>
      <c r="B155" s="19" t="n">
        <f aca="false">IF(AND('Bonding Program'!$S$14=1,'Bonding Program'!$H$14&gt;'Bonding Program'!$C$8,B$3='Bonding Program'!$H$14),'Bonding Program'!$T$14-'Bonding Program'!$U$14-'Bonding Program'!$Z$14,0)-IF(AND('Bonding Program'!$S$14=1,'Bonding Program'!$H$14&lt;='Bonding Program'!$C$8,B$3=IF('Bonding Program'!$P$14&lt;&gt;"",'Bonding Program'!$P$14,'Bonding Program'!$C$8)),'Bonding Program'!$Z$14,0)+IF(AND('Bonding Program'!$P$14&lt;&gt;"",B$3='Bonding Program'!$P$14,B$3&lt;='Bonding Program'!$C$8),N('Bonding Program'!$O$14),0)</f>
        <v>0</v>
      </c>
      <c r="C155" s="19" t="n">
        <f aca="false">IF(AND('Bonding Program'!$S$14=1,'Bonding Program'!$H$14&gt;'Bonding Program'!$C$8,C$3='Bonding Program'!$H$14),'Bonding Program'!$T$14-'Bonding Program'!$U$14-'Bonding Program'!$Z$14,0)-IF(AND('Bonding Program'!$S$14=1,'Bonding Program'!$H$14&lt;='Bonding Program'!$C$8,C$3=IF('Bonding Program'!$P$14&lt;&gt;"",'Bonding Program'!$P$14,'Bonding Program'!$C$8)),'Bonding Program'!$Z$14,0)+IF(AND('Bonding Program'!$P$14&lt;&gt;"",C$3='Bonding Program'!$P$14,C$3&lt;='Bonding Program'!$C$8),N('Bonding Program'!$O$14),0)</f>
        <v>0</v>
      </c>
      <c r="D155" s="19" t="n">
        <f aca="false">IF(AND('Bonding Program'!$S$14=1,'Bonding Program'!$H$14&gt;'Bonding Program'!$C$8,D$3='Bonding Program'!$H$14),'Bonding Program'!$T$14-'Bonding Program'!$U$14-'Bonding Program'!$Z$14,0)-IF(AND('Bonding Program'!$S$14=1,'Bonding Program'!$H$14&lt;='Bonding Program'!$C$8,D$3=IF('Bonding Program'!$P$14&lt;&gt;"",'Bonding Program'!$P$14,'Bonding Program'!$C$8)),'Bonding Program'!$Z$14,0)+IF(AND('Bonding Program'!$P$14&lt;&gt;"",D$3='Bonding Program'!$P$14,D$3&lt;='Bonding Program'!$C$8),N('Bonding Program'!$O$14),0)</f>
        <v>0</v>
      </c>
      <c r="E155" s="19" t="n">
        <f aca="false">IF(AND('Bonding Program'!$S$14=1,'Bonding Program'!$H$14&gt;'Bonding Program'!$C$8,E$3='Bonding Program'!$H$14),'Bonding Program'!$T$14-'Bonding Program'!$U$14-'Bonding Program'!$Z$14,0)-IF(AND('Bonding Program'!$S$14=1,'Bonding Program'!$H$14&lt;='Bonding Program'!$C$8,E$3=IF('Bonding Program'!$P$14&lt;&gt;"",'Bonding Program'!$P$14,'Bonding Program'!$C$8)),'Bonding Program'!$Z$14,0)+IF(AND('Bonding Program'!$P$14&lt;&gt;"",E$3='Bonding Program'!$P$14,E$3&lt;='Bonding Program'!$C$8),N('Bonding Program'!$O$14),0)</f>
        <v>0</v>
      </c>
      <c r="F155" s="19" t="n">
        <f aca="false">IF(AND('Bonding Program'!$S$14=1,'Bonding Program'!$H$14&gt;'Bonding Program'!$C$8,F$3='Bonding Program'!$H$14),'Bonding Program'!$T$14-'Bonding Program'!$U$14-'Bonding Program'!$Z$14,0)-IF(AND('Bonding Program'!$S$14=1,'Bonding Program'!$H$14&lt;='Bonding Program'!$C$8,F$3=IF('Bonding Program'!$P$14&lt;&gt;"",'Bonding Program'!$P$14,'Bonding Program'!$C$8)),'Bonding Program'!$Z$14,0)+IF(AND('Bonding Program'!$P$14&lt;&gt;"",F$3='Bonding Program'!$P$14,F$3&lt;='Bonding Program'!$C$8),N('Bonding Program'!$O$14),0)</f>
        <v>0</v>
      </c>
      <c r="G155" s="19" t="n">
        <f aca="false">IF(AND('Bonding Program'!$S$14=1,'Bonding Program'!$H$14&gt;'Bonding Program'!$C$8,G$3='Bonding Program'!$H$14),'Bonding Program'!$T$14-'Bonding Program'!$U$14-'Bonding Program'!$Z$14,0)-IF(AND('Bonding Program'!$S$14=1,'Bonding Program'!$H$14&lt;='Bonding Program'!$C$8,G$3=IF('Bonding Program'!$P$14&lt;&gt;"",'Bonding Program'!$P$14,'Bonding Program'!$C$8)),'Bonding Program'!$Z$14,0)+IF(AND('Bonding Program'!$P$14&lt;&gt;"",G$3='Bonding Program'!$P$14,G$3&lt;='Bonding Program'!$C$8),N('Bonding Program'!$O$14),0)</f>
        <v>0</v>
      </c>
      <c r="H155" s="19" t="n">
        <f aca="false">IF(AND('Bonding Program'!$S$14=1,'Bonding Program'!$H$14&gt;'Bonding Program'!$C$8,H$3='Bonding Program'!$H$14),'Bonding Program'!$T$14-'Bonding Program'!$U$14-'Bonding Program'!$Z$14,0)-IF(AND('Bonding Program'!$S$14=1,'Bonding Program'!$H$14&lt;='Bonding Program'!$C$8,H$3=IF('Bonding Program'!$P$14&lt;&gt;"",'Bonding Program'!$P$14,'Bonding Program'!$C$8)),'Bonding Program'!$Z$14,0)+IF(AND('Bonding Program'!$P$14&lt;&gt;"",H$3='Bonding Program'!$P$14,H$3&lt;='Bonding Program'!$C$8),N('Bonding Program'!$O$14),0)</f>
        <v>0</v>
      </c>
      <c r="I155" s="19" t="n">
        <f aca="false">IF(AND('Bonding Program'!$S$14=1,'Bonding Program'!$H$14&gt;'Bonding Program'!$C$8,I$3='Bonding Program'!$H$14),'Bonding Program'!$T$14-'Bonding Program'!$U$14-'Bonding Program'!$Z$14,0)-IF(AND('Bonding Program'!$S$14=1,'Bonding Program'!$H$14&lt;='Bonding Program'!$C$8,I$3=IF('Bonding Program'!$P$14&lt;&gt;"",'Bonding Program'!$P$14,'Bonding Program'!$C$8)),'Bonding Program'!$Z$14,0)+IF(AND('Bonding Program'!$P$14&lt;&gt;"",I$3='Bonding Program'!$P$14,I$3&lt;='Bonding Program'!$C$8),N('Bonding Program'!$O$14),0)</f>
        <v>0</v>
      </c>
      <c r="J155" s="19" t="n">
        <f aca="false">IF(AND('Bonding Program'!$S$14=1,'Bonding Program'!$H$14&gt;'Bonding Program'!$C$8,J$3='Bonding Program'!$H$14),'Bonding Program'!$T$14-'Bonding Program'!$U$14-'Bonding Program'!$Z$14,0)-IF(AND('Bonding Program'!$S$14=1,'Bonding Program'!$H$14&lt;='Bonding Program'!$C$8,J$3=IF('Bonding Program'!$P$14&lt;&gt;"",'Bonding Program'!$P$14,'Bonding Program'!$C$8)),'Bonding Program'!$Z$14,0)+IF(AND('Bonding Program'!$P$14&lt;&gt;"",J$3='Bonding Program'!$P$14,J$3&lt;='Bonding Program'!$C$8),N('Bonding Program'!$O$14),0)</f>
        <v>0</v>
      </c>
      <c r="K155" s="19" t="n">
        <f aca="false">IF(AND('Bonding Program'!$S$14=1,'Bonding Program'!$H$14&gt;'Bonding Program'!$C$8,K$3='Bonding Program'!$H$14),'Bonding Program'!$T$14-'Bonding Program'!$U$14-'Bonding Program'!$Z$14,0)-IF(AND('Bonding Program'!$S$14=1,'Bonding Program'!$H$14&lt;='Bonding Program'!$C$8,K$3=IF('Bonding Program'!$P$14&lt;&gt;"",'Bonding Program'!$P$14,'Bonding Program'!$C$8)),'Bonding Program'!$Z$14,0)+IF(AND('Bonding Program'!$P$14&lt;&gt;"",K$3='Bonding Program'!$P$14,K$3&lt;='Bonding Program'!$C$8),N('Bonding Program'!$O$14),0)</f>
        <v>0</v>
      </c>
      <c r="L155" s="19" t="n">
        <f aca="false">IF(AND('Bonding Program'!$S$14=1,'Bonding Program'!$H$14&gt;'Bonding Program'!$C$8,L$3='Bonding Program'!$H$14),'Bonding Program'!$T$14-'Bonding Program'!$U$14-'Bonding Program'!$Z$14,0)-IF(AND('Bonding Program'!$S$14=1,'Bonding Program'!$H$14&lt;='Bonding Program'!$C$8,L$3=IF('Bonding Program'!$P$14&lt;&gt;"",'Bonding Program'!$P$14,'Bonding Program'!$C$8)),'Bonding Program'!$Z$14,0)+IF(AND('Bonding Program'!$P$14&lt;&gt;"",L$3='Bonding Program'!$P$14,L$3&lt;='Bonding Program'!$C$8),N('Bonding Program'!$O$14),0)</f>
        <v>0</v>
      </c>
      <c r="M155" s="19" t="n">
        <f aca="false">IF(AND('Bonding Program'!$S$14=1,'Bonding Program'!$H$14&gt;'Bonding Program'!$C$8,M$3='Bonding Program'!$H$14),'Bonding Program'!$T$14-'Bonding Program'!$U$14-'Bonding Program'!$Z$14,0)-IF(AND('Bonding Program'!$S$14=1,'Bonding Program'!$H$14&lt;='Bonding Program'!$C$8,M$3=IF('Bonding Program'!$P$14&lt;&gt;"",'Bonding Program'!$P$14,'Bonding Program'!$C$8)),'Bonding Program'!$Z$14,0)+IF(AND('Bonding Program'!$P$14&lt;&gt;"",M$3='Bonding Program'!$P$14,M$3&lt;='Bonding Program'!$C$8),N('Bonding Program'!$O$14),0)</f>
        <v>0</v>
      </c>
      <c r="N155" s="19" t="n">
        <f aca="false">IF(AND('Bonding Program'!$S$14=1,'Bonding Program'!$H$14&gt;'Bonding Program'!$C$8,N$3='Bonding Program'!$H$14),'Bonding Program'!$T$14-'Bonding Program'!$U$14-'Bonding Program'!$Z$14,0)-IF(AND('Bonding Program'!$S$14=1,'Bonding Program'!$H$14&lt;='Bonding Program'!$C$8,N$3=IF('Bonding Program'!$P$14&lt;&gt;"",'Bonding Program'!$P$14,'Bonding Program'!$C$8)),'Bonding Program'!$Z$14,0)+IF(AND('Bonding Program'!$P$14&lt;&gt;"",N$3='Bonding Program'!$P$14,N$3&lt;='Bonding Program'!$C$8),N('Bonding Program'!$O$14),0)</f>
        <v>0</v>
      </c>
      <c r="O155" s="19" t="n">
        <f aca="false">IF(AND('Bonding Program'!$S$14=1,'Bonding Program'!$H$14&gt;'Bonding Program'!$C$8,O$3='Bonding Program'!$H$14),'Bonding Program'!$T$14-'Bonding Program'!$U$14-'Bonding Program'!$Z$14,0)-IF(AND('Bonding Program'!$S$14=1,'Bonding Program'!$H$14&lt;='Bonding Program'!$C$8,O$3=IF('Bonding Program'!$P$14&lt;&gt;"",'Bonding Program'!$P$14,'Bonding Program'!$C$8)),'Bonding Program'!$Z$14,0)+IF(AND('Bonding Program'!$P$14&lt;&gt;"",O$3='Bonding Program'!$P$14,O$3&lt;='Bonding Program'!$C$8),N('Bonding Program'!$O$14),0)</f>
        <v>0</v>
      </c>
      <c r="P155" s="19" t="n">
        <f aca="false">IF(AND('Bonding Program'!$S$14=1,'Bonding Program'!$H$14&gt;'Bonding Program'!$C$8,P$3='Bonding Program'!$H$14),'Bonding Program'!$T$14-'Bonding Program'!$U$14-'Bonding Program'!$Z$14,0)-IF(AND('Bonding Program'!$S$14=1,'Bonding Program'!$H$14&lt;='Bonding Program'!$C$8,P$3=IF('Bonding Program'!$P$14&lt;&gt;"",'Bonding Program'!$P$14,'Bonding Program'!$C$8)),'Bonding Program'!$Z$14,0)+IF(AND('Bonding Program'!$P$14&lt;&gt;"",P$3='Bonding Program'!$P$14,P$3&lt;='Bonding Program'!$C$8),N('Bonding Program'!$O$14),0)</f>
        <v>0</v>
      </c>
      <c r="Q155" s="19" t="n">
        <f aca="false">IF(AND('Bonding Program'!$S$14=1,'Bonding Program'!$H$14&gt;'Bonding Program'!$C$8,Q$3='Bonding Program'!$H$14),'Bonding Program'!$T$14-'Bonding Program'!$U$14-'Bonding Program'!$Z$14,0)-IF(AND('Bonding Program'!$S$14=1,'Bonding Program'!$H$14&lt;='Bonding Program'!$C$8,Q$3=IF('Bonding Program'!$P$14&lt;&gt;"",'Bonding Program'!$P$14,'Bonding Program'!$C$8)),'Bonding Program'!$Z$14,0)+IF(AND('Bonding Program'!$P$14&lt;&gt;"",Q$3='Bonding Program'!$P$14,Q$3&lt;='Bonding Program'!$C$8),N('Bonding Program'!$O$14),0)</f>
        <v>0</v>
      </c>
      <c r="R155" s="19" t="n">
        <f aca="false">IF(AND('Bonding Program'!$S$14=1,'Bonding Program'!$H$14&gt;'Bonding Program'!$C$8,R$3='Bonding Program'!$H$14),'Bonding Program'!$T$14-'Bonding Program'!$U$14-'Bonding Program'!$Z$14,0)-IF(AND('Bonding Program'!$S$14=1,'Bonding Program'!$H$14&lt;='Bonding Program'!$C$8,R$3=IF('Bonding Program'!$P$14&lt;&gt;"",'Bonding Program'!$P$14,'Bonding Program'!$C$8)),'Bonding Program'!$Z$14,0)+IF(AND('Bonding Program'!$P$14&lt;&gt;"",R$3='Bonding Program'!$P$14,R$3&lt;='Bonding Program'!$C$8),N('Bonding Program'!$O$14),0)</f>
        <v>0</v>
      </c>
      <c r="S155" s="19" t="n">
        <f aca="false">IF(AND('Bonding Program'!$S$14=1,'Bonding Program'!$H$14&gt;'Bonding Program'!$C$8,S$3='Bonding Program'!$H$14),'Bonding Program'!$T$14-'Bonding Program'!$U$14-'Bonding Program'!$Z$14,0)-IF(AND('Bonding Program'!$S$14=1,'Bonding Program'!$H$14&lt;='Bonding Program'!$C$8,S$3=IF('Bonding Program'!$P$14&lt;&gt;"",'Bonding Program'!$P$14,'Bonding Program'!$C$8)),'Bonding Program'!$Z$14,0)+IF(AND('Bonding Program'!$P$14&lt;&gt;"",S$3='Bonding Program'!$P$14,S$3&lt;='Bonding Program'!$C$8),N('Bonding Program'!$O$14),0)</f>
        <v>0</v>
      </c>
      <c r="T155" s="19" t="n">
        <f aca="false">IF(AND('Bonding Program'!$S$14=1,'Bonding Program'!$H$14&gt;'Bonding Program'!$C$8,T$3='Bonding Program'!$H$14),'Bonding Program'!$T$14-'Bonding Program'!$U$14-'Bonding Program'!$Z$14,0)-IF(AND('Bonding Program'!$S$14=1,'Bonding Program'!$H$14&lt;='Bonding Program'!$C$8,T$3=IF('Bonding Program'!$P$14&lt;&gt;"",'Bonding Program'!$P$14,'Bonding Program'!$C$8)),'Bonding Program'!$Z$14,0)+IF(AND('Bonding Program'!$P$14&lt;&gt;"",T$3='Bonding Program'!$P$14,T$3&lt;='Bonding Program'!$C$8),N('Bonding Program'!$O$14),0)</f>
        <v>0</v>
      </c>
      <c r="U155" s="19" t="n">
        <f aca="false">IF(AND('Bonding Program'!$S$14=1,'Bonding Program'!$H$14&gt;'Bonding Program'!$C$8,U$3='Bonding Program'!$H$14),'Bonding Program'!$T$14-'Bonding Program'!$U$14-'Bonding Program'!$Z$14,0)-IF(AND('Bonding Program'!$S$14=1,'Bonding Program'!$H$14&lt;='Bonding Program'!$C$8,U$3=IF('Bonding Program'!$P$14&lt;&gt;"",'Bonding Program'!$P$14,'Bonding Program'!$C$8)),'Bonding Program'!$Z$14,0)+IF(AND('Bonding Program'!$P$14&lt;&gt;"",U$3='Bonding Program'!$P$14,U$3&lt;='Bonding Program'!$C$8),N('Bonding Program'!$O$14),0)</f>
        <v>0</v>
      </c>
      <c r="V155" s="19" t="n">
        <f aca="false">IF(AND('Bonding Program'!$S$14=1,'Bonding Program'!$H$14&gt;'Bonding Program'!$C$8,V$3='Bonding Program'!$H$14),'Bonding Program'!$T$14-'Bonding Program'!$U$14-'Bonding Program'!$Z$14,0)-IF(AND('Bonding Program'!$S$14=1,'Bonding Program'!$H$14&lt;='Bonding Program'!$C$8,V$3=IF('Bonding Program'!$P$14&lt;&gt;"",'Bonding Program'!$P$14,'Bonding Program'!$C$8)),'Bonding Program'!$Z$14,0)+IF(AND('Bonding Program'!$P$14&lt;&gt;"",V$3='Bonding Program'!$P$14,V$3&lt;='Bonding Program'!$C$8),N('Bonding Program'!$O$14),0)</f>
        <v>0</v>
      </c>
      <c r="W155" s="19" t="n">
        <f aca="false">IF(AND('Bonding Program'!$S$14=1,'Bonding Program'!$H$14&gt;'Bonding Program'!$C$8,W$3='Bonding Program'!$H$14),'Bonding Program'!$T$14-'Bonding Program'!$U$14-'Bonding Program'!$Z$14,0)-IF(AND('Bonding Program'!$S$14=1,'Bonding Program'!$H$14&lt;='Bonding Program'!$C$8,W$3=IF('Bonding Program'!$P$14&lt;&gt;"",'Bonding Program'!$P$14,'Bonding Program'!$C$8)),'Bonding Program'!$Z$14,0)+IF(AND('Bonding Program'!$P$14&lt;&gt;"",W$3='Bonding Program'!$P$14,W$3&lt;='Bonding Program'!$C$8),N('Bonding Program'!$O$14),0)</f>
        <v>0</v>
      </c>
      <c r="X155" s="19" t="n">
        <f aca="false">IF(AND('Bonding Program'!$S$14=1,'Bonding Program'!$H$14&gt;'Bonding Program'!$C$8,X$3='Bonding Program'!$H$14),'Bonding Program'!$T$14-'Bonding Program'!$U$14-'Bonding Program'!$Z$14,0)-IF(AND('Bonding Program'!$S$14=1,'Bonding Program'!$H$14&lt;='Bonding Program'!$C$8,X$3=IF('Bonding Program'!$P$14&lt;&gt;"",'Bonding Program'!$P$14,'Bonding Program'!$C$8)),'Bonding Program'!$Z$14,0)+IF(AND('Bonding Program'!$P$14&lt;&gt;"",X$3='Bonding Program'!$P$14,X$3&lt;='Bonding Program'!$C$8),N('Bonding Program'!$O$14),0)</f>
        <v>0</v>
      </c>
      <c r="Y155" s="19" t="n">
        <f aca="false">IF(AND('Bonding Program'!$S$14=1,'Bonding Program'!$H$14&gt;'Bonding Program'!$C$8,Y$3='Bonding Program'!$H$14),'Bonding Program'!$T$14-'Bonding Program'!$U$14-'Bonding Program'!$Z$14,0)-IF(AND('Bonding Program'!$S$14=1,'Bonding Program'!$H$14&lt;='Bonding Program'!$C$8,Y$3=IF('Bonding Program'!$P$14&lt;&gt;"",'Bonding Program'!$P$14,'Bonding Program'!$C$8)),'Bonding Program'!$Z$14,0)+IF(AND('Bonding Program'!$P$14&lt;&gt;"",Y$3='Bonding Program'!$P$14,Y$3&lt;='Bonding Program'!$C$8),N('Bonding Program'!$O$14),0)</f>
        <v>0</v>
      </c>
      <c r="Z155" s="19" t="n">
        <f aca="false">IF(AND('Bonding Program'!$S$14=1,'Bonding Program'!$H$14&gt;'Bonding Program'!$C$8,Z$3='Bonding Program'!$H$14),'Bonding Program'!$T$14-'Bonding Program'!$U$14-'Bonding Program'!$Z$14,0)-IF(AND('Bonding Program'!$S$14=1,'Bonding Program'!$H$14&lt;='Bonding Program'!$C$8,Z$3=IF('Bonding Program'!$P$14&lt;&gt;"",'Bonding Program'!$P$14,'Bonding Program'!$C$8)),'Bonding Program'!$Z$14,0)+IF(AND('Bonding Program'!$P$14&lt;&gt;"",Z$3='Bonding Program'!$P$14,Z$3&lt;='Bonding Program'!$C$8),N('Bonding Program'!$O$14),0)</f>
        <v>0</v>
      </c>
      <c r="AA155" s="19" t="n">
        <f aca="false">IF(AND('Bonding Program'!$S$14=1,'Bonding Program'!$H$14&gt;'Bonding Program'!$C$8,AA$3='Bonding Program'!$H$14),'Bonding Program'!$T$14-'Bonding Program'!$U$14-'Bonding Program'!$Z$14,0)-IF(AND('Bonding Program'!$S$14=1,'Bonding Program'!$H$14&lt;='Bonding Program'!$C$8,AA$3=IF('Bonding Program'!$P$14&lt;&gt;"",'Bonding Program'!$P$14,'Bonding Program'!$C$8)),'Bonding Program'!$Z$14,0)+IF(AND('Bonding Program'!$P$14&lt;&gt;"",AA$3='Bonding Program'!$P$14,AA$3&lt;='Bonding Program'!$C$8),N('Bonding Program'!$O$14),0)</f>
        <v>0</v>
      </c>
      <c r="AB155" s="19" t="n">
        <f aca="false">IF(AND('Bonding Program'!$S$14=1,'Bonding Program'!$H$14&gt;'Bonding Program'!$C$8,AB$3='Bonding Program'!$H$14),'Bonding Program'!$T$14-'Bonding Program'!$U$14-'Bonding Program'!$Z$14,0)-IF(AND('Bonding Program'!$S$14=1,'Bonding Program'!$H$14&lt;='Bonding Program'!$C$8,AB$3=IF('Bonding Program'!$P$14&lt;&gt;"",'Bonding Program'!$P$14,'Bonding Program'!$C$8)),'Bonding Program'!$Z$14,0)+IF(AND('Bonding Program'!$P$14&lt;&gt;"",AB$3='Bonding Program'!$P$14,AB$3&lt;='Bonding Program'!$C$8),N('Bonding Program'!$O$14),0)</f>
        <v>0</v>
      </c>
      <c r="AC155" s="19" t="n">
        <f aca="false">IF(AND('Bonding Program'!$S$14=1,'Bonding Program'!$H$14&gt;'Bonding Program'!$C$8,AC$3='Bonding Program'!$H$14),'Bonding Program'!$T$14-'Bonding Program'!$U$14-'Bonding Program'!$Z$14,0)-IF(AND('Bonding Program'!$S$14=1,'Bonding Program'!$H$14&lt;='Bonding Program'!$C$8,AC$3=IF('Bonding Program'!$P$14&lt;&gt;"",'Bonding Program'!$P$14,'Bonding Program'!$C$8)),'Bonding Program'!$Z$14,0)+IF(AND('Bonding Program'!$P$14&lt;&gt;"",AC$3='Bonding Program'!$P$14,AC$3&lt;='Bonding Program'!$C$8),N('Bonding Program'!$O$14),0)</f>
        <v>0</v>
      </c>
      <c r="AD155" s="19" t="n">
        <f aca="false">IF(AND('Bonding Program'!$S$14=1,'Bonding Program'!$H$14&gt;'Bonding Program'!$C$8,AD$3='Bonding Program'!$H$14),'Bonding Program'!$T$14-'Bonding Program'!$U$14-'Bonding Program'!$Z$14,0)-IF(AND('Bonding Program'!$S$14=1,'Bonding Program'!$H$14&lt;='Bonding Program'!$C$8,AD$3=IF('Bonding Program'!$P$14&lt;&gt;"",'Bonding Program'!$P$14,'Bonding Program'!$C$8)),'Bonding Program'!$Z$14,0)+IF(AND('Bonding Program'!$P$14&lt;&gt;"",AD$3='Bonding Program'!$P$14,AD$3&lt;='Bonding Program'!$C$8),N('Bonding Program'!$O$14),0)</f>
        <v>0</v>
      </c>
      <c r="AE155" s="19" t="n">
        <f aca="false">IF(AND('Bonding Program'!$S$14=1,'Bonding Program'!$H$14&gt;'Bonding Program'!$C$8,AE$3='Bonding Program'!$H$14),'Bonding Program'!$T$14-'Bonding Program'!$U$14-'Bonding Program'!$Z$14,0)-IF(AND('Bonding Program'!$S$14=1,'Bonding Program'!$H$14&lt;='Bonding Program'!$C$8,AE$3=IF('Bonding Program'!$P$14&lt;&gt;"",'Bonding Program'!$P$14,'Bonding Program'!$C$8)),'Bonding Program'!$Z$14,0)+IF(AND('Bonding Program'!$P$14&lt;&gt;"",AE$3='Bonding Program'!$P$14,AE$3&lt;='Bonding Program'!$C$8),N('Bonding Program'!$O$14),0)</f>
        <v>0</v>
      </c>
      <c r="AF155" s="19" t="n">
        <f aca="false">IF(AND('Bonding Program'!$S$14=1,'Bonding Program'!$H$14&gt;'Bonding Program'!$C$8,AF$3='Bonding Program'!$H$14),'Bonding Program'!$T$14-'Bonding Program'!$U$14-'Bonding Program'!$Z$14,0)-IF(AND('Bonding Program'!$S$14=1,'Bonding Program'!$H$14&lt;='Bonding Program'!$C$8,AF$3=IF('Bonding Program'!$P$14&lt;&gt;"",'Bonding Program'!$P$14,'Bonding Program'!$C$8)),'Bonding Program'!$Z$14,0)+IF(AND('Bonding Program'!$P$14&lt;&gt;"",AF$3='Bonding Program'!$P$14,AF$3&lt;='Bonding Program'!$C$8),N('Bonding Program'!$O$14),0)</f>
        <v>0</v>
      </c>
      <c r="AG155" s="19" t="n">
        <f aca="false">IF(AND('Bonding Program'!$S$14=1,'Bonding Program'!$H$14&gt;'Bonding Program'!$C$8,AG$3='Bonding Program'!$H$14),'Bonding Program'!$T$14-'Bonding Program'!$U$14-'Bonding Program'!$Z$14,0)-IF(AND('Bonding Program'!$S$14=1,'Bonding Program'!$H$14&lt;='Bonding Program'!$C$8,AG$3=IF('Bonding Program'!$P$14&lt;&gt;"",'Bonding Program'!$P$14,'Bonding Program'!$C$8)),'Bonding Program'!$Z$14,0)+IF(AND('Bonding Program'!$P$14&lt;&gt;"",AG$3='Bonding Program'!$P$14,AG$3&lt;='Bonding Program'!$C$8),N('Bonding Program'!$O$14),0)</f>
        <v>0</v>
      </c>
      <c r="AH155" s="19" t="n">
        <f aca="false">IF(AND('Bonding Program'!$S$14=1,'Bonding Program'!$H$14&gt;'Bonding Program'!$C$8,AH$3='Bonding Program'!$H$14),'Bonding Program'!$T$14-'Bonding Program'!$U$14-'Bonding Program'!$Z$14,0)-IF(AND('Bonding Program'!$S$14=1,'Bonding Program'!$H$14&lt;='Bonding Program'!$C$8,AH$3=IF('Bonding Program'!$P$14&lt;&gt;"",'Bonding Program'!$P$14,'Bonding Program'!$C$8)),'Bonding Program'!$Z$14,0)+IF(AND('Bonding Program'!$P$14&lt;&gt;"",AH$3='Bonding Program'!$P$14,AH$3&lt;='Bonding Program'!$C$8),N('Bonding Program'!$O$14),0)</f>
        <v>0</v>
      </c>
      <c r="AI155" s="19" t="n">
        <f aca="false">IF(AND('Bonding Program'!$S$14=1,'Bonding Program'!$H$14&gt;'Bonding Program'!$C$8,AI$3='Bonding Program'!$H$14),'Bonding Program'!$T$14-'Bonding Program'!$U$14-'Bonding Program'!$Z$14,0)-IF(AND('Bonding Program'!$S$14=1,'Bonding Program'!$H$14&lt;='Bonding Program'!$C$8,AI$3=IF('Bonding Program'!$P$14&lt;&gt;"",'Bonding Program'!$P$14,'Bonding Program'!$C$8)),'Bonding Program'!$Z$14,0)+IF(AND('Bonding Program'!$P$14&lt;&gt;"",AI$3='Bonding Program'!$P$14,AI$3&lt;='Bonding Program'!$C$8),N('Bonding Program'!$O$14),0)</f>
        <v>0</v>
      </c>
      <c r="AJ155" s="19" t="n">
        <f aca="false">IF(AND('Bonding Program'!$S$14=1,'Bonding Program'!$H$14&gt;'Bonding Program'!$C$8,AJ$3='Bonding Program'!$H$14),'Bonding Program'!$T$14-'Bonding Program'!$U$14-'Bonding Program'!$Z$14,0)-IF(AND('Bonding Program'!$S$14=1,'Bonding Program'!$H$14&lt;='Bonding Program'!$C$8,AJ$3=IF('Bonding Program'!$P$14&lt;&gt;"",'Bonding Program'!$P$14,'Bonding Program'!$C$8)),'Bonding Program'!$Z$14,0)+IF(AND('Bonding Program'!$P$14&lt;&gt;"",AJ$3='Bonding Program'!$P$14,AJ$3&lt;='Bonding Program'!$C$8),N('Bonding Program'!$O$14),0)</f>
        <v>0</v>
      </c>
      <c r="AK155" s="19" t="n">
        <f aca="false">IF(AND('Bonding Program'!$S$14=1,'Bonding Program'!$H$14&gt;'Bonding Program'!$C$8,AK$3='Bonding Program'!$H$14),'Bonding Program'!$T$14-'Bonding Program'!$U$14-'Bonding Program'!$Z$14,0)-IF(AND('Bonding Program'!$S$14=1,'Bonding Program'!$H$14&lt;='Bonding Program'!$C$8,AK$3=IF('Bonding Program'!$P$14&lt;&gt;"",'Bonding Program'!$P$14,'Bonding Program'!$C$8)),'Bonding Program'!$Z$14,0)+IF(AND('Bonding Program'!$P$14&lt;&gt;"",AK$3='Bonding Program'!$P$14,AK$3&lt;='Bonding Program'!$C$8),N('Bonding Program'!$O$14),0)</f>
        <v>0</v>
      </c>
      <c r="AL155" s="19" t="n">
        <f aca="false">IF(AND('Bonding Program'!$S$14=1,'Bonding Program'!$H$14&gt;'Bonding Program'!$C$8,AL$3='Bonding Program'!$H$14),'Bonding Program'!$T$14-'Bonding Program'!$U$14-'Bonding Program'!$Z$14,0)-IF(AND('Bonding Program'!$S$14=1,'Bonding Program'!$H$14&lt;='Bonding Program'!$C$8,AL$3=IF('Bonding Program'!$P$14&lt;&gt;"",'Bonding Program'!$P$14,'Bonding Program'!$C$8)),'Bonding Program'!$Z$14,0)+IF(AND('Bonding Program'!$P$14&lt;&gt;"",AL$3='Bonding Program'!$P$14,AL$3&lt;='Bonding Program'!$C$8),N('Bonding Program'!$O$14),0)</f>
        <v>0</v>
      </c>
      <c r="AM155" s="19" t="n">
        <f aca="false">IF(AND('Bonding Program'!$S$14=1,'Bonding Program'!$H$14&gt;'Bonding Program'!$C$8,AM$3='Bonding Program'!$H$14),'Bonding Program'!$T$14-'Bonding Program'!$U$14-'Bonding Program'!$Z$14,0)-IF(AND('Bonding Program'!$S$14=1,'Bonding Program'!$H$14&lt;='Bonding Program'!$C$8,AM$3=IF('Bonding Program'!$P$14&lt;&gt;"",'Bonding Program'!$P$14,'Bonding Program'!$C$8)),'Bonding Program'!$Z$14,0)+IF(AND('Bonding Program'!$P$14&lt;&gt;"",AM$3='Bonding Program'!$P$14,AM$3&lt;='Bonding Program'!$C$8),N('Bonding Program'!$O$14),0)</f>
        <v>0</v>
      </c>
      <c r="AN155" s="19" t="n">
        <f aca="false">IF(AND('Bonding Program'!$S$14=1,'Bonding Program'!$H$14&gt;'Bonding Program'!$C$8,AN$3='Bonding Program'!$H$14),'Bonding Program'!$T$14-'Bonding Program'!$U$14-'Bonding Program'!$Z$14,0)-IF(AND('Bonding Program'!$S$14=1,'Bonding Program'!$H$14&lt;='Bonding Program'!$C$8,AN$3=IF('Bonding Program'!$P$14&lt;&gt;"",'Bonding Program'!$P$14,'Bonding Program'!$C$8)),'Bonding Program'!$Z$14,0)+IF(AND('Bonding Program'!$P$14&lt;&gt;"",AN$3='Bonding Program'!$P$14,AN$3&lt;='Bonding Program'!$C$8),N('Bonding Program'!$O$14),0)</f>
        <v>0</v>
      </c>
      <c r="AO155" s="19" t="n">
        <f aca="false">IF(AND('Bonding Program'!$S$14=1,'Bonding Program'!$H$14&gt;'Bonding Program'!$C$8,AO$3='Bonding Program'!$H$14),'Bonding Program'!$T$14-'Bonding Program'!$U$14-'Bonding Program'!$Z$14,0)-IF(AND('Bonding Program'!$S$14=1,'Bonding Program'!$H$14&lt;='Bonding Program'!$C$8,AO$3=IF('Bonding Program'!$P$14&lt;&gt;"",'Bonding Program'!$P$14,'Bonding Program'!$C$8)),'Bonding Program'!$Z$14,0)+IF(AND('Bonding Program'!$P$14&lt;&gt;"",AO$3='Bonding Program'!$P$14,AO$3&lt;='Bonding Program'!$C$8),N('Bonding Program'!$O$14),0)</f>
        <v>0</v>
      </c>
      <c r="AP155" s="19" t="n">
        <f aca="false">IF(AND('Bonding Program'!$S$14=1,'Bonding Program'!$H$14&gt;'Bonding Program'!$C$8,AP$3='Bonding Program'!$H$14),'Bonding Program'!$T$14-'Bonding Program'!$U$14-'Bonding Program'!$Z$14,0)-IF(AND('Bonding Program'!$S$14=1,'Bonding Program'!$H$14&lt;='Bonding Program'!$C$8,AP$3=IF('Bonding Program'!$P$14&lt;&gt;"",'Bonding Program'!$P$14,'Bonding Program'!$C$8)),'Bonding Program'!$Z$14,0)+IF(AND('Bonding Program'!$P$14&lt;&gt;"",AP$3='Bonding Program'!$P$14,AP$3&lt;='Bonding Program'!$C$8),N('Bonding Program'!$O$14),0)</f>
        <v>0</v>
      </c>
      <c r="AQ155" s="19" t="n">
        <f aca="false">IF(AND('Bonding Program'!$S$14=1,'Bonding Program'!$H$14&gt;'Bonding Program'!$C$8,AQ$3='Bonding Program'!$H$14),'Bonding Program'!$T$14-'Bonding Program'!$U$14-'Bonding Program'!$Z$14,0)-IF(AND('Bonding Program'!$S$14=1,'Bonding Program'!$H$14&lt;='Bonding Program'!$C$8,AQ$3=IF('Bonding Program'!$P$14&lt;&gt;"",'Bonding Program'!$P$14,'Bonding Program'!$C$8)),'Bonding Program'!$Z$14,0)+IF(AND('Bonding Program'!$P$14&lt;&gt;"",AQ$3='Bonding Program'!$P$14,AQ$3&lt;='Bonding Program'!$C$8),N('Bonding Program'!$O$14),0)</f>
        <v>0</v>
      </c>
      <c r="AR155" s="19" t="n">
        <f aca="false">IF(AND('Bonding Program'!$S$14=1,'Bonding Program'!$H$14&gt;'Bonding Program'!$C$8,AR$3='Bonding Program'!$H$14),'Bonding Program'!$T$14-'Bonding Program'!$U$14-'Bonding Program'!$Z$14,0)-IF(AND('Bonding Program'!$S$14=1,'Bonding Program'!$H$14&lt;='Bonding Program'!$C$8,AR$3=IF('Bonding Program'!$P$14&lt;&gt;"",'Bonding Program'!$P$14,'Bonding Program'!$C$8)),'Bonding Program'!$Z$14,0)+IF(AND('Bonding Program'!$P$14&lt;&gt;"",AR$3='Bonding Program'!$P$14,AR$3&lt;='Bonding Program'!$C$8),N('Bonding Program'!$O$14),0)</f>
        <v>0</v>
      </c>
      <c r="AS155" s="19" t="n">
        <f aca="false">IF(AND('Bonding Program'!$S$14=1,'Bonding Program'!$H$14&gt;'Bonding Program'!$C$8,AS$3='Bonding Program'!$H$14),'Bonding Program'!$T$14-'Bonding Program'!$U$14-'Bonding Program'!$Z$14,0)-IF(AND('Bonding Program'!$S$14=1,'Bonding Program'!$H$14&lt;='Bonding Program'!$C$8,AS$3=IF('Bonding Program'!$P$14&lt;&gt;"",'Bonding Program'!$P$14,'Bonding Program'!$C$8)),'Bonding Program'!$Z$14,0)+IF(AND('Bonding Program'!$P$14&lt;&gt;"",AS$3='Bonding Program'!$P$14,AS$3&lt;='Bonding Program'!$C$8),N('Bonding Program'!$O$14),0)</f>
        <v>0</v>
      </c>
      <c r="AT155" s="19" t="n">
        <f aca="false">IF(AND('Bonding Program'!$S$14=1,'Bonding Program'!$H$14&gt;'Bonding Program'!$C$8,AT$3='Bonding Program'!$H$14),'Bonding Program'!$T$14-'Bonding Program'!$U$14-'Bonding Program'!$Z$14,0)-IF(AND('Bonding Program'!$S$14=1,'Bonding Program'!$H$14&lt;='Bonding Program'!$C$8,AT$3=IF('Bonding Program'!$P$14&lt;&gt;"",'Bonding Program'!$P$14,'Bonding Program'!$C$8)),'Bonding Program'!$Z$14,0)+IF(AND('Bonding Program'!$P$14&lt;&gt;"",AT$3='Bonding Program'!$P$14,AT$3&lt;='Bonding Program'!$C$8),N('Bonding Program'!$O$14),0)</f>
        <v>0</v>
      </c>
      <c r="AU155" s="19" t="n">
        <f aca="false">IF(AND('Bonding Program'!$S$14=1,'Bonding Program'!$H$14&gt;'Bonding Program'!$C$8,AU$3='Bonding Program'!$H$14),'Bonding Program'!$T$14-'Bonding Program'!$U$14-'Bonding Program'!$Z$14,0)-IF(AND('Bonding Program'!$S$14=1,'Bonding Program'!$H$14&lt;='Bonding Program'!$C$8,AU$3=IF('Bonding Program'!$P$14&lt;&gt;"",'Bonding Program'!$P$14,'Bonding Program'!$C$8)),'Bonding Program'!$Z$14,0)+IF(AND('Bonding Program'!$P$14&lt;&gt;"",AU$3='Bonding Program'!$P$14,AU$3&lt;='Bonding Program'!$C$8),N('Bonding Program'!$O$14),0)</f>
        <v>0</v>
      </c>
      <c r="AV155" s="19" t="n">
        <f aca="false">IF(AND('Bonding Program'!$S$14=1,'Bonding Program'!$H$14&gt;'Bonding Program'!$C$8,AV$3='Bonding Program'!$H$14),'Bonding Program'!$T$14-'Bonding Program'!$U$14-'Bonding Program'!$Z$14,0)-IF(AND('Bonding Program'!$S$14=1,'Bonding Program'!$H$14&lt;='Bonding Program'!$C$8,AV$3=IF('Bonding Program'!$P$14&lt;&gt;"",'Bonding Program'!$P$14,'Bonding Program'!$C$8)),'Bonding Program'!$Z$14,0)+IF(AND('Bonding Program'!$P$14&lt;&gt;"",AV$3='Bonding Program'!$P$14,AV$3&lt;='Bonding Program'!$C$8),N('Bonding Program'!$O$14),0)</f>
        <v>0</v>
      </c>
      <c r="AW155" s="19" t="n">
        <f aca="false">IF(AND('Bonding Program'!$S$14=1,'Bonding Program'!$H$14&gt;'Bonding Program'!$C$8,AW$3='Bonding Program'!$H$14),'Bonding Program'!$T$14-'Bonding Program'!$U$14-'Bonding Program'!$Z$14,0)-IF(AND('Bonding Program'!$S$14=1,'Bonding Program'!$H$14&lt;='Bonding Program'!$C$8,AW$3=IF('Bonding Program'!$P$14&lt;&gt;"",'Bonding Program'!$P$14,'Bonding Program'!$C$8)),'Bonding Program'!$Z$14,0)+IF(AND('Bonding Program'!$P$14&lt;&gt;"",AW$3='Bonding Program'!$P$14,AW$3&lt;='Bonding Program'!$C$8),N('Bonding Program'!$O$14),0)</f>
        <v>0</v>
      </c>
      <c r="AX155" s="19" t="n">
        <f aca="false">IF(AND('Bonding Program'!$S$14=1,'Bonding Program'!$H$14&gt;'Bonding Program'!$C$8,AX$3='Bonding Program'!$H$14),'Bonding Program'!$T$14-'Bonding Program'!$U$14-'Bonding Program'!$Z$14,0)-IF(AND('Bonding Program'!$S$14=1,'Bonding Program'!$H$14&lt;='Bonding Program'!$C$8,AX$3=IF('Bonding Program'!$P$14&lt;&gt;"",'Bonding Program'!$P$14,'Bonding Program'!$C$8)),'Bonding Program'!$Z$14,0)+IF(AND('Bonding Program'!$P$14&lt;&gt;"",AX$3='Bonding Program'!$P$14,AX$3&lt;='Bonding Program'!$C$8),N('Bonding Program'!$O$14),0)</f>
        <v>0</v>
      </c>
      <c r="AY155" s="19" t="n">
        <f aca="false">IF(AND('Bonding Program'!$S$14=1,'Bonding Program'!$H$14&gt;'Bonding Program'!$C$8,AY$3='Bonding Program'!$H$14),'Bonding Program'!$T$14-'Bonding Program'!$U$14-'Bonding Program'!$Z$14,0)-IF(AND('Bonding Program'!$S$14=1,'Bonding Program'!$H$14&lt;='Bonding Program'!$C$8,AY$3=IF('Bonding Program'!$P$14&lt;&gt;"",'Bonding Program'!$P$14,'Bonding Program'!$C$8)),'Bonding Program'!$Z$14,0)+IF(AND('Bonding Program'!$P$14&lt;&gt;"",AY$3='Bonding Program'!$P$14,AY$3&lt;='Bonding Program'!$C$8),N('Bonding Program'!$O$14),0)</f>
        <v>0</v>
      </c>
      <c r="AZ155" s="19" t="n">
        <f aca="false">IF(AND('Bonding Program'!$S$14=1,'Bonding Program'!$H$14&gt;'Bonding Program'!$C$8,AZ$3='Bonding Program'!$H$14),'Bonding Program'!$T$14-'Bonding Program'!$U$14-'Bonding Program'!$Z$14,0)-IF(AND('Bonding Program'!$S$14=1,'Bonding Program'!$H$14&lt;='Bonding Program'!$C$8,AZ$3=IF('Bonding Program'!$P$14&lt;&gt;"",'Bonding Program'!$P$14,'Bonding Program'!$C$8)),'Bonding Program'!$Z$14,0)+IF(AND('Bonding Program'!$P$14&lt;&gt;"",AZ$3='Bonding Program'!$P$14,AZ$3&lt;='Bonding Program'!$C$8),N('Bonding Program'!$O$14),0)</f>
        <v>0</v>
      </c>
      <c r="BA155" s="19" t="n">
        <f aca="false">IF(AND('Bonding Program'!$S$14=1,'Bonding Program'!$H$14&gt;'Bonding Program'!$C$8,BA$3='Bonding Program'!$H$14),'Bonding Program'!$T$14-'Bonding Program'!$U$14-'Bonding Program'!$Z$14,0)-IF(AND('Bonding Program'!$S$14=1,'Bonding Program'!$H$14&lt;='Bonding Program'!$C$8,BA$3=IF('Bonding Program'!$P$14&lt;&gt;"",'Bonding Program'!$P$14,'Bonding Program'!$C$8)),'Bonding Program'!$Z$14,0)+IF(AND('Bonding Program'!$P$14&lt;&gt;"",BA$3='Bonding Program'!$P$14,BA$3&lt;='Bonding Program'!$C$8),N('Bonding Program'!$O$14),0)</f>
        <v>0</v>
      </c>
      <c r="BB155" s="19" t="n">
        <f aca="false">IF(AND('Bonding Program'!$S$14=1,'Bonding Program'!$H$14&gt;'Bonding Program'!$C$8,BB$3='Bonding Program'!$H$14),'Bonding Program'!$T$14-'Bonding Program'!$U$14-'Bonding Program'!$Z$14,0)-IF(AND('Bonding Program'!$S$14=1,'Bonding Program'!$H$14&lt;='Bonding Program'!$C$8,BB$3=IF('Bonding Program'!$P$14&lt;&gt;"",'Bonding Program'!$P$14,'Bonding Program'!$C$8)),'Bonding Program'!$Z$14,0)+IF(AND('Bonding Program'!$P$14&lt;&gt;"",BB$3='Bonding Program'!$P$14,BB$3&lt;='Bonding Program'!$C$8),N('Bonding Program'!$O$14),0)</f>
        <v>0</v>
      </c>
      <c r="BC155" s="19" t="n">
        <f aca="false">IF(AND('Bonding Program'!$S$14=1,'Bonding Program'!$H$14&gt;'Bonding Program'!$C$8,BC$3='Bonding Program'!$H$14),'Bonding Program'!$T$14-'Bonding Program'!$U$14-'Bonding Program'!$Z$14,0)-IF(AND('Bonding Program'!$S$14=1,'Bonding Program'!$H$14&lt;='Bonding Program'!$C$8,BC$3=IF('Bonding Program'!$P$14&lt;&gt;"",'Bonding Program'!$P$14,'Bonding Program'!$C$8)),'Bonding Program'!$Z$14,0)+IF(AND('Bonding Program'!$P$14&lt;&gt;"",BC$3='Bonding Program'!$P$14,BC$3&lt;='Bonding Program'!$C$8),N('Bonding Program'!$O$14),0)</f>
        <v>0</v>
      </c>
      <c r="BD155" s="19" t="n">
        <f aca="false">IF(AND('Bonding Program'!$S$14=1,'Bonding Program'!$H$14&gt;'Bonding Program'!$C$8,BD$3='Bonding Program'!$H$14),'Bonding Program'!$T$14-'Bonding Program'!$U$14-'Bonding Program'!$Z$14,0)-IF(AND('Bonding Program'!$S$14=1,'Bonding Program'!$H$14&lt;='Bonding Program'!$C$8,BD$3=IF('Bonding Program'!$P$14&lt;&gt;"",'Bonding Program'!$P$14,'Bonding Program'!$C$8)),'Bonding Program'!$Z$14,0)+IF(AND('Bonding Program'!$P$14&lt;&gt;"",BD$3='Bonding Program'!$P$14,BD$3&lt;='Bonding Program'!$C$8),N('Bonding Program'!$O$14),0)</f>
        <v>0</v>
      </c>
      <c r="BE155" s="19" t="n">
        <f aca="false">IF(AND('Bonding Program'!$S$14=1,'Bonding Program'!$H$14&gt;'Bonding Program'!$C$8,BE$3='Bonding Program'!$H$14),'Bonding Program'!$T$14-'Bonding Program'!$U$14-'Bonding Program'!$Z$14,0)-IF(AND('Bonding Program'!$S$14=1,'Bonding Program'!$H$14&lt;='Bonding Program'!$C$8,BE$3=IF('Bonding Program'!$P$14&lt;&gt;"",'Bonding Program'!$P$14,'Bonding Program'!$C$8)),'Bonding Program'!$Z$14,0)+IF(AND('Bonding Program'!$P$14&lt;&gt;"",BE$3='Bonding Program'!$P$14,BE$3&lt;='Bonding Program'!$C$8),N('Bonding Program'!$O$14),0)</f>
        <v>0</v>
      </c>
      <c r="BF155" s="19" t="n">
        <f aca="false">IF(AND('Bonding Program'!$S$14=1,'Bonding Program'!$H$14&gt;'Bonding Program'!$C$8,BF$3='Bonding Program'!$H$14),'Bonding Program'!$T$14-'Bonding Program'!$U$14-'Bonding Program'!$Z$14,0)-IF(AND('Bonding Program'!$S$14=1,'Bonding Program'!$H$14&lt;='Bonding Program'!$C$8,BF$3=IF('Bonding Program'!$P$14&lt;&gt;"",'Bonding Program'!$P$14,'Bonding Program'!$C$8)),'Bonding Program'!$Z$14,0)+IF(AND('Bonding Program'!$P$14&lt;&gt;"",BF$3='Bonding Program'!$P$14,BF$3&lt;='Bonding Program'!$C$8),N('Bonding Program'!$O$14),0)</f>
        <v>0</v>
      </c>
      <c r="BG155" s="19" t="n">
        <f aca="false">IF(AND('Bonding Program'!$S$14=1,'Bonding Program'!$H$14&gt;'Bonding Program'!$C$8,BG$3='Bonding Program'!$H$14),'Bonding Program'!$T$14-'Bonding Program'!$U$14-'Bonding Program'!$Z$14,0)-IF(AND('Bonding Program'!$S$14=1,'Bonding Program'!$H$14&lt;='Bonding Program'!$C$8,BG$3=IF('Bonding Program'!$P$14&lt;&gt;"",'Bonding Program'!$P$14,'Bonding Program'!$C$8)),'Bonding Program'!$Z$14,0)+IF(AND('Bonding Program'!$P$14&lt;&gt;"",BG$3='Bonding Program'!$P$14,BG$3&lt;='Bonding Program'!$C$8),N('Bonding Program'!$O$14),0)</f>
        <v>0</v>
      </c>
      <c r="BH155" s="19" t="n">
        <f aca="false">IF(AND('Bonding Program'!$S$14=1,'Bonding Program'!$H$14&gt;'Bonding Program'!$C$8,BH$3='Bonding Program'!$H$14),'Bonding Program'!$T$14-'Bonding Program'!$U$14-'Bonding Program'!$Z$14,0)-IF(AND('Bonding Program'!$S$14=1,'Bonding Program'!$H$14&lt;='Bonding Program'!$C$8,BH$3=IF('Bonding Program'!$P$14&lt;&gt;"",'Bonding Program'!$P$14,'Bonding Program'!$C$8)),'Bonding Program'!$Z$14,0)+IF(AND('Bonding Program'!$P$14&lt;&gt;"",BH$3='Bonding Program'!$P$14,BH$3&lt;='Bonding Program'!$C$8),N('Bonding Program'!$O$14),0)</f>
        <v>0</v>
      </c>
      <c r="BI155" s="19" t="n">
        <f aca="false">IF(AND('Bonding Program'!$S$14=1,'Bonding Program'!$H$14&gt;'Bonding Program'!$C$8,BI$3='Bonding Program'!$H$14),'Bonding Program'!$T$14-'Bonding Program'!$U$14-'Bonding Program'!$Z$14,0)-IF(AND('Bonding Program'!$S$14=1,'Bonding Program'!$H$14&lt;='Bonding Program'!$C$8,BI$3=IF('Bonding Program'!$P$14&lt;&gt;"",'Bonding Program'!$P$14,'Bonding Program'!$C$8)),'Bonding Program'!$Z$14,0)+IF(AND('Bonding Program'!$P$14&lt;&gt;"",BI$3='Bonding Program'!$P$14,BI$3&lt;='Bonding Program'!$C$8),N('Bonding Program'!$O$14),0)</f>
        <v>0</v>
      </c>
      <c r="BJ155" s="19" t="n">
        <f aca="false">IF(AND('Bonding Program'!$S$14=1,'Bonding Program'!$H$14&gt;'Bonding Program'!$C$8,BJ$3='Bonding Program'!$H$14),'Bonding Program'!$T$14-'Bonding Program'!$U$14-'Bonding Program'!$Z$14,0)-IF(AND('Bonding Program'!$S$14=1,'Bonding Program'!$H$14&lt;='Bonding Program'!$C$8,BJ$3=IF('Bonding Program'!$P$14&lt;&gt;"",'Bonding Program'!$P$14,'Bonding Program'!$C$8)),'Bonding Program'!$Z$14,0)+IF(AND('Bonding Program'!$P$14&lt;&gt;"",BJ$3='Bonding Program'!$P$14,BJ$3&lt;='Bonding Program'!$C$8),N('Bonding Program'!$O$14),0)</f>
        <v>0</v>
      </c>
      <c r="BK155" s="19" t="n">
        <f aca="false">IF(AND('Bonding Program'!$S$14=1,'Bonding Program'!$H$14&gt;'Bonding Program'!$C$8,BK$3='Bonding Program'!$H$14),'Bonding Program'!$T$14-'Bonding Program'!$U$14-'Bonding Program'!$Z$14,0)-IF(AND('Bonding Program'!$S$14=1,'Bonding Program'!$H$14&lt;='Bonding Program'!$C$8,BK$3=IF('Bonding Program'!$P$14&lt;&gt;"",'Bonding Program'!$P$14,'Bonding Program'!$C$8)),'Bonding Program'!$Z$14,0)+IF(AND('Bonding Program'!$P$14&lt;&gt;"",BK$3='Bonding Program'!$P$14,BK$3&lt;='Bonding Program'!$C$8),N('Bonding Program'!$O$14),0)</f>
        <v>0</v>
      </c>
      <c r="BL155" s="19" t="n">
        <f aca="false">IF(AND('Bonding Program'!$S$14=1,'Bonding Program'!$H$14&gt;'Bonding Program'!$C$8,BL$3='Bonding Program'!$H$14),'Bonding Program'!$T$14-'Bonding Program'!$U$14-'Bonding Program'!$Z$14,0)-IF(AND('Bonding Program'!$S$14=1,'Bonding Program'!$H$14&lt;='Bonding Program'!$C$8,BL$3=IF('Bonding Program'!$P$14&lt;&gt;"",'Bonding Program'!$P$14,'Bonding Program'!$C$8)),'Bonding Program'!$Z$14,0)+IF(AND('Bonding Program'!$P$14&lt;&gt;"",BL$3='Bonding Program'!$P$14,BL$3&lt;='Bonding Program'!$C$8),N('Bonding Program'!$O$14),0)</f>
        <v>0</v>
      </c>
      <c r="BM155" s="19" t="n">
        <f aca="false">IF(AND('Bonding Program'!$S$14=1,'Bonding Program'!$H$14&gt;'Bonding Program'!$C$8,BM$3='Bonding Program'!$H$14),'Bonding Program'!$T$14-'Bonding Program'!$U$14-'Bonding Program'!$Z$14,0)-IF(AND('Bonding Program'!$S$14=1,'Bonding Program'!$H$14&lt;='Bonding Program'!$C$8,BM$3=IF('Bonding Program'!$P$14&lt;&gt;"",'Bonding Program'!$P$14,'Bonding Program'!$C$8)),'Bonding Program'!$Z$14,0)+IF(AND('Bonding Program'!$P$14&lt;&gt;"",BM$3='Bonding Program'!$P$14,BM$3&lt;='Bonding Program'!$C$8),N('Bonding Program'!$O$14),0)</f>
        <v>0</v>
      </c>
      <c r="BN155" s="19" t="n">
        <f aca="false">IF(AND('Bonding Program'!$S$14=1,'Bonding Program'!$H$14&gt;'Bonding Program'!$C$8,BN$3='Bonding Program'!$H$14),'Bonding Program'!$T$14-'Bonding Program'!$U$14-'Bonding Program'!$Z$14,0)-IF(AND('Bonding Program'!$S$14=1,'Bonding Program'!$H$14&lt;='Bonding Program'!$C$8,BN$3=IF('Bonding Program'!$P$14&lt;&gt;"",'Bonding Program'!$P$14,'Bonding Program'!$C$8)),'Bonding Program'!$Z$14,0)+IF(AND('Bonding Program'!$P$14&lt;&gt;"",BN$3='Bonding Program'!$P$14,BN$3&lt;='Bonding Program'!$C$8),N('Bonding Program'!$O$14),0)</f>
        <v>0</v>
      </c>
      <c r="BO155" s="19" t="n">
        <f aca="false">IF(AND('Bonding Program'!$S$14=1,'Bonding Program'!$H$14&gt;'Bonding Program'!$C$8,BO$3='Bonding Program'!$H$14),'Bonding Program'!$T$14-'Bonding Program'!$U$14-'Bonding Program'!$Z$14,0)-IF(AND('Bonding Program'!$S$14=1,'Bonding Program'!$H$14&lt;='Bonding Program'!$C$8,BO$3=IF('Bonding Program'!$P$14&lt;&gt;"",'Bonding Program'!$P$14,'Bonding Program'!$C$8)),'Bonding Program'!$Z$14,0)+IF(AND('Bonding Program'!$P$14&lt;&gt;"",BO$3='Bonding Program'!$P$14,BO$3&lt;='Bonding Program'!$C$8),N('Bonding Program'!$O$14),0)</f>
        <v>0</v>
      </c>
      <c r="BP155" s="19" t="n">
        <f aca="false">IF(AND('Bonding Program'!$S$14=1,'Bonding Program'!$H$14&gt;'Bonding Program'!$C$8,BP$3='Bonding Program'!$H$14),'Bonding Program'!$T$14-'Bonding Program'!$U$14-'Bonding Program'!$Z$14,0)-IF(AND('Bonding Program'!$S$14=1,'Bonding Program'!$H$14&lt;='Bonding Program'!$C$8,BP$3=IF('Bonding Program'!$P$14&lt;&gt;"",'Bonding Program'!$P$14,'Bonding Program'!$C$8)),'Bonding Program'!$Z$14,0)+IF(AND('Bonding Program'!$P$14&lt;&gt;"",BP$3='Bonding Program'!$P$14,BP$3&lt;='Bonding Program'!$C$8),N('Bonding Program'!$O$14),0)</f>
        <v>0</v>
      </c>
      <c r="BQ155" s="19" t="n">
        <f aca="false">IF(AND('Bonding Program'!$S$14=1,'Bonding Program'!$H$14&gt;'Bonding Program'!$C$8,BQ$3='Bonding Program'!$H$14),'Bonding Program'!$T$14-'Bonding Program'!$U$14-'Bonding Program'!$Z$14,0)-IF(AND('Bonding Program'!$S$14=1,'Bonding Program'!$H$14&lt;='Bonding Program'!$C$8,BQ$3=IF('Bonding Program'!$P$14&lt;&gt;"",'Bonding Program'!$P$14,'Bonding Program'!$C$8)),'Bonding Program'!$Z$14,0)+IF(AND('Bonding Program'!$P$14&lt;&gt;"",BQ$3='Bonding Program'!$P$14,BQ$3&lt;='Bonding Program'!$C$8),N('Bonding Program'!$O$14),0)</f>
        <v>0</v>
      </c>
      <c r="BR155" s="19" t="n">
        <f aca="false">IF(AND('Bonding Program'!$S$14=1,'Bonding Program'!$H$14&gt;'Bonding Program'!$C$8,BR$3='Bonding Program'!$H$14),'Bonding Program'!$T$14-'Bonding Program'!$U$14-'Bonding Program'!$Z$14,0)-IF(AND('Bonding Program'!$S$14=1,'Bonding Program'!$H$14&lt;='Bonding Program'!$C$8,BR$3=IF('Bonding Program'!$P$14&lt;&gt;"",'Bonding Program'!$P$14,'Bonding Program'!$C$8)),'Bonding Program'!$Z$14,0)+IF(AND('Bonding Program'!$P$14&lt;&gt;"",BR$3='Bonding Program'!$P$14,BR$3&lt;='Bonding Program'!$C$8),N('Bonding Program'!$O$14),0)</f>
        <v>0</v>
      </c>
      <c r="BS155" s="19" t="n">
        <f aca="false">IF(AND('Bonding Program'!$S$14=1,'Bonding Program'!$H$14&gt;'Bonding Program'!$C$8,BS$3='Bonding Program'!$H$14),'Bonding Program'!$T$14-'Bonding Program'!$U$14-'Bonding Program'!$Z$14,0)-IF(AND('Bonding Program'!$S$14=1,'Bonding Program'!$H$14&lt;='Bonding Program'!$C$8,BS$3=IF('Bonding Program'!$P$14&lt;&gt;"",'Bonding Program'!$P$14,'Bonding Program'!$C$8)),'Bonding Program'!$Z$14,0)+IF(AND('Bonding Program'!$P$14&lt;&gt;"",BS$3='Bonding Program'!$P$14,BS$3&lt;='Bonding Program'!$C$8),N('Bonding Program'!$O$14),0)</f>
        <v>0</v>
      </c>
      <c r="BT155" s="19" t="n">
        <f aca="false">IF(AND('Bonding Program'!$S$14=1,'Bonding Program'!$H$14&gt;'Bonding Program'!$C$8,BT$3='Bonding Program'!$H$14),'Bonding Program'!$T$14-'Bonding Program'!$U$14-'Bonding Program'!$Z$14,0)-IF(AND('Bonding Program'!$S$14=1,'Bonding Program'!$H$14&lt;='Bonding Program'!$C$8,BT$3=IF('Bonding Program'!$P$14&lt;&gt;"",'Bonding Program'!$P$14,'Bonding Program'!$C$8)),'Bonding Program'!$Z$14,0)+IF(AND('Bonding Program'!$P$14&lt;&gt;"",BT$3='Bonding Program'!$P$14,BT$3&lt;='Bonding Program'!$C$8),N('Bonding Program'!$O$14),0)</f>
        <v>0</v>
      </c>
      <c r="BU155" s="19" t="n">
        <f aca="false">IF(AND('Bonding Program'!$S$14=1,'Bonding Program'!$H$14&gt;'Bonding Program'!$C$8,BU$3='Bonding Program'!$H$14),'Bonding Program'!$T$14-'Bonding Program'!$U$14-'Bonding Program'!$Z$14,0)-IF(AND('Bonding Program'!$S$14=1,'Bonding Program'!$H$14&lt;='Bonding Program'!$C$8,BU$3=IF('Bonding Program'!$P$14&lt;&gt;"",'Bonding Program'!$P$14,'Bonding Program'!$C$8)),'Bonding Program'!$Z$14,0)+IF(AND('Bonding Program'!$P$14&lt;&gt;"",BU$3='Bonding Program'!$P$14,BU$3&lt;='Bonding Program'!$C$8),N('Bonding Program'!$O$14),0)</f>
        <v>0</v>
      </c>
      <c r="BV155" s="19" t="n">
        <f aca="false">IF(AND('Bonding Program'!$S$14=1,'Bonding Program'!$H$14&gt;'Bonding Program'!$C$8,BV$3='Bonding Program'!$H$14),'Bonding Program'!$T$14-'Bonding Program'!$U$14-'Bonding Program'!$Z$14,0)-IF(AND('Bonding Program'!$S$14=1,'Bonding Program'!$H$14&lt;='Bonding Program'!$C$8,BV$3=IF('Bonding Program'!$P$14&lt;&gt;"",'Bonding Program'!$P$14,'Bonding Program'!$C$8)),'Bonding Program'!$Z$14,0)+IF(AND('Bonding Program'!$P$14&lt;&gt;"",BV$3='Bonding Program'!$P$14,BV$3&lt;='Bonding Program'!$C$8),N('Bonding Program'!$O$14),0)</f>
        <v>0</v>
      </c>
      <c r="BW155" s="19" t="n">
        <f aca="false">IF(AND('Bonding Program'!$S$14=1,'Bonding Program'!$H$14&gt;'Bonding Program'!$C$8,BW$3='Bonding Program'!$H$14),'Bonding Program'!$T$14-'Bonding Program'!$U$14-'Bonding Program'!$Z$14,0)-IF(AND('Bonding Program'!$S$14=1,'Bonding Program'!$H$14&lt;='Bonding Program'!$C$8,BW$3=IF('Bonding Program'!$P$14&lt;&gt;"",'Bonding Program'!$P$14,'Bonding Program'!$C$8)),'Bonding Program'!$Z$14,0)+IF(AND('Bonding Program'!$P$14&lt;&gt;"",BW$3='Bonding Program'!$P$14,BW$3&lt;='Bonding Program'!$C$8),N('Bonding Program'!$O$14),0)</f>
        <v>0</v>
      </c>
      <c r="BX155" s="19" t="n">
        <f aca="false">IF(AND('Bonding Program'!$S$14=1,'Bonding Program'!$H$14&gt;'Bonding Program'!$C$8,BX$3='Bonding Program'!$H$14),'Bonding Program'!$T$14-'Bonding Program'!$U$14-'Bonding Program'!$Z$14,0)-IF(AND('Bonding Program'!$S$14=1,'Bonding Program'!$H$14&lt;='Bonding Program'!$C$8,BX$3=IF('Bonding Program'!$P$14&lt;&gt;"",'Bonding Program'!$P$14,'Bonding Program'!$C$8)),'Bonding Program'!$Z$14,0)+IF(AND('Bonding Program'!$P$14&lt;&gt;"",BX$3='Bonding Program'!$P$14,BX$3&lt;='Bonding Program'!$C$8),N('Bonding Program'!$O$14),0)</f>
        <v>0</v>
      </c>
      <c r="BY155" s="19" t="n">
        <f aca="false">IF(AND('Bonding Program'!$S$14=1,'Bonding Program'!$H$14&gt;'Bonding Program'!$C$8,BY$3='Bonding Program'!$H$14),'Bonding Program'!$T$14-'Bonding Program'!$U$14-'Bonding Program'!$Z$14,0)-IF(AND('Bonding Program'!$S$14=1,'Bonding Program'!$H$14&lt;='Bonding Program'!$C$8,BY$3=IF('Bonding Program'!$P$14&lt;&gt;"",'Bonding Program'!$P$14,'Bonding Program'!$C$8)),'Bonding Program'!$Z$14,0)+IF(AND('Bonding Program'!$P$14&lt;&gt;"",BY$3='Bonding Program'!$P$14,BY$3&lt;='Bonding Program'!$C$8),N('Bonding Program'!$O$14),0)</f>
        <v>0</v>
      </c>
      <c r="BZ155" s="19" t="n">
        <f aca="false">IF(AND('Bonding Program'!$S$14=1,'Bonding Program'!$H$14&gt;'Bonding Program'!$C$8,BZ$3='Bonding Program'!$H$14),'Bonding Program'!$T$14-'Bonding Program'!$U$14-'Bonding Program'!$Z$14,0)-IF(AND('Bonding Program'!$S$14=1,'Bonding Program'!$H$14&lt;='Bonding Program'!$C$8,BZ$3=IF('Bonding Program'!$P$14&lt;&gt;"",'Bonding Program'!$P$14,'Bonding Program'!$C$8)),'Bonding Program'!$Z$14,0)+IF(AND('Bonding Program'!$P$14&lt;&gt;"",BZ$3='Bonding Program'!$P$14,BZ$3&lt;='Bonding Program'!$C$8),N('Bonding Program'!$O$14),0)</f>
        <v>0</v>
      </c>
      <c r="CA155" s="19" t="n">
        <f aca="false">IF(AND('Bonding Program'!$S$14=1,'Bonding Program'!$H$14&gt;'Bonding Program'!$C$8,CA$3='Bonding Program'!$H$14),'Bonding Program'!$T$14-'Bonding Program'!$U$14-'Bonding Program'!$Z$14,0)-IF(AND('Bonding Program'!$S$14=1,'Bonding Program'!$H$14&lt;='Bonding Program'!$C$8,CA$3=IF('Bonding Program'!$P$14&lt;&gt;"",'Bonding Program'!$P$14,'Bonding Program'!$C$8)),'Bonding Program'!$Z$14,0)+IF(AND('Bonding Program'!$P$14&lt;&gt;"",CA$3='Bonding Program'!$P$14,CA$3&lt;='Bonding Program'!$C$8),N('Bonding Program'!$O$14),0)</f>
        <v>0</v>
      </c>
      <c r="CB155" s="19" t="n">
        <f aca="false">IF(AND('Bonding Program'!$S$14=1,'Bonding Program'!$H$14&gt;'Bonding Program'!$C$8,CB$3='Bonding Program'!$H$14),'Bonding Program'!$T$14-'Bonding Program'!$U$14-'Bonding Program'!$Z$14,0)-IF(AND('Bonding Program'!$S$14=1,'Bonding Program'!$H$14&lt;='Bonding Program'!$C$8,CB$3=IF('Bonding Program'!$P$14&lt;&gt;"",'Bonding Program'!$P$14,'Bonding Program'!$C$8)),'Bonding Program'!$Z$14,0)+IF(AND('Bonding Program'!$P$14&lt;&gt;"",CB$3='Bonding Program'!$P$14,CB$3&lt;='Bonding Program'!$C$8),N('Bonding Program'!$O$14),0)</f>
        <v>0</v>
      </c>
      <c r="CC155" s="19" t="n">
        <f aca="false">IF(AND('Bonding Program'!$S$14=1,'Bonding Program'!$H$14&gt;'Bonding Program'!$C$8,CC$3='Bonding Program'!$H$14),'Bonding Program'!$T$14-'Bonding Program'!$U$14-'Bonding Program'!$Z$14,0)-IF(AND('Bonding Program'!$S$14=1,'Bonding Program'!$H$14&lt;='Bonding Program'!$C$8,CC$3=IF('Bonding Program'!$P$14&lt;&gt;"",'Bonding Program'!$P$14,'Bonding Program'!$C$8)),'Bonding Program'!$Z$14,0)+IF(AND('Bonding Program'!$P$14&lt;&gt;"",CC$3='Bonding Program'!$P$14,CC$3&lt;='Bonding Program'!$C$8),N('Bonding Program'!$O$14),0)</f>
        <v>0</v>
      </c>
      <c r="CD155" s="19" t="n">
        <f aca="false">IF(AND('Bonding Program'!$S$14=1,'Bonding Program'!$H$14&gt;'Bonding Program'!$C$8,CD$3='Bonding Program'!$H$14),'Bonding Program'!$T$14-'Bonding Program'!$U$14-'Bonding Program'!$Z$14,0)-IF(AND('Bonding Program'!$S$14=1,'Bonding Program'!$H$14&lt;='Bonding Program'!$C$8,CD$3=IF('Bonding Program'!$P$14&lt;&gt;"",'Bonding Program'!$P$14,'Bonding Program'!$C$8)),'Bonding Program'!$Z$14,0)+IF(AND('Bonding Program'!$P$14&lt;&gt;"",CD$3='Bonding Program'!$P$14,CD$3&lt;='Bonding Program'!$C$8),N('Bonding Program'!$O$14),0)</f>
        <v>0</v>
      </c>
      <c r="CE155" s="19" t="n">
        <f aca="false">IF(AND('Bonding Program'!$S$14=1,'Bonding Program'!$H$14&gt;'Bonding Program'!$C$8,CE$3='Bonding Program'!$H$14),'Bonding Program'!$T$14-'Bonding Program'!$U$14-'Bonding Program'!$Z$14,0)-IF(AND('Bonding Program'!$S$14=1,'Bonding Program'!$H$14&lt;='Bonding Program'!$C$8,CE$3=IF('Bonding Program'!$P$14&lt;&gt;"",'Bonding Program'!$P$14,'Bonding Program'!$C$8)),'Bonding Program'!$Z$14,0)+IF(AND('Bonding Program'!$P$14&lt;&gt;"",CE$3='Bonding Program'!$P$14,CE$3&lt;='Bonding Program'!$C$8),N('Bonding Program'!$O$14),0)</f>
        <v>0</v>
      </c>
      <c r="CF155" s="19" t="n">
        <f aca="false">IF(AND('Bonding Program'!$S$14=1,'Bonding Program'!$H$14&gt;'Bonding Program'!$C$8,CF$3='Bonding Program'!$H$14),'Bonding Program'!$T$14-'Bonding Program'!$U$14-'Bonding Program'!$Z$14,0)-IF(AND('Bonding Program'!$S$14=1,'Bonding Program'!$H$14&lt;='Bonding Program'!$C$8,CF$3=IF('Bonding Program'!$P$14&lt;&gt;"",'Bonding Program'!$P$14,'Bonding Program'!$C$8)),'Bonding Program'!$Z$14,0)+IF(AND('Bonding Program'!$P$14&lt;&gt;"",CF$3='Bonding Program'!$P$14,CF$3&lt;='Bonding Program'!$C$8),N('Bonding Program'!$O$14),0)</f>
        <v>0</v>
      </c>
      <c r="CG155" s="19" t="n">
        <f aca="false">IF(AND('Bonding Program'!$S$14=1,'Bonding Program'!$H$14&gt;'Bonding Program'!$C$8,CG$3='Bonding Program'!$H$14),'Bonding Program'!$T$14-'Bonding Program'!$U$14-'Bonding Program'!$Z$14,0)-IF(AND('Bonding Program'!$S$14=1,'Bonding Program'!$H$14&lt;='Bonding Program'!$C$8,CG$3=IF('Bonding Program'!$P$14&lt;&gt;"",'Bonding Program'!$P$14,'Bonding Program'!$C$8)),'Bonding Program'!$Z$14,0)+IF(AND('Bonding Program'!$P$14&lt;&gt;"",CG$3='Bonding Program'!$P$14,CG$3&lt;='Bonding Program'!$C$8),N('Bonding Program'!$O$14),0)</f>
        <v>0</v>
      </c>
      <c r="CH155" s="19" t="n">
        <f aca="false">IF(AND('Bonding Program'!$S$14=1,'Bonding Program'!$H$14&gt;'Bonding Program'!$C$8,CH$3='Bonding Program'!$H$14),'Bonding Program'!$T$14-'Bonding Program'!$U$14-'Bonding Program'!$Z$14,0)-IF(AND('Bonding Program'!$S$14=1,'Bonding Program'!$H$14&lt;='Bonding Program'!$C$8,CH$3=IF('Bonding Program'!$P$14&lt;&gt;"",'Bonding Program'!$P$14,'Bonding Program'!$C$8)),'Bonding Program'!$Z$14,0)+IF(AND('Bonding Program'!$P$14&lt;&gt;"",CH$3='Bonding Program'!$P$14,CH$3&lt;='Bonding Program'!$C$8),N('Bonding Program'!$O$14),0)</f>
        <v>0</v>
      </c>
      <c r="CI155" s="19" t="n">
        <f aca="false">IF(AND('Bonding Program'!$S$14=1,'Bonding Program'!$H$14&gt;'Bonding Program'!$C$8,CI$3='Bonding Program'!$H$14),'Bonding Program'!$T$14-'Bonding Program'!$U$14-'Bonding Program'!$Z$14,0)-IF(AND('Bonding Program'!$S$14=1,'Bonding Program'!$H$14&lt;='Bonding Program'!$C$8,CI$3=IF('Bonding Program'!$P$14&lt;&gt;"",'Bonding Program'!$P$14,'Bonding Program'!$C$8)),'Bonding Program'!$Z$14,0)+IF(AND('Bonding Program'!$P$14&lt;&gt;"",CI$3='Bonding Program'!$P$14,CI$3&lt;='Bonding Program'!$C$8),N('Bonding Program'!$O$14),0)</f>
        <v>0</v>
      </c>
      <c r="CJ155" s="19" t="n">
        <f aca="false">IF(AND('Bonding Program'!$S$14=1,'Bonding Program'!$H$14&gt;'Bonding Program'!$C$8,CJ$3='Bonding Program'!$H$14),'Bonding Program'!$T$14-'Bonding Program'!$U$14-'Bonding Program'!$Z$14,0)-IF(AND('Bonding Program'!$S$14=1,'Bonding Program'!$H$14&lt;='Bonding Program'!$C$8,CJ$3=IF('Bonding Program'!$P$14&lt;&gt;"",'Bonding Program'!$P$14,'Bonding Program'!$C$8)),'Bonding Program'!$Z$14,0)+IF(AND('Bonding Program'!$P$14&lt;&gt;"",CJ$3='Bonding Program'!$P$14,CJ$3&lt;='Bonding Program'!$C$8),N('Bonding Program'!$O$14),0)</f>
        <v>0</v>
      </c>
      <c r="CK155" s="19" t="n">
        <f aca="false">IF(AND('Bonding Program'!$S$14=1,'Bonding Program'!$H$14&gt;'Bonding Program'!$C$8,CK$3='Bonding Program'!$H$14),'Bonding Program'!$T$14-'Bonding Program'!$U$14-'Bonding Program'!$Z$14,0)-IF(AND('Bonding Program'!$S$14=1,'Bonding Program'!$H$14&lt;='Bonding Program'!$C$8,CK$3=IF('Bonding Program'!$P$14&lt;&gt;"",'Bonding Program'!$P$14,'Bonding Program'!$C$8)),'Bonding Program'!$Z$14,0)+IF(AND('Bonding Program'!$P$14&lt;&gt;"",CK$3='Bonding Program'!$P$14,CK$3&lt;='Bonding Program'!$C$8),N('Bonding Program'!$O$14),0)</f>
        <v>0</v>
      </c>
      <c r="CL155" s="19" t="n">
        <f aca="false">IF(AND('Bonding Program'!$S$14=1,'Bonding Program'!$H$14&gt;'Bonding Program'!$C$8,CL$3='Bonding Program'!$H$14),'Bonding Program'!$T$14-'Bonding Program'!$U$14-'Bonding Program'!$Z$14,0)-IF(AND('Bonding Program'!$S$14=1,'Bonding Program'!$H$14&lt;='Bonding Program'!$C$8,CL$3=IF('Bonding Program'!$P$14&lt;&gt;"",'Bonding Program'!$P$14,'Bonding Program'!$C$8)),'Bonding Program'!$Z$14,0)+IF(AND('Bonding Program'!$P$14&lt;&gt;"",CL$3='Bonding Program'!$P$14,CL$3&lt;='Bonding Program'!$C$8),N('Bonding Program'!$O$14),0)</f>
        <v>0</v>
      </c>
      <c r="CM155" s="19" t="n">
        <f aca="false">IF(AND('Bonding Program'!$S$14=1,'Bonding Program'!$H$14&gt;'Bonding Program'!$C$8,CM$3='Bonding Program'!$H$14),'Bonding Program'!$T$14-'Bonding Program'!$U$14-'Bonding Program'!$Z$14,0)-IF(AND('Bonding Program'!$S$14=1,'Bonding Program'!$H$14&lt;='Bonding Program'!$C$8,CM$3=IF('Bonding Program'!$P$14&lt;&gt;"",'Bonding Program'!$P$14,'Bonding Program'!$C$8)),'Bonding Program'!$Z$14,0)+IF(AND('Bonding Program'!$P$14&lt;&gt;"",CM$3='Bonding Program'!$P$14,CM$3&lt;='Bonding Program'!$C$8),N('Bonding Program'!$O$14),0)</f>
        <v>0</v>
      </c>
      <c r="CN155" s="19" t="n">
        <f aca="false">IF(AND('Bonding Program'!$S$14=1,'Bonding Program'!$H$14&gt;'Bonding Program'!$C$8,CN$3='Bonding Program'!$H$14),'Bonding Program'!$T$14-'Bonding Program'!$U$14-'Bonding Program'!$Z$14,0)-IF(AND('Bonding Program'!$S$14=1,'Bonding Program'!$H$14&lt;='Bonding Program'!$C$8,CN$3=IF('Bonding Program'!$P$14&lt;&gt;"",'Bonding Program'!$P$14,'Bonding Program'!$C$8)),'Bonding Program'!$Z$14,0)+IF(AND('Bonding Program'!$P$14&lt;&gt;"",CN$3='Bonding Program'!$P$14,CN$3&lt;='Bonding Program'!$C$8),N('Bonding Program'!$O$14),0)</f>
        <v>0</v>
      </c>
      <c r="CO155" s="19" t="n">
        <f aca="false">IF(AND('Bonding Program'!$S$14=1,'Bonding Program'!$H$14&gt;'Bonding Program'!$C$8,CO$3='Bonding Program'!$H$14),'Bonding Program'!$T$14-'Bonding Program'!$U$14-'Bonding Program'!$Z$14,0)-IF(AND('Bonding Program'!$S$14=1,'Bonding Program'!$H$14&lt;='Bonding Program'!$C$8,CO$3=IF('Bonding Program'!$P$14&lt;&gt;"",'Bonding Program'!$P$14,'Bonding Program'!$C$8)),'Bonding Program'!$Z$14,0)+IF(AND('Bonding Program'!$P$14&lt;&gt;"",CO$3='Bonding Program'!$P$14,CO$3&lt;='Bonding Program'!$C$8),N('Bonding Program'!$O$14),0)</f>
        <v>0</v>
      </c>
      <c r="CP155" s="19" t="n">
        <f aca="false">IF(AND('Bonding Program'!$S$14=1,'Bonding Program'!$H$14&gt;'Bonding Program'!$C$8,CP$3='Bonding Program'!$H$14),'Bonding Program'!$T$14-'Bonding Program'!$U$14-'Bonding Program'!$Z$14,0)-IF(AND('Bonding Program'!$S$14=1,'Bonding Program'!$H$14&lt;='Bonding Program'!$C$8,CP$3=IF('Bonding Program'!$P$14&lt;&gt;"",'Bonding Program'!$P$14,'Bonding Program'!$C$8)),'Bonding Program'!$Z$14,0)+IF(AND('Bonding Program'!$P$14&lt;&gt;"",CP$3='Bonding Program'!$P$14,CP$3&lt;='Bonding Program'!$C$8),N('Bonding Program'!$O$14),0)</f>
        <v>0</v>
      </c>
      <c r="CQ155" s="19" t="n">
        <f aca="false">IF(AND('Bonding Program'!$S$14=1,'Bonding Program'!$H$14&gt;'Bonding Program'!$C$8,CQ$3='Bonding Program'!$H$14),'Bonding Program'!$T$14-'Bonding Program'!$U$14-'Bonding Program'!$Z$14,0)-IF(AND('Bonding Program'!$S$14=1,'Bonding Program'!$H$14&lt;='Bonding Program'!$C$8,CQ$3=IF('Bonding Program'!$P$14&lt;&gt;"",'Bonding Program'!$P$14,'Bonding Program'!$C$8)),'Bonding Program'!$Z$14,0)+IF(AND('Bonding Program'!$P$14&lt;&gt;"",CQ$3='Bonding Program'!$P$14,CQ$3&lt;='Bonding Program'!$C$8),N('Bonding Program'!$O$14),0)</f>
        <v>0</v>
      </c>
      <c r="CR155" s="19" t="n">
        <f aca="false">IF(AND('Bonding Program'!$S$14=1,'Bonding Program'!$H$14&gt;'Bonding Program'!$C$8,CR$3='Bonding Program'!$H$14),'Bonding Program'!$T$14-'Bonding Program'!$U$14-'Bonding Program'!$Z$14,0)-IF(AND('Bonding Program'!$S$14=1,'Bonding Program'!$H$14&lt;='Bonding Program'!$C$8,CR$3=IF('Bonding Program'!$P$14&lt;&gt;"",'Bonding Program'!$P$14,'Bonding Program'!$C$8)),'Bonding Program'!$Z$14,0)+IF(AND('Bonding Program'!$P$14&lt;&gt;"",CR$3='Bonding Program'!$P$14,CR$3&lt;='Bonding Program'!$C$8),N('Bonding Program'!$O$14),0)</f>
        <v>0</v>
      </c>
      <c r="CS155" s="19" t="n">
        <f aca="false">IF(AND('Bonding Program'!$S$14=1,'Bonding Program'!$H$14&gt;'Bonding Program'!$C$8,CS$3='Bonding Program'!$H$14),'Bonding Program'!$T$14-'Bonding Program'!$U$14-'Bonding Program'!$Z$14,0)-IF(AND('Bonding Program'!$S$14=1,'Bonding Program'!$H$14&lt;='Bonding Program'!$C$8,CS$3=IF('Bonding Program'!$P$14&lt;&gt;"",'Bonding Program'!$P$14,'Bonding Program'!$C$8)),'Bonding Program'!$Z$14,0)+IF(AND('Bonding Program'!$P$14&lt;&gt;"",CS$3='Bonding Program'!$P$14,CS$3&lt;='Bonding Program'!$C$8),N('Bonding Program'!$O$14),0)</f>
        <v>0</v>
      </c>
      <c r="CT155" s="19" t="n">
        <f aca="false">IF(AND('Bonding Program'!$S$14=1,'Bonding Program'!$H$14&gt;'Bonding Program'!$C$8,CT$3='Bonding Program'!$H$14),'Bonding Program'!$T$14-'Bonding Program'!$U$14-'Bonding Program'!$Z$14,0)-IF(AND('Bonding Program'!$S$14=1,'Bonding Program'!$H$14&lt;='Bonding Program'!$C$8,CT$3=IF('Bonding Program'!$P$14&lt;&gt;"",'Bonding Program'!$P$14,'Bonding Program'!$C$8)),'Bonding Program'!$Z$14,0)+IF(AND('Bonding Program'!$P$14&lt;&gt;"",CT$3='Bonding Program'!$P$14,CT$3&lt;='Bonding Program'!$C$8),N('Bonding Program'!$O$14),0)</f>
        <v>0</v>
      </c>
      <c r="CU155" s="19" t="n">
        <f aca="false">IF(AND('Bonding Program'!$S$14=1,'Bonding Program'!$H$14&gt;'Bonding Program'!$C$8,CU$3='Bonding Program'!$H$14),'Bonding Program'!$T$14-'Bonding Program'!$U$14-'Bonding Program'!$Z$14,0)-IF(AND('Bonding Program'!$S$14=1,'Bonding Program'!$H$14&lt;='Bonding Program'!$C$8,CU$3=IF('Bonding Program'!$P$14&lt;&gt;"",'Bonding Program'!$P$14,'Bonding Program'!$C$8)),'Bonding Program'!$Z$14,0)+IF(AND('Bonding Program'!$P$14&lt;&gt;"",CU$3='Bonding Program'!$P$14,CU$3&lt;='Bonding Program'!$C$8),N('Bonding Program'!$O$14),0)</f>
        <v>0</v>
      </c>
      <c r="CV155" s="19" t="n">
        <f aca="false">IF(AND('Bonding Program'!$S$14=1,'Bonding Program'!$H$14&gt;'Bonding Program'!$C$8,CV$3='Bonding Program'!$H$14),'Bonding Program'!$T$14-'Bonding Program'!$U$14-'Bonding Program'!$Z$14,0)-IF(AND('Bonding Program'!$S$14=1,'Bonding Program'!$H$14&lt;='Bonding Program'!$C$8,CV$3=IF('Bonding Program'!$P$14&lt;&gt;"",'Bonding Program'!$P$14,'Bonding Program'!$C$8)),'Bonding Program'!$Z$14,0)+IF(AND('Bonding Program'!$P$14&lt;&gt;"",CV$3='Bonding Program'!$P$14,CV$3&lt;='Bonding Program'!$C$8),N('Bonding Program'!$O$14),0)</f>
        <v>0</v>
      </c>
      <c r="CW155" s="19" t="n">
        <f aca="false">IF(AND('Bonding Program'!$S$14=1,'Bonding Program'!$H$14&gt;'Bonding Program'!$C$8,CW$3='Bonding Program'!$H$14),'Bonding Program'!$T$14-'Bonding Program'!$U$14-'Bonding Program'!$Z$14,0)-IF(AND('Bonding Program'!$S$14=1,'Bonding Program'!$H$14&lt;='Bonding Program'!$C$8,CW$3=IF('Bonding Program'!$P$14&lt;&gt;"",'Bonding Program'!$P$14,'Bonding Program'!$C$8)),'Bonding Program'!$Z$14,0)+IF(AND('Bonding Program'!$P$14&lt;&gt;"",CW$3='Bonding Program'!$P$14,CW$3&lt;='Bonding Program'!$C$8),N('Bonding Program'!$O$14),0)</f>
        <v>0</v>
      </c>
      <c r="CX155" s="19" t="n">
        <f aca="false">IF(AND('Bonding Program'!$S$14=1,'Bonding Program'!$H$14&gt;'Bonding Program'!$C$8,CX$3='Bonding Program'!$H$14),'Bonding Program'!$T$14-'Bonding Program'!$U$14-'Bonding Program'!$Z$14,0)-IF(AND('Bonding Program'!$S$14=1,'Bonding Program'!$H$14&lt;='Bonding Program'!$C$8,CX$3=IF('Bonding Program'!$P$14&lt;&gt;"",'Bonding Program'!$P$14,'Bonding Program'!$C$8)),'Bonding Program'!$Z$14,0)+IF(AND('Bonding Program'!$P$14&lt;&gt;"",CX$3='Bonding Program'!$P$14,CX$3&lt;='Bonding Program'!$C$8),N('Bonding Program'!$O$14),0)</f>
        <v>0</v>
      </c>
      <c r="CY155" s="19" t="n">
        <f aca="false">IF(AND('Bonding Program'!$S$14=1,'Bonding Program'!$H$14&gt;'Bonding Program'!$C$8,CY$3='Bonding Program'!$H$14),'Bonding Program'!$T$14-'Bonding Program'!$U$14-'Bonding Program'!$Z$14,0)-IF(AND('Bonding Program'!$S$14=1,'Bonding Program'!$H$14&lt;='Bonding Program'!$C$8,CY$3=IF('Bonding Program'!$P$14&lt;&gt;"",'Bonding Program'!$P$14,'Bonding Program'!$C$8)),'Bonding Program'!$Z$14,0)+IF(AND('Bonding Program'!$P$14&lt;&gt;"",CY$3='Bonding Program'!$P$14,CY$3&lt;='Bonding Program'!$C$8),N('Bonding Program'!$O$14),0)</f>
        <v>0</v>
      </c>
      <c r="CZ155" s="19" t="n">
        <f aca="false">IF(AND('Bonding Program'!$S$14=1,'Bonding Program'!$H$14&gt;'Bonding Program'!$C$8,CZ$3='Bonding Program'!$H$14),'Bonding Program'!$T$14-'Bonding Program'!$U$14-'Bonding Program'!$Z$14,0)-IF(AND('Bonding Program'!$S$14=1,'Bonding Program'!$H$14&lt;='Bonding Program'!$C$8,CZ$3=IF('Bonding Program'!$P$14&lt;&gt;"",'Bonding Program'!$P$14,'Bonding Program'!$C$8)),'Bonding Program'!$Z$14,0)+IF(AND('Bonding Program'!$P$14&lt;&gt;"",CZ$3='Bonding Program'!$P$14,CZ$3&lt;='Bonding Program'!$C$8),N('Bonding Program'!$O$14),0)</f>
        <v>0</v>
      </c>
      <c r="DA155" s="19" t="n">
        <f aca="false">IF(AND('Bonding Program'!$S$14=1,'Bonding Program'!$H$14&gt;'Bonding Program'!$C$8,DA$3='Bonding Program'!$H$14),'Bonding Program'!$T$14-'Bonding Program'!$U$14-'Bonding Program'!$Z$14,0)-IF(AND('Bonding Program'!$S$14=1,'Bonding Program'!$H$14&lt;='Bonding Program'!$C$8,DA$3=IF('Bonding Program'!$P$14&lt;&gt;"",'Bonding Program'!$P$14,'Bonding Program'!$C$8)),'Bonding Program'!$Z$14,0)+IF(AND('Bonding Program'!$P$14&lt;&gt;"",DA$3='Bonding Program'!$P$14,DA$3&lt;='Bonding Program'!$C$8),N('Bonding Program'!$O$14),0)</f>
        <v>0</v>
      </c>
      <c r="DB155" s="19" t="n">
        <f aca="false">IF(AND('Bonding Program'!$S$14=1,'Bonding Program'!$H$14&gt;'Bonding Program'!$C$8,DB$3='Bonding Program'!$H$14),'Bonding Program'!$T$14-'Bonding Program'!$U$14-'Bonding Program'!$Z$14,0)-IF(AND('Bonding Program'!$S$14=1,'Bonding Program'!$H$14&lt;='Bonding Program'!$C$8,DB$3=IF('Bonding Program'!$P$14&lt;&gt;"",'Bonding Program'!$P$14,'Bonding Program'!$C$8)),'Bonding Program'!$Z$14,0)+IF(AND('Bonding Program'!$P$14&lt;&gt;"",DB$3='Bonding Program'!$P$14,DB$3&lt;='Bonding Program'!$C$8),N('Bonding Program'!$O$14),0)</f>
        <v>0</v>
      </c>
      <c r="DC155" s="19" t="n">
        <f aca="false">IF(AND('Bonding Program'!$S$14=1,'Bonding Program'!$H$14&gt;'Bonding Program'!$C$8,DC$3='Bonding Program'!$H$14),'Bonding Program'!$T$14-'Bonding Program'!$U$14-'Bonding Program'!$Z$14,0)-IF(AND('Bonding Program'!$S$14=1,'Bonding Program'!$H$14&lt;='Bonding Program'!$C$8,DC$3=IF('Bonding Program'!$P$14&lt;&gt;"",'Bonding Program'!$P$14,'Bonding Program'!$C$8)),'Bonding Program'!$Z$14,0)+IF(AND('Bonding Program'!$P$14&lt;&gt;"",DC$3='Bonding Program'!$P$14,DC$3&lt;='Bonding Program'!$C$8),N('Bonding Program'!$O$14),0)</f>
        <v>0</v>
      </c>
      <c r="DD155" s="19" t="n">
        <f aca="false">IF(AND('Bonding Program'!$S$14=1,'Bonding Program'!$H$14&gt;'Bonding Program'!$C$8,DD$3='Bonding Program'!$H$14),'Bonding Program'!$T$14-'Bonding Program'!$U$14-'Bonding Program'!$Z$14,0)-IF(AND('Bonding Program'!$S$14=1,'Bonding Program'!$H$14&lt;='Bonding Program'!$C$8,DD$3=IF('Bonding Program'!$P$14&lt;&gt;"",'Bonding Program'!$P$14,'Bonding Program'!$C$8)),'Bonding Program'!$Z$14,0)+IF(AND('Bonding Program'!$P$14&lt;&gt;"",DD$3='Bonding Program'!$P$14,DD$3&lt;='Bonding Program'!$C$8),N('Bonding Program'!$O$14),0)</f>
        <v>0</v>
      </c>
      <c r="DE155" s="19" t="n">
        <f aca="false">IF(AND('Bonding Program'!$S$14=1,'Bonding Program'!$H$14&gt;'Bonding Program'!$C$8,DE$3='Bonding Program'!$H$14),'Bonding Program'!$T$14-'Bonding Program'!$U$14-'Bonding Program'!$Z$14,0)-IF(AND('Bonding Program'!$S$14=1,'Bonding Program'!$H$14&lt;='Bonding Program'!$C$8,DE$3=IF('Bonding Program'!$P$14&lt;&gt;"",'Bonding Program'!$P$14,'Bonding Program'!$C$8)),'Bonding Program'!$Z$14,0)+IF(AND('Bonding Program'!$P$14&lt;&gt;"",DE$3='Bonding Program'!$P$14,DE$3&lt;='Bonding Program'!$C$8),N('Bonding Program'!$O$14),0)</f>
        <v>0</v>
      </c>
    </row>
    <row r="156" customFormat="false" ht="15" hidden="false" customHeight="true" outlineLevel="1" collapsed="false">
      <c r="A156" s="28" t="s">
        <v>11</v>
      </c>
      <c r="B156" s="19" t="n">
        <f aca="false">IF(AND('Bonding Program'!$S$15=1,'Bonding Program'!$H$15&gt;'Bonding Program'!$C$8,B$3='Bonding Program'!$H$15),'Bonding Program'!$T$15-'Bonding Program'!$U$15-'Bonding Program'!$Z$15,0)-IF(AND('Bonding Program'!$S$15=1,'Bonding Program'!$H$15&lt;='Bonding Program'!$C$8,B$3=IF('Bonding Program'!$P$15&lt;&gt;"",'Bonding Program'!$P$15,'Bonding Program'!$C$8)),'Bonding Program'!$Z$15,0)+IF(AND('Bonding Program'!$P$15&lt;&gt;"",B$3='Bonding Program'!$P$15,B$3&lt;='Bonding Program'!$C$8),N('Bonding Program'!$O$15),0)</f>
        <v>0</v>
      </c>
      <c r="C156" s="19" t="n">
        <f aca="false">IF(AND('Bonding Program'!$S$15=1,'Bonding Program'!$H$15&gt;'Bonding Program'!$C$8,C$3='Bonding Program'!$H$15),'Bonding Program'!$T$15-'Bonding Program'!$U$15-'Bonding Program'!$Z$15,0)-IF(AND('Bonding Program'!$S$15=1,'Bonding Program'!$H$15&lt;='Bonding Program'!$C$8,C$3=IF('Bonding Program'!$P$15&lt;&gt;"",'Bonding Program'!$P$15,'Bonding Program'!$C$8)),'Bonding Program'!$Z$15,0)+IF(AND('Bonding Program'!$P$15&lt;&gt;"",C$3='Bonding Program'!$P$15,C$3&lt;='Bonding Program'!$C$8),N('Bonding Program'!$O$15),0)</f>
        <v>0</v>
      </c>
      <c r="D156" s="19" t="n">
        <f aca="false">IF(AND('Bonding Program'!$S$15=1,'Bonding Program'!$H$15&gt;'Bonding Program'!$C$8,D$3='Bonding Program'!$H$15),'Bonding Program'!$T$15-'Bonding Program'!$U$15-'Bonding Program'!$Z$15,0)-IF(AND('Bonding Program'!$S$15=1,'Bonding Program'!$H$15&lt;='Bonding Program'!$C$8,D$3=IF('Bonding Program'!$P$15&lt;&gt;"",'Bonding Program'!$P$15,'Bonding Program'!$C$8)),'Bonding Program'!$Z$15,0)+IF(AND('Bonding Program'!$P$15&lt;&gt;"",D$3='Bonding Program'!$P$15,D$3&lt;='Bonding Program'!$C$8),N('Bonding Program'!$O$15),0)</f>
        <v>0</v>
      </c>
      <c r="E156" s="19" t="n">
        <f aca="false">IF(AND('Bonding Program'!$S$15=1,'Bonding Program'!$H$15&gt;'Bonding Program'!$C$8,E$3='Bonding Program'!$H$15),'Bonding Program'!$T$15-'Bonding Program'!$U$15-'Bonding Program'!$Z$15,0)-IF(AND('Bonding Program'!$S$15=1,'Bonding Program'!$H$15&lt;='Bonding Program'!$C$8,E$3=IF('Bonding Program'!$P$15&lt;&gt;"",'Bonding Program'!$P$15,'Bonding Program'!$C$8)),'Bonding Program'!$Z$15,0)+IF(AND('Bonding Program'!$P$15&lt;&gt;"",E$3='Bonding Program'!$P$15,E$3&lt;='Bonding Program'!$C$8),N('Bonding Program'!$O$15),0)</f>
        <v>0</v>
      </c>
      <c r="F156" s="19" t="n">
        <f aca="false">IF(AND('Bonding Program'!$S$15=1,'Bonding Program'!$H$15&gt;'Bonding Program'!$C$8,F$3='Bonding Program'!$H$15),'Bonding Program'!$T$15-'Bonding Program'!$U$15-'Bonding Program'!$Z$15,0)-IF(AND('Bonding Program'!$S$15=1,'Bonding Program'!$H$15&lt;='Bonding Program'!$C$8,F$3=IF('Bonding Program'!$P$15&lt;&gt;"",'Bonding Program'!$P$15,'Bonding Program'!$C$8)),'Bonding Program'!$Z$15,0)+IF(AND('Bonding Program'!$P$15&lt;&gt;"",F$3='Bonding Program'!$P$15,F$3&lt;='Bonding Program'!$C$8),N('Bonding Program'!$O$15),0)</f>
        <v>0</v>
      </c>
      <c r="G156" s="19" t="n">
        <f aca="false">IF(AND('Bonding Program'!$S$15=1,'Bonding Program'!$H$15&gt;'Bonding Program'!$C$8,G$3='Bonding Program'!$H$15),'Bonding Program'!$T$15-'Bonding Program'!$U$15-'Bonding Program'!$Z$15,0)-IF(AND('Bonding Program'!$S$15=1,'Bonding Program'!$H$15&lt;='Bonding Program'!$C$8,G$3=IF('Bonding Program'!$P$15&lt;&gt;"",'Bonding Program'!$P$15,'Bonding Program'!$C$8)),'Bonding Program'!$Z$15,0)+IF(AND('Bonding Program'!$P$15&lt;&gt;"",G$3='Bonding Program'!$P$15,G$3&lt;='Bonding Program'!$C$8),N('Bonding Program'!$O$15),0)</f>
        <v>0</v>
      </c>
      <c r="H156" s="19" t="n">
        <f aca="false">IF(AND('Bonding Program'!$S$15=1,'Bonding Program'!$H$15&gt;'Bonding Program'!$C$8,H$3='Bonding Program'!$H$15),'Bonding Program'!$T$15-'Bonding Program'!$U$15-'Bonding Program'!$Z$15,0)-IF(AND('Bonding Program'!$S$15=1,'Bonding Program'!$H$15&lt;='Bonding Program'!$C$8,H$3=IF('Bonding Program'!$P$15&lt;&gt;"",'Bonding Program'!$P$15,'Bonding Program'!$C$8)),'Bonding Program'!$Z$15,0)+IF(AND('Bonding Program'!$P$15&lt;&gt;"",H$3='Bonding Program'!$P$15,H$3&lt;='Bonding Program'!$C$8),N('Bonding Program'!$O$15),0)</f>
        <v>0</v>
      </c>
      <c r="I156" s="19" t="n">
        <f aca="false">IF(AND('Bonding Program'!$S$15=1,'Bonding Program'!$H$15&gt;'Bonding Program'!$C$8,I$3='Bonding Program'!$H$15),'Bonding Program'!$T$15-'Bonding Program'!$U$15-'Bonding Program'!$Z$15,0)-IF(AND('Bonding Program'!$S$15=1,'Bonding Program'!$H$15&lt;='Bonding Program'!$C$8,I$3=IF('Bonding Program'!$P$15&lt;&gt;"",'Bonding Program'!$P$15,'Bonding Program'!$C$8)),'Bonding Program'!$Z$15,0)+IF(AND('Bonding Program'!$P$15&lt;&gt;"",I$3='Bonding Program'!$P$15,I$3&lt;='Bonding Program'!$C$8),N('Bonding Program'!$O$15),0)</f>
        <v>0</v>
      </c>
      <c r="J156" s="19" t="n">
        <f aca="false">IF(AND('Bonding Program'!$S$15=1,'Bonding Program'!$H$15&gt;'Bonding Program'!$C$8,J$3='Bonding Program'!$H$15),'Bonding Program'!$T$15-'Bonding Program'!$U$15-'Bonding Program'!$Z$15,0)-IF(AND('Bonding Program'!$S$15=1,'Bonding Program'!$H$15&lt;='Bonding Program'!$C$8,J$3=IF('Bonding Program'!$P$15&lt;&gt;"",'Bonding Program'!$P$15,'Bonding Program'!$C$8)),'Bonding Program'!$Z$15,0)+IF(AND('Bonding Program'!$P$15&lt;&gt;"",J$3='Bonding Program'!$P$15,J$3&lt;='Bonding Program'!$C$8),N('Bonding Program'!$O$15),0)</f>
        <v>0</v>
      </c>
      <c r="K156" s="19" t="n">
        <f aca="false">IF(AND('Bonding Program'!$S$15=1,'Bonding Program'!$H$15&gt;'Bonding Program'!$C$8,K$3='Bonding Program'!$H$15),'Bonding Program'!$T$15-'Bonding Program'!$U$15-'Bonding Program'!$Z$15,0)-IF(AND('Bonding Program'!$S$15=1,'Bonding Program'!$H$15&lt;='Bonding Program'!$C$8,K$3=IF('Bonding Program'!$P$15&lt;&gt;"",'Bonding Program'!$P$15,'Bonding Program'!$C$8)),'Bonding Program'!$Z$15,0)+IF(AND('Bonding Program'!$P$15&lt;&gt;"",K$3='Bonding Program'!$P$15,K$3&lt;='Bonding Program'!$C$8),N('Bonding Program'!$O$15),0)</f>
        <v>0</v>
      </c>
      <c r="L156" s="19" t="n">
        <f aca="false">IF(AND('Bonding Program'!$S$15=1,'Bonding Program'!$H$15&gt;'Bonding Program'!$C$8,L$3='Bonding Program'!$H$15),'Bonding Program'!$T$15-'Bonding Program'!$U$15-'Bonding Program'!$Z$15,0)-IF(AND('Bonding Program'!$S$15=1,'Bonding Program'!$H$15&lt;='Bonding Program'!$C$8,L$3=IF('Bonding Program'!$P$15&lt;&gt;"",'Bonding Program'!$P$15,'Bonding Program'!$C$8)),'Bonding Program'!$Z$15,0)+IF(AND('Bonding Program'!$P$15&lt;&gt;"",L$3='Bonding Program'!$P$15,L$3&lt;='Bonding Program'!$C$8),N('Bonding Program'!$O$15),0)</f>
        <v>0</v>
      </c>
      <c r="M156" s="19" t="n">
        <f aca="false">IF(AND('Bonding Program'!$S$15=1,'Bonding Program'!$H$15&gt;'Bonding Program'!$C$8,M$3='Bonding Program'!$H$15),'Bonding Program'!$T$15-'Bonding Program'!$U$15-'Bonding Program'!$Z$15,0)-IF(AND('Bonding Program'!$S$15=1,'Bonding Program'!$H$15&lt;='Bonding Program'!$C$8,M$3=IF('Bonding Program'!$P$15&lt;&gt;"",'Bonding Program'!$P$15,'Bonding Program'!$C$8)),'Bonding Program'!$Z$15,0)+IF(AND('Bonding Program'!$P$15&lt;&gt;"",M$3='Bonding Program'!$P$15,M$3&lt;='Bonding Program'!$C$8),N('Bonding Program'!$O$15),0)</f>
        <v>0</v>
      </c>
      <c r="N156" s="19" t="n">
        <f aca="false">IF(AND('Bonding Program'!$S$15=1,'Bonding Program'!$H$15&gt;'Bonding Program'!$C$8,N$3='Bonding Program'!$H$15),'Bonding Program'!$T$15-'Bonding Program'!$U$15-'Bonding Program'!$Z$15,0)-IF(AND('Bonding Program'!$S$15=1,'Bonding Program'!$H$15&lt;='Bonding Program'!$C$8,N$3=IF('Bonding Program'!$P$15&lt;&gt;"",'Bonding Program'!$P$15,'Bonding Program'!$C$8)),'Bonding Program'!$Z$15,0)+IF(AND('Bonding Program'!$P$15&lt;&gt;"",N$3='Bonding Program'!$P$15,N$3&lt;='Bonding Program'!$C$8),N('Bonding Program'!$O$15),0)</f>
        <v>0</v>
      </c>
      <c r="O156" s="19" t="n">
        <f aca="false">IF(AND('Bonding Program'!$S$15=1,'Bonding Program'!$H$15&gt;'Bonding Program'!$C$8,O$3='Bonding Program'!$H$15),'Bonding Program'!$T$15-'Bonding Program'!$U$15-'Bonding Program'!$Z$15,0)-IF(AND('Bonding Program'!$S$15=1,'Bonding Program'!$H$15&lt;='Bonding Program'!$C$8,O$3=IF('Bonding Program'!$P$15&lt;&gt;"",'Bonding Program'!$P$15,'Bonding Program'!$C$8)),'Bonding Program'!$Z$15,0)+IF(AND('Bonding Program'!$P$15&lt;&gt;"",O$3='Bonding Program'!$P$15,O$3&lt;='Bonding Program'!$C$8),N('Bonding Program'!$O$15),0)</f>
        <v>0</v>
      </c>
      <c r="P156" s="19" t="n">
        <f aca="false">IF(AND('Bonding Program'!$S$15=1,'Bonding Program'!$H$15&gt;'Bonding Program'!$C$8,P$3='Bonding Program'!$H$15),'Bonding Program'!$T$15-'Bonding Program'!$U$15-'Bonding Program'!$Z$15,0)-IF(AND('Bonding Program'!$S$15=1,'Bonding Program'!$H$15&lt;='Bonding Program'!$C$8,P$3=IF('Bonding Program'!$P$15&lt;&gt;"",'Bonding Program'!$P$15,'Bonding Program'!$C$8)),'Bonding Program'!$Z$15,0)+IF(AND('Bonding Program'!$P$15&lt;&gt;"",P$3='Bonding Program'!$P$15,P$3&lt;='Bonding Program'!$C$8),N('Bonding Program'!$O$15),0)</f>
        <v>0</v>
      </c>
      <c r="Q156" s="19" t="n">
        <f aca="false">IF(AND('Bonding Program'!$S$15=1,'Bonding Program'!$H$15&gt;'Bonding Program'!$C$8,Q$3='Bonding Program'!$H$15),'Bonding Program'!$T$15-'Bonding Program'!$U$15-'Bonding Program'!$Z$15,0)-IF(AND('Bonding Program'!$S$15=1,'Bonding Program'!$H$15&lt;='Bonding Program'!$C$8,Q$3=IF('Bonding Program'!$P$15&lt;&gt;"",'Bonding Program'!$P$15,'Bonding Program'!$C$8)),'Bonding Program'!$Z$15,0)+IF(AND('Bonding Program'!$P$15&lt;&gt;"",Q$3='Bonding Program'!$P$15,Q$3&lt;='Bonding Program'!$C$8),N('Bonding Program'!$O$15),0)</f>
        <v>0</v>
      </c>
      <c r="R156" s="19" t="n">
        <f aca="false">IF(AND('Bonding Program'!$S$15=1,'Bonding Program'!$H$15&gt;'Bonding Program'!$C$8,R$3='Bonding Program'!$H$15),'Bonding Program'!$T$15-'Bonding Program'!$U$15-'Bonding Program'!$Z$15,0)-IF(AND('Bonding Program'!$S$15=1,'Bonding Program'!$H$15&lt;='Bonding Program'!$C$8,R$3=IF('Bonding Program'!$P$15&lt;&gt;"",'Bonding Program'!$P$15,'Bonding Program'!$C$8)),'Bonding Program'!$Z$15,0)+IF(AND('Bonding Program'!$P$15&lt;&gt;"",R$3='Bonding Program'!$P$15,R$3&lt;='Bonding Program'!$C$8),N('Bonding Program'!$O$15),0)</f>
        <v>0</v>
      </c>
      <c r="S156" s="19" t="n">
        <f aca="false">IF(AND('Bonding Program'!$S$15=1,'Bonding Program'!$H$15&gt;'Bonding Program'!$C$8,S$3='Bonding Program'!$H$15),'Bonding Program'!$T$15-'Bonding Program'!$U$15-'Bonding Program'!$Z$15,0)-IF(AND('Bonding Program'!$S$15=1,'Bonding Program'!$H$15&lt;='Bonding Program'!$C$8,S$3=IF('Bonding Program'!$P$15&lt;&gt;"",'Bonding Program'!$P$15,'Bonding Program'!$C$8)),'Bonding Program'!$Z$15,0)+IF(AND('Bonding Program'!$P$15&lt;&gt;"",S$3='Bonding Program'!$P$15,S$3&lt;='Bonding Program'!$C$8),N('Bonding Program'!$O$15),0)</f>
        <v>0</v>
      </c>
      <c r="T156" s="19" t="n">
        <f aca="false">IF(AND('Bonding Program'!$S$15=1,'Bonding Program'!$H$15&gt;'Bonding Program'!$C$8,T$3='Bonding Program'!$H$15),'Bonding Program'!$T$15-'Bonding Program'!$U$15-'Bonding Program'!$Z$15,0)-IF(AND('Bonding Program'!$S$15=1,'Bonding Program'!$H$15&lt;='Bonding Program'!$C$8,T$3=IF('Bonding Program'!$P$15&lt;&gt;"",'Bonding Program'!$P$15,'Bonding Program'!$C$8)),'Bonding Program'!$Z$15,0)+IF(AND('Bonding Program'!$P$15&lt;&gt;"",T$3='Bonding Program'!$P$15,T$3&lt;='Bonding Program'!$C$8),N('Bonding Program'!$O$15),0)</f>
        <v>0</v>
      </c>
      <c r="U156" s="19" t="n">
        <f aca="false">IF(AND('Bonding Program'!$S$15=1,'Bonding Program'!$H$15&gt;'Bonding Program'!$C$8,U$3='Bonding Program'!$H$15),'Bonding Program'!$T$15-'Bonding Program'!$U$15-'Bonding Program'!$Z$15,0)-IF(AND('Bonding Program'!$S$15=1,'Bonding Program'!$H$15&lt;='Bonding Program'!$C$8,U$3=IF('Bonding Program'!$P$15&lt;&gt;"",'Bonding Program'!$P$15,'Bonding Program'!$C$8)),'Bonding Program'!$Z$15,0)+IF(AND('Bonding Program'!$P$15&lt;&gt;"",U$3='Bonding Program'!$P$15,U$3&lt;='Bonding Program'!$C$8),N('Bonding Program'!$O$15),0)</f>
        <v>0</v>
      </c>
      <c r="V156" s="19" t="n">
        <f aca="false">IF(AND('Bonding Program'!$S$15=1,'Bonding Program'!$H$15&gt;'Bonding Program'!$C$8,V$3='Bonding Program'!$H$15),'Bonding Program'!$T$15-'Bonding Program'!$U$15-'Bonding Program'!$Z$15,0)-IF(AND('Bonding Program'!$S$15=1,'Bonding Program'!$H$15&lt;='Bonding Program'!$C$8,V$3=IF('Bonding Program'!$P$15&lt;&gt;"",'Bonding Program'!$P$15,'Bonding Program'!$C$8)),'Bonding Program'!$Z$15,0)+IF(AND('Bonding Program'!$P$15&lt;&gt;"",V$3='Bonding Program'!$P$15,V$3&lt;='Bonding Program'!$C$8),N('Bonding Program'!$O$15),0)</f>
        <v>0</v>
      </c>
      <c r="W156" s="19" t="n">
        <f aca="false">IF(AND('Bonding Program'!$S$15=1,'Bonding Program'!$H$15&gt;'Bonding Program'!$C$8,W$3='Bonding Program'!$H$15),'Bonding Program'!$T$15-'Bonding Program'!$U$15-'Bonding Program'!$Z$15,0)-IF(AND('Bonding Program'!$S$15=1,'Bonding Program'!$H$15&lt;='Bonding Program'!$C$8,W$3=IF('Bonding Program'!$P$15&lt;&gt;"",'Bonding Program'!$P$15,'Bonding Program'!$C$8)),'Bonding Program'!$Z$15,0)+IF(AND('Bonding Program'!$P$15&lt;&gt;"",W$3='Bonding Program'!$P$15,W$3&lt;='Bonding Program'!$C$8),N('Bonding Program'!$O$15),0)</f>
        <v>0</v>
      </c>
      <c r="X156" s="19" t="n">
        <f aca="false">IF(AND('Bonding Program'!$S$15=1,'Bonding Program'!$H$15&gt;'Bonding Program'!$C$8,X$3='Bonding Program'!$H$15),'Bonding Program'!$T$15-'Bonding Program'!$U$15-'Bonding Program'!$Z$15,0)-IF(AND('Bonding Program'!$S$15=1,'Bonding Program'!$H$15&lt;='Bonding Program'!$C$8,X$3=IF('Bonding Program'!$P$15&lt;&gt;"",'Bonding Program'!$P$15,'Bonding Program'!$C$8)),'Bonding Program'!$Z$15,0)+IF(AND('Bonding Program'!$P$15&lt;&gt;"",X$3='Bonding Program'!$P$15,X$3&lt;='Bonding Program'!$C$8),N('Bonding Program'!$O$15),0)</f>
        <v>0</v>
      </c>
      <c r="Y156" s="19" t="n">
        <f aca="false">IF(AND('Bonding Program'!$S$15=1,'Bonding Program'!$H$15&gt;'Bonding Program'!$C$8,Y$3='Bonding Program'!$H$15),'Bonding Program'!$T$15-'Bonding Program'!$U$15-'Bonding Program'!$Z$15,0)-IF(AND('Bonding Program'!$S$15=1,'Bonding Program'!$H$15&lt;='Bonding Program'!$C$8,Y$3=IF('Bonding Program'!$P$15&lt;&gt;"",'Bonding Program'!$P$15,'Bonding Program'!$C$8)),'Bonding Program'!$Z$15,0)+IF(AND('Bonding Program'!$P$15&lt;&gt;"",Y$3='Bonding Program'!$P$15,Y$3&lt;='Bonding Program'!$C$8),N('Bonding Program'!$O$15),0)</f>
        <v>0</v>
      </c>
      <c r="Z156" s="19" t="n">
        <f aca="false">IF(AND('Bonding Program'!$S$15=1,'Bonding Program'!$H$15&gt;'Bonding Program'!$C$8,Z$3='Bonding Program'!$H$15),'Bonding Program'!$T$15-'Bonding Program'!$U$15-'Bonding Program'!$Z$15,0)-IF(AND('Bonding Program'!$S$15=1,'Bonding Program'!$H$15&lt;='Bonding Program'!$C$8,Z$3=IF('Bonding Program'!$P$15&lt;&gt;"",'Bonding Program'!$P$15,'Bonding Program'!$C$8)),'Bonding Program'!$Z$15,0)+IF(AND('Bonding Program'!$P$15&lt;&gt;"",Z$3='Bonding Program'!$P$15,Z$3&lt;='Bonding Program'!$C$8),N('Bonding Program'!$O$15),0)</f>
        <v>0</v>
      </c>
      <c r="AA156" s="19" t="n">
        <f aca="false">IF(AND('Bonding Program'!$S$15=1,'Bonding Program'!$H$15&gt;'Bonding Program'!$C$8,AA$3='Bonding Program'!$H$15),'Bonding Program'!$T$15-'Bonding Program'!$U$15-'Bonding Program'!$Z$15,0)-IF(AND('Bonding Program'!$S$15=1,'Bonding Program'!$H$15&lt;='Bonding Program'!$C$8,AA$3=IF('Bonding Program'!$P$15&lt;&gt;"",'Bonding Program'!$P$15,'Bonding Program'!$C$8)),'Bonding Program'!$Z$15,0)+IF(AND('Bonding Program'!$P$15&lt;&gt;"",AA$3='Bonding Program'!$P$15,AA$3&lt;='Bonding Program'!$C$8),N('Bonding Program'!$O$15),0)</f>
        <v>0</v>
      </c>
      <c r="AB156" s="19" t="n">
        <f aca="false">IF(AND('Bonding Program'!$S$15=1,'Bonding Program'!$H$15&gt;'Bonding Program'!$C$8,AB$3='Bonding Program'!$H$15),'Bonding Program'!$T$15-'Bonding Program'!$U$15-'Bonding Program'!$Z$15,0)-IF(AND('Bonding Program'!$S$15=1,'Bonding Program'!$H$15&lt;='Bonding Program'!$C$8,AB$3=IF('Bonding Program'!$P$15&lt;&gt;"",'Bonding Program'!$P$15,'Bonding Program'!$C$8)),'Bonding Program'!$Z$15,0)+IF(AND('Bonding Program'!$P$15&lt;&gt;"",AB$3='Bonding Program'!$P$15,AB$3&lt;='Bonding Program'!$C$8),N('Bonding Program'!$O$15),0)</f>
        <v>0</v>
      </c>
      <c r="AC156" s="19" t="n">
        <f aca="false">IF(AND('Bonding Program'!$S$15=1,'Bonding Program'!$H$15&gt;'Bonding Program'!$C$8,AC$3='Bonding Program'!$H$15),'Bonding Program'!$T$15-'Bonding Program'!$U$15-'Bonding Program'!$Z$15,0)-IF(AND('Bonding Program'!$S$15=1,'Bonding Program'!$H$15&lt;='Bonding Program'!$C$8,AC$3=IF('Bonding Program'!$P$15&lt;&gt;"",'Bonding Program'!$P$15,'Bonding Program'!$C$8)),'Bonding Program'!$Z$15,0)+IF(AND('Bonding Program'!$P$15&lt;&gt;"",AC$3='Bonding Program'!$P$15,AC$3&lt;='Bonding Program'!$C$8),N('Bonding Program'!$O$15),0)</f>
        <v>0</v>
      </c>
      <c r="AD156" s="19" t="n">
        <f aca="false">IF(AND('Bonding Program'!$S$15=1,'Bonding Program'!$H$15&gt;'Bonding Program'!$C$8,AD$3='Bonding Program'!$H$15),'Bonding Program'!$T$15-'Bonding Program'!$U$15-'Bonding Program'!$Z$15,0)-IF(AND('Bonding Program'!$S$15=1,'Bonding Program'!$H$15&lt;='Bonding Program'!$C$8,AD$3=IF('Bonding Program'!$P$15&lt;&gt;"",'Bonding Program'!$P$15,'Bonding Program'!$C$8)),'Bonding Program'!$Z$15,0)+IF(AND('Bonding Program'!$P$15&lt;&gt;"",AD$3='Bonding Program'!$P$15,AD$3&lt;='Bonding Program'!$C$8),N('Bonding Program'!$O$15),0)</f>
        <v>0</v>
      </c>
      <c r="AE156" s="19" t="n">
        <f aca="false">IF(AND('Bonding Program'!$S$15=1,'Bonding Program'!$H$15&gt;'Bonding Program'!$C$8,AE$3='Bonding Program'!$H$15),'Bonding Program'!$T$15-'Bonding Program'!$U$15-'Bonding Program'!$Z$15,0)-IF(AND('Bonding Program'!$S$15=1,'Bonding Program'!$H$15&lt;='Bonding Program'!$C$8,AE$3=IF('Bonding Program'!$P$15&lt;&gt;"",'Bonding Program'!$P$15,'Bonding Program'!$C$8)),'Bonding Program'!$Z$15,0)+IF(AND('Bonding Program'!$P$15&lt;&gt;"",AE$3='Bonding Program'!$P$15,AE$3&lt;='Bonding Program'!$C$8),N('Bonding Program'!$O$15),0)</f>
        <v>0</v>
      </c>
      <c r="AF156" s="19" t="n">
        <f aca="false">IF(AND('Bonding Program'!$S$15=1,'Bonding Program'!$H$15&gt;'Bonding Program'!$C$8,AF$3='Bonding Program'!$H$15),'Bonding Program'!$T$15-'Bonding Program'!$U$15-'Bonding Program'!$Z$15,0)-IF(AND('Bonding Program'!$S$15=1,'Bonding Program'!$H$15&lt;='Bonding Program'!$C$8,AF$3=IF('Bonding Program'!$P$15&lt;&gt;"",'Bonding Program'!$P$15,'Bonding Program'!$C$8)),'Bonding Program'!$Z$15,0)+IF(AND('Bonding Program'!$P$15&lt;&gt;"",AF$3='Bonding Program'!$P$15,AF$3&lt;='Bonding Program'!$C$8),N('Bonding Program'!$O$15),0)</f>
        <v>0</v>
      </c>
      <c r="AG156" s="19" t="n">
        <f aca="false">IF(AND('Bonding Program'!$S$15=1,'Bonding Program'!$H$15&gt;'Bonding Program'!$C$8,AG$3='Bonding Program'!$H$15),'Bonding Program'!$T$15-'Bonding Program'!$U$15-'Bonding Program'!$Z$15,0)-IF(AND('Bonding Program'!$S$15=1,'Bonding Program'!$H$15&lt;='Bonding Program'!$C$8,AG$3=IF('Bonding Program'!$P$15&lt;&gt;"",'Bonding Program'!$P$15,'Bonding Program'!$C$8)),'Bonding Program'!$Z$15,0)+IF(AND('Bonding Program'!$P$15&lt;&gt;"",AG$3='Bonding Program'!$P$15,AG$3&lt;='Bonding Program'!$C$8),N('Bonding Program'!$O$15),0)</f>
        <v>0</v>
      </c>
      <c r="AH156" s="19" t="n">
        <f aca="false">IF(AND('Bonding Program'!$S$15=1,'Bonding Program'!$H$15&gt;'Bonding Program'!$C$8,AH$3='Bonding Program'!$H$15),'Bonding Program'!$T$15-'Bonding Program'!$U$15-'Bonding Program'!$Z$15,0)-IF(AND('Bonding Program'!$S$15=1,'Bonding Program'!$H$15&lt;='Bonding Program'!$C$8,AH$3=IF('Bonding Program'!$P$15&lt;&gt;"",'Bonding Program'!$P$15,'Bonding Program'!$C$8)),'Bonding Program'!$Z$15,0)+IF(AND('Bonding Program'!$P$15&lt;&gt;"",AH$3='Bonding Program'!$P$15,AH$3&lt;='Bonding Program'!$C$8),N('Bonding Program'!$O$15),0)</f>
        <v>0</v>
      </c>
      <c r="AI156" s="19" t="n">
        <f aca="false">IF(AND('Bonding Program'!$S$15=1,'Bonding Program'!$H$15&gt;'Bonding Program'!$C$8,AI$3='Bonding Program'!$H$15),'Bonding Program'!$T$15-'Bonding Program'!$U$15-'Bonding Program'!$Z$15,0)-IF(AND('Bonding Program'!$S$15=1,'Bonding Program'!$H$15&lt;='Bonding Program'!$C$8,AI$3=IF('Bonding Program'!$P$15&lt;&gt;"",'Bonding Program'!$P$15,'Bonding Program'!$C$8)),'Bonding Program'!$Z$15,0)+IF(AND('Bonding Program'!$P$15&lt;&gt;"",AI$3='Bonding Program'!$P$15,AI$3&lt;='Bonding Program'!$C$8),N('Bonding Program'!$O$15),0)</f>
        <v>0</v>
      </c>
      <c r="AJ156" s="19" t="n">
        <f aca="false">IF(AND('Bonding Program'!$S$15=1,'Bonding Program'!$H$15&gt;'Bonding Program'!$C$8,AJ$3='Bonding Program'!$H$15),'Bonding Program'!$T$15-'Bonding Program'!$U$15-'Bonding Program'!$Z$15,0)-IF(AND('Bonding Program'!$S$15=1,'Bonding Program'!$H$15&lt;='Bonding Program'!$C$8,AJ$3=IF('Bonding Program'!$P$15&lt;&gt;"",'Bonding Program'!$P$15,'Bonding Program'!$C$8)),'Bonding Program'!$Z$15,0)+IF(AND('Bonding Program'!$P$15&lt;&gt;"",AJ$3='Bonding Program'!$P$15,AJ$3&lt;='Bonding Program'!$C$8),N('Bonding Program'!$O$15),0)</f>
        <v>0</v>
      </c>
      <c r="AK156" s="19" t="n">
        <f aca="false">IF(AND('Bonding Program'!$S$15=1,'Bonding Program'!$H$15&gt;'Bonding Program'!$C$8,AK$3='Bonding Program'!$H$15),'Bonding Program'!$T$15-'Bonding Program'!$U$15-'Bonding Program'!$Z$15,0)-IF(AND('Bonding Program'!$S$15=1,'Bonding Program'!$H$15&lt;='Bonding Program'!$C$8,AK$3=IF('Bonding Program'!$P$15&lt;&gt;"",'Bonding Program'!$P$15,'Bonding Program'!$C$8)),'Bonding Program'!$Z$15,0)+IF(AND('Bonding Program'!$P$15&lt;&gt;"",AK$3='Bonding Program'!$P$15,AK$3&lt;='Bonding Program'!$C$8),N('Bonding Program'!$O$15),0)</f>
        <v>0</v>
      </c>
      <c r="AL156" s="19" t="n">
        <f aca="false">IF(AND('Bonding Program'!$S$15=1,'Bonding Program'!$H$15&gt;'Bonding Program'!$C$8,AL$3='Bonding Program'!$H$15),'Bonding Program'!$T$15-'Bonding Program'!$U$15-'Bonding Program'!$Z$15,0)-IF(AND('Bonding Program'!$S$15=1,'Bonding Program'!$H$15&lt;='Bonding Program'!$C$8,AL$3=IF('Bonding Program'!$P$15&lt;&gt;"",'Bonding Program'!$P$15,'Bonding Program'!$C$8)),'Bonding Program'!$Z$15,0)+IF(AND('Bonding Program'!$P$15&lt;&gt;"",AL$3='Bonding Program'!$P$15,AL$3&lt;='Bonding Program'!$C$8),N('Bonding Program'!$O$15),0)</f>
        <v>0</v>
      </c>
      <c r="AM156" s="19" t="n">
        <f aca="false">IF(AND('Bonding Program'!$S$15=1,'Bonding Program'!$H$15&gt;'Bonding Program'!$C$8,AM$3='Bonding Program'!$H$15),'Bonding Program'!$T$15-'Bonding Program'!$U$15-'Bonding Program'!$Z$15,0)-IF(AND('Bonding Program'!$S$15=1,'Bonding Program'!$H$15&lt;='Bonding Program'!$C$8,AM$3=IF('Bonding Program'!$P$15&lt;&gt;"",'Bonding Program'!$P$15,'Bonding Program'!$C$8)),'Bonding Program'!$Z$15,0)+IF(AND('Bonding Program'!$P$15&lt;&gt;"",AM$3='Bonding Program'!$P$15,AM$3&lt;='Bonding Program'!$C$8),N('Bonding Program'!$O$15),0)</f>
        <v>0</v>
      </c>
      <c r="AN156" s="19" t="n">
        <f aca="false">IF(AND('Bonding Program'!$S$15=1,'Bonding Program'!$H$15&gt;'Bonding Program'!$C$8,AN$3='Bonding Program'!$H$15),'Bonding Program'!$T$15-'Bonding Program'!$U$15-'Bonding Program'!$Z$15,0)-IF(AND('Bonding Program'!$S$15=1,'Bonding Program'!$H$15&lt;='Bonding Program'!$C$8,AN$3=IF('Bonding Program'!$P$15&lt;&gt;"",'Bonding Program'!$P$15,'Bonding Program'!$C$8)),'Bonding Program'!$Z$15,0)+IF(AND('Bonding Program'!$P$15&lt;&gt;"",AN$3='Bonding Program'!$P$15,AN$3&lt;='Bonding Program'!$C$8),N('Bonding Program'!$O$15),0)</f>
        <v>0</v>
      </c>
      <c r="AO156" s="19" t="n">
        <f aca="false">IF(AND('Bonding Program'!$S$15=1,'Bonding Program'!$H$15&gt;'Bonding Program'!$C$8,AO$3='Bonding Program'!$H$15),'Bonding Program'!$T$15-'Bonding Program'!$U$15-'Bonding Program'!$Z$15,0)-IF(AND('Bonding Program'!$S$15=1,'Bonding Program'!$H$15&lt;='Bonding Program'!$C$8,AO$3=IF('Bonding Program'!$P$15&lt;&gt;"",'Bonding Program'!$P$15,'Bonding Program'!$C$8)),'Bonding Program'!$Z$15,0)+IF(AND('Bonding Program'!$P$15&lt;&gt;"",AO$3='Bonding Program'!$P$15,AO$3&lt;='Bonding Program'!$C$8),N('Bonding Program'!$O$15),0)</f>
        <v>0</v>
      </c>
      <c r="AP156" s="19" t="n">
        <f aca="false">IF(AND('Bonding Program'!$S$15=1,'Bonding Program'!$H$15&gt;'Bonding Program'!$C$8,AP$3='Bonding Program'!$H$15),'Bonding Program'!$T$15-'Bonding Program'!$U$15-'Bonding Program'!$Z$15,0)-IF(AND('Bonding Program'!$S$15=1,'Bonding Program'!$H$15&lt;='Bonding Program'!$C$8,AP$3=IF('Bonding Program'!$P$15&lt;&gt;"",'Bonding Program'!$P$15,'Bonding Program'!$C$8)),'Bonding Program'!$Z$15,0)+IF(AND('Bonding Program'!$P$15&lt;&gt;"",AP$3='Bonding Program'!$P$15,AP$3&lt;='Bonding Program'!$C$8),N('Bonding Program'!$O$15),0)</f>
        <v>0</v>
      </c>
      <c r="AQ156" s="19" t="n">
        <f aca="false">IF(AND('Bonding Program'!$S$15=1,'Bonding Program'!$H$15&gt;'Bonding Program'!$C$8,AQ$3='Bonding Program'!$H$15),'Bonding Program'!$T$15-'Bonding Program'!$U$15-'Bonding Program'!$Z$15,0)-IF(AND('Bonding Program'!$S$15=1,'Bonding Program'!$H$15&lt;='Bonding Program'!$C$8,AQ$3=IF('Bonding Program'!$P$15&lt;&gt;"",'Bonding Program'!$P$15,'Bonding Program'!$C$8)),'Bonding Program'!$Z$15,0)+IF(AND('Bonding Program'!$P$15&lt;&gt;"",AQ$3='Bonding Program'!$P$15,AQ$3&lt;='Bonding Program'!$C$8),N('Bonding Program'!$O$15),0)</f>
        <v>0</v>
      </c>
      <c r="AR156" s="19" t="n">
        <f aca="false">IF(AND('Bonding Program'!$S$15=1,'Bonding Program'!$H$15&gt;'Bonding Program'!$C$8,AR$3='Bonding Program'!$H$15),'Bonding Program'!$T$15-'Bonding Program'!$U$15-'Bonding Program'!$Z$15,0)-IF(AND('Bonding Program'!$S$15=1,'Bonding Program'!$H$15&lt;='Bonding Program'!$C$8,AR$3=IF('Bonding Program'!$P$15&lt;&gt;"",'Bonding Program'!$P$15,'Bonding Program'!$C$8)),'Bonding Program'!$Z$15,0)+IF(AND('Bonding Program'!$P$15&lt;&gt;"",AR$3='Bonding Program'!$P$15,AR$3&lt;='Bonding Program'!$C$8),N('Bonding Program'!$O$15),0)</f>
        <v>0</v>
      </c>
      <c r="AS156" s="19" t="n">
        <f aca="false">IF(AND('Bonding Program'!$S$15=1,'Bonding Program'!$H$15&gt;'Bonding Program'!$C$8,AS$3='Bonding Program'!$H$15),'Bonding Program'!$T$15-'Bonding Program'!$U$15-'Bonding Program'!$Z$15,0)-IF(AND('Bonding Program'!$S$15=1,'Bonding Program'!$H$15&lt;='Bonding Program'!$C$8,AS$3=IF('Bonding Program'!$P$15&lt;&gt;"",'Bonding Program'!$P$15,'Bonding Program'!$C$8)),'Bonding Program'!$Z$15,0)+IF(AND('Bonding Program'!$P$15&lt;&gt;"",AS$3='Bonding Program'!$P$15,AS$3&lt;='Bonding Program'!$C$8),N('Bonding Program'!$O$15),0)</f>
        <v>0</v>
      </c>
      <c r="AT156" s="19" t="n">
        <f aca="false">IF(AND('Bonding Program'!$S$15=1,'Bonding Program'!$H$15&gt;'Bonding Program'!$C$8,AT$3='Bonding Program'!$H$15),'Bonding Program'!$T$15-'Bonding Program'!$U$15-'Bonding Program'!$Z$15,0)-IF(AND('Bonding Program'!$S$15=1,'Bonding Program'!$H$15&lt;='Bonding Program'!$C$8,AT$3=IF('Bonding Program'!$P$15&lt;&gt;"",'Bonding Program'!$P$15,'Bonding Program'!$C$8)),'Bonding Program'!$Z$15,0)+IF(AND('Bonding Program'!$P$15&lt;&gt;"",AT$3='Bonding Program'!$P$15,AT$3&lt;='Bonding Program'!$C$8),N('Bonding Program'!$O$15),0)</f>
        <v>0</v>
      </c>
      <c r="AU156" s="19" t="n">
        <f aca="false">IF(AND('Bonding Program'!$S$15=1,'Bonding Program'!$H$15&gt;'Bonding Program'!$C$8,AU$3='Bonding Program'!$H$15),'Bonding Program'!$T$15-'Bonding Program'!$U$15-'Bonding Program'!$Z$15,0)-IF(AND('Bonding Program'!$S$15=1,'Bonding Program'!$H$15&lt;='Bonding Program'!$C$8,AU$3=IF('Bonding Program'!$P$15&lt;&gt;"",'Bonding Program'!$P$15,'Bonding Program'!$C$8)),'Bonding Program'!$Z$15,0)+IF(AND('Bonding Program'!$P$15&lt;&gt;"",AU$3='Bonding Program'!$P$15,AU$3&lt;='Bonding Program'!$C$8),N('Bonding Program'!$O$15),0)</f>
        <v>0</v>
      </c>
      <c r="AV156" s="19" t="n">
        <f aca="false">IF(AND('Bonding Program'!$S$15=1,'Bonding Program'!$H$15&gt;'Bonding Program'!$C$8,AV$3='Bonding Program'!$H$15),'Bonding Program'!$T$15-'Bonding Program'!$U$15-'Bonding Program'!$Z$15,0)-IF(AND('Bonding Program'!$S$15=1,'Bonding Program'!$H$15&lt;='Bonding Program'!$C$8,AV$3=IF('Bonding Program'!$P$15&lt;&gt;"",'Bonding Program'!$P$15,'Bonding Program'!$C$8)),'Bonding Program'!$Z$15,0)+IF(AND('Bonding Program'!$P$15&lt;&gt;"",AV$3='Bonding Program'!$P$15,AV$3&lt;='Bonding Program'!$C$8),N('Bonding Program'!$O$15),0)</f>
        <v>0</v>
      </c>
      <c r="AW156" s="19" t="n">
        <f aca="false">IF(AND('Bonding Program'!$S$15=1,'Bonding Program'!$H$15&gt;'Bonding Program'!$C$8,AW$3='Bonding Program'!$H$15),'Bonding Program'!$T$15-'Bonding Program'!$U$15-'Bonding Program'!$Z$15,0)-IF(AND('Bonding Program'!$S$15=1,'Bonding Program'!$H$15&lt;='Bonding Program'!$C$8,AW$3=IF('Bonding Program'!$P$15&lt;&gt;"",'Bonding Program'!$P$15,'Bonding Program'!$C$8)),'Bonding Program'!$Z$15,0)+IF(AND('Bonding Program'!$P$15&lt;&gt;"",AW$3='Bonding Program'!$P$15,AW$3&lt;='Bonding Program'!$C$8),N('Bonding Program'!$O$15),0)</f>
        <v>0</v>
      </c>
      <c r="AX156" s="19" t="n">
        <f aca="false">IF(AND('Bonding Program'!$S$15=1,'Bonding Program'!$H$15&gt;'Bonding Program'!$C$8,AX$3='Bonding Program'!$H$15),'Bonding Program'!$T$15-'Bonding Program'!$U$15-'Bonding Program'!$Z$15,0)-IF(AND('Bonding Program'!$S$15=1,'Bonding Program'!$H$15&lt;='Bonding Program'!$C$8,AX$3=IF('Bonding Program'!$P$15&lt;&gt;"",'Bonding Program'!$P$15,'Bonding Program'!$C$8)),'Bonding Program'!$Z$15,0)+IF(AND('Bonding Program'!$P$15&lt;&gt;"",AX$3='Bonding Program'!$P$15,AX$3&lt;='Bonding Program'!$C$8),N('Bonding Program'!$O$15),0)</f>
        <v>0</v>
      </c>
      <c r="AY156" s="19" t="n">
        <f aca="false">IF(AND('Bonding Program'!$S$15=1,'Bonding Program'!$H$15&gt;'Bonding Program'!$C$8,AY$3='Bonding Program'!$H$15),'Bonding Program'!$T$15-'Bonding Program'!$U$15-'Bonding Program'!$Z$15,0)-IF(AND('Bonding Program'!$S$15=1,'Bonding Program'!$H$15&lt;='Bonding Program'!$C$8,AY$3=IF('Bonding Program'!$P$15&lt;&gt;"",'Bonding Program'!$P$15,'Bonding Program'!$C$8)),'Bonding Program'!$Z$15,0)+IF(AND('Bonding Program'!$P$15&lt;&gt;"",AY$3='Bonding Program'!$P$15,AY$3&lt;='Bonding Program'!$C$8),N('Bonding Program'!$O$15),0)</f>
        <v>0</v>
      </c>
      <c r="AZ156" s="19" t="n">
        <f aca="false">IF(AND('Bonding Program'!$S$15=1,'Bonding Program'!$H$15&gt;'Bonding Program'!$C$8,AZ$3='Bonding Program'!$H$15),'Bonding Program'!$T$15-'Bonding Program'!$U$15-'Bonding Program'!$Z$15,0)-IF(AND('Bonding Program'!$S$15=1,'Bonding Program'!$H$15&lt;='Bonding Program'!$C$8,AZ$3=IF('Bonding Program'!$P$15&lt;&gt;"",'Bonding Program'!$P$15,'Bonding Program'!$C$8)),'Bonding Program'!$Z$15,0)+IF(AND('Bonding Program'!$P$15&lt;&gt;"",AZ$3='Bonding Program'!$P$15,AZ$3&lt;='Bonding Program'!$C$8),N('Bonding Program'!$O$15),0)</f>
        <v>0</v>
      </c>
      <c r="BA156" s="19" t="n">
        <f aca="false">IF(AND('Bonding Program'!$S$15=1,'Bonding Program'!$H$15&gt;'Bonding Program'!$C$8,BA$3='Bonding Program'!$H$15),'Bonding Program'!$T$15-'Bonding Program'!$U$15-'Bonding Program'!$Z$15,0)-IF(AND('Bonding Program'!$S$15=1,'Bonding Program'!$H$15&lt;='Bonding Program'!$C$8,BA$3=IF('Bonding Program'!$P$15&lt;&gt;"",'Bonding Program'!$P$15,'Bonding Program'!$C$8)),'Bonding Program'!$Z$15,0)+IF(AND('Bonding Program'!$P$15&lt;&gt;"",BA$3='Bonding Program'!$P$15,BA$3&lt;='Bonding Program'!$C$8),N('Bonding Program'!$O$15),0)</f>
        <v>0</v>
      </c>
      <c r="BB156" s="19" t="n">
        <f aca="false">IF(AND('Bonding Program'!$S$15=1,'Bonding Program'!$H$15&gt;'Bonding Program'!$C$8,BB$3='Bonding Program'!$H$15),'Bonding Program'!$T$15-'Bonding Program'!$U$15-'Bonding Program'!$Z$15,0)-IF(AND('Bonding Program'!$S$15=1,'Bonding Program'!$H$15&lt;='Bonding Program'!$C$8,BB$3=IF('Bonding Program'!$P$15&lt;&gt;"",'Bonding Program'!$P$15,'Bonding Program'!$C$8)),'Bonding Program'!$Z$15,0)+IF(AND('Bonding Program'!$P$15&lt;&gt;"",BB$3='Bonding Program'!$P$15,BB$3&lt;='Bonding Program'!$C$8),N('Bonding Program'!$O$15),0)</f>
        <v>0</v>
      </c>
      <c r="BC156" s="19" t="n">
        <f aca="false">IF(AND('Bonding Program'!$S$15=1,'Bonding Program'!$H$15&gt;'Bonding Program'!$C$8,BC$3='Bonding Program'!$H$15),'Bonding Program'!$T$15-'Bonding Program'!$U$15-'Bonding Program'!$Z$15,0)-IF(AND('Bonding Program'!$S$15=1,'Bonding Program'!$H$15&lt;='Bonding Program'!$C$8,BC$3=IF('Bonding Program'!$P$15&lt;&gt;"",'Bonding Program'!$P$15,'Bonding Program'!$C$8)),'Bonding Program'!$Z$15,0)+IF(AND('Bonding Program'!$P$15&lt;&gt;"",BC$3='Bonding Program'!$P$15,BC$3&lt;='Bonding Program'!$C$8),N('Bonding Program'!$O$15),0)</f>
        <v>0</v>
      </c>
      <c r="BD156" s="19" t="n">
        <f aca="false">IF(AND('Bonding Program'!$S$15=1,'Bonding Program'!$H$15&gt;'Bonding Program'!$C$8,BD$3='Bonding Program'!$H$15),'Bonding Program'!$T$15-'Bonding Program'!$U$15-'Bonding Program'!$Z$15,0)-IF(AND('Bonding Program'!$S$15=1,'Bonding Program'!$H$15&lt;='Bonding Program'!$C$8,BD$3=IF('Bonding Program'!$P$15&lt;&gt;"",'Bonding Program'!$P$15,'Bonding Program'!$C$8)),'Bonding Program'!$Z$15,0)+IF(AND('Bonding Program'!$P$15&lt;&gt;"",BD$3='Bonding Program'!$P$15,BD$3&lt;='Bonding Program'!$C$8),N('Bonding Program'!$O$15),0)</f>
        <v>0</v>
      </c>
      <c r="BE156" s="19" t="n">
        <f aca="false">IF(AND('Bonding Program'!$S$15=1,'Bonding Program'!$H$15&gt;'Bonding Program'!$C$8,BE$3='Bonding Program'!$H$15),'Bonding Program'!$T$15-'Bonding Program'!$U$15-'Bonding Program'!$Z$15,0)-IF(AND('Bonding Program'!$S$15=1,'Bonding Program'!$H$15&lt;='Bonding Program'!$C$8,BE$3=IF('Bonding Program'!$P$15&lt;&gt;"",'Bonding Program'!$P$15,'Bonding Program'!$C$8)),'Bonding Program'!$Z$15,0)+IF(AND('Bonding Program'!$P$15&lt;&gt;"",BE$3='Bonding Program'!$P$15,BE$3&lt;='Bonding Program'!$C$8),N('Bonding Program'!$O$15),0)</f>
        <v>0</v>
      </c>
      <c r="BF156" s="19" t="n">
        <f aca="false">IF(AND('Bonding Program'!$S$15=1,'Bonding Program'!$H$15&gt;'Bonding Program'!$C$8,BF$3='Bonding Program'!$H$15),'Bonding Program'!$T$15-'Bonding Program'!$U$15-'Bonding Program'!$Z$15,0)-IF(AND('Bonding Program'!$S$15=1,'Bonding Program'!$H$15&lt;='Bonding Program'!$C$8,BF$3=IF('Bonding Program'!$P$15&lt;&gt;"",'Bonding Program'!$P$15,'Bonding Program'!$C$8)),'Bonding Program'!$Z$15,0)+IF(AND('Bonding Program'!$P$15&lt;&gt;"",BF$3='Bonding Program'!$P$15,BF$3&lt;='Bonding Program'!$C$8),N('Bonding Program'!$O$15),0)</f>
        <v>0</v>
      </c>
      <c r="BG156" s="19" t="n">
        <f aca="false">IF(AND('Bonding Program'!$S$15=1,'Bonding Program'!$H$15&gt;'Bonding Program'!$C$8,BG$3='Bonding Program'!$H$15),'Bonding Program'!$T$15-'Bonding Program'!$U$15-'Bonding Program'!$Z$15,0)-IF(AND('Bonding Program'!$S$15=1,'Bonding Program'!$H$15&lt;='Bonding Program'!$C$8,BG$3=IF('Bonding Program'!$P$15&lt;&gt;"",'Bonding Program'!$P$15,'Bonding Program'!$C$8)),'Bonding Program'!$Z$15,0)+IF(AND('Bonding Program'!$P$15&lt;&gt;"",BG$3='Bonding Program'!$P$15,BG$3&lt;='Bonding Program'!$C$8),N('Bonding Program'!$O$15),0)</f>
        <v>0</v>
      </c>
      <c r="BH156" s="19" t="n">
        <f aca="false">IF(AND('Bonding Program'!$S$15=1,'Bonding Program'!$H$15&gt;'Bonding Program'!$C$8,BH$3='Bonding Program'!$H$15),'Bonding Program'!$T$15-'Bonding Program'!$U$15-'Bonding Program'!$Z$15,0)-IF(AND('Bonding Program'!$S$15=1,'Bonding Program'!$H$15&lt;='Bonding Program'!$C$8,BH$3=IF('Bonding Program'!$P$15&lt;&gt;"",'Bonding Program'!$P$15,'Bonding Program'!$C$8)),'Bonding Program'!$Z$15,0)+IF(AND('Bonding Program'!$P$15&lt;&gt;"",BH$3='Bonding Program'!$P$15,BH$3&lt;='Bonding Program'!$C$8),N('Bonding Program'!$O$15),0)</f>
        <v>0</v>
      </c>
      <c r="BI156" s="19" t="n">
        <f aca="false">IF(AND('Bonding Program'!$S$15=1,'Bonding Program'!$H$15&gt;'Bonding Program'!$C$8,BI$3='Bonding Program'!$H$15),'Bonding Program'!$T$15-'Bonding Program'!$U$15-'Bonding Program'!$Z$15,0)-IF(AND('Bonding Program'!$S$15=1,'Bonding Program'!$H$15&lt;='Bonding Program'!$C$8,BI$3=IF('Bonding Program'!$P$15&lt;&gt;"",'Bonding Program'!$P$15,'Bonding Program'!$C$8)),'Bonding Program'!$Z$15,0)+IF(AND('Bonding Program'!$P$15&lt;&gt;"",BI$3='Bonding Program'!$P$15,BI$3&lt;='Bonding Program'!$C$8),N('Bonding Program'!$O$15),0)</f>
        <v>0</v>
      </c>
      <c r="BJ156" s="19" t="n">
        <f aca="false">IF(AND('Bonding Program'!$S$15=1,'Bonding Program'!$H$15&gt;'Bonding Program'!$C$8,BJ$3='Bonding Program'!$H$15),'Bonding Program'!$T$15-'Bonding Program'!$U$15-'Bonding Program'!$Z$15,0)-IF(AND('Bonding Program'!$S$15=1,'Bonding Program'!$H$15&lt;='Bonding Program'!$C$8,BJ$3=IF('Bonding Program'!$P$15&lt;&gt;"",'Bonding Program'!$P$15,'Bonding Program'!$C$8)),'Bonding Program'!$Z$15,0)+IF(AND('Bonding Program'!$P$15&lt;&gt;"",BJ$3='Bonding Program'!$P$15,BJ$3&lt;='Bonding Program'!$C$8),N('Bonding Program'!$O$15),0)</f>
        <v>0</v>
      </c>
      <c r="BK156" s="19" t="n">
        <f aca="false">IF(AND('Bonding Program'!$S$15=1,'Bonding Program'!$H$15&gt;'Bonding Program'!$C$8,BK$3='Bonding Program'!$H$15),'Bonding Program'!$T$15-'Bonding Program'!$U$15-'Bonding Program'!$Z$15,0)-IF(AND('Bonding Program'!$S$15=1,'Bonding Program'!$H$15&lt;='Bonding Program'!$C$8,BK$3=IF('Bonding Program'!$P$15&lt;&gt;"",'Bonding Program'!$P$15,'Bonding Program'!$C$8)),'Bonding Program'!$Z$15,0)+IF(AND('Bonding Program'!$P$15&lt;&gt;"",BK$3='Bonding Program'!$P$15,BK$3&lt;='Bonding Program'!$C$8),N('Bonding Program'!$O$15),0)</f>
        <v>0</v>
      </c>
      <c r="BL156" s="19" t="n">
        <f aca="false">IF(AND('Bonding Program'!$S$15=1,'Bonding Program'!$H$15&gt;'Bonding Program'!$C$8,BL$3='Bonding Program'!$H$15),'Bonding Program'!$T$15-'Bonding Program'!$U$15-'Bonding Program'!$Z$15,0)-IF(AND('Bonding Program'!$S$15=1,'Bonding Program'!$H$15&lt;='Bonding Program'!$C$8,BL$3=IF('Bonding Program'!$P$15&lt;&gt;"",'Bonding Program'!$P$15,'Bonding Program'!$C$8)),'Bonding Program'!$Z$15,0)+IF(AND('Bonding Program'!$P$15&lt;&gt;"",BL$3='Bonding Program'!$P$15,BL$3&lt;='Bonding Program'!$C$8),N('Bonding Program'!$O$15),0)</f>
        <v>0</v>
      </c>
      <c r="BM156" s="19" t="n">
        <f aca="false">IF(AND('Bonding Program'!$S$15=1,'Bonding Program'!$H$15&gt;'Bonding Program'!$C$8,BM$3='Bonding Program'!$H$15),'Bonding Program'!$T$15-'Bonding Program'!$U$15-'Bonding Program'!$Z$15,0)-IF(AND('Bonding Program'!$S$15=1,'Bonding Program'!$H$15&lt;='Bonding Program'!$C$8,BM$3=IF('Bonding Program'!$P$15&lt;&gt;"",'Bonding Program'!$P$15,'Bonding Program'!$C$8)),'Bonding Program'!$Z$15,0)+IF(AND('Bonding Program'!$P$15&lt;&gt;"",BM$3='Bonding Program'!$P$15,BM$3&lt;='Bonding Program'!$C$8),N('Bonding Program'!$O$15),0)</f>
        <v>0</v>
      </c>
      <c r="BN156" s="19" t="n">
        <f aca="false">IF(AND('Bonding Program'!$S$15=1,'Bonding Program'!$H$15&gt;'Bonding Program'!$C$8,BN$3='Bonding Program'!$H$15),'Bonding Program'!$T$15-'Bonding Program'!$U$15-'Bonding Program'!$Z$15,0)-IF(AND('Bonding Program'!$S$15=1,'Bonding Program'!$H$15&lt;='Bonding Program'!$C$8,BN$3=IF('Bonding Program'!$P$15&lt;&gt;"",'Bonding Program'!$P$15,'Bonding Program'!$C$8)),'Bonding Program'!$Z$15,0)+IF(AND('Bonding Program'!$P$15&lt;&gt;"",BN$3='Bonding Program'!$P$15,BN$3&lt;='Bonding Program'!$C$8),N('Bonding Program'!$O$15),0)</f>
        <v>0</v>
      </c>
      <c r="BO156" s="19" t="n">
        <f aca="false">IF(AND('Bonding Program'!$S$15=1,'Bonding Program'!$H$15&gt;'Bonding Program'!$C$8,BO$3='Bonding Program'!$H$15),'Bonding Program'!$T$15-'Bonding Program'!$U$15-'Bonding Program'!$Z$15,0)-IF(AND('Bonding Program'!$S$15=1,'Bonding Program'!$H$15&lt;='Bonding Program'!$C$8,BO$3=IF('Bonding Program'!$P$15&lt;&gt;"",'Bonding Program'!$P$15,'Bonding Program'!$C$8)),'Bonding Program'!$Z$15,0)+IF(AND('Bonding Program'!$P$15&lt;&gt;"",BO$3='Bonding Program'!$P$15,BO$3&lt;='Bonding Program'!$C$8),N('Bonding Program'!$O$15),0)</f>
        <v>0</v>
      </c>
      <c r="BP156" s="19" t="n">
        <f aca="false">IF(AND('Bonding Program'!$S$15=1,'Bonding Program'!$H$15&gt;'Bonding Program'!$C$8,BP$3='Bonding Program'!$H$15),'Bonding Program'!$T$15-'Bonding Program'!$U$15-'Bonding Program'!$Z$15,0)-IF(AND('Bonding Program'!$S$15=1,'Bonding Program'!$H$15&lt;='Bonding Program'!$C$8,BP$3=IF('Bonding Program'!$P$15&lt;&gt;"",'Bonding Program'!$P$15,'Bonding Program'!$C$8)),'Bonding Program'!$Z$15,0)+IF(AND('Bonding Program'!$P$15&lt;&gt;"",BP$3='Bonding Program'!$P$15,BP$3&lt;='Bonding Program'!$C$8),N('Bonding Program'!$O$15),0)</f>
        <v>0</v>
      </c>
      <c r="BQ156" s="19" t="n">
        <f aca="false">IF(AND('Bonding Program'!$S$15=1,'Bonding Program'!$H$15&gt;'Bonding Program'!$C$8,BQ$3='Bonding Program'!$H$15),'Bonding Program'!$T$15-'Bonding Program'!$U$15-'Bonding Program'!$Z$15,0)-IF(AND('Bonding Program'!$S$15=1,'Bonding Program'!$H$15&lt;='Bonding Program'!$C$8,BQ$3=IF('Bonding Program'!$P$15&lt;&gt;"",'Bonding Program'!$P$15,'Bonding Program'!$C$8)),'Bonding Program'!$Z$15,0)+IF(AND('Bonding Program'!$P$15&lt;&gt;"",BQ$3='Bonding Program'!$P$15,BQ$3&lt;='Bonding Program'!$C$8),N('Bonding Program'!$O$15),0)</f>
        <v>0</v>
      </c>
      <c r="BR156" s="19" t="n">
        <f aca="false">IF(AND('Bonding Program'!$S$15=1,'Bonding Program'!$H$15&gt;'Bonding Program'!$C$8,BR$3='Bonding Program'!$H$15),'Bonding Program'!$T$15-'Bonding Program'!$U$15-'Bonding Program'!$Z$15,0)-IF(AND('Bonding Program'!$S$15=1,'Bonding Program'!$H$15&lt;='Bonding Program'!$C$8,BR$3=IF('Bonding Program'!$P$15&lt;&gt;"",'Bonding Program'!$P$15,'Bonding Program'!$C$8)),'Bonding Program'!$Z$15,0)+IF(AND('Bonding Program'!$P$15&lt;&gt;"",BR$3='Bonding Program'!$P$15,BR$3&lt;='Bonding Program'!$C$8),N('Bonding Program'!$O$15),0)</f>
        <v>0</v>
      </c>
      <c r="BS156" s="19" t="n">
        <f aca="false">IF(AND('Bonding Program'!$S$15=1,'Bonding Program'!$H$15&gt;'Bonding Program'!$C$8,BS$3='Bonding Program'!$H$15),'Bonding Program'!$T$15-'Bonding Program'!$U$15-'Bonding Program'!$Z$15,0)-IF(AND('Bonding Program'!$S$15=1,'Bonding Program'!$H$15&lt;='Bonding Program'!$C$8,BS$3=IF('Bonding Program'!$P$15&lt;&gt;"",'Bonding Program'!$P$15,'Bonding Program'!$C$8)),'Bonding Program'!$Z$15,0)+IF(AND('Bonding Program'!$P$15&lt;&gt;"",BS$3='Bonding Program'!$P$15,BS$3&lt;='Bonding Program'!$C$8),N('Bonding Program'!$O$15),0)</f>
        <v>0</v>
      </c>
      <c r="BT156" s="19" t="n">
        <f aca="false">IF(AND('Bonding Program'!$S$15=1,'Bonding Program'!$H$15&gt;'Bonding Program'!$C$8,BT$3='Bonding Program'!$H$15),'Bonding Program'!$T$15-'Bonding Program'!$U$15-'Bonding Program'!$Z$15,0)-IF(AND('Bonding Program'!$S$15=1,'Bonding Program'!$H$15&lt;='Bonding Program'!$C$8,BT$3=IF('Bonding Program'!$P$15&lt;&gt;"",'Bonding Program'!$P$15,'Bonding Program'!$C$8)),'Bonding Program'!$Z$15,0)+IF(AND('Bonding Program'!$P$15&lt;&gt;"",BT$3='Bonding Program'!$P$15,BT$3&lt;='Bonding Program'!$C$8),N('Bonding Program'!$O$15),0)</f>
        <v>0</v>
      </c>
      <c r="BU156" s="19" t="n">
        <f aca="false">IF(AND('Bonding Program'!$S$15=1,'Bonding Program'!$H$15&gt;'Bonding Program'!$C$8,BU$3='Bonding Program'!$H$15),'Bonding Program'!$T$15-'Bonding Program'!$U$15-'Bonding Program'!$Z$15,0)-IF(AND('Bonding Program'!$S$15=1,'Bonding Program'!$H$15&lt;='Bonding Program'!$C$8,BU$3=IF('Bonding Program'!$P$15&lt;&gt;"",'Bonding Program'!$P$15,'Bonding Program'!$C$8)),'Bonding Program'!$Z$15,0)+IF(AND('Bonding Program'!$P$15&lt;&gt;"",BU$3='Bonding Program'!$P$15,BU$3&lt;='Bonding Program'!$C$8),N('Bonding Program'!$O$15),0)</f>
        <v>0</v>
      </c>
      <c r="BV156" s="19" t="n">
        <f aca="false">IF(AND('Bonding Program'!$S$15=1,'Bonding Program'!$H$15&gt;'Bonding Program'!$C$8,BV$3='Bonding Program'!$H$15),'Bonding Program'!$T$15-'Bonding Program'!$U$15-'Bonding Program'!$Z$15,0)-IF(AND('Bonding Program'!$S$15=1,'Bonding Program'!$H$15&lt;='Bonding Program'!$C$8,BV$3=IF('Bonding Program'!$P$15&lt;&gt;"",'Bonding Program'!$P$15,'Bonding Program'!$C$8)),'Bonding Program'!$Z$15,0)+IF(AND('Bonding Program'!$P$15&lt;&gt;"",BV$3='Bonding Program'!$P$15,BV$3&lt;='Bonding Program'!$C$8),N('Bonding Program'!$O$15),0)</f>
        <v>0</v>
      </c>
      <c r="BW156" s="19" t="n">
        <f aca="false">IF(AND('Bonding Program'!$S$15=1,'Bonding Program'!$H$15&gt;'Bonding Program'!$C$8,BW$3='Bonding Program'!$H$15),'Bonding Program'!$T$15-'Bonding Program'!$U$15-'Bonding Program'!$Z$15,0)-IF(AND('Bonding Program'!$S$15=1,'Bonding Program'!$H$15&lt;='Bonding Program'!$C$8,BW$3=IF('Bonding Program'!$P$15&lt;&gt;"",'Bonding Program'!$P$15,'Bonding Program'!$C$8)),'Bonding Program'!$Z$15,0)+IF(AND('Bonding Program'!$P$15&lt;&gt;"",BW$3='Bonding Program'!$P$15,BW$3&lt;='Bonding Program'!$C$8),N('Bonding Program'!$O$15),0)</f>
        <v>0</v>
      </c>
      <c r="BX156" s="19" t="n">
        <f aca="false">IF(AND('Bonding Program'!$S$15=1,'Bonding Program'!$H$15&gt;'Bonding Program'!$C$8,BX$3='Bonding Program'!$H$15),'Bonding Program'!$T$15-'Bonding Program'!$U$15-'Bonding Program'!$Z$15,0)-IF(AND('Bonding Program'!$S$15=1,'Bonding Program'!$H$15&lt;='Bonding Program'!$C$8,BX$3=IF('Bonding Program'!$P$15&lt;&gt;"",'Bonding Program'!$P$15,'Bonding Program'!$C$8)),'Bonding Program'!$Z$15,0)+IF(AND('Bonding Program'!$P$15&lt;&gt;"",BX$3='Bonding Program'!$P$15,BX$3&lt;='Bonding Program'!$C$8),N('Bonding Program'!$O$15),0)</f>
        <v>0</v>
      </c>
      <c r="BY156" s="19" t="n">
        <f aca="false">IF(AND('Bonding Program'!$S$15=1,'Bonding Program'!$H$15&gt;'Bonding Program'!$C$8,BY$3='Bonding Program'!$H$15),'Bonding Program'!$T$15-'Bonding Program'!$U$15-'Bonding Program'!$Z$15,0)-IF(AND('Bonding Program'!$S$15=1,'Bonding Program'!$H$15&lt;='Bonding Program'!$C$8,BY$3=IF('Bonding Program'!$P$15&lt;&gt;"",'Bonding Program'!$P$15,'Bonding Program'!$C$8)),'Bonding Program'!$Z$15,0)+IF(AND('Bonding Program'!$P$15&lt;&gt;"",BY$3='Bonding Program'!$P$15,BY$3&lt;='Bonding Program'!$C$8),N('Bonding Program'!$O$15),0)</f>
        <v>0</v>
      </c>
      <c r="BZ156" s="19" t="n">
        <f aca="false">IF(AND('Bonding Program'!$S$15=1,'Bonding Program'!$H$15&gt;'Bonding Program'!$C$8,BZ$3='Bonding Program'!$H$15),'Bonding Program'!$T$15-'Bonding Program'!$U$15-'Bonding Program'!$Z$15,0)-IF(AND('Bonding Program'!$S$15=1,'Bonding Program'!$H$15&lt;='Bonding Program'!$C$8,BZ$3=IF('Bonding Program'!$P$15&lt;&gt;"",'Bonding Program'!$P$15,'Bonding Program'!$C$8)),'Bonding Program'!$Z$15,0)+IF(AND('Bonding Program'!$P$15&lt;&gt;"",BZ$3='Bonding Program'!$P$15,BZ$3&lt;='Bonding Program'!$C$8),N('Bonding Program'!$O$15),0)</f>
        <v>0</v>
      </c>
      <c r="CA156" s="19" t="n">
        <f aca="false">IF(AND('Bonding Program'!$S$15=1,'Bonding Program'!$H$15&gt;'Bonding Program'!$C$8,CA$3='Bonding Program'!$H$15),'Bonding Program'!$T$15-'Bonding Program'!$U$15-'Bonding Program'!$Z$15,0)-IF(AND('Bonding Program'!$S$15=1,'Bonding Program'!$H$15&lt;='Bonding Program'!$C$8,CA$3=IF('Bonding Program'!$P$15&lt;&gt;"",'Bonding Program'!$P$15,'Bonding Program'!$C$8)),'Bonding Program'!$Z$15,0)+IF(AND('Bonding Program'!$P$15&lt;&gt;"",CA$3='Bonding Program'!$P$15,CA$3&lt;='Bonding Program'!$C$8),N('Bonding Program'!$O$15),0)</f>
        <v>0</v>
      </c>
      <c r="CB156" s="19" t="n">
        <f aca="false">IF(AND('Bonding Program'!$S$15=1,'Bonding Program'!$H$15&gt;'Bonding Program'!$C$8,CB$3='Bonding Program'!$H$15),'Bonding Program'!$T$15-'Bonding Program'!$U$15-'Bonding Program'!$Z$15,0)-IF(AND('Bonding Program'!$S$15=1,'Bonding Program'!$H$15&lt;='Bonding Program'!$C$8,CB$3=IF('Bonding Program'!$P$15&lt;&gt;"",'Bonding Program'!$P$15,'Bonding Program'!$C$8)),'Bonding Program'!$Z$15,0)+IF(AND('Bonding Program'!$P$15&lt;&gt;"",CB$3='Bonding Program'!$P$15,CB$3&lt;='Bonding Program'!$C$8),N('Bonding Program'!$O$15),0)</f>
        <v>0</v>
      </c>
      <c r="CC156" s="19" t="n">
        <f aca="false">IF(AND('Bonding Program'!$S$15=1,'Bonding Program'!$H$15&gt;'Bonding Program'!$C$8,CC$3='Bonding Program'!$H$15),'Bonding Program'!$T$15-'Bonding Program'!$U$15-'Bonding Program'!$Z$15,0)-IF(AND('Bonding Program'!$S$15=1,'Bonding Program'!$H$15&lt;='Bonding Program'!$C$8,CC$3=IF('Bonding Program'!$P$15&lt;&gt;"",'Bonding Program'!$P$15,'Bonding Program'!$C$8)),'Bonding Program'!$Z$15,0)+IF(AND('Bonding Program'!$P$15&lt;&gt;"",CC$3='Bonding Program'!$P$15,CC$3&lt;='Bonding Program'!$C$8),N('Bonding Program'!$O$15),0)</f>
        <v>0</v>
      </c>
      <c r="CD156" s="19" t="n">
        <f aca="false">IF(AND('Bonding Program'!$S$15=1,'Bonding Program'!$H$15&gt;'Bonding Program'!$C$8,CD$3='Bonding Program'!$H$15),'Bonding Program'!$T$15-'Bonding Program'!$U$15-'Bonding Program'!$Z$15,0)-IF(AND('Bonding Program'!$S$15=1,'Bonding Program'!$H$15&lt;='Bonding Program'!$C$8,CD$3=IF('Bonding Program'!$P$15&lt;&gt;"",'Bonding Program'!$P$15,'Bonding Program'!$C$8)),'Bonding Program'!$Z$15,0)+IF(AND('Bonding Program'!$P$15&lt;&gt;"",CD$3='Bonding Program'!$P$15,CD$3&lt;='Bonding Program'!$C$8),N('Bonding Program'!$O$15),0)</f>
        <v>0</v>
      </c>
      <c r="CE156" s="19" t="n">
        <f aca="false">IF(AND('Bonding Program'!$S$15=1,'Bonding Program'!$H$15&gt;'Bonding Program'!$C$8,CE$3='Bonding Program'!$H$15),'Bonding Program'!$T$15-'Bonding Program'!$U$15-'Bonding Program'!$Z$15,0)-IF(AND('Bonding Program'!$S$15=1,'Bonding Program'!$H$15&lt;='Bonding Program'!$C$8,CE$3=IF('Bonding Program'!$P$15&lt;&gt;"",'Bonding Program'!$P$15,'Bonding Program'!$C$8)),'Bonding Program'!$Z$15,0)+IF(AND('Bonding Program'!$P$15&lt;&gt;"",CE$3='Bonding Program'!$P$15,CE$3&lt;='Bonding Program'!$C$8),N('Bonding Program'!$O$15),0)</f>
        <v>0</v>
      </c>
      <c r="CF156" s="19" t="n">
        <f aca="false">IF(AND('Bonding Program'!$S$15=1,'Bonding Program'!$H$15&gt;'Bonding Program'!$C$8,CF$3='Bonding Program'!$H$15),'Bonding Program'!$T$15-'Bonding Program'!$U$15-'Bonding Program'!$Z$15,0)-IF(AND('Bonding Program'!$S$15=1,'Bonding Program'!$H$15&lt;='Bonding Program'!$C$8,CF$3=IF('Bonding Program'!$P$15&lt;&gt;"",'Bonding Program'!$P$15,'Bonding Program'!$C$8)),'Bonding Program'!$Z$15,0)+IF(AND('Bonding Program'!$P$15&lt;&gt;"",CF$3='Bonding Program'!$P$15,CF$3&lt;='Bonding Program'!$C$8),N('Bonding Program'!$O$15),0)</f>
        <v>0</v>
      </c>
      <c r="CG156" s="19" t="n">
        <f aca="false">IF(AND('Bonding Program'!$S$15=1,'Bonding Program'!$H$15&gt;'Bonding Program'!$C$8,CG$3='Bonding Program'!$H$15),'Bonding Program'!$T$15-'Bonding Program'!$U$15-'Bonding Program'!$Z$15,0)-IF(AND('Bonding Program'!$S$15=1,'Bonding Program'!$H$15&lt;='Bonding Program'!$C$8,CG$3=IF('Bonding Program'!$P$15&lt;&gt;"",'Bonding Program'!$P$15,'Bonding Program'!$C$8)),'Bonding Program'!$Z$15,0)+IF(AND('Bonding Program'!$P$15&lt;&gt;"",CG$3='Bonding Program'!$P$15,CG$3&lt;='Bonding Program'!$C$8),N('Bonding Program'!$O$15),0)</f>
        <v>0</v>
      </c>
      <c r="CH156" s="19" t="n">
        <f aca="false">IF(AND('Bonding Program'!$S$15=1,'Bonding Program'!$H$15&gt;'Bonding Program'!$C$8,CH$3='Bonding Program'!$H$15),'Bonding Program'!$T$15-'Bonding Program'!$U$15-'Bonding Program'!$Z$15,0)-IF(AND('Bonding Program'!$S$15=1,'Bonding Program'!$H$15&lt;='Bonding Program'!$C$8,CH$3=IF('Bonding Program'!$P$15&lt;&gt;"",'Bonding Program'!$P$15,'Bonding Program'!$C$8)),'Bonding Program'!$Z$15,0)+IF(AND('Bonding Program'!$P$15&lt;&gt;"",CH$3='Bonding Program'!$P$15,CH$3&lt;='Bonding Program'!$C$8),N('Bonding Program'!$O$15),0)</f>
        <v>0</v>
      </c>
      <c r="CI156" s="19" t="n">
        <f aca="false">IF(AND('Bonding Program'!$S$15=1,'Bonding Program'!$H$15&gt;'Bonding Program'!$C$8,CI$3='Bonding Program'!$H$15),'Bonding Program'!$T$15-'Bonding Program'!$U$15-'Bonding Program'!$Z$15,0)-IF(AND('Bonding Program'!$S$15=1,'Bonding Program'!$H$15&lt;='Bonding Program'!$C$8,CI$3=IF('Bonding Program'!$P$15&lt;&gt;"",'Bonding Program'!$P$15,'Bonding Program'!$C$8)),'Bonding Program'!$Z$15,0)+IF(AND('Bonding Program'!$P$15&lt;&gt;"",CI$3='Bonding Program'!$P$15,CI$3&lt;='Bonding Program'!$C$8),N('Bonding Program'!$O$15),0)</f>
        <v>0</v>
      </c>
      <c r="CJ156" s="19" t="n">
        <f aca="false">IF(AND('Bonding Program'!$S$15=1,'Bonding Program'!$H$15&gt;'Bonding Program'!$C$8,CJ$3='Bonding Program'!$H$15),'Bonding Program'!$T$15-'Bonding Program'!$U$15-'Bonding Program'!$Z$15,0)-IF(AND('Bonding Program'!$S$15=1,'Bonding Program'!$H$15&lt;='Bonding Program'!$C$8,CJ$3=IF('Bonding Program'!$P$15&lt;&gt;"",'Bonding Program'!$P$15,'Bonding Program'!$C$8)),'Bonding Program'!$Z$15,0)+IF(AND('Bonding Program'!$P$15&lt;&gt;"",CJ$3='Bonding Program'!$P$15,CJ$3&lt;='Bonding Program'!$C$8),N('Bonding Program'!$O$15),0)</f>
        <v>0</v>
      </c>
      <c r="CK156" s="19" t="n">
        <f aca="false">IF(AND('Bonding Program'!$S$15=1,'Bonding Program'!$H$15&gt;'Bonding Program'!$C$8,CK$3='Bonding Program'!$H$15),'Bonding Program'!$T$15-'Bonding Program'!$U$15-'Bonding Program'!$Z$15,0)-IF(AND('Bonding Program'!$S$15=1,'Bonding Program'!$H$15&lt;='Bonding Program'!$C$8,CK$3=IF('Bonding Program'!$P$15&lt;&gt;"",'Bonding Program'!$P$15,'Bonding Program'!$C$8)),'Bonding Program'!$Z$15,0)+IF(AND('Bonding Program'!$P$15&lt;&gt;"",CK$3='Bonding Program'!$P$15,CK$3&lt;='Bonding Program'!$C$8),N('Bonding Program'!$O$15),0)</f>
        <v>0</v>
      </c>
      <c r="CL156" s="19" t="n">
        <f aca="false">IF(AND('Bonding Program'!$S$15=1,'Bonding Program'!$H$15&gt;'Bonding Program'!$C$8,CL$3='Bonding Program'!$H$15),'Bonding Program'!$T$15-'Bonding Program'!$U$15-'Bonding Program'!$Z$15,0)-IF(AND('Bonding Program'!$S$15=1,'Bonding Program'!$H$15&lt;='Bonding Program'!$C$8,CL$3=IF('Bonding Program'!$P$15&lt;&gt;"",'Bonding Program'!$P$15,'Bonding Program'!$C$8)),'Bonding Program'!$Z$15,0)+IF(AND('Bonding Program'!$P$15&lt;&gt;"",CL$3='Bonding Program'!$P$15,CL$3&lt;='Bonding Program'!$C$8),N('Bonding Program'!$O$15),0)</f>
        <v>0</v>
      </c>
      <c r="CM156" s="19" t="n">
        <f aca="false">IF(AND('Bonding Program'!$S$15=1,'Bonding Program'!$H$15&gt;'Bonding Program'!$C$8,CM$3='Bonding Program'!$H$15),'Bonding Program'!$T$15-'Bonding Program'!$U$15-'Bonding Program'!$Z$15,0)-IF(AND('Bonding Program'!$S$15=1,'Bonding Program'!$H$15&lt;='Bonding Program'!$C$8,CM$3=IF('Bonding Program'!$P$15&lt;&gt;"",'Bonding Program'!$P$15,'Bonding Program'!$C$8)),'Bonding Program'!$Z$15,0)+IF(AND('Bonding Program'!$P$15&lt;&gt;"",CM$3='Bonding Program'!$P$15,CM$3&lt;='Bonding Program'!$C$8),N('Bonding Program'!$O$15),0)</f>
        <v>0</v>
      </c>
      <c r="CN156" s="19" t="n">
        <f aca="false">IF(AND('Bonding Program'!$S$15=1,'Bonding Program'!$H$15&gt;'Bonding Program'!$C$8,CN$3='Bonding Program'!$H$15),'Bonding Program'!$T$15-'Bonding Program'!$U$15-'Bonding Program'!$Z$15,0)-IF(AND('Bonding Program'!$S$15=1,'Bonding Program'!$H$15&lt;='Bonding Program'!$C$8,CN$3=IF('Bonding Program'!$P$15&lt;&gt;"",'Bonding Program'!$P$15,'Bonding Program'!$C$8)),'Bonding Program'!$Z$15,0)+IF(AND('Bonding Program'!$P$15&lt;&gt;"",CN$3='Bonding Program'!$P$15,CN$3&lt;='Bonding Program'!$C$8),N('Bonding Program'!$O$15),0)</f>
        <v>0</v>
      </c>
      <c r="CO156" s="19" t="n">
        <f aca="false">IF(AND('Bonding Program'!$S$15=1,'Bonding Program'!$H$15&gt;'Bonding Program'!$C$8,CO$3='Bonding Program'!$H$15),'Bonding Program'!$T$15-'Bonding Program'!$U$15-'Bonding Program'!$Z$15,0)-IF(AND('Bonding Program'!$S$15=1,'Bonding Program'!$H$15&lt;='Bonding Program'!$C$8,CO$3=IF('Bonding Program'!$P$15&lt;&gt;"",'Bonding Program'!$P$15,'Bonding Program'!$C$8)),'Bonding Program'!$Z$15,0)+IF(AND('Bonding Program'!$P$15&lt;&gt;"",CO$3='Bonding Program'!$P$15,CO$3&lt;='Bonding Program'!$C$8),N('Bonding Program'!$O$15),0)</f>
        <v>0</v>
      </c>
      <c r="CP156" s="19" t="n">
        <f aca="false">IF(AND('Bonding Program'!$S$15=1,'Bonding Program'!$H$15&gt;'Bonding Program'!$C$8,CP$3='Bonding Program'!$H$15),'Bonding Program'!$T$15-'Bonding Program'!$U$15-'Bonding Program'!$Z$15,0)-IF(AND('Bonding Program'!$S$15=1,'Bonding Program'!$H$15&lt;='Bonding Program'!$C$8,CP$3=IF('Bonding Program'!$P$15&lt;&gt;"",'Bonding Program'!$P$15,'Bonding Program'!$C$8)),'Bonding Program'!$Z$15,0)+IF(AND('Bonding Program'!$P$15&lt;&gt;"",CP$3='Bonding Program'!$P$15,CP$3&lt;='Bonding Program'!$C$8),N('Bonding Program'!$O$15),0)</f>
        <v>0</v>
      </c>
      <c r="CQ156" s="19" t="n">
        <f aca="false">IF(AND('Bonding Program'!$S$15=1,'Bonding Program'!$H$15&gt;'Bonding Program'!$C$8,CQ$3='Bonding Program'!$H$15),'Bonding Program'!$T$15-'Bonding Program'!$U$15-'Bonding Program'!$Z$15,0)-IF(AND('Bonding Program'!$S$15=1,'Bonding Program'!$H$15&lt;='Bonding Program'!$C$8,CQ$3=IF('Bonding Program'!$P$15&lt;&gt;"",'Bonding Program'!$P$15,'Bonding Program'!$C$8)),'Bonding Program'!$Z$15,0)+IF(AND('Bonding Program'!$P$15&lt;&gt;"",CQ$3='Bonding Program'!$P$15,CQ$3&lt;='Bonding Program'!$C$8),N('Bonding Program'!$O$15),0)</f>
        <v>0</v>
      </c>
      <c r="CR156" s="19" t="n">
        <f aca="false">IF(AND('Bonding Program'!$S$15=1,'Bonding Program'!$H$15&gt;'Bonding Program'!$C$8,CR$3='Bonding Program'!$H$15),'Bonding Program'!$T$15-'Bonding Program'!$U$15-'Bonding Program'!$Z$15,0)-IF(AND('Bonding Program'!$S$15=1,'Bonding Program'!$H$15&lt;='Bonding Program'!$C$8,CR$3=IF('Bonding Program'!$P$15&lt;&gt;"",'Bonding Program'!$P$15,'Bonding Program'!$C$8)),'Bonding Program'!$Z$15,0)+IF(AND('Bonding Program'!$P$15&lt;&gt;"",CR$3='Bonding Program'!$P$15,CR$3&lt;='Bonding Program'!$C$8),N('Bonding Program'!$O$15),0)</f>
        <v>0</v>
      </c>
      <c r="CS156" s="19" t="n">
        <f aca="false">IF(AND('Bonding Program'!$S$15=1,'Bonding Program'!$H$15&gt;'Bonding Program'!$C$8,CS$3='Bonding Program'!$H$15),'Bonding Program'!$T$15-'Bonding Program'!$U$15-'Bonding Program'!$Z$15,0)-IF(AND('Bonding Program'!$S$15=1,'Bonding Program'!$H$15&lt;='Bonding Program'!$C$8,CS$3=IF('Bonding Program'!$P$15&lt;&gt;"",'Bonding Program'!$P$15,'Bonding Program'!$C$8)),'Bonding Program'!$Z$15,0)+IF(AND('Bonding Program'!$P$15&lt;&gt;"",CS$3='Bonding Program'!$P$15,CS$3&lt;='Bonding Program'!$C$8),N('Bonding Program'!$O$15),0)</f>
        <v>0</v>
      </c>
      <c r="CT156" s="19" t="n">
        <f aca="false">IF(AND('Bonding Program'!$S$15=1,'Bonding Program'!$H$15&gt;'Bonding Program'!$C$8,CT$3='Bonding Program'!$H$15),'Bonding Program'!$T$15-'Bonding Program'!$U$15-'Bonding Program'!$Z$15,0)-IF(AND('Bonding Program'!$S$15=1,'Bonding Program'!$H$15&lt;='Bonding Program'!$C$8,CT$3=IF('Bonding Program'!$P$15&lt;&gt;"",'Bonding Program'!$P$15,'Bonding Program'!$C$8)),'Bonding Program'!$Z$15,0)+IF(AND('Bonding Program'!$P$15&lt;&gt;"",CT$3='Bonding Program'!$P$15,CT$3&lt;='Bonding Program'!$C$8),N('Bonding Program'!$O$15),0)</f>
        <v>0</v>
      </c>
      <c r="CU156" s="19" t="n">
        <f aca="false">IF(AND('Bonding Program'!$S$15=1,'Bonding Program'!$H$15&gt;'Bonding Program'!$C$8,CU$3='Bonding Program'!$H$15),'Bonding Program'!$T$15-'Bonding Program'!$U$15-'Bonding Program'!$Z$15,0)-IF(AND('Bonding Program'!$S$15=1,'Bonding Program'!$H$15&lt;='Bonding Program'!$C$8,CU$3=IF('Bonding Program'!$P$15&lt;&gt;"",'Bonding Program'!$P$15,'Bonding Program'!$C$8)),'Bonding Program'!$Z$15,0)+IF(AND('Bonding Program'!$P$15&lt;&gt;"",CU$3='Bonding Program'!$P$15,CU$3&lt;='Bonding Program'!$C$8),N('Bonding Program'!$O$15),0)</f>
        <v>0</v>
      </c>
      <c r="CV156" s="19" t="n">
        <f aca="false">IF(AND('Bonding Program'!$S$15=1,'Bonding Program'!$H$15&gt;'Bonding Program'!$C$8,CV$3='Bonding Program'!$H$15),'Bonding Program'!$T$15-'Bonding Program'!$U$15-'Bonding Program'!$Z$15,0)-IF(AND('Bonding Program'!$S$15=1,'Bonding Program'!$H$15&lt;='Bonding Program'!$C$8,CV$3=IF('Bonding Program'!$P$15&lt;&gt;"",'Bonding Program'!$P$15,'Bonding Program'!$C$8)),'Bonding Program'!$Z$15,0)+IF(AND('Bonding Program'!$P$15&lt;&gt;"",CV$3='Bonding Program'!$P$15,CV$3&lt;='Bonding Program'!$C$8),N('Bonding Program'!$O$15),0)</f>
        <v>0</v>
      </c>
      <c r="CW156" s="19" t="n">
        <f aca="false">IF(AND('Bonding Program'!$S$15=1,'Bonding Program'!$H$15&gt;'Bonding Program'!$C$8,CW$3='Bonding Program'!$H$15),'Bonding Program'!$T$15-'Bonding Program'!$U$15-'Bonding Program'!$Z$15,0)-IF(AND('Bonding Program'!$S$15=1,'Bonding Program'!$H$15&lt;='Bonding Program'!$C$8,CW$3=IF('Bonding Program'!$P$15&lt;&gt;"",'Bonding Program'!$P$15,'Bonding Program'!$C$8)),'Bonding Program'!$Z$15,0)+IF(AND('Bonding Program'!$P$15&lt;&gt;"",CW$3='Bonding Program'!$P$15,CW$3&lt;='Bonding Program'!$C$8),N('Bonding Program'!$O$15),0)</f>
        <v>0</v>
      </c>
      <c r="CX156" s="19" t="n">
        <f aca="false">IF(AND('Bonding Program'!$S$15=1,'Bonding Program'!$H$15&gt;'Bonding Program'!$C$8,CX$3='Bonding Program'!$H$15),'Bonding Program'!$T$15-'Bonding Program'!$U$15-'Bonding Program'!$Z$15,0)-IF(AND('Bonding Program'!$S$15=1,'Bonding Program'!$H$15&lt;='Bonding Program'!$C$8,CX$3=IF('Bonding Program'!$P$15&lt;&gt;"",'Bonding Program'!$P$15,'Bonding Program'!$C$8)),'Bonding Program'!$Z$15,0)+IF(AND('Bonding Program'!$P$15&lt;&gt;"",CX$3='Bonding Program'!$P$15,CX$3&lt;='Bonding Program'!$C$8),N('Bonding Program'!$O$15),0)</f>
        <v>0</v>
      </c>
      <c r="CY156" s="19" t="n">
        <f aca="false">IF(AND('Bonding Program'!$S$15=1,'Bonding Program'!$H$15&gt;'Bonding Program'!$C$8,CY$3='Bonding Program'!$H$15),'Bonding Program'!$T$15-'Bonding Program'!$U$15-'Bonding Program'!$Z$15,0)-IF(AND('Bonding Program'!$S$15=1,'Bonding Program'!$H$15&lt;='Bonding Program'!$C$8,CY$3=IF('Bonding Program'!$P$15&lt;&gt;"",'Bonding Program'!$P$15,'Bonding Program'!$C$8)),'Bonding Program'!$Z$15,0)+IF(AND('Bonding Program'!$P$15&lt;&gt;"",CY$3='Bonding Program'!$P$15,CY$3&lt;='Bonding Program'!$C$8),N('Bonding Program'!$O$15),0)</f>
        <v>0</v>
      </c>
      <c r="CZ156" s="19" t="n">
        <f aca="false">IF(AND('Bonding Program'!$S$15=1,'Bonding Program'!$H$15&gt;'Bonding Program'!$C$8,CZ$3='Bonding Program'!$H$15),'Bonding Program'!$T$15-'Bonding Program'!$U$15-'Bonding Program'!$Z$15,0)-IF(AND('Bonding Program'!$S$15=1,'Bonding Program'!$H$15&lt;='Bonding Program'!$C$8,CZ$3=IF('Bonding Program'!$P$15&lt;&gt;"",'Bonding Program'!$P$15,'Bonding Program'!$C$8)),'Bonding Program'!$Z$15,0)+IF(AND('Bonding Program'!$P$15&lt;&gt;"",CZ$3='Bonding Program'!$P$15,CZ$3&lt;='Bonding Program'!$C$8),N('Bonding Program'!$O$15),0)</f>
        <v>0</v>
      </c>
      <c r="DA156" s="19" t="n">
        <f aca="false">IF(AND('Bonding Program'!$S$15=1,'Bonding Program'!$H$15&gt;'Bonding Program'!$C$8,DA$3='Bonding Program'!$H$15),'Bonding Program'!$T$15-'Bonding Program'!$U$15-'Bonding Program'!$Z$15,0)-IF(AND('Bonding Program'!$S$15=1,'Bonding Program'!$H$15&lt;='Bonding Program'!$C$8,DA$3=IF('Bonding Program'!$P$15&lt;&gt;"",'Bonding Program'!$P$15,'Bonding Program'!$C$8)),'Bonding Program'!$Z$15,0)+IF(AND('Bonding Program'!$P$15&lt;&gt;"",DA$3='Bonding Program'!$P$15,DA$3&lt;='Bonding Program'!$C$8),N('Bonding Program'!$O$15),0)</f>
        <v>0</v>
      </c>
      <c r="DB156" s="19" t="n">
        <f aca="false">IF(AND('Bonding Program'!$S$15=1,'Bonding Program'!$H$15&gt;'Bonding Program'!$C$8,DB$3='Bonding Program'!$H$15),'Bonding Program'!$T$15-'Bonding Program'!$U$15-'Bonding Program'!$Z$15,0)-IF(AND('Bonding Program'!$S$15=1,'Bonding Program'!$H$15&lt;='Bonding Program'!$C$8,DB$3=IF('Bonding Program'!$P$15&lt;&gt;"",'Bonding Program'!$P$15,'Bonding Program'!$C$8)),'Bonding Program'!$Z$15,0)+IF(AND('Bonding Program'!$P$15&lt;&gt;"",DB$3='Bonding Program'!$P$15,DB$3&lt;='Bonding Program'!$C$8),N('Bonding Program'!$O$15),0)</f>
        <v>0</v>
      </c>
      <c r="DC156" s="19" t="n">
        <f aca="false">IF(AND('Bonding Program'!$S$15=1,'Bonding Program'!$H$15&gt;'Bonding Program'!$C$8,DC$3='Bonding Program'!$H$15),'Bonding Program'!$T$15-'Bonding Program'!$U$15-'Bonding Program'!$Z$15,0)-IF(AND('Bonding Program'!$S$15=1,'Bonding Program'!$H$15&lt;='Bonding Program'!$C$8,DC$3=IF('Bonding Program'!$P$15&lt;&gt;"",'Bonding Program'!$P$15,'Bonding Program'!$C$8)),'Bonding Program'!$Z$15,0)+IF(AND('Bonding Program'!$P$15&lt;&gt;"",DC$3='Bonding Program'!$P$15,DC$3&lt;='Bonding Program'!$C$8),N('Bonding Program'!$O$15),0)</f>
        <v>0</v>
      </c>
      <c r="DD156" s="19" t="n">
        <f aca="false">IF(AND('Bonding Program'!$S$15=1,'Bonding Program'!$H$15&gt;'Bonding Program'!$C$8,DD$3='Bonding Program'!$H$15),'Bonding Program'!$T$15-'Bonding Program'!$U$15-'Bonding Program'!$Z$15,0)-IF(AND('Bonding Program'!$S$15=1,'Bonding Program'!$H$15&lt;='Bonding Program'!$C$8,DD$3=IF('Bonding Program'!$P$15&lt;&gt;"",'Bonding Program'!$P$15,'Bonding Program'!$C$8)),'Bonding Program'!$Z$15,0)+IF(AND('Bonding Program'!$P$15&lt;&gt;"",DD$3='Bonding Program'!$P$15,DD$3&lt;='Bonding Program'!$C$8),N('Bonding Program'!$O$15),0)</f>
        <v>0</v>
      </c>
      <c r="DE156" s="19" t="n">
        <f aca="false">IF(AND('Bonding Program'!$S$15=1,'Bonding Program'!$H$15&gt;'Bonding Program'!$C$8,DE$3='Bonding Program'!$H$15),'Bonding Program'!$T$15-'Bonding Program'!$U$15-'Bonding Program'!$Z$15,0)-IF(AND('Bonding Program'!$S$15=1,'Bonding Program'!$H$15&lt;='Bonding Program'!$C$8,DE$3=IF('Bonding Program'!$P$15&lt;&gt;"",'Bonding Program'!$P$15,'Bonding Program'!$C$8)),'Bonding Program'!$Z$15,0)+IF(AND('Bonding Program'!$P$15&lt;&gt;"",DE$3='Bonding Program'!$P$15,DE$3&lt;='Bonding Program'!$C$8),N('Bonding Program'!$O$15),0)</f>
        <v>0</v>
      </c>
    </row>
    <row r="157" customFormat="false" ht="15" hidden="false" customHeight="true" outlineLevel="1" collapsed="false">
      <c r="A157" s="28" t="s">
        <v>12</v>
      </c>
      <c r="B157" s="19" t="n">
        <f aca="false">IF(AND('Bonding Program'!$S$16=1,'Bonding Program'!$H$16&gt;'Bonding Program'!$C$8,B$3='Bonding Program'!$H$16),'Bonding Program'!$T$16-'Bonding Program'!$U$16-'Bonding Program'!$Z$16,0)-IF(AND('Bonding Program'!$S$16=1,'Bonding Program'!$H$16&lt;='Bonding Program'!$C$8,B$3=IF('Bonding Program'!$P$16&lt;&gt;"",'Bonding Program'!$P$16,'Bonding Program'!$C$8)),'Bonding Program'!$Z$16,0)+IF(AND('Bonding Program'!$P$16&lt;&gt;"",B$3='Bonding Program'!$P$16,B$3&lt;='Bonding Program'!$C$8),N('Bonding Program'!$O$16),0)</f>
        <v>0</v>
      </c>
      <c r="C157" s="19" t="n">
        <f aca="false">IF(AND('Bonding Program'!$S$16=1,'Bonding Program'!$H$16&gt;'Bonding Program'!$C$8,C$3='Bonding Program'!$H$16),'Bonding Program'!$T$16-'Bonding Program'!$U$16-'Bonding Program'!$Z$16,0)-IF(AND('Bonding Program'!$S$16=1,'Bonding Program'!$H$16&lt;='Bonding Program'!$C$8,C$3=IF('Bonding Program'!$P$16&lt;&gt;"",'Bonding Program'!$P$16,'Bonding Program'!$C$8)),'Bonding Program'!$Z$16,0)+IF(AND('Bonding Program'!$P$16&lt;&gt;"",C$3='Bonding Program'!$P$16,C$3&lt;='Bonding Program'!$C$8),N('Bonding Program'!$O$16),0)</f>
        <v>0</v>
      </c>
      <c r="D157" s="19" t="n">
        <f aca="false">IF(AND('Bonding Program'!$S$16=1,'Bonding Program'!$H$16&gt;'Bonding Program'!$C$8,D$3='Bonding Program'!$H$16),'Bonding Program'!$T$16-'Bonding Program'!$U$16-'Bonding Program'!$Z$16,0)-IF(AND('Bonding Program'!$S$16=1,'Bonding Program'!$H$16&lt;='Bonding Program'!$C$8,D$3=IF('Bonding Program'!$P$16&lt;&gt;"",'Bonding Program'!$P$16,'Bonding Program'!$C$8)),'Bonding Program'!$Z$16,0)+IF(AND('Bonding Program'!$P$16&lt;&gt;"",D$3='Bonding Program'!$P$16,D$3&lt;='Bonding Program'!$C$8),N('Bonding Program'!$O$16),0)</f>
        <v>0</v>
      </c>
      <c r="E157" s="19" t="n">
        <f aca="false">IF(AND('Bonding Program'!$S$16=1,'Bonding Program'!$H$16&gt;'Bonding Program'!$C$8,E$3='Bonding Program'!$H$16),'Bonding Program'!$T$16-'Bonding Program'!$U$16-'Bonding Program'!$Z$16,0)-IF(AND('Bonding Program'!$S$16=1,'Bonding Program'!$H$16&lt;='Bonding Program'!$C$8,E$3=IF('Bonding Program'!$P$16&lt;&gt;"",'Bonding Program'!$P$16,'Bonding Program'!$C$8)),'Bonding Program'!$Z$16,0)+IF(AND('Bonding Program'!$P$16&lt;&gt;"",E$3='Bonding Program'!$P$16,E$3&lt;='Bonding Program'!$C$8),N('Bonding Program'!$O$16),0)</f>
        <v>0</v>
      </c>
      <c r="F157" s="19" t="n">
        <f aca="false">IF(AND('Bonding Program'!$S$16=1,'Bonding Program'!$H$16&gt;'Bonding Program'!$C$8,F$3='Bonding Program'!$H$16),'Bonding Program'!$T$16-'Bonding Program'!$U$16-'Bonding Program'!$Z$16,0)-IF(AND('Bonding Program'!$S$16=1,'Bonding Program'!$H$16&lt;='Bonding Program'!$C$8,F$3=IF('Bonding Program'!$P$16&lt;&gt;"",'Bonding Program'!$P$16,'Bonding Program'!$C$8)),'Bonding Program'!$Z$16,0)+IF(AND('Bonding Program'!$P$16&lt;&gt;"",F$3='Bonding Program'!$P$16,F$3&lt;='Bonding Program'!$C$8),N('Bonding Program'!$O$16),0)</f>
        <v>0</v>
      </c>
      <c r="G157" s="19" t="n">
        <f aca="false">IF(AND('Bonding Program'!$S$16=1,'Bonding Program'!$H$16&gt;'Bonding Program'!$C$8,G$3='Bonding Program'!$H$16),'Bonding Program'!$T$16-'Bonding Program'!$U$16-'Bonding Program'!$Z$16,0)-IF(AND('Bonding Program'!$S$16=1,'Bonding Program'!$H$16&lt;='Bonding Program'!$C$8,G$3=IF('Bonding Program'!$P$16&lt;&gt;"",'Bonding Program'!$P$16,'Bonding Program'!$C$8)),'Bonding Program'!$Z$16,0)+IF(AND('Bonding Program'!$P$16&lt;&gt;"",G$3='Bonding Program'!$P$16,G$3&lt;='Bonding Program'!$C$8),N('Bonding Program'!$O$16),0)</f>
        <v>0</v>
      </c>
      <c r="H157" s="19" t="n">
        <f aca="false">IF(AND('Bonding Program'!$S$16=1,'Bonding Program'!$H$16&gt;'Bonding Program'!$C$8,H$3='Bonding Program'!$H$16),'Bonding Program'!$T$16-'Bonding Program'!$U$16-'Bonding Program'!$Z$16,0)-IF(AND('Bonding Program'!$S$16=1,'Bonding Program'!$H$16&lt;='Bonding Program'!$C$8,H$3=IF('Bonding Program'!$P$16&lt;&gt;"",'Bonding Program'!$P$16,'Bonding Program'!$C$8)),'Bonding Program'!$Z$16,0)+IF(AND('Bonding Program'!$P$16&lt;&gt;"",H$3='Bonding Program'!$P$16,H$3&lt;='Bonding Program'!$C$8),N('Bonding Program'!$O$16),0)</f>
        <v>0</v>
      </c>
      <c r="I157" s="19" t="n">
        <f aca="false">IF(AND('Bonding Program'!$S$16=1,'Bonding Program'!$H$16&gt;'Bonding Program'!$C$8,I$3='Bonding Program'!$H$16),'Bonding Program'!$T$16-'Bonding Program'!$U$16-'Bonding Program'!$Z$16,0)-IF(AND('Bonding Program'!$S$16=1,'Bonding Program'!$H$16&lt;='Bonding Program'!$C$8,I$3=IF('Bonding Program'!$P$16&lt;&gt;"",'Bonding Program'!$P$16,'Bonding Program'!$C$8)),'Bonding Program'!$Z$16,0)+IF(AND('Bonding Program'!$P$16&lt;&gt;"",I$3='Bonding Program'!$P$16,I$3&lt;='Bonding Program'!$C$8),N('Bonding Program'!$O$16),0)</f>
        <v>0</v>
      </c>
      <c r="J157" s="19" t="n">
        <f aca="false">IF(AND('Bonding Program'!$S$16=1,'Bonding Program'!$H$16&gt;'Bonding Program'!$C$8,J$3='Bonding Program'!$H$16),'Bonding Program'!$T$16-'Bonding Program'!$U$16-'Bonding Program'!$Z$16,0)-IF(AND('Bonding Program'!$S$16=1,'Bonding Program'!$H$16&lt;='Bonding Program'!$C$8,J$3=IF('Bonding Program'!$P$16&lt;&gt;"",'Bonding Program'!$P$16,'Bonding Program'!$C$8)),'Bonding Program'!$Z$16,0)+IF(AND('Bonding Program'!$P$16&lt;&gt;"",J$3='Bonding Program'!$P$16,J$3&lt;='Bonding Program'!$C$8),N('Bonding Program'!$O$16),0)</f>
        <v>-0.00350000004982576</v>
      </c>
      <c r="K157" s="19" t="n">
        <f aca="false">IF(AND('Bonding Program'!$S$16=1,'Bonding Program'!$H$16&gt;'Bonding Program'!$C$8,K$3='Bonding Program'!$H$16),'Bonding Program'!$T$16-'Bonding Program'!$U$16-'Bonding Program'!$Z$16,0)-IF(AND('Bonding Program'!$S$16=1,'Bonding Program'!$H$16&lt;='Bonding Program'!$C$8,K$3=IF('Bonding Program'!$P$16&lt;&gt;"",'Bonding Program'!$P$16,'Bonding Program'!$C$8)),'Bonding Program'!$Z$16,0)+IF(AND('Bonding Program'!$P$16&lt;&gt;"",K$3='Bonding Program'!$P$16,K$3&lt;='Bonding Program'!$C$8),N('Bonding Program'!$O$16),0)</f>
        <v>0</v>
      </c>
      <c r="L157" s="19" t="n">
        <f aca="false">IF(AND('Bonding Program'!$S$16=1,'Bonding Program'!$H$16&gt;'Bonding Program'!$C$8,L$3='Bonding Program'!$H$16),'Bonding Program'!$T$16-'Bonding Program'!$U$16-'Bonding Program'!$Z$16,0)-IF(AND('Bonding Program'!$S$16=1,'Bonding Program'!$H$16&lt;='Bonding Program'!$C$8,L$3=IF('Bonding Program'!$P$16&lt;&gt;"",'Bonding Program'!$P$16,'Bonding Program'!$C$8)),'Bonding Program'!$Z$16,0)+IF(AND('Bonding Program'!$P$16&lt;&gt;"",L$3='Bonding Program'!$P$16,L$3&lt;='Bonding Program'!$C$8),N('Bonding Program'!$O$16),0)</f>
        <v>0</v>
      </c>
      <c r="M157" s="19" t="n">
        <f aca="false">IF(AND('Bonding Program'!$S$16=1,'Bonding Program'!$H$16&gt;'Bonding Program'!$C$8,M$3='Bonding Program'!$H$16),'Bonding Program'!$T$16-'Bonding Program'!$U$16-'Bonding Program'!$Z$16,0)-IF(AND('Bonding Program'!$S$16=1,'Bonding Program'!$H$16&lt;='Bonding Program'!$C$8,M$3=IF('Bonding Program'!$P$16&lt;&gt;"",'Bonding Program'!$P$16,'Bonding Program'!$C$8)),'Bonding Program'!$Z$16,0)+IF(AND('Bonding Program'!$P$16&lt;&gt;"",M$3='Bonding Program'!$P$16,M$3&lt;='Bonding Program'!$C$8),N('Bonding Program'!$O$16),0)</f>
        <v>0</v>
      </c>
      <c r="N157" s="19" t="n">
        <f aca="false">IF(AND('Bonding Program'!$S$16=1,'Bonding Program'!$H$16&gt;'Bonding Program'!$C$8,N$3='Bonding Program'!$H$16),'Bonding Program'!$T$16-'Bonding Program'!$U$16-'Bonding Program'!$Z$16,0)-IF(AND('Bonding Program'!$S$16=1,'Bonding Program'!$H$16&lt;='Bonding Program'!$C$8,N$3=IF('Bonding Program'!$P$16&lt;&gt;"",'Bonding Program'!$P$16,'Bonding Program'!$C$8)),'Bonding Program'!$Z$16,0)+IF(AND('Bonding Program'!$P$16&lt;&gt;"",N$3='Bonding Program'!$P$16,N$3&lt;='Bonding Program'!$C$8),N('Bonding Program'!$O$16),0)</f>
        <v>0</v>
      </c>
      <c r="O157" s="19" t="n">
        <f aca="false">IF(AND('Bonding Program'!$S$16=1,'Bonding Program'!$H$16&gt;'Bonding Program'!$C$8,O$3='Bonding Program'!$H$16),'Bonding Program'!$T$16-'Bonding Program'!$U$16-'Bonding Program'!$Z$16,0)-IF(AND('Bonding Program'!$S$16=1,'Bonding Program'!$H$16&lt;='Bonding Program'!$C$8,O$3=IF('Bonding Program'!$P$16&lt;&gt;"",'Bonding Program'!$P$16,'Bonding Program'!$C$8)),'Bonding Program'!$Z$16,0)+IF(AND('Bonding Program'!$P$16&lt;&gt;"",O$3='Bonding Program'!$P$16,O$3&lt;='Bonding Program'!$C$8),N('Bonding Program'!$O$16),0)</f>
        <v>0</v>
      </c>
      <c r="P157" s="19" t="n">
        <f aca="false">IF(AND('Bonding Program'!$S$16=1,'Bonding Program'!$H$16&gt;'Bonding Program'!$C$8,P$3='Bonding Program'!$H$16),'Bonding Program'!$T$16-'Bonding Program'!$U$16-'Bonding Program'!$Z$16,0)-IF(AND('Bonding Program'!$S$16=1,'Bonding Program'!$H$16&lt;='Bonding Program'!$C$8,P$3=IF('Bonding Program'!$P$16&lt;&gt;"",'Bonding Program'!$P$16,'Bonding Program'!$C$8)),'Bonding Program'!$Z$16,0)+IF(AND('Bonding Program'!$P$16&lt;&gt;"",P$3='Bonding Program'!$P$16,P$3&lt;='Bonding Program'!$C$8),N('Bonding Program'!$O$16),0)</f>
        <v>0</v>
      </c>
      <c r="Q157" s="19" t="n">
        <f aca="false">IF(AND('Bonding Program'!$S$16=1,'Bonding Program'!$H$16&gt;'Bonding Program'!$C$8,Q$3='Bonding Program'!$H$16),'Bonding Program'!$T$16-'Bonding Program'!$U$16-'Bonding Program'!$Z$16,0)-IF(AND('Bonding Program'!$S$16=1,'Bonding Program'!$H$16&lt;='Bonding Program'!$C$8,Q$3=IF('Bonding Program'!$P$16&lt;&gt;"",'Bonding Program'!$P$16,'Bonding Program'!$C$8)),'Bonding Program'!$Z$16,0)+IF(AND('Bonding Program'!$P$16&lt;&gt;"",Q$3='Bonding Program'!$P$16,Q$3&lt;='Bonding Program'!$C$8),N('Bonding Program'!$O$16),0)</f>
        <v>0</v>
      </c>
      <c r="R157" s="19" t="n">
        <f aca="false">IF(AND('Bonding Program'!$S$16=1,'Bonding Program'!$H$16&gt;'Bonding Program'!$C$8,R$3='Bonding Program'!$H$16),'Bonding Program'!$T$16-'Bonding Program'!$U$16-'Bonding Program'!$Z$16,0)-IF(AND('Bonding Program'!$S$16=1,'Bonding Program'!$H$16&lt;='Bonding Program'!$C$8,R$3=IF('Bonding Program'!$P$16&lt;&gt;"",'Bonding Program'!$P$16,'Bonding Program'!$C$8)),'Bonding Program'!$Z$16,0)+IF(AND('Bonding Program'!$P$16&lt;&gt;"",R$3='Bonding Program'!$P$16,R$3&lt;='Bonding Program'!$C$8),N('Bonding Program'!$O$16),0)</f>
        <v>0</v>
      </c>
      <c r="S157" s="19" t="n">
        <f aca="false">IF(AND('Bonding Program'!$S$16=1,'Bonding Program'!$H$16&gt;'Bonding Program'!$C$8,S$3='Bonding Program'!$H$16),'Bonding Program'!$T$16-'Bonding Program'!$U$16-'Bonding Program'!$Z$16,0)-IF(AND('Bonding Program'!$S$16=1,'Bonding Program'!$H$16&lt;='Bonding Program'!$C$8,S$3=IF('Bonding Program'!$P$16&lt;&gt;"",'Bonding Program'!$P$16,'Bonding Program'!$C$8)),'Bonding Program'!$Z$16,0)+IF(AND('Bonding Program'!$P$16&lt;&gt;"",S$3='Bonding Program'!$P$16,S$3&lt;='Bonding Program'!$C$8),N('Bonding Program'!$O$16),0)</f>
        <v>0</v>
      </c>
      <c r="T157" s="19" t="n">
        <f aca="false">IF(AND('Bonding Program'!$S$16=1,'Bonding Program'!$H$16&gt;'Bonding Program'!$C$8,T$3='Bonding Program'!$H$16),'Bonding Program'!$T$16-'Bonding Program'!$U$16-'Bonding Program'!$Z$16,0)-IF(AND('Bonding Program'!$S$16=1,'Bonding Program'!$H$16&lt;='Bonding Program'!$C$8,T$3=IF('Bonding Program'!$P$16&lt;&gt;"",'Bonding Program'!$P$16,'Bonding Program'!$C$8)),'Bonding Program'!$Z$16,0)+IF(AND('Bonding Program'!$P$16&lt;&gt;"",T$3='Bonding Program'!$P$16,T$3&lt;='Bonding Program'!$C$8),N('Bonding Program'!$O$16),0)</f>
        <v>0</v>
      </c>
      <c r="U157" s="19" t="n">
        <f aca="false">IF(AND('Bonding Program'!$S$16=1,'Bonding Program'!$H$16&gt;'Bonding Program'!$C$8,U$3='Bonding Program'!$H$16),'Bonding Program'!$T$16-'Bonding Program'!$U$16-'Bonding Program'!$Z$16,0)-IF(AND('Bonding Program'!$S$16=1,'Bonding Program'!$H$16&lt;='Bonding Program'!$C$8,U$3=IF('Bonding Program'!$P$16&lt;&gt;"",'Bonding Program'!$P$16,'Bonding Program'!$C$8)),'Bonding Program'!$Z$16,0)+IF(AND('Bonding Program'!$P$16&lt;&gt;"",U$3='Bonding Program'!$P$16,U$3&lt;='Bonding Program'!$C$8),N('Bonding Program'!$O$16),0)</f>
        <v>0</v>
      </c>
      <c r="V157" s="19" t="n">
        <f aca="false">IF(AND('Bonding Program'!$S$16=1,'Bonding Program'!$H$16&gt;'Bonding Program'!$C$8,V$3='Bonding Program'!$H$16),'Bonding Program'!$T$16-'Bonding Program'!$U$16-'Bonding Program'!$Z$16,0)-IF(AND('Bonding Program'!$S$16=1,'Bonding Program'!$H$16&lt;='Bonding Program'!$C$8,V$3=IF('Bonding Program'!$P$16&lt;&gt;"",'Bonding Program'!$P$16,'Bonding Program'!$C$8)),'Bonding Program'!$Z$16,0)+IF(AND('Bonding Program'!$P$16&lt;&gt;"",V$3='Bonding Program'!$P$16,V$3&lt;='Bonding Program'!$C$8),N('Bonding Program'!$O$16),0)</f>
        <v>0</v>
      </c>
      <c r="W157" s="19" t="n">
        <f aca="false">IF(AND('Bonding Program'!$S$16=1,'Bonding Program'!$H$16&gt;'Bonding Program'!$C$8,W$3='Bonding Program'!$H$16),'Bonding Program'!$T$16-'Bonding Program'!$U$16-'Bonding Program'!$Z$16,0)-IF(AND('Bonding Program'!$S$16=1,'Bonding Program'!$H$16&lt;='Bonding Program'!$C$8,W$3=IF('Bonding Program'!$P$16&lt;&gt;"",'Bonding Program'!$P$16,'Bonding Program'!$C$8)),'Bonding Program'!$Z$16,0)+IF(AND('Bonding Program'!$P$16&lt;&gt;"",W$3='Bonding Program'!$P$16,W$3&lt;='Bonding Program'!$C$8),N('Bonding Program'!$O$16),0)</f>
        <v>0</v>
      </c>
      <c r="X157" s="19" t="n">
        <f aca="false">IF(AND('Bonding Program'!$S$16=1,'Bonding Program'!$H$16&gt;'Bonding Program'!$C$8,X$3='Bonding Program'!$H$16),'Bonding Program'!$T$16-'Bonding Program'!$U$16-'Bonding Program'!$Z$16,0)-IF(AND('Bonding Program'!$S$16=1,'Bonding Program'!$H$16&lt;='Bonding Program'!$C$8,X$3=IF('Bonding Program'!$P$16&lt;&gt;"",'Bonding Program'!$P$16,'Bonding Program'!$C$8)),'Bonding Program'!$Z$16,0)+IF(AND('Bonding Program'!$P$16&lt;&gt;"",X$3='Bonding Program'!$P$16,X$3&lt;='Bonding Program'!$C$8),N('Bonding Program'!$O$16),0)</f>
        <v>0</v>
      </c>
      <c r="Y157" s="19" t="n">
        <f aca="false">IF(AND('Bonding Program'!$S$16=1,'Bonding Program'!$H$16&gt;'Bonding Program'!$C$8,Y$3='Bonding Program'!$H$16),'Bonding Program'!$T$16-'Bonding Program'!$U$16-'Bonding Program'!$Z$16,0)-IF(AND('Bonding Program'!$S$16=1,'Bonding Program'!$H$16&lt;='Bonding Program'!$C$8,Y$3=IF('Bonding Program'!$P$16&lt;&gt;"",'Bonding Program'!$P$16,'Bonding Program'!$C$8)),'Bonding Program'!$Z$16,0)+IF(AND('Bonding Program'!$P$16&lt;&gt;"",Y$3='Bonding Program'!$P$16,Y$3&lt;='Bonding Program'!$C$8),N('Bonding Program'!$O$16),0)</f>
        <v>0</v>
      </c>
      <c r="Z157" s="19" t="n">
        <f aca="false">IF(AND('Bonding Program'!$S$16=1,'Bonding Program'!$H$16&gt;'Bonding Program'!$C$8,Z$3='Bonding Program'!$H$16),'Bonding Program'!$T$16-'Bonding Program'!$U$16-'Bonding Program'!$Z$16,0)-IF(AND('Bonding Program'!$S$16=1,'Bonding Program'!$H$16&lt;='Bonding Program'!$C$8,Z$3=IF('Bonding Program'!$P$16&lt;&gt;"",'Bonding Program'!$P$16,'Bonding Program'!$C$8)),'Bonding Program'!$Z$16,0)+IF(AND('Bonding Program'!$P$16&lt;&gt;"",Z$3='Bonding Program'!$P$16,Z$3&lt;='Bonding Program'!$C$8),N('Bonding Program'!$O$16),0)</f>
        <v>0</v>
      </c>
      <c r="AA157" s="19" t="n">
        <f aca="false">IF(AND('Bonding Program'!$S$16=1,'Bonding Program'!$H$16&gt;'Bonding Program'!$C$8,AA$3='Bonding Program'!$H$16),'Bonding Program'!$T$16-'Bonding Program'!$U$16-'Bonding Program'!$Z$16,0)-IF(AND('Bonding Program'!$S$16=1,'Bonding Program'!$H$16&lt;='Bonding Program'!$C$8,AA$3=IF('Bonding Program'!$P$16&lt;&gt;"",'Bonding Program'!$P$16,'Bonding Program'!$C$8)),'Bonding Program'!$Z$16,0)+IF(AND('Bonding Program'!$P$16&lt;&gt;"",AA$3='Bonding Program'!$P$16,AA$3&lt;='Bonding Program'!$C$8),N('Bonding Program'!$O$16),0)</f>
        <v>0</v>
      </c>
      <c r="AB157" s="19" t="n">
        <f aca="false">IF(AND('Bonding Program'!$S$16=1,'Bonding Program'!$H$16&gt;'Bonding Program'!$C$8,AB$3='Bonding Program'!$H$16),'Bonding Program'!$T$16-'Bonding Program'!$U$16-'Bonding Program'!$Z$16,0)-IF(AND('Bonding Program'!$S$16=1,'Bonding Program'!$H$16&lt;='Bonding Program'!$C$8,AB$3=IF('Bonding Program'!$P$16&lt;&gt;"",'Bonding Program'!$P$16,'Bonding Program'!$C$8)),'Bonding Program'!$Z$16,0)+IF(AND('Bonding Program'!$P$16&lt;&gt;"",AB$3='Bonding Program'!$P$16,AB$3&lt;='Bonding Program'!$C$8),N('Bonding Program'!$O$16),0)</f>
        <v>0</v>
      </c>
      <c r="AC157" s="19" t="n">
        <f aca="false">IF(AND('Bonding Program'!$S$16=1,'Bonding Program'!$H$16&gt;'Bonding Program'!$C$8,AC$3='Bonding Program'!$H$16),'Bonding Program'!$T$16-'Bonding Program'!$U$16-'Bonding Program'!$Z$16,0)-IF(AND('Bonding Program'!$S$16=1,'Bonding Program'!$H$16&lt;='Bonding Program'!$C$8,AC$3=IF('Bonding Program'!$P$16&lt;&gt;"",'Bonding Program'!$P$16,'Bonding Program'!$C$8)),'Bonding Program'!$Z$16,0)+IF(AND('Bonding Program'!$P$16&lt;&gt;"",AC$3='Bonding Program'!$P$16,AC$3&lt;='Bonding Program'!$C$8),N('Bonding Program'!$O$16),0)</f>
        <v>0</v>
      </c>
      <c r="AD157" s="19" t="n">
        <f aca="false">IF(AND('Bonding Program'!$S$16=1,'Bonding Program'!$H$16&gt;'Bonding Program'!$C$8,AD$3='Bonding Program'!$H$16),'Bonding Program'!$T$16-'Bonding Program'!$U$16-'Bonding Program'!$Z$16,0)-IF(AND('Bonding Program'!$S$16=1,'Bonding Program'!$H$16&lt;='Bonding Program'!$C$8,AD$3=IF('Bonding Program'!$P$16&lt;&gt;"",'Bonding Program'!$P$16,'Bonding Program'!$C$8)),'Bonding Program'!$Z$16,0)+IF(AND('Bonding Program'!$P$16&lt;&gt;"",AD$3='Bonding Program'!$P$16,AD$3&lt;='Bonding Program'!$C$8),N('Bonding Program'!$O$16),0)</f>
        <v>0</v>
      </c>
      <c r="AE157" s="19" t="n">
        <f aca="false">IF(AND('Bonding Program'!$S$16=1,'Bonding Program'!$H$16&gt;'Bonding Program'!$C$8,AE$3='Bonding Program'!$H$16),'Bonding Program'!$T$16-'Bonding Program'!$U$16-'Bonding Program'!$Z$16,0)-IF(AND('Bonding Program'!$S$16=1,'Bonding Program'!$H$16&lt;='Bonding Program'!$C$8,AE$3=IF('Bonding Program'!$P$16&lt;&gt;"",'Bonding Program'!$P$16,'Bonding Program'!$C$8)),'Bonding Program'!$Z$16,0)+IF(AND('Bonding Program'!$P$16&lt;&gt;"",AE$3='Bonding Program'!$P$16,AE$3&lt;='Bonding Program'!$C$8),N('Bonding Program'!$O$16),0)</f>
        <v>0</v>
      </c>
      <c r="AF157" s="19" t="n">
        <f aca="false">IF(AND('Bonding Program'!$S$16=1,'Bonding Program'!$H$16&gt;'Bonding Program'!$C$8,AF$3='Bonding Program'!$H$16),'Bonding Program'!$T$16-'Bonding Program'!$U$16-'Bonding Program'!$Z$16,0)-IF(AND('Bonding Program'!$S$16=1,'Bonding Program'!$H$16&lt;='Bonding Program'!$C$8,AF$3=IF('Bonding Program'!$P$16&lt;&gt;"",'Bonding Program'!$P$16,'Bonding Program'!$C$8)),'Bonding Program'!$Z$16,0)+IF(AND('Bonding Program'!$P$16&lt;&gt;"",AF$3='Bonding Program'!$P$16,AF$3&lt;='Bonding Program'!$C$8),N('Bonding Program'!$O$16),0)</f>
        <v>0</v>
      </c>
      <c r="AG157" s="19" t="n">
        <f aca="false">IF(AND('Bonding Program'!$S$16=1,'Bonding Program'!$H$16&gt;'Bonding Program'!$C$8,AG$3='Bonding Program'!$H$16),'Bonding Program'!$T$16-'Bonding Program'!$U$16-'Bonding Program'!$Z$16,0)-IF(AND('Bonding Program'!$S$16=1,'Bonding Program'!$H$16&lt;='Bonding Program'!$C$8,AG$3=IF('Bonding Program'!$P$16&lt;&gt;"",'Bonding Program'!$P$16,'Bonding Program'!$C$8)),'Bonding Program'!$Z$16,0)+IF(AND('Bonding Program'!$P$16&lt;&gt;"",AG$3='Bonding Program'!$P$16,AG$3&lt;='Bonding Program'!$C$8),N('Bonding Program'!$O$16),0)</f>
        <v>0</v>
      </c>
      <c r="AH157" s="19" t="n">
        <f aca="false">IF(AND('Bonding Program'!$S$16=1,'Bonding Program'!$H$16&gt;'Bonding Program'!$C$8,AH$3='Bonding Program'!$H$16),'Bonding Program'!$T$16-'Bonding Program'!$U$16-'Bonding Program'!$Z$16,0)-IF(AND('Bonding Program'!$S$16=1,'Bonding Program'!$H$16&lt;='Bonding Program'!$C$8,AH$3=IF('Bonding Program'!$P$16&lt;&gt;"",'Bonding Program'!$P$16,'Bonding Program'!$C$8)),'Bonding Program'!$Z$16,0)+IF(AND('Bonding Program'!$P$16&lt;&gt;"",AH$3='Bonding Program'!$P$16,AH$3&lt;='Bonding Program'!$C$8),N('Bonding Program'!$O$16),0)</f>
        <v>0</v>
      </c>
      <c r="AI157" s="19" t="n">
        <f aca="false">IF(AND('Bonding Program'!$S$16=1,'Bonding Program'!$H$16&gt;'Bonding Program'!$C$8,AI$3='Bonding Program'!$H$16),'Bonding Program'!$T$16-'Bonding Program'!$U$16-'Bonding Program'!$Z$16,0)-IF(AND('Bonding Program'!$S$16=1,'Bonding Program'!$H$16&lt;='Bonding Program'!$C$8,AI$3=IF('Bonding Program'!$P$16&lt;&gt;"",'Bonding Program'!$P$16,'Bonding Program'!$C$8)),'Bonding Program'!$Z$16,0)+IF(AND('Bonding Program'!$P$16&lt;&gt;"",AI$3='Bonding Program'!$P$16,AI$3&lt;='Bonding Program'!$C$8),N('Bonding Program'!$O$16),0)</f>
        <v>0</v>
      </c>
      <c r="AJ157" s="19" t="n">
        <f aca="false">IF(AND('Bonding Program'!$S$16=1,'Bonding Program'!$H$16&gt;'Bonding Program'!$C$8,AJ$3='Bonding Program'!$H$16),'Bonding Program'!$T$16-'Bonding Program'!$U$16-'Bonding Program'!$Z$16,0)-IF(AND('Bonding Program'!$S$16=1,'Bonding Program'!$H$16&lt;='Bonding Program'!$C$8,AJ$3=IF('Bonding Program'!$P$16&lt;&gt;"",'Bonding Program'!$P$16,'Bonding Program'!$C$8)),'Bonding Program'!$Z$16,0)+IF(AND('Bonding Program'!$P$16&lt;&gt;"",AJ$3='Bonding Program'!$P$16,AJ$3&lt;='Bonding Program'!$C$8),N('Bonding Program'!$O$16),0)</f>
        <v>0</v>
      </c>
      <c r="AK157" s="19" t="n">
        <f aca="false">IF(AND('Bonding Program'!$S$16=1,'Bonding Program'!$H$16&gt;'Bonding Program'!$C$8,AK$3='Bonding Program'!$H$16),'Bonding Program'!$T$16-'Bonding Program'!$U$16-'Bonding Program'!$Z$16,0)-IF(AND('Bonding Program'!$S$16=1,'Bonding Program'!$H$16&lt;='Bonding Program'!$C$8,AK$3=IF('Bonding Program'!$P$16&lt;&gt;"",'Bonding Program'!$P$16,'Bonding Program'!$C$8)),'Bonding Program'!$Z$16,0)+IF(AND('Bonding Program'!$P$16&lt;&gt;"",AK$3='Bonding Program'!$P$16,AK$3&lt;='Bonding Program'!$C$8),N('Bonding Program'!$O$16),0)</f>
        <v>0</v>
      </c>
      <c r="AL157" s="19" t="n">
        <f aca="false">IF(AND('Bonding Program'!$S$16=1,'Bonding Program'!$H$16&gt;'Bonding Program'!$C$8,AL$3='Bonding Program'!$H$16),'Bonding Program'!$T$16-'Bonding Program'!$U$16-'Bonding Program'!$Z$16,0)-IF(AND('Bonding Program'!$S$16=1,'Bonding Program'!$H$16&lt;='Bonding Program'!$C$8,AL$3=IF('Bonding Program'!$P$16&lt;&gt;"",'Bonding Program'!$P$16,'Bonding Program'!$C$8)),'Bonding Program'!$Z$16,0)+IF(AND('Bonding Program'!$P$16&lt;&gt;"",AL$3='Bonding Program'!$P$16,AL$3&lt;='Bonding Program'!$C$8),N('Bonding Program'!$O$16),0)</f>
        <v>0</v>
      </c>
      <c r="AM157" s="19" t="n">
        <f aca="false">IF(AND('Bonding Program'!$S$16=1,'Bonding Program'!$H$16&gt;'Bonding Program'!$C$8,AM$3='Bonding Program'!$H$16),'Bonding Program'!$T$16-'Bonding Program'!$U$16-'Bonding Program'!$Z$16,0)-IF(AND('Bonding Program'!$S$16=1,'Bonding Program'!$H$16&lt;='Bonding Program'!$C$8,AM$3=IF('Bonding Program'!$P$16&lt;&gt;"",'Bonding Program'!$P$16,'Bonding Program'!$C$8)),'Bonding Program'!$Z$16,0)+IF(AND('Bonding Program'!$P$16&lt;&gt;"",AM$3='Bonding Program'!$P$16,AM$3&lt;='Bonding Program'!$C$8),N('Bonding Program'!$O$16),0)</f>
        <v>0</v>
      </c>
      <c r="AN157" s="19" t="n">
        <f aca="false">IF(AND('Bonding Program'!$S$16=1,'Bonding Program'!$H$16&gt;'Bonding Program'!$C$8,AN$3='Bonding Program'!$H$16),'Bonding Program'!$T$16-'Bonding Program'!$U$16-'Bonding Program'!$Z$16,0)-IF(AND('Bonding Program'!$S$16=1,'Bonding Program'!$H$16&lt;='Bonding Program'!$C$8,AN$3=IF('Bonding Program'!$P$16&lt;&gt;"",'Bonding Program'!$P$16,'Bonding Program'!$C$8)),'Bonding Program'!$Z$16,0)+IF(AND('Bonding Program'!$P$16&lt;&gt;"",AN$3='Bonding Program'!$P$16,AN$3&lt;='Bonding Program'!$C$8),N('Bonding Program'!$O$16),0)</f>
        <v>0</v>
      </c>
      <c r="AO157" s="19" t="n">
        <f aca="false">IF(AND('Bonding Program'!$S$16=1,'Bonding Program'!$H$16&gt;'Bonding Program'!$C$8,AO$3='Bonding Program'!$H$16),'Bonding Program'!$T$16-'Bonding Program'!$U$16-'Bonding Program'!$Z$16,0)-IF(AND('Bonding Program'!$S$16=1,'Bonding Program'!$H$16&lt;='Bonding Program'!$C$8,AO$3=IF('Bonding Program'!$P$16&lt;&gt;"",'Bonding Program'!$P$16,'Bonding Program'!$C$8)),'Bonding Program'!$Z$16,0)+IF(AND('Bonding Program'!$P$16&lt;&gt;"",AO$3='Bonding Program'!$P$16,AO$3&lt;='Bonding Program'!$C$8),N('Bonding Program'!$O$16),0)</f>
        <v>0</v>
      </c>
      <c r="AP157" s="19" t="n">
        <f aca="false">IF(AND('Bonding Program'!$S$16=1,'Bonding Program'!$H$16&gt;'Bonding Program'!$C$8,AP$3='Bonding Program'!$H$16),'Bonding Program'!$T$16-'Bonding Program'!$U$16-'Bonding Program'!$Z$16,0)-IF(AND('Bonding Program'!$S$16=1,'Bonding Program'!$H$16&lt;='Bonding Program'!$C$8,AP$3=IF('Bonding Program'!$P$16&lt;&gt;"",'Bonding Program'!$P$16,'Bonding Program'!$C$8)),'Bonding Program'!$Z$16,0)+IF(AND('Bonding Program'!$P$16&lt;&gt;"",AP$3='Bonding Program'!$P$16,AP$3&lt;='Bonding Program'!$C$8),N('Bonding Program'!$O$16),0)</f>
        <v>0</v>
      </c>
      <c r="AQ157" s="19" t="n">
        <f aca="false">IF(AND('Bonding Program'!$S$16=1,'Bonding Program'!$H$16&gt;'Bonding Program'!$C$8,AQ$3='Bonding Program'!$H$16),'Bonding Program'!$T$16-'Bonding Program'!$U$16-'Bonding Program'!$Z$16,0)-IF(AND('Bonding Program'!$S$16=1,'Bonding Program'!$H$16&lt;='Bonding Program'!$C$8,AQ$3=IF('Bonding Program'!$P$16&lt;&gt;"",'Bonding Program'!$P$16,'Bonding Program'!$C$8)),'Bonding Program'!$Z$16,0)+IF(AND('Bonding Program'!$P$16&lt;&gt;"",AQ$3='Bonding Program'!$P$16,AQ$3&lt;='Bonding Program'!$C$8),N('Bonding Program'!$O$16),0)</f>
        <v>0</v>
      </c>
      <c r="AR157" s="19" t="n">
        <f aca="false">IF(AND('Bonding Program'!$S$16=1,'Bonding Program'!$H$16&gt;'Bonding Program'!$C$8,AR$3='Bonding Program'!$H$16),'Bonding Program'!$T$16-'Bonding Program'!$U$16-'Bonding Program'!$Z$16,0)-IF(AND('Bonding Program'!$S$16=1,'Bonding Program'!$H$16&lt;='Bonding Program'!$C$8,AR$3=IF('Bonding Program'!$P$16&lt;&gt;"",'Bonding Program'!$P$16,'Bonding Program'!$C$8)),'Bonding Program'!$Z$16,0)+IF(AND('Bonding Program'!$P$16&lt;&gt;"",AR$3='Bonding Program'!$P$16,AR$3&lt;='Bonding Program'!$C$8),N('Bonding Program'!$O$16),0)</f>
        <v>0</v>
      </c>
      <c r="AS157" s="19" t="n">
        <f aca="false">IF(AND('Bonding Program'!$S$16=1,'Bonding Program'!$H$16&gt;'Bonding Program'!$C$8,AS$3='Bonding Program'!$H$16),'Bonding Program'!$T$16-'Bonding Program'!$U$16-'Bonding Program'!$Z$16,0)-IF(AND('Bonding Program'!$S$16=1,'Bonding Program'!$H$16&lt;='Bonding Program'!$C$8,AS$3=IF('Bonding Program'!$P$16&lt;&gt;"",'Bonding Program'!$P$16,'Bonding Program'!$C$8)),'Bonding Program'!$Z$16,0)+IF(AND('Bonding Program'!$P$16&lt;&gt;"",AS$3='Bonding Program'!$P$16,AS$3&lt;='Bonding Program'!$C$8),N('Bonding Program'!$O$16),0)</f>
        <v>0</v>
      </c>
      <c r="AT157" s="19" t="n">
        <f aca="false">IF(AND('Bonding Program'!$S$16=1,'Bonding Program'!$H$16&gt;'Bonding Program'!$C$8,AT$3='Bonding Program'!$H$16),'Bonding Program'!$T$16-'Bonding Program'!$U$16-'Bonding Program'!$Z$16,0)-IF(AND('Bonding Program'!$S$16=1,'Bonding Program'!$H$16&lt;='Bonding Program'!$C$8,AT$3=IF('Bonding Program'!$P$16&lt;&gt;"",'Bonding Program'!$P$16,'Bonding Program'!$C$8)),'Bonding Program'!$Z$16,0)+IF(AND('Bonding Program'!$P$16&lt;&gt;"",AT$3='Bonding Program'!$P$16,AT$3&lt;='Bonding Program'!$C$8),N('Bonding Program'!$O$16),0)</f>
        <v>0</v>
      </c>
      <c r="AU157" s="19" t="n">
        <f aca="false">IF(AND('Bonding Program'!$S$16=1,'Bonding Program'!$H$16&gt;'Bonding Program'!$C$8,AU$3='Bonding Program'!$H$16),'Bonding Program'!$T$16-'Bonding Program'!$U$16-'Bonding Program'!$Z$16,0)-IF(AND('Bonding Program'!$S$16=1,'Bonding Program'!$H$16&lt;='Bonding Program'!$C$8,AU$3=IF('Bonding Program'!$P$16&lt;&gt;"",'Bonding Program'!$P$16,'Bonding Program'!$C$8)),'Bonding Program'!$Z$16,0)+IF(AND('Bonding Program'!$P$16&lt;&gt;"",AU$3='Bonding Program'!$P$16,AU$3&lt;='Bonding Program'!$C$8),N('Bonding Program'!$O$16),0)</f>
        <v>0</v>
      </c>
      <c r="AV157" s="19" t="n">
        <f aca="false">IF(AND('Bonding Program'!$S$16=1,'Bonding Program'!$H$16&gt;'Bonding Program'!$C$8,AV$3='Bonding Program'!$H$16),'Bonding Program'!$T$16-'Bonding Program'!$U$16-'Bonding Program'!$Z$16,0)-IF(AND('Bonding Program'!$S$16=1,'Bonding Program'!$H$16&lt;='Bonding Program'!$C$8,AV$3=IF('Bonding Program'!$P$16&lt;&gt;"",'Bonding Program'!$P$16,'Bonding Program'!$C$8)),'Bonding Program'!$Z$16,0)+IF(AND('Bonding Program'!$P$16&lt;&gt;"",AV$3='Bonding Program'!$P$16,AV$3&lt;='Bonding Program'!$C$8),N('Bonding Program'!$O$16),0)</f>
        <v>0</v>
      </c>
      <c r="AW157" s="19" t="n">
        <f aca="false">IF(AND('Bonding Program'!$S$16=1,'Bonding Program'!$H$16&gt;'Bonding Program'!$C$8,AW$3='Bonding Program'!$H$16),'Bonding Program'!$T$16-'Bonding Program'!$U$16-'Bonding Program'!$Z$16,0)-IF(AND('Bonding Program'!$S$16=1,'Bonding Program'!$H$16&lt;='Bonding Program'!$C$8,AW$3=IF('Bonding Program'!$P$16&lt;&gt;"",'Bonding Program'!$P$16,'Bonding Program'!$C$8)),'Bonding Program'!$Z$16,0)+IF(AND('Bonding Program'!$P$16&lt;&gt;"",AW$3='Bonding Program'!$P$16,AW$3&lt;='Bonding Program'!$C$8),N('Bonding Program'!$O$16),0)</f>
        <v>0</v>
      </c>
      <c r="AX157" s="19" t="n">
        <f aca="false">IF(AND('Bonding Program'!$S$16=1,'Bonding Program'!$H$16&gt;'Bonding Program'!$C$8,AX$3='Bonding Program'!$H$16),'Bonding Program'!$T$16-'Bonding Program'!$U$16-'Bonding Program'!$Z$16,0)-IF(AND('Bonding Program'!$S$16=1,'Bonding Program'!$H$16&lt;='Bonding Program'!$C$8,AX$3=IF('Bonding Program'!$P$16&lt;&gt;"",'Bonding Program'!$P$16,'Bonding Program'!$C$8)),'Bonding Program'!$Z$16,0)+IF(AND('Bonding Program'!$P$16&lt;&gt;"",AX$3='Bonding Program'!$P$16,AX$3&lt;='Bonding Program'!$C$8),N('Bonding Program'!$O$16),0)</f>
        <v>0</v>
      </c>
      <c r="AY157" s="19" t="n">
        <f aca="false">IF(AND('Bonding Program'!$S$16=1,'Bonding Program'!$H$16&gt;'Bonding Program'!$C$8,AY$3='Bonding Program'!$H$16),'Bonding Program'!$T$16-'Bonding Program'!$U$16-'Bonding Program'!$Z$16,0)-IF(AND('Bonding Program'!$S$16=1,'Bonding Program'!$H$16&lt;='Bonding Program'!$C$8,AY$3=IF('Bonding Program'!$P$16&lt;&gt;"",'Bonding Program'!$P$16,'Bonding Program'!$C$8)),'Bonding Program'!$Z$16,0)+IF(AND('Bonding Program'!$P$16&lt;&gt;"",AY$3='Bonding Program'!$P$16,AY$3&lt;='Bonding Program'!$C$8),N('Bonding Program'!$O$16),0)</f>
        <v>0</v>
      </c>
      <c r="AZ157" s="19" t="n">
        <f aca="false">IF(AND('Bonding Program'!$S$16=1,'Bonding Program'!$H$16&gt;'Bonding Program'!$C$8,AZ$3='Bonding Program'!$H$16),'Bonding Program'!$T$16-'Bonding Program'!$U$16-'Bonding Program'!$Z$16,0)-IF(AND('Bonding Program'!$S$16=1,'Bonding Program'!$H$16&lt;='Bonding Program'!$C$8,AZ$3=IF('Bonding Program'!$P$16&lt;&gt;"",'Bonding Program'!$P$16,'Bonding Program'!$C$8)),'Bonding Program'!$Z$16,0)+IF(AND('Bonding Program'!$P$16&lt;&gt;"",AZ$3='Bonding Program'!$P$16,AZ$3&lt;='Bonding Program'!$C$8),N('Bonding Program'!$O$16),0)</f>
        <v>0</v>
      </c>
      <c r="BA157" s="19" t="n">
        <f aca="false">IF(AND('Bonding Program'!$S$16=1,'Bonding Program'!$H$16&gt;'Bonding Program'!$C$8,BA$3='Bonding Program'!$H$16),'Bonding Program'!$T$16-'Bonding Program'!$U$16-'Bonding Program'!$Z$16,0)-IF(AND('Bonding Program'!$S$16=1,'Bonding Program'!$H$16&lt;='Bonding Program'!$C$8,BA$3=IF('Bonding Program'!$P$16&lt;&gt;"",'Bonding Program'!$P$16,'Bonding Program'!$C$8)),'Bonding Program'!$Z$16,0)+IF(AND('Bonding Program'!$P$16&lt;&gt;"",BA$3='Bonding Program'!$P$16,BA$3&lt;='Bonding Program'!$C$8),N('Bonding Program'!$O$16),0)</f>
        <v>0</v>
      </c>
      <c r="BB157" s="19" t="n">
        <f aca="false">IF(AND('Bonding Program'!$S$16=1,'Bonding Program'!$H$16&gt;'Bonding Program'!$C$8,BB$3='Bonding Program'!$H$16),'Bonding Program'!$T$16-'Bonding Program'!$U$16-'Bonding Program'!$Z$16,0)-IF(AND('Bonding Program'!$S$16=1,'Bonding Program'!$H$16&lt;='Bonding Program'!$C$8,BB$3=IF('Bonding Program'!$P$16&lt;&gt;"",'Bonding Program'!$P$16,'Bonding Program'!$C$8)),'Bonding Program'!$Z$16,0)+IF(AND('Bonding Program'!$P$16&lt;&gt;"",BB$3='Bonding Program'!$P$16,BB$3&lt;='Bonding Program'!$C$8),N('Bonding Program'!$O$16),0)</f>
        <v>0</v>
      </c>
      <c r="BC157" s="19" t="n">
        <f aca="false">IF(AND('Bonding Program'!$S$16=1,'Bonding Program'!$H$16&gt;'Bonding Program'!$C$8,BC$3='Bonding Program'!$H$16),'Bonding Program'!$T$16-'Bonding Program'!$U$16-'Bonding Program'!$Z$16,0)-IF(AND('Bonding Program'!$S$16=1,'Bonding Program'!$H$16&lt;='Bonding Program'!$C$8,BC$3=IF('Bonding Program'!$P$16&lt;&gt;"",'Bonding Program'!$P$16,'Bonding Program'!$C$8)),'Bonding Program'!$Z$16,0)+IF(AND('Bonding Program'!$P$16&lt;&gt;"",BC$3='Bonding Program'!$P$16,BC$3&lt;='Bonding Program'!$C$8),N('Bonding Program'!$O$16),0)</f>
        <v>0</v>
      </c>
      <c r="BD157" s="19" t="n">
        <f aca="false">IF(AND('Bonding Program'!$S$16=1,'Bonding Program'!$H$16&gt;'Bonding Program'!$C$8,BD$3='Bonding Program'!$H$16),'Bonding Program'!$T$16-'Bonding Program'!$U$16-'Bonding Program'!$Z$16,0)-IF(AND('Bonding Program'!$S$16=1,'Bonding Program'!$H$16&lt;='Bonding Program'!$C$8,BD$3=IF('Bonding Program'!$P$16&lt;&gt;"",'Bonding Program'!$P$16,'Bonding Program'!$C$8)),'Bonding Program'!$Z$16,0)+IF(AND('Bonding Program'!$P$16&lt;&gt;"",BD$3='Bonding Program'!$P$16,BD$3&lt;='Bonding Program'!$C$8),N('Bonding Program'!$O$16),0)</f>
        <v>0</v>
      </c>
      <c r="BE157" s="19" t="n">
        <f aca="false">IF(AND('Bonding Program'!$S$16=1,'Bonding Program'!$H$16&gt;'Bonding Program'!$C$8,BE$3='Bonding Program'!$H$16),'Bonding Program'!$T$16-'Bonding Program'!$U$16-'Bonding Program'!$Z$16,0)-IF(AND('Bonding Program'!$S$16=1,'Bonding Program'!$H$16&lt;='Bonding Program'!$C$8,BE$3=IF('Bonding Program'!$P$16&lt;&gt;"",'Bonding Program'!$P$16,'Bonding Program'!$C$8)),'Bonding Program'!$Z$16,0)+IF(AND('Bonding Program'!$P$16&lt;&gt;"",BE$3='Bonding Program'!$P$16,BE$3&lt;='Bonding Program'!$C$8),N('Bonding Program'!$O$16),0)</f>
        <v>0</v>
      </c>
      <c r="BF157" s="19" t="n">
        <f aca="false">IF(AND('Bonding Program'!$S$16=1,'Bonding Program'!$H$16&gt;'Bonding Program'!$C$8,BF$3='Bonding Program'!$H$16),'Bonding Program'!$T$16-'Bonding Program'!$U$16-'Bonding Program'!$Z$16,0)-IF(AND('Bonding Program'!$S$16=1,'Bonding Program'!$H$16&lt;='Bonding Program'!$C$8,BF$3=IF('Bonding Program'!$P$16&lt;&gt;"",'Bonding Program'!$P$16,'Bonding Program'!$C$8)),'Bonding Program'!$Z$16,0)+IF(AND('Bonding Program'!$P$16&lt;&gt;"",BF$3='Bonding Program'!$P$16,BF$3&lt;='Bonding Program'!$C$8),N('Bonding Program'!$O$16),0)</f>
        <v>0</v>
      </c>
      <c r="BG157" s="19" t="n">
        <f aca="false">IF(AND('Bonding Program'!$S$16=1,'Bonding Program'!$H$16&gt;'Bonding Program'!$C$8,BG$3='Bonding Program'!$H$16),'Bonding Program'!$T$16-'Bonding Program'!$U$16-'Bonding Program'!$Z$16,0)-IF(AND('Bonding Program'!$S$16=1,'Bonding Program'!$H$16&lt;='Bonding Program'!$C$8,BG$3=IF('Bonding Program'!$P$16&lt;&gt;"",'Bonding Program'!$P$16,'Bonding Program'!$C$8)),'Bonding Program'!$Z$16,0)+IF(AND('Bonding Program'!$P$16&lt;&gt;"",BG$3='Bonding Program'!$P$16,BG$3&lt;='Bonding Program'!$C$8),N('Bonding Program'!$O$16),0)</f>
        <v>0</v>
      </c>
      <c r="BH157" s="19" t="n">
        <f aca="false">IF(AND('Bonding Program'!$S$16=1,'Bonding Program'!$H$16&gt;'Bonding Program'!$C$8,BH$3='Bonding Program'!$H$16),'Bonding Program'!$T$16-'Bonding Program'!$U$16-'Bonding Program'!$Z$16,0)-IF(AND('Bonding Program'!$S$16=1,'Bonding Program'!$H$16&lt;='Bonding Program'!$C$8,BH$3=IF('Bonding Program'!$P$16&lt;&gt;"",'Bonding Program'!$P$16,'Bonding Program'!$C$8)),'Bonding Program'!$Z$16,0)+IF(AND('Bonding Program'!$P$16&lt;&gt;"",BH$3='Bonding Program'!$P$16,BH$3&lt;='Bonding Program'!$C$8),N('Bonding Program'!$O$16),0)</f>
        <v>0</v>
      </c>
      <c r="BI157" s="19" t="n">
        <f aca="false">IF(AND('Bonding Program'!$S$16=1,'Bonding Program'!$H$16&gt;'Bonding Program'!$C$8,BI$3='Bonding Program'!$H$16),'Bonding Program'!$T$16-'Bonding Program'!$U$16-'Bonding Program'!$Z$16,0)-IF(AND('Bonding Program'!$S$16=1,'Bonding Program'!$H$16&lt;='Bonding Program'!$C$8,BI$3=IF('Bonding Program'!$P$16&lt;&gt;"",'Bonding Program'!$P$16,'Bonding Program'!$C$8)),'Bonding Program'!$Z$16,0)+IF(AND('Bonding Program'!$P$16&lt;&gt;"",BI$3='Bonding Program'!$P$16,BI$3&lt;='Bonding Program'!$C$8),N('Bonding Program'!$O$16),0)</f>
        <v>0</v>
      </c>
      <c r="BJ157" s="19" t="n">
        <f aca="false">IF(AND('Bonding Program'!$S$16=1,'Bonding Program'!$H$16&gt;'Bonding Program'!$C$8,BJ$3='Bonding Program'!$H$16),'Bonding Program'!$T$16-'Bonding Program'!$U$16-'Bonding Program'!$Z$16,0)-IF(AND('Bonding Program'!$S$16=1,'Bonding Program'!$H$16&lt;='Bonding Program'!$C$8,BJ$3=IF('Bonding Program'!$P$16&lt;&gt;"",'Bonding Program'!$P$16,'Bonding Program'!$C$8)),'Bonding Program'!$Z$16,0)+IF(AND('Bonding Program'!$P$16&lt;&gt;"",BJ$3='Bonding Program'!$P$16,BJ$3&lt;='Bonding Program'!$C$8),N('Bonding Program'!$O$16),0)</f>
        <v>0</v>
      </c>
      <c r="BK157" s="19" t="n">
        <f aca="false">IF(AND('Bonding Program'!$S$16=1,'Bonding Program'!$H$16&gt;'Bonding Program'!$C$8,BK$3='Bonding Program'!$H$16),'Bonding Program'!$T$16-'Bonding Program'!$U$16-'Bonding Program'!$Z$16,0)-IF(AND('Bonding Program'!$S$16=1,'Bonding Program'!$H$16&lt;='Bonding Program'!$C$8,BK$3=IF('Bonding Program'!$P$16&lt;&gt;"",'Bonding Program'!$P$16,'Bonding Program'!$C$8)),'Bonding Program'!$Z$16,0)+IF(AND('Bonding Program'!$P$16&lt;&gt;"",BK$3='Bonding Program'!$P$16,BK$3&lt;='Bonding Program'!$C$8),N('Bonding Program'!$O$16),0)</f>
        <v>0</v>
      </c>
      <c r="BL157" s="19" t="n">
        <f aca="false">IF(AND('Bonding Program'!$S$16=1,'Bonding Program'!$H$16&gt;'Bonding Program'!$C$8,BL$3='Bonding Program'!$H$16),'Bonding Program'!$T$16-'Bonding Program'!$U$16-'Bonding Program'!$Z$16,0)-IF(AND('Bonding Program'!$S$16=1,'Bonding Program'!$H$16&lt;='Bonding Program'!$C$8,BL$3=IF('Bonding Program'!$P$16&lt;&gt;"",'Bonding Program'!$P$16,'Bonding Program'!$C$8)),'Bonding Program'!$Z$16,0)+IF(AND('Bonding Program'!$P$16&lt;&gt;"",BL$3='Bonding Program'!$P$16,BL$3&lt;='Bonding Program'!$C$8),N('Bonding Program'!$O$16),0)</f>
        <v>0</v>
      </c>
      <c r="BM157" s="19" t="n">
        <f aca="false">IF(AND('Bonding Program'!$S$16=1,'Bonding Program'!$H$16&gt;'Bonding Program'!$C$8,BM$3='Bonding Program'!$H$16),'Bonding Program'!$T$16-'Bonding Program'!$U$16-'Bonding Program'!$Z$16,0)-IF(AND('Bonding Program'!$S$16=1,'Bonding Program'!$H$16&lt;='Bonding Program'!$C$8,BM$3=IF('Bonding Program'!$P$16&lt;&gt;"",'Bonding Program'!$P$16,'Bonding Program'!$C$8)),'Bonding Program'!$Z$16,0)+IF(AND('Bonding Program'!$P$16&lt;&gt;"",BM$3='Bonding Program'!$P$16,BM$3&lt;='Bonding Program'!$C$8),N('Bonding Program'!$O$16),0)</f>
        <v>0</v>
      </c>
      <c r="BN157" s="19" t="n">
        <f aca="false">IF(AND('Bonding Program'!$S$16=1,'Bonding Program'!$H$16&gt;'Bonding Program'!$C$8,BN$3='Bonding Program'!$H$16),'Bonding Program'!$T$16-'Bonding Program'!$U$16-'Bonding Program'!$Z$16,0)-IF(AND('Bonding Program'!$S$16=1,'Bonding Program'!$H$16&lt;='Bonding Program'!$C$8,BN$3=IF('Bonding Program'!$P$16&lt;&gt;"",'Bonding Program'!$P$16,'Bonding Program'!$C$8)),'Bonding Program'!$Z$16,0)+IF(AND('Bonding Program'!$P$16&lt;&gt;"",BN$3='Bonding Program'!$P$16,BN$3&lt;='Bonding Program'!$C$8),N('Bonding Program'!$O$16),0)</f>
        <v>0</v>
      </c>
      <c r="BO157" s="19" t="n">
        <f aca="false">IF(AND('Bonding Program'!$S$16=1,'Bonding Program'!$H$16&gt;'Bonding Program'!$C$8,BO$3='Bonding Program'!$H$16),'Bonding Program'!$T$16-'Bonding Program'!$U$16-'Bonding Program'!$Z$16,0)-IF(AND('Bonding Program'!$S$16=1,'Bonding Program'!$H$16&lt;='Bonding Program'!$C$8,BO$3=IF('Bonding Program'!$P$16&lt;&gt;"",'Bonding Program'!$P$16,'Bonding Program'!$C$8)),'Bonding Program'!$Z$16,0)+IF(AND('Bonding Program'!$P$16&lt;&gt;"",BO$3='Bonding Program'!$P$16,BO$3&lt;='Bonding Program'!$C$8),N('Bonding Program'!$O$16),0)</f>
        <v>0</v>
      </c>
      <c r="BP157" s="19" t="n">
        <f aca="false">IF(AND('Bonding Program'!$S$16=1,'Bonding Program'!$H$16&gt;'Bonding Program'!$C$8,BP$3='Bonding Program'!$H$16),'Bonding Program'!$T$16-'Bonding Program'!$U$16-'Bonding Program'!$Z$16,0)-IF(AND('Bonding Program'!$S$16=1,'Bonding Program'!$H$16&lt;='Bonding Program'!$C$8,BP$3=IF('Bonding Program'!$P$16&lt;&gt;"",'Bonding Program'!$P$16,'Bonding Program'!$C$8)),'Bonding Program'!$Z$16,0)+IF(AND('Bonding Program'!$P$16&lt;&gt;"",BP$3='Bonding Program'!$P$16,BP$3&lt;='Bonding Program'!$C$8),N('Bonding Program'!$O$16),0)</f>
        <v>0</v>
      </c>
      <c r="BQ157" s="19" t="n">
        <f aca="false">IF(AND('Bonding Program'!$S$16=1,'Bonding Program'!$H$16&gt;'Bonding Program'!$C$8,BQ$3='Bonding Program'!$H$16),'Bonding Program'!$T$16-'Bonding Program'!$U$16-'Bonding Program'!$Z$16,0)-IF(AND('Bonding Program'!$S$16=1,'Bonding Program'!$H$16&lt;='Bonding Program'!$C$8,BQ$3=IF('Bonding Program'!$P$16&lt;&gt;"",'Bonding Program'!$P$16,'Bonding Program'!$C$8)),'Bonding Program'!$Z$16,0)+IF(AND('Bonding Program'!$P$16&lt;&gt;"",BQ$3='Bonding Program'!$P$16,BQ$3&lt;='Bonding Program'!$C$8),N('Bonding Program'!$O$16),0)</f>
        <v>0</v>
      </c>
      <c r="BR157" s="19" t="n">
        <f aca="false">IF(AND('Bonding Program'!$S$16=1,'Bonding Program'!$H$16&gt;'Bonding Program'!$C$8,BR$3='Bonding Program'!$H$16),'Bonding Program'!$T$16-'Bonding Program'!$U$16-'Bonding Program'!$Z$16,0)-IF(AND('Bonding Program'!$S$16=1,'Bonding Program'!$H$16&lt;='Bonding Program'!$C$8,BR$3=IF('Bonding Program'!$P$16&lt;&gt;"",'Bonding Program'!$P$16,'Bonding Program'!$C$8)),'Bonding Program'!$Z$16,0)+IF(AND('Bonding Program'!$P$16&lt;&gt;"",BR$3='Bonding Program'!$P$16,BR$3&lt;='Bonding Program'!$C$8),N('Bonding Program'!$O$16),0)</f>
        <v>0</v>
      </c>
      <c r="BS157" s="19" t="n">
        <f aca="false">IF(AND('Bonding Program'!$S$16=1,'Bonding Program'!$H$16&gt;'Bonding Program'!$C$8,BS$3='Bonding Program'!$H$16),'Bonding Program'!$T$16-'Bonding Program'!$U$16-'Bonding Program'!$Z$16,0)-IF(AND('Bonding Program'!$S$16=1,'Bonding Program'!$H$16&lt;='Bonding Program'!$C$8,BS$3=IF('Bonding Program'!$P$16&lt;&gt;"",'Bonding Program'!$P$16,'Bonding Program'!$C$8)),'Bonding Program'!$Z$16,0)+IF(AND('Bonding Program'!$P$16&lt;&gt;"",BS$3='Bonding Program'!$P$16,BS$3&lt;='Bonding Program'!$C$8),N('Bonding Program'!$O$16),0)</f>
        <v>0</v>
      </c>
      <c r="BT157" s="19" t="n">
        <f aca="false">IF(AND('Bonding Program'!$S$16=1,'Bonding Program'!$H$16&gt;'Bonding Program'!$C$8,BT$3='Bonding Program'!$H$16),'Bonding Program'!$T$16-'Bonding Program'!$U$16-'Bonding Program'!$Z$16,0)-IF(AND('Bonding Program'!$S$16=1,'Bonding Program'!$H$16&lt;='Bonding Program'!$C$8,BT$3=IF('Bonding Program'!$P$16&lt;&gt;"",'Bonding Program'!$P$16,'Bonding Program'!$C$8)),'Bonding Program'!$Z$16,0)+IF(AND('Bonding Program'!$P$16&lt;&gt;"",BT$3='Bonding Program'!$P$16,BT$3&lt;='Bonding Program'!$C$8),N('Bonding Program'!$O$16),0)</f>
        <v>0</v>
      </c>
      <c r="BU157" s="19" t="n">
        <f aca="false">IF(AND('Bonding Program'!$S$16=1,'Bonding Program'!$H$16&gt;'Bonding Program'!$C$8,BU$3='Bonding Program'!$H$16),'Bonding Program'!$T$16-'Bonding Program'!$U$16-'Bonding Program'!$Z$16,0)-IF(AND('Bonding Program'!$S$16=1,'Bonding Program'!$H$16&lt;='Bonding Program'!$C$8,BU$3=IF('Bonding Program'!$P$16&lt;&gt;"",'Bonding Program'!$P$16,'Bonding Program'!$C$8)),'Bonding Program'!$Z$16,0)+IF(AND('Bonding Program'!$P$16&lt;&gt;"",BU$3='Bonding Program'!$P$16,BU$3&lt;='Bonding Program'!$C$8),N('Bonding Program'!$O$16),0)</f>
        <v>0</v>
      </c>
      <c r="BV157" s="19" t="n">
        <f aca="false">IF(AND('Bonding Program'!$S$16=1,'Bonding Program'!$H$16&gt;'Bonding Program'!$C$8,BV$3='Bonding Program'!$H$16),'Bonding Program'!$T$16-'Bonding Program'!$U$16-'Bonding Program'!$Z$16,0)-IF(AND('Bonding Program'!$S$16=1,'Bonding Program'!$H$16&lt;='Bonding Program'!$C$8,BV$3=IF('Bonding Program'!$P$16&lt;&gt;"",'Bonding Program'!$P$16,'Bonding Program'!$C$8)),'Bonding Program'!$Z$16,0)+IF(AND('Bonding Program'!$P$16&lt;&gt;"",BV$3='Bonding Program'!$P$16,BV$3&lt;='Bonding Program'!$C$8),N('Bonding Program'!$O$16),0)</f>
        <v>0</v>
      </c>
      <c r="BW157" s="19" t="n">
        <f aca="false">IF(AND('Bonding Program'!$S$16=1,'Bonding Program'!$H$16&gt;'Bonding Program'!$C$8,BW$3='Bonding Program'!$H$16),'Bonding Program'!$T$16-'Bonding Program'!$U$16-'Bonding Program'!$Z$16,0)-IF(AND('Bonding Program'!$S$16=1,'Bonding Program'!$H$16&lt;='Bonding Program'!$C$8,BW$3=IF('Bonding Program'!$P$16&lt;&gt;"",'Bonding Program'!$P$16,'Bonding Program'!$C$8)),'Bonding Program'!$Z$16,0)+IF(AND('Bonding Program'!$P$16&lt;&gt;"",BW$3='Bonding Program'!$P$16,BW$3&lt;='Bonding Program'!$C$8),N('Bonding Program'!$O$16),0)</f>
        <v>0</v>
      </c>
      <c r="BX157" s="19" t="n">
        <f aca="false">IF(AND('Bonding Program'!$S$16=1,'Bonding Program'!$H$16&gt;'Bonding Program'!$C$8,BX$3='Bonding Program'!$H$16),'Bonding Program'!$T$16-'Bonding Program'!$U$16-'Bonding Program'!$Z$16,0)-IF(AND('Bonding Program'!$S$16=1,'Bonding Program'!$H$16&lt;='Bonding Program'!$C$8,BX$3=IF('Bonding Program'!$P$16&lt;&gt;"",'Bonding Program'!$P$16,'Bonding Program'!$C$8)),'Bonding Program'!$Z$16,0)+IF(AND('Bonding Program'!$P$16&lt;&gt;"",BX$3='Bonding Program'!$P$16,BX$3&lt;='Bonding Program'!$C$8),N('Bonding Program'!$O$16),0)</f>
        <v>0</v>
      </c>
      <c r="BY157" s="19" t="n">
        <f aca="false">IF(AND('Bonding Program'!$S$16=1,'Bonding Program'!$H$16&gt;'Bonding Program'!$C$8,BY$3='Bonding Program'!$H$16),'Bonding Program'!$T$16-'Bonding Program'!$U$16-'Bonding Program'!$Z$16,0)-IF(AND('Bonding Program'!$S$16=1,'Bonding Program'!$H$16&lt;='Bonding Program'!$C$8,BY$3=IF('Bonding Program'!$P$16&lt;&gt;"",'Bonding Program'!$P$16,'Bonding Program'!$C$8)),'Bonding Program'!$Z$16,0)+IF(AND('Bonding Program'!$P$16&lt;&gt;"",BY$3='Bonding Program'!$P$16,BY$3&lt;='Bonding Program'!$C$8),N('Bonding Program'!$O$16),0)</f>
        <v>0</v>
      </c>
      <c r="BZ157" s="19" t="n">
        <f aca="false">IF(AND('Bonding Program'!$S$16=1,'Bonding Program'!$H$16&gt;'Bonding Program'!$C$8,BZ$3='Bonding Program'!$H$16),'Bonding Program'!$T$16-'Bonding Program'!$U$16-'Bonding Program'!$Z$16,0)-IF(AND('Bonding Program'!$S$16=1,'Bonding Program'!$H$16&lt;='Bonding Program'!$C$8,BZ$3=IF('Bonding Program'!$P$16&lt;&gt;"",'Bonding Program'!$P$16,'Bonding Program'!$C$8)),'Bonding Program'!$Z$16,0)+IF(AND('Bonding Program'!$P$16&lt;&gt;"",BZ$3='Bonding Program'!$P$16,BZ$3&lt;='Bonding Program'!$C$8),N('Bonding Program'!$O$16),0)</f>
        <v>0</v>
      </c>
      <c r="CA157" s="19" t="n">
        <f aca="false">IF(AND('Bonding Program'!$S$16=1,'Bonding Program'!$H$16&gt;'Bonding Program'!$C$8,CA$3='Bonding Program'!$H$16),'Bonding Program'!$T$16-'Bonding Program'!$U$16-'Bonding Program'!$Z$16,0)-IF(AND('Bonding Program'!$S$16=1,'Bonding Program'!$H$16&lt;='Bonding Program'!$C$8,CA$3=IF('Bonding Program'!$P$16&lt;&gt;"",'Bonding Program'!$P$16,'Bonding Program'!$C$8)),'Bonding Program'!$Z$16,0)+IF(AND('Bonding Program'!$P$16&lt;&gt;"",CA$3='Bonding Program'!$P$16,CA$3&lt;='Bonding Program'!$C$8),N('Bonding Program'!$O$16),0)</f>
        <v>0</v>
      </c>
      <c r="CB157" s="19" t="n">
        <f aca="false">IF(AND('Bonding Program'!$S$16=1,'Bonding Program'!$H$16&gt;'Bonding Program'!$C$8,CB$3='Bonding Program'!$H$16),'Bonding Program'!$T$16-'Bonding Program'!$U$16-'Bonding Program'!$Z$16,0)-IF(AND('Bonding Program'!$S$16=1,'Bonding Program'!$H$16&lt;='Bonding Program'!$C$8,CB$3=IF('Bonding Program'!$P$16&lt;&gt;"",'Bonding Program'!$P$16,'Bonding Program'!$C$8)),'Bonding Program'!$Z$16,0)+IF(AND('Bonding Program'!$P$16&lt;&gt;"",CB$3='Bonding Program'!$P$16,CB$3&lt;='Bonding Program'!$C$8),N('Bonding Program'!$O$16),0)</f>
        <v>0</v>
      </c>
      <c r="CC157" s="19" t="n">
        <f aca="false">IF(AND('Bonding Program'!$S$16=1,'Bonding Program'!$H$16&gt;'Bonding Program'!$C$8,CC$3='Bonding Program'!$H$16),'Bonding Program'!$T$16-'Bonding Program'!$U$16-'Bonding Program'!$Z$16,0)-IF(AND('Bonding Program'!$S$16=1,'Bonding Program'!$H$16&lt;='Bonding Program'!$C$8,CC$3=IF('Bonding Program'!$P$16&lt;&gt;"",'Bonding Program'!$P$16,'Bonding Program'!$C$8)),'Bonding Program'!$Z$16,0)+IF(AND('Bonding Program'!$P$16&lt;&gt;"",CC$3='Bonding Program'!$P$16,CC$3&lt;='Bonding Program'!$C$8),N('Bonding Program'!$O$16),0)</f>
        <v>0</v>
      </c>
      <c r="CD157" s="19" t="n">
        <f aca="false">IF(AND('Bonding Program'!$S$16=1,'Bonding Program'!$H$16&gt;'Bonding Program'!$C$8,CD$3='Bonding Program'!$H$16),'Bonding Program'!$T$16-'Bonding Program'!$U$16-'Bonding Program'!$Z$16,0)-IF(AND('Bonding Program'!$S$16=1,'Bonding Program'!$H$16&lt;='Bonding Program'!$C$8,CD$3=IF('Bonding Program'!$P$16&lt;&gt;"",'Bonding Program'!$P$16,'Bonding Program'!$C$8)),'Bonding Program'!$Z$16,0)+IF(AND('Bonding Program'!$P$16&lt;&gt;"",CD$3='Bonding Program'!$P$16,CD$3&lt;='Bonding Program'!$C$8),N('Bonding Program'!$O$16),0)</f>
        <v>0</v>
      </c>
      <c r="CE157" s="19" t="n">
        <f aca="false">IF(AND('Bonding Program'!$S$16=1,'Bonding Program'!$H$16&gt;'Bonding Program'!$C$8,CE$3='Bonding Program'!$H$16),'Bonding Program'!$T$16-'Bonding Program'!$U$16-'Bonding Program'!$Z$16,0)-IF(AND('Bonding Program'!$S$16=1,'Bonding Program'!$H$16&lt;='Bonding Program'!$C$8,CE$3=IF('Bonding Program'!$P$16&lt;&gt;"",'Bonding Program'!$P$16,'Bonding Program'!$C$8)),'Bonding Program'!$Z$16,0)+IF(AND('Bonding Program'!$P$16&lt;&gt;"",CE$3='Bonding Program'!$P$16,CE$3&lt;='Bonding Program'!$C$8),N('Bonding Program'!$O$16),0)</f>
        <v>0</v>
      </c>
      <c r="CF157" s="19" t="n">
        <f aca="false">IF(AND('Bonding Program'!$S$16=1,'Bonding Program'!$H$16&gt;'Bonding Program'!$C$8,CF$3='Bonding Program'!$H$16),'Bonding Program'!$T$16-'Bonding Program'!$U$16-'Bonding Program'!$Z$16,0)-IF(AND('Bonding Program'!$S$16=1,'Bonding Program'!$H$16&lt;='Bonding Program'!$C$8,CF$3=IF('Bonding Program'!$P$16&lt;&gt;"",'Bonding Program'!$P$16,'Bonding Program'!$C$8)),'Bonding Program'!$Z$16,0)+IF(AND('Bonding Program'!$P$16&lt;&gt;"",CF$3='Bonding Program'!$P$16,CF$3&lt;='Bonding Program'!$C$8),N('Bonding Program'!$O$16),0)</f>
        <v>0</v>
      </c>
      <c r="CG157" s="19" t="n">
        <f aca="false">IF(AND('Bonding Program'!$S$16=1,'Bonding Program'!$H$16&gt;'Bonding Program'!$C$8,CG$3='Bonding Program'!$H$16),'Bonding Program'!$T$16-'Bonding Program'!$U$16-'Bonding Program'!$Z$16,0)-IF(AND('Bonding Program'!$S$16=1,'Bonding Program'!$H$16&lt;='Bonding Program'!$C$8,CG$3=IF('Bonding Program'!$P$16&lt;&gt;"",'Bonding Program'!$P$16,'Bonding Program'!$C$8)),'Bonding Program'!$Z$16,0)+IF(AND('Bonding Program'!$P$16&lt;&gt;"",CG$3='Bonding Program'!$P$16,CG$3&lt;='Bonding Program'!$C$8),N('Bonding Program'!$O$16),0)</f>
        <v>0</v>
      </c>
      <c r="CH157" s="19" t="n">
        <f aca="false">IF(AND('Bonding Program'!$S$16=1,'Bonding Program'!$H$16&gt;'Bonding Program'!$C$8,CH$3='Bonding Program'!$H$16),'Bonding Program'!$T$16-'Bonding Program'!$U$16-'Bonding Program'!$Z$16,0)-IF(AND('Bonding Program'!$S$16=1,'Bonding Program'!$H$16&lt;='Bonding Program'!$C$8,CH$3=IF('Bonding Program'!$P$16&lt;&gt;"",'Bonding Program'!$P$16,'Bonding Program'!$C$8)),'Bonding Program'!$Z$16,0)+IF(AND('Bonding Program'!$P$16&lt;&gt;"",CH$3='Bonding Program'!$P$16,CH$3&lt;='Bonding Program'!$C$8),N('Bonding Program'!$O$16),0)</f>
        <v>0</v>
      </c>
      <c r="CI157" s="19" t="n">
        <f aca="false">IF(AND('Bonding Program'!$S$16=1,'Bonding Program'!$H$16&gt;'Bonding Program'!$C$8,CI$3='Bonding Program'!$H$16),'Bonding Program'!$T$16-'Bonding Program'!$U$16-'Bonding Program'!$Z$16,0)-IF(AND('Bonding Program'!$S$16=1,'Bonding Program'!$H$16&lt;='Bonding Program'!$C$8,CI$3=IF('Bonding Program'!$P$16&lt;&gt;"",'Bonding Program'!$P$16,'Bonding Program'!$C$8)),'Bonding Program'!$Z$16,0)+IF(AND('Bonding Program'!$P$16&lt;&gt;"",CI$3='Bonding Program'!$P$16,CI$3&lt;='Bonding Program'!$C$8),N('Bonding Program'!$O$16),0)</f>
        <v>0</v>
      </c>
      <c r="CJ157" s="19" t="n">
        <f aca="false">IF(AND('Bonding Program'!$S$16=1,'Bonding Program'!$H$16&gt;'Bonding Program'!$C$8,CJ$3='Bonding Program'!$H$16),'Bonding Program'!$T$16-'Bonding Program'!$U$16-'Bonding Program'!$Z$16,0)-IF(AND('Bonding Program'!$S$16=1,'Bonding Program'!$H$16&lt;='Bonding Program'!$C$8,CJ$3=IF('Bonding Program'!$P$16&lt;&gt;"",'Bonding Program'!$P$16,'Bonding Program'!$C$8)),'Bonding Program'!$Z$16,0)+IF(AND('Bonding Program'!$P$16&lt;&gt;"",CJ$3='Bonding Program'!$P$16,CJ$3&lt;='Bonding Program'!$C$8),N('Bonding Program'!$O$16),0)</f>
        <v>0</v>
      </c>
      <c r="CK157" s="19" t="n">
        <f aca="false">IF(AND('Bonding Program'!$S$16=1,'Bonding Program'!$H$16&gt;'Bonding Program'!$C$8,CK$3='Bonding Program'!$H$16),'Bonding Program'!$T$16-'Bonding Program'!$U$16-'Bonding Program'!$Z$16,0)-IF(AND('Bonding Program'!$S$16=1,'Bonding Program'!$H$16&lt;='Bonding Program'!$C$8,CK$3=IF('Bonding Program'!$P$16&lt;&gt;"",'Bonding Program'!$P$16,'Bonding Program'!$C$8)),'Bonding Program'!$Z$16,0)+IF(AND('Bonding Program'!$P$16&lt;&gt;"",CK$3='Bonding Program'!$P$16,CK$3&lt;='Bonding Program'!$C$8),N('Bonding Program'!$O$16),0)</f>
        <v>0</v>
      </c>
      <c r="CL157" s="19" t="n">
        <f aca="false">IF(AND('Bonding Program'!$S$16=1,'Bonding Program'!$H$16&gt;'Bonding Program'!$C$8,CL$3='Bonding Program'!$H$16),'Bonding Program'!$T$16-'Bonding Program'!$U$16-'Bonding Program'!$Z$16,0)-IF(AND('Bonding Program'!$S$16=1,'Bonding Program'!$H$16&lt;='Bonding Program'!$C$8,CL$3=IF('Bonding Program'!$P$16&lt;&gt;"",'Bonding Program'!$P$16,'Bonding Program'!$C$8)),'Bonding Program'!$Z$16,0)+IF(AND('Bonding Program'!$P$16&lt;&gt;"",CL$3='Bonding Program'!$P$16,CL$3&lt;='Bonding Program'!$C$8),N('Bonding Program'!$O$16),0)</f>
        <v>0</v>
      </c>
      <c r="CM157" s="19" t="n">
        <f aca="false">IF(AND('Bonding Program'!$S$16=1,'Bonding Program'!$H$16&gt;'Bonding Program'!$C$8,CM$3='Bonding Program'!$H$16),'Bonding Program'!$T$16-'Bonding Program'!$U$16-'Bonding Program'!$Z$16,0)-IF(AND('Bonding Program'!$S$16=1,'Bonding Program'!$H$16&lt;='Bonding Program'!$C$8,CM$3=IF('Bonding Program'!$P$16&lt;&gt;"",'Bonding Program'!$P$16,'Bonding Program'!$C$8)),'Bonding Program'!$Z$16,0)+IF(AND('Bonding Program'!$P$16&lt;&gt;"",CM$3='Bonding Program'!$P$16,CM$3&lt;='Bonding Program'!$C$8),N('Bonding Program'!$O$16),0)</f>
        <v>0</v>
      </c>
      <c r="CN157" s="19" t="n">
        <f aca="false">IF(AND('Bonding Program'!$S$16=1,'Bonding Program'!$H$16&gt;'Bonding Program'!$C$8,CN$3='Bonding Program'!$H$16),'Bonding Program'!$T$16-'Bonding Program'!$U$16-'Bonding Program'!$Z$16,0)-IF(AND('Bonding Program'!$S$16=1,'Bonding Program'!$H$16&lt;='Bonding Program'!$C$8,CN$3=IF('Bonding Program'!$P$16&lt;&gt;"",'Bonding Program'!$P$16,'Bonding Program'!$C$8)),'Bonding Program'!$Z$16,0)+IF(AND('Bonding Program'!$P$16&lt;&gt;"",CN$3='Bonding Program'!$P$16,CN$3&lt;='Bonding Program'!$C$8),N('Bonding Program'!$O$16),0)</f>
        <v>0</v>
      </c>
      <c r="CO157" s="19" t="n">
        <f aca="false">IF(AND('Bonding Program'!$S$16=1,'Bonding Program'!$H$16&gt;'Bonding Program'!$C$8,CO$3='Bonding Program'!$H$16),'Bonding Program'!$T$16-'Bonding Program'!$U$16-'Bonding Program'!$Z$16,0)-IF(AND('Bonding Program'!$S$16=1,'Bonding Program'!$H$16&lt;='Bonding Program'!$C$8,CO$3=IF('Bonding Program'!$P$16&lt;&gt;"",'Bonding Program'!$P$16,'Bonding Program'!$C$8)),'Bonding Program'!$Z$16,0)+IF(AND('Bonding Program'!$P$16&lt;&gt;"",CO$3='Bonding Program'!$P$16,CO$3&lt;='Bonding Program'!$C$8),N('Bonding Program'!$O$16),0)</f>
        <v>0</v>
      </c>
      <c r="CP157" s="19" t="n">
        <f aca="false">IF(AND('Bonding Program'!$S$16=1,'Bonding Program'!$H$16&gt;'Bonding Program'!$C$8,CP$3='Bonding Program'!$H$16),'Bonding Program'!$T$16-'Bonding Program'!$U$16-'Bonding Program'!$Z$16,0)-IF(AND('Bonding Program'!$S$16=1,'Bonding Program'!$H$16&lt;='Bonding Program'!$C$8,CP$3=IF('Bonding Program'!$P$16&lt;&gt;"",'Bonding Program'!$P$16,'Bonding Program'!$C$8)),'Bonding Program'!$Z$16,0)+IF(AND('Bonding Program'!$P$16&lt;&gt;"",CP$3='Bonding Program'!$P$16,CP$3&lt;='Bonding Program'!$C$8),N('Bonding Program'!$O$16),0)</f>
        <v>0</v>
      </c>
      <c r="CQ157" s="19" t="n">
        <f aca="false">IF(AND('Bonding Program'!$S$16=1,'Bonding Program'!$H$16&gt;'Bonding Program'!$C$8,CQ$3='Bonding Program'!$H$16),'Bonding Program'!$T$16-'Bonding Program'!$U$16-'Bonding Program'!$Z$16,0)-IF(AND('Bonding Program'!$S$16=1,'Bonding Program'!$H$16&lt;='Bonding Program'!$C$8,CQ$3=IF('Bonding Program'!$P$16&lt;&gt;"",'Bonding Program'!$P$16,'Bonding Program'!$C$8)),'Bonding Program'!$Z$16,0)+IF(AND('Bonding Program'!$P$16&lt;&gt;"",CQ$3='Bonding Program'!$P$16,CQ$3&lt;='Bonding Program'!$C$8),N('Bonding Program'!$O$16),0)</f>
        <v>0</v>
      </c>
      <c r="CR157" s="19" t="n">
        <f aca="false">IF(AND('Bonding Program'!$S$16=1,'Bonding Program'!$H$16&gt;'Bonding Program'!$C$8,CR$3='Bonding Program'!$H$16),'Bonding Program'!$T$16-'Bonding Program'!$U$16-'Bonding Program'!$Z$16,0)-IF(AND('Bonding Program'!$S$16=1,'Bonding Program'!$H$16&lt;='Bonding Program'!$C$8,CR$3=IF('Bonding Program'!$P$16&lt;&gt;"",'Bonding Program'!$P$16,'Bonding Program'!$C$8)),'Bonding Program'!$Z$16,0)+IF(AND('Bonding Program'!$P$16&lt;&gt;"",CR$3='Bonding Program'!$P$16,CR$3&lt;='Bonding Program'!$C$8),N('Bonding Program'!$O$16),0)</f>
        <v>0</v>
      </c>
      <c r="CS157" s="19" t="n">
        <f aca="false">IF(AND('Bonding Program'!$S$16=1,'Bonding Program'!$H$16&gt;'Bonding Program'!$C$8,CS$3='Bonding Program'!$H$16),'Bonding Program'!$T$16-'Bonding Program'!$U$16-'Bonding Program'!$Z$16,0)-IF(AND('Bonding Program'!$S$16=1,'Bonding Program'!$H$16&lt;='Bonding Program'!$C$8,CS$3=IF('Bonding Program'!$P$16&lt;&gt;"",'Bonding Program'!$P$16,'Bonding Program'!$C$8)),'Bonding Program'!$Z$16,0)+IF(AND('Bonding Program'!$P$16&lt;&gt;"",CS$3='Bonding Program'!$P$16,CS$3&lt;='Bonding Program'!$C$8),N('Bonding Program'!$O$16),0)</f>
        <v>0</v>
      </c>
      <c r="CT157" s="19" t="n">
        <f aca="false">IF(AND('Bonding Program'!$S$16=1,'Bonding Program'!$H$16&gt;'Bonding Program'!$C$8,CT$3='Bonding Program'!$H$16),'Bonding Program'!$T$16-'Bonding Program'!$U$16-'Bonding Program'!$Z$16,0)-IF(AND('Bonding Program'!$S$16=1,'Bonding Program'!$H$16&lt;='Bonding Program'!$C$8,CT$3=IF('Bonding Program'!$P$16&lt;&gt;"",'Bonding Program'!$P$16,'Bonding Program'!$C$8)),'Bonding Program'!$Z$16,0)+IF(AND('Bonding Program'!$P$16&lt;&gt;"",CT$3='Bonding Program'!$P$16,CT$3&lt;='Bonding Program'!$C$8),N('Bonding Program'!$O$16),0)</f>
        <v>0</v>
      </c>
      <c r="CU157" s="19" t="n">
        <f aca="false">IF(AND('Bonding Program'!$S$16=1,'Bonding Program'!$H$16&gt;'Bonding Program'!$C$8,CU$3='Bonding Program'!$H$16),'Bonding Program'!$T$16-'Bonding Program'!$U$16-'Bonding Program'!$Z$16,0)-IF(AND('Bonding Program'!$S$16=1,'Bonding Program'!$H$16&lt;='Bonding Program'!$C$8,CU$3=IF('Bonding Program'!$P$16&lt;&gt;"",'Bonding Program'!$P$16,'Bonding Program'!$C$8)),'Bonding Program'!$Z$16,0)+IF(AND('Bonding Program'!$P$16&lt;&gt;"",CU$3='Bonding Program'!$P$16,CU$3&lt;='Bonding Program'!$C$8),N('Bonding Program'!$O$16),0)</f>
        <v>0</v>
      </c>
      <c r="CV157" s="19" t="n">
        <f aca="false">IF(AND('Bonding Program'!$S$16=1,'Bonding Program'!$H$16&gt;'Bonding Program'!$C$8,CV$3='Bonding Program'!$H$16),'Bonding Program'!$T$16-'Bonding Program'!$U$16-'Bonding Program'!$Z$16,0)-IF(AND('Bonding Program'!$S$16=1,'Bonding Program'!$H$16&lt;='Bonding Program'!$C$8,CV$3=IF('Bonding Program'!$P$16&lt;&gt;"",'Bonding Program'!$P$16,'Bonding Program'!$C$8)),'Bonding Program'!$Z$16,0)+IF(AND('Bonding Program'!$P$16&lt;&gt;"",CV$3='Bonding Program'!$P$16,CV$3&lt;='Bonding Program'!$C$8),N('Bonding Program'!$O$16),0)</f>
        <v>0</v>
      </c>
      <c r="CW157" s="19" t="n">
        <f aca="false">IF(AND('Bonding Program'!$S$16=1,'Bonding Program'!$H$16&gt;'Bonding Program'!$C$8,CW$3='Bonding Program'!$H$16),'Bonding Program'!$T$16-'Bonding Program'!$U$16-'Bonding Program'!$Z$16,0)-IF(AND('Bonding Program'!$S$16=1,'Bonding Program'!$H$16&lt;='Bonding Program'!$C$8,CW$3=IF('Bonding Program'!$P$16&lt;&gt;"",'Bonding Program'!$P$16,'Bonding Program'!$C$8)),'Bonding Program'!$Z$16,0)+IF(AND('Bonding Program'!$P$16&lt;&gt;"",CW$3='Bonding Program'!$P$16,CW$3&lt;='Bonding Program'!$C$8),N('Bonding Program'!$O$16),0)</f>
        <v>0</v>
      </c>
      <c r="CX157" s="19" t="n">
        <f aca="false">IF(AND('Bonding Program'!$S$16=1,'Bonding Program'!$H$16&gt;'Bonding Program'!$C$8,CX$3='Bonding Program'!$H$16),'Bonding Program'!$T$16-'Bonding Program'!$U$16-'Bonding Program'!$Z$16,0)-IF(AND('Bonding Program'!$S$16=1,'Bonding Program'!$H$16&lt;='Bonding Program'!$C$8,CX$3=IF('Bonding Program'!$P$16&lt;&gt;"",'Bonding Program'!$P$16,'Bonding Program'!$C$8)),'Bonding Program'!$Z$16,0)+IF(AND('Bonding Program'!$P$16&lt;&gt;"",CX$3='Bonding Program'!$P$16,CX$3&lt;='Bonding Program'!$C$8),N('Bonding Program'!$O$16),0)</f>
        <v>0</v>
      </c>
      <c r="CY157" s="19" t="n">
        <f aca="false">IF(AND('Bonding Program'!$S$16=1,'Bonding Program'!$H$16&gt;'Bonding Program'!$C$8,CY$3='Bonding Program'!$H$16),'Bonding Program'!$T$16-'Bonding Program'!$U$16-'Bonding Program'!$Z$16,0)-IF(AND('Bonding Program'!$S$16=1,'Bonding Program'!$H$16&lt;='Bonding Program'!$C$8,CY$3=IF('Bonding Program'!$P$16&lt;&gt;"",'Bonding Program'!$P$16,'Bonding Program'!$C$8)),'Bonding Program'!$Z$16,0)+IF(AND('Bonding Program'!$P$16&lt;&gt;"",CY$3='Bonding Program'!$P$16,CY$3&lt;='Bonding Program'!$C$8),N('Bonding Program'!$O$16),0)</f>
        <v>0</v>
      </c>
      <c r="CZ157" s="19" t="n">
        <f aca="false">IF(AND('Bonding Program'!$S$16=1,'Bonding Program'!$H$16&gt;'Bonding Program'!$C$8,CZ$3='Bonding Program'!$H$16),'Bonding Program'!$T$16-'Bonding Program'!$U$16-'Bonding Program'!$Z$16,0)-IF(AND('Bonding Program'!$S$16=1,'Bonding Program'!$H$16&lt;='Bonding Program'!$C$8,CZ$3=IF('Bonding Program'!$P$16&lt;&gt;"",'Bonding Program'!$P$16,'Bonding Program'!$C$8)),'Bonding Program'!$Z$16,0)+IF(AND('Bonding Program'!$P$16&lt;&gt;"",CZ$3='Bonding Program'!$P$16,CZ$3&lt;='Bonding Program'!$C$8),N('Bonding Program'!$O$16),0)</f>
        <v>0</v>
      </c>
      <c r="DA157" s="19" t="n">
        <f aca="false">IF(AND('Bonding Program'!$S$16=1,'Bonding Program'!$H$16&gt;'Bonding Program'!$C$8,DA$3='Bonding Program'!$H$16),'Bonding Program'!$T$16-'Bonding Program'!$U$16-'Bonding Program'!$Z$16,0)-IF(AND('Bonding Program'!$S$16=1,'Bonding Program'!$H$16&lt;='Bonding Program'!$C$8,DA$3=IF('Bonding Program'!$P$16&lt;&gt;"",'Bonding Program'!$P$16,'Bonding Program'!$C$8)),'Bonding Program'!$Z$16,0)+IF(AND('Bonding Program'!$P$16&lt;&gt;"",DA$3='Bonding Program'!$P$16,DA$3&lt;='Bonding Program'!$C$8),N('Bonding Program'!$O$16),0)</f>
        <v>0</v>
      </c>
      <c r="DB157" s="19" t="n">
        <f aca="false">IF(AND('Bonding Program'!$S$16=1,'Bonding Program'!$H$16&gt;'Bonding Program'!$C$8,DB$3='Bonding Program'!$H$16),'Bonding Program'!$T$16-'Bonding Program'!$U$16-'Bonding Program'!$Z$16,0)-IF(AND('Bonding Program'!$S$16=1,'Bonding Program'!$H$16&lt;='Bonding Program'!$C$8,DB$3=IF('Bonding Program'!$P$16&lt;&gt;"",'Bonding Program'!$P$16,'Bonding Program'!$C$8)),'Bonding Program'!$Z$16,0)+IF(AND('Bonding Program'!$P$16&lt;&gt;"",DB$3='Bonding Program'!$P$16,DB$3&lt;='Bonding Program'!$C$8),N('Bonding Program'!$O$16),0)</f>
        <v>0</v>
      </c>
      <c r="DC157" s="19" t="n">
        <f aca="false">IF(AND('Bonding Program'!$S$16=1,'Bonding Program'!$H$16&gt;'Bonding Program'!$C$8,DC$3='Bonding Program'!$H$16),'Bonding Program'!$T$16-'Bonding Program'!$U$16-'Bonding Program'!$Z$16,0)-IF(AND('Bonding Program'!$S$16=1,'Bonding Program'!$H$16&lt;='Bonding Program'!$C$8,DC$3=IF('Bonding Program'!$P$16&lt;&gt;"",'Bonding Program'!$P$16,'Bonding Program'!$C$8)),'Bonding Program'!$Z$16,0)+IF(AND('Bonding Program'!$P$16&lt;&gt;"",DC$3='Bonding Program'!$P$16,DC$3&lt;='Bonding Program'!$C$8),N('Bonding Program'!$O$16),0)</f>
        <v>0</v>
      </c>
      <c r="DD157" s="19" t="n">
        <f aca="false">IF(AND('Bonding Program'!$S$16=1,'Bonding Program'!$H$16&gt;'Bonding Program'!$C$8,DD$3='Bonding Program'!$H$16),'Bonding Program'!$T$16-'Bonding Program'!$U$16-'Bonding Program'!$Z$16,0)-IF(AND('Bonding Program'!$S$16=1,'Bonding Program'!$H$16&lt;='Bonding Program'!$C$8,DD$3=IF('Bonding Program'!$P$16&lt;&gt;"",'Bonding Program'!$P$16,'Bonding Program'!$C$8)),'Bonding Program'!$Z$16,0)+IF(AND('Bonding Program'!$P$16&lt;&gt;"",DD$3='Bonding Program'!$P$16,DD$3&lt;='Bonding Program'!$C$8),N('Bonding Program'!$O$16),0)</f>
        <v>0</v>
      </c>
      <c r="DE157" s="19" t="n">
        <f aca="false">IF(AND('Bonding Program'!$S$16=1,'Bonding Program'!$H$16&gt;'Bonding Program'!$C$8,DE$3='Bonding Program'!$H$16),'Bonding Program'!$T$16-'Bonding Program'!$U$16-'Bonding Program'!$Z$16,0)-IF(AND('Bonding Program'!$S$16=1,'Bonding Program'!$H$16&lt;='Bonding Program'!$C$8,DE$3=IF('Bonding Program'!$P$16&lt;&gt;"",'Bonding Program'!$P$16,'Bonding Program'!$C$8)),'Bonding Program'!$Z$16,0)+IF(AND('Bonding Program'!$P$16&lt;&gt;"",DE$3='Bonding Program'!$P$16,DE$3&lt;='Bonding Program'!$C$8),N('Bonding Program'!$O$16),0)</f>
        <v>0</v>
      </c>
    </row>
    <row r="158" customFormat="false" ht="15" hidden="false" customHeight="true" outlineLevel="1" collapsed="false">
      <c r="A158" s="28" t="s">
        <v>13</v>
      </c>
      <c r="B158" s="19" t="n">
        <f aca="false">IF(AND('Bonding Program'!$S$17=1,'Bonding Program'!$H$17&gt;'Bonding Program'!$C$8,B$3='Bonding Program'!$H$17),'Bonding Program'!$T$17-'Bonding Program'!$U$17-'Bonding Program'!$Z$17,0)-IF(AND('Bonding Program'!$S$17=1,'Bonding Program'!$H$17&lt;='Bonding Program'!$C$8,B$3=IF('Bonding Program'!$P$17&lt;&gt;"",'Bonding Program'!$P$17,'Bonding Program'!$C$8)),'Bonding Program'!$Z$17,0)+IF(AND('Bonding Program'!$P$17&lt;&gt;"",B$3='Bonding Program'!$P$17,B$3&lt;='Bonding Program'!$C$8),N('Bonding Program'!$O$17),0)</f>
        <v>0</v>
      </c>
      <c r="C158" s="19" t="n">
        <f aca="false">IF(AND('Bonding Program'!$S$17=1,'Bonding Program'!$H$17&gt;'Bonding Program'!$C$8,C$3='Bonding Program'!$H$17),'Bonding Program'!$T$17-'Bonding Program'!$U$17-'Bonding Program'!$Z$17,0)-IF(AND('Bonding Program'!$S$17=1,'Bonding Program'!$H$17&lt;='Bonding Program'!$C$8,C$3=IF('Bonding Program'!$P$17&lt;&gt;"",'Bonding Program'!$P$17,'Bonding Program'!$C$8)),'Bonding Program'!$Z$17,0)+IF(AND('Bonding Program'!$P$17&lt;&gt;"",C$3='Bonding Program'!$P$17,C$3&lt;='Bonding Program'!$C$8),N('Bonding Program'!$O$17),0)</f>
        <v>0</v>
      </c>
      <c r="D158" s="19" t="n">
        <f aca="false">IF(AND('Bonding Program'!$S$17=1,'Bonding Program'!$H$17&gt;'Bonding Program'!$C$8,D$3='Bonding Program'!$H$17),'Bonding Program'!$T$17-'Bonding Program'!$U$17-'Bonding Program'!$Z$17,0)-IF(AND('Bonding Program'!$S$17=1,'Bonding Program'!$H$17&lt;='Bonding Program'!$C$8,D$3=IF('Bonding Program'!$P$17&lt;&gt;"",'Bonding Program'!$P$17,'Bonding Program'!$C$8)),'Bonding Program'!$Z$17,0)+IF(AND('Bonding Program'!$P$17&lt;&gt;"",D$3='Bonding Program'!$P$17,D$3&lt;='Bonding Program'!$C$8),N('Bonding Program'!$O$17),0)</f>
        <v>0</v>
      </c>
      <c r="E158" s="19" t="n">
        <f aca="false">IF(AND('Bonding Program'!$S$17=1,'Bonding Program'!$H$17&gt;'Bonding Program'!$C$8,E$3='Bonding Program'!$H$17),'Bonding Program'!$T$17-'Bonding Program'!$U$17-'Bonding Program'!$Z$17,0)-IF(AND('Bonding Program'!$S$17=1,'Bonding Program'!$H$17&lt;='Bonding Program'!$C$8,E$3=IF('Bonding Program'!$P$17&lt;&gt;"",'Bonding Program'!$P$17,'Bonding Program'!$C$8)),'Bonding Program'!$Z$17,0)+IF(AND('Bonding Program'!$P$17&lt;&gt;"",E$3='Bonding Program'!$P$17,E$3&lt;='Bonding Program'!$C$8),N('Bonding Program'!$O$17),0)</f>
        <v>0</v>
      </c>
      <c r="F158" s="19" t="n">
        <f aca="false">IF(AND('Bonding Program'!$S$17=1,'Bonding Program'!$H$17&gt;'Bonding Program'!$C$8,F$3='Bonding Program'!$H$17),'Bonding Program'!$T$17-'Bonding Program'!$U$17-'Bonding Program'!$Z$17,0)-IF(AND('Bonding Program'!$S$17=1,'Bonding Program'!$H$17&lt;='Bonding Program'!$C$8,F$3=IF('Bonding Program'!$P$17&lt;&gt;"",'Bonding Program'!$P$17,'Bonding Program'!$C$8)),'Bonding Program'!$Z$17,0)+IF(AND('Bonding Program'!$P$17&lt;&gt;"",F$3='Bonding Program'!$P$17,F$3&lt;='Bonding Program'!$C$8),N('Bonding Program'!$O$17),0)</f>
        <v>0</v>
      </c>
      <c r="G158" s="19" t="n">
        <f aca="false">IF(AND('Bonding Program'!$S$17=1,'Bonding Program'!$H$17&gt;'Bonding Program'!$C$8,G$3='Bonding Program'!$H$17),'Bonding Program'!$T$17-'Bonding Program'!$U$17-'Bonding Program'!$Z$17,0)-IF(AND('Bonding Program'!$S$17=1,'Bonding Program'!$H$17&lt;='Bonding Program'!$C$8,G$3=IF('Bonding Program'!$P$17&lt;&gt;"",'Bonding Program'!$P$17,'Bonding Program'!$C$8)),'Bonding Program'!$Z$17,0)+IF(AND('Bonding Program'!$P$17&lt;&gt;"",G$3='Bonding Program'!$P$17,G$3&lt;='Bonding Program'!$C$8),N('Bonding Program'!$O$17),0)</f>
        <v>0</v>
      </c>
      <c r="H158" s="19" t="n">
        <f aca="false">IF(AND('Bonding Program'!$S$17=1,'Bonding Program'!$H$17&gt;'Bonding Program'!$C$8,H$3='Bonding Program'!$H$17),'Bonding Program'!$T$17-'Bonding Program'!$U$17-'Bonding Program'!$Z$17,0)-IF(AND('Bonding Program'!$S$17=1,'Bonding Program'!$H$17&lt;='Bonding Program'!$C$8,H$3=IF('Bonding Program'!$P$17&lt;&gt;"",'Bonding Program'!$P$17,'Bonding Program'!$C$8)),'Bonding Program'!$Z$17,0)+IF(AND('Bonding Program'!$P$17&lt;&gt;"",H$3='Bonding Program'!$P$17,H$3&lt;='Bonding Program'!$C$8),N('Bonding Program'!$O$17),0)</f>
        <v>0</v>
      </c>
      <c r="I158" s="19" t="n">
        <f aca="false">IF(AND('Bonding Program'!$S$17=1,'Bonding Program'!$H$17&gt;'Bonding Program'!$C$8,I$3='Bonding Program'!$H$17),'Bonding Program'!$T$17-'Bonding Program'!$U$17-'Bonding Program'!$Z$17,0)-IF(AND('Bonding Program'!$S$17=1,'Bonding Program'!$H$17&lt;='Bonding Program'!$C$8,I$3=IF('Bonding Program'!$P$17&lt;&gt;"",'Bonding Program'!$P$17,'Bonding Program'!$C$8)),'Bonding Program'!$Z$17,0)+IF(AND('Bonding Program'!$P$17&lt;&gt;"",I$3='Bonding Program'!$P$17,I$3&lt;='Bonding Program'!$C$8),N('Bonding Program'!$O$17),0)</f>
        <v>0</v>
      </c>
      <c r="J158" s="19" t="n">
        <f aca="false">IF(AND('Bonding Program'!$S$17=1,'Bonding Program'!$H$17&gt;'Bonding Program'!$C$8,J$3='Bonding Program'!$H$17),'Bonding Program'!$T$17-'Bonding Program'!$U$17-'Bonding Program'!$Z$17,0)-IF(AND('Bonding Program'!$S$17=1,'Bonding Program'!$H$17&lt;='Bonding Program'!$C$8,J$3=IF('Bonding Program'!$P$17&lt;&gt;"",'Bonding Program'!$P$17,'Bonding Program'!$C$8)),'Bonding Program'!$Z$17,0)+IF(AND('Bonding Program'!$P$17&lt;&gt;"",J$3='Bonding Program'!$P$17,J$3&lt;='Bonding Program'!$C$8),N('Bonding Program'!$O$17),0)</f>
        <v>-0.00162500009173527</v>
      </c>
      <c r="K158" s="19" t="n">
        <f aca="false">IF(AND('Bonding Program'!$S$17=1,'Bonding Program'!$H$17&gt;'Bonding Program'!$C$8,K$3='Bonding Program'!$H$17),'Bonding Program'!$T$17-'Bonding Program'!$U$17-'Bonding Program'!$Z$17,0)-IF(AND('Bonding Program'!$S$17=1,'Bonding Program'!$H$17&lt;='Bonding Program'!$C$8,K$3=IF('Bonding Program'!$P$17&lt;&gt;"",'Bonding Program'!$P$17,'Bonding Program'!$C$8)),'Bonding Program'!$Z$17,0)+IF(AND('Bonding Program'!$P$17&lt;&gt;"",K$3='Bonding Program'!$P$17,K$3&lt;='Bonding Program'!$C$8),N('Bonding Program'!$O$17),0)</f>
        <v>0</v>
      </c>
      <c r="L158" s="19" t="n">
        <f aca="false">IF(AND('Bonding Program'!$S$17=1,'Bonding Program'!$H$17&gt;'Bonding Program'!$C$8,L$3='Bonding Program'!$H$17),'Bonding Program'!$T$17-'Bonding Program'!$U$17-'Bonding Program'!$Z$17,0)-IF(AND('Bonding Program'!$S$17=1,'Bonding Program'!$H$17&lt;='Bonding Program'!$C$8,L$3=IF('Bonding Program'!$P$17&lt;&gt;"",'Bonding Program'!$P$17,'Bonding Program'!$C$8)),'Bonding Program'!$Z$17,0)+IF(AND('Bonding Program'!$P$17&lt;&gt;"",L$3='Bonding Program'!$P$17,L$3&lt;='Bonding Program'!$C$8),N('Bonding Program'!$O$17),0)</f>
        <v>0</v>
      </c>
      <c r="M158" s="19" t="n">
        <f aca="false">IF(AND('Bonding Program'!$S$17=1,'Bonding Program'!$H$17&gt;'Bonding Program'!$C$8,M$3='Bonding Program'!$H$17),'Bonding Program'!$T$17-'Bonding Program'!$U$17-'Bonding Program'!$Z$17,0)-IF(AND('Bonding Program'!$S$17=1,'Bonding Program'!$H$17&lt;='Bonding Program'!$C$8,M$3=IF('Bonding Program'!$P$17&lt;&gt;"",'Bonding Program'!$P$17,'Bonding Program'!$C$8)),'Bonding Program'!$Z$17,0)+IF(AND('Bonding Program'!$P$17&lt;&gt;"",M$3='Bonding Program'!$P$17,M$3&lt;='Bonding Program'!$C$8),N('Bonding Program'!$O$17),0)</f>
        <v>0</v>
      </c>
      <c r="N158" s="19" t="n">
        <f aca="false">IF(AND('Bonding Program'!$S$17=1,'Bonding Program'!$H$17&gt;'Bonding Program'!$C$8,N$3='Bonding Program'!$H$17),'Bonding Program'!$T$17-'Bonding Program'!$U$17-'Bonding Program'!$Z$17,0)-IF(AND('Bonding Program'!$S$17=1,'Bonding Program'!$H$17&lt;='Bonding Program'!$C$8,N$3=IF('Bonding Program'!$P$17&lt;&gt;"",'Bonding Program'!$P$17,'Bonding Program'!$C$8)),'Bonding Program'!$Z$17,0)+IF(AND('Bonding Program'!$P$17&lt;&gt;"",N$3='Bonding Program'!$P$17,N$3&lt;='Bonding Program'!$C$8),N('Bonding Program'!$O$17),0)</f>
        <v>0</v>
      </c>
      <c r="O158" s="19" t="n">
        <f aca="false">IF(AND('Bonding Program'!$S$17=1,'Bonding Program'!$H$17&gt;'Bonding Program'!$C$8,O$3='Bonding Program'!$H$17),'Bonding Program'!$T$17-'Bonding Program'!$U$17-'Bonding Program'!$Z$17,0)-IF(AND('Bonding Program'!$S$17=1,'Bonding Program'!$H$17&lt;='Bonding Program'!$C$8,O$3=IF('Bonding Program'!$P$17&lt;&gt;"",'Bonding Program'!$P$17,'Bonding Program'!$C$8)),'Bonding Program'!$Z$17,0)+IF(AND('Bonding Program'!$P$17&lt;&gt;"",O$3='Bonding Program'!$P$17,O$3&lt;='Bonding Program'!$C$8),N('Bonding Program'!$O$17),0)</f>
        <v>0</v>
      </c>
      <c r="P158" s="19" t="n">
        <f aca="false">IF(AND('Bonding Program'!$S$17=1,'Bonding Program'!$H$17&gt;'Bonding Program'!$C$8,P$3='Bonding Program'!$H$17),'Bonding Program'!$T$17-'Bonding Program'!$U$17-'Bonding Program'!$Z$17,0)-IF(AND('Bonding Program'!$S$17=1,'Bonding Program'!$H$17&lt;='Bonding Program'!$C$8,P$3=IF('Bonding Program'!$P$17&lt;&gt;"",'Bonding Program'!$P$17,'Bonding Program'!$C$8)),'Bonding Program'!$Z$17,0)+IF(AND('Bonding Program'!$P$17&lt;&gt;"",P$3='Bonding Program'!$P$17,P$3&lt;='Bonding Program'!$C$8),N('Bonding Program'!$O$17),0)</f>
        <v>0</v>
      </c>
      <c r="Q158" s="19" t="n">
        <f aca="false">IF(AND('Bonding Program'!$S$17=1,'Bonding Program'!$H$17&gt;'Bonding Program'!$C$8,Q$3='Bonding Program'!$H$17),'Bonding Program'!$T$17-'Bonding Program'!$U$17-'Bonding Program'!$Z$17,0)-IF(AND('Bonding Program'!$S$17=1,'Bonding Program'!$H$17&lt;='Bonding Program'!$C$8,Q$3=IF('Bonding Program'!$P$17&lt;&gt;"",'Bonding Program'!$P$17,'Bonding Program'!$C$8)),'Bonding Program'!$Z$17,0)+IF(AND('Bonding Program'!$P$17&lt;&gt;"",Q$3='Bonding Program'!$P$17,Q$3&lt;='Bonding Program'!$C$8),N('Bonding Program'!$O$17),0)</f>
        <v>0</v>
      </c>
      <c r="R158" s="19" t="n">
        <f aca="false">IF(AND('Bonding Program'!$S$17=1,'Bonding Program'!$H$17&gt;'Bonding Program'!$C$8,R$3='Bonding Program'!$H$17),'Bonding Program'!$T$17-'Bonding Program'!$U$17-'Bonding Program'!$Z$17,0)-IF(AND('Bonding Program'!$S$17=1,'Bonding Program'!$H$17&lt;='Bonding Program'!$C$8,R$3=IF('Bonding Program'!$P$17&lt;&gt;"",'Bonding Program'!$P$17,'Bonding Program'!$C$8)),'Bonding Program'!$Z$17,0)+IF(AND('Bonding Program'!$P$17&lt;&gt;"",R$3='Bonding Program'!$P$17,R$3&lt;='Bonding Program'!$C$8),N('Bonding Program'!$O$17),0)</f>
        <v>0</v>
      </c>
      <c r="S158" s="19" t="n">
        <f aca="false">IF(AND('Bonding Program'!$S$17=1,'Bonding Program'!$H$17&gt;'Bonding Program'!$C$8,S$3='Bonding Program'!$H$17),'Bonding Program'!$T$17-'Bonding Program'!$U$17-'Bonding Program'!$Z$17,0)-IF(AND('Bonding Program'!$S$17=1,'Bonding Program'!$H$17&lt;='Bonding Program'!$C$8,S$3=IF('Bonding Program'!$P$17&lt;&gt;"",'Bonding Program'!$P$17,'Bonding Program'!$C$8)),'Bonding Program'!$Z$17,0)+IF(AND('Bonding Program'!$P$17&lt;&gt;"",S$3='Bonding Program'!$P$17,S$3&lt;='Bonding Program'!$C$8),N('Bonding Program'!$O$17),0)</f>
        <v>0</v>
      </c>
      <c r="T158" s="19" t="n">
        <f aca="false">IF(AND('Bonding Program'!$S$17=1,'Bonding Program'!$H$17&gt;'Bonding Program'!$C$8,T$3='Bonding Program'!$H$17),'Bonding Program'!$T$17-'Bonding Program'!$U$17-'Bonding Program'!$Z$17,0)-IF(AND('Bonding Program'!$S$17=1,'Bonding Program'!$H$17&lt;='Bonding Program'!$C$8,T$3=IF('Bonding Program'!$P$17&lt;&gt;"",'Bonding Program'!$P$17,'Bonding Program'!$C$8)),'Bonding Program'!$Z$17,0)+IF(AND('Bonding Program'!$P$17&lt;&gt;"",T$3='Bonding Program'!$P$17,T$3&lt;='Bonding Program'!$C$8),N('Bonding Program'!$O$17),0)</f>
        <v>0</v>
      </c>
      <c r="U158" s="19" t="n">
        <f aca="false">IF(AND('Bonding Program'!$S$17=1,'Bonding Program'!$H$17&gt;'Bonding Program'!$C$8,U$3='Bonding Program'!$H$17),'Bonding Program'!$T$17-'Bonding Program'!$U$17-'Bonding Program'!$Z$17,0)-IF(AND('Bonding Program'!$S$17=1,'Bonding Program'!$H$17&lt;='Bonding Program'!$C$8,U$3=IF('Bonding Program'!$P$17&lt;&gt;"",'Bonding Program'!$P$17,'Bonding Program'!$C$8)),'Bonding Program'!$Z$17,0)+IF(AND('Bonding Program'!$P$17&lt;&gt;"",U$3='Bonding Program'!$P$17,U$3&lt;='Bonding Program'!$C$8),N('Bonding Program'!$O$17),0)</f>
        <v>0</v>
      </c>
      <c r="V158" s="19" t="n">
        <f aca="false">IF(AND('Bonding Program'!$S$17=1,'Bonding Program'!$H$17&gt;'Bonding Program'!$C$8,V$3='Bonding Program'!$H$17),'Bonding Program'!$T$17-'Bonding Program'!$U$17-'Bonding Program'!$Z$17,0)-IF(AND('Bonding Program'!$S$17=1,'Bonding Program'!$H$17&lt;='Bonding Program'!$C$8,V$3=IF('Bonding Program'!$P$17&lt;&gt;"",'Bonding Program'!$P$17,'Bonding Program'!$C$8)),'Bonding Program'!$Z$17,0)+IF(AND('Bonding Program'!$P$17&lt;&gt;"",V$3='Bonding Program'!$P$17,V$3&lt;='Bonding Program'!$C$8),N('Bonding Program'!$O$17),0)</f>
        <v>0</v>
      </c>
      <c r="W158" s="19" t="n">
        <f aca="false">IF(AND('Bonding Program'!$S$17=1,'Bonding Program'!$H$17&gt;'Bonding Program'!$C$8,W$3='Bonding Program'!$H$17),'Bonding Program'!$T$17-'Bonding Program'!$U$17-'Bonding Program'!$Z$17,0)-IF(AND('Bonding Program'!$S$17=1,'Bonding Program'!$H$17&lt;='Bonding Program'!$C$8,W$3=IF('Bonding Program'!$P$17&lt;&gt;"",'Bonding Program'!$P$17,'Bonding Program'!$C$8)),'Bonding Program'!$Z$17,0)+IF(AND('Bonding Program'!$P$17&lt;&gt;"",W$3='Bonding Program'!$P$17,W$3&lt;='Bonding Program'!$C$8),N('Bonding Program'!$O$17),0)</f>
        <v>0</v>
      </c>
      <c r="X158" s="19" t="n">
        <f aca="false">IF(AND('Bonding Program'!$S$17=1,'Bonding Program'!$H$17&gt;'Bonding Program'!$C$8,X$3='Bonding Program'!$H$17),'Bonding Program'!$T$17-'Bonding Program'!$U$17-'Bonding Program'!$Z$17,0)-IF(AND('Bonding Program'!$S$17=1,'Bonding Program'!$H$17&lt;='Bonding Program'!$C$8,X$3=IF('Bonding Program'!$P$17&lt;&gt;"",'Bonding Program'!$P$17,'Bonding Program'!$C$8)),'Bonding Program'!$Z$17,0)+IF(AND('Bonding Program'!$P$17&lt;&gt;"",X$3='Bonding Program'!$P$17,X$3&lt;='Bonding Program'!$C$8),N('Bonding Program'!$O$17),0)</f>
        <v>0</v>
      </c>
      <c r="Y158" s="19" t="n">
        <f aca="false">IF(AND('Bonding Program'!$S$17=1,'Bonding Program'!$H$17&gt;'Bonding Program'!$C$8,Y$3='Bonding Program'!$H$17),'Bonding Program'!$T$17-'Bonding Program'!$U$17-'Bonding Program'!$Z$17,0)-IF(AND('Bonding Program'!$S$17=1,'Bonding Program'!$H$17&lt;='Bonding Program'!$C$8,Y$3=IF('Bonding Program'!$P$17&lt;&gt;"",'Bonding Program'!$P$17,'Bonding Program'!$C$8)),'Bonding Program'!$Z$17,0)+IF(AND('Bonding Program'!$P$17&lt;&gt;"",Y$3='Bonding Program'!$P$17,Y$3&lt;='Bonding Program'!$C$8),N('Bonding Program'!$O$17),0)</f>
        <v>0</v>
      </c>
      <c r="Z158" s="19" t="n">
        <f aca="false">IF(AND('Bonding Program'!$S$17=1,'Bonding Program'!$H$17&gt;'Bonding Program'!$C$8,Z$3='Bonding Program'!$H$17),'Bonding Program'!$T$17-'Bonding Program'!$U$17-'Bonding Program'!$Z$17,0)-IF(AND('Bonding Program'!$S$17=1,'Bonding Program'!$H$17&lt;='Bonding Program'!$C$8,Z$3=IF('Bonding Program'!$P$17&lt;&gt;"",'Bonding Program'!$P$17,'Bonding Program'!$C$8)),'Bonding Program'!$Z$17,0)+IF(AND('Bonding Program'!$P$17&lt;&gt;"",Z$3='Bonding Program'!$P$17,Z$3&lt;='Bonding Program'!$C$8),N('Bonding Program'!$O$17),0)</f>
        <v>0</v>
      </c>
      <c r="AA158" s="19" t="n">
        <f aca="false">IF(AND('Bonding Program'!$S$17=1,'Bonding Program'!$H$17&gt;'Bonding Program'!$C$8,AA$3='Bonding Program'!$H$17),'Bonding Program'!$T$17-'Bonding Program'!$U$17-'Bonding Program'!$Z$17,0)-IF(AND('Bonding Program'!$S$17=1,'Bonding Program'!$H$17&lt;='Bonding Program'!$C$8,AA$3=IF('Bonding Program'!$P$17&lt;&gt;"",'Bonding Program'!$P$17,'Bonding Program'!$C$8)),'Bonding Program'!$Z$17,0)+IF(AND('Bonding Program'!$P$17&lt;&gt;"",AA$3='Bonding Program'!$P$17,AA$3&lt;='Bonding Program'!$C$8),N('Bonding Program'!$O$17),0)</f>
        <v>0</v>
      </c>
      <c r="AB158" s="19" t="n">
        <f aca="false">IF(AND('Bonding Program'!$S$17=1,'Bonding Program'!$H$17&gt;'Bonding Program'!$C$8,AB$3='Bonding Program'!$H$17),'Bonding Program'!$T$17-'Bonding Program'!$U$17-'Bonding Program'!$Z$17,0)-IF(AND('Bonding Program'!$S$17=1,'Bonding Program'!$H$17&lt;='Bonding Program'!$C$8,AB$3=IF('Bonding Program'!$P$17&lt;&gt;"",'Bonding Program'!$P$17,'Bonding Program'!$C$8)),'Bonding Program'!$Z$17,0)+IF(AND('Bonding Program'!$P$17&lt;&gt;"",AB$3='Bonding Program'!$P$17,AB$3&lt;='Bonding Program'!$C$8),N('Bonding Program'!$O$17),0)</f>
        <v>0</v>
      </c>
      <c r="AC158" s="19" t="n">
        <f aca="false">IF(AND('Bonding Program'!$S$17=1,'Bonding Program'!$H$17&gt;'Bonding Program'!$C$8,AC$3='Bonding Program'!$H$17),'Bonding Program'!$T$17-'Bonding Program'!$U$17-'Bonding Program'!$Z$17,0)-IF(AND('Bonding Program'!$S$17=1,'Bonding Program'!$H$17&lt;='Bonding Program'!$C$8,AC$3=IF('Bonding Program'!$P$17&lt;&gt;"",'Bonding Program'!$P$17,'Bonding Program'!$C$8)),'Bonding Program'!$Z$17,0)+IF(AND('Bonding Program'!$P$17&lt;&gt;"",AC$3='Bonding Program'!$P$17,AC$3&lt;='Bonding Program'!$C$8),N('Bonding Program'!$O$17),0)</f>
        <v>0</v>
      </c>
      <c r="AD158" s="19" t="n">
        <f aca="false">IF(AND('Bonding Program'!$S$17=1,'Bonding Program'!$H$17&gt;'Bonding Program'!$C$8,AD$3='Bonding Program'!$H$17),'Bonding Program'!$T$17-'Bonding Program'!$U$17-'Bonding Program'!$Z$17,0)-IF(AND('Bonding Program'!$S$17=1,'Bonding Program'!$H$17&lt;='Bonding Program'!$C$8,AD$3=IF('Bonding Program'!$P$17&lt;&gt;"",'Bonding Program'!$P$17,'Bonding Program'!$C$8)),'Bonding Program'!$Z$17,0)+IF(AND('Bonding Program'!$P$17&lt;&gt;"",AD$3='Bonding Program'!$P$17,AD$3&lt;='Bonding Program'!$C$8),N('Bonding Program'!$O$17),0)</f>
        <v>0</v>
      </c>
      <c r="AE158" s="19" t="n">
        <f aca="false">IF(AND('Bonding Program'!$S$17=1,'Bonding Program'!$H$17&gt;'Bonding Program'!$C$8,AE$3='Bonding Program'!$H$17),'Bonding Program'!$T$17-'Bonding Program'!$U$17-'Bonding Program'!$Z$17,0)-IF(AND('Bonding Program'!$S$17=1,'Bonding Program'!$H$17&lt;='Bonding Program'!$C$8,AE$3=IF('Bonding Program'!$P$17&lt;&gt;"",'Bonding Program'!$P$17,'Bonding Program'!$C$8)),'Bonding Program'!$Z$17,0)+IF(AND('Bonding Program'!$P$17&lt;&gt;"",AE$3='Bonding Program'!$P$17,AE$3&lt;='Bonding Program'!$C$8),N('Bonding Program'!$O$17),0)</f>
        <v>0</v>
      </c>
      <c r="AF158" s="19" t="n">
        <f aca="false">IF(AND('Bonding Program'!$S$17=1,'Bonding Program'!$H$17&gt;'Bonding Program'!$C$8,AF$3='Bonding Program'!$H$17),'Bonding Program'!$T$17-'Bonding Program'!$U$17-'Bonding Program'!$Z$17,0)-IF(AND('Bonding Program'!$S$17=1,'Bonding Program'!$H$17&lt;='Bonding Program'!$C$8,AF$3=IF('Bonding Program'!$P$17&lt;&gt;"",'Bonding Program'!$P$17,'Bonding Program'!$C$8)),'Bonding Program'!$Z$17,0)+IF(AND('Bonding Program'!$P$17&lt;&gt;"",AF$3='Bonding Program'!$P$17,AF$3&lt;='Bonding Program'!$C$8),N('Bonding Program'!$O$17),0)</f>
        <v>0</v>
      </c>
      <c r="AG158" s="19" t="n">
        <f aca="false">IF(AND('Bonding Program'!$S$17=1,'Bonding Program'!$H$17&gt;'Bonding Program'!$C$8,AG$3='Bonding Program'!$H$17),'Bonding Program'!$T$17-'Bonding Program'!$U$17-'Bonding Program'!$Z$17,0)-IF(AND('Bonding Program'!$S$17=1,'Bonding Program'!$H$17&lt;='Bonding Program'!$C$8,AG$3=IF('Bonding Program'!$P$17&lt;&gt;"",'Bonding Program'!$P$17,'Bonding Program'!$C$8)),'Bonding Program'!$Z$17,0)+IF(AND('Bonding Program'!$P$17&lt;&gt;"",AG$3='Bonding Program'!$P$17,AG$3&lt;='Bonding Program'!$C$8),N('Bonding Program'!$O$17),0)</f>
        <v>0</v>
      </c>
      <c r="AH158" s="19" t="n">
        <f aca="false">IF(AND('Bonding Program'!$S$17=1,'Bonding Program'!$H$17&gt;'Bonding Program'!$C$8,AH$3='Bonding Program'!$H$17),'Bonding Program'!$T$17-'Bonding Program'!$U$17-'Bonding Program'!$Z$17,0)-IF(AND('Bonding Program'!$S$17=1,'Bonding Program'!$H$17&lt;='Bonding Program'!$C$8,AH$3=IF('Bonding Program'!$P$17&lt;&gt;"",'Bonding Program'!$P$17,'Bonding Program'!$C$8)),'Bonding Program'!$Z$17,0)+IF(AND('Bonding Program'!$P$17&lt;&gt;"",AH$3='Bonding Program'!$P$17,AH$3&lt;='Bonding Program'!$C$8),N('Bonding Program'!$O$17),0)</f>
        <v>0</v>
      </c>
      <c r="AI158" s="19" t="n">
        <f aca="false">IF(AND('Bonding Program'!$S$17=1,'Bonding Program'!$H$17&gt;'Bonding Program'!$C$8,AI$3='Bonding Program'!$H$17),'Bonding Program'!$T$17-'Bonding Program'!$U$17-'Bonding Program'!$Z$17,0)-IF(AND('Bonding Program'!$S$17=1,'Bonding Program'!$H$17&lt;='Bonding Program'!$C$8,AI$3=IF('Bonding Program'!$P$17&lt;&gt;"",'Bonding Program'!$P$17,'Bonding Program'!$C$8)),'Bonding Program'!$Z$17,0)+IF(AND('Bonding Program'!$P$17&lt;&gt;"",AI$3='Bonding Program'!$P$17,AI$3&lt;='Bonding Program'!$C$8),N('Bonding Program'!$O$17),0)</f>
        <v>0</v>
      </c>
      <c r="AJ158" s="19" t="n">
        <f aca="false">IF(AND('Bonding Program'!$S$17=1,'Bonding Program'!$H$17&gt;'Bonding Program'!$C$8,AJ$3='Bonding Program'!$H$17),'Bonding Program'!$T$17-'Bonding Program'!$U$17-'Bonding Program'!$Z$17,0)-IF(AND('Bonding Program'!$S$17=1,'Bonding Program'!$H$17&lt;='Bonding Program'!$C$8,AJ$3=IF('Bonding Program'!$P$17&lt;&gt;"",'Bonding Program'!$P$17,'Bonding Program'!$C$8)),'Bonding Program'!$Z$17,0)+IF(AND('Bonding Program'!$P$17&lt;&gt;"",AJ$3='Bonding Program'!$P$17,AJ$3&lt;='Bonding Program'!$C$8),N('Bonding Program'!$O$17),0)</f>
        <v>0</v>
      </c>
      <c r="AK158" s="19" t="n">
        <f aca="false">IF(AND('Bonding Program'!$S$17=1,'Bonding Program'!$H$17&gt;'Bonding Program'!$C$8,AK$3='Bonding Program'!$H$17),'Bonding Program'!$T$17-'Bonding Program'!$U$17-'Bonding Program'!$Z$17,0)-IF(AND('Bonding Program'!$S$17=1,'Bonding Program'!$H$17&lt;='Bonding Program'!$C$8,AK$3=IF('Bonding Program'!$P$17&lt;&gt;"",'Bonding Program'!$P$17,'Bonding Program'!$C$8)),'Bonding Program'!$Z$17,0)+IF(AND('Bonding Program'!$P$17&lt;&gt;"",AK$3='Bonding Program'!$P$17,AK$3&lt;='Bonding Program'!$C$8),N('Bonding Program'!$O$17),0)</f>
        <v>0</v>
      </c>
      <c r="AL158" s="19" t="n">
        <f aca="false">IF(AND('Bonding Program'!$S$17=1,'Bonding Program'!$H$17&gt;'Bonding Program'!$C$8,AL$3='Bonding Program'!$H$17),'Bonding Program'!$T$17-'Bonding Program'!$U$17-'Bonding Program'!$Z$17,0)-IF(AND('Bonding Program'!$S$17=1,'Bonding Program'!$H$17&lt;='Bonding Program'!$C$8,AL$3=IF('Bonding Program'!$P$17&lt;&gt;"",'Bonding Program'!$P$17,'Bonding Program'!$C$8)),'Bonding Program'!$Z$17,0)+IF(AND('Bonding Program'!$P$17&lt;&gt;"",AL$3='Bonding Program'!$P$17,AL$3&lt;='Bonding Program'!$C$8),N('Bonding Program'!$O$17),0)</f>
        <v>0</v>
      </c>
      <c r="AM158" s="19" t="n">
        <f aca="false">IF(AND('Bonding Program'!$S$17=1,'Bonding Program'!$H$17&gt;'Bonding Program'!$C$8,AM$3='Bonding Program'!$H$17),'Bonding Program'!$T$17-'Bonding Program'!$U$17-'Bonding Program'!$Z$17,0)-IF(AND('Bonding Program'!$S$17=1,'Bonding Program'!$H$17&lt;='Bonding Program'!$C$8,AM$3=IF('Bonding Program'!$P$17&lt;&gt;"",'Bonding Program'!$P$17,'Bonding Program'!$C$8)),'Bonding Program'!$Z$17,0)+IF(AND('Bonding Program'!$P$17&lt;&gt;"",AM$3='Bonding Program'!$P$17,AM$3&lt;='Bonding Program'!$C$8),N('Bonding Program'!$O$17),0)</f>
        <v>0</v>
      </c>
      <c r="AN158" s="19" t="n">
        <f aca="false">IF(AND('Bonding Program'!$S$17=1,'Bonding Program'!$H$17&gt;'Bonding Program'!$C$8,AN$3='Bonding Program'!$H$17),'Bonding Program'!$T$17-'Bonding Program'!$U$17-'Bonding Program'!$Z$17,0)-IF(AND('Bonding Program'!$S$17=1,'Bonding Program'!$H$17&lt;='Bonding Program'!$C$8,AN$3=IF('Bonding Program'!$P$17&lt;&gt;"",'Bonding Program'!$P$17,'Bonding Program'!$C$8)),'Bonding Program'!$Z$17,0)+IF(AND('Bonding Program'!$P$17&lt;&gt;"",AN$3='Bonding Program'!$P$17,AN$3&lt;='Bonding Program'!$C$8),N('Bonding Program'!$O$17),0)</f>
        <v>0</v>
      </c>
      <c r="AO158" s="19" t="n">
        <f aca="false">IF(AND('Bonding Program'!$S$17=1,'Bonding Program'!$H$17&gt;'Bonding Program'!$C$8,AO$3='Bonding Program'!$H$17),'Bonding Program'!$T$17-'Bonding Program'!$U$17-'Bonding Program'!$Z$17,0)-IF(AND('Bonding Program'!$S$17=1,'Bonding Program'!$H$17&lt;='Bonding Program'!$C$8,AO$3=IF('Bonding Program'!$P$17&lt;&gt;"",'Bonding Program'!$P$17,'Bonding Program'!$C$8)),'Bonding Program'!$Z$17,0)+IF(AND('Bonding Program'!$P$17&lt;&gt;"",AO$3='Bonding Program'!$P$17,AO$3&lt;='Bonding Program'!$C$8),N('Bonding Program'!$O$17),0)</f>
        <v>0</v>
      </c>
      <c r="AP158" s="19" t="n">
        <f aca="false">IF(AND('Bonding Program'!$S$17=1,'Bonding Program'!$H$17&gt;'Bonding Program'!$C$8,AP$3='Bonding Program'!$H$17),'Bonding Program'!$T$17-'Bonding Program'!$U$17-'Bonding Program'!$Z$17,0)-IF(AND('Bonding Program'!$S$17=1,'Bonding Program'!$H$17&lt;='Bonding Program'!$C$8,AP$3=IF('Bonding Program'!$P$17&lt;&gt;"",'Bonding Program'!$P$17,'Bonding Program'!$C$8)),'Bonding Program'!$Z$17,0)+IF(AND('Bonding Program'!$P$17&lt;&gt;"",AP$3='Bonding Program'!$P$17,AP$3&lt;='Bonding Program'!$C$8),N('Bonding Program'!$O$17),0)</f>
        <v>0</v>
      </c>
      <c r="AQ158" s="19" t="n">
        <f aca="false">IF(AND('Bonding Program'!$S$17=1,'Bonding Program'!$H$17&gt;'Bonding Program'!$C$8,AQ$3='Bonding Program'!$H$17),'Bonding Program'!$T$17-'Bonding Program'!$U$17-'Bonding Program'!$Z$17,0)-IF(AND('Bonding Program'!$S$17=1,'Bonding Program'!$H$17&lt;='Bonding Program'!$C$8,AQ$3=IF('Bonding Program'!$P$17&lt;&gt;"",'Bonding Program'!$P$17,'Bonding Program'!$C$8)),'Bonding Program'!$Z$17,0)+IF(AND('Bonding Program'!$P$17&lt;&gt;"",AQ$3='Bonding Program'!$P$17,AQ$3&lt;='Bonding Program'!$C$8),N('Bonding Program'!$O$17),0)</f>
        <v>0</v>
      </c>
      <c r="AR158" s="19" t="n">
        <f aca="false">IF(AND('Bonding Program'!$S$17=1,'Bonding Program'!$H$17&gt;'Bonding Program'!$C$8,AR$3='Bonding Program'!$H$17),'Bonding Program'!$T$17-'Bonding Program'!$U$17-'Bonding Program'!$Z$17,0)-IF(AND('Bonding Program'!$S$17=1,'Bonding Program'!$H$17&lt;='Bonding Program'!$C$8,AR$3=IF('Bonding Program'!$P$17&lt;&gt;"",'Bonding Program'!$P$17,'Bonding Program'!$C$8)),'Bonding Program'!$Z$17,0)+IF(AND('Bonding Program'!$P$17&lt;&gt;"",AR$3='Bonding Program'!$P$17,AR$3&lt;='Bonding Program'!$C$8),N('Bonding Program'!$O$17),0)</f>
        <v>0</v>
      </c>
      <c r="AS158" s="19" t="n">
        <f aca="false">IF(AND('Bonding Program'!$S$17=1,'Bonding Program'!$H$17&gt;'Bonding Program'!$C$8,AS$3='Bonding Program'!$H$17),'Bonding Program'!$T$17-'Bonding Program'!$U$17-'Bonding Program'!$Z$17,0)-IF(AND('Bonding Program'!$S$17=1,'Bonding Program'!$H$17&lt;='Bonding Program'!$C$8,AS$3=IF('Bonding Program'!$P$17&lt;&gt;"",'Bonding Program'!$P$17,'Bonding Program'!$C$8)),'Bonding Program'!$Z$17,0)+IF(AND('Bonding Program'!$P$17&lt;&gt;"",AS$3='Bonding Program'!$P$17,AS$3&lt;='Bonding Program'!$C$8),N('Bonding Program'!$O$17),0)</f>
        <v>0</v>
      </c>
      <c r="AT158" s="19" t="n">
        <f aca="false">IF(AND('Bonding Program'!$S$17=1,'Bonding Program'!$H$17&gt;'Bonding Program'!$C$8,AT$3='Bonding Program'!$H$17),'Bonding Program'!$T$17-'Bonding Program'!$U$17-'Bonding Program'!$Z$17,0)-IF(AND('Bonding Program'!$S$17=1,'Bonding Program'!$H$17&lt;='Bonding Program'!$C$8,AT$3=IF('Bonding Program'!$P$17&lt;&gt;"",'Bonding Program'!$P$17,'Bonding Program'!$C$8)),'Bonding Program'!$Z$17,0)+IF(AND('Bonding Program'!$P$17&lt;&gt;"",AT$3='Bonding Program'!$P$17,AT$3&lt;='Bonding Program'!$C$8),N('Bonding Program'!$O$17),0)</f>
        <v>0</v>
      </c>
      <c r="AU158" s="19" t="n">
        <f aca="false">IF(AND('Bonding Program'!$S$17=1,'Bonding Program'!$H$17&gt;'Bonding Program'!$C$8,AU$3='Bonding Program'!$H$17),'Bonding Program'!$T$17-'Bonding Program'!$U$17-'Bonding Program'!$Z$17,0)-IF(AND('Bonding Program'!$S$17=1,'Bonding Program'!$H$17&lt;='Bonding Program'!$C$8,AU$3=IF('Bonding Program'!$P$17&lt;&gt;"",'Bonding Program'!$P$17,'Bonding Program'!$C$8)),'Bonding Program'!$Z$17,0)+IF(AND('Bonding Program'!$P$17&lt;&gt;"",AU$3='Bonding Program'!$P$17,AU$3&lt;='Bonding Program'!$C$8),N('Bonding Program'!$O$17),0)</f>
        <v>0</v>
      </c>
      <c r="AV158" s="19" t="n">
        <f aca="false">IF(AND('Bonding Program'!$S$17=1,'Bonding Program'!$H$17&gt;'Bonding Program'!$C$8,AV$3='Bonding Program'!$H$17),'Bonding Program'!$T$17-'Bonding Program'!$U$17-'Bonding Program'!$Z$17,0)-IF(AND('Bonding Program'!$S$17=1,'Bonding Program'!$H$17&lt;='Bonding Program'!$C$8,AV$3=IF('Bonding Program'!$P$17&lt;&gt;"",'Bonding Program'!$P$17,'Bonding Program'!$C$8)),'Bonding Program'!$Z$17,0)+IF(AND('Bonding Program'!$P$17&lt;&gt;"",AV$3='Bonding Program'!$P$17,AV$3&lt;='Bonding Program'!$C$8),N('Bonding Program'!$O$17),0)</f>
        <v>0</v>
      </c>
      <c r="AW158" s="19" t="n">
        <f aca="false">IF(AND('Bonding Program'!$S$17=1,'Bonding Program'!$H$17&gt;'Bonding Program'!$C$8,AW$3='Bonding Program'!$H$17),'Bonding Program'!$T$17-'Bonding Program'!$U$17-'Bonding Program'!$Z$17,0)-IF(AND('Bonding Program'!$S$17=1,'Bonding Program'!$H$17&lt;='Bonding Program'!$C$8,AW$3=IF('Bonding Program'!$P$17&lt;&gt;"",'Bonding Program'!$P$17,'Bonding Program'!$C$8)),'Bonding Program'!$Z$17,0)+IF(AND('Bonding Program'!$P$17&lt;&gt;"",AW$3='Bonding Program'!$P$17,AW$3&lt;='Bonding Program'!$C$8),N('Bonding Program'!$O$17),0)</f>
        <v>0</v>
      </c>
      <c r="AX158" s="19" t="n">
        <f aca="false">IF(AND('Bonding Program'!$S$17=1,'Bonding Program'!$H$17&gt;'Bonding Program'!$C$8,AX$3='Bonding Program'!$H$17),'Bonding Program'!$T$17-'Bonding Program'!$U$17-'Bonding Program'!$Z$17,0)-IF(AND('Bonding Program'!$S$17=1,'Bonding Program'!$H$17&lt;='Bonding Program'!$C$8,AX$3=IF('Bonding Program'!$P$17&lt;&gt;"",'Bonding Program'!$P$17,'Bonding Program'!$C$8)),'Bonding Program'!$Z$17,0)+IF(AND('Bonding Program'!$P$17&lt;&gt;"",AX$3='Bonding Program'!$P$17,AX$3&lt;='Bonding Program'!$C$8),N('Bonding Program'!$O$17),0)</f>
        <v>0</v>
      </c>
      <c r="AY158" s="19" t="n">
        <f aca="false">IF(AND('Bonding Program'!$S$17=1,'Bonding Program'!$H$17&gt;'Bonding Program'!$C$8,AY$3='Bonding Program'!$H$17),'Bonding Program'!$T$17-'Bonding Program'!$U$17-'Bonding Program'!$Z$17,0)-IF(AND('Bonding Program'!$S$17=1,'Bonding Program'!$H$17&lt;='Bonding Program'!$C$8,AY$3=IF('Bonding Program'!$P$17&lt;&gt;"",'Bonding Program'!$P$17,'Bonding Program'!$C$8)),'Bonding Program'!$Z$17,0)+IF(AND('Bonding Program'!$P$17&lt;&gt;"",AY$3='Bonding Program'!$P$17,AY$3&lt;='Bonding Program'!$C$8),N('Bonding Program'!$O$17),0)</f>
        <v>0</v>
      </c>
      <c r="AZ158" s="19" t="n">
        <f aca="false">IF(AND('Bonding Program'!$S$17=1,'Bonding Program'!$H$17&gt;'Bonding Program'!$C$8,AZ$3='Bonding Program'!$H$17),'Bonding Program'!$T$17-'Bonding Program'!$U$17-'Bonding Program'!$Z$17,0)-IF(AND('Bonding Program'!$S$17=1,'Bonding Program'!$H$17&lt;='Bonding Program'!$C$8,AZ$3=IF('Bonding Program'!$P$17&lt;&gt;"",'Bonding Program'!$P$17,'Bonding Program'!$C$8)),'Bonding Program'!$Z$17,0)+IF(AND('Bonding Program'!$P$17&lt;&gt;"",AZ$3='Bonding Program'!$P$17,AZ$3&lt;='Bonding Program'!$C$8),N('Bonding Program'!$O$17),0)</f>
        <v>0</v>
      </c>
      <c r="BA158" s="19" t="n">
        <f aca="false">IF(AND('Bonding Program'!$S$17=1,'Bonding Program'!$H$17&gt;'Bonding Program'!$C$8,BA$3='Bonding Program'!$H$17),'Bonding Program'!$T$17-'Bonding Program'!$U$17-'Bonding Program'!$Z$17,0)-IF(AND('Bonding Program'!$S$17=1,'Bonding Program'!$H$17&lt;='Bonding Program'!$C$8,BA$3=IF('Bonding Program'!$P$17&lt;&gt;"",'Bonding Program'!$P$17,'Bonding Program'!$C$8)),'Bonding Program'!$Z$17,0)+IF(AND('Bonding Program'!$P$17&lt;&gt;"",BA$3='Bonding Program'!$P$17,BA$3&lt;='Bonding Program'!$C$8),N('Bonding Program'!$O$17),0)</f>
        <v>0</v>
      </c>
      <c r="BB158" s="19" t="n">
        <f aca="false">IF(AND('Bonding Program'!$S$17=1,'Bonding Program'!$H$17&gt;'Bonding Program'!$C$8,BB$3='Bonding Program'!$H$17),'Bonding Program'!$T$17-'Bonding Program'!$U$17-'Bonding Program'!$Z$17,0)-IF(AND('Bonding Program'!$S$17=1,'Bonding Program'!$H$17&lt;='Bonding Program'!$C$8,BB$3=IF('Bonding Program'!$P$17&lt;&gt;"",'Bonding Program'!$P$17,'Bonding Program'!$C$8)),'Bonding Program'!$Z$17,0)+IF(AND('Bonding Program'!$P$17&lt;&gt;"",BB$3='Bonding Program'!$P$17,BB$3&lt;='Bonding Program'!$C$8),N('Bonding Program'!$O$17),0)</f>
        <v>0</v>
      </c>
      <c r="BC158" s="19" t="n">
        <f aca="false">IF(AND('Bonding Program'!$S$17=1,'Bonding Program'!$H$17&gt;'Bonding Program'!$C$8,BC$3='Bonding Program'!$H$17),'Bonding Program'!$T$17-'Bonding Program'!$U$17-'Bonding Program'!$Z$17,0)-IF(AND('Bonding Program'!$S$17=1,'Bonding Program'!$H$17&lt;='Bonding Program'!$C$8,BC$3=IF('Bonding Program'!$P$17&lt;&gt;"",'Bonding Program'!$P$17,'Bonding Program'!$C$8)),'Bonding Program'!$Z$17,0)+IF(AND('Bonding Program'!$P$17&lt;&gt;"",BC$3='Bonding Program'!$P$17,BC$3&lt;='Bonding Program'!$C$8),N('Bonding Program'!$O$17),0)</f>
        <v>0</v>
      </c>
      <c r="BD158" s="19" t="n">
        <f aca="false">IF(AND('Bonding Program'!$S$17=1,'Bonding Program'!$H$17&gt;'Bonding Program'!$C$8,BD$3='Bonding Program'!$H$17),'Bonding Program'!$T$17-'Bonding Program'!$U$17-'Bonding Program'!$Z$17,0)-IF(AND('Bonding Program'!$S$17=1,'Bonding Program'!$H$17&lt;='Bonding Program'!$C$8,BD$3=IF('Bonding Program'!$P$17&lt;&gt;"",'Bonding Program'!$P$17,'Bonding Program'!$C$8)),'Bonding Program'!$Z$17,0)+IF(AND('Bonding Program'!$P$17&lt;&gt;"",BD$3='Bonding Program'!$P$17,BD$3&lt;='Bonding Program'!$C$8),N('Bonding Program'!$O$17),0)</f>
        <v>0</v>
      </c>
      <c r="BE158" s="19" t="n">
        <f aca="false">IF(AND('Bonding Program'!$S$17=1,'Bonding Program'!$H$17&gt;'Bonding Program'!$C$8,BE$3='Bonding Program'!$H$17),'Bonding Program'!$T$17-'Bonding Program'!$U$17-'Bonding Program'!$Z$17,0)-IF(AND('Bonding Program'!$S$17=1,'Bonding Program'!$H$17&lt;='Bonding Program'!$C$8,BE$3=IF('Bonding Program'!$P$17&lt;&gt;"",'Bonding Program'!$P$17,'Bonding Program'!$C$8)),'Bonding Program'!$Z$17,0)+IF(AND('Bonding Program'!$P$17&lt;&gt;"",BE$3='Bonding Program'!$P$17,BE$3&lt;='Bonding Program'!$C$8),N('Bonding Program'!$O$17),0)</f>
        <v>0</v>
      </c>
      <c r="BF158" s="19" t="n">
        <f aca="false">IF(AND('Bonding Program'!$S$17=1,'Bonding Program'!$H$17&gt;'Bonding Program'!$C$8,BF$3='Bonding Program'!$H$17),'Bonding Program'!$T$17-'Bonding Program'!$U$17-'Bonding Program'!$Z$17,0)-IF(AND('Bonding Program'!$S$17=1,'Bonding Program'!$H$17&lt;='Bonding Program'!$C$8,BF$3=IF('Bonding Program'!$P$17&lt;&gt;"",'Bonding Program'!$P$17,'Bonding Program'!$C$8)),'Bonding Program'!$Z$17,0)+IF(AND('Bonding Program'!$P$17&lt;&gt;"",BF$3='Bonding Program'!$P$17,BF$3&lt;='Bonding Program'!$C$8),N('Bonding Program'!$O$17),0)</f>
        <v>0</v>
      </c>
      <c r="BG158" s="19" t="n">
        <f aca="false">IF(AND('Bonding Program'!$S$17=1,'Bonding Program'!$H$17&gt;'Bonding Program'!$C$8,BG$3='Bonding Program'!$H$17),'Bonding Program'!$T$17-'Bonding Program'!$U$17-'Bonding Program'!$Z$17,0)-IF(AND('Bonding Program'!$S$17=1,'Bonding Program'!$H$17&lt;='Bonding Program'!$C$8,BG$3=IF('Bonding Program'!$P$17&lt;&gt;"",'Bonding Program'!$P$17,'Bonding Program'!$C$8)),'Bonding Program'!$Z$17,0)+IF(AND('Bonding Program'!$P$17&lt;&gt;"",BG$3='Bonding Program'!$P$17,BG$3&lt;='Bonding Program'!$C$8),N('Bonding Program'!$O$17),0)</f>
        <v>0</v>
      </c>
      <c r="BH158" s="19" t="n">
        <f aca="false">IF(AND('Bonding Program'!$S$17=1,'Bonding Program'!$H$17&gt;'Bonding Program'!$C$8,BH$3='Bonding Program'!$H$17),'Bonding Program'!$T$17-'Bonding Program'!$U$17-'Bonding Program'!$Z$17,0)-IF(AND('Bonding Program'!$S$17=1,'Bonding Program'!$H$17&lt;='Bonding Program'!$C$8,BH$3=IF('Bonding Program'!$P$17&lt;&gt;"",'Bonding Program'!$P$17,'Bonding Program'!$C$8)),'Bonding Program'!$Z$17,0)+IF(AND('Bonding Program'!$P$17&lt;&gt;"",BH$3='Bonding Program'!$P$17,BH$3&lt;='Bonding Program'!$C$8),N('Bonding Program'!$O$17),0)</f>
        <v>0</v>
      </c>
      <c r="BI158" s="19" t="n">
        <f aca="false">IF(AND('Bonding Program'!$S$17=1,'Bonding Program'!$H$17&gt;'Bonding Program'!$C$8,BI$3='Bonding Program'!$H$17),'Bonding Program'!$T$17-'Bonding Program'!$U$17-'Bonding Program'!$Z$17,0)-IF(AND('Bonding Program'!$S$17=1,'Bonding Program'!$H$17&lt;='Bonding Program'!$C$8,BI$3=IF('Bonding Program'!$P$17&lt;&gt;"",'Bonding Program'!$P$17,'Bonding Program'!$C$8)),'Bonding Program'!$Z$17,0)+IF(AND('Bonding Program'!$P$17&lt;&gt;"",BI$3='Bonding Program'!$P$17,BI$3&lt;='Bonding Program'!$C$8),N('Bonding Program'!$O$17),0)</f>
        <v>0</v>
      </c>
      <c r="BJ158" s="19" t="n">
        <f aca="false">IF(AND('Bonding Program'!$S$17=1,'Bonding Program'!$H$17&gt;'Bonding Program'!$C$8,BJ$3='Bonding Program'!$H$17),'Bonding Program'!$T$17-'Bonding Program'!$U$17-'Bonding Program'!$Z$17,0)-IF(AND('Bonding Program'!$S$17=1,'Bonding Program'!$H$17&lt;='Bonding Program'!$C$8,BJ$3=IF('Bonding Program'!$P$17&lt;&gt;"",'Bonding Program'!$P$17,'Bonding Program'!$C$8)),'Bonding Program'!$Z$17,0)+IF(AND('Bonding Program'!$P$17&lt;&gt;"",BJ$3='Bonding Program'!$P$17,BJ$3&lt;='Bonding Program'!$C$8),N('Bonding Program'!$O$17),0)</f>
        <v>0</v>
      </c>
      <c r="BK158" s="19" t="n">
        <f aca="false">IF(AND('Bonding Program'!$S$17=1,'Bonding Program'!$H$17&gt;'Bonding Program'!$C$8,BK$3='Bonding Program'!$H$17),'Bonding Program'!$T$17-'Bonding Program'!$U$17-'Bonding Program'!$Z$17,0)-IF(AND('Bonding Program'!$S$17=1,'Bonding Program'!$H$17&lt;='Bonding Program'!$C$8,BK$3=IF('Bonding Program'!$P$17&lt;&gt;"",'Bonding Program'!$P$17,'Bonding Program'!$C$8)),'Bonding Program'!$Z$17,0)+IF(AND('Bonding Program'!$P$17&lt;&gt;"",BK$3='Bonding Program'!$P$17,BK$3&lt;='Bonding Program'!$C$8),N('Bonding Program'!$O$17),0)</f>
        <v>0</v>
      </c>
      <c r="BL158" s="19" t="n">
        <f aca="false">IF(AND('Bonding Program'!$S$17=1,'Bonding Program'!$H$17&gt;'Bonding Program'!$C$8,BL$3='Bonding Program'!$H$17),'Bonding Program'!$T$17-'Bonding Program'!$U$17-'Bonding Program'!$Z$17,0)-IF(AND('Bonding Program'!$S$17=1,'Bonding Program'!$H$17&lt;='Bonding Program'!$C$8,BL$3=IF('Bonding Program'!$P$17&lt;&gt;"",'Bonding Program'!$P$17,'Bonding Program'!$C$8)),'Bonding Program'!$Z$17,0)+IF(AND('Bonding Program'!$P$17&lt;&gt;"",BL$3='Bonding Program'!$P$17,BL$3&lt;='Bonding Program'!$C$8),N('Bonding Program'!$O$17),0)</f>
        <v>0</v>
      </c>
      <c r="BM158" s="19" t="n">
        <f aca="false">IF(AND('Bonding Program'!$S$17=1,'Bonding Program'!$H$17&gt;'Bonding Program'!$C$8,BM$3='Bonding Program'!$H$17),'Bonding Program'!$T$17-'Bonding Program'!$U$17-'Bonding Program'!$Z$17,0)-IF(AND('Bonding Program'!$S$17=1,'Bonding Program'!$H$17&lt;='Bonding Program'!$C$8,BM$3=IF('Bonding Program'!$P$17&lt;&gt;"",'Bonding Program'!$P$17,'Bonding Program'!$C$8)),'Bonding Program'!$Z$17,0)+IF(AND('Bonding Program'!$P$17&lt;&gt;"",BM$3='Bonding Program'!$P$17,BM$3&lt;='Bonding Program'!$C$8),N('Bonding Program'!$O$17),0)</f>
        <v>0</v>
      </c>
      <c r="BN158" s="19" t="n">
        <f aca="false">IF(AND('Bonding Program'!$S$17=1,'Bonding Program'!$H$17&gt;'Bonding Program'!$C$8,BN$3='Bonding Program'!$H$17),'Bonding Program'!$T$17-'Bonding Program'!$U$17-'Bonding Program'!$Z$17,0)-IF(AND('Bonding Program'!$S$17=1,'Bonding Program'!$H$17&lt;='Bonding Program'!$C$8,BN$3=IF('Bonding Program'!$P$17&lt;&gt;"",'Bonding Program'!$P$17,'Bonding Program'!$C$8)),'Bonding Program'!$Z$17,0)+IF(AND('Bonding Program'!$P$17&lt;&gt;"",BN$3='Bonding Program'!$P$17,BN$3&lt;='Bonding Program'!$C$8),N('Bonding Program'!$O$17),0)</f>
        <v>0</v>
      </c>
      <c r="BO158" s="19" t="n">
        <f aca="false">IF(AND('Bonding Program'!$S$17=1,'Bonding Program'!$H$17&gt;'Bonding Program'!$C$8,BO$3='Bonding Program'!$H$17),'Bonding Program'!$T$17-'Bonding Program'!$U$17-'Bonding Program'!$Z$17,0)-IF(AND('Bonding Program'!$S$17=1,'Bonding Program'!$H$17&lt;='Bonding Program'!$C$8,BO$3=IF('Bonding Program'!$P$17&lt;&gt;"",'Bonding Program'!$P$17,'Bonding Program'!$C$8)),'Bonding Program'!$Z$17,0)+IF(AND('Bonding Program'!$P$17&lt;&gt;"",BO$3='Bonding Program'!$P$17,BO$3&lt;='Bonding Program'!$C$8),N('Bonding Program'!$O$17),0)</f>
        <v>0</v>
      </c>
      <c r="BP158" s="19" t="n">
        <f aca="false">IF(AND('Bonding Program'!$S$17=1,'Bonding Program'!$H$17&gt;'Bonding Program'!$C$8,BP$3='Bonding Program'!$H$17),'Bonding Program'!$T$17-'Bonding Program'!$U$17-'Bonding Program'!$Z$17,0)-IF(AND('Bonding Program'!$S$17=1,'Bonding Program'!$H$17&lt;='Bonding Program'!$C$8,BP$3=IF('Bonding Program'!$P$17&lt;&gt;"",'Bonding Program'!$P$17,'Bonding Program'!$C$8)),'Bonding Program'!$Z$17,0)+IF(AND('Bonding Program'!$P$17&lt;&gt;"",BP$3='Bonding Program'!$P$17,BP$3&lt;='Bonding Program'!$C$8),N('Bonding Program'!$O$17),0)</f>
        <v>0</v>
      </c>
      <c r="BQ158" s="19" t="n">
        <f aca="false">IF(AND('Bonding Program'!$S$17=1,'Bonding Program'!$H$17&gt;'Bonding Program'!$C$8,BQ$3='Bonding Program'!$H$17),'Bonding Program'!$T$17-'Bonding Program'!$U$17-'Bonding Program'!$Z$17,0)-IF(AND('Bonding Program'!$S$17=1,'Bonding Program'!$H$17&lt;='Bonding Program'!$C$8,BQ$3=IF('Bonding Program'!$P$17&lt;&gt;"",'Bonding Program'!$P$17,'Bonding Program'!$C$8)),'Bonding Program'!$Z$17,0)+IF(AND('Bonding Program'!$P$17&lt;&gt;"",BQ$3='Bonding Program'!$P$17,BQ$3&lt;='Bonding Program'!$C$8),N('Bonding Program'!$O$17),0)</f>
        <v>0</v>
      </c>
      <c r="BR158" s="19" t="n">
        <f aca="false">IF(AND('Bonding Program'!$S$17=1,'Bonding Program'!$H$17&gt;'Bonding Program'!$C$8,BR$3='Bonding Program'!$H$17),'Bonding Program'!$T$17-'Bonding Program'!$U$17-'Bonding Program'!$Z$17,0)-IF(AND('Bonding Program'!$S$17=1,'Bonding Program'!$H$17&lt;='Bonding Program'!$C$8,BR$3=IF('Bonding Program'!$P$17&lt;&gt;"",'Bonding Program'!$P$17,'Bonding Program'!$C$8)),'Bonding Program'!$Z$17,0)+IF(AND('Bonding Program'!$P$17&lt;&gt;"",BR$3='Bonding Program'!$P$17,BR$3&lt;='Bonding Program'!$C$8),N('Bonding Program'!$O$17),0)</f>
        <v>0</v>
      </c>
      <c r="BS158" s="19" t="n">
        <f aca="false">IF(AND('Bonding Program'!$S$17=1,'Bonding Program'!$H$17&gt;'Bonding Program'!$C$8,BS$3='Bonding Program'!$H$17),'Bonding Program'!$T$17-'Bonding Program'!$U$17-'Bonding Program'!$Z$17,0)-IF(AND('Bonding Program'!$S$17=1,'Bonding Program'!$H$17&lt;='Bonding Program'!$C$8,BS$3=IF('Bonding Program'!$P$17&lt;&gt;"",'Bonding Program'!$P$17,'Bonding Program'!$C$8)),'Bonding Program'!$Z$17,0)+IF(AND('Bonding Program'!$P$17&lt;&gt;"",BS$3='Bonding Program'!$P$17,BS$3&lt;='Bonding Program'!$C$8),N('Bonding Program'!$O$17),0)</f>
        <v>0</v>
      </c>
      <c r="BT158" s="19" t="n">
        <f aca="false">IF(AND('Bonding Program'!$S$17=1,'Bonding Program'!$H$17&gt;'Bonding Program'!$C$8,BT$3='Bonding Program'!$H$17),'Bonding Program'!$T$17-'Bonding Program'!$U$17-'Bonding Program'!$Z$17,0)-IF(AND('Bonding Program'!$S$17=1,'Bonding Program'!$H$17&lt;='Bonding Program'!$C$8,BT$3=IF('Bonding Program'!$P$17&lt;&gt;"",'Bonding Program'!$P$17,'Bonding Program'!$C$8)),'Bonding Program'!$Z$17,0)+IF(AND('Bonding Program'!$P$17&lt;&gt;"",BT$3='Bonding Program'!$P$17,BT$3&lt;='Bonding Program'!$C$8),N('Bonding Program'!$O$17),0)</f>
        <v>0</v>
      </c>
      <c r="BU158" s="19" t="n">
        <f aca="false">IF(AND('Bonding Program'!$S$17=1,'Bonding Program'!$H$17&gt;'Bonding Program'!$C$8,BU$3='Bonding Program'!$H$17),'Bonding Program'!$T$17-'Bonding Program'!$U$17-'Bonding Program'!$Z$17,0)-IF(AND('Bonding Program'!$S$17=1,'Bonding Program'!$H$17&lt;='Bonding Program'!$C$8,BU$3=IF('Bonding Program'!$P$17&lt;&gt;"",'Bonding Program'!$P$17,'Bonding Program'!$C$8)),'Bonding Program'!$Z$17,0)+IF(AND('Bonding Program'!$P$17&lt;&gt;"",BU$3='Bonding Program'!$P$17,BU$3&lt;='Bonding Program'!$C$8),N('Bonding Program'!$O$17),0)</f>
        <v>0</v>
      </c>
      <c r="BV158" s="19" t="n">
        <f aca="false">IF(AND('Bonding Program'!$S$17=1,'Bonding Program'!$H$17&gt;'Bonding Program'!$C$8,BV$3='Bonding Program'!$H$17),'Bonding Program'!$T$17-'Bonding Program'!$U$17-'Bonding Program'!$Z$17,0)-IF(AND('Bonding Program'!$S$17=1,'Bonding Program'!$H$17&lt;='Bonding Program'!$C$8,BV$3=IF('Bonding Program'!$P$17&lt;&gt;"",'Bonding Program'!$P$17,'Bonding Program'!$C$8)),'Bonding Program'!$Z$17,0)+IF(AND('Bonding Program'!$P$17&lt;&gt;"",BV$3='Bonding Program'!$P$17,BV$3&lt;='Bonding Program'!$C$8),N('Bonding Program'!$O$17),0)</f>
        <v>0</v>
      </c>
      <c r="BW158" s="19" t="n">
        <f aca="false">IF(AND('Bonding Program'!$S$17=1,'Bonding Program'!$H$17&gt;'Bonding Program'!$C$8,BW$3='Bonding Program'!$H$17),'Bonding Program'!$T$17-'Bonding Program'!$U$17-'Bonding Program'!$Z$17,0)-IF(AND('Bonding Program'!$S$17=1,'Bonding Program'!$H$17&lt;='Bonding Program'!$C$8,BW$3=IF('Bonding Program'!$P$17&lt;&gt;"",'Bonding Program'!$P$17,'Bonding Program'!$C$8)),'Bonding Program'!$Z$17,0)+IF(AND('Bonding Program'!$P$17&lt;&gt;"",BW$3='Bonding Program'!$P$17,BW$3&lt;='Bonding Program'!$C$8),N('Bonding Program'!$O$17),0)</f>
        <v>0</v>
      </c>
      <c r="BX158" s="19" t="n">
        <f aca="false">IF(AND('Bonding Program'!$S$17=1,'Bonding Program'!$H$17&gt;'Bonding Program'!$C$8,BX$3='Bonding Program'!$H$17),'Bonding Program'!$T$17-'Bonding Program'!$U$17-'Bonding Program'!$Z$17,0)-IF(AND('Bonding Program'!$S$17=1,'Bonding Program'!$H$17&lt;='Bonding Program'!$C$8,BX$3=IF('Bonding Program'!$P$17&lt;&gt;"",'Bonding Program'!$P$17,'Bonding Program'!$C$8)),'Bonding Program'!$Z$17,0)+IF(AND('Bonding Program'!$P$17&lt;&gt;"",BX$3='Bonding Program'!$P$17,BX$3&lt;='Bonding Program'!$C$8),N('Bonding Program'!$O$17),0)</f>
        <v>0</v>
      </c>
      <c r="BY158" s="19" t="n">
        <f aca="false">IF(AND('Bonding Program'!$S$17=1,'Bonding Program'!$H$17&gt;'Bonding Program'!$C$8,BY$3='Bonding Program'!$H$17),'Bonding Program'!$T$17-'Bonding Program'!$U$17-'Bonding Program'!$Z$17,0)-IF(AND('Bonding Program'!$S$17=1,'Bonding Program'!$H$17&lt;='Bonding Program'!$C$8,BY$3=IF('Bonding Program'!$P$17&lt;&gt;"",'Bonding Program'!$P$17,'Bonding Program'!$C$8)),'Bonding Program'!$Z$17,0)+IF(AND('Bonding Program'!$P$17&lt;&gt;"",BY$3='Bonding Program'!$P$17,BY$3&lt;='Bonding Program'!$C$8),N('Bonding Program'!$O$17),0)</f>
        <v>0</v>
      </c>
      <c r="BZ158" s="19" t="n">
        <f aca="false">IF(AND('Bonding Program'!$S$17=1,'Bonding Program'!$H$17&gt;'Bonding Program'!$C$8,BZ$3='Bonding Program'!$H$17),'Bonding Program'!$T$17-'Bonding Program'!$U$17-'Bonding Program'!$Z$17,0)-IF(AND('Bonding Program'!$S$17=1,'Bonding Program'!$H$17&lt;='Bonding Program'!$C$8,BZ$3=IF('Bonding Program'!$P$17&lt;&gt;"",'Bonding Program'!$P$17,'Bonding Program'!$C$8)),'Bonding Program'!$Z$17,0)+IF(AND('Bonding Program'!$P$17&lt;&gt;"",BZ$3='Bonding Program'!$P$17,BZ$3&lt;='Bonding Program'!$C$8),N('Bonding Program'!$O$17),0)</f>
        <v>0</v>
      </c>
      <c r="CA158" s="19" t="n">
        <f aca="false">IF(AND('Bonding Program'!$S$17=1,'Bonding Program'!$H$17&gt;'Bonding Program'!$C$8,CA$3='Bonding Program'!$H$17),'Bonding Program'!$T$17-'Bonding Program'!$U$17-'Bonding Program'!$Z$17,0)-IF(AND('Bonding Program'!$S$17=1,'Bonding Program'!$H$17&lt;='Bonding Program'!$C$8,CA$3=IF('Bonding Program'!$P$17&lt;&gt;"",'Bonding Program'!$P$17,'Bonding Program'!$C$8)),'Bonding Program'!$Z$17,0)+IF(AND('Bonding Program'!$P$17&lt;&gt;"",CA$3='Bonding Program'!$P$17,CA$3&lt;='Bonding Program'!$C$8),N('Bonding Program'!$O$17),0)</f>
        <v>0</v>
      </c>
      <c r="CB158" s="19" t="n">
        <f aca="false">IF(AND('Bonding Program'!$S$17=1,'Bonding Program'!$H$17&gt;'Bonding Program'!$C$8,CB$3='Bonding Program'!$H$17),'Bonding Program'!$T$17-'Bonding Program'!$U$17-'Bonding Program'!$Z$17,0)-IF(AND('Bonding Program'!$S$17=1,'Bonding Program'!$H$17&lt;='Bonding Program'!$C$8,CB$3=IF('Bonding Program'!$P$17&lt;&gt;"",'Bonding Program'!$P$17,'Bonding Program'!$C$8)),'Bonding Program'!$Z$17,0)+IF(AND('Bonding Program'!$P$17&lt;&gt;"",CB$3='Bonding Program'!$P$17,CB$3&lt;='Bonding Program'!$C$8),N('Bonding Program'!$O$17),0)</f>
        <v>0</v>
      </c>
      <c r="CC158" s="19" t="n">
        <f aca="false">IF(AND('Bonding Program'!$S$17=1,'Bonding Program'!$H$17&gt;'Bonding Program'!$C$8,CC$3='Bonding Program'!$H$17),'Bonding Program'!$T$17-'Bonding Program'!$U$17-'Bonding Program'!$Z$17,0)-IF(AND('Bonding Program'!$S$17=1,'Bonding Program'!$H$17&lt;='Bonding Program'!$C$8,CC$3=IF('Bonding Program'!$P$17&lt;&gt;"",'Bonding Program'!$P$17,'Bonding Program'!$C$8)),'Bonding Program'!$Z$17,0)+IF(AND('Bonding Program'!$P$17&lt;&gt;"",CC$3='Bonding Program'!$P$17,CC$3&lt;='Bonding Program'!$C$8),N('Bonding Program'!$O$17),0)</f>
        <v>0</v>
      </c>
      <c r="CD158" s="19" t="n">
        <f aca="false">IF(AND('Bonding Program'!$S$17=1,'Bonding Program'!$H$17&gt;'Bonding Program'!$C$8,CD$3='Bonding Program'!$H$17),'Bonding Program'!$T$17-'Bonding Program'!$U$17-'Bonding Program'!$Z$17,0)-IF(AND('Bonding Program'!$S$17=1,'Bonding Program'!$H$17&lt;='Bonding Program'!$C$8,CD$3=IF('Bonding Program'!$P$17&lt;&gt;"",'Bonding Program'!$P$17,'Bonding Program'!$C$8)),'Bonding Program'!$Z$17,0)+IF(AND('Bonding Program'!$P$17&lt;&gt;"",CD$3='Bonding Program'!$P$17,CD$3&lt;='Bonding Program'!$C$8),N('Bonding Program'!$O$17),0)</f>
        <v>0</v>
      </c>
      <c r="CE158" s="19" t="n">
        <f aca="false">IF(AND('Bonding Program'!$S$17=1,'Bonding Program'!$H$17&gt;'Bonding Program'!$C$8,CE$3='Bonding Program'!$H$17),'Bonding Program'!$T$17-'Bonding Program'!$U$17-'Bonding Program'!$Z$17,0)-IF(AND('Bonding Program'!$S$17=1,'Bonding Program'!$H$17&lt;='Bonding Program'!$C$8,CE$3=IF('Bonding Program'!$P$17&lt;&gt;"",'Bonding Program'!$P$17,'Bonding Program'!$C$8)),'Bonding Program'!$Z$17,0)+IF(AND('Bonding Program'!$P$17&lt;&gt;"",CE$3='Bonding Program'!$P$17,CE$3&lt;='Bonding Program'!$C$8),N('Bonding Program'!$O$17),0)</f>
        <v>0</v>
      </c>
      <c r="CF158" s="19" t="n">
        <f aca="false">IF(AND('Bonding Program'!$S$17=1,'Bonding Program'!$H$17&gt;'Bonding Program'!$C$8,CF$3='Bonding Program'!$H$17),'Bonding Program'!$T$17-'Bonding Program'!$U$17-'Bonding Program'!$Z$17,0)-IF(AND('Bonding Program'!$S$17=1,'Bonding Program'!$H$17&lt;='Bonding Program'!$C$8,CF$3=IF('Bonding Program'!$P$17&lt;&gt;"",'Bonding Program'!$P$17,'Bonding Program'!$C$8)),'Bonding Program'!$Z$17,0)+IF(AND('Bonding Program'!$P$17&lt;&gt;"",CF$3='Bonding Program'!$P$17,CF$3&lt;='Bonding Program'!$C$8),N('Bonding Program'!$O$17),0)</f>
        <v>0</v>
      </c>
      <c r="CG158" s="19" t="n">
        <f aca="false">IF(AND('Bonding Program'!$S$17=1,'Bonding Program'!$H$17&gt;'Bonding Program'!$C$8,CG$3='Bonding Program'!$H$17),'Bonding Program'!$T$17-'Bonding Program'!$U$17-'Bonding Program'!$Z$17,0)-IF(AND('Bonding Program'!$S$17=1,'Bonding Program'!$H$17&lt;='Bonding Program'!$C$8,CG$3=IF('Bonding Program'!$P$17&lt;&gt;"",'Bonding Program'!$P$17,'Bonding Program'!$C$8)),'Bonding Program'!$Z$17,0)+IF(AND('Bonding Program'!$P$17&lt;&gt;"",CG$3='Bonding Program'!$P$17,CG$3&lt;='Bonding Program'!$C$8),N('Bonding Program'!$O$17),0)</f>
        <v>0</v>
      </c>
      <c r="CH158" s="19" t="n">
        <f aca="false">IF(AND('Bonding Program'!$S$17=1,'Bonding Program'!$H$17&gt;'Bonding Program'!$C$8,CH$3='Bonding Program'!$H$17),'Bonding Program'!$T$17-'Bonding Program'!$U$17-'Bonding Program'!$Z$17,0)-IF(AND('Bonding Program'!$S$17=1,'Bonding Program'!$H$17&lt;='Bonding Program'!$C$8,CH$3=IF('Bonding Program'!$P$17&lt;&gt;"",'Bonding Program'!$P$17,'Bonding Program'!$C$8)),'Bonding Program'!$Z$17,0)+IF(AND('Bonding Program'!$P$17&lt;&gt;"",CH$3='Bonding Program'!$P$17,CH$3&lt;='Bonding Program'!$C$8),N('Bonding Program'!$O$17),0)</f>
        <v>0</v>
      </c>
      <c r="CI158" s="19" t="n">
        <f aca="false">IF(AND('Bonding Program'!$S$17=1,'Bonding Program'!$H$17&gt;'Bonding Program'!$C$8,CI$3='Bonding Program'!$H$17),'Bonding Program'!$T$17-'Bonding Program'!$U$17-'Bonding Program'!$Z$17,0)-IF(AND('Bonding Program'!$S$17=1,'Bonding Program'!$H$17&lt;='Bonding Program'!$C$8,CI$3=IF('Bonding Program'!$P$17&lt;&gt;"",'Bonding Program'!$P$17,'Bonding Program'!$C$8)),'Bonding Program'!$Z$17,0)+IF(AND('Bonding Program'!$P$17&lt;&gt;"",CI$3='Bonding Program'!$P$17,CI$3&lt;='Bonding Program'!$C$8),N('Bonding Program'!$O$17),0)</f>
        <v>0</v>
      </c>
      <c r="CJ158" s="19" t="n">
        <f aca="false">IF(AND('Bonding Program'!$S$17=1,'Bonding Program'!$H$17&gt;'Bonding Program'!$C$8,CJ$3='Bonding Program'!$H$17),'Bonding Program'!$T$17-'Bonding Program'!$U$17-'Bonding Program'!$Z$17,0)-IF(AND('Bonding Program'!$S$17=1,'Bonding Program'!$H$17&lt;='Bonding Program'!$C$8,CJ$3=IF('Bonding Program'!$P$17&lt;&gt;"",'Bonding Program'!$P$17,'Bonding Program'!$C$8)),'Bonding Program'!$Z$17,0)+IF(AND('Bonding Program'!$P$17&lt;&gt;"",CJ$3='Bonding Program'!$P$17,CJ$3&lt;='Bonding Program'!$C$8),N('Bonding Program'!$O$17),0)</f>
        <v>0</v>
      </c>
      <c r="CK158" s="19" t="n">
        <f aca="false">IF(AND('Bonding Program'!$S$17=1,'Bonding Program'!$H$17&gt;'Bonding Program'!$C$8,CK$3='Bonding Program'!$H$17),'Bonding Program'!$T$17-'Bonding Program'!$U$17-'Bonding Program'!$Z$17,0)-IF(AND('Bonding Program'!$S$17=1,'Bonding Program'!$H$17&lt;='Bonding Program'!$C$8,CK$3=IF('Bonding Program'!$P$17&lt;&gt;"",'Bonding Program'!$P$17,'Bonding Program'!$C$8)),'Bonding Program'!$Z$17,0)+IF(AND('Bonding Program'!$P$17&lt;&gt;"",CK$3='Bonding Program'!$P$17,CK$3&lt;='Bonding Program'!$C$8),N('Bonding Program'!$O$17),0)</f>
        <v>0</v>
      </c>
      <c r="CL158" s="19" t="n">
        <f aca="false">IF(AND('Bonding Program'!$S$17=1,'Bonding Program'!$H$17&gt;'Bonding Program'!$C$8,CL$3='Bonding Program'!$H$17),'Bonding Program'!$T$17-'Bonding Program'!$U$17-'Bonding Program'!$Z$17,0)-IF(AND('Bonding Program'!$S$17=1,'Bonding Program'!$H$17&lt;='Bonding Program'!$C$8,CL$3=IF('Bonding Program'!$P$17&lt;&gt;"",'Bonding Program'!$P$17,'Bonding Program'!$C$8)),'Bonding Program'!$Z$17,0)+IF(AND('Bonding Program'!$P$17&lt;&gt;"",CL$3='Bonding Program'!$P$17,CL$3&lt;='Bonding Program'!$C$8),N('Bonding Program'!$O$17),0)</f>
        <v>0</v>
      </c>
      <c r="CM158" s="19" t="n">
        <f aca="false">IF(AND('Bonding Program'!$S$17=1,'Bonding Program'!$H$17&gt;'Bonding Program'!$C$8,CM$3='Bonding Program'!$H$17),'Bonding Program'!$T$17-'Bonding Program'!$U$17-'Bonding Program'!$Z$17,0)-IF(AND('Bonding Program'!$S$17=1,'Bonding Program'!$H$17&lt;='Bonding Program'!$C$8,CM$3=IF('Bonding Program'!$P$17&lt;&gt;"",'Bonding Program'!$P$17,'Bonding Program'!$C$8)),'Bonding Program'!$Z$17,0)+IF(AND('Bonding Program'!$P$17&lt;&gt;"",CM$3='Bonding Program'!$P$17,CM$3&lt;='Bonding Program'!$C$8),N('Bonding Program'!$O$17),0)</f>
        <v>0</v>
      </c>
      <c r="CN158" s="19" t="n">
        <f aca="false">IF(AND('Bonding Program'!$S$17=1,'Bonding Program'!$H$17&gt;'Bonding Program'!$C$8,CN$3='Bonding Program'!$H$17),'Bonding Program'!$T$17-'Bonding Program'!$U$17-'Bonding Program'!$Z$17,0)-IF(AND('Bonding Program'!$S$17=1,'Bonding Program'!$H$17&lt;='Bonding Program'!$C$8,CN$3=IF('Bonding Program'!$P$17&lt;&gt;"",'Bonding Program'!$P$17,'Bonding Program'!$C$8)),'Bonding Program'!$Z$17,0)+IF(AND('Bonding Program'!$P$17&lt;&gt;"",CN$3='Bonding Program'!$P$17,CN$3&lt;='Bonding Program'!$C$8),N('Bonding Program'!$O$17),0)</f>
        <v>0</v>
      </c>
      <c r="CO158" s="19" t="n">
        <f aca="false">IF(AND('Bonding Program'!$S$17=1,'Bonding Program'!$H$17&gt;'Bonding Program'!$C$8,CO$3='Bonding Program'!$H$17),'Bonding Program'!$T$17-'Bonding Program'!$U$17-'Bonding Program'!$Z$17,0)-IF(AND('Bonding Program'!$S$17=1,'Bonding Program'!$H$17&lt;='Bonding Program'!$C$8,CO$3=IF('Bonding Program'!$P$17&lt;&gt;"",'Bonding Program'!$P$17,'Bonding Program'!$C$8)),'Bonding Program'!$Z$17,0)+IF(AND('Bonding Program'!$P$17&lt;&gt;"",CO$3='Bonding Program'!$P$17,CO$3&lt;='Bonding Program'!$C$8),N('Bonding Program'!$O$17),0)</f>
        <v>0</v>
      </c>
      <c r="CP158" s="19" t="n">
        <f aca="false">IF(AND('Bonding Program'!$S$17=1,'Bonding Program'!$H$17&gt;'Bonding Program'!$C$8,CP$3='Bonding Program'!$H$17),'Bonding Program'!$T$17-'Bonding Program'!$U$17-'Bonding Program'!$Z$17,0)-IF(AND('Bonding Program'!$S$17=1,'Bonding Program'!$H$17&lt;='Bonding Program'!$C$8,CP$3=IF('Bonding Program'!$P$17&lt;&gt;"",'Bonding Program'!$P$17,'Bonding Program'!$C$8)),'Bonding Program'!$Z$17,0)+IF(AND('Bonding Program'!$P$17&lt;&gt;"",CP$3='Bonding Program'!$P$17,CP$3&lt;='Bonding Program'!$C$8),N('Bonding Program'!$O$17),0)</f>
        <v>0</v>
      </c>
      <c r="CQ158" s="19" t="n">
        <f aca="false">IF(AND('Bonding Program'!$S$17=1,'Bonding Program'!$H$17&gt;'Bonding Program'!$C$8,CQ$3='Bonding Program'!$H$17),'Bonding Program'!$T$17-'Bonding Program'!$U$17-'Bonding Program'!$Z$17,0)-IF(AND('Bonding Program'!$S$17=1,'Bonding Program'!$H$17&lt;='Bonding Program'!$C$8,CQ$3=IF('Bonding Program'!$P$17&lt;&gt;"",'Bonding Program'!$P$17,'Bonding Program'!$C$8)),'Bonding Program'!$Z$17,0)+IF(AND('Bonding Program'!$P$17&lt;&gt;"",CQ$3='Bonding Program'!$P$17,CQ$3&lt;='Bonding Program'!$C$8),N('Bonding Program'!$O$17),0)</f>
        <v>0</v>
      </c>
      <c r="CR158" s="19" t="n">
        <f aca="false">IF(AND('Bonding Program'!$S$17=1,'Bonding Program'!$H$17&gt;'Bonding Program'!$C$8,CR$3='Bonding Program'!$H$17),'Bonding Program'!$T$17-'Bonding Program'!$U$17-'Bonding Program'!$Z$17,0)-IF(AND('Bonding Program'!$S$17=1,'Bonding Program'!$H$17&lt;='Bonding Program'!$C$8,CR$3=IF('Bonding Program'!$P$17&lt;&gt;"",'Bonding Program'!$P$17,'Bonding Program'!$C$8)),'Bonding Program'!$Z$17,0)+IF(AND('Bonding Program'!$P$17&lt;&gt;"",CR$3='Bonding Program'!$P$17,CR$3&lt;='Bonding Program'!$C$8),N('Bonding Program'!$O$17),0)</f>
        <v>0</v>
      </c>
      <c r="CS158" s="19" t="n">
        <f aca="false">IF(AND('Bonding Program'!$S$17=1,'Bonding Program'!$H$17&gt;'Bonding Program'!$C$8,CS$3='Bonding Program'!$H$17),'Bonding Program'!$T$17-'Bonding Program'!$U$17-'Bonding Program'!$Z$17,0)-IF(AND('Bonding Program'!$S$17=1,'Bonding Program'!$H$17&lt;='Bonding Program'!$C$8,CS$3=IF('Bonding Program'!$P$17&lt;&gt;"",'Bonding Program'!$P$17,'Bonding Program'!$C$8)),'Bonding Program'!$Z$17,0)+IF(AND('Bonding Program'!$P$17&lt;&gt;"",CS$3='Bonding Program'!$P$17,CS$3&lt;='Bonding Program'!$C$8),N('Bonding Program'!$O$17),0)</f>
        <v>0</v>
      </c>
      <c r="CT158" s="19" t="n">
        <f aca="false">IF(AND('Bonding Program'!$S$17=1,'Bonding Program'!$H$17&gt;'Bonding Program'!$C$8,CT$3='Bonding Program'!$H$17),'Bonding Program'!$T$17-'Bonding Program'!$U$17-'Bonding Program'!$Z$17,0)-IF(AND('Bonding Program'!$S$17=1,'Bonding Program'!$H$17&lt;='Bonding Program'!$C$8,CT$3=IF('Bonding Program'!$P$17&lt;&gt;"",'Bonding Program'!$P$17,'Bonding Program'!$C$8)),'Bonding Program'!$Z$17,0)+IF(AND('Bonding Program'!$P$17&lt;&gt;"",CT$3='Bonding Program'!$P$17,CT$3&lt;='Bonding Program'!$C$8),N('Bonding Program'!$O$17),0)</f>
        <v>0</v>
      </c>
      <c r="CU158" s="19" t="n">
        <f aca="false">IF(AND('Bonding Program'!$S$17=1,'Bonding Program'!$H$17&gt;'Bonding Program'!$C$8,CU$3='Bonding Program'!$H$17),'Bonding Program'!$T$17-'Bonding Program'!$U$17-'Bonding Program'!$Z$17,0)-IF(AND('Bonding Program'!$S$17=1,'Bonding Program'!$H$17&lt;='Bonding Program'!$C$8,CU$3=IF('Bonding Program'!$P$17&lt;&gt;"",'Bonding Program'!$P$17,'Bonding Program'!$C$8)),'Bonding Program'!$Z$17,0)+IF(AND('Bonding Program'!$P$17&lt;&gt;"",CU$3='Bonding Program'!$P$17,CU$3&lt;='Bonding Program'!$C$8),N('Bonding Program'!$O$17),0)</f>
        <v>0</v>
      </c>
      <c r="CV158" s="19" t="n">
        <f aca="false">IF(AND('Bonding Program'!$S$17=1,'Bonding Program'!$H$17&gt;'Bonding Program'!$C$8,CV$3='Bonding Program'!$H$17),'Bonding Program'!$T$17-'Bonding Program'!$U$17-'Bonding Program'!$Z$17,0)-IF(AND('Bonding Program'!$S$17=1,'Bonding Program'!$H$17&lt;='Bonding Program'!$C$8,CV$3=IF('Bonding Program'!$P$17&lt;&gt;"",'Bonding Program'!$P$17,'Bonding Program'!$C$8)),'Bonding Program'!$Z$17,0)+IF(AND('Bonding Program'!$P$17&lt;&gt;"",CV$3='Bonding Program'!$P$17,CV$3&lt;='Bonding Program'!$C$8),N('Bonding Program'!$O$17),0)</f>
        <v>0</v>
      </c>
      <c r="CW158" s="19" t="n">
        <f aca="false">IF(AND('Bonding Program'!$S$17=1,'Bonding Program'!$H$17&gt;'Bonding Program'!$C$8,CW$3='Bonding Program'!$H$17),'Bonding Program'!$T$17-'Bonding Program'!$U$17-'Bonding Program'!$Z$17,0)-IF(AND('Bonding Program'!$S$17=1,'Bonding Program'!$H$17&lt;='Bonding Program'!$C$8,CW$3=IF('Bonding Program'!$P$17&lt;&gt;"",'Bonding Program'!$P$17,'Bonding Program'!$C$8)),'Bonding Program'!$Z$17,0)+IF(AND('Bonding Program'!$P$17&lt;&gt;"",CW$3='Bonding Program'!$P$17,CW$3&lt;='Bonding Program'!$C$8),N('Bonding Program'!$O$17),0)</f>
        <v>0</v>
      </c>
      <c r="CX158" s="19" t="n">
        <f aca="false">IF(AND('Bonding Program'!$S$17=1,'Bonding Program'!$H$17&gt;'Bonding Program'!$C$8,CX$3='Bonding Program'!$H$17),'Bonding Program'!$T$17-'Bonding Program'!$U$17-'Bonding Program'!$Z$17,0)-IF(AND('Bonding Program'!$S$17=1,'Bonding Program'!$H$17&lt;='Bonding Program'!$C$8,CX$3=IF('Bonding Program'!$P$17&lt;&gt;"",'Bonding Program'!$P$17,'Bonding Program'!$C$8)),'Bonding Program'!$Z$17,0)+IF(AND('Bonding Program'!$P$17&lt;&gt;"",CX$3='Bonding Program'!$P$17,CX$3&lt;='Bonding Program'!$C$8),N('Bonding Program'!$O$17),0)</f>
        <v>0</v>
      </c>
      <c r="CY158" s="19" t="n">
        <f aca="false">IF(AND('Bonding Program'!$S$17=1,'Bonding Program'!$H$17&gt;'Bonding Program'!$C$8,CY$3='Bonding Program'!$H$17),'Bonding Program'!$T$17-'Bonding Program'!$U$17-'Bonding Program'!$Z$17,0)-IF(AND('Bonding Program'!$S$17=1,'Bonding Program'!$H$17&lt;='Bonding Program'!$C$8,CY$3=IF('Bonding Program'!$P$17&lt;&gt;"",'Bonding Program'!$P$17,'Bonding Program'!$C$8)),'Bonding Program'!$Z$17,0)+IF(AND('Bonding Program'!$P$17&lt;&gt;"",CY$3='Bonding Program'!$P$17,CY$3&lt;='Bonding Program'!$C$8),N('Bonding Program'!$O$17),0)</f>
        <v>0</v>
      </c>
      <c r="CZ158" s="19" t="n">
        <f aca="false">IF(AND('Bonding Program'!$S$17=1,'Bonding Program'!$H$17&gt;'Bonding Program'!$C$8,CZ$3='Bonding Program'!$H$17),'Bonding Program'!$T$17-'Bonding Program'!$U$17-'Bonding Program'!$Z$17,0)-IF(AND('Bonding Program'!$S$17=1,'Bonding Program'!$H$17&lt;='Bonding Program'!$C$8,CZ$3=IF('Bonding Program'!$P$17&lt;&gt;"",'Bonding Program'!$P$17,'Bonding Program'!$C$8)),'Bonding Program'!$Z$17,0)+IF(AND('Bonding Program'!$P$17&lt;&gt;"",CZ$3='Bonding Program'!$P$17,CZ$3&lt;='Bonding Program'!$C$8),N('Bonding Program'!$O$17),0)</f>
        <v>0</v>
      </c>
      <c r="DA158" s="19" t="n">
        <f aca="false">IF(AND('Bonding Program'!$S$17=1,'Bonding Program'!$H$17&gt;'Bonding Program'!$C$8,DA$3='Bonding Program'!$H$17),'Bonding Program'!$T$17-'Bonding Program'!$U$17-'Bonding Program'!$Z$17,0)-IF(AND('Bonding Program'!$S$17=1,'Bonding Program'!$H$17&lt;='Bonding Program'!$C$8,DA$3=IF('Bonding Program'!$P$17&lt;&gt;"",'Bonding Program'!$P$17,'Bonding Program'!$C$8)),'Bonding Program'!$Z$17,0)+IF(AND('Bonding Program'!$P$17&lt;&gt;"",DA$3='Bonding Program'!$P$17,DA$3&lt;='Bonding Program'!$C$8),N('Bonding Program'!$O$17),0)</f>
        <v>0</v>
      </c>
      <c r="DB158" s="19" t="n">
        <f aca="false">IF(AND('Bonding Program'!$S$17=1,'Bonding Program'!$H$17&gt;'Bonding Program'!$C$8,DB$3='Bonding Program'!$H$17),'Bonding Program'!$T$17-'Bonding Program'!$U$17-'Bonding Program'!$Z$17,0)-IF(AND('Bonding Program'!$S$17=1,'Bonding Program'!$H$17&lt;='Bonding Program'!$C$8,DB$3=IF('Bonding Program'!$P$17&lt;&gt;"",'Bonding Program'!$P$17,'Bonding Program'!$C$8)),'Bonding Program'!$Z$17,0)+IF(AND('Bonding Program'!$P$17&lt;&gt;"",DB$3='Bonding Program'!$P$17,DB$3&lt;='Bonding Program'!$C$8),N('Bonding Program'!$O$17),0)</f>
        <v>0</v>
      </c>
      <c r="DC158" s="19" t="n">
        <f aca="false">IF(AND('Bonding Program'!$S$17=1,'Bonding Program'!$H$17&gt;'Bonding Program'!$C$8,DC$3='Bonding Program'!$H$17),'Bonding Program'!$T$17-'Bonding Program'!$U$17-'Bonding Program'!$Z$17,0)-IF(AND('Bonding Program'!$S$17=1,'Bonding Program'!$H$17&lt;='Bonding Program'!$C$8,DC$3=IF('Bonding Program'!$P$17&lt;&gt;"",'Bonding Program'!$P$17,'Bonding Program'!$C$8)),'Bonding Program'!$Z$17,0)+IF(AND('Bonding Program'!$P$17&lt;&gt;"",DC$3='Bonding Program'!$P$17,DC$3&lt;='Bonding Program'!$C$8),N('Bonding Program'!$O$17),0)</f>
        <v>0</v>
      </c>
      <c r="DD158" s="19" t="n">
        <f aca="false">IF(AND('Bonding Program'!$S$17=1,'Bonding Program'!$H$17&gt;'Bonding Program'!$C$8,DD$3='Bonding Program'!$H$17),'Bonding Program'!$T$17-'Bonding Program'!$U$17-'Bonding Program'!$Z$17,0)-IF(AND('Bonding Program'!$S$17=1,'Bonding Program'!$H$17&lt;='Bonding Program'!$C$8,DD$3=IF('Bonding Program'!$P$17&lt;&gt;"",'Bonding Program'!$P$17,'Bonding Program'!$C$8)),'Bonding Program'!$Z$17,0)+IF(AND('Bonding Program'!$P$17&lt;&gt;"",DD$3='Bonding Program'!$P$17,DD$3&lt;='Bonding Program'!$C$8),N('Bonding Program'!$O$17),0)</f>
        <v>0</v>
      </c>
      <c r="DE158" s="19" t="n">
        <f aca="false">IF(AND('Bonding Program'!$S$17=1,'Bonding Program'!$H$17&gt;'Bonding Program'!$C$8,DE$3='Bonding Program'!$H$17),'Bonding Program'!$T$17-'Bonding Program'!$U$17-'Bonding Program'!$Z$17,0)-IF(AND('Bonding Program'!$S$17=1,'Bonding Program'!$H$17&lt;='Bonding Program'!$C$8,DE$3=IF('Bonding Program'!$P$17&lt;&gt;"",'Bonding Program'!$P$17,'Bonding Program'!$C$8)),'Bonding Program'!$Z$17,0)+IF(AND('Bonding Program'!$P$17&lt;&gt;"",DE$3='Bonding Program'!$P$17,DE$3&lt;='Bonding Program'!$C$8),N('Bonding Program'!$O$17),0)</f>
        <v>0</v>
      </c>
    </row>
    <row r="159" customFormat="false" ht="15" hidden="false" customHeight="true" outlineLevel="1" collapsed="false">
      <c r="A159" s="28" t="s">
        <v>14</v>
      </c>
      <c r="B159" s="19" t="n">
        <f aca="false">IF(AND('Bonding Program'!$S$18=1,'Bonding Program'!$H$18&gt;'Bonding Program'!$C$8,B$3='Bonding Program'!$H$18),'Bonding Program'!$T$18-'Bonding Program'!$U$18-'Bonding Program'!$Z$18,0)-IF(AND('Bonding Program'!$S$18=1,'Bonding Program'!$H$18&lt;='Bonding Program'!$C$8,B$3=IF('Bonding Program'!$P$18&lt;&gt;"",'Bonding Program'!$P$18,'Bonding Program'!$C$8)),'Bonding Program'!$Z$18,0)+IF(AND('Bonding Program'!$P$18&lt;&gt;"",B$3='Bonding Program'!$P$18,B$3&lt;='Bonding Program'!$C$8),N('Bonding Program'!$O$18),0)</f>
        <v>0</v>
      </c>
      <c r="C159" s="19" t="n">
        <f aca="false">IF(AND('Bonding Program'!$S$18=1,'Bonding Program'!$H$18&gt;'Bonding Program'!$C$8,C$3='Bonding Program'!$H$18),'Bonding Program'!$T$18-'Bonding Program'!$U$18-'Bonding Program'!$Z$18,0)-IF(AND('Bonding Program'!$S$18=1,'Bonding Program'!$H$18&lt;='Bonding Program'!$C$8,C$3=IF('Bonding Program'!$P$18&lt;&gt;"",'Bonding Program'!$P$18,'Bonding Program'!$C$8)),'Bonding Program'!$Z$18,0)+IF(AND('Bonding Program'!$P$18&lt;&gt;"",C$3='Bonding Program'!$P$18,C$3&lt;='Bonding Program'!$C$8),N('Bonding Program'!$O$18),0)</f>
        <v>0</v>
      </c>
      <c r="D159" s="19" t="n">
        <f aca="false">IF(AND('Bonding Program'!$S$18=1,'Bonding Program'!$H$18&gt;'Bonding Program'!$C$8,D$3='Bonding Program'!$H$18),'Bonding Program'!$T$18-'Bonding Program'!$U$18-'Bonding Program'!$Z$18,0)-IF(AND('Bonding Program'!$S$18=1,'Bonding Program'!$H$18&lt;='Bonding Program'!$C$8,D$3=IF('Bonding Program'!$P$18&lt;&gt;"",'Bonding Program'!$P$18,'Bonding Program'!$C$8)),'Bonding Program'!$Z$18,0)+IF(AND('Bonding Program'!$P$18&lt;&gt;"",D$3='Bonding Program'!$P$18,D$3&lt;='Bonding Program'!$C$8),N('Bonding Program'!$O$18),0)</f>
        <v>0</v>
      </c>
      <c r="E159" s="19" t="n">
        <f aca="false">IF(AND('Bonding Program'!$S$18=1,'Bonding Program'!$H$18&gt;'Bonding Program'!$C$8,E$3='Bonding Program'!$H$18),'Bonding Program'!$T$18-'Bonding Program'!$U$18-'Bonding Program'!$Z$18,0)-IF(AND('Bonding Program'!$S$18=1,'Bonding Program'!$H$18&lt;='Bonding Program'!$C$8,E$3=IF('Bonding Program'!$P$18&lt;&gt;"",'Bonding Program'!$P$18,'Bonding Program'!$C$8)),'Bonding Program'!$Z$18,0)+IF(AND('Bonding Program'!$P$18&lt;&gt;"",E$3='Bonding Program'!$P$18,E$3&lt;='Bonding Program'!$C$8),N('Bonding Program'!$O$18),0)</f>
        <v>0</v>
      </c>
      <c r="F159" s="19" t="n">
        <f aca="false">IF(AND('Bonding Program'!$S$18=1,'Bonding Program'!$H$18&gt;'Bonding Program'!$C$8,F$3='Bonding Program'!$H$18),'Bonding Program'!$T$18-'Bonding Program'!$U$18-'Bonding Program'!$Z$18,0)-IF(AND('Bonding Program'!$S$18=1,'Bonding Program'!$H$18&lt;='Bonding Program'!$C$8,F$3=IF('Bonding Program'!$P$18&lt;&gt;"",'Bonding Program'!$P$18,'Bonding Program'!$C$8)),'Bonding Program'!$Z$18,0)+IF(AND('Bonding Program'!$P$18&lt;&gt;"",F$3='Bonding Program'!$P$18,F$3&lt;='Bonding Program'!$C$8),N('Bonding Program'!$O$18),0)</f>
        <v>0</v>
      </c>
      <c r="G159" s="19" t="n">
        <f aca="false">IF(AND('Bonding Program'!$S$18=1,'Bonding Program'!$H$18&gt;'Bonding Program'!$C$8,G$3='Bonding Program'!$H$18),'Bonding Program'!$T$18-'Bonding Program'!$U$18-'Bonding Program'!$Z$18,0)-IF(AND('Bonding Program'!$S$18=1,'Bonding Program'!$H$18&lt;='Bonding Program'!$C$8,G$3=IF('Bonding Program'!$P$18&lt;&gt;"",'Bonding Program'!$P$18,'Bonding Program'!$C$8)),'Bonding Program'!$Z$18,0)+IF(AND('Bonding Program'!$P$18&lt;&gt;"",G$3='Bonding Program'!$P$18,G$3&lt;='Bonding Program'!$C$8),N('Bonding Program'!$O$18),0)</f>
        <v>0</v>
      </c>
      <c r="H159" s="19" t="n">
        <f aca="false">IF(AND('Bonding Program'!$S$18=1,'Bonding Program'!$H$18&gt;'Bonding Program'!$C$8,H$3='Bonding Program'!$H$18),'Bonding Program'!$T$18-'Bonding Program'!$U$18-'Bonding Program'!$Z$18,0)-IF(AND('Bonding Program'!$S$18=1,'Bonding Program'!$H$18&lt;='Bonding Program'!$C$8,H$3=IF('Bonding Program'!$P$18&lt;&gt;"",'Bonding Program'!$P$18,'Bonding Program'!$C$8)),'Bonding Program'!$Z$18,0)+IF(AND('Bonding Program'!$P$18&lt;&gt;"",H$3='Bonding Program'!$P$18,H$3&lt;='Bonding Program'!$C$8),N('Bonding Program'!$O$18),0)</f>
        <v>0</v>
      </c>
      <c r="I159" s="19" t="n">
        <f aca="false">IF(AND('Bonding Program'!$S$18=1,'Bonding Program'!$H$18&gt;'Bonding Program'!$C$8,I$3='Bonding Program'!$H$18),'Bonding Program'!$T$18-'Bonding Program'!$U$18-'Bonding Program'!$Z$18,0)-IF(AND('Bonding Program'!$S$18=1,'Bonding Program'!$H$18&lt;='Bonding Program'!$C$8,I$3=IF('Bonding Program'!$P$18&lt;&gt;"",'Bonding Program'!$P$18,'Bonding Program'!$C$8)),'Bonding Program'!$Z$18,0)+IF(AND('Bonding Program'!$P$18&lt;&gt;"",I$3='Bonding Program'!$P$18,I$3&lt;='Bonding Program'!$C$8),N('Bonding Program'!$O$18),0)</f>
        <v>0</v>
      </c>
      <c r="J159" s="19" t="n">
        <f aca="false">IF(AND('Bonding Program'!$S$18=1,'Bonding Program'!$H$18&gt;'Bonding Program'!$C$8,J$3='Bonding Program'!$H$18),'Bonding Program'!$T$18-'Bonding Program'!$U$18-'Bonding Program'!$Z$18,0)-IF(AND('Bonding Program'!$S$18=1,'Bonding Program'!$H$18&lt;='Bonding Program'!$C$8,J$3=IF('Bonding Program'!$P$18&lt;&gt;"",'Bonding Program'!$P$18,'Bonding Program'!$C$8)),'Bonding Program'!$Z$18,0)+IF(AND('Bonding Program'!$P$18&lt;&gt;"",J$3='Bonding Program'!$P$18,J$3&lt;='Bonding Program'!$C$8),N('Bonding Program'!$O$18),0)</f>
        <v>0</v>
      </c>
      <c r="K159" s="19" t="n">
        <f aca="false">IF(AND('Bonding Program'!$S$18=1,'Bonding Program'!$H$18&gt;'Bonding Program'!$C$8,K$3='Bonding Program'!$H$18),'Bonding Program'!$T$18-'Bonding Program'!$U$18-'Bonding Program'!$Z$18,0)-IF(AND('Bonding Program'!$S$18=1,'Bonding Program'!$H$18&lt;='Bonding Program'!$C$8,K$3=IF('Bonding Program'!$P$18&lt;&gt;"",'Bonding Program'!$P$18,'Bonding Program'!$C$8)),'Bonding Program'!$Z$18,0)+IF(AND('Bonding Program'!$P$18&lt;&gt;"",K$3='Bonding Program'!$P$18,K$3&lt;='Bonding Program'!$C$8),N('Bonding Program'!$O$18),0)</f>
        <v>0</v>
      </c>
      <c r="L159" s="19" t="n">
        <f aca="false">IF(AND('Bonding Program'!$S$18=1,'Bonding Program'!$H$18&gt;'Bonding Program'!$C$8,L$3='Bonding Program'!$H$18),'Bonding Program'!$T$18-'Bonding Program'!$U$18-'Bonding Program'!$Z$18,0)-IF(AND('Bonding Program'!$S$18=1,'Bonding Program'!$H$18&lt;='Bonding Program'!$C$8,L$3=IF('Bonding Program'!$P$18&lt;&gt;"",'Bonding Program'!$P$18,'Bonding Program'!$C$8)),'Bonding Program'!$Z$18,0)+IF(AND('Bonding Program'!$P$18&lt;&gt;"",L$3='Bonding Program'!$P$18,L$3&lt;='Bonding Program'!$C$8),N('Bonding Program'!$O$18),0)</f>
        <v>0</v>
      </c>
      <c r="M159" s="19" t="n">
        <f aca="false">IF(AND('Bonding Program'!$S$18=1,'Bonding Program'!$H$18&gt;'Bonding Program'!$C$8,M$3='Bonding Program'!$H$18),'Bonding Program'!$T$18-'Bonding Program'!$U$18-'Bonding Program'!$Z$18,0)-IF(AND('Bonding Program'!$S$18=1,'Bonding Program'!$H$18&lt;='Bonding Program'!$C$8,M$3=IF('Bonding Program'!$P$18&lt;&gt;"",'Bonding Program'!$P$18,'Bonding Program'!$C$8)),'Bonding Program'!$Z$18,0)+IF(AND('Bonding Program'!$P$18&lt;&gt;"",M$3='Bonding Program'!$P$18,M$3&lt;='Bonding Program'!$C$8),N('Bonding Program'!$O$18),0)</f>
        <v>0</v>
      </c>
      <c r="N159" s="19" t="n">
        <f aca="false">IF(AND('Bonding Program'!$S$18=1,'Bonding Program'!$H$18&gt;'Bonding Program'!$C$8,N$3='Bonding Program'!$H$18),'Bonding Program'!$T$18-'Bonding Program'!$U$18-'Bonding Program'!$Z$18,0)-IF(AND('Bonding Program'!$S$18=1,'Bonding Program'!$H$18&lt;='Bonding Program'!$C$8,N$3=IF('Bonding Program'!$P$18&lt;&gt;"",'Bonding Program'!$P$18,'Bonding Program'!$C$8)),'Bonding Program'!$Z$18,0)+IF(AND('Bonding Program'!$P$18&lt;&gt;"",N$3='Bonding Program'!$P$18,N$3&lt;='Bonding Program'!$C$8),N('Bonding Program'!$O$18),0)</f>
        <v>0</v>
      </c>
      <c r="O159" s="19" t="n">
        <f aca="false">IF(AND('Bonding Program'!$S$18=1,'Bonding Program'!$H$18&gt;'Bonding Program'!$C$8,O$3='Bonding Program'!$H$18),'Bonding Program'!$T$18-'Bonding Program'!$U$18-'Bonding Program'!$Z$18,0)-IF(AND('Bonding Program'!$S$18=1,'Bonding Program'!$H$18&lt;='Bonding Program'!$C$8,O$3=IF('Bonding Program'!$P$18&lt;&gt;"",'Bonding Program'!$P$18,'Bonding Program'!$C$8)),'Bonding Program'!$Z$18,0)+IF(AND('Bonding Program'!$P$18&lt;&gt;"",O$3='Bonding Program'!$P$18,O$3&lt;='Bonding Program'!$C$8),N('Bonding Program'!$O$18),0)</f>
        <v>0</v>
      </c>
      <c r="P159" s="19" t="n">
        <f aca="false">IF(AND('Bonding Program'!$S$18=1,'Bonding Program'!$H$18&gt;'Bonding Program'!$C$8,P$3='Bonding Program'!$H$18),'Bonding Program'!$T$18-'Bonding Program'!$U$18-'Bonding Program'!$Z$18,0)-IF(AND('Bonding Program'!$S$18=1,'Bonding Program'!$H$18&lt;='Bonding Program'!$C$8,P$3=IF('Bonding Program'!$P$18&lt;&gt;"",'Bonding Program'!$P$18,'Bonding Program'!$C$8)),'Bonding Program'!$Z$18,0)+IF(AND('Bonding Program'!$P$18&lt;&gt;"",P$3='Bonding Program'!$P$18,P$3&lt;='Bonding Program'!$C$8),N('Bonding Program'!$O$18),0)</f>
        <v>0</v>
      </c>
      <c r="Q159" s="19" t="n">
        <f aca="false">IF(AND('Bonding Program'!$S$18=1,'Bonding Program'!$H$18&gt;'Bonding Program'!$C$8,Q$3='Bonding Program'!$H$18),'Bonding Program'!$T$18-'Bonding Program'!$U$18-'Bonding Program'!$Z$18,0)-IF(AND('Bonding Program'!$S$18=1,'Bonding Program'!$H$18&lt;='Bonding Program'!$C$8,Q$3=IF('Bonding Program'!$P$18&lt;&gt;"",'Bonding Program'!$P$18,'Bonding Program'!$C$8)),'Bonding Program'!$Z$18,0)+IF(AND('Bonding Program'!$P$18&lt;&gt;"",Q$3='Bonding Program'!$P$18,Q$3&lt;='Bonding Program'!$C$8),N('Bonding Program'!$O$18),0)</f>
        <v>0</v>
      </c>
      <c r="R159" s="19" t="n">
        <f aca="false">IF(AND('Bonding Program'!$S$18=1,'Bonding Program'!$H$18&gt;'Bonding Program'!$C$8,R$3='Bonding Program'!$H$18),'Bonding Program'!$T$18-'Bonding Program'!$U$18-'Bonding Program'!$Z$18,0)-IF(AND('Bonding Program'!$S$18=1,'Bonding Program'!$H$18&lt;='Bonding Program'!$C$8,R$3=IF('Bonding Program'!$P$18&lt;&gt;"",'Bonding Program'!$P$18,'Bonding Program'!$C$8)),'Bonding Program'!$Z$18,0)+IF(AND('Bonding Program'!$P$18&lt;&gt;"",R$3='Bonding Program'!$P$18,R$3&lt;='Bonding Program'!$C$8),N('Bonding Program'!$O$18),0)</f>
        <v>0</v>
      </c>
      <c r="S159" s="19" t="n">
        <f aca="false">IF(AND('Bonding Program'!$S$18=1,'Bonding Program'!$H$18&gt;'Bonding Program'!$C$8,S$3='Bonding Program'!$H$18),'Bonding Program'!$T$18-'Bonding Program'!$U$18-'Bonding Program'!$Z$18,0)-IF(AND('Bonding Program'!$S$18=1,'Bonding Program'!$H$18&lt;='Bonding Program'!$C$8,S$3=IF('Bonding Program'!$P$18&lt;&gt;"",'Bonding Program'!$P$18,'Bonding Program'!$C$8)),'Bonding Program'!$Z$18,0)+IF(AND('Bonding Program'!$P$18&lt;&gt;"",S$3='Bonding Program'!$P$18,S$3&lt;='Bonding Program'!$C$8),N('Bonding Program'!$O$18),0)</f>
        <v>0</v>
      </c>
      <c r="T159" s="19" t="n">
        <f aca="false">IF(AND('Bonding Program'!$S$18=1,'Bonding Program'!$H$18&gt;'Bonding Program'!$C$8,T$3='Bonding Program'!$H$18),'Bonding Program'!$T$18-'Bonding Program'!$U$18-'Bonding Program'!$Z$18,0)-IF(AND('Bonding Program'!$S$18=1,'Bonding Program'!$H$18&lt;='Bonding Program'!$C$8,T$3=IF('Bonding Program'!$P$18&lt;&gt;"",'Bonding Program'!$P$18,'Bonding Program'!$C$8)),'Bonding Program'!$Z$18,0)+IF(AND('Bonding Program'!$P$18&lt;&gt;"",T$3='Bonding Program'!$P$18,T$3&lt;='Bonding Program'!$C$8),N('Bonding Program'!$O$18),0)</f>
        <v>0</v>
      </c>
      <c r="U159" s="19" t="n">
        <f aca="false">IF(AND('Bonding Program'!$S$18=1,'Bonding Program'!$H$18&gt;'Bonding Program'!$C$8,U$3='Bonding Program'!$H$18),'Bonding Program'!$T$18-'Bonding Program'!$U$18-'Bonding Program'!$Z$18,0)-IF(AND('Bonding Program'!$S$18=1,'Bonding Program'!$H$18&lt;='Bonding Program'!$C$8,U$3=IF('Bonding Program'!$P$18&lt;&gt;"",'Bonding Program'!$P$18,'Bonding Program'!$C$8)),'Bonding Program'!$Z$18,0)+IF(AND('Bonding Program'!$P$18&lt;&gt;"",U$3='Bonding Program'!$P$18,U$3&lt;='Bonding Program'!$C$8),N('Bonding Program'!$O$18),0)</f>
        <v>0</v>
      </c>
      <c r="V159" s="19" t="n">
        <f aca="false">IF(AND('Bonding Program'!$S$18=1,'Bonding Program'!$H$18&gt;'Bonding Program'!$C$8,V$3='Bonding Program'!$H$18),'Bonding Program'!$T$18-'Bonding Program'!$U$18-'Bonding Program'!$Z$18,0)-IF(AND('Bonding Program'!$S$18=1,'Bonding Program'!$H$18&lt;='Bonding Program'!$C$8,V$3=IF('Bonding Program'!$P$18&lt;&gt;"",'Bonding Program'!$P$18,'Bonding Program'!$C$8)),'Bonding Program'!$Z$18,0)+IF(AND('Bonding Program'!$P$18&lt;&gt;"",V$3='Bonding Program'!$P$18,V$3&lt;='Bonding Program'!$C$8),N('Bonding Program'!$O$18),0)</f>
        <v>0</v>
      </c>
      <c r="W159" s="19" t="n">
        <f aca="false">IF(AND('Bonding Program'!$S$18=1,'Bonding Program'!$H$18&gt;'Bonding Program'!$C$8,W$3='Bonding Program'!$H$18),'Bonding Program'!$T$18-'Bonding Program'!$U$18-'Bonding Program'!$Z$18,0)-IF(AND('Bonding Program'!$S$18=1,'Bonding Program'!$H$18&lt;='Bonding Program'!$C$8,W$3=IF('Bonding Program'!$P$18&lt;&gt;"",'Bonding Program'!$P$18,'Bonding Program'!$C$8)),'Bonding Program'!$Z$18,0)+IF(AND('Bonding Program'!$P$18&lt;&gt;"",W$3='Bonding Program'!$P$18,W$3&lt;='Bonding Program'!$C$8),N('Bonding Program'!$O$18),0)</f>
        <v>0</v>
      </c>
      <c r="X159" s="19" t="n">
        <f aca="false">IF(AND('Bonding Program'!$S$18=1,'Bonding Program'!$H$18&gt;'Bonding Program'!$C$8,X$3='Bonding Program'!$H$18),'Bonding Program'!$T$18-'Bonding Program'!$U$18-'Bonding Program'!$Z$18,0)-IF(AND('Bonding Program'!$S$18=1,'Bonding Program'!$H$18&lt;='Bonding Program'!$C$8,X$3=IF('Bonding Program'!$P$18&lt;&gt;"",'Bonding Program'!$P$18,'Bonding Program'!$C$8)),'Bonding Program'!$Z$18,0)+IF(AND('Bonding Program'!$P$18&lt;&gt;"",X$3='Bonding Program'!$P$18,X$3&lt;='Bonding Program'!$C$8),N('Bonding Program'!$O$18),0)</f>
        <v>0</v>
      </c>
      <c r="Y159" s="19" t="n">
        <f aca="false">IF(AND('Bonding Program'!$S$18=1,'Bonding Program'!$H$18&gt;'Bonding Program'!$C$8,Y$3='Bonding Program'!$H$18),'Bonding Program'!$T$18-'Bonding Program'!$U$18-'Bonding Program'!$Z$18,0)-IF(AND('Bonding Program'!$S$18=1,'Bonding Program'!$H$18&lt;='Bonding Program'!$C$8,Y$3=IF('Bonding Program'!$P$18&lt;&gt;"",'Bonding Program'!$P$18,'Bonding Program'!$C$8)),'Bonding Program'!$Z$18,0)+IF(AND('Bonding Program'!$P$18&lt;&gt;"",Y$3='Bonding Program'!$P$18,Y$3&lt;='Bonding Program'!$C$8),N('Bonding Program'!$O$18),0)</f>
        <v>0</v>
      </c>
      <c r="Z159" s="19" t="n">
        <f aca="false">IF(AND('Bonding Program'!$S$18=1,'Bonding Program'!$H$18&gt;'Bonding Program'!$C$8,Z$3='Bonding Program'!$H$18),'Bonding Program'!$T$18-'Bonding Program'!$U$18-'Bonding Program'!$Z$18,0)-IF(AND('Bonding Program'!$S$18=1,'Bonding Program'!$H$18&lt;='Bonding Program'!$C$8,Z$3=IF('Bonding Program'!$P$18&lt;&gt;"",'Bonding Program'!$P$18,'Bonding Program'!$C$8)),'Bonding Program'!$Z$18,0)+IF(AND('Bonding Program'!$P$18&lt;&gt;"",Z$3='Bonding Program'!$P$18,Z$3&lt;='Bonding Program'!$C$8),N('Bonding Program'!$O$18),0)</f>
        <v>0</v>
      </c>
      <c r="AA159" s="19" t="n">
        <f aca="false">IF(AND('Bonding Program'!$S$18=1,'Bonding Program'!$H$18&gt;'Bonding Program'!$C$8,AA$3='Bonding Program'!$H$18),'Bonding Program'!$T$18-'Bonding Program'!$U$18-'Bonding Program'!$Z$18,0)-IF(AND('Bonding Program'!$S$18=1,'Bonding Program'!$H$18&lt;='Bonding Program'!$C$8,AA$3=IF('Bonding Program'!$P$18&lt;&gt;"",'Bonding Program'!$P$18,'Bonding Program'!$C$8)),'Bonding Program'!$Z$18,0)+IF(AND('Bonding Program'!$P$18&lt;&gt;"",AA$3='Bonding Program'!$P$18,AA$3&lt;='Bonding Program'!$C$8),N('Bonding Program'!$O$18),0)</f>
        <v>0</v>
      </c>
      <c r="AB159" s="19" t="n">
        <f aca="false">IF(AND('Bonding Program'!$S$18=1,'Bonding Program'!$H$18&gt;'Bonding Program'!$C$8,AB$3='Bonding Program'!$H$18),'Bonding Program'!$T$18-'Bonding Program'!$U$18-'Bonding Program'!$Z$18,0)-IF(AND('Bonding Program'!$S$18=1,'Bonding Program'!$H$18&lt;='Bonding Program'!$C$8,AB$3=IF('Bonding Program'!$P$18&lt;&gt;"",'Bonding Program'!$P$18,'Bonding Program'!$C$8)),'Bonding Program'!$Z$18,0)+IF(AND('Bonding Program'!$P$18&lt;&gt;"",AB$3='Bonding Program'!$P$18,AB$3&lt;='Bonding Program'!$C$8),N('Bonding Program'!$O$18),0)</f>
        <v>0</v>
      </c>
      <c r="AC159" s="19" t="n">
        <f aca="false">IF(AND('Bonding Program'!$S$18=1,'Bonding Program'!$H$18&gt;'Bonding Program'!$C$8,AC$3='Bonding Program'!$H$18),'Bonding Program'!$T$18-'Bonding Program'!$U$18-'Bonding Program'!$Z$18,0)-IF(AND('Bonding Program'!$S$18=1,'Bonding Program'!$H$18&lt;='Bonding Program'!$C$8,AC$3=IF('Bonding Program'!$P$18&lt;&gt;"",'Bonding Program'!$P$18,'Bonding Program'!$C$8)),'Bonding Program'!$Z$18,0)+IF(AND('Bonding Program'!$P$18&lt;&gt;"",AC$3='Bonding Program'!$P$18,AC$3&lt;='Bonding Program'!$C$8),N('Bonding Program'!$O$18),0)</f>
        <v>0</v>
      </c>
      <c r="AD159" s="19" t="n">
        <f aca="false">IF(AND('Bonding Program'!$S$18=1,'Bonding Program'!$H$18&gt;'Bonding Program'!$C$8,AD$3='Bonding Program'!$H$18),'Bonding Program'!$T$18-'Bonding Program'!$U$18-'Bonding Program'!$Z$18,0)-IF(AND('Bonding Program'!$S$18=1,'Bonding Program'!$H$18&lt;='Bonding Program'!$C$8,AD$3=IF('Bonding Program'!$P$18&lt;&gt;"",'Bonding Program'!$P$18,'Bonding Program'!$C$8)),'Bonding Program'!$Z$18,0)+IF(AND('Bonding Program'!$P$18&lt;&gt;"",AD$3='Bonding Program'!$P$18,AD$3&lt;='Bonding Program'!$C$8),N('Bonding Program'!$O$18),0)</f>
        <v>0</v>
      </c>
      <c r="AE159" s="19" t="n">
        <f aca="false">IF(AND('Bonding Program'!$S$18=1,'Bonding Program'!$H$18&gt;'Bonding Program'!$C$8,AE$3='Bonding Program'!$H$18),'Bonding Program'!$T$18-'Bonding Program'!$U$18-'Bonding Program'!$Z$18,0)-IF(AND('Bonding Program'!$S$18=1,'Bonding Program'!$H$18&lt;='Bonding Program'!$C$8,AE$3=IF('Bonding Program'!$P$18&lt;&gt;"",'Bonding Program'!$P$18,'Bonding Program'!$C$8)),'Bonding Program'!$Z$18,0)+IF(AND('Bonding Program'!$P$18&lt;&gt;"",AE$3='Bonding Program'!$P$18,AE$3&lt;='Bonding Program'!$C$8),N('Bonding Program'!$O$18),0)</f>
        <v>0</v>
      </c>
      <c r="AF159" s="19" t="n">
        <f aca="false">IF(AND('Bonding Program'!$S$18=1,'Bonding Program'!$H$18&gt;'Bonding Program'!$C$8,AF$3='Bonding Program'!$H$18),'Bonding Program'!$T$18-'Bonding Program'!$U$18-'Bonding Program'!$Z$18,0)-IF(AND('Bonding Program'!$S$18=1,'Bonding Program'!$H$18&lt;='Bonding Program'!$C$8,AF$3=IF('Bonding Program'!$P$18&lt;&gt;"",'Bonding Program'!$P$18,'Bonding Program'!$C$8)),'Bonding Program'!$Z$18,0)+IF(AND('Bonding Program'!$P$18&lt;&gt;"",AF$3='Bonding Program'!$P$18,AF$3&lt;='Bonding Program'!$C$8),N('Bonding Program'!$O$18),0)</f>
        <v>0</v>
      </c>
      <c r="AG159" s="19" t="n">
        <f aca="false">IF(AND('Bonding Program'!$S$18=1,'Bonding Program'!$H$18&gt;'Bonding Program'!$C$8,AG$3='Bonding Program'!$H$18),'Bonding Program'!$T$18-'Bonding Program'!$U$18-'Bonding Program'!$Z$18,0)-IF(AND('Bonding Program'!$S$18=1,'Bonding Program'!$H$18&lt;='Bonding Program'!$C$8,AG$3=IF('Bonding Program'!$P$18&lt;&gt;"",'Bonding Program'!$P$18,'Bonding Program'!$C$8)),'Bonding Program'!$Z$18,0)+IF(AND('Bonding Program'!$P$18&lt;&gt;"",AG$3='Bonding Program'!$P$18,AG$3&lt;='Bonding Program'!$C$8),N('Bonding Program'!$O$18),0)</f>
        <v>0</v>
      </c>
      <c r="AH159" s="19" t="n">
        <f aca="false">IF(AND('Bonding Program'!$S$18=1,'Bonding Program'!$H$18&gt;'Bonding Program'!$C$8,AH$3='Bonding Program'!$H$18),'Bonding Program'!$T$18-'Bonding Program'!$U$18-'Bonding Program'!$Z$18,0)-IF(AND('Bonding Program'!$S$18=1,'Bonding Program'!$H$18&lt;='Bonding Program'!$C$8,AH$3=IF('Bonding Program'!$P$18&lt;&gt;"",'Bonding Program'!$P$18,'Bonding Program'!$C$8)),'Bonding Program'!$Z$18,0)+IF(AND('Bonding Program'!$P$18&lt;&gt;"",AH$3='Bonding Program'!$P$18,AH$3&lt;='Bonding Program'!$C$8),N('Bonding Program'!$O$18),0)</f>
        <v>0</v>
      </c>
      <c r="AI159" s="19" t="n">
        <f aca="false">IF(AND('Bonding Program'!$S$18=1,'Bonding Program'!$H$18&gt;'Bonding Program'!$C$8,AI$3='Bonding Program'!$H$18),'Bonding Program'!$T$18-'Bonding Program'!$U$18-'Bonding Program'!$Z$18,0)-IF(AND('Bonding Program'!$S$18=1,'Bonding Program'!$H$18&lt;='Bonding Program'!$C$8,AI$3=IF('Bonding Program'!$P$18&lt;&gt;"",'Bonding Program'!$P$18,'Bonding Program'!$C$8)),'Bonding Program'!$Z$18,0)+IF(AND('Bonding Program'!$P$18&lt;&gt;"",AI$3='Bonding Program'!$P$18,AI$3&lt;='Bonding Program'!$C$8),N('Bonding Program'!$O$18),0)</f>
        <v>0</v>
      </c>
      <c r="AJ159" s="19" t="n">
        <f aca="false">IF(AND('Bonding Program'!$S$18=1,'Bonding Program'!$H$18&gt;'Bonding Program'!$C$8,AJ$3='Bonding Program'!$H$18),'Bonding Program'!$T$18-'Bonding Program'!$U$18-'Bonding Program'!$Z$18,0)-IF(AND('Bonding Program'!$S$18=1,'Bonding Program'!$H$18&lt;='Bonding Program'!$C$8,AJ$3=IF('Bonding Program'!$P$18&lt;&gt;"",'Bonding Program'!$P$18,'Bonding Program'!$C$8)),'Bonding Program'!$Z$18,0)+IF(AND('Bonding Program'!$P$18&lt;&gt;"",AJ$3='Bonding Program'!$P$18,AJ$3&lt;='Bonding Program'!$C$8),N('Bonding Program'!$O$18),0)</f>
        <v>0</v>
      </c>
      <c r="AK159" s="19" t="n">
        <f aca="false">IF(AND('Bonding Program'!$S$18=1,'Bonding Program'!$H$18&gt;'Bonding Program'!$C$8,AK$3='Bonding Program'!$H$18),'Bonding Program'!$T$18-'Bonding Program'!$U$18-'Bonding Program'!$Z$18,0)-IF(AND('Bonding Program'!$S$18=1,'Bonding Program'!$H$18&lt;='Bonding Program'!$C$8,AK$3=IF('Bonding Program'!$P$18&lt;&gt;"",'Bonding Program'!$P$18,'Bonding Program'!$C$8)),'Bonding Program'!$Z$18,0)+IF(AND('Bonding Program'!$P$18&lt;&gt;"",AK$3='Bonding Program'!$P$18,AK$3&lt;='Bonding Program'!$C$8),N('Bonding Program'!$O$18),0)</f>
        <v>0</v>
      </c>
      <c r="AL159" s="19" t="n">
        <f aca="false">IF(AND('Bonding Program'!$S$18=1,'Bonding Program'!$H$18&gt;'Bonding Program'!$C$8,AL$3='Bonding Program'!$H$18),'Bonding Program'!$T$18-'Bonding Program'!$U$18-'Bonding Program'!$Z$18,0)-IF(AND('Bonding Program'!$S$18=1,'Bonding Program'!$H$18&lt;='Bonding Program'!$C$8,AL$3=IF('Bonding Program'!$P$18&lt;&gt;"",'Bonding Program'!$P$18,'Bonding Program'!$C$8)),'Bonding Program'!$Z$18,0)+IF(AND('Bonding Program'!$P$18&lt;&gt;"",AL$3='Bonding Program'!$P$18,AL$3&lt;='Bonding Program'!$C$8),N('Bonding Program'!$O$18),0)</f>
        <v>0</v>
      </c>
      <c r="AM159" s="19" t="n">
        <f aca="false">IF(AND('Bonding Program'!$S$18=1,'Bonding Program'!$H$18&gt;'Bonding Program'!$C$8,AM$3='Bonding Program'!$H$18),'Bonding Program'!$T$18-'Bonding Program'!$U$18-'Bonding Program'!$Z$18,0)-IF(AND('Bonding Program'!$S$18=1,'Bonding Program'!$H$18&lt;='Bonding Program'!$C$8,AM$3=IF('Bonding Program'!$P$18&lt;&gt;"",'Bonding Program'!$P$18,'Bonding Program'!$C$8)),'Bonding Program'!$Z$18,0)+IF(AND('Bonding Program'!$P$18&lt;&gt;"",AM$3='Bonding Program'!$P$18,AM$3&lt;='Bonding Program'!$C$8),N('Bonding Program'!$O$18),0)</f>
        <v>0</v>
      </c>
      <c r="AN159" s="19" t="n">
        <f aca="false">IF(AND('Bonding Program'!$S$18=1,'Bonding Program'!$H$18&gt;'Bonding Program'!$C$8,AN$3='Bonding Program'!$H$18),'Bonding Program'!$T$18-'Bonding Program'!$U$18-'Bonding Program'!$Z$18,0)-IF(AND('Bonding Program'!$S$18=1,'Bonding Program'!$H$18&lt;='Bonding Program'!$C$8,AN$3=IF('Bonding Program'!$P$18&lt;&gt;"",'Bonding Program'!$P$18,'Bonding Program'!$C$8)),'Bonding Program'!$Z$18,0)+IF(AND('Bonding Program'!$P$18&lt;&gt;"",AN$3='Bonding Program'!$P$18,AN$3&lt;='Bonding Program'!$C$8),N('Bonding Program'!$O$18),0)</f>
        <v>0</v>
      </c>
      <c r="AO159" s="19" t="n">
        <f aca="false">IF(AND('Bonding Program'!$S$18=1,'Bonding Program'!$H$18&gt;'Bonding Program'!$C$8,AO$3='Bonding Program'!$H$18),'Bonding Program'!$T$18-'Bonding Program'!$U$18-'Bonding Program'!$Z$18,0)-IF(AND('Bonding Program'!$S$18=1,'Bonding Program'!$H$18&lt;='Bonding Program'!$C$8,AO$3=IF('Bonding Program'!$P$18&lt;&gt;"",'Bonding Program'!$P$18,'Bonding Program'!$C$8)),'Bonding Program'!$Z$18,0)+IF(AND('Bonding Program'!$P$18&lt;&gt;"",AO$3='Bonding Program'!$P$18,AO$3&lt;='Bonding Program'!$C$8),N('Bonding Program'!$O$18),0)</f>
        <v>0</v>
      </c>
      <c r="AP159" s="19" t="n">
        <f aca="false">IF(AND('Bonding Program'!$S$18=1,'Bonding Program'!$H$18&gt;'Bonding Program'!$C$8,AP$3='Bonding Program'!$H$18),'Bonding Program'!$T$18-'Bonding Program'!$U$18-'Bonding Program'!$Z$18,0)-IF(AND('Bonding Program'!$S$18=1,'Bonding Program'!$H$18&lt;='Bonding Program'!$C$8,AP$3=IF('Bonding Program'!$P$18&lt;&gt;"",'Bonding Program'!$P$18,'Bonding Program'!$C$8)),'Bonding Program'!$Z$18,0)+IF(AND('Bonding Program'!$P$18&lt;&gt;"",AP$3='Bonding Program'!$P$18,AP$3&lt;='Bonding Program'!$C$8),N('Bonding Program'!$O$18),0)</f>
        <v>0</v>
      </c>
      <c r="AQ159" s="19" t="n">
        <f aca="false">IF(AND('Bonding Program'!$S$18=1,'Bonding Program'!$H$18&gt;'Bonding Program'!$C$8,AQ$3='Bonding Program'!$H$18),'Bonding Program'!$T$18-'Bonding Program'!$U$18-'Bonding Program'!$Z$18,0)-IF(AND('Bonding Program'!$S$18=1,'Bonding Program'!$H$18&lt;='Bonding Program'!$C$8,AQ$3=IF('Bonding Program'!$P$18&lt;&gt;"",'Bonding Program'!$P$18,'Bonding Program'!$C$8)),'Bonding Program'!$Z$18,0)+IF(AND('Bonding Program'!$P$18&lt;&gt;"",AQ$3='Bonding Program'!$P$18,AQ$3&lt;='Bonding Program'!$C$8),N('Bonding Program'!$O$18),0)</f>
        <v>0</v>
      </c>
      <c r="AR159" s="19" t="n">
        <f aca="false">IF(AND('Bonding Program'!$S$18=1,'Bonding Program'!$H$18&gt;'Bonding Program'!$C$8,AR$3='Bonding Program'!$H$18),'Bonding Program'!$T$18-'Bonding Program'!$U$18-'Bonding Program'!$Z$18,0)-IF(AND('Bonding Program'!$S$18=1,'Bonding Program'!$H$18&lt;='Bonding Program'!$C$8,AR$3=IF('Bonding Program'!$P$18&lt;&gt;"",'Bonding Program'!$P$18,'Bonding Program'!$C$8)),'Bonding Program'!$Z$18,0)+IF(AND('Bonding Program'!$P$18&lt;&gt;"",AR$3='Bonding Program'!$P$18,AR$3&lt;='Bonding Program'!$C$8),N('Bonding Program'!$O$18),0)</f>
        <v>0</v>
      </c>
      <c r="AS159" s="19" t="n">
        <f aca="false">IF(AND('Bonding Program'!$S$18=1,'Bonding Program'!$H$18&gt;'Bonding Program'!$C$8,AS$3='Bonding Program'!$H$18),'Bonding Program'!$T$18-'Bonding Program'!$U$18-'Bonding Program'!$Z$18,0)-IF(AND('Bonding Program'!$S$18=1,'Bonding Program'!$H$18&lt;='Bonding Program'!$C$8,AS$3=IF('Bonding Program'!$P$18&lt;&gt;"",'Bonding Program'!$P$18,'Bonding Program'!$C$8)),'Bonding Program'!$Z$18,0)+IF(AND('Bonding Program'!$P$18&lt;&gt;"",AS$3='Bonding Program'!$P$18,AS$3&lt;='Bonding Program'!$C$8),N('Bonding Program'!$O$18),0)</f>
        <v>0</v>
      </c>
      <c r="AT159" s="19" t="n">
        <f aca="false">IF(AND('Bonding Program'!$S$18=1,'Bonding Program'!$H$18&gt;'Bonding Program'!$C$8,AT$3='Bonding Program'!$H$18),'Bonding Program'!$T$18-'Bonding Program'!$U$18-'Bonding Program'!$Z$18,0)-IF(AND('Bonding Program'!$S$18=1,'Bonding Program'!$H$18&lt;='Bonding Program'!$C$8,AT$3=IF('Bonding Program'!$P$18&lt;&gt;"",'Bonding Program'!$P$18,'Bonding Program'!$C$8)),'Bonding Program'!$Z$18,0)+IF(AND('Bonding Program'!$P$18&lt;&gt;"",AT$3='Bonding Program'!$P$18,AT$3&lt;='Bonding Program'!$C$8),N('Bonding Program'!$O$18),0)</f>
        <v>0</v>
      </c>
      <c r="AU159" s="19" t="n">
        <f aca="false">IF(AND('Bonding Program'!$S$18=1,'Bonding Program'!$H$18&gt;'Bonding Program'!$C$8,AU$3='Bonding Program'!$H$18),'Bonding Program'!$T$18-'Bonding Program'!$U$18-'Bonding Program'!$Z$18,0)-IF(AND('Bonding Program'!$S$18=1,'Bonding Program'!$H$18&lt;='Bonding Program'!$C$8,AU$3=IF('Bonding Program'!$P$18&lt;&gt;"",'Bonding Program'!$P$18,'Bonding Program'!$C$8)),'Bonding Program'!$Z$18,0)+IF(AND('Bonding Program'!$P$18&lt;&gt;"",AU$3='Bonding Program'!$P$18,AU$3&lt;='Bonding Program'!$C$8),N('Bonding Program'!$O$18),0)</f>
        <v>0</v>
      </c>
      <c r="AV159" s="19" t="n">
        <f aca="false">IF(AND('Bonding Program'!$S$18=1,'Bonding Program'!$H$18&gt;'Bonding Program'!$C$8,AV$3='Bonding Program'!$H$18),'Bonding Program'!$T$18-'Bonding Program'!$U$18-'Bonding Program'!$Z$18,0)-IF(AND('Bonding Program'!$S$18=1,'Bonding Program'!$H$18&lt;='Bonding Program'!$C$8,AV$3=IF('Bonding Program'!$P$18&lt;&gt;"",'Bonding Program'!$P$18,'Bonding Program'!$C$8)),'Bonding Program'!$Z$18,0)+IF(AND('Bonding Program'!$P$18&lt;&gt;"",AV$3='Bonding Program'!$P$18,AV$3&lt;='Bonding Program'!$C$8),N('Bonding Program'!$O$18),0)</f>
        <v>0</v>
      </c>
      <c r="AW159" s="19" t="n">
        <f aca="false">IF(AND('Bonding Program'!$S$18=1,'Bonding Program'!$H$18&gt;'Bonding Program'!$C$8,AW$3='Bonding Program'!$H$18),'Bonding Program'!$T$18-'Bonding Program'!$U$18-'Bonding Program'!$Z$18,0)-IF(AND('Bonding Program'!$S$18=1,'Bonding Program'!$H$18&lt;='Bonding Program'!$C$8,AW$3=IF('Bonding Program'!$P$18&lt;&gt;"",'Bonding Program'!$P$18,'Bonding Program'!$C$8)),'Bonding Program'!$Z$18,0)+IF(AND('Bonding Program'!$P$18&lt;&gt;"",AW$3='Bonding Program'!$P$18,AW$3&lt;='Bonding Program'!$C$8),N('Bonding Program'!$O$18),0)</f>
        <v>0</v>
      </c>
      <c r="AX159" s="19" t="n">
        <f aca="false">IF(AND('Bonding Program'!$S$18=1,'Bonding Program'!$H$18&gt;'Bonding Program'!$C$8,AX$3='Bonding Program'!$H$18),'Bonding Program'!$T$18-'Bonding Program'!$U$18-'Bonding Program'!$Z$18,0)-IF(AND('Bonding Program'!$S$18=1,'Bonding Program'!$H$18&lt;='Bonding Program'!$C$8,AX$3=IF('Bonding Program'!$P$18&lt;&gt;"",'Bonding Program'!$P$18,'Bonding Program'!$C$8)),'Bonding Program'!$Z$18,0)+IF(AND('Bonding Program'!$P$18&lt;&gt;"",AX$3='Bonding Program'!$P$18,AX$3&lt;='Bonding Program'!$C$8),N('Bonding Program'!$O$18),0)</f>
        <v>0</v>
      </c>
      <c r="AY159" s="19" t="n">
        <f aca="false">IF(AND('Bonding Program'!$S$18=1,'Bonding Program'!$H$18&gt;'Bonding Program'!$C$8,AY$3='Bonding Program'!$H$18),'Bonding Program'!$T$18-'Bonding Program'!$U$18-'Bonding Program'!$Z$18,0)-IF(AND('Bonding Program'!$S$18=1,'Bonding Program'!$H$18&lt;='Bonding Program'!$C$8,AY$3=IF('Bonding Program'!$P$18&lt;&gt;"",'Bonding Program'!$P$18,'Bonding Program'!$C$8)),'Bonding Program'!$Z$18,0)+IF(AND('Bonding Program'!$P$18&lt;&gt;"",AY$3='Bonding Program'!$P$18,AY$3&lt;='Bonding Program'!$C$8),N('Bonding Program'!$O$18),0)</f>
        <v>0</v>
      </c>
      <c r="AZ159" s="19" t="n">
        <f aca="false">IF(AND('Bonding Program'!$S$18=1,'Bonding Program'!$H$18&gt;'Bonding Program'!$C$8,AZ$3='Bonding Program'!$H$18),'Bonding Program'!$T$18-'Bonding Program'!$U$18-'Bonding Program'!$Z$18,0)-IF(AND('Bonding Program'!$S$18=1,'Bonding Program'!$H$18&lt;='Bonding Program'!$C$8,AZ$3=IF('Bonding Program'!$P$18&lt;&gt;"",'Bonding Program'!$P$18,'Bonding Program'!$C$8)),'Bonding Program'!$Z$18,0)+IF(AND('Bonding Program'!$P$18&lt;&gt;"",AZ$3='Bonding Program'!$P$18,AZ$3&lt;='Bonding Program'!$C$8),N('Bonding Program'!$O$18),0)</f>
        <v>0</v>
      </c>
      <c r="BA159" s="19" t="n">
        <f aca="false">IF(AND('Bonding Program'!$S$18=1,'Bonding Program'!$H$18&gt;'Bonding Program'!$C$8,BA$3='Bonding Program'!$H$18),'Bonding Program'!$T$18-'Bonding Program'!$U$18-'Bonding Program'!$Z$18,0)-IF(AND('Bonding Program'!$S$18=1,'Bonding Program'!$H$18&lt;='Bonding Program'!$C$8,BA$3=IF('Bonding Program'!$P$18&lt;&gt;"",'Bonding Program'!$P$18,'Bonding Program'!$C$8)),'Bonding Program'!$Z$18,0)+IF(AND('Bonding Program'!$P$18&lt;&gt;"",BA$3='Bonding Program'!$P$18,BA$3&lt;='Bonding Program'!$C$8),N('Bonding Program'!$O$18),0)</f>
        <v>0</v>
      </c>
      <c r="BB159" s="19" t="n">
        <f aca="false">IF(AND('Bonding Program'!$S$18=1,'Bonding Program'!$H$18&gt;'Bonding Program'!$C$8,BB$3='Bonding Program'!$H$18),'Bonding Program'!$T$18-'Bonding Program'!$U$18-'Bonding Program'!$Z$18,0)-IF(AND('Bonding Program'!$S$18=1,'Bonding Program'!$H$18&lt;='Bonding Program'!$C$8,BB$3=IF('Bonding Program'!$P$18&lt;&gt;"",'Bonding Program'!$P$18,'Bonding Program'!$C$8)),'Bonding Program'!$Z$18,0)+IF(AND('Bonding Program'!$P$18&lt;&gt;"",BB$3='Bonding Program'!$P$18,BB$3&lt;='Bonding Program'!$C$8),N('Bonding Program'!$O$18),0)</f>
        <v>0</v>
      </c>
      <c r="BC159" s="19" t="n">
        <f aca="false">IF(AND('Bonding Program'!$S$18=1,'Bonding Program'!$H$18&gt;'Bonding Program'!$C$8,BC$3='Bonding Program'!$H$18),'Bonding Program'!$T$18-'Bonding Program'!$U$18-'Bonding Program'!$Z$18,0)-IF(AND('Bonding Program'!$S$18=1,'Bonding Program'!$H$18&lt;='Bonding Program'!$C$8,BC$3=IF('Bonding Program'!$P$18&lt;&gt;"",'Bonding Program'!$P$18,'Bonding Program'!$C$8)),'Bonding Program'!$Z$18,0)+IF(AND('Bonding Program'!$P$18&lt;&gt;"",BC$3='Bonding Program'!$P$18,BC$3&lt;='Bonding Program'!$C$8),N('Bonding Program'!$O$18),0)</f>
        <v>0</v>
      </c>
      <c r="BD159" s="19" t="n">
        <f aca="false">IF(AND('Bonding Program'!$S$18=1,'Bonding Program'!$H$18&gt;'Bonding Program'!$C$8,BD$3='Bonding Program'!$H$18),'Bonding Program'!$T$18-'Bonding Program'!$U$18-'Bonding Program'!$Z$18,0)-IF(AND('Bonding Program'!$S$18=1,'Bonding Program'!$H$18&lt;='Bonding Program'!$C$8,BD$3=IF('Bonding Program'!$P$18&lt;&gt;"",'Bonding Program'!$P$18,'Bonding Program'!$C$8)),'Bonding Program'!$Z$18,0)+IF(AND('Bonding Program'!$P$18&lt;&gt;"",BD$3='Bonding Program'!$P$18,BD$3&lt;='Bonding Program'!$C$8),N('Bonding Program'!$O$18),0)</f>
        <v>0</v>
      </c>
      <c r="BE159" s="19" t="n">
        <f aca="false">IF(AND('Bonding Program'!$S$18=1,'Bonding Program'!$H$18&gt;'Bonding Program'!$C$8,BE$3='Bonding Program'!$H$18),'Bonding Program'!$T$18-'Bonding Program'!$U$18-'Bonding Program'!$Z$18,0)-IF(AND('Bonding Program'!$S$18=1,'Bonding Program'!$H$18&lt;='Bonding Program'!$C$8,BE$3=IF('Bonding Program'!$P$18&lt;&gt;"",'Bonding Program'!$P$18,'Bonding Program'!$C$8)),'Bonding Program'!$Z$18,0)+IF(AND('Bonding Program'!$P$18&lt;&gt;"",BE$3='Bonding Program'!$P$18,BE$3&lt;='Bonding Program'!$C$8),N('Bonding Program'!$O$18),0)</f>
        <v>0</v>
      </c>
      <c r="BF159" s="19" t="n">
        <f aca="false">IF(AND('Bonding Program'!$S$18=1,'Bonding Program'!$H$18&gt;'Bonding Program'!$C$8,BF$3='Bonding Program'!$H$18),'Bonding Program'!$T$18-'Bonding Program'!$U$18-'Bonding Program'!$Z$18,0)-IF(AND('Bonding Program'!$S$18=1,'Bonding Program'!$H$18&lt;='Bonding Program'!$C$8,BF$3=IF('Bonding Program'!$P$18&lt;&gt;"",'Bonding Program'!$P$18,'Bonding Program'!$C$8)),'Bonding Program'!$Z$18,0)+IF(AND('Bonding Program'!$P$18&lt;&gt;"",BF$3='Bonding Program'!$P$18,BF$3&lt;='Bonding Program'!$C$8),N('Bonding Program'!$O$18),0)</f>
        <v>0</v>
      </c>
      <c r="BG159" s="19" t="n">
        <f aca="false">IF(AND('Bonding Program'!$S$18=1,'Bonding Program'!$H$18&gt;'Bonding Program'!$C$8,BG$3='Bonding Program'!$H$18),'Bonding Program'!$T$18-'Bonding Program'!$U$18-'Bonding Program'!$Z$18,0)-IF(AND('Bonding Program'!$S$18=1,'Bonding Program'!$H$18&lt;='Bonding Program'!$C$8,BG$3=IF('Bonding Program'!$P$18&lt;&gt;"",'Bonding Program'!$P$18,'Bonding Program'!$C$8)),'Bonding Program'!$Z$18,0)+IF(AND('Bonding Program'!$P$18&lt;&gt;"",BG$3='Bonding Program'!$P$18,BG$3&lt;='Bonding Program'!$C$8),N('Bonding Program'!$O$18),0)</f>
        <v>0</v>
      </c>
      <c r="BH159" s="19" t="n">
        <f aca="false">IF(AND('Bonding Program'!$S$18=1,'Bonding Program'!$H$18&gt;'Bonding Program'!$C$8,BH$3='Bonding Program'!$H$18),'Bonding Program'!$T$18-'Bonding Program'!$U$18-'Bonding Program'!$Z$18,0)-IF(AND('Bonding Program'!$S$18=1,'Bonding Program'!$H$18&lt;='Bonding Program'!$C$8,BH$3=IF('Bonding Program'!$P$18&lt;&gt;"",'Bonding Program'!$P$18,'Bonding Program'!$C$8)),'Bonding Program'!$Z$18,0)+IF(AND('Bonding Program'!$P$18&lt;&gt;"",BH$3='Bonding Program'!$P$18,BH$3&lt;='Bonding Program'!$C$8),N('Bonding Program'!$O$18),0)</f>
        <v>0</v>
      </c>
      <c r="BI159" s="19" t="n">
        <f aca="false">IF(AND('Bonding Program'!$S$18=1,'Bonding Program'!$H$18&gt;'Bonding Program'!$C$8,BI$3='Bonding Program'!$H$18),'Bonding Program'!$T$18-'Bonding Program'!$U$18-'Bonding Program'!$Z$18,0)-IF(AND('Bonding Program'!$S$18=1,'Bonding Program'!$H$18&lt;='Bonding Program'!$C$8,BI$3=IF('Bonding Program'!$P$18&lt;&gt;"",'Bonding Program'!$P$18,'Bonding Program'!$C$8)),'Bonding Program'!$Z$18,0)+IF(AND('Bonding Program'!$P$18&lt;&gt;"",BI$3='Bonding Program'!$P$18,BI$3&lt;='Bonding Program'!$C$8),N('Bonding Program'!$O$18),0)</f>
        <v>0</v>
      </c>
      <c r="BJ159" s="19" t="n">
        <f aca="false">IF(AND('Bonding Program'!$S$18=1,'Bonding Program'!$H$18&gt;'Bonding Program'!$C$8,BJ$3='Bonding Program'!$H$18),'Bonding Program'!$T$18-'Bonding Program'!$U$18-'Bonding Program'!$Z$18,0)-IF(AND('Bonding Program'!$S$18=1,'Bonding Program'!$H$18&lt;='Bonding Program'!$C$8,BJ$3=IF('Bonding Program'!$P$18&lt;&gt;"",'Bonding Program'!$P$18,'Bonding Program'!$C$8)),'Bonding Program'!$Z$18,0)+IF(AND('Bonding Program'!$P$18&lt;&gt;"",BJ$3='Bonding Program'!$P$18,BJ$3&lt;='Bonding Program'!$C$8),N('Bonding Program'!$O$18),0)</f>
        <v>0</v>
      </c>
      <c r="BK159" s="19" t="n">
        <f aca="false">IF(AND('Bonding Program'!$S$18=1,'Bonding Program'!$H$18&gt;'Bonding Program'!$C$8,BK$3='Bonding Program'!$H$18),'Bonding Program'!$T$18-'Bonding Program'!$U$18-'Bonding Program'!$Z$18,0)-IF(AND('Bonding Program'!$S$18=1,'Bonding Program'!$H$18&lt;='Bonding Program'!$C$8,BK$3=IF('Bonding Program'!$P$18&lt;&gt;"",'Bonding Program'!$P$18,'Bonding Program'!$C$8)),'Bonding Program'!$Z$18,0)+IF(AND('Bonding Program'!$P$18&lt;&gt;"",BK$3='Bonding Program'!$P$18,BK$3&lt;='Bonding Program'!$C$8),N('Bonding Program'!$O$18),0)</f>
        <v>0</v>
      </c>
      <c r="BL159" s="19" t="n">
        <f aca="false">IF(AND('Bonding Program'!$S$18=1,'Bonding Program'!$H$18&gt;'Bonding Program'!$C$8,BL$3='Bonding Program'!$H$18),'Bonding Program'!$T$18-'Bonding Program'!$U$18-'Bonding Program'!$Z$18,0)-IF(AND('Bonding Program'!$S$18=1,'Bonding Program'!$H$18&lt;='Bonding Program'!$C$8,BL$3=IF('Bonding Program'!$P$18&lt;&gt;"",'Bonding Program'!$P$18,'Bonding Program'!$C$8)),'Bonding Program'!$Z$18,0)+IF(AND('Bonding Program'!$P$18&lt;&gt;"",BL$3='Bonding Program'!$P$18,BL$3&lt;='Bonding Program'!$C$8),N('Bonding Program'!$O$18),0)</f>
        <v>0</v>
      </c>
      <c r="BM159" s="19" t="n">
        <f aca="false">IF(AND('Bonding Program'!$S$18=1,'Bonding Program'!$H$18&gt;'Bonding Program'!$C$8,BM$3='Bonding Program'!$H$18),'Bonding Program'!$T$18-'Bonding Program'!$U$18-'Bonding Program'!$Z$18,0)-IF(AND('Bonding Program'!$S$18=1,'Bonding Program'!$H$18&lt;='Bonding Program'!$C$8,BM$3=IF('Bonding Program'!$P$18&lt;&gt;"",'Bonding Program'!$P$18,'Bonding Program'!$C$8)),'Bonding Program'!$Z$18,0)+IF(AND('Bonding Program'!$P$18&lt;&gt;"",BM$3='Bonding Program'!$P$18,BM$3&lt;='Bonding Program'!$C$8),N('Bonding Program'!$O$18),0)</f>
        <v>0</v>
      </c>
      <c r="BN159" s="19" t="n">
        <f aca="false">IF(AND('Bonding Program'!$S$18=1,'Bonding Program'!$H$18&gt;'Bonding Program'!$C$8,BN$3='Bonding Program'!$H$18),'Bonding Program'!$T$18-'Bonding Program'!$U$18-'Bonding Program'!$Z$18,0)-IF(AND('Bonding Program'!$S$18=1,'Bonding Program'!$H$18&lt;='Bonding Program'!$C$8,BN$3=IF('Bonding Program'!$P$18&lt;&gt;"",'Bonding Program'!$P$18,'Bonding Program'!$C$8)),'Bonding Program'!$Z$18,0)+IF(AND('Bonding Program'!$P$18&lt;&gt;"",BN$3='Bonding Program'!$P$18,BN$3&lt;='Bonding Program'!$C$8),N('Bonding Program'!$O$18),0)</f>
        <v>0</v>
      </c>
      <c r="BO159" s="19" t="n">
        <f aca="false">IF(AND('Bonding Program'!$S$18=1,'Bonding Program'!$H$18&gt;'Bonding Program'!$C$8,BO$3='Bonding Program'!$H$18),'Bonding Program'!$T$18-'Bonding Program'!$U$18-'Bonding Program'!$Z$18,0)-IF(AND('Bonding Program'!$S$18=1,'Bonding Program'!$H$18&lt;='Bonding Program'!$C$8,BO$3=IF('Bonding Program'!$P$18&lt;&gt;"",'Bonding Program'!$P$18,'Bonding Program'!$C$8)),'Bonding Program'!$Z$18,0)+IF(AND('Bonding Program'!$P$18&lt;&gt;"",BO$3='Bonding Program'!$P$18,BO$3&lt;='Bonding Program'!$C$8),N('Bonding Program'!$O$18),0)</f>
        <v>0</v>
      </c>
      <c r="BP159" s="19" t="n">
        <f aca="false">IF(AND('Bonding Program'!$S$18=1,'Bonding Program'!$H$18&gt;'Bonding Program'!$C$8,BP$3='Bonding Program'!$H$18),'Bonding Program'!$T$18-'Bonding Program'!$U$18-'Bonding Program'!$Z$18,0)-IF(AND('Bonding Program'!$S$18=1,'Bonding Program'!$H$18&lt;='Bonding Program'!$C$8,BP$3=IF('Bonding Program'!$P$18&lt;&gt;"",'Bonding Program'!$P$18,'Bonding Program'!$C$8)),'Bonding Program'!$Z$18,0)+IF(AND('Bonding Program'!$P$18&lt;&gt;"",BP$3='Bonding Program'!$P$18,BP$3&lt;='Bonding Program'!$C$8),N('Bonding Program'!$O$18),0)</f>
        <v>0</v>
      </c>
      <c r="BQ159" s="19" t="n">
        <f aca="false">IF(AND('Bonding Program'!$S$18=1,'Bonding Program'!$H$18&gt;'Bonding Program'!$C$8,BQ$3='Bonding Program'!$H$18),'Bonding Program'!$T$18-'Bonding Program'!$U$18-'Bonding Program'!$Z$18,0)-IF(AND('Bonding Program'!$S$18=1,'Bonding Program'!$H$18&lt;='Bonding Program'!$C$8,BQ$3=IF('Bonding Program'!$P$18&lt;&gt;"",'Bonding Program'!$P$18,'Bonding Program'!$C$8)),'Bonding Program'!$Z$18,0)+IF(AND('Bonding Program'!$P$18&lt;&gt;"",BQ$3='Bonding Program'!$P$18,BQ$3&lt;='Bonding Program'!$C$8),N('Bonding Program'!$O$18),0)</f>
        <v>0</v>
      </c>
      <c r="BR159" s="19" t="n">
        <f aca="false">IF(AND('Bonding Program'!$S$18=1,'Bonding Program'!$H$18&gt;'Bonding Program'!$C$8,BR$3='Bonding Program'!$H$18),'Bonding Program'!$T$18-'Bonding Program'!$U$18-'Bonding Program'!$Z$18,0)-IF(AND('Bonding Program'!$S$18=1,'Bonding Program'!$H$18&lt;='Bonding Program'!$C$8,BR$3=IF('Bonding Program'!$P$18&lt;&gt;"",'Bonding Program'!$P$18,'Bonding Program'!$C$8)),'Bonding Program'!$Z$18,0)+IF(AND('Bonding Program'!$P$18&lt;&gt;"",BR$3='Bonding Program'!$P$18,BR$3&lt;='Bonding Program'!$C$8),N('Bonding Program'!$O$18),0)</f>
        <v>0</v>
      </c>
      <c r="BS159" s="19" t="n">
        <f aca="false">IF(AND('Bonding Program'!$S$18=1,'Bonding Program'!$H$18&gt;'Bonding Program'!$C$8,BS$3='Bonding Program'!$H$18),'Bonding Program'!$T$18-'Bonding Program'!$U$18-'Bonding Program'!$Z$18,0)-IF(AND('Bonding Program'!$S$18=1,'Bonding Program'!$H$18&lt;='Bonding Program'!$C$8,BS$3=IF('Bonding Program'!$P$18&lt;&gt;"",'Bonding Program'!$P$18,'Bonding Program'!$C$8)),'Bonding Program'!$Z$18,0)+IF(AND('Bonding Program'!$P$18&lt;&gt;"",BS$3='Bonding Program'!$P$18,BS$3&lt;='Bonding Program'!$C$8),N('Bonding Program'!$O$18),0)</f>
        <v>0</v>
      </c>
      <c r="BT159" s="19" t="n">
        <f aca="false">IF(AND('Bonding Program'!$S$18=1,'Bonding Program'!$H$18&gt;'Bonding Program'!$C$8,BT$3='Bonding Program'!$H$18),'Bonding Program'!$T$18-'Bonding Program'!$U$18-'Bonding Program'!$Z$18,0)-IF(AND('Bonding Program'!$S$18=1,'Bonding Program'!$H$18&lt;='Bonding Program'!$C$8,BT$3=IF('Bonding Program'!$P$18&lt;&gt;"",'Bonding Program'!$P$18,'Bonding Program'!$C$8)),'Bonding Program'!$Z$18,0)+IF(AND('Bonding Program'!$P$18&lt;&gt;"",BT$3='Bonding Program'!$P$18,BT$3&lt;='Bonding Program'!$C$8),N('Bonding Program'!$O$18),0)</f>
        <v>0</v>
      </c>
      <c r="BU159" s="19" t="n">
        <f aca="false">IF(AND('Bonding Program'!$S$18=1,'Bonding Program'!$H$18&gt;'Bonding Program'!$C$8,BU$3='Bonding Program'!$H$18),'Bonding Program'!$T$18-'Bonding Program'!$U$18-'Bonding Program'!$Z$18,0)-IF(AND('Bonding Program'!$S$18=1,'Bonding Program'!$H$18&lt;='Bonding Program'!$C$8,BU$3=IF('Bonding Program'!$P$18&lt;&gt;"",'Bonding Program'!$P$18,'Bonding Program'!$C$8)),'Bonding Program'!$Z$18,0)+IF(AND('Bonding Program'!$P$18&lt;&gt;"",BU$3='Bonding Program'!$P$18,BU$3&lt;='Bonding Program'!$C$8),N('Bonding Program'!$O$18),0)</f>
        <v>0</v>
      </c>
      <c r="BV159" s="19" t="n">
        <f aca="false">IF(AND('Bonding Program'!$S$18=1,'Bonding Program'!$H$18&gt;'Bonding Program'!$C$8,BV$3='Bonding Program'!$H$18),'Bonding Program'!$T$18-'Bonding Program'!$U$18-'Bonding Program'!$Z$18,0)-IF(AND('Bonding Program'!$S$18=1,'Bonding Program'!$H$18&lt;='Bonding Program'!$C$8,BV$3=IF('Bonding Program'!$P$18&lt;&gt;"",'Bonding Program'!$P$18,'Bonding Program'!$C$8)),'Bonding Program'!$Z$18,0)+IF(AND('Bonding Program'!$P$18&lt;&gt;"",BV$3='Bonding Program'!$P$18,BV$3&lt;='Bonding Program'!$C$8),N('Bonding Program'!$O$18),0)</f>
        <v>0</v>
      </c>
      <c r="BW159" s="19" t="n">
        <f aca="false">IF(AND('Bonding Program'!$S$18=1,'Bonding Program'!$H$18&gt;'Bonding Program'!$C$8,BW$3='Bonding Program'!$H$18),'Bonding Program'!$T$18-'Bonding Program'!$U$18-'Bonding Program'!$Z$18,0)-IF(AND('Bonding Program'!$S$18=1,'Bonding Program'!$H$18&lt;='Bonding Program'!$C$8,BW$3=IF('Bonding Program'!$P$18&lt;&gt;"",'Bonding Program'!$P$18,'Bonding Program'!$C$8)),'Bonding Program'!$Z$18,0)+IF(AND('Bonding Program'!$P$18&lt;&gt;"",BW$3='Bonding Program'!$P$18,BW$3&lt;='Bonding Program'!$C$8),N('Bonding Program'!$O$18),0)</f>
        <v>0</v>
      </c>
      <c r="BX159" s="19" t="n">
        <f aca="false">IF(AND('Bonding Program'!$S$18=1,'Bonding Program'!$H$18&gt;'Bonding Program'!$C$8,BX$3='Bonding Program'!$H$18),'Bonding Program'!$T$18-'Bonding Program'!$U$18-'Bonding Program'!$Z$18,0)-IF(AND('Bonding Program'!$S$18=1,'Bonding Program'!$H$18&lt;='Bonding Program'!$C$8,BX$3=IF('Bonding Program'!$P$18&lt;&gt;"",'Bonding Program'!$P$18,'Bonding Program'!$C$8)),'Bonding Program'!$Z$18,0)+IF(AND('Bonding Program'!$P$18&lt;&gt;"",BX$3='Bonding Program'!$P$18,BX$3&lt;='Bonding Program'!$C$8),N('Bonding Program'!$O$18),0)</f>
        <v>0</v>
      </c>
      <c r="BY159" s="19" t="n">
        <f aca="false">IF(AND('Bonding Program'!$S$18=1,'Bonding Program'!$H$18&gt;'Bonding Program'!$C$8,BY$3='Bonding Program'!$H$18),'Bonding Program'!$T$18-'Bonding Program'!$U$18-'Bonding Program'!$Z$18,0)-IF(AND('Bonding Program'!$S$18=1,'Bonding Program'!$H$18&lt;='Bonding Program'!$C$8,BY$3=IF('Bonding Program'!$P$18&lt;&gt;"",'Bonding Program'!$P$18,'Bonding Program'!$C$8)),'Bonding Program'!$Z$18,0)+IF(AND('Bonding Program'!$P$18&lt;&gt;"",BY$3='Bonding Program'!$P$18,BY$3&lt;='Bonding Program'!$C$8),N('Bonding Program'!$O$18),0)</f>
        <v>0</v>
      </c>
      <c r="BZ159" s="19" t="n">
        <f aca="false">IF(AND('Bonding Program'!$S$18=1,'Bonding Program'!$H$18&gt;'Bonding Program'!$C$8,BZ$3='Bonding Program'!$H$18),'Bonding Program'!$T$18-'Bonding Program'!$U$18-'Bonding Program'!$Z$18,0)-IF(AND('Bonding Program'!$S$18=1,'Bonding Program'!$H$18&lt;='Bonding Program'!$C$8,BZ$3=IF('Bonding Program'!$P$18&lt;&gt;"",'Bonding Program'!$P$18,'Bonding Program'!$C$8)),'Bonding Program'!$Z$18,0)+IF(AND('Bonding Program'!$P$18&lt;&gt;"",BZ$3='Bonding Program'!$P$18,BZ$3&lt;='Bonding Program'!$C$8),N('Bonding Program'!$O$18),0)</f>
        <v>0</v>
      </c>
      <c r="CA159" s="19" t="n">
        <f aca="false">IF(AND('Bonding Program'!$S$18=1,'Bonding Program'!$H$18&gt;'Bonding Program'!$C$8,CA$3='Bonding Program'!$H$18),'Bonding Program'!$T$18-'Bonding Program'!$U$18-'Bonding Program'!$Z$18,0)-IF(AND('Bonding Program'!$S$18=1,'Bonding Program'!$H$18&lt;='Bonding Program'!$C$8,CA$3=IF('Bonding Program'!$P$18&lt;&gt;"",'Bonding Program'!$P$18,'Bonding Program'!$C$8)),'Bonding Program'!$Z$18,0)+IF(AND('Bonding Program'!$P$18&lt;&gt;"",CA$3='Bonding Program'!$P$18,CA$3&lt;='Bonding Program'!$C$8),N('Bonding Program'!$O$18),0)</f>
        <v>0</v>
      </c>
      <c r="CB159" s="19" t="n">
        <f aca="false">IF(AND('Bonding Program'!$S$18=1,'Bonding Program'!$H$18&gt;'Bonding Program'!$C$8,CB$3='Bonding Program'!$H$18),'Bonding Program'!$T$18-'Bonding Program'!$U$18-'Bonding Program'!$Z$18,0)-IF(AND('Bonding Program'!$S$18=1,'Bonding Program'!$H$18&lt;='Bonding Program'!$C$8,CB$3=IF('Bonding Program'!$P$18&lt;&gt;"",'Bonding Program'!$P$18,'Bonding Program'!$C$8)),'Bonding Program'!$Z$18,0)+IF(AND('Bonding Program'!$P$18&lt;&gt;"",CB$3='Bonding Program'!$P$18,CB$3&lt;='Bonding Program'!$C$8),N('Bonding Program'!$O$18),0)</f>
        <v>0</v>
      </c>
      <c r="CC159" s="19" t="n">
        <f aca="false">IF(AND('Bonding Program'!$S$18=1,'Bonding Program'!$H$18&gt;'Bonding Program'!$C$8,CC$3='Bonding Program'!$H$18),'Bonding Program'!$T$18-'Bonding Program'!$U$18-'Bonding Program'!$Z$18,0)-IF(AND('Bonding Program'!$S$18=1,'Bonding Program'!$H$18&lt;='Bonding Program'!$C$8,CC$3=IF('Bonding Program'!$P$18&lt;&gt;"",'Bonding Program'!$P$18,'Bonding Program'!$C$8)),'Bonding Program'!$Z$18,0)+IF(AND('Bonding Program'!$P$18&lt;&gt;"",CC$3='Bonding Program'!$P$18,CC$3&lt;='Bonding Program'!$C$8),N('Bonding Program'!$O$18),0)</f>
        <v>0</v>
      </c>
      <c r="CD159" s="19" t="n">
        <f aca="false">IF(AND('Bonding Program'!$S$18=1,'Bonding Program'!$H$18&gt;'Bonding Program'!$C$8,CD$3='Bonding Program'!$H$18),'Bonding Program'!$T$18-'Bonding Program'!$U$18-'Bonding Program'!$Z$18,0)-IF(AND('Bonding Program'!$S$18=1,'Bonding Program'!$H$18&lt;='Bonding Program'!$C$8,CD$3=IF('Bonding Program'!$P$18&lt;&gt;"",'Bonding Program'!$P$18,'Bonding Program'!$C$8)),'Bonding Program'!$Z$18,0)+IF(AND('Bonding Program'!$P$18&lt;&gt;"",CD$3='Bonding Program'!$P$18,CD$3&lt;='Bonding Program'!$C$8),N('Bonding Program'!$O$18),0)</f>
        <v>0</v>
      </c>
      <c r="CE159" s="19" t="n">
        <f aca="false">IF(AND('Bonding Program'!$S$18=1,'Bonding Program'!$H$18&gt;'Bonding Program'!$C$8,CE$3='Bonding Program'!$H$18),'Bonding Program'!$T$18-'Bonding Program'!$U$18-'Bonding Program'!$Z$18,0)-IF(AND('Bonding Program'!$S$18=1,'Bonding Program'!$H$18&lt;='Bonding Program'!$C$8,CE$3=IF('Bonding Program'!$P$18&lt;&gt;"",'Bonding Program'!$P$18,'Bonding Program'!$C$8)),'Bonding Program'!$Z$18,0)+IF(AND('Bonding Program'!$P$18&lt;&gt;"",CE$3='Bonding Program'!$P$18,CE$3&lt;='Bonding Program'!$C$8),N('Bonding Program'!$O$18),0)</f>
        <v>0</v>
      </c>
      <c r="CF159" s="19" t="n">
        <f aca="false">IF(AND('Bonding Program'!$S$18=1,'Bonding Program'!$H$18&gt;'Bonding Program'!$C$8,CF$3='Bonding Program'!$H$18),'Bonding Program'!$T$18-'Bonding Program'!$U$18-'Bonding Program'!$Z$18,0)-IF(AND('Bonding Program'!$S$18=1,'Bonding Program'!$H$18&lt;='Bonding Program'!$C$8,CF$3=IF('Bonding Program'!$P$18&lt;&gt;"",'Bonding Program'!$P$18,'Bonding Program'!$C$8)),'Bonding Program'!$Z$18,0)+IF(AND('Bonding Program'!$P$18&lt;&gt;"",CF$3='Bonding Program'!$P$18,CF$3&lt;='Bonding Program'!$C$8),N('Bonding Program'!$O$18),0)</f>
        <v>0</v>
      </c>
      <c r="CG159" s="19" t="n">
        <f aca="false">IF(AND('Bonding Program'!$S$18=1,'Bonding Program'!$H$18&gt;'Bonding Program'!$C$8,CG$3='Bonding Program'!$H$18),'Bonding Program'!$T$18-'Bonding Program'!$U$18-'Bonding Program'!$Z$18,0)-IF(AND('Bonding Program'!$S$18=1,'Bonding Program'!$H$18&lt;='Bonding Program'!$C$8,CG$3=IF('Bonding Program'!$P$18&lt;&gt;"",'Bonding Program'!$P$18,'Bonding Program'!$C$8)),'Bonding Program'!$Z$18,0)+IF(AND('Bonding Program'!$P$18&lt;&gt;"",CG$3='Bonding Program'!$P$18,CG$3&lt;='Bonding Program'!$C$8),N('Bonding Program'!$O$18),0)</f>
        <v>0</v>
      </c>
      <c r="CH159" s="19" t="n">
        <f aca="false">IF(AND('Bonding Program'!$S$18=1,'Bonding Program'!$H$18&gt;'Bonding Program'!$C$8,CH$3='Bonding Program'!$H$18),'Bonding Program'!$T$18-'Bonding Program'!$U$18-'Bonding Program'!$Z$18,0)-IF(AND('Bonding Program'!$S$18=1,'Bonding Program'!$H$18&lt;='Bonding Program'!$C$8,CH$3=IF('Bonding Program'!$P$18&lt;&gt;"",'Bonding Program'!$P$18,'Bonding Program'!$C$8)),'Bonding Program'!$Z$18,0)+IF(AND('Bonding Program'!$P$18&lt;&gt;"",CH$3='Bonding Program'!$P$18,CH$3&lt;='Bonding Program'!$C$8),N('Bonding Program'!$O$18),0)</f>
        <v>0</v>
      </c>
      <c r="CI159" s="19" t="n">
        <f aca="false">IF(AND('Bonding Program'!$S$18=1,'Bonding Program'!$H$18&gt;'Bonding Program'!$C$8,CI$3='Bonding Program'!$H$18),'Bonding Program'!$T$18-'Bonding Program'!$U$18-'Bonding Program'!$Z$18,0)-IF(AND('Bonding Program'!$S$18=1,'Bonding Program'!$H$18&lt;='Bonding Program'!$C$8,CI$3=IF('Bonding Program'!$P$18&lt;&gt;"",'Bonding Program'!$P$18,'Bonding Program'!$C$8)),'Bonding Program'!$Z$18,0)+IF(AND('Bonding Program'!$P$18&lt;&gt;"",CI$3='Bonding Program'!$P$18,CI$3&lt;='Bonding Program'!$C$8),N('Bonding Program'!$O$18),0)</f>
        <v>0</v>
      </c>
      <c r="CJ159" s="19" t="n">
        <f aca="false">IF(AND('Bonding Program'!$S$18=1,'Bonding Program'!$H$18&gt;'Bonding Program'!$C$8,CJ$3='Bonding Program'!$H$18),'Bonding Program'!$T$18-'Bonding Program'!$U$18-'Bonding Program'!$Z$18,0)-IF(AND('Bonding Program'!$S$18=1,'Bonding Program'!$H$18&lt;='Bonding Program'!$C$8,CJ$3=IF('Bonding Program'!$P$18&lt;&gt;"",'Bonding Program'!$P$18,'Bonding Program'!$C$8)),'Bonding Program'!$Z$18,0)+IF(AND('Bonding Program'!$P$18&lt;&gt;"",CJ$3='Bonding Program'!$P$18,CJ$3&lt;='Bonding Program'!$C$8),N('Bonding Program'!$O$18),0)</f>
        <v>0</v>
      </c>
      <c r="CK159" s="19" t="n">
        <f aca="false">IF(AND('Bonding Program'!$S$18=1,'Bonding Program'!$H$18&gt;'Bonding Program'!$C$8,CK$3='Bonding Program'!$H$18),'Bonding Program'!$T$18-'Bonding Program'!$U$18-'Bonding Program'!$Z$18,0)-IF(AND('Bonding Program'!$S$18=1,'Bonding Program'!$H$18&lt;='Bonding Program'!$C$8,CK$3=IF('Bonding Program'!$P$18&lt;&gt;"",'Bonding Program'!$P$18,'Bonding Program'!$C$8)),'Bonding Program'!$Z$18,0)+IF(AND('Bonding Program'!$P$18&lt;&gt;"",CK$3='Bonding Program'!$P$18,CK$3&lt;='Bonding Program'!$C$8),N('Bonding Program'!$O$18),0)</f>
        <v>0</v>
      </c>
      <c r="CL159" s="19" t="n">
        <f aca="false">IF(AND('Bonding Program'!$S$18=1,'Bonding Program'!$H$18&gt;'Bonding Program'!$C$8,CL$3='Bonding Program'!$H$18),'Bonding Program'!$T$18-'Bonding Program'!$U$18-'Bonding Program'!$Z$18,0)-IF(AND('Bonding Program'!$S$18=1,'Bonding Program'!$H$18&lt;='Bonding Program'!$C$8,CL$3=IF('Bonding Program'!$P$18&lt;&gt;"",'Bonding Program'!$P$18,'Bonding Program'!$C$8)),'Bonding Program'!$Z$18,0)+IF(AND('Bonding Program'!$P$18&lt;&gt;"",CL$3='Bonding Program'!$P$18,CL$3&lt;='Bonding Program'!$C$8),N('Bonding Program'!$O$18),0)</f>
        <v>0</v>
      </c>
      <c r="CM159" s="19" t="n">
        <f aca="false">IF(AND('Bonding Program'!$S$18=1,'Bonding Program'!$H$18&gt;'Bonding Program'!$C$8,CM$3='Bonding Program'!$H$18),'Bonding Program'!$T$18-'Bonding Program'!$U$18-'Bonding Program'!$Z$18,0)-IF(AND('Bonding Program'!$S$18=1,'Bonding Program'!$H$18&lt;='Bonding Program'!$C$8,CM$3=IF('Bonding Program'!$P$18&lt;&gt;"",'Bonding Program'!$P$18,'Bonding Program'!$C$8)),'Bonding Program'!$Z$18,0)+IF(AND('Bonding Program'!$P$18&lt;&gt;"",CM$3='Bonding Program'!$P$18,CM$3&lt;='Bonding Program'!$C$8),N('Bonding Program'!$O$18),0)</f>
        <v>0</v>
      </c>
      <c r="CN159" s="19" t="n">
        <f aca="false">IF(AND('Bonding Program'!$S$18=1,'Bonding Program'!$H$18&gt;'Bonding Program'!$C$8,CN$3='Bonding Program'!$H$18),'Bonding Program'!$T$18-'Bonding Program'!$U$18-'Bonding Program'!$Z$18,0)-IF(AND('Bonding Program'!$S$18=1,'Bonding Program'!$H$18&lt;='Bonding Program'!$C$8,CN$3=IF('Bonding Program'!$P$18&lt;&gt;"",'Bonding Program'!$P$18,'Bonding Program'!$C$8)),'Bonding Program'!$Z$18,0)+IF(AND('Bonding Program'!$P$18&lt;&gt;"",CN$3='Bonding Program'!$P$18,CN$3&lt;='Bonding Program'!$C$8),N('Bonding Program'!$O$18),0)</f>
        <v>0</v>
      </c>
      <c r="CO159" s="19" t="n">
        <f aca="false">IF(AND('Bonding Program'!$S$18=1,'Bonding Program'!$H$18&gt;'Bonding Program'!$C$8,CO$3='Bonding Program'!$H$18),'Bonding Program'!$T$18-'Bonding Program'!$U$18-'Bonding Program'!$Z$18,0)-IF(AND('Bonding Program'!$S$18=1,'Bonding Program'!$H$18&lt;='Bonding Program'!$C$8,CO$3=IF('Bonding Program'!$P$18&lt;&gt;"",'Bonding Program'!$P$18,'Bonding Program'!$C$8)),'Bonding Program'!$Z$18,0)+IF(AND('Bonding Program'!$P$18&lt;&gt;"",CO$3='Bonding Program'!$P$18,CO$3&lt;='Bonding Program'!$C$8),N('Bonding Program'!$O$18),0)</f>
        <v>0</v>
      </c>
      <c r="CP159" s="19" t="n">
        <f aca="false">IF(AND('Bonding Program'!$S$18=1,'Bonding Program'!$H$18&gt;'Bonding Program'!$C$8,CP$3='Bonding Program'!$H$18),'Bonding Program'!$T$18-'Bonding Program'!$U$18-'Bonding Program'!$Z$18,0)-IF(AND('Bonding Program'!$S$18=1,'Bonding Program'!$H$18&lt;='Bonding Program'!$C$8,CP$3=IF('Bonding Program'!$P$18&lt;&gt;"",'Bonding Program'!$P$18,'Bonding Program'!$C$8)),'Bonding Program'!$Z$18,0)+IF(AND('Bonding Program'!$P$18&lt;&gt;"",CP$3='Bonding Program'!$P$18,CP$3&lt;='Bonding Program'!$C$8),N('Bonding Program'!$O$18),0)</f>
        <v>0</v>
      </c>
      <c r="CQ159" s="19" t="n">
        <f aca="false">IF(AND('Bonding Program'!$S$18=1,'Bonding Program'!$H$18&gt;'Bonding Program'!$C$8,CQ$3='Bonding Program'!$H$18),'Bonding Program'!$T$18-'Bonding Program'!$U$18-'Bonding Program'!$Z$18,0)-IF(AND('Bonding Program'!$S$18=1,'Bonding Program'!$H$18&lt;='Bonding Program'!$C$8,CQ$3=IF('Bonding Program'!$P$18&lt;&gt;"",'Bonding Program'!$P$18,'Bonding Program'!$C$8)),'Bonding Program'!$Z$18,0)+IF(AND('Bonding Program'!$P$18&lt;&gt;"",CQ$3='Bonding Program'!$P$18,CQ$3&lt;='Bonding Program'!$C$8),N('Bonding Program'!$O$18),0)</f>
        <v>0</v>
      </c>
      <c r="CR159" s="19" t="n">
        <f aca="false">IF(AND('Bonding Program'!$S$18=1,'Bonding Program'!$H$18&gt;'Bonding Program'!$C$8,CR$3='Bonding Program'!$H$18),'Bonding Program'!$T$18-'Bonding Program'!$U$18-'Bonding Program'!$Z$18,0)-IF(AND('Bonding Program'!$S$18=1,'Bonding Program'!$H$18&lt;='Bonding Program'!$C$8,CR$3=IF('Bonding Program'!$P$18&lt;&gt;"",'Bonding Program'!$P$18,'Bonding Program'!$C$8)),'Bonding Program'!$Z$18,0)+IF(AND('Bonding Program'!$P$18&lt;&gt;"",CR$3='Bonding Program'!$P$18,CR$3&lt;='Bonding Program'!$C$8),N('Bonding Program'!$O$18),0)</f>
        <v>0</v>
      </c>
      <c r="CS159" s="19" t="n">
        <f aca="false">IF(AND('Bonding Program'!$S$18=1,'Bonding Program'!$H$18&gt;'Bonding Program'!$C$8,CS$3='Bonding Program'!$H$18),'Bonding Program'!$T$18-'Bonding Program'!$U$18-'Bonding Program'!$Z$18,0)-IF(AND('Bonding Program'!$S$18=1,'Bonding Program'!$H$18&lt;='Bonding Program'!$C$8,CS$3=IF('Bonding Program'!$P$18&lt;&gt;"",'Bonding Program'!$P$18,'Bonding Program'!$C$8)),'Bonding Program'!$Z$18,0)+IF(AND('Bonding Program'!$P$18&lt;&gt;"",CS$3='Bonding Program'!$P$18,CS$3&lt;='Bonding Program'!$C$8),N('Bonding Program'!$O$18),0)</f>
        <v>0</v>
      </c>
      <c r="CT159" s="19" t="n">
        <f aca="false">IF(AND('Bonding Program'!$S$18=1,'Bonding Program'!$H$18&gt;'Bonding Program'!$C$8,CT$3='Bonding Program'!$H$18),'Bonding Program'!$T$18-'Bonding Program'!$U$18-'Bonding Program'!$Z$18,0)-IF(AND('Bonding Program'!$S$18=1,'Bonding Program'!$H$18&lt;='Bonding Program'!$C$8,CT$3=IF('Bonding Program'!$P$18&lt;&gt;"",'Bonding Program'!$P$18,'Bonding Program'!$C$8)),'Bonding Program'!$Z$18,0)+IF(AND('Bonding Program'!$P$18&lt;&gt;"",CT$3='Bonding Program'!$P$18,CT$3&lt;='Bonding Program'!$C$8),N('Bonding Program'!$O$18),0)</f>
        <v>0</v>
      </c>
      <c r="CU159" s="19" t="n">
        <f aca="false">IF(AND('Bonding Program'!$S$18=1,'Bonding Program'!$H$18&gt;'Bonding Program'!$C$8,CU$3='Bonding Program'!$H$18),'Bonding Program'!$T$18-'Bonding Program'!$U$18-'Bonding Program'!$Z$18,0)-IF(AND('Bonding Program'!$S$18=1,'Bonding Program'!$H$18&lt;='Bonding Program'!$C$8,CU$3=IF('Bonding Program'!$P$18&lt;&gt;"",'Bonding Program'!$P$18,'Bonding Program'!$C$8)),'Bonding Program'!$Z$18,0)+IF(AND('Bonding Program'!$P$18&lt;&gt;"",CU$3='Bonding Program'!$P$18,CU$3&lt;='Bonding Program'!$C$8),N('Bonding Program'!$O$18),0)</f>
        <v>0</v>
      </c>
      <c r="CV159" s="19" t="n">
        <f aca="false">IF(AND('Bonding Program'!$S$18=1,'Bonding Program'!$H$18&gt;'Bonding Program'!$C$8,CV$3='Bonding Program'!$H$18),'Bonding Program'!$T$18-'Bonding Program'!$U$18-'Bonding Program'!$Z$18,0)-IF(AND('Bonding Program'!$S$18=1,'Bonding Program'!$H$18&lt;='Bonding Program'!$C$8,CV$3=IF('Bonding Program'!$P$18&lt;&gt;"",'Bonding Program'!$P$18,'Bonding Program'!$C$8)),'Bonding Program'!$Z$18,0)+IF(AND('Bonding Program'!$P$18&lt;&gt;"",CV$3='Bonding Program'!$P$18,CV$3&lt;='Bonding Program'!$C$8),N('Bonding Program'!$O$18),0)</f>
        <v>0</v>
      </c>
      <c r="CW159" s="19" t="n">
        <f aca="false">IF(AND('Bonding Program'!$S$18=1,'Bonding Program'!$H$18&gt;'Bonding Program'!$C$8,CW$3='Bonding Program'!$H$18),'Bonding Program'!$T$18-'Bonding Program'!$U$18-'Bonding Program'!$Z$18,0)-IF(AND('Bonding Program'!$S$18=1,'Bonding Program'!$H$18&lt;='Bonding Program'!$C$8,CW$3=IF('Bonding Program'!$P$18&lt;&gt;"",'Bonding Program'!$P$18,'Bonding Program'!$C$8)),'Bonding Program'!$Z$18,0)+IF(AND('Bonding Program'!$P$18&lt;&gt;"",CW$3='Bonding Program'!$P$18,CW$3&lt;='Bonding Program'!$C$8),N('Bonding Program'!$O$18),0)</f>
        <v>0</v>
      </c>
      <c r="CX159" s="19" t="n">
        <f aca="false">IF(AND('Bonding Program'!$S$18=1,'Bonding Program'!$H$18&gt;'Bonding Program'!$C$8,CX$3='Bonding Program'!$H$18),'Bonding Program'!$T$18-'Bonding Program'!$U$18-'Bonding Program'!$Z$18,0)-IF(AND('Bonding Program'!$S$18=1,'Bonding Program'!$H$18&lt;='Bonding Program'!$C$8,CX$3=IF('Bonding Program'!$P$18&lt;&gt;"",'Bonding Program'!$P$18,'Bonding Program'!$C$8)),'Bonding Program'!$Z$18,0)+IF(AND('Bonding Program'!$P$18&lt;&gt;"",CX$3='Bonding Program'!$P$18,CX$3&lt;='Bonding Program'!$C$8),N('Bonding Program'!$O$18),0)</f>
        <v>0</v>
      </c>
      <c r="CY159" s="19" t="n">
        <f aca="false">IF(AND('Bonding Program'!$S$18=1,'Bonding Program'!$H$18&gt;'Bonding Program'!$C$8,CY$3='Bonding Program'!$H$18),'Bonding Program'!$T$18-'Bonding Program'!$U$18-'Bonding Program'!$Z$18,0)-IF(AND('Bonding Program'!$S$18=1,'Bonding Program'!$H$18&lt;='Bonding Program'!$C$8,CY$3=IF('Bonding Program'!$P$18&lt;&gt;"",'Bonding Program'!$P$18,'Bonding Program'!$C$8)),'Bonding Program'!$Z$18,0)+IF(AND('Bonding Program'!$P$18&lt;&gt;"",CY$3='Bonding Program'!$P$18,CY$3&lt;='Bonding Program'!$C$8),N('Bonding Program'!$O$18),0)</f>
        <v>0</v>
      </c>
      <c r="CZ159" s="19" t="n">
        <f aca="false">IF(AND('Bonding Program'!$S$18=1,'Bonding Program'!$H$18&gt;'Bonding Program'!$C$8,CZ$3='Bonding Program'!$H$18),'Bonding Program'!$T$18-'Bonding Program'!$U$18-'Bonding Program'!$Z$18,0)-IF(AND('Bonding Program'!$S$18=1,'Bonding Program'!$H$18&lt;='Bonding Program'!$C$8,CZ$3=IF('Bonding Program'!$P$18&lt;&gt;"",'Bonding Program'!$P$18,'Bonding Program'!$C$8)),'Bonding Program'!$Z$18,0)+IF(AND('Bonding Program'!$P$18&lt;&gt;"",CZ$3='Bonding Program'!$P$18,CZ$3&lt;='Bonding Program'!$C$8),N('Bonding Program'!$O$18),0)</f>
        <v>0</v>
      </c>
      <c r="DA159" s="19" t="n">
        <f aca="false">IF(AND('Bonding Program'!$S$18=1,'Bonding Program'!$H$18&gt;'Bonding Program'!$C$8,DA$3='Bonding Program'!$H$18),'Bonding Program'!$T$18-'Bonding Program'!$U$18-'Bonding Program'!$Z$18,0)-IF(AND('Bonding Program'!$S$18=1,'Bonding Program'!$H$18&lt;='Bonding Program'!$C$8,DA$3=IF('Bonding Program'!$P$18&lt;&gt;"",'Bonding Program'!$P$18,'Bonding Program'!$C$8)),'Bonding Program'!$Z$18,0)+IF(AND('Bonding Program'!$P$18&lt;&gt;"",DA$3='Bonding Program'!$P$18,DA$3&lt;='Bonding Program'!$C$8),N('Bonding Program'!$O$18),0)</f>
        <v>0</v>
      </c>
      <c r="DB159" s="19" t="n">
        <f aca="false">IF(AND('Bonding Program'!$S$18=1,'Bonding Program'!$H$18&gt;'Bonding Program'!$C$8,DB$3='Bonding Program'!$H$18),'Bonding Program'!$T$18-'Bonding Program'!$U$18-'Bonding Program'!$Z$18,0)-IF(AND('Bonding Program'!$S$18=1,'Bonding Program'!$H$18&lt;='Bonding Program'!$C$8,DB$3=IF('Bonding Program'!$P$18&lt;&gt;"",'Bonding Program'!$P$18,'Bonding Program'!$C$8)),'Bonding Program'!$Z$18,0)+IF(AND('Bonding Program'!$P$18&lt;&gt;"",DB$3='Bonding Program'!$P$18,DB$3&lt;='Bonding Program'!$C$8),N('Bonding Program'!$O$18),0)</f>
        <v>0</v>
      </c>
      <c r="DC159" s="19" t="n">
        <f aca="false">IF(AND('Bonding Program'!$S$18=1,'Bonding Program'!$H$18&gt;'Bonding Program'!$C$8,DC$3='Bonding Program'!$H$18),'Bonding Program'!$T$18-'Bonding Program'!$U$18-'Bonding Program'!$Z$18,0)-IF(AND('Bonding Program'!$S$18=1,'Bonding Program'!$H$18&lt;='Bonding Program'!$C$8,DC$3=IF('Bonding Program'!$P$18&lt;&gt;"",'Bonding Program'!$P$18,'Bonding Program'!$C$8)),'Bonding Program'!$Z$18,0)+IF(AND('Bonding Program'!$P$18&lt;&gt;"",DC$3='Bonding Program'!$P$18,DC$3&lt;='Bonding Program'!$C$8),N('Bonding Program'!$O$18),0)</f>
        <v>0</v>
      </c>
      <c r="DD159" s="19" t="n">
        <f aca="false">IF(AND('Bonding Program'!$S$18=1,'Bonding Program'!$H$18&gt;'Bonding Program'!$C$8,DD$3='Bonding Program'!$H$18),'Bonding Program'!$T$18-'Bonding Program'!$U$18-'Bonding Program'!$Z$18,0)-IF(AND('Bonding Program'!$S$18=1,'Bonding Program'!$H$18&lt;='Bonding Program'!$C$8,DD$3=IF('Bonding Program'!$P$18&lt;&gt;"",'Bonding Program'!$P$18,'Bonding Program'!$C$8)),'Bonding Program'!$Z$18,0)+IF(AND('Bonding Program'!$P$18&lt;&gt;"",DD$3='Bonding Program'!$P$18,DD$3&lt;='Bonding Program'!$C$8),N('Bonding Program'!$O$18),0)</f>
        <v>0</v>
      </c>
      <c r="DE159" s="19" t="n">
        <f aca="false">IF(AND('Bonding Program'!$S$18=1,'Bonding Program'!$H$18&gt;'Bonding Program'!$C$8,DE$3='Bonding Program'!$H$18),'Bonding Program'!$T$18-'Bonding Program'!$U$18-'Bonding Program'!$Z$18,0)-IF(AND('Bonding Program'!$S$18=1,'Bonding Program'!$H$18&lt;='Bonding Program'!$C$8,DE$3=IF('Bonding Program'!$P$18&lt;&gt;"",'Bonding Program'!$P$18,'Bonding Program'!$C$8)),'Bonding Program'!$Z$18,0)+IF(AND('Bonding Program'!$P$18&lt;&gt;"",DE$3='Bonding Program'!$P$18,DE$3&lt;='Bonding Program'!$C$8),N('Bonding Program'!$O$18),0)</f>
        <v>0</v>
      </c>
    </row>
    <row r="160" customFormat="false" ht="15" hidden="false" customHeight="true" outlineLevel="1" collapsed="false">
      <c r="A160" s="28" t="s">
        <v>15</v>
      </c>
      <c r="B160" s="19" t="n">
        <f aca="false">IF(AND('Bonding Program'!$S$19=1,'Bonding Program'!$H$19&gt;'Bonding Program'!$C$8,B$3='Bonding Program'!$H$19),'Bonding Program'!$T$19-'Bonding Program'!$U$19-'Bonding Program'!$Z$19,0)-IF(AND('Bonding Program'!$S$19=1,'Bonding Program'!$H$19&lt;='Bonding Program'!$C$8,B$3=IF('Bonding Program'!$P$19&lt;&gt;"",'Bonding Program'!$P$19,'Bonding Program'!$C$8)),'Bonding Program'!$Z$19,0)+IF(AND('Bonding Program'!$P$19&lt;&gt;"",B$3='Bonding Program'!$P$19,B$3&lt;='Bonding Program'!$C$8),N('Bonding Program'!$O$19),0)</f>
        <v>0</v>
      </c>
      <c r="C160" s="19" t="n">
        <f aca="false">IF(AND('Bonding Program'!$S$19=1,'Bonding Program'!$H$19&gt;'Bonding Program'!$C$8,C$3='Bonding Program'!$H$19),'Bonding Program'!$T$19-'Bonding Program'!$U$19-'Bonding Program'!$Z$19,0)-IF(AND('Bonding Program'!$S$19=1,'Bonding Program'!$H$19&lt;='Bonding Program'!$C$8,C$3=IF('Bonding Program'!$P$19&lt;&gt;"",'Bonding Program'!$P$19,'Bonding Program'!$C$8)),'Bonding Program'!$Z$19,0)+IF(AND('Bonding Program'!$P$19&lt;&gt;"",C$3='Bonding Program'!$P$19,C$3&lt;='Bonding Program'!$C$8),N('Bonding Program'!$O$19),0)</f>
        <v>0</v>
      </c>
      <c r="D160" s="19" t="n">
        <f aca="false">IF(AND('Bonding Program'!$S$19=1,'Bonding Program'!$H$19&gt;'Bonding Program'!$C$8,D$3='Bonding Program'!$H$19),'Bonding Program'!$T$19-'Bonding Program'!$U$19-'Bonding Program'!$Z$19,0)-IF(AND('Bonding Program'!$S$19=1,'Bonding Program'!$H$19&lt;='Bonding Program'!$C$8,D$3=IF('Bonding Program'!$P$19&lt;&gt;"",'Bonding Program'!$P$19,'Bonding Program'!$C$8)),'Bonding Program'!$Z$19,0)+IF(AND('Bonding Program'!$P$19&lt;&gt;"",D$3='Bonding Program'!$P$19,D$3&lt;='Bonding Program'!$C$8),N('Bonding Program'!$O$19),0)</f>
        <v>0</v>
      </c>
      <c r="E160" s="19" t="n">
        <f aca="false">IF(AND('Bonding Program'!$S$19=1,'Bonding Program'!$H$19&gt;'Bonding Program'!$C$8,E$3='Bonding Program'!$H$19),'Bonding Program'!$T$19-'Bonding Program'!$U$19-'Bonding Program'!$Z$19,0)-IF(AND('Bonding Program'!$S$19=1,'Bonding Program'!$H$19&lt;='Bonding Program'!$C$8,E$3=IF('Bonding Program'!$P$19&lt;&gt;"",'Bonding Program'!$P$19,'Bonding Program'!$C$8)),'Bonding Program'!$Z$19,0)+IF(AND('Bonding Program'!$P$19&lt;&gt;"",E$3='Bonding Program'!$P$19,E$3&lt;='Bonding Program'!$C$8),N('Bonding Program'!$O$19),0)</f>
        <v>0</v>
      </c>
      <c r="F160" s="19" t="n">
        <f aca="false">IF(AND('Bonding Program'!$S$19=1,'Bonding Program'!$H$19&gt;'Bonding Program'!$C$8,F$3='Bonding Program'!$H$19),'Bonding Program'!$T$19-'Bonding Program'!$U$19-'Bonding Program'!$Z$19,0)-IF(AND('Bonding Program'!$S$19=1,'Bonding Program'!$H$19&lt;='Bonding Program'!$C$8,F$3=IF('Bonding Program'!$P$19&lt;&gt;"",'Bonding Program'!$P$19,'Bonding Program'!$C$8)),'Bonding Program'!$Z$19,0)+IF(AND('Bonding Program'!$P$19&lt;&gt;"",F$3='Bonding Program'!$P$19,F$3&lt;='Bonding Program'!$C$8),N('Bonding Program'!$O$19),0)</f>
        <v>0</v>
      </c>
      <c r="G160" s="19" t="n">
        <f aca="false">IF(AND('Bonding Program'!$S$19=1,'Bonding Program'!$H$19&gt;'Bonding Program'!$C$8,G$3='Bonding Program'!$H$19),'Bonding Program'!$T$19-'Bonding Program'!$U$19-'Bonding Program'!$Z$19,0)-IF(AND('Bonding Program'!$S$19=1,'Bonding Program'!$H$19&lt;='Bonding Program'!$C$8,G$3=IF('Bonding Program'!$P$19&lt;&gt;"",'Bonding Program'!$P$19,'Bonding Program'!$C$8)),'Bonding Program'!$Z$19,0)+IF(AND('Bonding Program'!$P$19&lt;&gt;"",G$3='Bonding Program'!$P$19,G$3&lt;='Bonding Program'!$C$8),N('Bonding Program'!$O$19),0)</f>
        <v>0</v>
      </c>
      <c r="H160" s="19" t="n">
        <f aca="false">IF(AND('Bonding Program'!$S$19=1,'Bonding Program'!$H$19&gt;'Bonding Program'!$C$8,H$3='Bonding Program'!$H$19),'Bonding Program'!$T$19-'Bonding Program'!$U$19-'Bonding Program'!$Z$19,0)-IF(AND('Bonding Program'!$S$19=1,'Bonding Program'!$H$19&lt;='Bonding Program'!$C$8,H$3=IF('Bonding Program'!$P$19&lt;&gt;"",'Bonding Program'!$P$19,'Bonding Program'!$C$8)),'Bonding Program'!$Z$19,0)+IF(AND('Bonding Program'!$P$19&lt;&gt;"",H$3='Bonding Program'!$P$19,H$3&lt;='Bonding Program'!$C$8),N('Bonding Program'!$O$19),0)</f>
        <v>0</v>
      </c>
      <c r="I160" s="19" t="n">
        <f aca="false">IF(AND('Bonding Program'!$S$19=1,'Bonding Program'!$H$19&gt;'Bonding Program'!$C$8,I$3='Bonding Program'!$H$19),'Bonding Program'!$T$19-'Bonding Program'!$U$19-'Bonding Program'!$Z$19,0)-IF(AND('Bonding Program'!$S$19=1,'Bonding Program'!$H$19&lt;='Bonding Program'!$C$8,I$3=IF('Bonding Program'!$P$19&lt;&gt;"",'Bonding Program'!$P$19,'Bonding Program'!$C$8)),'Bonding Program'!$Z$19,0)+IF(AND('Bonding Program'!$P$19&lt;&gt;"",I$3='Bonding Program'!$P$19,I$3&lt;='Bonding Program'!$C$8),N('Bonding Program'!$O$19),0)</f>
        <v>0</v>
      </c>
      <c r="J160" s="19" t="n">
        <f aca="false">IF(AND('Bonding Program'!$S$19=1,'Bonding Program'!$H$19&gt;'Bonding Program'!$C$8,J$3='Bonding Program'!$H$19),'Bonding Program'!$T$19-'Bonding Program'!$U$19-'Bonding Program'!$Z$19,0)-IF(AND('Bonding Program'!$S$19=1,'Bonding Program'!$H$19&lt;='Bonding Program'!$C$8,J$3=IF('Bonding Program'!$P$19&lt;&gt;"",'Bonding Program'!$P$19,'Bonding Program'!$C$8)),'Bonding Program'!$Z$19,0)+IF(AND('Bonding Program'!$P$19&lt;&gt;"",J$3='Bonding Program'!$P$19,J$3&lt;='Bonding Program'!$C$8),N('Bonding Program'!$O$19),0)</f>
        <v>0</v>
      </c>
      <c r="K160" s="19" t="n">
        <f aca="false">IF(AND('Bonding Program'!$S$19=1,'Bonding Program'!$H$19&gt;'Bonding Program'!$C$8,K$3='Bonding Program'!$H$19),'Bonding Program'!$T$19-'Bonding Program'!$U$19-'Bonding Program'!$Z$19,0)-IF(AND('Bonding Program'!$S$19=1,'Bonding Program'!$H$19&lt;='Bonding Program'!$C$8,K$3=IF('Bonding Program'!$P$19&lt;&gt;"",'Bonding Program'!$P$19,'Bonding Program'!$C$8)),'Bonding Program'!$Z$19,0)+IF(AND('Bonding Program'!$P$19&lt;&gt;"",K$3='Bonding Program'!$P$19,K$3&lt;='Bonding Program'!$C$8),N('Bonding Program'!$O$19),0)</f>
        <v>0</v>
      </c>
      <c r="L160" s="19" t="n">
        <f aca="false">IF(AND('Bonding Program'!$S$19=1,'Bonding Program'!$H$19&gt;'Bonding Program'!$C$8,L$3='Bonding Program'!$H$19),'Bonding Program'!$T$19-'Bonding Program'!$U$19-'Bonding Program'!$Z$19,0)-IF(AND('Bonding Program'!$S$19=1,'Bonding Program'!$H$19&lt;='Bonding Program'!$C$8,L$3=IF('Bonding Program'!$P$19&lt;&gt;"",'Bonding Program'!$P$19,'Bonding Program'!$C$8)),'Bonding Program'!$Z$19,0)+IF(AND('Bonding Program'!$P$19&lt;&gt;"",L$3='Bonding Program'!$P$19,L$3&lt;='Bonding Program'!$C$8),N('Bonding Program'!$O$19),0)</f>
        <v>0</v>
      </c>
      <c r="M160" s="19" t="n">
        <f aca="false">IF(AND('Bonding Program'!$S$19=1,'Bonding Program'!$H$19&gt;'Bonding Program'!$C$8,M$3='Bonding Program'!$H$19),'Bonding Program'!$T$19-'Bonding Program'!$U$19-'Bonding Program'!$Z$19,0)-IF(AND('Bonding Program'!$S$19=1,'Bonding Program'!$H$19&lt;='Bonding Program'!$C$8,M$3=IF('Bonding Program'!$P$19&lt;&gt;"",'Bonding Program'!$P$19,'Bonding Program'!$C$8)),'Bonding Program'!$Z$19,0)+IF(AND('Bonding Program'!$P$19&lt;&gt;"",M$3='Bonding Program'!$P$19,M$3&lt;='Bonding Program'!$C$8),N('Bonding Program'!$O$19),0)</f>
        <v>-376823.150184729</v>
      </c>
      <c r="N160" s="19" t="n">
        <f aca="false">IF(AND('Bonding Program'!$S$19=1,'Bonding Program'!$H$19&gt;'Bonding Program'!$C$8,N$3='Bonding Program'!$H$19),'Bonding Program'!$T$19-'Bonding Program'!$U$19-'Bonding Program'!$Z$19,0)-IF(AND('Bonding Program'!$S$19=1,'Bonding Program'!$H$19&lt;='Bonding Program'!$C$8,N$3=IF('Bonding Program'!$P$19&lt;&gt;"",'Bonding Program'!$P$19,'Bonding Program'!$C$8)),'Bonding Program'!$Z$19,0)+IF(AND('Bonding Program'!$P$19&lt;&gt;"",N$3='Bonding Program'!$P$19,N$3&lt;='Bonding Program'!$C$8),N('Bonding Program'!$O$19),0)</f>
        <v>0</v>
      </c>
      <c r="O160" s="19" t="n">
        <f aca="false">IF(AND('Bonding Program'!$S$19=1,'Bonding Program'!$H$19&gt;'Bonding Program'!$C$8,O$3='Bonding Program'!$H$19),'Bonding Program'!$T$19-'Bonding Program'!$U$19-'Bonding Program'!$Z$19,0)-IF(AND('Bonding Program'!$S$19=1,'Bonding Program'!$H$19&lt;='Bonding Program'!$C$8,O$3=IF('Bonding Program'!$P$19&lt;&gt;"",'Bonding Program'!$P$19,'Bonding Program'!$C$8)),'Bonding Program'!$Z$19,0)+IF(AND('Bonding Program'!$P$19&lt;&gt;"",O$3='Bonding Program'!$P$19,O$3&lt;='Bonding Program'!$C$8),N('Bonding Program'!$O$19),0)</f>
        <v>0</v>
      </c>
      <c r="P160" s="19" t="n">
        <f aca="false">IF(AND('Bonding Program'!$S$19=1,'Bonding Program'!$H$19&gt;'Bonding Program'!$C$8,P$3='Bonding Program'!$H$19),'Bonding Program'!$T$19-'Bonding Program'!$U$19-'Bonding Program'!$Z$19,0)-IF(AND('Bonding Program'!$S$19=1,'Bonding Program'!$H$19&lt;='Bonding Program'!$C$8,P$3=IF('Bonding Program'!$P$19&lt;&gt;"",'Bonding Program'!$P$19,'Bonding Program'!$C$8)),'Bonding Program'!$Z$19,0)+IF(AND('Bonding Program'!$P$19&lt;&gt;"",P$3='Bonding Program'!$P$19,P$3&lt;='Bonding Program'!$C$8),N('Bonding Program'!$O$19),0)</f>
        <v>0</v>
      </c>
      <c r="Q160" s="19" t="n">
        <f aca="false">IF(AND('Bonding Program'!$S$19=1,'Bonding Program'!$H$19&gt;'Bonding Program'!$C$8,Q$3='Bonding Program'!$H$19),'Bonding Program'!$T$19-'Bonding Program'!$U$19-'Bonding Program'!$Z$19,0)-IF(AND('Bonding Program'!$S$19=1,'Bonding Program'!$H$19&lt;='Bonding Program'!$C$8,Q$3=IF('Bonding Program'!$P$19&lt;&gt;"",'Bonding Program'!$P$19,'Bonding Program'!$C$8)),'Bonding Program'!$Z$19,0)+IF(AND('Bonding Program'!$P$19&lt;&gt;"",Q$3='Bonding Program'!$P$19,Q$3&lt;='Bonding Program'!$C$8),N('Bonding Program'!$O$19),0)</f>
        <v>0</v>
      </c>
      <c r="R160" s="19" t="n">
        <f aca="false">IF(AND('Bonding Program'!$S$19=1,'Bonding Program'!$H$19&gt;'Bonding Program'!$C$8,R$3='Bonding Program'!$H$19),'Bonding Program'!$T$19-'Bonding Program'!$U$19-'Bonding Program'!$Z$19,0)-IF(AND('Bonding Program'!$S$19=1,'Bonding Program'!$H$19&lt;='Bonding Program'!$C$8,R$3=IF('Bonding Program'!$P$19&lt;&gt;"",'Bonding Program'!$P$19,'Bonding Program'!$C$8)),'Bonding Program'!$Z$19,0)+IF(AND('Bonding Program'!$P$19&lt;&gt;"",R$3='Bonding Program'!$P$19,R$3&lt;='Bonding Program'!$C$8),N('Bonding Program'!$O$19),0)</f>
        <v>0</v>
      </c>
      <c r="S160" s="19" t="n">
        <f aca="false">IF(AND('Bonding Program'!$S$19=1,'Bonding Program'!$H$19&gt;'Bonding Program'!$C$8,S$3='Bonding Program'!$H$19),'Bonding Program'!$T$19-'Bonding Program'!$U$19-'Bonding Program'!$Z$19,0)-IF(AND('Bonding Program'!$S$19=1,'Bonding Program'!$H$19&lt;='Bonding Program'!$C$8,S$3=IF('Bonding Program'!$P$19&lt;&gt;"",'Bonding Program'!$P$19,'Bonding Program'!$C$8)),'Bonding Program'!$Z$19,0)+IF(AND('Bonding Program'!$P$19&lt;&gt;"",S$3='Bonding Program'!$P$19,S$3&lt;='Bonding Program'!$C$8),N('Bonding Program'!$O$19),0)</f>
        <v>0</v>
      </c>
      <c r="T160" s="19" t="n">
        <f aca="false">IF(AND('Bonding Program'!$S$19=1,'Bonding Program'!$H$19&gt;'Bonding Program'!$C$8,T$3='Bonding Program'!$H$19),'Bonding Program'!$T$19-'Bonding Program'!$U$19-'Bonding Program'!$Z$19,0)-IF(AND('Bonding Program'!$S$19=1,'Bonding Program'!$H$19&lt;='Bonding Program'!$C$8,T$3=IF('Bonding Program'!$P$19&lt;&gt;"",'Bonding Program'!$P$19,'Bonding Program'!$C$8)),'Bonding Program'!$Z$19,0)+IF(AND('Bonding Program'!$P$19&lt;&gt;"",T$3='Bonding Program'!$P$19,T$3&lt;='Bonding Program'!$C$8),N('Bonding Program'!$O$19),0)</f>
        <v>0</v>
      </c>
      <c r="U160" s="19" t="n">
        <f aca="false">IF(AND('Bonding Program'!$S$19=1,'Bonding Program'!$H$19&gt;'Bonding Program'!$C$8,U$3='Bonding Program'!$H$19),'Bonding Program'!$T$19-'Bonding Program'!$U$19-'Bonding Program'!$Z$19,0)-IF(AND('Bonding Program'!$S$19=1,'Bonding Program'!$H$19&lt;='Bonding Program'!$C$8,U$3=IF('Bonding Program'!$P$19&lt;&gt;"",'Bonding Program'!$P$19,'Bonding Program'!$C$8)),'Bonding Program'!$Z$19,0)+IF(AND('Bonding Program'!$P$19&lt;&gt;"",U$3='Bonding Program'!$P$19,U$3&lt;='Bonding Program'!$C$8),N('Bonding Program'!$O$19),0)</f>
        <v>0</v>
      </c>
      <c r="V160" s="19" t="n">
        <f aca="false">IF(AND('Bonding Program'!$S$19=1,'Bonding Program'!$H$19&gt;'Bonding Program'!$C$8,V$3='Bonding Program'!$H$19),'Bonding Program'!$T$19-'Bonding Program'!$U$19-'Bonding Program'!$Z$19,0)-IF(AND('Bonding Program'!$S$19=1,'Bonding Program'!$H$19&lt;='Bonding Program'!$C$8,V$3=IF('Bonding Program'!$P$19&lt;&gt;"",'Bonding Program'!$P$19,'Bonding Program'!$C$8)),'Bonding Program'!$Z$19,0)+IF(AND('Bonding Program'!$P$19&lt;&gt;"",V$3='Bonding Program'!$P$19,V$3&lt;='Bonding Program'!$C$8),N('Bonding Program'!$O$19),0)</f>
        <v>0</v>
      </c>
      <c r="W160" s="19" t="n">
        <f aca="false">IF(AND('Bonding Program'!$S$19=1,'Bonding Program'!$H$19&gt;'Bonding Program'!$C$8,W$3='Bonding Program'!$H$19),'Bonding Program'!$T$19-'Bonding Program'!$U$19-'Bonding Program'!$Z$19,0)-IF(AND('Bonding Program'!$S$19=1,'Bonding Program'!$H$19&lt;='Bonding Program'!$C$8,W$3=IF('Bonding Program'!$P$19&lt;&gt;"",'Bonding Program'!$P$19,'Bonding Program'!$C$8)),'Bonding Program'!$Z$19,0)+IF(AND('Bonding Program'!$P$19&lt;&gt;"",W$3='Bonding Program'!$P$19,W$3&lt;='Bonding Program'!$C$8),N('Bonding Program'!$O$19),0)</f>
        <v>0</v>
      </c>
      <c r="X160" s="19" t="n">
        <f aca="false">IF(AND('Bonding Program'!$S$19=1,'Bonding Program'!$H$19&gt;'Bonding Program'!$C$8,X$3='Bonding Program'!$H$19),'Bonding Program'!$T$19-'Bonding Program'!$U$19-'Bonding Program'!$Z$19,0)-IF(AND('Bonding Program'!$S$19=1,'Bonding Program'!$H$19&lt;='Bonding Program'!$C$8,X$3=IF('Bonding Program'!$P$19&lt;&gt;"",'Bonding Program'!$P$19,'Bonding Program'!$C$8)),'Bonding Program'!$Z$19,0)+IF(AND('Bonding Program'!$P$19&lt;&gt;"",X$3='Bonding Program'!$P$19,X$3&lt;='Bonding Program'!$C$8),N('Bonding Program'!$O$19),0)</f>
        <v>0</v>
      </c>
      <c r="Y160" s="19" t="n">
        <f aca="false">IF(AND('Bonding Program'!$S$19=1,'Bonding Program'!$H$19&gt;'Bonding Program'!$C$8,Y$3='Bonding Program'!$H$19),'Bonding Program'!$T$19-'Bonding Program'!$U$19-'Bonding Program'!$Z$19,0)-IF(AND('Bonding Program'!$S$19=1,'Bonding Program'!$H$19&lt;='Bonding Program'!$C$8,Y$3=IF('Bonding Program'!$P$19&lt;&gt;"",'Bonding Program'!$P$19,'Bonding Program'!$C$8)),'Bonding Program'!$Z$19,0)+IF(AND('Bonding Program'!$P$19&lt;&gt;"",Y$3='Bonding Program'!$P$19,Y$3&lt;='Bonding Program'!$C$8),N('Bonding Program'!$O$19),0)</f>
        <v>0</v>
      </c>
      <c r="Z160" s="19" t="n">
        <f aca="false">IF(AND('Bonding Program'!$S$19=1,'Bonding Program'!$H$19&gt;'Bonding Program'!$C$8,Z$3='Bonding Program'!$H$19),'Bonding Program'!$T$19-'Bonding Program'!$U$19-'Bonding Program'!$Z$19,0)-IF(AND('Bonding Program'!$S$19=1,'Bonding Program'!$H$19&lt;='Bonding Program'!$C$8,Z$3=IF('Bonding Program'!$P$19&lt;&gt;"",'Bonding Program'!$P$19,'Bonding Program'!$C$8)),'Bonding Program'!$Z$19,0)+IF(AND('Bonding Program'!$P$19&lt;&gt;"",Z$3='Bonding Program'!$P$19,Z$3&lt;='Bonding Program'!$C$8),N('Bonding Program'!$O$19),0)</f>
        <v>0</v>
      </c>
      <c r="AA160" s="19" t="n">
        <f aca="false">IF(AND('Bonding Program'!$S$19=1,'Bonding Program'!$H$19&gt;'Bonding Program'!$C$8,AA$3='Bonding Program'!$H$19),'Bonding Program'!$T$19-'Bonding Program'!$U$19-'Bonding Program'!$Z$19,0)-IF(AND('Bonding Program'!$S$19=1,'Bonding Program'!$H$19&lt;='Bonding Program'!$C$8,AA$3=IF('Bonding Program'!$P$19&lt;&gt;"",'Bonding Program'!$P$19,'Bonding Program'!$C$8)),'Bonding Program'!$Z$19,0)+IF(AND('Bonding Program'!$P$19&lt;&gt;"",AA$3='Bonding Program'!$P$19,AA$3&lt;='Bonding Program'!$C$8),N('Bonding Program'!$O$19),0)</f>
        <v>0</v>
      </c>
      <c r="AB160" s="19" t="n">
        <f aca="false">IF(AND('Bonding Program'!$S$19=1,'Bonding Program'!$H$19&gt;'Bonding Program'!$C$8,AB$3='Bonding Program'!$H$19),'Bonding Program'!$T$19-'Bonding Program'!$U$19-'Bonding Program'!$Z$19,0)-IF(AND('Bonding Program'!$S$19=1,'Bonding Program'!$H$19&lt;='Bonding Program'!$C$8,AB$3=IF('Bonding Program'!$P$19&lt;&gt;"",'Bonding Program'!$P$19,'Bonding Program'!$C$8)),'Bonding Program'!$Z$19,0)+IF(AND('Bonding Program'!$P$19&lt;&gt;"",AB$3='Bonding Program'!$P$19,AB$3&lt;='Bonding Program'!$C$8),N('Bonding Program'!$O$19),0)</f>
        <v>0</v>
      </c>
      <c r="AC160" s="19" t="n">
        <f aca="false">IF(AND('Bonding Program'!$S$19=1,'Bonding Program'!$H$19&gt;'Bonding Program'!$C$8,AC$3='Bonding Program'!$H$19),'Bonding Program'!$T$19-'Bonding Program'!$U$19-'Bonding Program'!$Z$19,0)-IF(AND('Bonding Program'!$S$19=1,'Bonding Program'!$H$19&lt;='Bonding Program'!$C$8,AC$3=IF('Bonding Program'!$P$19&lt;&gt;"",'Bonding Program'!$P$19,'Bonding Program'!$C$8)),'Bonding Program'!$Z$19,0)+IF(AND('Bonding Program'!$P$19&lt;&gt;"",AC$3='Bonding Program'!$P$19,AC$3&lt;='Bonding Program'!$C$8),N('Bonding Program'!$O$19),0)</f>
        <v>0</v>
      </c>
      <c r="AD160" s="19" t="n">
        <f aca="false">IF(AND('Bonding Program'!$S$19=1,'Bonding Program'!$H$19&gt;'Bonding Program'!$C$8,AD$3='Bonding Program'!$H$19),'Bonding Program'!$T$19-'Bonding Program'!$U$19-'Bonding Program'!$Z$19,0)-IF(AND('Bonding Program'!$S$19=1,'Bonding Program'!$H$19&lt;='Bonding Program'!$C$8,AD$3=IF('Bonding Program'!$P$19&lt;&gt;"",'Bonding Program'!$P$19,'Bonding Program'!$C$8)),'Bonding Program'!$Z$19,0)+IF(AND('Bonding Program'!$P$19&lt;&gt;"",AD$3='Bonding Program'!$P$19,AD$3&lt;='Bonding Program'!$C$8),N('Bonding Program'!$O$19),0)</f>
        <v>0</v>
      </c>
      <c r="AE160" s="19" t="n">
        <f aca="false">IF(AND('Bonding Program'!$S$19=1,'Bonding Program'!$H$19&gt;'Bonding Program'!$C$8,AE$3='Bonding Program'!$H$19),'Bonding Program'!$T$19-'Bonding Program'!$U$19-'Bonding Program'!$Z$19,0)-IF(AND('Bonding Program'!$S$19=1,'Bonding Program'!$H$19&lt;='Bonding Program'!$C$8,AE$3=IF('Bonding Program'!$P$19&lt;&gt;"",'Bonding Program'!$P$19,'Bonding Program'!$C$8)),'Bonding Program'!$Z$19,0)+IF(AND('Bonding Program'!$P$19&lt;&gt;"",AE$3='Bonding Program'!$P$19,AE$3&lt;='Bonding Program'!$C$8),N('Bonding Program'!$O$19),0)</f>
        <v>0</v>
      </c>
      <c r="AF160" s="19" t="n">
        <f aca="false">IF(AND('Bonding Program'!$S$19=1,'Bonding Program'!$H$19&gt;'Bonding Program'!$C$8,AF$3='Bonding Program'!$H$19),'Bonding Program'!$T$19-'Bonding Program'!$U$19-'Bonding Program'!$Z$19,0)-IF(AND('Bonding Program'!$S$19=1,'Bonding Program'!$H$19&lt;='Bonding Program'!$C$8,AF$3=IF('Bonding Program'!$P$19&lt;&gt;"",'Bonding Program'!$P$19,'Bonding Program'!$C$8)),'Bonding Program'!$Z$19,0)+IF(AND('Bonding Program'!$P$19&lt;&gt;"",AF$3='Bonding Program'!$P$19,AF$3&lt;='Bonding Program'!$C$8),N('Bonding Program'!$O$19),0)</f>
        <v>0</v>
      </c>
      <c r="AG160" s="19" t="n">
        <f aca="false">IF(AND('Bonding Program'!$S$19=1,'Bonding Program'!$H$19&gt;'Bonding Program'!$C$8,AG$3='Bonding Program'!$H$19),'Bonding Program'!$T$19-'Bonding Program'!$U$19-'Bonding Program'!$Z$19,0)-IF(AND('Bonding Program'!$S$19=1,'Bonding Program'!$H$19&lt;='Bonding Program'!$C$8,AG$3=IF('Bonding Program'!$P$19&lt;&gt;"",'Bonding Program'!$P$19,'Bonding Program'!$C$8)),'Bonding Program'!$Z$19,0)+IF(AND('Bonding Program'!$P$19&lt;&gt;"",AG$3='Bonding Program'!$P$19,AG$3&lt;='Bonding Program'!$C$8),N('Bonding Program'!$O$19),0)</f>
        <v>0</v>
      </c>
      <c r="AH160" s="19" t="n">
        <f aca="false">IF(AND('Bonding Program'!$S$19=1,'Bonding Program'!$H$19&gt;'Bonding Program'!$C$8,AH$3='Bonding Program'!$H$19),'Bonding Program'!$T$19-'Bonding Program'!$U$19-'Bonding Program'!$Z$19,0)-IF(AND('Bonding Program'!$S$19=1,'Bonding Program'!$H$19&lt;='Bonding Program'!$C$8,AH$3=IF('Bonding Program'!$P$19&lt;&gt;"",'Bonding Program'!$P$19,'Bonding Program'!$C$8)),'Bonding Program'!$Z$19,0)+IF(AND('Bonding Program'!$P$19&lt;&gt;"",AH$3='Bonding Program'!$P$19,AH$3&lt;='Bonding Program'!$C$8),N('Bonding Program'!$O$19),0)</f>
        <v>0</v>
      </c>
      <c r="AI160" s="19" t="n">
        <f aca="false">IF(AND('Bonding Program'!$S$19=1,'Bonding Program'!$H$19&gt;'Bonding Program'!$C$8,AI$3='Bonding Program'!$H$19),'Bonding Program'!$T$19-'Bonding Program'!$U$19-'Bonding Program'!$Z$19,0)-IF(AND('Bonding Program'!$S$19=1,'Bonding Program'!$H$19&lt;='Bonding Program'!$C$8,AI$3=IF('Bonding Program'!$P$19&lt;&gt;"",'Bonding Program'!$P$19,'Bonding Program'!$C$8)),'Bonding Program'!$Z$19,0)+IF(AND('Bonding Program'!$P$19&lt;&gt;"",AI$3='Bonding Program'!$P$19,AI$3&lt;='Bonding Program'!$C$8),N('Bonding Program'!$O$19),0)</f>
        <v>0</v>
      </c>
      <c r="AJ160" s="19" t="n">
        <f aca="false">IF(AND('Bonding Program'!$S$19=1,'Bonding Program'!$H$19&gt;'Bonding Program'!$C$8,AJ$3='Bonding Program'!$H$19),'Bonding Program'!$T$19-'Bonding Program'!$U$19-'Bonding Program'!$Z$19,0)-IF(AND('Bonding Program'!$S$19=1,'Bonding Program'!$H$19&lt;='Bonding Program'!$C$8,AJ$3=IF('Bonding Program'!$P$19&lt;&gt;"",'Bonding Program'!$P$19,'Bonding Program'!$C$8)),'Bonding Program'!$Z$19,0)+IF(AND('Bonding Program'!$P$19&lt;&gt;"",AJ$3='Bonding Program'!$P$19,AJ$3&lt;='Bonding Program'!$C$8),N('Bonding Program'!$O$19),0)</f>
        <v>0</v>
      </c>
      <c r="AK160" s="19" t="n">
        <f aca="false">IF(AND('Bonding Program'!$S$19=1,'Bonding Program'!$H$19&gt;'Bonding Program'!$C$8,AK$3='Bonding Program'!$H$19),'Bonding Program'!$T$19-'Bonding Program'!$U$19-'Bonding Program'!$Z$19,0)-IF(AND('Bonding Program'!$S$19=1,'Bonding Program'!$H$19&lt;='Bonding Program'!$C$8,AK$3=IF('Bonding Program'!$P$19&lt;&gt;"",'Bonding Program'!$P$19,'Bonding Program'!$C$8)),'Bonding Program'!$Z$19,0)+IF(AND('Bonding Program'!$P$19&lt;&gt;"",AK$3='Bonding Program'!$P$19,AK$3&lt;='Bonding Program'!$C$8),N('Bonding Program'!$O$19),0)</f>
        <v>0</v>
      </c>
      <c r="AL160" s="19" t="n">
        <f aca="false">IF(AND('Bonding Program'!$S$19=1,'Bonding Program'!$H$19&gt;'Bonding Program'!$C$8,AL$3='Bonding Program'!$H$19),'Bonding Program'!$T$19-'Bonding Program'!$U$19-'Bonding Program'!$Z$19,0)-IF(AND('Bonding Program'!$S$19=1,'Bonding Program'!$H$19&lt;='Bonding Program'!$C$8,AL$3=IF('Bonding Program'!$P$19&lt;&gt;"",'Bonding Program'!$P$19,'Bonding Program'!$C$8)),'Bonding Program'!$Z$19,0)+IF(AND('Bonding Program'!$P$19&lt;&gt;"",AL$3='Bonding Program'!$P$19,AL$3&lt;='Bonding Program'!$C$8),N('Bonding Program'!$O$19),0)</f>
        <v>0</v>
      </c>
      <c r="AM160" s="19" t="n">
        <f aca="false">IF(AND('Bonding Program'!$S$19=1,'Bonding Program'!$H$19&gt;'Bonding Program'!$C$8,AM$3='Bonding Program'!$H$19),'Bonding Program'!$T$19-'Bonding Program'!$U$19-'Bonding Program'!$Z$19,0)-IF(AND('Bonding Program'!$S$19=1,'Bonding Program'!$H$19&lt;='Bonding Program'!$C$8,AM$3=IF('Bonding Program'!$P$19&lt;&gt;"",'Bonding Program'!$P$19,'Bonding Program'!$C$8)),'Bonding Program'!$Z$19,0)+IF(AND('Bonding Program'!$P$19&lt;&gt;"",AM$3='Bonding Program'!$P$19,AM$3&lt;='Bonding Program'!$C$8),N('Bonding Program'!$O$19),0)</f>
        <v>0</v>
      </c>
      <c r="AN160" s="19" t="n">
        <f aca="false">IF(AND('Bonding Program'!$S$19=1,'Bonding Program'!$H$19&gt;'Bonding Program'!$C$8,AN$3='Bonding Program'!$H$19),'Bonding Program'!$T$19-'Bonding Program'!$U$19-'Bonding Program'!$Z$19,0)-IF(AND('Bonding Program'!$S$19=1,'Bonding Program'!$H$19&lt;='Bonding Program'!$C$8,AN$3=IF('Bonding Program'!$P$19&lt;&gt;"",'Bonding Program'!$P$19,'Bonding Program'!$C$8)),'Bonding Program'!$Z$19,0)+IF(AND('Bonding Program'!$P$19&lt;&gt;"",AN$3='Bonding Program'!$P$19,AN$3&lt;='Bonding Program'!$C$8),N('Bonding Program'!$O$19),0)</f>
        <v>0</v>
      </c>
      <c r="AO160" s="19" t="n">
        <f aca="false">IF(AND('Bonding Program'!$S$19=1,'Bonding Program'!$H$19&gt;'Bonding Program'!$C$8,AO$3='Bonding Program'!$H$19),'Bonding Program'!$T$19-'Bonding Program'!$U$19-'Bonding Program'!$Z$19,0)-IF(AND('Bonding Program'!$S$19=1,'Bonding Program'!$H$19&lt;='Bonding Program'!$C$8,AO$3=IF('Bonding Program'!$P$19&lt;&gt;"",'Bonding Program'!$P$19,'Bonding Program'!$C$8)),'Bonding Program'!$Z$19,0)+IF(AND('Bonding Program'!$P$19&lt;&gt;"",AO$3='Bonding Program'!$P$19,AO$3&lt;='Bonding Program'!$C$8),N('Bonding Program'!$O$19),0)</f>
        <v>0</v>
      </c>
      <c r="AP160" s="19" t="n">
        <f aca="false">IF(AND('Bonding Program'!$S$19=1,'Bonding Program'!$H$19&gt;'Bonding Program'!$C$8,AP$3='Bonding Program'!$H$19),'Bonding Program'!$T$19-'Bonding Program'!$U$19-'Bonding Program'!$Z$19,0)-IF(AND('Bonding Program'!$S$19=1,'Bonding Program'!$H$19&lt;='Bonding Program'!$C$8,AP$3=IF('Bonding Program'!$P$19&lt;&gt;"",'Bonding Program'!$P$19,'Bonding Program'!$C$8)),'Bonding Program'!$Z$19,0)+IF(AND('Bonding Program'!$P$19&lt;&gt;"",AP$3='Bonding Program'!$P$19,AP$3&lt;='Bonding Program'!$C$8),N('Bonding Program'!$O$19),0)</f>
        <v>0</v>
      </c>
      <c r="AQ160" s="19" t="n">
        <f aca="false">IF(AND('Bonding Program'!$S$19=1,'Bonding Program'!$H$19&gt;'Bonding Program'!$C$8,AQ$3='Bonding Program'!$H$19),'Bonding Program'!$T$19-'Bonding Program'!$U$19-'Bonding Program'!$Z$19,0)-IF(AND('Bonding Program'!$S$19=1,'Bonding Program'!$H$19&lt;='Bonding Program'!$C$8,AQ$3=IF('Bonding Program'!$P$19&lt;&gt;"",'Bonding Program'!$P$19,'Bonding Program'!$C$8)),'Bonding Program'!$Z$19,0)+IF(AND('Bonding Program'!$P$19&lt;&gt;"",AQ$3='Bonding Program'!$P$19,AQ$3&lt;='Bonding Program'!$C$8),N('Bonding Program'!$O$19),0)</f>
        <v>0</v>
      </c>
      <c r="AR160" s="19" t="n">
        <f aca="false">IF(AND('Bonding Program'!$S$19=1,'Bonding Program'!$H$19&gt;'Bonding Program'!$C$8,AR$3='Bonding Program'!$H$19),'Bonding Program'!$T$19-'Bonding Program'!$U$19-'Bonding Program'!$Z$19,0)-IF(AND('Bonding Program'!$S$19=1,'Bonding Program'!$H$19&lt;='Bonding Program'!$C$8,AR$3=IF('Bonding Program'!$P$19&lt;&gt;"",'Bonding Program'!$P$19,'Bonding Program'!$C$8)),'Bonding Program'!$Z$19,0)+IF(AND('Bonding Program'!$P$19&lt;&gt;"",AR$3='Bonding Program'!$P$19,AR$3&lt;='Bonding Program'!$C$8),N('Bonding Program'!$O$19),0)</f>
        <v>0</v>
      </c>
      <c r="AS160" s="19" t="n">
        <f aca="false">IF(AND('Bonding Program'!$S$19=1,'Bonding Program'!$H$19&gt;'Bonding Program'!$C$8,AS$3='Bonding Program'!$H$19),'Bonding Program'!$T$19-'Bonding Program'!$U$19-'Bonding Program'!$Z$19,0)-IF(AND('Bonding Program'!$S$19=1,'Bonding Program'!$H$19&lt;='Bonding Program'!$C$8,AS$3=IF('Bonding Program'!$P$19&lt;&gt;"",'Bonding Program'!$P$19,'Bonding Program'!$C$8)),'Bonding Program'!$Z$19,0)+IF(AND('Bonding Program'!$P$19&lt;&gt;"",AS$3='Bonding Program'!$P$19,AS$3&lt;='Bonding Program'!$C$8),N('Bonding Program'!$O$19),0)</f>
        <v>0</v>
      </c>
      <c r="AT160" s="19" t="n">
        <f aca="false">IF(AND('Bonding Program'!$S$19=1,'Bonding Program'!$H$19&gt;'Bonding Program'!$C$8,AT$3='Bonding Program'!$H$19),'Bonding Program'!$T$19-'Bonding Program'!$U$19-'Bonding Program'!$Z$19,0)-IF(AND('Bonding Program'!$S$19=1,'Bonding Program'!$H$19&lt;='Bonding Program'!$C$8,AT$3=IF('Bonding Program'!$P$19&lt;&gt;"",'Bonding Program'!$P$19,'Bonding Program'!$C$8)),'Bonding Program'!$Z$19,0)+IF(AND('Bonding Program'!$P$19&lt;&gt;"",AT$3='Bonding Program'!$P$19,AT$3&lt;='Bonding Program'!$C$8),N('Bonding Program'!$O$19),0)</f>
        <v>0</v>
      </c>
      <c r="AU160" s="19" t="n">
        <f aca="false">IF(AND('Bonding Program'!$S$19=1,'Bonding Program'!$H$19&gt;'Bonding Program'!$C$8,AU$3='Bonding Program'!$H$19),'Bonding Program'!$T$19-'Bonding Program'!$U$19-'Bonding Program'!$Z$19,0)-IF(AND('Bonding Program'!$S$19=1,'Bonding Program'!$H$19&lt;='Bonding Program'!$C$8,AU$3=IF('Bonding Program'!$P$19&lt;&gt;"",'Bonding Program'!$P$19,'Bonding Program'!$C$8)),'Bonding Program'!$Z$19,0)+IF(AND('Bonding Program'!$P$19&lt;&gt;"",AU$3='Bonding Program'!$P$19,AU$3&lt;='Bonding Program'!$C$8),N('Bonding Program'!$O$19),0)</f>
        <v>0</v>
      </c>
      <c r="AV160" s="19" t="n">
        <f aca="false">IF(AND('Bonding Program'!$S$19=1,'Bonding Program'!$H$19&gt;'Bonding Program'!$C$8,AV$3='Bonding Program'!$H$19),'Bonding Program'!$T$19-'Bonding Program'!$U$19-'Bonding Program'!$Z$19,0)-IF(AND('Bonding Program'!$S$19=1,'Bonding Program'!$H$19&lt;='Bonding Program'!$C$8,AV$3=IF('Bonding Program'!$P$19&lt;&gt;"",'Bonding Program'!$P$19,'Bonding Program'!$C$8)),'Bonding Program'!$Z$19,0)+IF(AND('Bonding Program'!$P$19&lt;&gt;"",AV$3='Bonding Program'!$P$19,AV$3&lt;='Bonding Program'!$C$8),N('Bonding Program'!$O$19),0)</f>
        <v>0</v>
      </c>
      <c r="AW160" s="19" t="n">
        <f aca="false">IF(AND('Bonding Program'!$S$19=1,'Bonding Program'!$H$19&gt;'Bonding Program'!$C$8,AW$3='Bonding Program'!$H$19),'Bonding Program'!$T$19-'Bonding Program'!$U$19-'Bonding Program'!$Z$19,0)-IF(AND('Bonding Program'!$S$19=1,'Bonding Program'!$H$19&lt;='Bonding Program'!$C$8,AW$3=IF('Bonding Program'!$P$19&lt;&gt;"",'Bonding Program'!$P$19,'Bonding Program'!$C$8)),'Bonding Program'!$Z$19,0)+IF(AND('Bonding Program'!$P$19&lt;&gt;"",AW$3='Bonding Program'!$P$19,AW$3&lt;='Bonding Program'!$C$8),N('Bonding Program'!$O$19),0)</f>
        <v>0</v>
      </c>
      <c r="AX160" s="19" t="n">
        <f aca="false">IF(AND('Bonding Program'!$S$19=1,'Bonding Program'!$H$19&gt;'Bonding Program'!$C$8,AX$3='Bonding Program'!$H$19),'Bonding Program'!$T$19-'Bonding Program'!$U$19-'Bonding Program'!$Z$19,0)-IF(AND('Bonding Program'!$S$19=1,'Bonding Program'!$H$19&lt;='Bonding Program'!$C$8,AX$3=IF('Bonding Program'!$P$19&lt;&gt;"",'Bonding Program'!$P$19,'Bonding Program'!$C$8)),'Bonding Program'!$Z$19,0)+IF(AND('Bonding Program'!$P$19&lt;&gt;"",AX$3='Bonding Program'!$P$19,AX$3&lt;='Bonding Program'!$C$8),N('Bonding Program'!$O$19),0)</f>
        <v>0</v>
      </c>
      <c r="AY160" s="19" t="n">
        <f aca="false">IF(AND('Bonding Program'!$S$19=1,'Bonding Program'!$H$19&gt;'Bonding Program'!$C$8,AY$3='Bonding Program'!$H$19),'Bonding Program'!$T$19-'Bonding Program'!$U$19-'Bonding Program'!$Z$19,0)-IF(AND('Bonding Program'!$S$19=1,'Bonding Program'!$H$19&lt;='Bonding Program'!$C$8,AY$3=IF('Bonding Program'!$P$19&lt;&gt;"",'Bonding Program'!$P$19,'Bonding Program'!$C$8)),'Bonding Program'!$Z$19,0)+IF(AND('Bonding Program'!$P$19&lt;&gt;"",AY$3='Bonding Program'!$P$19,AY$3&lt;='Bonding Program'!$C$8),N('Bonding Program'!$O$19),0)</f>
        <v>0</v>
      </c>
      <c r="AZ160" s="19" t="n">
        <f aca="false">IF(AND('Bonding Program'!$S$19=1,'Bonding Program'!$H$19&gt;'Bonding Program'!$C$8,AZ$3='Bonding Program'!$H$19),'Bonding Program'!$T$19-'Bonding Program'!$U$19-'Bonding Program'!$Z$19,0)-IF(AND('Bonding Program'!$S$19=1,'Bonding Program'!$H$19&lt;='Bonding Program'!$C$8,AZ$3=IF('Bonding Program'!$P$19&lt;&gt;"",'Bonding Program'!$P$19,'Bonding Program'!$C$8)),'Bonding Program'!$Z$19,0)+IF(AND('Bonding Program'!$P$19&lt;&gt;"",AZ$3='Bonding Program'!$P$19,AZ$3&lt;='Bonding Program'!$C$8),N('Bonding Program'!$O$19),0)</f>
        <v>0</v>
      </c>
      <c r="BA160" s="19" t="n">
        <f aca="false">IF(AND('Bonding Program'!$S$19=1,'Bonding Program'!$H$19&gt;'Bonding Program'!$C$8,BA$3='Bonding Program'!$H$19),'Bonding Program'!$T$19-'Bonding Program'!$U$19-'Bonding Program'!$Z$19,0)-IF(AND('Bonding Program'!$S$19=1,'Bonding Program'!$H$19&lt;='Bonding Program'!$C$8,BA$3=IF('Bonding Program'!$P$19&lt;&gt;"",'Bonding Program'!$P$19,'Bonding Program'!$C$8)),'Bonding Program'!$Z$19,0)+IF(AND('Bonding Program'!$P$19&lt;&gt;"",BA$3='Bonding Program'!$P$19,BA$3&lt;='Bonding Program'!$C$8),N('Bonding Program'!$O$19),0)</f>
        <v>0</v>
      </c>
      <c r="BB160" s="19" t="n">
        <f aca="false">IF(AND('Bonding Program'!$S$19=1,'Bonding Program'!$H$19&gt;'Bonding Program'!$C$8,BB$3='Bonding Program'!$H$19),'Bonding Program'!$T$19-'Bonding Program'!$U$19-'Bonding Program'!$Z$19,0)-IF(AND('Bonding Program'!$S$19=1,'Bonding Program'!$H$19&lt;='Bonding Program'!$C$8,BB$3=IF('Bonding Program'!$P$19&lt;&gt;"",'Bonding Program'!$P$19,'Bonding Program'!$C$8)),'Bonding Program'!$Z$19,0)+IF(AND('Bonding Program'!$P$19&lt;&gt;"",BB$3='Bonding Program'!$P$19,BB$3&lt;='Bonding Program'!$C$8),N('Bonding Program'!$O$19),0)</f>
        <v>0</v>
      </c>
      <c r="BC160" s="19" t="n">
        <f aca="false">IF(AND('Bonding Program'!$S$19=1,'Bonding Program'!$H$19&gt;'Bonding Program'!$C$8,BC$3='Bonding Program'!$H$19),'Bonding Program'!$T$19-'Bonding Program'!$U$19-'Bonding Program'!$Z$19,0)-IF(AND('Bonding Program'!$S$19=1,'Bonding Program'!$H$19&lt;='Bonding Program'!$C$8,BC$3=IF('Bonding Program'!$P$19&lt;&gt;"",'Bonding Program'!$P$19,'Bonding Program'!$C$8)),'Bonding Program'!$Z$19,0)+IF(AND('Bonding Program'!$P$19&lt;&gt;"",BC$3='Bonding Program'!$P$19,BC$3&lt;='Bonding Program'!$C$8),N('Bonding Program'!$O$19),0)</f>
        <v>0</v>
      </c>
      <c r="BD160" s="19" t="n">
        <f aca="false">IF(AND('Bonding Program'!$S$19=1,'Bonding Program'!$H$19&gt;'Bonding Program'!$C$8,BD$3='Bonding Program'!$H$19),'Bonding Program'!$T$19-'Bonding Program'!$U$19-'Bonding Program'!$Z$19,0)-IF(AND('Bonding Program'!$S$19=1,'Bonding Program'!$H$19&lt;='Bonding Program'!$C$8,BD$3=IF('Bonding Program'!$P$19&lt;&gt;"",'Bonding Program'!$P$19,'Bonding Program'!$C$8)),'Bonding Program'!$Z$19,0)+IF(AND('Bonding Program'!$P$19&lt;&gt;"",BD$3='Bonding Program'!$P$19,BD$3&lt;='Bonding Program'!$C$8),N('Bonding Program'!$O$19),0)</f>
        <v>0</v>
      </c>
      <c r="BE160" s="19" t="n">
        <f aca="false">IF(AND('Bonding Program'!$S$19=1,'Bonding Program'!$H$19&gt;'Bonding Program'!$C$8,BE$3='Bonding Program'!$H$19),'Bonding Program'!$T$19-'Bonding Program'!$U$19-'Bonding Program'!$Z$19,0)-IF(AND('Bonding Program'!$S$19=1,'Bonding Program'!$H$19&lt;='Bonding Program'!$C$8,BE$3=IF('Bonding Program'!$P$19&lt;&gt;"",'Bonding Program'!$P$19,'Bonding Program'!$C$8)),'Bonding Program'!$Z$19,0)+IF(AND('Bonding Program'!$P$19&lt;&gt;"",BE$3='Bonding Program'!$P$19,BE$3&lt;='Bonding Program'!$C$8),N('Bonding Program'!$O$19),0)</f>
        <v>0</v>
      </c>
      <c r="BF160" s="19" t="n">
        <f aca="false">IF(AND('Bonding Program'!$S$19=1,'Bonding Program'!$H$19&gt;'Bonding Program'!$C$8,BF$3='Bonding Program'!$H$19),'Bonding Program'!$T$19-'Bonding Program'!$U$19-'Bonding Program'!$Z$19,0)-IF(AND('Bonding Program'!$S$19=1,'Bonding Program'!$H$19&lt;='Bonding Program'!$C$8,BF$3=IF('Bonding Program'!$P$19&lt;&gt;"",'Bonding Program'!$P$19,'Bonding Program'!$C$8)),'Bonding Program'!$Z$19,0)+IF(AND('Bonding Program'!$P$19&lt;&gt;"",BF$3='Bonding Program'!$P$19,BF$3&lt;='Bonding Program'!$C$8),N('Bonding Program'!$O$19),0)</f>
        <v>0</v>
      </c>
      <c r="BG160" s="19" t="n">
        <f aca="false">IF(AND('Bonding Program'!$S$19=1,'Bonding Program'!$H$19&gt;'Bonding Program'!$C$8,BG$3='Bonding Program'!$H$19),'Bonding Program'!$T$19-'Bonding Program'!$U$19-'Bonding Program'!$Z$19,0)-IF(AND('Bonding Program'!$S$19=1,'Bonding Program'!$H$19&lt;='Bonding Program'!$C$8,BG$3=IF('Bonding Program'!$P$19&lt;&gt;"",'Bonding Program'!$P$19,'Bonding Program'!$C$8)),'Bonding Program'!$Z$19,0)+IF(AND('Bonding Program'!$P$19&lt;&gt;"",BG$3='Bonding Program'!$P$19,BG$3&lt;='Bonding Program'!$C$8),N('Bonding Program'!$O$19),0)</f>
        <v>0</v>
      </c>
      <c r="BH160" s="19" t="n">
        <f aca="false">IF(AND('Bonding Program'!$S$19=1,'Bonding Program'!$H$19&gt;'Bonding Program'!$C$8,BH$3='Bonding Program'!$H$19),'Bonding Program'!$T$19-'Bonding Program'!$U$19-'Bonding Program'!$Z$19,0)-IF(AND('Bonding Program'!$S$19=1,'Bonding Program'!$H$19&lt;='Bonding Program'!$C$8,BH$3=IF('Bonding Program'!$P$19&lt;&gt;"",'Bonding Program'!$P$19,'Bonding Program'!$C$8)),'Bonding Program'!$Z$19,0)+IF(AND('Bonding Program'!$P$19&lt;&gt;"",BH$3='Bonding Program'!$P$19,BH$3&lt;='Bonding Program'!$C$8),N('Bonding Program'!$O$19),0)</f>
        <v>0</v>
      </c>
      <c r="BI160" s="19" t="n">
        <f aca="false">IF(AND('Bonding Program'!$S$19=1,'Bonding Program'!$H$19&gt;'Bonding Program'!$C$8,BI$3='Bonding Program'!$H$19),'Bonding Program'!$T$19-'Bonding Program'!$U$19-'Bonding Program'!$Z$19,0)-IF(AND('Bonding Program'!$S$19=1,'Bonding Program'!$H$19&lt;='Bonding Program'!$C$8,BI$3=IF('Bonding Program'!$P$19&lt;&gt;"",'Bonding Program'!$P$19,'Bonding Program'!$C$8)),'Bonding Program'!$Z$19,0)+IF(AND('Bonding Program'!$P$19&lt;&gt;"",BI$3='Bonding Program'!$P$19,BI$3&lt;='Bonding Program'!$C$8),N('Bonding Program'!$O$19),0)</f>
        <v>0</v>
      </c>
      <c r="BJ160" s="19" t="n">
        <f aca="false">IF(AND('Bonding Program'!$S$19=1,'Bonding Program'!$H$19&gt;'Bonding Program'!$C$8,BJ$3='Bonding Program'!$H$19),'Bonding Program'!$T$19-'Bonding Program'!$U$19-'Bonding Program'!$Z$19,0)-IF(AND('Bonding Program'!$S$19=1,'Bonding Program'!$H$19&lt;='Bonding Program'!$C$8,BJ$3=IF('Bonding Program'!$P$19&lt;&gt;"",'Bonding Program'!$P$19,'Bonding Program'!$C$8)),'Bonding Program'!$Z$19,0)+IF(AND('Bonding Program'!$P$19&lt;&gt;"",BJ$3='Bonding Program'!$P$19,BJ$3&lt;='Bonding Program'!$C$8),N('Bonding Program'!$O$19),0)</f>
        <v>0</v>
      </c>
      <c r="BK160" s="19" t="n">
        <f aca="false">IF(AND('Bonding Program'!$S$19=1,'Bonding Program'!$H$19&gt;'Bonding Program'!$C$8,BK$3='Bonding Program'!$H$19),'Bonding Program'!$T$19-'Bonding Program'!$U$19-'Bonding Program'!$Z$19,0)-IF(AND('Bonding Program'!$S$19=1,'Bonding Program'!$H$19&lt;='Bonding Program'!$C$8,BK$3=IF('Bonding Program'!$P$19&lt;&gt;"",'Bonding Program'!$P$19,'Bonding Program'!$C$8)),'Bonding Program'!$Z$19,0)+IF(AND('Bonding Program'!$P$19&lt;&gt;"",BK$3='Bonding Program'!$P$19,BK$3&lt;='Bonding Program'!$C$8),N('Bonding Program'!$O$19),0)</f>
        <v>0</v>
      </c>
      <c r="BL160" s="19" t="n">
        <f aca="false">IF(AND('Bonding Program'!$S$19=1,'Bonding Program'!$H$19&gt;'Bonding Program'!$C$8,BL$3='Bonding Program'!$H$19),'Bonding Program'!$T$19-'Bonding Program'!$U$19-'Bonding Program'!$Z$19,0)-IF(AND('Bonding Program'!$S$19=1,'Bonding Program'!$H$19&lt;='Bonding Program'!$C$8,BL$3=IF('Bonding Program'!$P$19&lt;&gt;"",'Bonding Program'!$P$19,'Bonding Program'!$C$8)),'Bonding Program'!$Z$19,0)+IF(AND('Bonding Program'!$P$19&lt;&gt;"",BL$3='Bonding Program'!$P$19,BL$3&lt;='Bonding Program'!$C$8),N('Bonding Program'!$O$19),0)</f>
        <v>0</v>
      </c>
      <c r="BM160" s="19" t="n">
        <f aca="false">IF(AND('Bonding Program'!$S$19=1,'Bonding Program'!$H$19&gt;'Bonding Program'!$C$8,BM$3='Bonding Program'!$H$19),'Bonding Program'!$T$19-'Bonding Program'!$U$19-'Bonding Program'!$Z$19,0)-IF(AND('Bonding Program'!$S$19=1,'Bonding Program'!$H$19&lt;='Bonding Program'!$C$8,BM$3=IF('Bonding Program'!$P$19&lt;&gt;"",'Bonding Program'!$P$19,'Bonding Program'!$C$8)),'Bonding Program'!$Z$19,0)+IF(AND('Bonding Program'!$P$19&lt;&gt;"",BM$3='Bonding Program'!$P$19,BM$3&lt;='Bonding Program'!$C$8),N('Bonding Program'!$O$19),0)</f>
        <v>0</v>
      </c>
      <c r="BN160" s="19" t="n">
        <f aca="false">IF(AND('Bonding Program'!$S$19=1,'Bonding Program'!$H$19&gt;'Bonding Program'!$C$8,BN$3='Bonding Program'!$H$19),'Bonding Program'!$T$19-'Bonding Program'!$U$19-'Bonding Program'!$Z$19,0)-IF(AND('Bonding Program'!$S$19=1,'Bonding Program'!$H$19&lt;='Bonding Program'!$C$8,BN$3=IF('Bonding Program'!$P$19&lt;&gt;"",'Bonding Program'!$P$19,'Bonding Program'!$C$8)),'Bonding Program'!$Z$19,0)+IF(AND('Bonding Program'!$P$19&lt;&gt;"",BN$3='Bonding Program'!$P$19,BN$3&lt;='Bonding Program'!$C$8),N('Bonding Program'!$O$19),0)</f>
        <v>0</v>
      </c>
      <c r="BO160" s="19" t="n">
        <f aca="false">IF(AND('Bonding Program'!$S$19=1,'Bonding Program'!$H$19&gt;'Bonding Program'!$C$8,BO$3='Bonding Program'!$H$19),'Bonding Program'!$T$19-'Bonding Program'!$U$19-'Bonding Program'!$Z$19,0)-IF(AND('Bonding Program'!$S$19=1,'Bonding Program'!$H$19&lt;='Bonding Program'!$C$8,BO$3=IF('Bonding Program'!$P$19&lt;&gt;"",'Bonding Program'!$P$19,'Bonding Program'!$C$8)),'Bonding Program'!$Z$19,0)+IF(AND('Bonding Program'!$P$19&lt;&gt;"",BO$3='Bonding Program'!$P$19,BO$3&lt;='Bonding Program'!$C$8),N('Bonding Program'!$O$19),0)</f>
        <v>0</v>
      </c>
      <c r="BP160" s="19" t="n">
        <f aca="false">IF(AND('Bonding Program'!$S$19=1,'Bonding Program'!$H$19&gt;'Bonding Program'!$C$8,BP$3='Bonding Program'!$H$19),'Bonding Program'!$T$19-'Bonding Program'!$U$19-'Bonding Program'!$Z$19,0)-IF(AND('Bonding Program'!$S$19=1,'Bonding Program'!$H$19&lt;='Bonding Program'!$C$8,BP$3=IF('Bonding Program'!$P$19&lt;&gt;"",'Bonding Program'!$P$19,'Bonding Program'!$C$8)),'Bonding Program'!$Z$19,0)+IF(AND('Bonding Program'!$P$19&lt;&gt;"",BP$3='Bonding Program'!$P$19,BP$3&lt;='Bonding Program'!$C$8),N('Bonding Program'!$O$19),0)</f>
        <v>0</v>
      </c>
      <c r="BQ160" s="19" t="n">
        <f aca="false">IF(AND('Bonding Program'!$S$19=1,'Bonding Program'!$H$19&gt;'Bonding Program'!$C$8,BQ$3='Bonding Program'!$H$19),'Bonding Program'!$T$19-'Bonding Program'!$U$19-'Bonding Program'!$Z$19,0)-IF(AND('Bonding Program'!$S$19=1,'Bonding Program'!$H$19&lt;='Bonding Program'!$C$8,BQ$3=IF('Bonding Program'!$P$19&lt;&gt;"",'Bonding Program'!$P$19,'Bonding Program'!$C$8)),'Bonding Program'!$Z$19,0)+IF(AND('Bonding Program'!$P$19&lt;&gt;"",BQ$3='Bonding Program'!$P$19,BQ$3&lt;='Bonding Program'!$C$8),N('Bonding Program'!$O$19),0)</f>
        <v>0</v>
      </c>
      <c r="BR160" s="19" t="n">
        <f aca="false">IF(AND('Bonding Program'!$S$19=1,'Bonding Program'!$H$19&gt;'Bonding Program'!$C$8,BR$3='Bonding Program'!$H$19),'Bonding Program'!$T$19-'Bonding Program'!$U$19-'Bonding Program'!$Z$19,0)-IF(AND('Bonding Program'!$S$19=1,'Bonding Program'!$H$19&lt;='Bonding Program'!$C$8,BR$3=IF('Bonding Program'!$P$19&lt;&gt;"",'Bonding Program'!$P$19,'Bonding Program'!$C$8)),'Bonding Program'!$Z$19,0)+IF(AND('Bonding Program'!$P$19&lt;&gt;"",BR$3='Bonding Program'!$P$19,BR$3&lt;='Bonding Program'!$C$8),N('Bonding Program'!$O$19),0)</f>
        <v>0</v>
      </c>
      <c r="BS160" s="19" t="n">
        <f aca="false">IF(AND('Bonding Program'!$S$19=1,'Bonding Program'!$H$19&gt;'Bonding Program'!$C$8,BS$3='Bonding Program'!$H$19),'Bonding Program'!$T$19-'Bonding Program'!$U$19-'Bonding Program'!$Z$19,0)-IF(AND('Bonding Program'!$S$19=1,'Bonding Program'!$H$19&lt;='Bonding Program'!$C$8,BS$3=IF('Bonding Program'!$P$19&lt;&gt;"",'Bonding Program'!$P$19,'Bonding Program'!$C$8)),'Bonding Program'!$Z$19,0)+IF(AND('Bonding Program'!$P$19&lt;&gt;"",BS$3='Bonding Program'!$P$19,BS$3&lt;='Bonding Program'!$C$8),N('Bonding Program'!$O$19),0)</f>
        <v>0</v>
      </c>
      <c r="BT160" s="19" t="n">
        <f aca="false">IF(AND('Bonding Program'!$S$19=1,'Bonding Program'!$H$19&gt;'Bonding Program'!$C$8,BT$3='Bonding Program'!$H$19),'Bonding Program'!$T$19-'Bonding Program'!$U$19-'Bonding Program'!$Z$19,0)-IF(AND('Bonding Program'!$S$19=1,'Bonding Program'!$H$19&lt;='Bonding Program'!$C$8,BT$3=IF('Bonding Program'!$P$19&lt;&gt;"",'Bonding Program'!$P$19,'Bonding Program'!$C$8)),'Bonding Program'!$Z$19,0)+IF(AND('Bonding Program'!$P$19&lt;&gt;"",BT$3='Bonding Program'!$P$19,BT$3&lt;='Bonding Program'!$C$8),N('Bonding Program'!$O$19),0)</f>
        <v>0</v>
      </c>
      <c r="BU160" s="19" t="n">
        <f aca="false">IF(AND('Bonding Program'!$S$19=1,'Bonding Program'!$H$19&gt;'Bonding Program'!$C$8,BU$3='Bonding Program'!$H$19),'Bonding Program'!$T$19-'Bonding Program'!$U$19-'Bonding Program'!$Z$19,0)-IF(AND('Bonding Program'!$S$19=1,'Bonding Program'!$H$19&lt;='Bonding Program'!$C$8,BU$3=IF('Bonding Program'!$P$19&lt;&gt;"",'Bonding Program'!$P$19,'Bonding Program'!$C$8)),'Bonding Program'!$Z$19,0)+IF(AND('Bonding Program'!$P$19&lt;&gt;"",BU$3='Bonding Program'!$P$19,BU$3&lt;='Bonding Program'!$C$8),N('Bonding Program'!$O$19),0)</f>
        <v>0</v>
      </c>
      <c r="BV160" s="19" t="n">
        <f aca="false">IF(AND('Bonding Program'!$S$19=1,'Bonding Program'!$H$19&gt;'Bonding Program'!$C$8,BV$3='Bonding Program'!$H$19),'Bonding Program'!$T$19-'Bonding Program'!$U$19-'Bonding Program'!$Z$19,0)-IF(AND('Bonding Program'!$S$19=1,'Bonding Program'!$H$19&lt;='Bonding Program'!$C$8,BV$3=IF('Bonding Program'!$P$19&lt;&gt;"",'Bonding Program'!$P$19,'Bonding Program'!$C$8)),'Bonding Program'!$Z$19,0)+IF(AND('Bonding Program'!$P$19&lt;&gt;"",BV$3='Bonding Program'!$P$19,BV$3&lt;='Bonding Program'!$C$8),N('Bonding Program'!$O$19),0)</f>
        <v>0</v>
      </c>
      <c r="BW160" s="19" t="n">
        <f aca="false">IF(AND('Bonding Program'!$S$19=1,'Bonding Program'!$H$19&gt;'Bonding Program'!$C$8,BW$3='Bonding Program'!$H$19),'Bonding Program'!$T$19-'Bonding Program'!$U$19-'Bonding Program'!$Z$19,0)-IF(AND('Bonding Program'!$S$19=1,'Bonding Program'!$H$19&lt;='Bonding Program'!$C$8,BW$3=IF('Bonding Program'!$P$19&lt;&gt;"",'Bonding Program'!$P$19,'Bonding Program'!$C$8)),'Bonding Program'!$Z$19,0)+IF(AND('Bonding Program'!$P$19&lt;&gt;"",BW$3='Bonding Program'!$P$19,BW$3&lt;='Bonding Program'!$C$8),N('Bonding Program'!$O$19),0)</f>
        <v>0</v>
      </c>
      <c r="BX160" s="19" t="n">
        <f aca="false">IF(AND('Bonding Program'!$S$19=1,'Bonding Program'!$H$19&gt;'Bonding Program'!$C$8,BX$3='Bonding Program'!$H$19),'Bonding Program'!$T$19-'Bonding Program'!$U$19-'Bonding Program'!$Z$19,0)-IF(AND('Bonding Program'!$S$19=1,'Bonding Program'!$H$19&lt;='Bonding Program'!$C$8,BX$3=IF('Bonding Program'!$P$19&lt;&gt;"",'Bonding Program'!$P$19,'Bonding Program'!$C$8)),'Bonding Program'!$Z$19,0)+IF(AND('Bonding Program'!$P$19&lt;&gt;"",BX$3='Bonding Program'!$P$19,BX$3&lt;='Bonding Program'!$C$8),N('Bonding Program'!$O$19),0)</f>
        <v>0</v>
      </c>
      <c r="BY160" s="19" t="n">
        <f aca="false">IF(AND('Bonding Program'!$S$19=1,'Bonding Program'!$H$19&gt;'Bonding Program'!$C$8,BY$3='Bonding Program'!$H$19),'Bonding Program'!$T$19-'Bonding Program'!$U$19-'Bonding Program'!$Z$19,0)-IF(AND('Bonding Program'!$S$19=1,'Bonding Program'!$H$19&lt;='Bonding Program'!$C$8,BY$3=IF('Bonding Program'!$P$19&lt;&gt;"",'Bonding Program'!$P$19,'Bonding Program'!$C$8)),'Bonding Program'!$Z$19,0)+IF(AND('Bonding Program'!$P$19&lt;&gt;"",BY$3='Bonding Program'!$P$19,BY$3&lt;='Bonding Program'!$C$8),N('Bonding Program'!$O$19),0)</f>
        <v>0</v>
      </c>
      <c r="BZ160" s="19" t="n">
        <f aca="false">IF(AND('Bonding Program'!$S$19=1,'Bonding Program'!$H$19&gt;'Bonding Program'!$C$8,BZ$3='Bonding Program'!$H$19),'Bonding Program'!$T$19-'Bonding Program'!$U$19-'Bonding Program'!$Z$19,0)-IF(AND('Bonding Program'!$S$19=1,'Bonding Program'!$H$19&lt;='Bonding Program'!$C$8,BZ$3=IF('Bonding Program'!$P$19&lt;&gt;"",'Bonding Program'!$P$19,'Bonding Program'!$C$8)),'Bonding Program'!$Z$19,0)+IF(AND('Bonding Program'!$P$19&lt;&gt;"",BZ$3='Bonding Program'!$P$19,BZ$3&lt;='Bonding Program'!$C$8),N('Bonding Program'!$O$19),0)</f>
        <v>0</v>
      </c>
      <c r="CA160" s="19" t="n">
        <f aca="false">IF(AND('Bonding Program'!$S$19=1,'Bonding Program'!$H$19&gt;'Bonding Program'!$C$8,CA$3='Bonding Program'!$H$19),'Bonding Program'!$T$19-'Bonding Program'!$U$19-'Bonding Program'!$Z$19,0)-IF(AND('Bonding Program'!$S$19=1,'Bonding Program'!$H$19&lt;='Bonding Program'!$C$8,CA$3=IF('Bonding Program'!$P$19&lt;&gt;"",'Bonding Program'!$P$19,'Bonding Program'!$C$8)),'Bonding Program'!$Z$19,0)+IF(AND('Bonding Program'!$P$19&lt;&gt;"",CA$3='Bonding Program'!$P$19,CA$3&lt;='Bonding Program'!$C$8),N('Bonding Program'!$O$19),0)</f>
        <v>0</v>
      </c>
      <c r="CB160" s="19" t="n">
        <f aca="false">IF(AND('Bonding Program'!$S$19=1,'Bonding Program'!$H$19&gt;'Bonding Program'!$C$8,CB$3='Bonding Program'!$H$19),'Bonding Program'!$T$19-'Bonding Program'!$U$19-'Bonding Program'!$Z$19,0)-IF(AND('Bonding Program'!$S$19=1,'Bonding Program'!$H$19&lt;='Bonding Program'!$C$8,CB$3=IF('Bonding Program'!$P$19&lt;&gt;"",'Bonding Program'!$P$19,'Bonding Program'!$C$8)),'Bonding Program'!$Z$19,0)+IF(AND('Bonding Program'!$P$19&lt;&gt;"",CB$3='Bonding Program'!$P$19,CB$3&lt;='Bonding Program'!$C$8),N('Bonding Program'!$O$19),0)</f>
        <v>0</v>
      </c>
      <c r="CC160" s="19" t="n">
        <f aca="false">IF(AND('Bonding Program'!$S$19=1,'Bonding Program'!$H$19&gt;'Bonding Program'!$C$8,CC$3='Bonding Program'!$H$19),'Bonding Program'!$T$19-'Bonding Program'!$U$19-'Bonding Program'!$Z$19,0)-IF(AND('Bonding Program'!$S$19=1,'Bonding Program'!$H$19&lt;='Bonding Program'!$C$8,CC$3=IF('Bonding Program'!$P$19&lt;&gt;"",'Bonding Program'!$P$19,'Bonding Program'!$C$8)),'Bonding Program'!$Z$19,0)+IF(AND('Bonding Program'!$P$19&lt;&gt;"",CC$3='Bonding Program'!$P$19,CC$3&lt;='Bonding Program'!$C$8),N('Bonding Program'!$O$19),0)</f>
        <v>0</v>
      </c>
      <c r="CD160" s="19" t="n">
        <f aca="false">IF(AND('Bonding Program'!$S$19=1,'Bonding Program'!$H$19&gt;'Bonding Program'!$C$8,CD$3='Bonding Program'!$H$19),'Bonding Program'!$T$19-'Bonding Program'!$U$19-'Bonding Program'!$Z$19,0)-IF(AND('Bonding Program'!$S$19=1,'Bonding Program'!$H$19&lt;='Bonding Program'!$C$8,CD$3=IF('Bonding Program'!$P$19&lt;&gt;"",'Bonding Program'!$P$19,'Bonding Program'!$C$8)),'Bonding Program'!$Z$19,0)+IF(AND('Bonding Program'!$P$19&lt;&gt;"",CD$3='Bonding Program'!$P$19,CD$3&lt;='Bonding Program'!$C$8),N('Bonding Program'!$O$19),0)</f>
        <v>0</v>
      </c>
      <c r="CE160" s="19" t="n">
        <f aca="false">IF(AND('Bonding Program'!$S$19=1,'Bonding Program'!$H$19&gt;'Bonding Program'!$C$8,CE$3='Bonding Program'!$H$19),'Bonding Program'!$T$19-'Bonding Program'!$U$19-'Bonding Program'!$Z$19,0)-IF(AND('Bonding Program'!$S$19=1,'Bonding Program'!$H$19&lt;='Bonding Program'!$C$8,CE$3=IF('Bonding Program'!$P$19&lt;&gt;"",'Bonding Program'!$P$19,'Bonding Program'!$C$8)),'Bonding Program'!$Z$19,0)+IF(AND('Bonding Program'!$P$19&lt;&gt;"",CE$3='Bonding Program'!$P$19,CE$3&lt;='Bonding Program'!$C$8),N('Bonding Program'!$O$19),0)</f>
        <v>0</v>
      </c>
      <c r="CF160" s="19" t="n">
        <f aca="false">IF(AND('Bonding Program'!$S$19=1,'Bonding Program'!$H$19&gt;'Bonding Program'!$C$8,CF$3='Bonding Program'!$H$19),'Bonding Program'!$T$19-'Bonding Program'!$U$19-'Bonding Program'!$Z$19,0)-IF(AND('Bonding Program'!$S$19=1,'Bonding Program'!$H$19&lt;='Bonding Program'!$C$8,CF$3=IF('Bonding Program'!$P$19&lt;&gt;"",'Bonding Program'!$P$19,'Bonding Program'!$C$8)),'Bonding Program'!$Z$19,0)+IF(AND('Bonding Program'!$P$19&lt;&gt;"",CF$3='Bonding Program'!$P$19,CF$3&lt;='Bonding Program'!$C$8),N('Bonding Program'!$O$19),0)</f>
        <v>0</v>
      </c>
      <c r="CG160" s="19" t="n">
        <f aca="false">IF(AND('Bonding Program'!$S$19=1,'Bonding Program'!$H$19&gt;'Bonding Program'!$C$8,CG$3='Bonding Program'!$H$19),'Bonding Program'!$T$19-'Bonding Program'!$U$19-'Bonding Program'!$Z$19,0)-IF(AND('Bonding Program'!$S$19=1,'Bonding Program'!$H$19&lt;='Bonding Program'!$C$8,CG$3=IF('Bonding Program'!$P$19&lt;&gt;"",'Bonding Program'!$P$19,'Bonding Program'!$C$8)),'Bonding Program'!$Z$19,0)+IF(AND('Bonding Program'!$P$19&lt;&gt;"",CG$3='Bonding Program'!$P$19,CG$3&lt;='Bonding Program'!$C$8),N('Bonding Program'!$O$19),0)</f>
        <v>0</v>
      </c>
      <c r="CH160" s="19" t="n">
        <f aca="false">IF(AND('Bonding Program'!$S$19=1,'Bonding Program'!$H$19&gt;'Bonding Program'!$C$8,CH$3='Bonding Program'!$H$19),'Bonding Program'!$T$19-'Bonding Program'!$U$19-'Bonding Program'!$Z$19,0)-IF(AND('Bonding Program'!$S$19=1,'Bonding Program'!$H$19&lt;='Bonding Program'!$C$8,CH$3=IF('Bonding Program'!$P$19&lt;&gt;"",'Bonding Program'!$P$19,'Bonding Program'!$C$8)),'Bonding Program'!$Z$19,0)+IF(AND('Bonding Program'!$P$19&lt;&gt;"",CH$3='Bonding Program'!$P$19,CH$3&lt;='Bonding Program'!$C$8),N('Bonding Program'!$O$19),0)</f>
        <v>0</v>
      </c>
      <c r="CI160" s="19" t="n">
        <f aca="false">IF(AND('Bonding Program'!$S$19=1,'Bonding Program'!$H$19&gt;'Bonding Program'!$C$8,CI$3='Bonding Program'!$H$19),'Bonding Program'!$T$19-'Bonding Program'!$U$19-'Bonding Program'!$Z$19,0)-IF(AND('Bonding Program'!$S$19=1,'Bonding Program'!$H$19&lt;='Bonding Program'!$C$8,CI$3=IF('Bonding Program'!$P$19&lt;&gt;"",'Bonding Program'!$P$19,'Bonding Program'!$C$8)),'Bonding Program'!$Z$19,0)+IF(AND('Bonding Program'!$P$19&lt;&gt;"",CI$3='Bonding Program'!$P$19,CI$3&lt;='Bonding Program'!$C$8),N('Bonding Program'!$O$19),0)</f>
        <v>0</v>
      </c>
      <c r="CJ160" s="19" t="n">
        <f aca="false">IF(AND('Bonding Program'!$S$19=1,'Bonding Program'!$H$19&gt;'Bonding Program'!$C$8,CJ$3='Bonding Program'!$H$19),'Bonding Program'!$T$19-'Bonding Program'!$U$19-'Bonding Program'!$Z$19,0)-IF(AND('Bonding Program'!$S$19=1,'Bonding Program'!$H$19&lt;='Bonding Program'!$C$8,CJ$3=IF('Bonding Program'!$P$19&lt;&gt;"",'Bonding Program'!$P$19,'Bonding Program'!$C$8)),'Bonding Program'!$Z$19,0)+IF(AND('Bonding Program'!$P$19&lt;&gt;"",CJ$3='Bonding Program'!$P$19,CJ$3&lt;='Bonding Program'!$C$8),N('Bonding Program'!$O$19),0)</f>
        <v>0</v>
      </c>
      <c r="CK160" s="19" t="n">
        <f aca="false">IF(AND('Bonding Program'!$S$19=1,'Bonding Program'!$H$19&gt;'Bonding Program'!$C$8,CK$3='Bonding Program'!$H$19),'Bonding Program'!$T$19-'Bonding Program'!$U$19-'Bonding Program'!$Z$19,0)-IF(AND('Bonding Program'!$S$19=1,'Bonding Program'!$H$19&lt;='Bonding Program'!$C$8,CK$3=IF('Bonding Program'!$P$19&lt;&gt;"",'Bonding Program'!$P$19,'Bonding Program'!$C$8)),'Bonding Program'!$Z$19,0)+IF(AND('Bonding Program'!$P$19&lt;&gt;"",CK$3='Bonding Program'!$P$19,CK$3&lt;='Bonding Program'!$C$8),N('Bonding Program'!$O$19),0)</f>
        <v>0</v>
      </c>
      <c r="CL160" s="19" t="n">
        <f aca="false">IF(AND('Bonding Program'!$S$19=1,'Bonding Program'!$H$19&gt;'Bonding Program'!$C$8,CL$3='Bonding Program'!$H$19),'Bonding Program'!$T$19-'Bonding Program'!$U$19-'Bonding Program'!$Z$19,0)-IF(AND('Bonding Program'!$S$19=1,'Bonding Program'!$H$19&lt;='Bonding Program'!$C$8,CL$3=IF('Bonding Program'!$P$19&lt;&gt;"",'Bonding Program'!$P$19,'Bonding Program'!$C$8)),'Bonding Program'!$Z$19,0)+IF(AND('Bonding Program'!$P$19&lt;&gt;"",CL$3='Bonding Program'!$P$19,CL$3&lt;='Bonding Program'!$C$8),N('Bonding Program'!$O$19),0)</f>
        <v>0</v>
      </c>
      <c r="CM160" s="19" t="n">
        <f aca="false">IF(AND('Bonding Program'!$S$19=1,'Bonding Program'!$H$19&gt;'Bonding Program'!$C$8,CM$3='Bonding Program'!$H$19),'Bonding Program'!$T$19-'Bonding Program'!$U$19-'Bonding Program'!$Z$19,0)-IF(AND('Bonding Program'!$S$19=1,'Bonding Program'!$H$19&lt;='Bonding Program'!$C$8,CM$3=IF('Bonding Program'!$P$19&lt;&gt;"",'Bonding Program'!$P$19,'Bonding Program'!$C$8)),'Bonding Program'!$Z$19,0)+IF(AND('Bonding Program'!$P$19&lt;&gt;"",CM$3='Bonding Program'!$P$19,CM$3&lt;='Bonding Program'!$C$8),N('Bonding Program'!$O$19),0)</f>
        <v>0</v>
      </c>
      <c r="CN160" s="19" t="n">
        <f aca="false">IF(AND('Bonding Program'!$S$19=1,'Bonding Program'!$H$19&gt;'Bonding Program'!$C$8,CN$3='Bonding Program'!$H$19),'Bonding Program'!$T$19-'Bonding Program'!$U$19-'Bonding Program'!$Z$19,0)-IF(AND('Bonding Program'!$S$19=1,'Bonding Program'!$H$19&lt;='Bonding Program'!$C$8,CN$3=IF('Bonding Program'!$P$19&lt;&gt;"",'Bonding Program'!$P$19,'Bonding Program'!$C$8)),'Bonding Program'!$Z$19,0)+IF(AND('Bonding Program'!$P$19&lt;&gt;"",CN$3='Bonding Program'!$P$19,CN$3&lt;='Bonding Program'!$C$8),N('Bonding Program'!$O$19),0)</f>
        <v>0</v>
      </c>
      <c r="CO160" s="19" t="n">
        <f aca="false">IF(AND('Bonding Program'!$S$19=1,'Bonding Program'!$H$19&gt;'Bonding Program'!$C$8,CO$3='Bonding Program'!$H$19),'Bonding Program'!$T$19-'Bonding Program'!$U$19-'Bonding Program'!$Z$19,0)-IF(AND('Bonding Program'!$S$19=1,'Bonding Program'!$H$19&lt;='Bonding Program'!$C$8,CO$3=IF('Bonding Program'!$P$19&lt;&gt;"",'Bonding Program'!$P$19,'Bonding Program'!$C$8)),'Bonding Program'!$Z$19,0)+IF(AND('Bonding Program'!$P$19&lt;&gt;"",CO$3='Bonding Program'!$P$19,CO$3&lt;='Bonding Program'!$C$8),N('Bonding Program'!$O$19),0)</f>
        <v>0</v>
      </c>
      <c r="CP160" s="19" t="n">
        <f aca="false">IF(AND('Bonding Program'!$S$19=1,'Bonding Program'!$H$19&gt;'Bonding Program'!$C$8,CP$3='Bonding Program'!$H$19),'Bonding Program'!$T$19-'Bonding Program'!$U$19-'Bonding Program'!$Z$19,0)-IF(AND('Bonding Program'!$S$19=1,'Bonding Program'!$H$19&lt;='Bonding Program'!$C$8,CP$3=IF('Bonding Program'!$P$19&lt;&gt;"",'Bonding Program'!$P$19,'Bonding Program'!$C$8)),'Bonding Program'!$Z$19,0)+IF(AND('Bonding Program'!$P$19&lt;&gt;"",CP$3='Bonding Program'!$P$19,CP$3&lt;='Bonding Program'!$C$8),N('Bonding Program'!$O$19),0)</f>
        <v>0</v>
      </c>
      <c r="CQ160" s="19" t="n">
        <f aca="false">IF(AND('Bonding Program'!$S$19=1,'Bonding Program'!$H$19&gt;'Bonding Program'!$C$8,CQ$3='Bonding Program'!$H$19),'Bonding Program'!$T$19-'Bonding Program'!$U$19-'Bonding Program'!$Z$19,0)-IF(AND('Bonding Program'!$S$19=1,'Bonding Program'!$H$19&lt;='Bonding Program'!$C$8,CQ$3=IF('Bonding Program'!$P$19&lt;&gt;"",'Bonding Program'!$P$19,'Bonding Program'!$C$8)),'Bonding Program'!$Z$19,0)+IF(AND('Bonding Program'!$P$19&lt;&gt;"",CQ$3='Bonding Program'!$P$19,CQ$3&lt;='Bonding Program'!$C$8),N('Bonding Program'!$O$19),0)</f>
        <v>0</v>
      </c>
      <c r="CR160" s="19" t="n">
        <f aca="false">IF(AND('Bonding Program'!$S$19=1,'Bonding Program'!$H$19&gt;'Bonding Program'!$C$8,CR$3='Bonding Program'!$H$19),'Bonding Program'!$T$19-'Bonding Program'!$U$19-'Bonding Program'!$Z$19,0)-IF(AND('Bonding Program'!$S$19=1,'Bonding Program'!$H$19&lt;='Bonding Program'!$C$8,CR$3=IF('Bonding Program'!$P$19&lt;&gt;"",'Bonding Program'!$P$19,'Bonding Program'!$C$8)),'Bonding Program'!$Z$19,0)+IF(AND('Bonding Program'!$P$19&lt;&gt;"",CR$3='Bonding Program'!$P$19,CR$3&lt;='Bonding Program'!$C$8),N('Bonding Program'!$O$19),0)</f>
        <v>0</v>
      </c>
      <c r="CS160" s="19" t="n">
        <f aca="false">IF(AND('Bonding Program'!$S$19=1,'Bonding Program'!$H$19&gt;'Bonding Program'!$C$8,CS$3='Bonding Program'!$H$19),'Bonding Program'!$T$19-'Bonding Program'!$U$19-'Bonding Program'!$Z$19,0)-IF(AND('Bonding Program'!$S$19=1,'Bonding Program'!$H$19&lt;='Bonding Program'!$C$8,CS$3=IF('Bonding Program'!$P$19&lt;&gt;"",'Bonding Program'!$P$19,'Bonding Program'!$C$8)),'Bonding Program'!$Z$19,0)+IF(AND('Bonding Program'!$P$19&lt;&gt;"",CS$3='Bonding Program'!$P$19,CS$3&lt;='Bonding Program'!$C$8),N('Bonding Program'!$O$19),0)</f>
        <v>0</v>
      </c>
      <c r="CT160" s="19" t="n">
        <f aca="false">IF(AND('Bonding Program'!$S$19=1,'Bonding Program'!$H$19&gt;'Bonding Program'!$C$8,CT$3='Bonding Program'!$H$19),'Bonding Program'!$T$19-'Bonding Program'!$U$19-'Bonding Program'!$Z$19,0)-IF(AND('Bonding Program'!$S$19=1,'Bonding Program'!$H$19&lt;='Bonding Program'!$C$8,CT$3=IF('Bonding Program'!$P$19&lt;&gt;"",'Bonding Program'!$P$19,'Bonding Program'!$C$8)),'Bonding Program'!$Z$19,0)+IF(AND('Bonding Program'!$P$19&lt;&gt;"",CT$3='Bonding Program'!$P$19,CT$3&lt;='Bonding Program'!$C$8),N('Bonding Program'!$O$19),0)</f>
        <v>0</v>
      </c>
      <c r="CU160" s="19" t="n">
        <f aca="false">IF(AND('Bonding Program'!$S$19=1,'Bonding Program'!$H$19&gt;'Bonding Program'!$C$8,CU$3='Bonding Program'!$H$19),'Bonding Program'!$T$19-'Bonding Program'!$U$19-'Bonding Program'!$Z$19,0)-IF(AND('Bonding Program'!$S$19=1,'Bonding Program'!$H$19&lt;='Bonding Program'!$C$8,CU$3=IF('Bonding Program'!$P$19&lt;&gt;"",'Bonding Program'!$P$19,'Bonding Program'!$C$8)),'Bonding Program'!$Z$19,0)+IF(AND('Bonding Program'!$P$19&lt;&gt;"",CU$3='Bonding Program'!$P$19,CU$3&lt;='Bonding Program'!$C$8),N('Bonding Program'!$O$19),0)</f>
        <v>0</v>
      </c>
      <c r="CV160" s="19" t="n">
        <f aca="false">IF(AND('Bonding Program'!$S$19=1,'Bonding Program'!$H$19&gt;'Bonding Program'!$C$8,CV$3='Bonding Program'!$H$19),'Bonding Program'!$T$19-'Bonding Program'!$U$19-'Bonding Program'!$Z$19,0)-IF(AND('Bonding Program'!$S$19=1,'Bonding Program'!$H$19&lt;='Bonding Program'!$C$8,CV$3=IF('Bonding Program'!$P$19&lt;&gt;"",'Bonding Program'!$P$19,'Bonding Program'!$C$8)),'Bonding Program'!$Z$19,0)+IF(AND('Bonding Program'!$P$19&lt;&gt;"",CV$3='Bonding Program'!$P$19,CV$3&lt;='Bonding Program'!$C$8),N('Bonding Program'!$O$19),0)</f>
        <v>0</v>
      </c>
      <c r="CW160" s="19" t="n">
        <f aca="false">IF(AND('Bonding Program'!$S$19=1,'Bonding Program'!$H$19&gt;'Bonding Program'!$C$8,CW$3='Bonding Program'!$H$19),'Bonding Program'!$T$19-'Bonding Program'!$U$19-'Bonding Program'!$Z$19,0)-IF(AND('Bonding Program'!$S$19=1,'Bonding Program'!$H$19&lt;='Bonding Program'!$C$8,CW$3=IF('Bonding Program'!$P$19&lt;&gt;"",'Bonding Program'!$P$19,'Bonding Program'!$C$8)),'Bonding Program'!$Z$19,0)+IF(AND('Bonding Program'!$P$19&lt;&gt;"",CW$3='Bonding Program'!$P$19,CW$3&lt;='Bonding Program'!$C$8),N('Bonding Program'!$O$19),0)</f>
        <v>0</v>
      </c>
      <c r="CX160" s="19" t="n">
        <f aca="false">IF(AND('Bonding Program'!$S$19=1,'Bonding Program'!$H$19&gt;'Bonding Program'!$C$8,CX$3='Bonding Program'!$H$19),'Bonding Program'!$T$19-'Bonding Program'!$U$19-'Bonding Program'!$Z$19,0)-IF(AND('Bonding Program'!$S$19=1,'Bonding Program'!$H$19&lt;='Bonding Program'!$C$8,CX$3=IF('Bonding Program'!$P$19&lt;&gt;"",'Bonding Program'!$P$19,'Bonding Program'!$C$8)),'Bonding Program'!$Z$19,0)+IF(AND('Bonding Program'!$P$19&lt;&gt;"",CX$3='Bonding Program'!$P$19,CX$3&lt;='Bonding Program'!$C$8),N('Bonding Program'!$O$19),0)</f>
        <v>0</v>
      </c>
      <c r="CY160" s="19" t="n">
        <f aca="false">IF(AND('Bonding Program'!$S$19=1,'Bonding Program'!$H$19&gt;'Bonding Program'!$C$8,CY$3='Bonding Program'!$H$19),'Bonding Program'!$T$19-'Bonding Program'!$U$19-'Bonding Program'!$Z$19,0)-IF(AND('Bonding Program'!$S$19=1,'Bonding Program'!$H$19&lt;='Bonding Program'!$C$8,CY$3=IF('Bonding Program'!$P$19&lt;&gt;"",'Bonding Program'!$P$19,'Bonding Program'!$C$8)),'Bonding Program'!$Z$19,0)+IF(AND('Bonding Program'!$P$19&lt;&gt;"",CY$3='Bonding Program'!$P$19,CY$3&lt;='Bonding Program'!$C$8),N('Bonding Program'!$O$19),0)</f>
        <v>0</v>
      </c>
      <c r="CZ160" s="19" t="n">
        <f aca="false">IF(AND('Bonding Program'!$S$19=1,'Bonding Program'!$H$19&gt;'Bonding Program'!$C$8,CZ$3='Bonding Program'!$H$19),'Bonding Program'!$T$19-'Bonding Program'!$U$19-'Bonding Program'!$Z$19,0)-IF(AND('Bonding Program'!$S$19=1,'Bonding Program'!$H$19&lt;='Bonding Program'!$C$8,CZ$3=IF('Bonding Program'!$P$19&lt;&gt;"",'Bonding Program'!$P$19,'Bonding Program'!$C$8)),'Bonding Program'!$Z$19,0)+IF(AND('Bonding Program'!$P$19&lt;&gt;"",CZ$3='Bonding Program'!$P$19,CZ$3&lt;='Bonding Program'!$C$8),N('Bonding Program'!$O$19),0)</f>
        <v>0</v>
      </c>
      <c r="DA160" s="19" t="n">
        <f aca="false">IF(AND('Bonding Program'!$S$19=1,'Bonding Program'!$H$19&gt;'Bonding Program'!$C$8,DA$3='Bonding Program'!$H$19),'Bonding Program'!$T$19-'Bonding Program'!$U$19-'Bonding Program'!$Z$19,0)-IF(AND('Bonding Program'!$S$19=1,'Bonding Program'!$H$19&lt;='Bonding Program'!$C$8,DA$3=IF('Bonding Program'!$P$19&lt;&gt;"",'Bonding Program'!$P$19,'Bonding Program'!$C$8)),'Bonding Program'!$Z$19,0)+IF(AND('Bonding Program'!$P$19&lt;&gt;"",DA$3='Bonding Program'!$P$19,DA$3&lt;='Bonding Program'!$C$8),N('Bonding Program'!$O$19),0)</f>
        <v>0</v>
      </c>
      <c r="DB160" s="19" t="n">
        <f aca="false">IF(AND('Bonding Program'!$S$19=1,'Bonding Program'!$H$19&gt;'Bonding Program'!$C$8,DB$3='Bonding Program'!$H$19),'Bonding Program'!$T$19-'Bonding Program'!$U$19-'Bonding Program'!$Z$19,0)-IF(AND('Bonding Program'!$S$19=1,'Bonding Program'!$H$19&lt;='Bonding Program'!$C$8,DB$3=IF('Bonding Program'!$P$19&lt;&gt;"",'Bonding Program'!$P$19,'Bonding Program'!$C$8)),'Bonding Program'!$Z$19,0)+IF(AND('Bonding Program'!$P$19&lt;&gt;"",DB$3='Bonding Program'!$P$19,DB$3&lt;='Bonding Program'!$C$8),N('Bonding Program'!$O$19),0)</f>
        <v>0</v>
      </c>
      <c r="DC160" s="19" t="n">
        <f aca="false">IF(AND('Bonding Program'!$S$19=1,'Bonding Program'!$H$19&gt;'Bonding Program'!$C$8,DC$3='Bonding Program'!$H$19),'Bonding Program'!$T$19-'Bonding Program'!$U$19-'Bonding Program'!$Z$19,0)-IF(AND('Bonding Program'!$S$19=1,'Bonding Program'!$H$19&lt;='Bonding Program'!$C$8,DC$3=IF('Bonding Program'!$P$19&lt;&gt;"",'Bonding Program'!$P$19,'Bonding Program'!$C$8)),'Bonding Program'!$Z$19,0)+IF(AND('Bonding Program'!$P$19&lt;&gt;"",DC$3='Bonding Program'!$P$19,DC$3&lt;='Bonding Program'!$C$8),N('Bonding Program'!$O$19),0)</f>
        <v>0</v>
      </c>
      <c r="DD160" s="19" t="n">
        <f aca="false">IF(AND('Bonding Program'!$S$19=1,'Bonding Program'!$H$19&gt;'Bonding Program'!$C$8,DD$3='Bonding Program'!$H$19),'Bonding Program'!$T$19-'Bonding Program'!$U$19-'Bonding Program'!$Z$19,0)-IF(AND('Bonding Program'!$S$19=1,'Bonding Program'!$H$19&lt;='Bonding Program'!$C$8,DD$3=IF('Bonding Program'!$P$19&lt;&gt;"",'Bonding Program'!$P$19,'Bonding Program'!$C$8)),'Bonding Program'!$Z$19,0)+IF(AND('Bonding Program'!$P$19&lt;&gt;"",DD$3='Bonding Program'!$P$19,DD$3&lt;='Bonding Program'!$C$8),N('Bonding Program'!$O$19),0)</f>
        <v>0</v>
      </c>
      <c r="DE160" s="19" t="n">
        <f aca="false">IF(AND('Bonding Program'!$S$19=1,'Bonding Program'!$H$19&gt;'Bonding Program'!$C$8,DE$3='Bonding Program'!$H$19),'Bonding Program'!$T$19-'Bonding Program'!$U$19-'Bonding Program'!$Z$19,0)-IF(AND('Bonding Program'!$S$19=1,'Bonding Program'!$H$19&lt;='Bonding Program'!$C$8,DE$3=IF('Bonding Program'!$P$19&lt;&gt;"",'Bonding Program'!$P$19,'Bonding Program'!$C$8)),'Bonding Program'!$Z$19,0)+IF(AND('Bonding Program'!$P$19&lt;&gt;"",DE$3='Bonding Program'!$P$19,DE$3&lt;='Bonding Program'!$C$8),N('Bonding Program'!$O$19),0)</f>
        <v>0</v>
      </c>
    </row>
    <row r="161" customFormat="false" ht="15" hidden="false" customHeight="true" outlineLevel="1" collapsed="false">
      <c r="A161" s="28" t="s">
        <v>16</v>
      </c>
      <c r="B161" s="19" t="n">
        <f aca="false">IF(AND('Bonding Program'!$S$20=1,'Bonding Program'!$H$20&gt;'Bonding Program'!$C$8,B$3='Bonding Program'!$H$20),'Bonding Program'!$T$20-'Bonding Program'!$U$20-'Bonding Program'!$Z$20,0)-IF(AND('Bonding Program'!$S$20=1,'Bonding Program'!$H$20&lt;='Bonding Program'!$C$8,B$3=IF('Bonding Program'!$P$20&lt;&gt;"",'Bonding Program'!$P$20,'Bonding Program'!$C$8)),'Bonding Program'!$Z$20,0)+IF(AND('Bonding Program'!$P$20&lt;&gt;"",B$3='Bonding Program'!$P$20,B$3&lt;='Bonding Program'!$C$8),N('Bonding Program'!$O$20),0)</f>
        <v>0</v>
      </c>
      <c r="C161" s="19" t="n">
        <f aca="false">IF(AND('Bonding Program'!$S$20=1,'Bonding Program'!$H$20&gt;'Bonding Program'!$C$8,C$3='Bonding Program'!$H$20),'Bonding Program'!$T$20-'Bonding Program'!$U$20-'Bonding Program'!$Z$20,0)-IF(AND('Bonding Program'!$S$20=1,'Bonding Program'!$H$20&lt;='Bonding Program'!$C$8,C$3=IF('Bonding Program'!$P$20&lt;&gt;"",'Bonding Program'!$P$20,'Bonding Program'!$C$8)),'Bonding Program'!$Z$20,0)+IF(AND('Bonding Program'!$P$20&lt;&gt;"",C$3='Bonding Program'!$P$20,C$3&lt;='Bonding Program'!$C$8),N('Bonding Program'!$O$20),0)</f>
        <v>0</v>
      </c>
      <c r="D161" s="19" t="n">
        <f aca="false">IF(AND('Bonding Program'!$S$20=1,'Bonding Program'!$H$20&gt;'Bonding Program'!$C$8,D$3='Bonding Program'!$H$20),'Bonding Program'!$T$20-'Bonding Program'!$U$20-'Bonding Program'!$Z$20,0)-IF(AND('Bonding Program'!$S$20=1,'Bonding Program'!$H$20&lt;='Bonding Program'!$C$8,D$3=IF('Bonding Program'!$P$20&lt;&gt;"",'Bonding Program'!$P$20,'Bonding Program'!$C$8)),'Bonding Program'!$Z$20,0)+IF(AND('Bonding Program'!$P$20&lt;&gt;"",D$3='Bonding Program'!$P$20,D$3&lt;='Bonding Program'!$C$8),N('Bonding Program'!$O$20),0)</f>
        <v>0</v>
      </c>
      <c r="E161" s="19" t="n">
        <f aca="false">IF(AND('Bonding Program'!$S$20=1,'Bonding Program'!$H$20&gt;'Bonding Program'!$C$8,E$3='Bonding Program'!$H$20),'Bonding Program'!$T$20-'Bonding Program'!$U$20-'Bonding Program'!$Z$20,0)-IF(AND('Bonding Program'!$S$20=1,'Bonding Program'!$H$20&lt;='Bonding Program'!$C$8,E$3=IF('Bonding Program'!$P$20&lt;&gt;"",'Bonding Program'!$P$20,'Bonding Program'!$C$8)),'Bonding Program'!$Z$20,0)+IF(AND('Bonding Program'!$P$20&lt;&gt;"",E$3='Bonding Program'!$P$20,E$3&lt;='Bonding Program'!$C$8),N('Bonding Program'!$O$20),0)</f>
        <v>0</v>
      </c>
      <c r="F161" s="19" t="n">
        <f aca="false">IF(AND('Bonding Program'!$S$20=1,'Bonding Program'!$H$20&gt;'Bonding Program'!$C$8,F$3='Bonding Program'!$H$20),'Bonding Program'!$T$20-'Bonding Program'!$U$20-'Bonding Program'!$Z$20,0)-IF(AND('Bonding Program'!$S$20=1,'Bonding Program'!$H$20&lt;='Bonding Program'!$C$8,F$3=IF('Bonding Program'!$P$20&lt;&gt;"",'Bonding Program'!$P$20,'Bonding Program'!$C$8)),'Bonding Program'!$Z$20,0)+IF(AND('Bonding Program'!$P$20&lt;&gt;"",F$3='Bonding Program'!$P$20,F$3&lt;='Bonding Program'!$C$8),N('Bonding Program'!$O$20),0)</f>
        <v>0</v>
      </c>
      <c r="G161" s="19" t="n">
        <f aca="false">IF(AND('Bonding Program'!$S$20=1,'Bonding Program'!$H$20&gt;'Bonding Program'!$C$8,G$3='Bonding Program'!$H$20),'Bonding Program'!$T$20-'Bonding Program'!$U$20-'Bonding Program'!$Z$20,0)-IF(AND('Bonding Program'!$S$20=1,'Bonding Program'!$H$20&lt;='Bonding Program'!$C$8,G$3=IF('Bonding Program'!$P$20&lt;&gt;"",'Bonding Program'!$P$20,'Bonding Program'!$C$8)),'Bonding Program'!$Z$20,0)+IF(AND('Bonding Program'!$P$20&lt;&gt;"",G$3='Bonding Program'!$P$20,G$3&lt;='Bonding Program'!$C$8),N('Bonding Program'!$O$20),0)</f>
        <v>0</v>
      </c>
      <c r="H161" s="19" t="n">
        <f aca="false">IF(AND('Bonding Program'!$S$20=1,'Bonding Program'!$H$20&gt;'Bonding Program'!$C$8,H$3='Bonding Program'!$H$20),'Bonding Program'!$T$20-'Bonding Program'!$U$20-'Bonding Program'!$Z$20,0)-IF(AND('Bonding Program'!$S$20=1,'Bonding Program'!$H$20&lt;='Bonding Program'!$C$8,H$3=IF('Bonding Program'!$P$20&lt;&gt;"",'Bonding Program'!$P$20,'Bonding Program'!$C$8)),'Bonding Program'!$Z$20,0)+IF(AND('Bonding Program'!$P$20&lt;&gt;"",H$3='Bonding Program'!$P$20,H$3&lt;='Bonding Program'!$C$8),N('Bonding Program'!$O$20),0)</f>
        <v>0</v>
      </c>
      <c r="I161" s="19" t="n">
        <f aca="false">IF(AND('Bonding Program'!$S$20=1,'Bonding Program'!$H$20&gt;'Bonding Program'!$C$8,I$3='Bonding Program'!$H$20),'Bonding Program'!$T$20-'Bonding Program'!$U$20-'Bonding Program'!$Z$20,0)-IF(AND('Bonding Program'!$S$20=1,'Bonding Program'!$H$20&lt;='Bonding Program'!$C$8,I$3=IF('Bonding Program'!$P$20&lt;&gt;"",'Bonding Program'!$P$20,'Bonding Program'!$C$8)),'Bonding Program'!$Z$20,0)+IF(AND('Bonding Program'!$P$20&lt;&gt;"",I$3='Bonding Program'!$P$20,I$3&lt;='Bonding Program'!$C$8),N('Bonding Program'!$O$20),0)</f>
        <v>0</v>
      </c>
      <c r="J161" s="19" t="n">
        <f aca="false">IF(AND('Bonding Program'!$S$20=1,'Bonding Program'!$H$20&gt;'Bonding Program'!$C$8,J$3='Bonding Program'!$H$20),'Bonding Program'!$T$20-'Bonding Program'!$U$20-'Bonding Program'!$Z$20,0)-IF(AND('Bonding Program'!$S$20=1,'Bonding Program'!$H$20&lt;='Bonding Program'!$C$8,J$3=IF('Bonding Program'!$P$20&lt;&gt;"",'Bonding Program'!$P$20,'Bonding Program'!$C$8)),'Bonding Program'!$Z$20,0)+IF(AND('Bonding Program'!$P$20&lt;&gt;"",J$3='Bonding Program'!$P$20,J$3&lt;='Bonding Program'!$C$8),N('Bonding Program'!$O$20),0)</f>
        <v>0</v>
      </c>
      <c r="K161" s="19" t="n">
        <f aca="false">IF(AND('Bonding Program'!$S$20=1,'Bonding Program'!$H$20&gt;'Bonding Program'!$C$8,K$3='Bonding Program'!$H$20),'Bonding Program'!$T$20-'Bonding Program'!$U$20-'Bonding Program'!$Z$20,0)-IF(AND('Bonding Program'!$S$20=1,'Bonding Program'!$H$20&lt;='Bonding Program'!$C$8,K$3=IF('Bonding Program'!$P$20&lt;&gt;"",'Bonding Program'!$P$20,'Bonding Program'!$C$8)),'Bonding Program'!$Z$20,0)+IF(AND('Bonding Program'!$P$20&lt;&gt;"",K$3='Bonding Program'!$P$20,K$3&lt;='Bonding Program'!$C$8),N('Bonding Program'!$O$20),0)</f>
        <v>0</v>
      </c>
      <c r="L161" s="19" t="n">
        <f aca="false">IF(AND('Bonding Program'!$S$20=1,'Bonding Program'!$H$20&gt;'Bonding Program'!$C$8,L$3='Bonding Program'!$H$20),'Bonding Program'!$T$20-'Bonding Program'!$U$20-'Bonding Program'!$Z$20,0)-IF(AND('Bonding Program'!$S$20=1,'Bonding Program'!$H$20&lt;='Bonding Program'!$C$8,L$3=IF('Bonding Program'!$P$20&lt;&gt;"",'Bonding Program'!$P$20,'Bonding Program'!$C$8)),'Bonding Program'!$Z$20,0)+IF(AND('Bonding Program'!$P$20&lt;&gt;"",L$3='Bonding Program'!$P$20,L$3&lt;='Bonding Program'!$C$8),N('Bonding Program'!$O$20),0)</f>
        <v>0</v>
      </c>
      <c r="M161" s="19" t="n">
        <f aca="false">IF(AND('Bonding Program'!$S$20=1,'Bonding Program'!$H$20&gt;'Bonding Program'!$C$8,M$3='Bonding Program'!$H$20),'Bonding Program'!$T$20-'Bonding Program'!$U$20-'Bonding Program'!$Z$20,0)-IF(AND('Bonding Program'!$S$20=1,'Bonding Program'!$H$20&lt;='Bonding Program'!$C$8,M$3=IF('Bonding Program'!$P$20&lt;&gt;"",'Bonding Program'!$P$20,'Bonding Program'!$C$8)),'Bonding Program'!$Z$20,0)+IF(AND('Bonding Program'!$P$20&lt;&gt;"",M$3='Bonding Program'!$P$20,M$3&lt;='Bonding Program'!$C$8),N('Bonding Program'!$O$20),0)</f>
        <v>0</v>
      </c>
      <c r="N161" s="19" t="n">
        <f aca="false">IF(AND('Bonding Program'!$S$20=1,'Bonding Program'!$H$20&gt;'Bonding Program'!$C$8,N$3='Bonding Program'!$H$20),'Bonding Program'!$T$20-'Bonding Program'!$U$20-'Bonding Program'!$Z$20,0)-IF(AND('Bonding Program'!$S$20=1,'Bonding Program'!$H$20&lt;='Bonding Program'!$C$8,N$3=IF('Bonding Program'!$P$20&lt;&gt;"",'Bonding Program'!$P$20,'Bonding Program'!$C$8)),'Bonding Program'!$Z$20,0)+IF(AND('Bonding Program'!$P$20&lt;&gt;"",N$3='Bonding Program'!$P$20,N$3&lt;='Bonding Program'!$C$8),N('Bonding Program'!$O$20),0)</f>
        <v>0</v>
      </c>
      <c r="O161" s="19" t="n">
        <f aca="false">IF(AND('Bonding Program'!$S$20=1,'Bonding Program'!$H$20&gt;'Bonding Program'!$C$8,O$3='Bonding Program'!$H$20),'Bonding Program'!$T$20-'Bonding Program'!$U$20-'Bonding Program'!$Z$20,0)-IF(AND('Bonding Program'!$S$20=1,'Bonding Program'!$H$20&lt;='Bonding Program'!$C$8,O$3=IF('Bonding Program'!$P$20&lt;&gt;"",'Bonding Program'!$P$20,'Bonding Program'!$C$8)),'Bonding Program'!$Z$20,0)+IF(AND('Bonding Program'!$P$20&lt;&gt;"",O$3='Bonding Program'!$P$20,O$3&lt;='Bonding Program'!$C$8),N('Bonding Program'!$O$20),0)</f>
        <v>0</v>
      </c>
      <c r="P161" s="19" t="n">
        <f aca="false">IF(AND('Bonding Program'!$S$20=1,'Bonding Program'!$H$20&gt;'Bonding Program'!$C$8,P$3='Bonding Program'!$H$20),'Bonding Program'!$T$20-'Bonding Program'!$U$20-'Bonding Program'!$Z$20,0)-IF(AND('Bonding Program'!$S$20=1,'Bonding Program'!$H$20&lt;='Bonding Program'!$C$8,P$3=IF('Bonding Program'!$P$20&lt;&gt;"",'Bonding Program'!$P$20,'Bonding Program'!$C$8)),'Bonding Program'!$Z$20,0)+IF(AND('Bonding Program'!$P$20&lt;&gt;"",P$3='Bonding Program'!$P$20,P$3&lt;='Bonding Program'!$C$8),N('Bonding Program'!$O$20),0)</f>
        <v>0</v>
      </c>
      <c r="Q161" s="19" t="n">
        <f aca="false">IF(AND('Bonding Program'!$S$20=1,'Bonding Program'!$H$20&gt;'Bonding Program'!$C$8,Q$3='Bonding Program'!$H$20),'Bonding Program'!$T$20-'Bonding Program'!$U$20-'Bonding Program'!$Z$20,0)-IF(AND('Bonding Program'!$S$20=1,'Bonding Program'!$H$20&lt;='Bonding Program'!$C$8,Q$3=IF('Bonding Program'!$P$20&lt;&gt;"",'Bonding Program'!$P$20,'Bonding Program'!$C$8)),'Bonding Program'!$Z$20,0)+IF(AND('Bonding Program'!$P$20&lt;&gt;"",Q$3='Bonding Program'!$P$20,Q$3&lt;='Bonding Program'!$C$8),N('Bonding Program'!$O$20),0)</f>
        <v>0</v>
      </c>
      <c r="R161" s="19" t="n">
        <f aca="false">IF(AND('Bonding Program'!$S$20=1,'Bonding Program'!$H$20&gt;'Bonding Program'!$C$8,R$3='Bonding Program'!$H$20),'Bonding Program'!$T$20-'Bonding Program'!$U$20-'Bonding Program'!$Z$20,0)-IF(AND('Bonding Program'!$S$20=1,'Bonding Program'!$H$20&lt;='Bonding Program'!$C$8,R$3=IF('Bonding Program'!$P$20&lt;&gt;"",'Bonding Program'!$P$20,'Bonding Program'!$C$8)),'Bonding Program'!$Z$20,0)+IF(AND('Bonding Program'!$P$20&lt;&gt;"",R$3='Bonding Program'!$P$20,R$3&lt;='Bonding Program'!$C$8),N('Bonding Program'!$O$20),0)</f>
        <v>0</v>
      </c>
      <c r="S161" s="19" t="n">
        <f aca="false">IF(AND('Bonding Program'!$S$20=1,'Bonding Program'!$H$20&gt;'Bonding Program'!$C$8,S$3='Bonding Program'!$H$20),'Bonding Program'!$T$20-'Bonding Program'!$U$20-'Bonding Program'!$Z$20,0)-IF(AND('Bonding Program'!$S$20=1,'Bonding Program'!$H$20&lt;='Bonding Program'!$C$8,S$3=IF('Bonding Program'!$P$20&lt;&gt;"",'Bonding Program'!$P$20,'Bonding Program'!$C$8)),'Bonding Program'!$Z$20,0)+IF(AND('Bonding Program'!$P$20&lt;&gt;"",S$3='Bonding Program'!$P$20,S$3&lt;='Bonding Program'!$C$8),N('Bonding Program'!$O$20),0)</f>
        <v>0</v>
      </c>
      <c r="T161" s="19" t="n">
        <f aca="false">IF(AND('Bonding Program'!$S$20=1,'Bonding Program'!$H$20&gt;'Bonding Program'!$C$8,T$3='Bonding Program'!$H$20),'Bonding Program'!$T$20-'Bonding Program'!$U$20-'Bonding Program'!$Z$20,0)-IF(AND('Bonding Program'!$S$20=1,'Bonding Program'!$H$20&lt;='Bonding Program'!$C$8,T$3=IF('Bonding Program'!$P$20&lt;&gt;"",'Bonding Program'!$P$20,'Bonding Program'!$C$8)),'Bonding Program'!$Z$20,0)+IF(AND('Bonding Program'!$P$20&lt;&gt;"",T$3='Bonding Program'!$P$20,T$3&lt;='Bonding Program'!$C$8),N('Bonding Program'!$O$20),0)</f>
        <v>0</v>
      </c>
      <c r="U161" s="19" t="n">
        <f aca="false">IF(AND('Bonding Program'!$S$20=1,'Bonding Program'!$H$20&gt;'Bonding Program'!$C$8,U$3='Bonding Program'!$H$20),'Bonding Program'!$T$20-'Bonding Program'!$U$20-'Bonding Program'!$Z$20,0)-IF(AND('Bonding Program'!$S$20=1,'Bonding Program'!$H$20&lt;='Bonding Program'!$C$8,U$3=IF('Bonding Program'!$P$20&lt;&gt;"",'Bonding Program'!$P$20,'Bonding Program'!$C$8)),'Bonding Program'!$Z$20,0)+IF(AND('Bonding Program'!$P$20&lt;&gt;"",U$3='Bonding Program'!$P$20,U$3&lt;='Bonding Program'!$C$8),N('Bonding Program'!$O$20),0)</f>
        <v>0</v>
      </c>
      <c r="V161" s="19" t="n">
        <f aca="false">IF(AND('Bonding Program'!$S$20=1,'Bonding Program'!$H$20&gt;'Bonding Program'!$C$8,V$3='Bonding Program'!$H$20),'Bonding Program'!$T$20-'Bonding Program'!$U$20-'Bonding Program'!$Z$20,0)-IF(AND('Bonding Program'!$S$20=1,'Bonding Program'!$H$20&lt;='Bonding Program'!$C$8,V$3=IF('Bonding Program'!$P$20&lt;&gt;"",'Bonding Program'!$P$20,'Bonding Program'!$C$8)),'Bonding Program'!$Z$20,0)+IF(AND('Bonding Program'!$P$20&lt;&gt;"",V$3='Bonding Program'!$P$20,V$3&lt;='Bonding Program'!$C$8),N('Bonding Program'!$O$20),0)</f>
        <v>0</v>
      </c>
      <c r="W161" s="19" t="n">
        <f aca="false">IF(AND('Bonding Program'!$S$20=1,'Bonding Program'!$H$20&gt;'Bonding Program'!$C$8,W$3='Bonding Program'!$H$20),'Bonding Program'!$T$20-'Bonding Program'!$U$20-'Bonding Program'!$Z$20,0)-IF(AND('Bonding Program'!$S$20=1,'Bonding Program'!$H$20&lt;='Bonding Program'!$C$8,W$3=IF('Bonding Program'!$P$20&lt;&gt;"",'Bonding Program'!$P$20,'Bonding Program'!$C$8)),'Bonding Program'!$Z$20,0)+IF(AND('Bonding Program'!$P$20&lt;&gt;"",W$3='Bonding Program'!$P$20,W$3&lt;='Bonding Program'!$C$8),N('Bonding Program'!$O$20),0)</f>
        <v>0</v>
      </c>
      <c r="X161" s="19" t="n">
        <f aca="false">IF(AND('Bonding Program'!$S$20=1,'Bonding Program'!$H$20&gt;'Bonding Program'!$C$8,X$3='Bonding Program'!$H$20),'Bonding Program'!$T$20-'Bonding Program'!$U$20-'Bonding Program'!$Z$20,0)-IF(AND('Bonding Program'!$S$20=1,'Bonding Program'!$H$20&lt;='Bonding Program'!$C$8,X$3=IF('Bonding Program'!$P$20&lt;&gt;"",'Bonding Program'!$P$20,'Bonding Program'!$C$8)),'Bonding Program'!$Z$20,0)+IF(AND('Bonding Program'!$P$20&lt;&gt;"",X$3='Bonding Program'!$P$20,X$3&lt;='Bonding Program'!$C$8),N('Bonding Program'!$O$20),0)</f>
        <v>0</v>
      </c>
      <c r="Y161" s="19" t="n">
        <f aca="false">IF(AND('Bonding Program'!$S$20=1,'Bonding Program'!$H$20&gt;'Bonding Program'!$C$8,Y$3='Bonding Program'!$H$20),'Bonding Program'!$T$20-'Bonding Program'!$U$20-'Bonding Program'!$Z$20,0)-IF(AND('Bonding Program'!$S$20=1,'Bonding Program'!$H$20&lt;='Bonding Program'!$C$8,Y$3=IF('Bonding Program'!$P$20&lt;&gt;"",'Bonding Program'!$P$20,'Bonding Program'!$C$8)),'Bonding Program'!$Z$20,0)+IF(AND('Bonding Program'!$P$20&lt;&gt;"",Y$3='Bonding Program'!$P$20,Y$3&lt;='Bonding Program'!$C$8),N('Bonding Program'!$O$20),0)</f>
        <v>0</v>
      </c>
      <c r="Z161" s="19" t="n">
        <f aca="false">IF(AND('Bonding Program'!$S$20=1,'Bonding Program'!$H$20&gt;'Bonding Program'!$C$8,Z$3='Bonding Program'!$H$20),'Bonding Program'!$T$20-'Bonding Program'!$U$20-'Bonding Program'!$Z$20,0)-IF(AND('Bonding Program'!$S$20=1,'Bonding Program'!$H$20&lt;='Bonding Program'!$C$8,Z$3=IF('Bonding Program'!$P$20&lt;&gt;"",'Bonding Program'!$P$20,'Bonding Program'!$C$8)),'Bonding Program'!$Z$20,0)+IF(AND('Bonding Program'!$P$20&lt;&gt;"",Z$3='Bonding Program'!$P$20,Z$3&lt;='Bonding Program'!$C$8),N('Bonding Program'!$O$20),0)</f>
        <v>0</v>
      </c>
      <c r="AA161" s="19" t="n">
        <f aca="false">IF(AND('Bonding Program'!$S$20=1,'Bonding Program'!$H$20&gt;'Bonding Program'!$C$8,AA$3='Bonding Program'!$H$20),'Bonding Program'!$T$20-'Bonding Program'!$U$20-'Bonding Program'!$Z$20,0)-IF(AND('Bonding Program'!$S$20=1,'Bonding Program'!$H$20&lt;='Bonding Program'!$C$8,AA$3=IF('Bonding Program'!$P$20&lt;&gt;"",'Bonding Program'!$P$20,'Bonding Program'!$C$8)),'Bonding Program'!$Z$20,0)+IF(AND('Bonding Program'!$P$20&lt;&gt;"",AA$3='Bonding Program'!$P$20,AA$3&lt;='Bonding Program'!$C$8),N('Bonding Program'!$O$20),0)</f>
        <v>0</v>
      </c>
      <c r="AB161" s="19" t="n">
        <f aca="false">IF(AND('Bonding Program'!$S$20=1,'Bonding Program'!$H$20&gt;'Bonding Program'!$C$8,AB$3='Bonding Program'!$H$20),'Bonding Program'!$T$20-'Bonding Program'!$U$20-'Bonding Program'!$Z$20,0)-IF(AND('Bonding Program'!$S$20=1,'Bonding Program'!$H$20&lt;='Bonding Program'!$C$8,AB$3=IF('Bonding Program'!$P$20&lt;&gt;"",'Bonding Program'!$P$20,'Bonding Program'!$C$8)),'Bonding Program'!$Z$20,0)+IF(AND('Bonding Program'!$P$20&lt;&gt;"",AB$3='Bonding Program'!$P$20,AB$3&lt;='Bonding Program'!$C$8),N('Bonding Program'!$O$20),0)</f>
        <v>0</v>
      </c>
      <c r="AC161" s="19" t="n">
        <f aca="false">IF(AND('Bonding Program'!$S$20=1,'Bonding Program'!$H$20&gt;'Bonding Program'!$C$8,AC$3='Bonding Program'!$H$20),'Bonding Program'!$T$20-'Bonding Program'!$U$20-'Bonding Program'!$Z$20,0)-IF(AND('Bonding Program'!$S$20=1,'Bonding Program'!$H$20&lt;='Bonding Program'!$C$8,AC$3=IF('Bonding Program'!$P$20&lt;&gt;"",'Bonding Program'!$P$20,'Bonding Program'!$C$8)),'Bonding Program'!$Z$20,0)+IF(AND('Bonding Program'!$P$20&lt;&gt;"",AC$3='Bonding Program'!$P$20,AC$3&lt;='Bonding Program'!$C$8),N('Bonding Program'!$O$20),0)</f>
        <v>0</v>
      </c>
      <c r="AD161" s="19" t="n">
        <f aca="false">IF(AND('Bonding Program'!$S$20=1,'Bonding Program'!$H$20&gt;'Bonding Program'!$C$8,AD$3='Bonding Program'!$H$20),'Bonding Program'!$T$20-'Bonding Program'!$U$20-'Bonding Program'!$Z$20,0)-IF(AND('Bonding Program'!$S$20=1,'Bonding Program'!$H$20&lt;='Bonding Program'!$C$8,AD$3=IF('Bonding Program'!$P$20&lt;&gt;"",'Bonding Program'!$P$20,'Bonding Program'!$C$8)),'Bonding Program'!$Z$20,0)+IF(AND('Bonding Program'!$P$20&lt;&gt;"",AD$3='Bonding Program'!$P$20,AD$3&lt;='Bonding Program'!$C$8),N('Bonding Program'!$O$20),0)</f>
        <v>0</v>
      </c>
      <c r="AE161" s="19" t="n">
        <f aca="false">IF(AND('Bonding Program'!$S$20=1,'Bonding Program'!$H$20&gt;'Bonding Program'!$C$8,AE$3='Bonding Program'!$H$20),'Bonding Program'!$T$20-'Bonding Program'!$U$20-'Bonding Program'!$Z$20,0)-IF(AND('Bonding Program'!$S$20=1,'Bonding Program'!$H$20&lt;='Bonding Program'!$C$8,AE$3=IF('Bonding Program'!$P$20&lt;&gt;"",'Bonding Program'!$P$20,'Bonding Program'!$C$8)),'Bonding Program'!$Z$20,0)+IF(AND('Bonding Program'!$P$20&lt;&gt;"",AE$3='Bonding Program'!$P$20,AE$3&lt;='Bonding Program'!$C$8),N('Bonding Program'!$O$20),0)</f>
        <v>0</v>
      </c>
      <c r="AF161" s="19" t="n">
        <f aca="false">IF(AND('Bonding Program'!$S$20=1,'Bonding Program'!$H$20&gt;'Bonding Program'!$C$8,AF$3='Bonding Program'!$H$20),'Bonding Program'!$T$20-'Bonding Program'!$U$20-'Bonding Program'!$Z$20,0)-IF(AND('Bonding Program'!$S$20=1,'Bonding Program'!$H$20&lt;='Bonding Program'!$C$8,AF$3=IF('Bonding Program'!$P$20&lt;&gt;"",'Bonding Program'!$P$20,'Bonding Program'!$C$8)),'Bonding Program'!$Z$20,0)+IF(AND('Bonding Program'!$P$20&lt;&gt;"",AF$3='Bonding Program'!$P$20,AF$3&lt;='Bonding Program'!$C$8),N('Bonding Program'!$O$20),0)</f>
        <v>0</v>
      </c>
      <c r="AG161" s="19" t="n">
        <f aca="false">IF(AND('Bonding Program'!$S$20=1,'Bonding Program'!$H$20&gt;'Bonding Program'!$C$8,AG$3='Bonding Program'!$H$20),'Bonding Program'!$T$20-'Bonding Program'!$U$20-'Bonding Program'!$Z$20,0)-IF(AND('Bonding Program'!$S$20=1,'Bonding Program'!$H$20&lt;='Bonding Program'!$C$8,AG$3=IF('Bonding Program'!$P$20&lt;&gt;"",'Bonding Program'!$P$20,'Bonding Program'!$C$8)),'Bonding Program'!$Z$20,0)+IF(AND('Bonding Program'!$P$20&lt;&gt;"",AG$3='Bonding Program'!$P$20,AG$3&lt;='Bonding Program'!$C$8),N('Bonding Program'!$O$20),0)</f>
        <v>0</v>
      </c>
      <c r="AH161" s="19" t="n">
        <f aca="false">IF(AND('Bonding Program'!$S$20=1,'Bonding Program'!$H$20&gt;'Bonding Program'!$C$8,AH$3='Bonding Program'!$H$20),'Bonding Program'!$T$20-'Bonding Program'!$U$20-'Bonding Program'!$Z$20,0)-IF(AND('Bonding Program'!$S$20=1,'Bonding Program'!$H$20&lt;='Bonding Program'!$C$8,AH$3=IF('Bonding Program'!$P$20&lt;&gt;"",'Bonding Program'!$P$20,'Bonding Program'!$C$8)),'Bonding Program'!$Z$20,0)+IF(AND('Bonding Program'!$P$20&lt;&gt;"",AH$3='Bonding Program'!$P$20,AH$3&lt;='Bonding Program'!$C$8),N('Bonding Program'!$O$20),0)</f>
        <v>0</v>
      </c>
      <c r="AI161" s="19" t="n">
        <f aca="false">IF(AND('Bonding Program'!$S$20=1,'Bonding Program'!$H$20&gt;'Bonding Program'!$C$8,AI$3='Bonding Program'!$H$20),'Bonding Program'!$T$20-'Bonding Program'!$U$20-'Bonding Program'!$Z$20,0)-IF(AND('Bonding Program'!$S$20=1,'Bonding Program'!$H$20&lt;='Bonding Program'!$C$8,AI$3=IF('Bonding Program'!$P$20&lt;&gt;"",'Bonding Program'!$P$20,'Bonding Program'!$C$8)),'Bonding Program'!$Z$20,0)+IF(AND('Bonding Program'!$P$20&lt;&gt;"",AI$3='Bonding Program'!$P$20,AI$3&lt;='Bonding Program'!$C$8),N('Bonding Program'!$O$20),0)</f>
        <v>0</v>
      </c>
      <c r="AJ161" s="19" t="n">
        <f aca="false">IF(AND('Bonding Program'!$S$20=1,'Bonding Program'!$H$20&gt;'Bonding Program'!$C$8,AJ$3='Bonding Program'!$H$20),'Bonding Program'!$T$20-'Bonding Program'!$U$20-'Bonding Program'!$Z$20,0)-IF(AND('Bonding Program'!$S$20=1,'Bonding Program'!$H$20&lt;='Bonding Program'!$C$8,AJ$3=IF('Bonding Program'!$P$20&lt;&gt;"",'Bonding Program'!$P$20,'Bonding Program'!$C$8)),'Bonding Program'!$Z$20,0)+IF(AND('Bonding Program'!$P$20&lt;&gt;"",AJ$3='Bonding Program'!$P$20,AJ$3&lt;='Bonding Program'!$C$8),N('Bonding Program'!$O$20),0)</f>
        <v>0</v>
      </c>
      <c r="AK161" s="19" t="n">
        <f aca="false">IF(AND('Bonding Program'!$S$20=1,'Bonding Program'!$H$20&gt;'Bonding Program'!$C$8,AK$3='Bonding Program'!$H$20),'Bonding Program'!$T$20-'Bonding Program'!$U$20-'Bonding Program'!$Z$20,0)-IF(AND('Bonding Program'!$S$20=1,'Bonding Program'!$H$20&lt;='Bonding Program'!$C$8,AK$3=IF('Bonding Program'!$P$20&lt;&gt;"",'Bonding Program'!$P$20,'Bonding Program'!$C$8)),'Bonding Program'!$Z$20,0)+IF(AND('Bonding Program'!$P$20&lt;&gt;"",AK$3='Bonding Program'!$P$20,AK$3&lt;='Bonding Program'!$C$8),N('Bonding Program'!$O$20),0)</f>
        <v>0</v>
      </c>
      <c r="AL161" s="19" t="n">
        <f aca="false">IF(AND('Bonding Program'!$S$20=1,'Bonding Program'!$H$20&gt;'Bonding Program'!$C$8,AL$3='Bonding Program'!$H$20),'Bonding Program'!$T$20-'Bonding Program'!$U$20-'Bonding Program'!$Z$20,0)-IF(AND('Bonding Program'!$S$20=1,'Bonding Program'!$H$20&lt;='Bonding Program'!$C$8,AL$3=IF('Bonding Program'!$P$20&lt;&gt;"",'Bonding Program'!$P$20,'Bonding Program'!$C$8)),'Bonding Program'!$Z$20,0)+IF(AND('Bonding Program'!$P$20&lt;&gt;"",AL$3='Bonding Program'!$P$20,AL$3&lt;='Bonding Program'!$C$8),N('Bonding Program'!$O$20),0)</f>
        <v>0</v>
      </c>
      <c r="AM161" s="19" t="n">
        <f aca="false">IF(AND('Bonding Program'!$S$20=1,'Bonding Program'!$H$20&gt;'Bonding Program'!$C$8,AM$3='Bonding Program'!$H$20),'Bonding Program'!$T$20-'Bonding Program'!$U$20-'Bonding Program'!$Z$20,0)-IF(AND('Bonding Program'!$S$20=1,'Bonding Program'!$H$20&lt;='Bonding Program'!$C$8,AM$3=IF('Bonding Program'!$P$20&lt;&gt;"",'Bonding Program'!$P$20,'Bonding Program'!$C$8)),'Bonding Program'!$Z$20,0)+IF(AND('Bonding Program'!$P$20&lt;&gt;"",AM$3='Bonding Program'!$P$20,AM$3&lt;='Bonding Program'!$C$8),N('Bonding Program'!$O$20),0)</f>
        <v>0</v>
      </c>
      <c r="AN161" s="19" t="n">
        <f aca="false">IF(AND('Bonding Program'!$S$20=1,'Bonding Program'!$H$20&gt;'Bonding Program'!$C$8,AN$3='Bonding Program'!$H$20),'Bonding Program'!$T$20-'Bonding Program'!$U$20-'Bonding Program'!$Z$20,0)-IF(AND('Bonding Program'!$S$20=1,'Bonding Program'!$H$20&lt;='Bonding Program'!$C$8,AN$3=IF('Bonding Program'!$P$20&lt;&gt;"",'Bonding Program'!$P$20,'Bonding Program'!$C$8)),'Bonding Program'!$Z$20,0)+IF(AND('Bonding Program'!$P$20&lt;&gt;"",AN$3='Bonding Program'!$P$20,AN$3&lt;='Bonding Program'!$C$8),N('Bonding Program'!$O$20),0)</f>
        <v>0</v>
      </c>
      <c r="AO161" s="19" t="n">
        <f aca="false">IF(AND('Bonding Program'!$S$20=1,'Bonding Program'!$H$20&gt;'Bonding Program'!$C$8,AO$3='Bonding Program'!$H$20),'Bonding Program'!$T$20-'Bonding Program'!$U$20-'Bonding Program'!$Z$20,0)-IF(AND('Bonding Program'!$S$20=1,'Bonding Program'!$H$20&lt;='Bonding Program'!$C$8,AO$3=IF('Bonding Program'!$P$20&lt;&gt;"",'Bonding Program'!$P$20,'Bonding Program'!$C$8)),'Bonding Program'!$Z$20,0)+IF(AND('Bonding Program'!$P$20&lt;&gt;"",AO$3='Bonding Program'!$P$20,AO$3&lt;='Bonding Program'!$C$8),N('Bonding Program'!$O$20),0)</f>
        <v>0</v>
      </c>
      <c r="AP161" s="19" t="n">
        <f aca="false">IF(AND('Bonding Program'!$S$20=1,'Bonding Program'!$H$20&gt;'Bonding Program'!$C$8,AP$3='Bonding Program'!$H$20),'Bonding Program'!$T$20-'Bonding Program'!$U$20-'Bonding Program'!$Z$20,0)-IF(AND('Bonding Program'!$S$20=1,'Bonding Program'!$H$20&lt;='Bonding Program'!$C$8,AP$3=IF('Bonding Program'!$P$20&lt;&gt;"",'Bonding Program'!$P$20,'Bonding Program'!$C$8)),'Bonding Program'!$Z$20,0)+IF(AND('Bonding Program'!$P$20&lt;&gt;"",AP$3='Bonding Program'!$P$20,AP$3&lt;='Bonding Program'!$C$8),N('Bonding Program'!$O$20),0)</f>
        <v>0</v>
      </c>
      <c r="AQ161" s="19" t="n">
        <f aca="false">IF(AND('Bonding Program'!$S$20=1,'Bonding Program'!$H$20&gt;'Bonding Program'!$C$8,AQ$3='Bonding Program'!$H$20),'Bonding Program'!$T$20-'Bonding Program'!$U$20-'Bonding Program'!$Z$20,0)-IF(AND('Bonding Program'!$S$20=1,'Bonding Program'!$H$20&lt;='Bonding Program'!$C$8,AQ$3=IF('Bonding Program'!$P$20&lt;&gt;"",'Bonding Program'!$P$20,'Bonding Program'!$C$8)),'Bonding Program'!$Z$20,0)+IF(AND('Bonding Program'!$P$20&lt;&gt;"",AQ$3='Bonding Program'!$P$20,AQ$3&lt;='Bonding Program'!$C$8),N('Bonding Program'!$O$20),0)</f>
        <v>0</v>
      </c>
      <c r="AR161" s="19" t="n">
        <f aca="false">IF(AND('Bonding Program'!$S$20=1,'Bonding Program'!$H$20&gt;'Bonding Program'!$C$8,AR$3='Bonding Program'!$H$20),'Bonding Program'!$T$20-'Bonding Program'!$U$20-'Bonding Program'!$Z$20,0)-IF(AND('Bonding Program'!$S$20=1,'Bonding Program'!$H$20&lt;='Bonding Program'!$C$8,AR$3=IF('Bonding Program'!$P$20&lt;&gt;"",'Bonding Program'!$P$20,'Bonding Program'!$C$8)),'Bonding Program'!$Z$20,0)+IF(AND('Bonding Program'!$P$20&lt;&gt;"",AR$3='Bonding Program'!$P$20,AR$3&lt;='Bonding Program'!$C$8),N('Bonding Program'!$O$20),0)</f>
        <v>0</v>
      </c>
      <c r="AS161" s="19" t="n">
        <f aca="false">IF(AND('Bonding Program'!$S$20=1,'Bonding Program'!$H$20&gt;'Bonding Program'!$C$8,AS$3='Bonding Program'!$H$20),'Bonding Program'!$T$20-'Bonding Program'!$U$20-'Bonding Program'!$Z$20,0)-IF(AND('Bonding Program'!$S$20=1,'Bonding Program'!$H$20&lt;='Bonding Program'!$C$8,AS$3=IF('Bonding Program'!$P$20&lt;&gt;"",'Bonding Program'!$P$20,'Bonding Program'!$C$8)),'Bonding Program'!$Z$20,0)+IF(AND('Bonding Program'!$P$20&lt;&gt;"",AS$3='Bonding Program'!$P$20,AS$3&lt;='Bonding Program'!$C$8),N('Bonding Program'!$O$20),0)</f>
        <v>0</v>
      </c>
      <c r="AT161" s="19" t="n">
        <f aca="false">IF(AND('Bonding Program'!$S$20=1,'Bonding Program'!$H$20&gt;'Bonding Program'!$C$8,AT$3='Bonding Program'!$H$20),'Bonding Program'!$T$20-'Bonding Program'!$U$20-'Bonding Program'!$Z$20,0)-IF(AND('Bonding Program'!$S$20=1,'Bonding Program'!$H$20&lt;='Bonding Program'!$C$8,AT$3=IF('Bonding Program'!$P$20&lt;&gt;"",'Bonding Program'!$P$20,'Bonding Program'!$C$8)),'Bonding Program'!$Z$20,0)+IF(AND('Bonding Program'!$P$20&lt;&gt;"",AT$3='Bonding Program'!$P$20,AT$3&lt;='Bonding Program'!$C$8),N('Bonding Program'!$O$20),0)</f>
        <v>0</v>
      </c>
      <c r="AU161" s="19" t="n">
        <f aca="false">IF(AND('Bonding Program'!$S$20=1,'Bonding Program'!$H$20&gt;'Bonding Program'!$C$8,AU$3='Bonding Program'!$H$20),'Bonding Program'!$T$20-'Bonding Program'!$U$20-'Bonding Program'!$Z$20,0)-IF(AND('Bonding Program'!$S$20=1,'Bonding Program'!$H$20&lt;='Bonding Program'!$C$8,AU$3=IF('Bonding Program'!$P$20&lt;&gt;"",'Bonding Program'!$P$20,'Bonding Program'!$C$8)),'Bonding Program'!$Z$20,0)+IF(AND('Bonding Program'!$P$20&lt;&gt;"",AU$3='Bonding Program'!$P$20,AU$3&lt;='Bonding Program'!$C$8),N('Bonding Program'!$O$20),0)</f>
        <v>0</v>
      </c>
      <c r="AV161" s="19" t="n">
        <f aca="false">IF(AND('Bonding Program'!$S$20=1,'Bonding Program'!$H$20&gt;'Bonding Program'!$C$8,AV$3='Bonding Program'!$H$20),'Bonding Program'!$T$20-'Bonding Program'!$U$20-'Bonding Program'!$Z$20,0)-IF(AND('Bonding Program'!$S$20=1,'Bonding Program'!$H$20&lt;='Bonding Program'!$C$8,AV$3=IF('Bonding Program'!$P$20&lt;&gt;"",'Bonding Program'!$P$20,'Bonding Program'!$C$8)),'Bonding Program'!$Z$20,0)+IF(AND('Bonding Program'!$P$20&lt;&gt;"",AV$3='Bonding Program'!$P$20,AV$3&lt;='Bonding Program'!$C$8),N('Bonding Program'!$O$20),0)</f>
        <v>0</v>
      </c>
      <c r="AW161" s="19" t="n">
        <f aca="false">IF(AND('Bonding Program'!$S$20=1,'Bonding Program'!$H$20&gt;'Bonding Program'!$C$8,AW$3='Bonding Program'!$H$20),'Bonding Program'!$T$20-'Bonding Program'!$U$20-'Bonding Program'!$Z$20,0)-IF(AND('Bonding Program'!$S$20=1,'Bonding Program'!$H$20&lt;='Bonding Program'!$C$8,AW$3=IF('Bonding Program'!$P$20&lt;&gt;"",'Bonding Program'!$P$20,'Bonding Program'!$C$8)),'Bonding Program'!$Z$20,0)+IF(AND('Bonding Program'!$P$20&lt;&gt;"",AW$3='Bonding Program'!$P$20,AW$3&lt;='Bonding Program'!$C$8),N('Bonding Program'!$O$20),0)</f>
        <v>0</v>
      </c>
      <c r="AX161" s="19" t="n">
        <f aca="false">IF(AND('Bonding Program'!$S$20=1,'Bonding Program'!$H$20&gt;'Bonding Program'!$C$8,AX$3='Bonding Program'!$H$20),'Bonding Program'!$T$20-'Bonding Program'!$U$20-'Bonding Program'!$Z$20,0)-IF(AND('Bonding Program'!$S$20=1,'Bonding Program'!$H$20&lt;='Bonding Program'!$C$8,AX$3=IF('Bonding Program'!$P$20&lt;&gt;"",'Bonding Program'!$P$20,'Bonding Program'!$C$8)),'Bonding Program'!$Z$20,0)+IF(AND('Bonding Program'!$P$20&lt;&gt;"",AX$3='Bonding Program'!$P$20,AX$3&lt;='Bonding Program'!$C$8),N('Bonding Program'!$O$20),0)</f>
        <v>0</v>
      </c>
      <c r="AY161" s="19" t="n">
        <f aca="false">IF(AND('Bonding Program'!$S$20=1,'Bonding Program'!$H$20&gt;'Bonding Program'!$C$8,AY$3='Bonding Program'!$H$20),'Bonding Program'!$T$20-'Bonding Program'!$U$20-'Bonding Program'!$Z$20,0)-IF(AND('Bonding Program'!$S$20=1,'Bonding Program'!$H$20&lt;='Bonding Program'!$C$8,AY$3=IF('Bonding Program'!$P$20&lt;&gt;"",'Bonding Program'!$P$20,'Bonding Program'!$C$8)),'Bonding Program'!$Z$20,0)+IF(AND('Bonding Program'!$P$20&lt;&gt;"",AY$3='Bonding Program'!$P$20,AY$3&lt;='Bonding Program'!$C$8),N('Bonding Program'!$O$20),0)</f>
        <v>0</v>
      </c>
      <c r="AZ161" s="19" t="n">
        <f aca="false">IF(AND('Bonding Program'!$S$20=1,'Bonding Program'!$H$20&gt;'Bonding Program'!$C$8,AZ$3='Bonding Program'!$H$20),'Bonding Program'!$T$20-'Bonding Program'!$U$20-'Bonding Program'!$Z$20,0)-IF(AND('Bonding Program'!$S$20=1,'Bonding Program'!$H$20&lt;='Bonding Program'!$C$8,AZ$3=IF('Bonding Program'!$P$20&lt;&gt;"",'Bonding Program'!$P$20,'Bonding Program'!$C$8)),'Bonding Program'!$Z$20,0)+IF(AND('Bonding Program'!$P$20&lt;&gt;"",AZ$3='Bonding Program'!$P$20,AZ$3&lt;='Bonding Program'!$C$8),N('Bonding Program'!$O$20),0)</f>
        <v>0</v>
      </c>
      <c r="BA161" s="19" t="n">
        <f aca="false">IF(AND('Bonding Program'!$S$20=1,'Bonding Program'!$H$20&gt;'Bonding Program'!$C$8,BA$3='Bonding Program'!$H$20),'Bonding Program'!$T$20-'Bonding Program'!$U$20-'Bonding Program'!$Z$20,0)-IF(AND('Bonding Program'!$S$20=1,'Bonding Program'!$H$20&lt;='Bonding Program'!$C$8,BA$3=IF('Bonding Program'!$P$20&lt;&gt;"",'Bonding Program'!$P$20,'Bonding Program'!$C$8)),'Bonding Program'!$Z$20,0)+IF(AND('Bonding Program'!$P$20&lt;&gt;"",BA$3='Bonding Program'!$P$20,BA$3&lt;='Bonding Program'!$C$8),N('Bonding Program'!$O$20),0)</f>
        <v>0</v>
      </c>
      <c r="BB161" s="19" t="n">
        <f aca="false">IF(AND('Bonding Program'!$S$20=1,'Bonding Program'!$H$20&gt;'Bonding Program'!$C$8,BB$3='Bonding Program'!$H$20),'Bonding Program'!$T$20-'Bonding Program'!$U$20-'Bonding Program'!$Z$20,0)-IF(AND('Bonding Program'!$S$20=1,'Bonding Program'!$H$20&lt;='Bonding Program'!$C$8,BB$3=IF('Bonding Program'!$P$20&lt;&gt;"",'Bonding Program'!$P$20,'Bonding Program'!$C$8)),'Bonding Program'!$Z$20,0)+IF(AND('Bonding Program'!$P$20&lt;&gt;"",BB$3='Bonding Program'!$P$20,BB$3&lt;='Bonding Program'!$C$8),N('Bonding Program'!$O$20),0)</f>
        <v>0</v>
      </c>
      <c r="BC161" s="19" t="n">
        <f aca="false">IF(AND('Bonding Program'!$S$20=1,'Bonding Program'!$H$20&gt;'Bonding Program'!$C$8,BC$3='Bonding Program'!$H$20),'Bonding Program'!$T$20-'Bonding Program'!$U$20-'Bonding Program'!$Z$20,0)-IF(AND('Bonding Program'!$S$20=1,'Bonding Program'!$H$20&lt;='Bonding Program'!$C$8,BC$3=IF('Bonding Program'!$P$20&lt;&gt;"",'Bonding Program'!$P$20,'Bonding Program'!$C$8)),'Bonding Program'!$Z$20,0)+IF(AND('Bonding Program'!$P$20&lt;&gt;"",BC$3='Bonding Program'!$P$20,BC$3&lt;='Bonding Program'!$C$8),N('Bonding Program'!$O$20),0)</f>
        <v>0</v>
      </c>
      <c r="BD161" s="19" t="n">
        <f aca="false">IF(AND('Bonding Program'!$S$20=1,'Bonding Program'!$H$20&gt;'Bonding Program'!$C$8,BD$3='Bonding Program'!$H$20),'Bonding Program'!$T$20-'Bonding Program'!$U$20-'Bonding Program'!$Z$20,0)-IF(AND('Bonding Program'!$S$20=1,'Bonding Program'!$H$20&lt;='Bonding Program'!$C$8,BD$3=IF('Bonding Program'!$P$20&lt;&gt;"",'Bonding Program'!$P$20,'Bonding Program'!$C$8)),'Bonding Program'!$Z$20,0)+IF(AND('Bonding Program'!$P$20&lt;&gt;"",BD$3='Bonding Program'!$P$20,BD$3&lt;='Bonding Program'!$C$8),N('Bonding Program'!$O$20),0)</f>
        <v>0</v>
      </c>
      <c r="BE161" s="19" t="n">
        <f aca="false">IF(AND('Bonding Program'!$S$20=1,'Bonding Program'!$H$20&gt;'Bonding Program'!$C$8,BE$3='Bonding Program'!$H$20),'Bonding Program'!$T$20-'Bonding Program'!$U$20-'Bonding Program'!$Z$20,0)-IF(AND('Bonding Program'!$S$20=1,'Bonding Program'!$H$20&lt;='Bonding Program'!$C$8,BE$3=IF('Bonding Program'!$P$20&lt;&gt;"",'Bonding Program'!$P$20,'Bonding Program'!$C$8)),'Bonding Program'!$Z$20,0)+IF(AND('Bonding Program'!$P$20&lt;&gt;"",BE$3='Bonding Program'!$P$20,BE$3&lt;='Bonding Program'!$C$8),N('Bonding Program'!$O$20),0)</f>
        <v>0</v>
      </c>
      <c r="BF161" s="19" t="n">
        <f aca="false">IF(AND('Bonding Program'!$S$20=1,'Bonding Program'!$H$20&gt;'Bonding Program'!$C$8,BF$3='Bonding Program'!$H$20),'Bonding Program'!$T$20-'Bonding Program'!$U$20-'Bonding Program'!$Z$20,0)-IF(AND('Bonding Program'!$S$20=1,'Bonding Program'!$H$20&lt;='Bonding Program'!$C$8,BF$3=IF('Bonding Program'!$P$20&lt;&gt;"",'Bonding Program'!$P$20,'Bonding Program'!$C$8)),'Bonding Program'!$Z$20,0)+IF(AND('Bonding Program'!$P$20&lt;&gt;"",BF$3='Bonding Program'!$P$20,BF$3&lt;='Bonding Program'!$C$8),N('Bonding Program'!$O$20),0)</f>
        <v>0</v>
      </c>
      <c r="BG161" s="19" t="n">
        <f aca="false">IF(AND('Bonding Program'!$S$20=1,'Bonding Program'!$H$20&gt;'Bonding Program'!$C$8,BG$3='Bonding Program'!$H$20),'Bonding Program'!$T$20-'Bonding Program'!$U$20-'Bonding Program'!$Z$20,0)-IF(AND('Bonding Program'!$S$20=1,'Bonding Program'!$H$20&lt;='Bonding Program'!$C$8,BG$3=IF('Bonding Program'!$P$20&lt;&gt;"",'Bonding Program'!$P$20,'Bonding Program'!$C$8)),'Bonding Program'!$Z$20,0)+IF(AND('Bonding Program'!$P$20&lt;&gt;"",BG$3='Bonding Program'!$P$20,BG$3&lt;='Bonding Program'!$C$8),N('Bonding Program'!$O$20),0)</f>
        <v>0</v>
      </c>
      <c r="BH161" s="19" t="n">
        <f aca="false">IF(AND('Bonding Program'!$S$20=1,'Bonding Program'!$H$20&gt;'Bonding Program'!$C$8,BH$3='Bonding Program'!$H$20),'Bonding Program'!$T$20-'Bonding Program'!$U$20-'Bonding Program'!$Z$20,0)-IF(AND('Bonding Program'!$S$20=1,'Bonding Program'!$H$20&lt;='Bonding Program'!$C$8,BH$3=IF('Bonding Program'!$P$20&lt;&gt;"",'Bonding Program'!$P$20,'Bonding Program'!$C$8)),'Bonding Program'!$Z$20,0)+IF(AND('Bonding Program'!$P$20&lt;&gt;"",BH$3='Bonding Program'!$P$20,BH$3&lt;='Bonding Program'!$C$8),N('Bonding Program'!$O$20),0)</f>
        <v>0</v>
      </c>
      <c r="BI161" s="19" t="n">
        <f aca="false">IF(AND('Bonding Program'!$S$20=1,'Bonding Program'!$H$20&gt;'Bonding Program'!$C$8,BI$3='Bonding Program'!$H$20),'Bonding Program'!$T$20-'Bonding Program'!$U$20-'Bonding Program'!$Z$20,0)-IF(AND('Bonding Program'!$S$20=1,'Bonding Program'!$H$20&lt;='Bonding Program'!$C$8,BI$3=IF('Bonding Program'!$P$20&lt;&gt;"",'Bonding Program'!$P$20,'Bonding Program'!$C$8)),'Bonding Program'!$Z$20,0)+IF(AND('Bonding Program'!$P$20&lt;&gt;"",BI$3='Bonding Program'!$P$20,BI$3&lt;='Bonding Program'!$C$8),N('Bonding Program'!$O$20),0)</f>
        <v>0</v>
      </c>
      <c r="BJ161" s="19" t="n">
        <f aca="false">IF(AND('Bonding Program'!$S$20=1,'Bonding Program'!$H$20&gt;'Bonding Program'!$C$8,BJ$3='Bonding Program'!$H$20),'Bonding Program'!$T$20-'Bonding Program'!$U$20-'Bonding Program'!$Z$20,0)-IF(AND('Bonding Program'!$S$20=1,'Bonding Program'!$H$20&lt;='Bonding Program'!$C$8,BJ$3=IF('Bonding Program'!$P$20&lt;&gt;"",'Bonding Program'!$P$20,'Bonding Program'!$C$8)),'Bonding Program'!$Z$20,0)+IF(AND('Bonding Program'!$P$20&lt;&gt;"",BJ$3='Bonding Program'!$P$20,BJ$3&lt;='Bonding Program'!$C$8),N('Bonding Program'!$O$20),0)</f>
        <v>0</v>
      </c>
      <c r="BK161" s="19" t="n">
        <f aca="false">IF(AND('Bonding Program'!$S$20=1,'Bonding Program'!$H$20&gt;'Bonding Program'!$C$8,BK$3='Bonding Program'!$H$20),'Bonding Program'!$T$20-'Bonding Program'!$U$20-'Bonding Program'!$Z$20,0)-IF(AND('Bonding Program'!$S$20=1,'Bonding Program'!$H$20&lt;='Bonding Program'!$C$8,BK$3=IF('Bonding Program'!$P$20&lt;&gt;"",'Bonding Program'!$P$20,'Bonding Program'!$C$8)),'Bonding Program'!$Z$20,0)+IF(AND('Bonding Program'!$P$20&lt;&gt;"",BK$3='Bonding Program'!$P$20,BK$3&lt;='Bonding Program'!$C$8),N('Bonding Program'!$O$20),0)</f>
        <v>0</v>
      </c>
      <c r="BL161" s="19" t="n">
        <f aca="false">IF(AND('Bonding Program'!$S$20=1,'Bonding Program'!$H$20&gt;'Bonding Program'!$C$8,BL$3='Bonding Program'!$H$20),'Bonding Program'!$T$20-'Bonding Program'!$U$20-'Bonding Program'!$Z$20,0)-IF(AND('Bonding Program'!$S$20=1,'Bonding Program'!$H$20&lt;='Bonding Program'!$C$8,BL$3=IF('Bonding Program'!$P$20&lt;&gt;"",'Bonding Program'!$P$20,'Bonding Program'!$C$8)),'Bonding Program'!$Z$20,0)+IF(AND('Bonding Program'!$P$20&lt;&gt;"",BL$3='Bonding Program'!$P$20,BL$3&lt;='Bonding Program'!$C$8),N('Bonding Program'!$O$20),0)</f>
        <v>0</v>
      </c>
      <c r="BM161" s="19" t="n">
        <f aca="false">IF(AND('Bonding Program'!$S$20=1,'Bonding Program'!$H$20&gt;'Bonding Program'!$C$8,BM$3='Bonding Program'!$H$20),'Bonding Program'!$T$20-'Bonding Program'!$U$20-'Bonding Program'!$Z$20,0)-IF(AND('Bonding Program'!$S$20=1,'Bonding Program'!$H$20&lt;='Bonding Program'!$C$8,BM$3=IF('Bonding Program'!$P$20&lt;&gt;"",'Bonding Program'!$P$20,'Bonding Program'!$C$8)),'Bonding Program'!$Z$20,0)+IF(AND('Bonding Program'!$P$20&lt;&gt;"",BM$3='Bonding Program'!$P$20,BM$3&lt;='Bonding Program'!$C$8),N('Bonding Program'!$O$20),0)</f>
        <v>0</v>
      </c>
      <c r="BN161" s="19" t="n">
        <f aca="false">IF(AND('Bonding Program'!$S$20=1,'Bonding Program'!$H$20&gt;'Bonding Program'!$C$8,BN$3='Bonding Program'!$H$20),'Bonding Program'!$T$20-'Bonding Program'!$U$20-'Bonding Program'!$Z$20,0)-IF(AND('Bonding Program'!$S$20=1,'Bonding Program'!$H$20&lt;='Bonding Program'!$C$8,BN$3=IF('Bonding Program'!$P$20&lt;&gt;"",'Bonding Program'!$P$20,'Bonding Program'!$C$8)),'Bonding Program'!$Z$20,0)+IF(AND('Bonding Program'!$P$20&lt;&gt;"",BN$3='Bonding Program'!$P$20,BN$3&lt;='Bonding Program'!$C$8),N('Bonding Program'!$O$20),0)</f>
        <v>0</v>
      </c>
      <c r="BO161" s="19" t="n">
        <f aca="false">IF(AND('Bonding Program'!$S$20=1,'Bonding Program'!$H$20&gt;'Bonding Program'!$C$8,BO$3='Bonding Program'!$H$20),'Bonding Program'!$T$20-'Bonding Program'!$U$20-'Bonding Program'!$Z$20,0)-IF(AND('Bonding Program'!$S$20=1,'Bonding Program'!$H$20&lt;='Bonding Program'!$C$8,BO$3=IF('Bonding Program'!$P$20&lt;&gt;"",'Bonding Program'!$P$20,'Bonding Program'!$C$8)),'Bonding Program'!$Z$20,0)+IF(AND('Bonding Program'!$P$20&lt;&gt;"",BO$3='Bonding Program'!$P$20,BO$3&lt;='Bonding Program'!$C$8),N('Bonding Program'!$O$20),0)</f>
        <v>0</v>
      </c>
      <c r="BP161" s="19" t="n">
        <f aca="false">IF(AND('Bonding Program'!$S$20=1,'Bonding Program'!$H$20&gt;'Bonding Program'!$C$8,BP$3='Bonding Program'!$H$20),'Bonding Program'!$T$20-'Bonding Program'!$U$20-'Bonding Program'!$Z$20,0)-IF(AND('Bonding Program'!$S$20=1,'Bonding Program'!$H$20&lt;='Bonding Program'!$C$8,BP$3=IF('Bonding Program'!$P$20&lt;&gt;"",'Bonding Program'!$P$20,'Bonding Program'!$C$8)),'Bonding Program'!$Z$20,0)+IF(AND('Bonding Program'!$P$20&lt;&gt;"",BP$3='Bonding Program'!$P$20,BP$3&lt;='Bonding Program'!$C$8),N('Bonding Program'!$O$20),0)</f>
        <v>0</v>
      </c>
      <c r="BQ161" s="19" t="n">
        <f aca="false">IF(AND('Bonding Program'!$S$20=1,'Bonding Program'!$H$20&gt;'Bonding Program'!$C$8,BQ$3='Bonding Program'!$H$20),'Bonding Program'!$T$20-'Bonding Program'!$U$20-'Bonding Program'!$Z$20,0)-IF(AND('Bonding Program'!$S$20=1,'Bonding Program'!$H$20&lt;='Bonding Program'!$C$8,BQ$3=IF('Bonding Program'!$P$20&lt;&gt;"",'Bonding Program'!$P$20,'Bonding Program'!$C$8)),'Bonding Program'!$Z$20,0)+IF(AND('Bonding Program'!$P$20&lt;&gt;"",BQ$3='Bonding Program'!$P$20,BQ$3&lt;='Bonding Program'!$C$8),N('Bonding Program'!$O$20),0)</f>
        <v>0</v>
      </c>
      <c r="BR161" s="19" t="n">
        <f aca="false">IF(AND('Bonding Program'!$S$20=1,'Bonding Program'!$H$20&gt;'Bonding Program'!$C$8,BR$3='Bonding Program'!$H$20),'Bonding Program'!$T$20-'Bonding Program'!$U$20-'Bonding Program'!$Z$20,0)-IF(AND('Bonding Program'!$S$20=1,'Bonding Program'!$H$20&lt;='Bonding Program'!$C$8,BR$3=IF('Bonding Program'!$P$20&lt;&gt;"",'Bonding Program'!$P$20,'Bonding Program'!$C$8)),'Bonding Program'!$Z$20,0)+IF(AND('Bonding Program'!$P$20&lt;&gt;"",BR$3='Bonding Program'!$P$20,BR$3&lt;='Bonding Program'!$C$8),N('Bonding Program'!$O$20),0)</f>
        <v>0</v>
      </c>
      <c r="BS161" s="19" t="n">
        <f aca="false">IF(AND('Bonding Program'!$S$20=1,'Bonding Program'!$H$20&gt;'Bonding Program'!$C$8,BS$3='Bonding Program'!$H$20),'Bonding Program'!$T$20-'Bonding Program'!$U$20-'Bonding Program'!$Z$20,0)-IF(AND('Bonding Program'!$S$20=1,'Bonding Program'!$H$20&lt;='Bonding Program'!$C$8,BS$3=IF('Bonding Program'!$P$20&lt;&gt;"",'Bonding Program'!$P$20,'Bonding Program'!$C$8)),'Bonding Program'!$Z$20,0)+IF(AND('Bonding Program'!$P$20&lt;&gt;"",BS$3='Bonding Program'!$P$20,BS$3&lt;='Bonding Program'!$C$8),N('Bonding Program'!$O$20),0)</f>
        <v>0</v>
      </c>
      <c r="BT161" s="19" t="n">
        <f aca="false">IF(AND('Bonding Program'!$S$20=1,'Bonding Program'!$H$20&gt;'Bonding Program'!$C$8,BT$3='Bonding Program'!$H$20),'Bonding Program'!$T$20-'Bonding Program'!$U$20-'Bonding Program'!$Z$20,0)-IF(AND('Bonding Program'!$S$20=1,'Bonding Program'!$H$20&lt;='Bonding Program'!$C$8,BT$3=IF('Bonding Program'!$P$20&lt;&gt;"",'Bonding Program'!$P$20,'Bonding Program'!$C$8)),'Bonding Program'!$Z$20,0)+IF(AND('Bonding Program'!$P$20&lt;&gt;"",BT$3='Bonding Program'!$P$20,BT$3&lt;='Bonding Program'!$C$8),N('Bonding Program'!$O$20),0)</f>
        <v>0</v>
      </c>
      <c r="BU161" s="19" t="n">
        <f aca="false">IF(AND('Bonding Program'!$S$20=1,'Bonding Program'!$H$20&gt;'Bonding Program'!$C$8,BU$3='Bonding Program'!$H$20),'Bonding Program'!$T$20-'Bonding Program'!$U$20-'Bonding Program'!$Z$20,0)-IF(AND('Bonding Program'!$S$20=1,'Bonding Program'!$H$20&lt;='Bonding Program'!$C$8,BU$3=IF('Bonding Program'!$P$20&lt;&gt;"",'Bonding Program'!$P$20,'Bonding Program'!$C$8)),'Bonding Program'!$Z$20,0)+IF(AND('Bonding Program'!$P$20&lt;&gt;"",BU$3='Bonding Program'!$P$20,BU$3&lt;='Bonding Program'!$C$8),N('Bonding Program'!$O$20),0)</f>
        <v>0</v>
      </c>
      <c r="BV161" s="19" t="n">
        <f aca="false">IF(AND('Bonding Program'!$S$20=1,'Bonding Program'!$H$20&gt;'Bonding Program'!$C$8,BV$3='Bonding Program'!$H$20),'Bonding Program'!$T$20-'Bonding Program'!$U$20-'Bonding Program'!$Z$20,0)-IF(AND('Bonding Program'!$S$20=1,'Bonding Program'!$H$20&lt;='Bonding Program'!$C$8,BV$3=IF('Bonding Program'!$P$20&lt;&gt;"",'Bonding Program'!$P$20,'Bonding Program'!$C$8)),'Bonding Program'!$Z$20,0)+IF(AND('Bonding Program'!$P$20&lt;&gt;"",BV$3='Bonding Program'!$P$20,BV$3&lt;='Bonding Program'!$C$8),N('Bonding Program'!$O$20),0)</f>
        <v>0</v>
      </c>
      <c r="BW161" s="19" t="n">
        <f aca="false">IF(AND('Bonding Program'!$S$20=1,'Bonding Program'!$H$20&gt;'Bonding Program'!$C$8,BW$3='Bonding Program'!$H$20),'Bonding Program'!$T$20-'Bonding Program'!$U$20-'Bonding Program'!$Z$20,0)-IF(AND('Bonding Program'!$S$20=1,'Bonding Program'!$H$20&lt;='Bonding Program'!$C$8,BW$3=IF('Bonding Program'!$P$20&lt;&gt;"",'Bonding Program'!$P$20,'Bonding Program'!$C$8)),'Bonding Program'!$Z$20,0)+IF(AND('Bonding Program'!$P$20&lt;&gt;"",BW$3='Bonding Program'!$P$20,BW$3&lt;='Bonding Program'!$C$8),N('Bonding Program'!$O$20),0)</f>
        <v>0</v>
      </c>
      <c r="BX161" s="19" t="n">
        <f aca="false">IF(AND('Bonding Program'!$S$20=1,'Bonding Program'!$H$20&gt;'Bonding Program'!$C$8,BX$3='Bonding Program'!$H$20),'Bonding Program'!$T$20-'Bonding Program'!$U$20-'Bonding Program'!$Z$20,0)-IF(AND('Bonding Program'!$S$20=1,'Bonding Program'!$H$20&lt;='Bonding Program'!$C$8,BX$3=IF('Bonding Program'!$P$20&lt;&gt;"",'Bonding Program'!$P$20,'Bonding Program'!$C$8)),'Bonding Program'!$Z$20,0)+IF(AND('Bonding Program'!$P$20&lt;&gt;"",BX$3='Bonding Program'!$P$20,BX$3&lt;='Bonding Program'!$C$8),N('Bonding Program'!$O$20),0)</f>
        <v>0</v>
      </c>
      <c r="BY161" s="19" t="n">
        <f aca="false">IF(AND('Bonding Program'!$S$20=1,'Bonding Program'!$H$20&gt;'Bonding Program'!$C$8,BY$3='Bonding Program'!$H$20),'Bonding Program'!$T$20-'Bonding Program'!$U$20-'Bonding Program'!$Z$20,0)-IF(AND('Bonding Program'!$S$20=1,'Bonding Program'!$H$20&lt;='Bonding Program'!$C$8,BY$3=IF('Bonding Program'!$P$20&lt;&gt;"",'Bonding Program'!$P$20,'Bonding Program'!$C$8)),'Bonding Program'!$Z$20,0)+IF(AND('Bonding Program'!$P$20&lt;&gt;"",BY$3='Bonding Program'!$P$20,BY$3&lt;='Bonding Program'!$C$8),N('Bonding Program'!$O$20),0)</f>
        <v>0</v>
      </c>
      <c r="BZ161" s="19" t="n">
        <f aca="false">IF(AND('Bonding Program'!$S$20=1,'Bonding Program'!$H$20&gt;'Bonding Program'!$C$8,BZ$3='Bonding Program'!$H$20),'Bonding Program'!$T$20-'Bonding Program'!$U$20-'Bonding Program'!$Z$20,0)-IF(AND('Bonding Program'!$S$20=1,'Bonding Program'!$H$20&lt;='Bonding Program'!$C$8,BZ$3=IF('Bonding Program'!$P$20&lt;&gt;"",'Bonding Program'!$P$20,'Bonding Program'!$C$8)),'Bonding Program'!$Z$20,0)+IF(AND('Bonding Program'!$P$20&lt;&gt;"",BZ$3='Bonding Program'!$P$20,BZ$3&lt;='Bonding Program'!$C$8),N('Bonding Program'!$O$20),0)</f>
        <v>0</v>
      </c>
      <c r="CA161" s="19" t="n">
        <f aca="false">IF(AND('Bonding Program'!$S$20=1,'Bonding Program'!$H$20&gt;'Bonding Program'!$C$8,CA$3='Bonding Program'!$H$20),'Bonding Program'!$T$20-'Bonding Program'!$U$20-'Bonding Program'!$Z$20,0)-IF(AND('Bonding Program'!$S$20=1,'Bonding Program'!$H$20&lt;='Bonding Program'!$C$8,CA$3=IF('Bonding Program'!$P$20&lt;&gt;"",'Bonding Program'!$P$20,'Bonding Program'!$C$8)),'Bonding Program'!$Z$20,0)+IF(AND('Bonding Program'!$P$20&lt;&gt;"",CA$3='Bonding Program'!$P$20,CA$3&lt;='Bonding Program'!$C$8),N('Bonding Program'!$O$20),0)</f>
        <v>0</v>
      </c>
      <c r="CB161" s="19" t="n">
        <f aca="false">IF(AND('Bonding Program'!$S$20=1,'Bonding Program'!$H$20&gt;'Bonding Program'!$C$8,CB$3='Bonding Program'!$H$20),'Bonding Program'!$T$20-'Bonding Program'!$U$20-'Bonding Program'!$Z$20,0)-IF(AND('Bonding Program'!$S$20=1,'Bonding Program'!$H$20&lt;='Bonding Program'!$C$8,CB$3=IF('Bonding Program'!$P$20&lt;&gt;"",'Bonding Program'!$P$20,'Bonding Program'!$C$8)),'Bonding Program'!$Z$20,0)+IF(AND('Bonding Program'!$P$20&lt;&gt;"",CB$3='Bonding Program'!$P$20,CB$3&lt;='Bonding Program'!$C$8),N('Bonding Program'!$O$20),0)</f>
        <v>0</v>
      </c>
      <c r="CC161" s="19" t="n">
        <f aca="false">IF(AND('Bonding Program'!$S$20=1,'Bonding Program'!$H$20&gt;'Bonding Program'!$C$8,CC$3='Bonding Program'!$H$20),'Bonding Program'!$T$20-'Bonding Program'!$U$20-'Bonding Program'!$Z$20,0)-IF(AND('Bonding Program'!$S$20=1,'Bonding Program'!$H$20&lt;='Bonding Program'!$C$8,CC$3=IF('Bonding Program'!$P$20&lt;&gt;"",'Bonding Program'!$P$20,'Bonding Program'!$C$8)),'Bonding Program'!$Z$20,0)+IF(AND('Bonding Program'!$P$20&lt;&gt;"",CC$3='Bonding Program'!$P$20,CC$3&lt;='Bonding Program'!$C$8),N('Bonding Program'!$O$20),0)</f>
        <v>0</v>
      </c>
      <c r="CD161" s="19" t="n">
        <f aca="false">IF(AND('Bonding Program'!$S$20=1,'Bonding Program'!$H$20&gt;'Bonding Program'!$C$8,CD$3='Bonding Program'!$H$20),'Bonding Program'!$T$20-'Bonding Program'!$U$20-'Bonding Program'!$Z$20,0)-IF(AND('Bonding Program'!$S$20=1,'Bonding Program'!$H$20&lt;='Bonding Program'!$C$8,CD$3=IF('Bonding Program'!$P$20&lt;&gt;"",'Bonding Program'!$P$20,'Bonding Program'!$C$8)),'Bonding Program'!$Z$20,0)+IF(AND('Bonding Program'!$P$20&lt;&gt;"",CD$3='Bonding Program'!$P$20,CD$3&lt;='Bonding Program'!$C$8),N('Bonding Program'!$O$20),0)</f>
        <v>0</v>
      </c>
      <c r="CE161" s="19" t="n">
        <f aca="false">IF(AND('Bonding Program'!$S$20=1,'Bonding Program'!$H$20&gt;'Bonding Program'!$C$8,CE$3='Bonding Program'!$H$20),'Bonding Program'!$T$20-'Bonding Program'!$U$20-'Bonding Program'!$Z$20,0)-IF(AND('Bonding Program'!$S$20=1,'Bonding Program'!$H$20&lt;='Bonding Program'!$C$8,CE$3=IF('Bonding Program'!$P$20&lt;&gt;"",'Bonding Program'!$P$20,'Bonding Program'!$C$8)),'Bonding Program'!$Z$20,0)+IF(AND('Bonding Program'!$P$20&lt;&gt;"",CE$3='Bonding Program'!$P$20,CE$3&lt;='Bonding Program'!$C$8),N('Bonding Program'!$O$20),0)</f>
        <v>0</v>
      </c>
      <c r="CF161" s="19" t="n">
        <f aca="false">IF(AND('Bonding Program'!$S$20=1,'Bonding Program'!$H$20&gt;'Bonding Program'!$C$8,CF$3='Bonding Program'!$H$20),'Bonding Program'!$T$20-'Bonding Program'!$U$20-'Bonding Program'!$Z$20,0)-IF(AND('Bonding Program'!$S$20=1,'Bonding Program'!$H$20&lt;='Bonding Program'!$C$8,CF$3=IF('Bonding Program'!$P$20&lt;&gt;"",'Bonding Program'!$P$20,'Bonding Program'!$C$8)),'Bonding Program'!$Z$20,0)+IF(AND('Bonding Program'!$P$20&lt;&gt;"",CF$3='Bonding Program'!$P$20,CF$3&lt;='Bonding Program'!$C$8),N('Bonding Program'!$O$20),0)</f>
        <v>0</v>
      </c>
      <c r="CG161" s="19" t="n">
        <f aca="false">IF(AND('Bonding Program'!$S$20=1,'Bonding Program'!$H$20&gt;'Bonding Program'!$C$8,CG$3='Bonding Program'!$H$20),'Bonding Program'!$T$20-'Bonding Program'!$U$20-'Bonding Program'!$Z$20,0)-IF(AND('Bonding Program'!$S$20=1,'Bonding Program'!$H$20&lt;='Bonding Program'!$C$8,CG$3=IF('Bonding Program'!$P$20&lt;&gt;"",'Bonding Program'!$P$20,'Bonding Program'!$C$8)),'Bonding Program'!$Z$20,0)+IF(AND('Bonding Program'!$P$20&lt;&gt;"",CG$3='Bonding Program'!$P$20,CG$3&lt;='Bonding Program'!$C$8),N('Bonding Program'!$O$20),0)</f>
        <v>0</v>
      </c>
      <c r="CH161" s="19" t="n">
        <f aca="false">IF(AND('Bonding Program'!$S$20=1,'Bonding Program'!$H$20&gt;'Bonding Program'!$C$8,CH$3='Bonding Program'!$H$20),'Bonding Program'!$T$20-'Bonding Program'!$U$20-'Bonding Program'!$Z$20,0)-IF(AND('Bonding Program'!$S$20=1,'Bonding Program'!$H$20&lt;='Bonding Program'!$C$8,CH$3=IF('Bonding Program'!$P$20&lt;&gt;"",'Bonding Program'!$P$20,'Bonding Program'!$C$8)),'Bonding Program'!$Z$20,0)+IF(AND('Bonding Program'!$P$20&lt;&gt;"",CH$3='Bonding Program'!$P$20,CH$3&lt;='Bonding Program'!$C$8),N('Bonding Program'!$O$20),0)</f>
        <v>0</v>
      </c>
      <c r="CI161" s="19" t="n">
        <f aca="false">IF(AND('Bonding Program'!$S$20=1,'Bonding Program'!$H$20&gt;'Bonding Program'!$C$8,CI$3='Bonding Program'!$H$20),'Bonding Program'!$T$20-'Bonding Program'!$U$20-'Bonding Program'!$Z$20,0)-IF(AND('Bonding Program'!$S$20=1,'Bonding Program'!$H$20&lt;='Bonding Program'!$C$8,CI$3=IF('Bonding Program'!$P$20&lt;&gt;"",'Bonding Program'!$P$20,'Bonding Program'!$C$8)),'Bonding Program'!$Z$20,0)+IF(AND('Bonding Program'!$P$20&lt;&gt;"",CI$3='Bonding Program'!$P$20,CI$3&lt;='Bonding Program'!$C$8),N('Bonding Program'!$O$20),0)</f>
        <v>0</v>
      </c>
      <c r="CJ161" s="19" t="n">
        <f aca="false">IF(AND('Bonding Program'!$S$20=1,'Bonding Program'!$H$20&gt;'Bonding Program'!$C$8,CJ$3='Bonding Program'!$H$20),'Bonding Program'!$T$20-'Bonding Program'!$U$20-'Bonding Program'!$Z$20,0)-IF(AND('Bonding Program'!$S$20=1,'Bonding Program'!$H$20&lt;='Bonding Program'!$C$8,CJ$3=IF('Bonding Program'!$P$20&lt;&gt;"",'Bonding Program'!$P$20,'Bonding Program'!$C$8)),'Bonding Program'!$Z$20,0)+IF(AND('Bonding Program'!$P$20&lt;&gt;"",CJ$3='Bonding Program'!$P$20,CJ$3&lt;='Bonding Program'!$C$8),N('Bonding Program'!$O$20),0)</f>
        <v>0</v>
      </c>
      <c r="CK161" s="19" t="n">
        <f aca="false">IF(AND('Bonding Program'!$S$20=1,'Bonding Program'!$H$20&gt;'Bonding Program'!$C$8,CK$3='Bonding Program'!$H$20),'Bonding Program'!$T$20-'Bonding Program'!$U$20-'Bonding Program'!$Z$20,0)-IF(AND('Bonding Program'!$S$20=1,'Bonding Program'!$H$20&lt;='Bonding Program'!$C$8,CK$3=IF('Bonding Program'!$P$20&lt;&gt;"",'Bonding Program'!$P$20,'Bonding Program'!$C$8)),'Bonding Program'!$Z$20,0)+IF(AND('Bonding Program'!$P$20&lt;&gt;"",CK$3='Bonding Program'!$P$20,CK$3&lt;='Bonding Program'!$C$8),N('Bonding Program'!$O$20),0)</f>
        <v>0</v>
      </c>
      <c r="CL161" s="19" t="n">
        <f aca="false">IF(AND('Bonding Program'!$S$20=1,'Bonding Program'!$H$20&gt;'Bonding Program'!$C$8,CL$3='Bonding Program'!$H$20),'Bonding Program'!$T$20-'Bonding Program'!$U$20-'Bonding Program'!$Z$20,0)-IF(AND('Bonding Program'!$S$20=1,'Bonding Program'!$H$20&lt;='Bonding Program'!$C$8,CL$3=IF('Bonding Program'!$P$20&lt;&gt;"",'Bonding Program'!$P$20,'Bonding Program'!$C$8)),'Bonding Program'!$Z$20,0)+IF(AND('Bonding Program'!$P$20&lt;&gt;"",CL$3='Bonding Program'!$P$20,CL$3&lt;='Bonding Program'!$C$8),N('Bonding Program'!$O$20),0)</f>
        <v>0</v>
      </c>
      <c r="CM161" s="19" t="n">
        <f aca="false">IF(AND('Bonding Program'!$S$20=1,'Bonding Program'!$H$20&gt;'Bonding Program'!$C$8,CM$3='Bonding Program'!$H$20),'Bonding Program'!$T$20-'Bonding Program'!$U$20-'Bonding Program'!$Z$20,0)-IF(AND('Bonding Program'!$S$20=1,'Bonding Program'!$H$20&lt;='Bonding Program'!$C$8,CM$3=IF('Bonding Program'!$P$20&lt;&gt;"",'Bonding Program'!$P$20,'Bonding Program'!$C$8)),'Bonding Program'!$Z$20,0)+IF(AND('Bonding Program'!$P$20&lt;&gt;"",CM$3='Bonding Program'!$P$20,CM$3&lt;='Bonding Program'!$C$8),N('Bonding Program'!$O$20),0)</f>
        <v>0</v>
      </c>
      <c r="CN161" s="19" t="n">
        <f aca="false">IF(AND('Bonding Program'!$S$20=1,'Bonding Program'!$H$20&gt;'Bonding Program'!$C$8,CN$3='Bonding Program'!$H$20),'Bonding Program'!$T$20-'Bonding Program'!$U$20-'Bonding Program'!$Z$20,0)-IF(AND('Bonding Program'!$S$20=1,'Bonding Program'!$H$20&lt;='Bonding Program'!$C$8,CN$3=IF('Bonding Program'!$P$20&lt;&gt;"",'Bonding Program'!$P$20,'Bonding Program'!$C$8)),'Bonding Program'!$Z$20,0)+IF(AND('Bonding Program'!$P$20&lt;&gt;"",CN$3='Bonding Program'!$P$20,CN$3&lt;='Bonding Program'!$C$8),N('Bonding Program'!$O$20),0)</f>
        <v>0</v>
      </c>
      <c r="CO161" s="19" t="n">
        <f aca="false">IF(AND('Bonding Program'!$S$20=1,'Bonding Program'!$H$20&gt;'Bonding Program'!$C$8,CO$3='Bonding Program'!$H$20),'Bonding Program'!$T$20-'Bonding Program'!$U$20-'Bonding Program'!$Z$20,0)-IF(AND('Bonding Program'!$S$20=1,'Bonding Program'!$H$20&lt;='Bonding Program'!$C$8,CO$3=IF('Bonding Program'!$P$20&lt;&gt;"",'Bonding Program'!$P$20,'Bonding Program'!$C$8)),'Bonding Program'!$Z$20,0)+IF(AND('Bonding Program'!$P$20&lt;&gt;"",CO$3='Bonding Program'!$P$20,CO$3&lt;='Bonding Program'!$C$8),N('Bonding Program'!$O$20),0)</f>
        <v>0</v>
      </c>
      <c r="CP161" s="19" t="n">
        <f aca="false">IF(AND('Bonding Program'!$S$20=1,'Bonding Program'!$H$20&gt;'Bonding Program'!$C$8,CP$3='Bonding Program'!$H$20),'Bonding Program'!$T$20-'Bonding Program'!$U$20-'Bonding Program'!$Z$20,0)-IF(AND('Bonding Program'!$S$20=1,'Bonding Program'!$H$20&lt;='Bonding Program'!$C$8,CP$3=IF('Bonding Program'!$P$20&lt;&gt;"",'Bonding Program'!$P$20,'Bonding Program'!$C$8)),'Bonding Program'!$Z$20,0)+IF(AND('Bonding Program'!$P$20&lt;&gt;"",CP$3='Bonding Program'!$P$20,CP$3&lt;='Bonding Program'!$C$8),N('Bonding Program'!$O$20),0)</f>
        <v>0</v>
      </c>
      <c r="CQ161" s="19" t="n">
        <f aca="false">IF(AND('Bonding Program'!$S$20=1,'Bonding Program'!$H$20&gt;'Bonding Program'!$C$8,CQ$3='Bonding Program'!$H$20),'Bonding Program'!$T$20-'Bonding Program'!$U$20-'Bonding Program'!$Z$20,0)-IF(AND('Bonding Program'!$S$20=1,'Bonding Program'!$H$20&lt;='Bonding Program'!$C$8,CQ$3=IF('Bonding Program'!$P$20&lt;&gt;"",'Bonding Program'!$P$20,'Bonding Program'!$C$8)),'Bonding Program'!$Z$20,0)+IF(AND('Bonding Program'!$P$20&lt;&gt;"",CQ$3='Bonding Program'!$P$20,CQ$3&lt;='Bonding Program'!$C$8),N('Bonding Program'!$O$20),0)</f>
        <v>0</v>
      </c>
      <c r="CR161" s="19" t="n">
        <f aca="false">IF(AND('Bonding Program'!$S$20=1,'Bonding Program'!$H$20&gt;'Bonding Program'!$C$8,CR$3='Bonding Program'!$H$20),'Bonding Program'!$T$20-'Bonding Program'!$U$20-'Bonding Program'!$Z$20,0)-IF(AND('Bonding Program'!$S$20=1,'Bonding Program'!$H$20&lt;='Bonding Program'!$C$8,CR$3=IF('Bonding Program'!$P$20&lt;&gt;"",'Bonding Program'!$P$20,'Bonding Program'!$C$8)),'Bonding Program'!$Z$20,0)+IF(AND('Bonding Program'!$P$20&lt;&gt;"",CR$3='Bonding Program'!$P$20,CR$3&lt;='Bonding Program'!$C$8),N('Bonding Program'!$O$20),0)</f>
        <v>0</v>
      </c>
      <c r="CS161" s="19" t="n">
        <f aca="false">IF(AND('Bonding Program'!$S$20=1,'Bonding Program'!$H$20&gt;'Bonding Program'!$C$8,CS$3='Bonding Program'!$H$20),'Bonding Program'!$T$20-'Bonding Program'!$U$20-'Bonding Program'!$Z$20,0)-IF(AND('Bonding Program'!$S$20=1,'Bonding Program'!$H$20&lt;='Bonding Program'!$C$8,CS$3=IF('Bonding Program'!$P$20&lt;&gt;"",'Bonding Program'!$P$20,'Bonding Program'!$C$8)),'Bonding Program'!$Z$20,0)+IF(AND('Bonding Program'!$P$20&lt;&gt;"",CS$3='Bonding Program'!$P$20,CS$3&lt;='Bonding Program'!$C$8),N('Bonding Program'!$O$20),0)</f>
        <v>0</v>
      </c>
      <c r="CT161" s="19" t="n">
        <f aca="false">IF(AND('Bonding Program'!$S$20=1,'Bonding Program'!$H$20&gt;'Bonding Program'!$C$8,CT$3='Bonding Program'!$H$20),'Bonding Program'!$T$20-'Bonding Program'!$U$20-'Bonding Program'!$Z$20,0)-IF(AND('Bonding Program'!$S$20=1,'Bonding Program'!$H$20&lt;='Bonding Program'!$C$8,CT$3=IF('Bonding Program'!$P$20&lt;&gt;"",'Bonding Program'!$P$20,'Bonding Program'!$C$8)),'Bonding Program'!$Z$20,0)+IF(AND('Bonding Program'!$P$20&lt;&gt;"",CT$3='Bonding Program'!$P$20,CT$3&lt;='Bonding Program'!$C$8),N('Bonding Program'!$O$20),0)</f>
        <v>0</v>
      </c>
      <c r="CU161" s="19" t="n">
        <f aca="false">IF(AND('Bonding Program'!$S$20=1,'Bonding Program'!$H$20&gt;'Bonding Program'!$C$8,CU$3='Bonding Program'!$H$20),'Bonding Program'!$T$20-'Bonding Program'!$U$20-'Bonding Program'!$Z$20,0)-IF(AND('Bonding Program'!$S$20=1,'Bonding Program'!$H$20&lt;='Bonding Program'!$C$8,CU$3=IF('Bonding Program'!$P$20&lt;&gt;"",'Bonding Program'!$P$20,'Bonding Program'!$C$8)),'Bonding Program'!$Z$20,0)+IF(AND('Bonding Program'!$P$20&lt;&gt;"",CU$3='Bonding Program'!$P$20,CU$3&lt;='Bonding Program'!$C$8),N('Bonding Program'!$O$20),0)</f>
        <v>0</v>
      </c>
      <c r="CV161" s="19" t="n">
        <f aca="false">IF(AND('Bonding Program'!$S$20=1,'Bonding Program'!$H$20&gt;'Bonding Program'!$C$8,CV$3='Bonding Program'!$H$20),'Bonding Program'!$T$20-'Bonding Program'!$U$20-'Bonding Program'!$Z$20,0)-IF(AND('Bonding Program'!$S$20=1,'Bonding Program'!$H$20&lt;='Bonding Program'!$C$8,CV$3=IF('Bonding Program'!$P$20&lt;&gt;"",'Bonding Program'!$P$20,'Bonding Program'!$C$8)),'Bonding Program'!$Z$20,0)+IF(AND('Bonding Program'!$P$20&lt;&gt;"",CV$3='Bonding Program'!$P$20,CV$3&lt;='Bonding Program'!$C$8),N('Bonding Program'!$O$20),0)</f>
        <v>0</v>
      </c>
      <c r="CW161" s="19" t="n">
        <f aca="false">IF(AND('Bonding Program'!$S$20=1,'Bonding Program'!$H$20&gt;'Bonding Program'!$C$8,CW$3='Bonding Program'!$H$20),'Bonding Program'!$T$20-'Bonding Program'!$U$20-'Bonding Program'!$Z$20,0)-IF(AND('Bonding Program'!$S$20=1,'Bonding Program'!$H$20&lt;='Bonding Program'!$C$8,CW$3=IF('Bonding Program'!$P$20&lt;&gt;"",'Bonding Program'!$P$20,'Bonding Program'!$C$8)),'Bonding Program'!$Z$20,0)+IF(AND('Bonding Program'!$P$20&lt;&gt;"",CW$3='Bonding Program'!$P$20,CW$3&lt;='Bonding Program'!$C$8),N('Bonding Program'!$O$20),0)</f>
        <v>0</v>
      </c>
      <c r="CX161" s="19" t="n">
        <f aca="false">IF(AND('Bonding Program'!$S$20=1,'Bonding Program'!$H$20&gt;'Bonding Program'!$C$8,CX$3='Bonding Program'!$H$20),'Bonding Program'!$T$20-'Bonding Program'!$U$20-'Bonding Program'!$Z$20,0)-IF(AND('Bonding Program'!$S$20=1,'Bonding Program'!$H$20&lt;='Bonding Program'!$C$8,CX$3=IF('Bonding Program'!$P$20&lt;&gt;"",'Bonding Program'!$P$20,'Bonding Program'!$C$8)),'Bonding Program'!$Z$20,0)+IF(AND('Bonding Program'!$P$20&lt;&gt;"",CX$3='Bonding Program'!$P$20,CX$3&lt;='Bonding Program'!$C$8),N('Bonding Program'!$O$20),0)</f>
        <v>0</v>
      </c>
      <c r="CY161" s="19" t="n">
        <f aca="false">IF(AND('Bonding Program'!$S$20=1,'Bonding Program'!$H$20&gt;'Bonding Program'!$C$8,CY$3='Bonding Program'!$H$20),'Bonding Program'!$T$20-'Bonding Program'!$U$20-'Bonding Program'!$Z$20,0)-IF(AND('Bonding Program'!$S$20=1,'Bonding Program'!$H$20&lt;='Bonding Program'!$C$8,CY$3=IF('Bonding Program'!$P$20&lt;&gt;"",'Bonding Program'!$P$20,'Bonding Program'!$C$8)),'Bonding Program'!$Z$20,0)+IF(AND('Bonding Program'!$P$20&lt;&gt;"",CY$3='Bonding Program'!$P$20,CY$3&lt;='Bonding Program'!$C$8),N('Bonding Program'!$O$20),0)</f>
        <v>0</v>
      </c>
      <c r="CZ161" s="19" t="n">
        <f aca="false">IF(AND('Bonding Program'!$S$20=1,'Bonding Program'!$H$20&gt;'Bonding Program'!$C$8,CZ$3='Bonding Program'!$H$20),'Bonding Program'!$T$20-'Bonding Program'!$U$20-'Bonding Program'!$Z$20,0)-IF(AND('Bonding Program'!$S$20=1,'Bonding Program'!$H$20&lt;='Bonding Program'!$C$8,CZ$3=IF('Bonding Program'!$P$20&lt;&gt;"",'Bonding Program'!$P$20,'Bonding Program'!$C$8)),'Bonding Program'!$Z$20,0)+IF(AND('Bonding Program'!$P$20&lt;&gt;"",CZ$3='Bonding Program'!$P$20,CZ$3&lt;='Bonding Program'!$C$8),N('Bonding Program'!$O$20),0)</f>
        <v>0</v>
      </c>
      <c r="DA161" s="19" t="n">
        <f aca="false">IF(AND('Bonding Program'!$S$20=1,'Bonding Program'!$H$20&gt;'Bonding Program'!$C$8,DA$3='Bonding Program'!$H$20),'Bonding Program'!$T$20-'Bonding Program'!$U$20-'Bonding Program'!$Z$20,0)-IF(AND('Bonding Program'!$S$20=1,'Bonding Program'!$H$20&lt;='Bonding Program'!$C$8,DA$3=IF('Bonding Program'!$P$20&lt;&gt;"",'Bonding Program'!$P$20,'Bonding Program'!$C$8)),'Bonding Program'!$Z$20,0)+IF(AND('Bonding Program'!$P$20&lt;&gt;"",DA$3='Bonding Program'!$P$20,DA$3&lt;='Bonding Program'!$C$8),N('Bonding Program'!$O$20),0)</f>
        <v>0</v>
      </c>
      <c r="DB161" s="19" t="n">
        <f aca="false">IF(AND('Bonding Program'!$S$20=1,'Bonding Program'!$H$20&gt;'Bonding Program'!$C$8,DB$3='Bonding Program'!$H$20),'Bonding Program'!$T$20-'Bonding Program'!$U$20-'Bonding Program'!$Z$20,0)-IF(AND('Bonding Program'!$S$20=1,'Bonding Program'!$H$20&lt;='Bonding Program'!$C$8,DB$3=IF('Bonding Program'!$P$20&lt;&gt;"",'Bonding Program'!$P$20,'Bonding Program'!$C$8)),'Bonding Program'!$Z$20,0)+IF(AND('Bonding Program'!$P$20&lt;&gt;"",DB$3='Bonding Program'!$P$20,DB$3&lt;='Bonding Program'!$C$8),N('Bonding Program'!$O$20),0)</f>
        <v>0</v>
      </c>
      <c r="DC161" s="19" t="n">
        <f aca="false">IF(AND('Bonding Program'!$S$20=1,'Bonding Program'!$H$20&gt;'Bonding Program'!$C$8,DC$3='Bonding Program'!$H$20),'Bonding Program'!$T$20-'Bonding Program'!$U$20-'Bonding Program'!$Z$20,0)-IF(AND('Bonding Program'!$S$20=1,'Bonding Program'!$H$20&lt;='Bonding Program'!$C$8,DC$3=IF('Bonding Program'!$P$20&lt;&gt;"",'Bonding Program'!$P$20,'Bonding Program'!$C$8)),'Bonding Program'!$Z$20,0)+IF(AND('Bonding Program'!$P$20&lt;&gt;"",DC$3='Bonding Program'!$P$20,DC$3&lt;='Bonding Program'!$C$8),N('Bonding Program'!$O$20),0)</f>
        <v>0</v>
      </c>
      <c r="DD161" s="19" t="n">
        <f aca="false">IF(AND('Bonding Program'!$S$20=1,'Bonding Program'!$H$20&gt;'Bonding Program'!$C$8,DD$3='Bonding Program'!$H$20),'Bonding Program'!$T$20-'Bonding Program'!$U$20-'Bonding Program'!$Z$20,0)-IF(AND('Bonding Program'!$S$20=1,'Bonding Program'!$H$20&lt;='Bonding Program'!$C$8,DD$3=IF('Bonding Program'!$P$20&lt;&gt;"",'Bonding Program'!$P$20,'Bonding Program'!$C$8)),'Bonding Program'!$Z$20,0)+IF(AND('Bonding Program'!$P$20&lt;&gt;"",DD$3='Bonding Program'!$P$20,DD$3&lt;='Bonding Program'!$C$8),N('Bonding Program'!$O$20),0)</f>
        <v>0</v>
      </c>
      <c r="DE161" s="19" t="n">
        <f aca="false">IF(AND('Bonding Program'!$S$20=1,'Bonding Program'!$H$20&gt;'Bonding Program'!$C$8,DE$3='Bonding Program'!$H$20),'Bonding Program'!$T$20-'Bonding Program'!$U$20-'Bonding Program'!$Z$20,0)-IF(AND('Bonding Program'!$S$20=1,'Bonding Program'!$H$20&lt;='Bonding Program'!$C$8,DE$3=IF('Bonding Program'!$P$20&lt;&gt;"",'Bonding Program'!$P$20,'Bonding Program'!$C$8)),'Bonding Program'!$Z$20,0)+IF(AND('Bonding Program'!$P$20&lt;&gt;"",DE$3='Bonding Program'!$P$20,DE$3&lt;='Bonding Program'!$C$8),N('Bonding Program'!$O$20),0)</f>
        <v>0</v>
      </c>
    </row>
    <row r="162" customFormat="false" ht="15" hidden="false" customHeight="true" outlineLevel="1" collapsed="false">
      <c r="A162" s="28" t="s">
        <v>17</v>
      </c>
      <c r="B162" s="19" t="n">
        <f aca="false">IF(AND('Bonding Program'!$S$21=1,'Bonding Program'!$H$21&gt;'Bonding Program'!$C$8,B$3='Bonding Program'!$H$21),'Bonding Program'!$T$21-'Bonding Program'!$U$21-'Bonding Program'!$Z$21,0)-IF(AND('Bonding Program'!$S$21=1,'Bonding Program'!$H$21&lt;='Bonding Program'!$C$8,B$3=IF('Bonding Program'!$P$21&lt;&gt;"",'Bonding Program'!$P$21,'Bonding Program'!$C$8)),'Bonding Program'!$Z$21,0)+IF(AND('Bonding Program'!$P$21&lt;&gt;"",B$3='Bonding Program'!$P$21,B$3&lt;='Bonding Program'!$C$8),N('Bonding Program'!$O$21),0)</f>
        <v>0</v>
      </c>
      <c r="C162" s="19" t="n">
        <f aca="false">IF(AND('Bonding Program'!$S$21=1,'Bonding Program'!$H$21&gt;'Bonding Program'!$C$8,C$3='Bonding Program'!$H$21),'Bonding Program'!$T$21-'Bonding Program'!$U$21-'Bonding Program'!$Z$21,0)-IF(AND('Bonding Program'!$S$21=1,'Bonding Program'!$H$21&lt;='Bonding Program'!$C$8,C$3=IF('Bonding Program'!$P$21&lt;&gt;"",'Bonding Program'!$P$21,'Bonding Program'!$C$8)),'Bonding Program'!$Z$21,0)+IF(AND('Bonding Program'!$P$21&lt;&gt;"",C$3='Bonding Program'!$P$21,C$3&lt;='Bonding Program'!$C$8),N('Bonding Program'!$O$21),0)</f>
        <v>0</v>
      </c>
      <c r="D162" s="19" t="n">
        <f aca="false">IF(AND('Bonding Program'!$S$21=1,'Bonding Program'!$H$21&gt;'Bonding Program'!$C$8,D$3='Bonding Program'!$H$21),'Bonding Program'!$T$21-'Bonding Program'!$U$21-'Bonding Program'!$Z$21,0)-IF(AND('Bonding Program'!$S$21=1,'Bonding Program'!$H$21&lt;='Bonding Program'!$C$8,D$3=IF('Bonding Program'!$P$21&lt;&gt;"",'Bonding Program'!$P$21,'Bonding Program'!$C$8)),'Bonding Program'!$Z$21,0)+IF(AND('Bonding Program'!$P$21&lt;&gt;"",D$3='Bonding Program'!$P$21,D$3&lt;='Bonding Program'!$C$8),N('Bonding Program'!$O$21),0)</f>
        <v>0</v>
      </c>
      <c r="E162" s="19" t="n">
        <f aca="false">IF(AND('Bonding Program'!$S$21=1,'Bonding Program'!$H$21&gt;'Bonding Program'!$C$8,E$3='Bonding Program'!$H$21),'Bonding Program'!$T$21-'Bonding Program'!$U$21-'Bonding Program'!$Z$21,0)-IF(AND('Bonding Program'!$S$21=1,'Bonding Program'!$H$21&lt;='Bonding Program'!$C$8,E$3=IF('Bonding Program'!$P$21&lt;&gt;"",'Bonding Program'!$P$21,'Bonding Program'!$C$8)),'Bonding Program'!$Z$21,0)+IF(AND('Bonding Program'!$P$21&lt;&gt;"",E$3='Bonding Program'!$P$21,E$3&lt;='Bonding Program'!$C$8),N('Bonding Program'!$O$21),0)</f>
        <v>0</v>
      </c>
      <c r="F162" s="19" t="n">
        <f aca="false">IF(AND('Bonding Program'!$S$21=1,'Bonding Program'!$H$21&gt;'Bonding Program'!$C$8,F$3='Bonding Program'!$H$21),'Bonding Program'!$T$21-'Bonding Program'!$U$21-'Bonding Program'!$Z$21,0)-IF(AND('Bonding Program'!$S$21=1,'Bonding Program'!$H$21&lt;='Bonding Program'!$C$8,F$3=IF('Bonding Program'!$P$21&lt;&gt;"",'Bonding Program'!$P$21,'Bonding Program'!$C$8)),'Bonding Program'!$Z$21,0)+IF(AND('Bonding Program'!$P$21&lt;&gt;"",F$3='Bonding Program'!$P$21,F$3&lt;='Bonding Program'!$C$8),N('Bonding Program'!$O$21),0)</f>
        <v>0</v>
      </c>
      <c r="G162" s="19" t="n">
        <f aca="false">IF(AND('Bonding Program'!$S$21=1,'Bonding Program'!$H$21&gt;'Bonding Program'!$C$8,G$3='Bonding Program'!$H$21),'Bonding Program'!$T$21-'Bonding Program'!$U$21-'Bonding Program'!$Z$21,0)-IF(AND('Bonding Program'!$S$21=1,'Bonding Program'!$H$21&lt;='Bonding Program'!$C$8,G$3=IF('Bonding Program'!$P$21&lt;&gt;"",'Bonding Program'!$P$21,'Bonding Program'!$C$8)),'Bonding Program'!$Z$21,0)+IF(AND('Bonding Program'!$P$21&lt;&gt;"",G$3='Bonding Program'!$P$21,G$3&lt;='Bonding Program'!$C$8),N('Bonding Program'!$O$21),0)</f>
        <v>0</v>
      </c>
      <c r="H162" s="19" t="n">
        <f aca="false">IF(AND('Bonding Program'!$S$21=1,'Bonding Program'!$H$21&gt;'Bonding Program'!$C$8,H$3='Bonding Program'!$H$21),'Bonding Program'!$T$21-'Bonding Program'!$U$21-'Bonding Program'!$Z$21,0)-IF(AND('Bonding Program'!$S$21=1,'Bonding Program'!$H$21&lt;='Bonding Program'!$C$8,H$3=IF('Bonding Program'!$P$21&lt;&gt;"",'Bonding Program'!$P$21,'Bonding Program'!$C$8)),'Bonding Program'!$Z$21,0)+IF(AND('Bonding Program'!$P$21&lt;&gt;"",H$3='Bonding Program'!$P$21,H$3&lt;='Bonding Program'!$C$8),N('Bonding Program'!$O$21),0)</f>
        <v>0</v>
      </c>
      <c r="I162" s="19" t="n">
        <f aca="false">IF(AND('Bonding Program'!$S$21=1,'Bonding Program'!$H$21&gt;'Bonding Program'!$C$8,I$3='Bonding Program'!$H$21),'Bonding Program'!$T$21-'Bonding Program'!$U$21-'Bonding Program'!$Z$21,0)-IF(AND('Bonding Program'!$S$21=1,'Bonding Program'!$H$21&lt;='Bonding Program'!$C$8,I$3=IF('Bonding Program'!$P$21&lt;&gt;"",'Bonding Program'!$P$21,'Bonding Program'!$C$8)),'Bonding Program'!$Z$21,0)+IF(AND('Bonding Program'!$P$21&lt;&gt;"",I$3='Bonding Program'!$P$21,I$3&lt;='Bonding Program'!$C$8),N('Bonding Program'!$O$21),0)</f>
        <v>0</v>
      </c>
      <c r="J162" s="19" t="n">
        <f aca="false">IF(AND('Bonding Program'!$S$21=1,'Bonding Program'!$H$21&gt;'Bonding Program'!$C$8,J$3='Bonding Program'!$H$21),'Bonding Program'!$T$21-'Bonding Program'!$U$21-'Bonding Program'!$Z$21,0)-IF(AND('Bonding Program'!$S$21=1,'Bonding Program'!$H$21&lt;='Bonding Program'!$C$8,J$3=IF('Bonding Program'!$P$21&lt;&gt;"",'Bonding Program'!$P$21,'Bonding Program'!$C$8)),'Bonding Program'!$Z$21,0)+IF(AND('Bonding Program'!$P$21&lt;&gt;"",J$3='Bonding Program'!$P$21,J$3&lt;='Bonding Program'!$C$8),N('Bonding Program'!$O$21),0)</f>
        <v>0</v>
      </c>
      <c r="K162" s="19" t="n">
        <f aca="false">IF(AND('Bonding Program'!$S$21=1,'Bonding Program'!$H$21&gt;'Bonding Program'!$C$8,K$3='Bonding Program'!$H$21),'Bonding Program'!$T$21-'Bonding Program'!$U$21-'Bonding Program'!$Z$21,0)-IF(AND('Bonding Program'!$S$21=1,'Bonding Program'!$H$21&lt;='Bonding Program'!$C$8,K$3=IF('Bonding Program'!$P$21&lt;&gt;"",'Bonding Program'!$P$21,'Bonding Program'!$C$8)),'Bonding Program'!$Z$21,0)+IF(AND('Bonding Program'!$P$21&lt;&gt;"",K$3='Bonding Program'!$P$21,K$3&lt;='Bonding Program'!$C$8),N('Bonding Program'!$O$21),0)</f>
        <v>0</v>
      </c>
      <c r="L162" s="19" t="n">
        <f aca="false">IF(AND('Bonding Program'!$S$21=1,'Bonding Program'!$H$21&gt;'Bonding Program'!$C$8,L$3='Bonding Program'!$H$21),'Bonding Program'!$T$21-'Bonding Program'!$U$21-'Bonding Program'!$Z$21,0)-IF(AND('Bonding Program'!$S$21=1,'Bonding Program'!$H$21&lt;='Bonding Program'!$C$8,L$3=IF('Bonding Program'!$P$21&lt;&gt;"",'Bonding Program'!$P$21,'Bonding Program'!$C$8)),'Bonding Program'!$Z$21,0)+IF(AND('Bonding Program'!$P$21&lt;&gt;"",L$3='Bonding Program'!$P$21,L$3&lt;='Bonding Program'!$C$8),N('Bonding Program'!$O$21),0)</f>
        <v>0</v>
      </c>
      <c r="M162" s="19" t="n">
        <f aca="false">IF(AND('Bonding Program'!$S$21=1,'Bonding Program'!$H$21&gt;'Bonding Program'!$C$8,M$3='Bonding Program'!$H$21),'Bonding Program'!$T$21-'Bonding Program'!$U$21-'Bonding Program'!$Z$21,0)-IF(AND('Bonding Program'!$S$21=1,'Bonding Program'!$H$21&lt;='Bonding Program'!$C$8,M$3=IF('Bonding Program'!$P$21&lt;&gt;"",'Bonding Program'!$P$21,'Bonding Program'!$C$8)),'Bonding Program'!$Z$21,0)+IF(AND('Bonding Program'!$P$21&lt;&gt;"",M$3='Bonding Program'!$P$21,M$3&lt;='Bonding Program'!$C$8),N('Bonding Program'!$O$21),0)</f>
        <v>0</v>
      </c>
      <c r="N162" s="19" t="n">
        <f aca="false">IF(AND('Bonding Program'!$S$21=1,'Bonding Program'!$H$21&gt;'Bonding Program'!$C$8,N$3='Bonding Program'!$H$21),'Bonding Program'!$T$21-'Bonding Program'!$U$21-'Bonding Program'!$Z$21,0)-IF(AND('Bonding Program'!$S$21=1,'Bonding Program'!$H$21&lt;='Bonding Program'!$C$8,N$3=IF('Bonding Program'!$P$21&lt;&gt;"",'Bonding Program'!$P$21,'Bonding Program'!$C$8)),'Bonding Program'!$Z$21,0)+IF(AND('Bonding Program'!$P$21&lt;&gt;"",N$3='Bonding Program'!$P$21,N$3&lt;='Bonding Program'!$C$8),N('Bonding Program'!$O$21),0)</f>
        <v>0</v>
      </c>
      <c r="O162" s="19" t="n">
        <f aca="false">IF(AND('Bonding Program'!$S$21=1,'Bonding Program'!$H$21&gt;'Bonding Program'!$C$8,O$3='Bonding Program'!$H$21),'Bonding Program'!$T$21-'Bonding Program'!$U$21-'Bonding Program'!$Z$21,0)-IF(AND('Bonding Program'!$S$21=1,'Bonding Program'!$H$21&lt;='Bonding Program'!$C$8,O$3=IF('Bonding Program'!$P$21&lt;&gt;"",'Bonding Program'!$P$21,'Bonding Program'!$C$8)),'Bonding Program'!$Z$21,0)+IF(AND('Bonding Program'!$P$21&lt;&gt;"",O$3='Bonding Program'!$P$21,O$3&lt;='Bonding Program'!$C$8),N('Bonding Program'!$O$21),0)</f>
        <v>0</v>
      </c>
      <c r="P162" s="19" t="n">
        <f aca="false">IF(AND('Bonding Program'!$S$21=1,'Bonding Program'!$H$21&gt;'Bonding Program'!$C$8,P$3='Bonding Program'!$H$21),'Bonding Program'!$T$21-'Bonding Program'!$U$21-'Bonding Program'!$Z$21,0)-IF(AND('Bonding Program'!$S$21=1,'Bonding Program'!$H$21&lt;='Bonding Program'!$C$8,P$3=IF('Bonding Program'!$P$21&lt;&gt;"",'Bonding Program'!$P$21,'Bonding Program'!$C$8)),'Bonding Program'!$Z$21,0)+IF(AND('Bonding Program'!$P$21&lt;&gt;"",P$3='Bonding Program'!$P$21,P$3&lt;='Bonding Program'!$C$8),N('Bonding Program'!$O$21),0)</f>
        <v>0</v>
      </c>
      <c r="Q162" s="19" t="n">
        <f aca="false">IF(AND('Bonding Program'!$S$21=1,'Bonding Program'!$H$21&gt;'Bonding Program'!$C$8,Q$3='Bonding Program'!$H$21),'Bonding Program'!$T$21-'Bonding Program'!$U$21-'Bonding Program'!$Z$21,0)-IF(AND('Bonding Program'!$S$21=1,'Bonding Program'!$H$21&lt;='Bonding Program'!$C$8,Q$3=IF('Bonding Program'!$P$21&lt;&gt;"",'Bonding Program'!$P$21,'Bonding Program'!$C$8)),'Bonding Program'!$Z$21,0)+IF(AND('Bonding Program'!$P$21&lt;&gt;"",Q$3='Bonding Program'!$P$21,Q$3&lt;='Bonding Program'!$C$8),N('Bonding Program'!$O$21),0)</f>
        <v>0</v>
      </c>
      <c r="R162" s="19" t="n">
        <f aca="false">IF(AND('Bonding Program'!$S$21=1,'Bonding Program'!$H$21&gt;'Bonding Program'!$C$8,R$3='Bonding Program'!$H$21),'Bonding Program'!$T$21-'Bonding Program'!$U$21-'Bonding Program'!$Z$21,0)-IF(AND('Bonding Program'!$S$21=1,'Bonding Program'!$H$21&lt;='Bonding Program'!$C$8,R$3=IF('Bonding Program'!$P$21&lt;&gt;"",'Bonding Program'!$P$21,'Bonding Program'!$C$8)),'Bonding Program'!$Z$21,0)+IF(AND('Bonding Program'!$P$21&lt;&gt;"",R$3='Bonding Program'!$P$21,R$3&lt;='Bonding Program'!$C$8),N('Bonding Program'!$O$21),0)</f>
        <v>0</v>
      </c>
      <c r="S162" s="19" t="n">
        <f aca="false">IF(AND('Bonding Program'!$S$21=1,'Bonding Program'!$H$21&gt;'Bonding Program'!$C$8,S$3='Bonding Program'!$H$21),'Bonding Program'!$T$21-'Bonding Program'!$U$21-'Bonding Program'!$Z$21,0)-IF(AND('Bonding Program'!$S$21=1,'Bonding Program'!$H$21&lt;='Bonding Program'!$C$8,S$3=IF('Bonding Program'!$P$21&lt;&gt;"",'Bonding Program'!$P$21,'Bonding Program'!$C$8)),'Bonding Program'!$Z$21,0)+IF(AND('Bonding Program'!$P$21&lt;&gt;"",S$3='Bonding Program'!$P$21,S$3&lt;='Bonding Program'!$C$8),N('Bonding Program'!$O$21),0)</f>
        <v>0</v>
      </c>
      <c r="T162" s="19" t="n">
        <f aca="false">IF(AND('Bonding Program'!$S$21=1,'Bonding Program'!$H$21&gt;'Bonding Program'!$C$8,T$3='Bonding Program'!$H$21),'Bonding Program'!$T$21-'Bonding Program'!$U$21-'Bonding Program'!$Z$21,0)-IF(AND('Bonding Program'!$S$21=1,'Bonding Program'!$H$21&lt;='Bonding Program'!$C$8,T$3=IF('Bonding Program'!$P$21&lt;&gt;"",'Bonding Program'!$P$21,'Bonding Program'!$C$8)),'Bonding Program'!$Z$21,0)+IF(AND('Bonding Program'!$P$21&lt;&gt;"",T$3='Bonding Program'!$P$21,T$3&lt;='Bonding Program'!$C$8),N('Bonding Program'!$O$21),0)</f>
        <v>0</v>
      </c>
      <c r="U162" s="19" t="n">
        <f aca="false">IF(AND('Bonding Program'!$S$21=1,'Bonding Program'!$H$21&gt;'Bonding Program'!$C$8,U$3='Bonding Program'!$H$21),'Bonding Program'!$T$21-'Bonding Program'!$U$21-'Bonding Program'!$Z$21,0)-IF(AND('Bonding Program'!$S$21=1,'Bonding Program'!$H$21&lt;='Bonding Program'!$C$8,U$3=IF('Bonding Program'!$P$21&lt;&gt;"",'Bonding Program'!$P$21,'Bonding Program'!$C$8)),'Bonding Program'!$Z$21,0)+IF(AND('Bonding Program'!$P$21&lt;&gt;"",U$3='Bonding Program'!$P$21,U$3&lt;='Bonding Program'!$C$8),N('Bonding Program'!$O$21),0)</f>
        <v>0</v>
      </c>
      <c r="V162" s="19" t="n">
        <f aca="false">IF(AND('Bonding Program'!$S$21=1,'Bonding Program'!$H$21&gt;'Bonding Program'!$C$8,V$3='Bonding Program'!$H$21),'Bonding Program'!$T$21-'Bonding Program'!$U$21-'Bonding Program'!$Z$21,0)-IF(AND('Bonding Program'!$S$21=1,'Bonding Program'!$H$21&lt;='Bonding Program'!$C$8,V$3=IF('Bonding Program'!$P$21&lt;&gt;"",'Bonding Program'!$P$21,'Bonding Program'!$C$8)),'Bonding Program'!$Z$21,0)+IF(AND('Bonding Program'!$P$21&lt;&gt;"",V$3='Bonding Program'!$P$21,V$3&lt;='Bonding Program'!$C$8),N('Bonding Program'!$O$21),0)</f>
        <v>0</v>
      </c>
      <c r="W162" s="19" t="n">
        <f aca="false">IF(AND('Bonding Program'!$S$21=1,'Bonding Program'!$H$21&gt;'Bonding Program'!$C$8,W$3='Bonding Program'!$H$21),'Bonding Program'!$T$21-'Bonding Program'!$U$21-'Bonding Program'!$Z$21,0)-IF(AND('Bonding Program'!$S$21=1,'Bonding Program'!$H$21&lt;='Bonding Program'!$C$8,W$3=IF('Bonding Program'!$P$21&lt;&gt;"",'Bonding Program'!$P$21,'Bonding Program'!$C$8)),'Bonding Program'!$Z$21,0)+IF(AND('Bonding Program'!$P$21&lt;&gt;"",W$3='Bonding Program'!$P$21,W$3&lt;='Bonding Program'!$C$8),N('Bonding Program'!$O$21),0)</f>
        <v>0</v>
      </c>
      <c r="X162" s="19" t="n">
        <f aca="false">IF(AND('Bonding Program'!$S$21=1,'Bonding Program'!$H$21&gt;'Bonding Program'!$C$8,X$3='Bonding Program'!$H$21),'Bonding Program'!$T$21-'Bonding Program'!$U$21-'Bonding Program'!$Z$21,0)-IF(AND('Bonding Program'!$S$21=1,'Bonding Program'!$H$21&lt;='Bonding Program'!$C$8,X$3=IF('Bonding Program'!$P$21&lt;&gt;"",'Bonding Program'!$P$21,'Bonding Program'!$C$8)),'Bonding Program'!$Z$21,0)+IF(AND('Bonding Program'!$P$21&lt;&gt;"",X$3='Bonding Program'!$P$21,X$3&lt;='Bonding Program'!$C$8),N('Bonding Program'!$O$21),0)</f>
        <v>0</v>
      </c>
      <c r="Y162" s="19" t="n">
        <f aca="false">IF(AND('Bonding Program'!$S$21=1,'Bonding Program'!$H$21&gt;'Bonding Program'!$C$8,Y$3='Bonding Program'!$H$21),'Bonding Program'!$T$21-'Bonding Program'!$U$21-'Bonding Program'!$Z$21,0)-IF(AND('Bonding Program'!$S$21=1,'Bonding Program'!$H$21&lt;='Bonding Program'!$C$8,Y$3=IF('Bonding Program'!$P$21&lt;&gt;"",'Bonding Program'!$P$21,'Bonding Program'!$C$8)),'Bonding Program'!$Z$21,0)+IF(AND('Bonding Program'!$P$21&lt;&gt;"",Y$3='Bonding Program'!$P$21,Y$3&lt;='Bonding Program'!$C$8),N('Bonding Program'!$O$21),0)</f>
        <v>0</v>
      </c>
      <c r="Z162" s="19" t="n">
        <f aca="false">IF(AND('Bonding Program'!$S$21=1,'Bonding Program'!$H$21&gt;'Bonding Program'!$C$8,Z$3='Bonding Program'!$H$21),'Bonding Program'!$T$21-'Bonding Program'!$U$21-'Bonding Program'!$Z$21,0)-IF(AND('Bonding Program'!$S$21=1,'Bonding Program'!$H$21&lt;='Bonding Program'!$C$8,Z$3=IF('Bonding Program'!$P$21&lt;&gt;"",'Bonding Program'!$P$21,'Bonding Program'!$C$8)),'Bonding Program'!$Z$21,0)+IF(AND('Bonding Program'!$P$21&lt;&gt;"",Z$3='Bonding Program'!$P$21,Z$3&lt;='Bonding Program'!$C$8),N('Bonding Program'!$O$21),0)</f>
        <v>0</v>
      </c>
      <c r="AA162" s="19" t="n">
        <f aca="false">IF(AND('Bonding Program'!$S$21=1,'Bonding Program'!$H$21&gt;'Bonding Program'!$C$8,AA$3='Bonding Program'!$H$21),'Bonding Program'!$T$21-'Bonding Program'!$U$21-'Bonding Program'!$Z$21,0)-IF(AND('Bonding Program'!$S$21=1,'Bonding Program'!$H$21&lt;='Bonding Program'!$C$8,AA$3=IF('Bonding Program'!$P$21&lt;&gt;"",'Bonding Program'!$P$21,'Bonding Program'!$C$8)),'Bonding Program'!$Z$21,0)+IF(AND('Bonding Program'!$P$21&lt;&gt;"",AA$3='Bonding Program'!$P$21,AA$3&lt;='Bonding Program'!$C$8),N('Bonding Program'!$O$21),0)</f>
        <v>0</v>
      </c>
      <c r="AB162" s="19" t="n">
        <f aca="false">IF(AND('Bonding Program'!$S$21=1,'Bonding Program'!$H$21&gt;'Bonding Program'!$C$8,AB$3='Bonding Program'!$H$21),'Bonding Program'!$T$21-'Bonding Program'!$U$21-'Bonding Program'!$Z$21,0)-IF(AND('Bonding Program'!$S$21=1,'Bonding Program'!$H$21&lt;='Bonding Program'!$C$8,AB$3=IF('Bonding Program'!$P$21&lt;&gt;"",'Bonding Program'!$P$21,'Bonding Program'!$C$8)),'Bonding Program'!$Z$21,0)+IF(AND('Bonding Program'!$P$21&lt;&gt;"",AB$3='Bonding Program'!$P$21,AB$3&lt;='Bonding Program'!$C$8),N('Bonding Program'!$O$21),0)</f>
        <v>0</v>
      </c>
      <c r="AC162" s="19" t="n">
        <f aca="false">IF(AND('Bonding Program'!$S$21=1,'Bonding Program'!$H$21&gt;'Bonding Program'!$C$8,AC$3='Bonding Program'!$H$21),'Bonding Program'!$T$21-'Bonding Program'!$U$21-'Bonding Program'!$Z$21,0)-IF(AND('Bonding Program'!$S$21=1,'Bonding Program'!$H$21&lt;='Bonding Program'!$C$8,AC$3=IF('Bonding Program'!$P$21&lt;&gt;"",'Bonding Program'!$P$21,'Bonding Program'!$C$8)),'Bonding Program'!$Z$21,0)+IF(AND('Bonding Program'!$P$21&lt;&gt;"",AC$3='Bonding Program'!$P$21,AC$3&lt;='Bonding Program'!$C$8),N('Bonding Program'!$O$21),0)</f>
        <v>0</v>
      </c>
      <c r="AD162" s="19" t="n">
        <f aca="false">IF(AND('Bonding Program'!$S$21=1,'Bonding Program'!$H$21&gt;'Bonding Program'!$C$8,AD$3='Bonding Program'!$H$21),'Bonding Program'!$T$21-'Bonding Program'!$U$21-'Bonding Program'!$Z$21,0)-IF(AND('Bonding Program'!$S$21=1,'Bonding Program'!$H$21&lt;='Bonding Program'!$C$8,AD$3=IF('Bonding Program'!$P$21&lt;&gt;"",'Bonding Program'!$P$21,'Bonding Program'!$C$8)),'Bonding Program'!$Z$21,0)+IF(AND('Bonding Program'!$P$21&lt;&gt;"",AD$3='Bonding Program'!$P$21,AD$3&lt;='Bonding Program'!$C$8),N('Bonding Program'!$O$21),0)</f>
        <v>0</v>
      </c>
      <c r="AE162" s="19" t="n">
        <f aca="false">IF(AND('Bonding Program'!$S$21=1,'Bonding Program'!$H$21&gt;'Bonding Program'!$C$8,AE$3='Bonding Program'!$H$21),'Bonding Program'!$T$21-'Bonding Program'!$U$21-'Bonding Program'!$Z$21,0)-IF(AND('Bonding Program'!$S$21=1,'Bonding Program'!$H$21&lt;='Bonding Program'!$C$8,AE$3=IF('Bonding Program'!$P$21&lt;&gt;"",'Bonding Program'!$P$21,'Bonding Program'!$C$8)),'Bonding Program'!$Z$21,0)+IF(AND('Bonding Program'!$P$21&lt;&gt;"",AE$3='Bonding Program'!$P$21,AE$3&lt;='Bonding Program'!$C$8),N('Bonding Program'!$O$21),0)</f>
        <v>0</v>
      </c>
      <c r="AF162" s="19" t="n">
        <f aca="false">IF(AND('Bonding Program'!$S$21=1,'Bonding Program'!$H$21&gt;'Bonding Program'!$C$8,AF$3='Bonding Program'!$H$21),'Bonding Program'!$T$21-'Bonding Program'!$U$21-'Bonding Program'!$Z$21,0)-IF(AND('Bonding Program'!$S$21=1,'Bonding Program'!$H$21&lt;='Bonding Program'!$C$8,AF$3=IF('Bonding Program'!$P$21&lt;&gt;"",'Bonding Program'!$P$21,'Bonding Program'!$C$8)),'Bonding Program'!$Z$21,0)+IF(AND('Bonding Program'!$P$21&lt;&gt;"",AF$3='Bonding Program'!$P$21,AF$3&lt;='Bonding Program'!$C$8),N('Bonding Program'!$O$21),0)</f>
        <v>0</v>
      </c>
      <c r="AG162" s="19" t="n">
        <f aca="false">IF(AND('Bonding Program'!$S$21=1,'Bonding Program'!$H$21&gt;'Bonding Program'!$C$8,AG$3='Bonding Program'!$H$21),'Bonding Program'!$T$21-'Bonding Program'!$U$21-'Bonding Program'!$Z$21,0)-IF(AND('Bonding Program'!$S$21=1,'Bonding Program'!$H$21&lt;='Bonding Program'!$C$8,AG$3=IF('Bonding Program'!$P$21&lt;&gt;"",'Bonding Program'!$P$21,'Bonding Program'!$C$8)),'Bonding Program'!$Z$21,0)+IF(AND('Bonding Program'!$P$21&lt;&gt;"",AG$3='Bonding Program'!$P$21,AG$3&lt;='Bonding Program'!$C$8),N('Bonding Program'!$O$21),0)</f>
        <v>0</v>
      </c>
      <c r="AH162" s="19" t="n">
        <f aca="false">IF(AND('Bonding Program'!$S$21=1,'Bonding Program'!$H$21&gt;'Bonding Program'!$C$8,AH$3='Bonding Program'!$H$21),'Bonding Program'!$T$21-'Bonding Program'!$U$21-'Bonding Program'!$Z$21,0)-IF(AND('Bonding Program'!$S$21=1,'Bonding Program'!$H$21&lt;='Bonding Program'!$C$8,AH$3=IF('Bonding Program'!$P$21&lt;&gt;"",'Bonding Program'!$P$21,'Bonding Program'!$C$8)),'Bonding Program'!$Z$21,0)+IF(AND('Bonding Program'!$P$21&lt;&gt;"",AH$3='Bonding Program'!$P$21,AH$3&lt;='Bonding Program'!$C$8),N('Bonding Program'!$O$21),0)</f>
        <v>0</v>
      </c>
      <c r="AI162" s="19" t="n">
        <f aca="false">IF(AND('Bonding Program'!$S$21=1,'Bonding Program'!$H$21&gt;'Bonding Program'!$C$8,AI$3='Bonding Program'!$H$21),'Bonding Program'!$T$21-'Bonding Program'!$U$21-'Bonding Program'!$Z$21,0)-IF(AND('Bonding Program'!$S$21=1,'Bonding Program'!$H$21&lt;='Bonding Program'!$C$8,AI$3=IF('Bonding Program'!$P$21&lt;&gt;"",'Bonding Program'!$P$21,'Bonding Program'!$C$8)),'Bonding Program'!$Z$21,0)+IF(AND('Bonding Program'!$P$21&lt;&gt;"",AI$3='Bonding Program'!$P$21,AI$3&lt;='Bonding Program'!$C$8),N('Bonding Program'!$O$21),0)</f>
        <v>0</v>
      </c>
      <c r="AJ162" s="19" t="n">
        <f aca="false">IF(AND('Bonding Program'!$S$21=1,'Bonding Program'!$H$21&gt;'Bonding Program'!$C$8,AJ$3='Bonding Program'!$H$21),'Bonding Program'!$T$21-'Bonding Program'!$U$21-'Bonding Program'!$Z$21,0)-IF(AND('Bonding Program'!$S$21=1,'Bonding Program'!$H$21&lt;='Bonding Program'!$C$8,AJ$3=IF('Bonding Program'!$P$21&lt;&gt;"",'Bonding Program'!$P$21,'Bonding Program'!$C$8)),'Bonding Program'!$Z$21,0)+IF(AND('Bonding Program'!$P$21&lt;&gt;"",AJ$3='Bonding Program'!$P$21,AJ$3&lt;='Bonding Program'!$C$8),N('Bonding Program'!$O$21),0)</f>
        <v>0</v>
      </c>
      <c r="AK162" s="19" t="n">
        <f aca="false">IF(AND('Bonding Program'!$S$21=1,'Bonding Program'!$H$21&gt;'Bonding Program'!$C$8,AK$3='Bonding Program'!$H$21),'Bonding Program'!$T$21-'Bonding Program'!$U$21-'Bonding Program'!$Z$21,0)-IF(AND('Bonding Program'!$S$21=1,'Bonding Program'!$H$21&lt;='Bonding Program'!$C$8,AK$3=IF('Bonding Program'!$P$21&lt;&gt;"",'Bonding Program'!$P$21,'Bonding Program'!$C$8)),'Bonding Program'!$Z$21,0)+IF(AND('Bonding Program'!$P$21&lt;&gt;"",AK$3='Bonding Program'!$P$21,AK$3&lt;='Bonding Program'!$C$8),N('Bonding Program'!$O$21),0)</f>
        <v>0</v>
      </c>
      <c r="AL162" s="19" t="n">
        <f aca="false">IF(AND('Bonding Program'!$S$21=1,'Bonding Program'!$H$21&gt;'Bonding Program'!$C$8,AL$3='Bonding Program'!$H$21),'Bonding Program'!$T$21-'Bonding Program'!$U$21-'Bonding Program'!$Z$21,0)-IF(AND('Bonding Program'!$S$21=1,'Bonding Program'!$H$21&lt;='Bonding Program'!$C$8,AL$3=IF('Bonding Program'!$P$21&lt;&gt;"",'Bonding Program'!$P$21,'Bonding Program'!$C$8)),'Bonding Program'!$Z$21,0)+IF(AND('Bonding Program'!$P$21&lt;&gt;"",AL$3='Bonding Program'!$P$21,AL$3&lt;='Bonding Program'!$C$8),N('Bonding Program'!$O$21),0)</f>
        <v>0</v>
      </c>
      <c r="AM162" s="19" t="n">
        <f aca="false">IF(AND('Bonding Program'!$S$21=1,'Bonding Program'!$H$21&gt;'Bonding Program'!$C$8,AM$3='Bonding Program'!$H$21),'Bonding Program'!$T$21-'Bonding Program'!$U$21-'Bonding Program'!$Z$21,0)-IF(AND('Bonding Program'!$S$21=1,'Bonding Program'!$H$21&lt;='Bonding Program'!$C$8,AM$3=IF('Bonding Program'!$P$21&lt;&gt;"",'Bonding Program'!$P$21,'Bonding Program'!$C$8)),'Bonding Program'!$Z$21,0)+IF(AND('Bonding Program'!$P$21&lt;&gt;"",AM$3='Bonding Program'!$P$21,AM$3&lt;='Bonding Program'!$C$8),N('Bonding Program'!$O$21),0)</f>
        <v>0</v>
      </c>
      <c r="AN162" s="19" t="n">
        <f aca="false">IF(AND('Bonding Program'!$S$21=1,'Bonding Program'!$H$21&gt;'Bonding Program'!$C$8,AN$3='Bonding Program'!$H$21),'Bonding Program'!$T$21-'Bonding Program'!$U$21-'Bonding Program'!$Z$21,0)-IF(AND('Bonding Program'!$S$21=1,'Bonding Program'!$H$21&lt;='Bonding Program'!$C$8,AN$3=IF('Bonding Program'!$P$21&lt;&gt;"",'Bonding Program'!$P$21,'Bonding Program'!$C$8)),'Bonding Program'!$Z$21,0)+IF(AND('Bonding Program'!$P$21&lt;&gt;"",AN$3='Bonding Program'!$P$21,AN$3&lt;='Bonding Program'!$C$8),N('Bonding Program'!$O$21),0)</f>
        <v>0</v>
      </c>
      <c r="AO162" s="19" t="n">
        <f aca="false">IF(AND('Bonding Program'!$S$21=1,'Bonding Program'!$H$21&gt;'Bonding Program'!$C$8,AO$3='Bonding Program'!$H$21),'Bonding Program'!$T$21-'Bonding Program'!$U$21-'Bonding Program'!$Z$21,0)-IF(AND('Bonding Program'!$S$21=1,'Bonding Program'!$H$21&lt;='Bonding Program'!$C$8,AO$3=IF('Bonding Program'!$P$21&lt;&gt;"",'Bonding Program'!$P$21,'Bonding Program'!$C$8)),'Bonding Program'!$Z$21,0)+IF(AND('Bonding Program'!$P$21&lt;&gt;"",AO$3='Bonding Program'!$P$21,AO$3&lt;='Bonding Program'!$C$8),N('Bonding Program'!$O$21),0)</f>
        <v>0</v>
      </c>
      <c r="AP162" s="19" t="n">
        <f aca="false">IF(AND('Bonding Program'!$S$21=1,'Bonding Program'!$H$21&gt;'Bonding Program'!$C$8,AP$3='Bonding Program'!$H$21),'Bonding Program'!$T$21-'Bonding Program'!$U$21-'Bonding Program'!$Z$21,0)-IF(AND('Bonding Program'!$S$21=1,'Bonding Program'!$H$21&lt;='Bonding Program'!$C$8,AP$3=IF('Bonding Program'!$P$21&lt;&gt;"",'Bonding Program'!$P$21,'Bonding Program'!$C$8)),'Bonding Program'!$Z$21,0)+IF(AND('Bonding Program'!$P$21&lt;&gt;"",AP$3='Bonding Program'!$P$21,AP$3&lt;='Bonding Program'!$C$8),N('Bonding Program'!$O$21),0)</f>
        <v>0</v>
      </c>
      <c r="AQ162" s="19" t="n">
        <f aca="false">IF(AND('Bonding Program'!$S$21=1,'Bonding Program'!$H$21&gt;'Bonding Program'!$C$8,AQ$3='Bonding Program'!$H$21),'Bonding Program'!$T$21-'Bonding Program'!$U$21-'Bonding Program'!$Z$21,0)-IF(AND('Bonding Program'!$S$21=1,'Bonding Program'!$H$21&lt;='Bonding Program'!$C$8,AQ$3=IF('Bonding Program'!$P$21&lt;&gt;"",'Bonding Program'!$P$21,'Bonding Program'!$C$8)),'Bonding Program'!$Z$21,0)+IF(AND('Bonding Program'!$P$21&lt;&gt;"",AQ$3='Bonding Program'!$P$21,AQ$3&lt;='Bonding Program'!$C$8),N('Bonding Program'!$O$21),0)</f>
        <v>0</v>
      </c>
      <c r="AR162" s="19" t="n">
        <f aca="false">IF(AND('Bonding Program'!$S$21=1,'Bonding Program'!$H$21&gt;'Bonding Program'!$C$8,AR$3='Bonding Program'!$H$21),'Bonding Program'!$T$21-'Bonding Program'!$U$21-'Bonding Program'!$Z$21,0)-IF(AND('Bonding Program'!$S$21=1,'Bonding Program'!$H$21&lt;='Bonding Program'!$C$8,AR$3=IF('Bonding Program'!$P$21&lt;&gt;"",'Bonding Program'!$P$21,'Bonding Program'!$C$8)),'Bonding Program'!$Z$21,0)+IF(AND('Bonding Program'!$P$21&lt;&gt;"",AR$3='Bonding Program'!$P$21,AR$3&lt;='Bonding Program'!$C$8),N('Bonding Program'!$O$21),0)</f>
        <v>0</v>
      </c>
      <c r="AS162" s="19" t="n">
        <f aca="false">IF(AND('Bonding Program'!$S$21=1,'Bonding Program'!$H$21&gt;'Bonding Program'!$C$8,AS$3='Bonding Program'!$H$21),'Bonding Program'!$T$21-'Bonding Program'!$U$21-'Bonding Program'!$Z$21,0)-IF(AND('Bonding Program'!$S$21=1,'Bonding Program'!$H$21&lt;='Bonding Program'!$C$8,AS$3=IF('Bonding Program'!$P$21&lt;&gt;"",'Bonding Program'!$P$21,'Bonding Program'!$C$8)),'Bonding Program'!$Z$21,0)+IF(AND('Bonding Program'!$P$21&lt;&gt;"",AS$3='Bonding Program'!$P$21,AS$3&lt;='Bonding Program'!$C$8),N('Bonding Program'!$O$21),0)</f>
        <v>0</v>
      </c>
      <c r="AT162" s="19" t="n">
        <f aca="false">IF(AND('Bonding Program'!$S$21=1,'Bonding Program'!$H$21&gt;'Bonding Program'!$C$8,AT$3='Bonding Program'!$H$21),'Bonding Program'!$T$21-'Bonding Program'!$U$21-'Bonding Program'!$Z$21,0)-IF(AND('Bonding Program'!$S$21=1,'Bonding Program'!$H$21&lt;='Bonding Program'!$C$8,AT$3=IF('Bonding Program'!$P$21&lt;&gt;"",'Bonding Program'!$P$21,'Bonding Program'!$C$8)),'Bonding Program'!$Z$21,0)+IF(AND('Bonding Program'!$P$21&lt;&gt;"",AT$3='Bonding Program'!$P$21,AT$3&lt;='Bonding Program'!$C$8),N('Bonding Program'!$O$21),0)</f>
        <v>0</v>
      </c>
      <c r="AU162" s="19" t="n">
        <f aca="false">IF(AND('Bonding Program'!$S$21=1,'Bonding Program'!$H$21&gt;'Bonding Program'!$C$8,AU$3='Bonding Program'!$H$21),'Bonding Program'!$T$21-'Bonding Program'!$U$21-'Bonding Program'!$Z$21,0)-IF(AND('Bonding Program'!$S$21=1,'Bonding Program'!$H$21&lt;='Bonding Program'!$C$8,AU$3=IF('Bonding Program'!$P$21&lt;&gt;"",'Bonding Program'!$P$21,'Bonding Program'!$C$8)),'Bonding Program'!$Z$21,0)+IF(AND('Bonding Program'!$P$21&lt;&gt;"",AU$3='Bonding Program'!$P$21,AU$3&lt;='Bonding Program'!$C$8),N('Bonding Program'!$O$21),0)</f>
        <v>0</v>
      </c>
      <c r="AV162" s="19" t="n">
        <f aca="false">IF(AND('Bonding Program'!$S$21=1,'Bonding Program'!$H$21&gt;'Bonding Program'!$C$8,AV$3='Bonding Program'!$H$21),'Bonding Program'!$T$21-'Bonding Program'!$U$21-'Bonding Program'!$Z$21,0)-IF(AND('Bonding Program'!$S$21=1,'Bonding Program'!$H$21&lt;='Bonding Program'!$C$8,AV$3=IF('Bonding Program'!$P$21&lt;&gt;"",'Bonding Program'!$P$21,'Bonding Program'!$C$8)),'Bonding Program'!$Z$21,0)+IF(AND('Bonding Program'!$P$21&lt;&gt;"",AV$3='Bonding Program'!$P$21,AV$3&lt;='Bonding Program'!$C$8),N('Bonding Program'!$O$21),0)</f>
        <v>0</v>
      </c>
      <c r="AW162" s="19" t="n">
        <f aca="false">IF(AND('Bonding Program'!$S$21=1,'Bonding Program'!$H$21&gt;'Bonding Program'!$C$8,AW$3='Bonding Program'!$H$21),'Bonding Program'!$T$21-'Bonding Program'!$U$21-'Bonding Program'!$Z$21,0)-IF(AND('Bonding Program'!$S$21=1,'Bonding Program'!$H$21&lt;='Bonding Program'!$C$8,AW$3=IF('Bonding Program'!$P$21&lt;&gt;"",'Bonding Program'!$P$21,'Bonding Program'!$C$8)),'Bonding Program'!$Z$21,0)+IF(AND('Bonding Program'!$P$21&lt;&gt;"",AW$3='Bonding Program'!$P$21,AW$3&lt;='Bonding Program'!$C$8),N('Bonding Program'!$O$21),0)</f>
        <v>0</v>
      </c>
      <c r="AX162" s="19" t="n">
        <f aca="false">IF(AND('Bonding Program'!$S$21=1,'Bonding Program'!$H$21&gt;'Bonding Program'!$C$8,AX$3='Bonding Program'!$H$21),'Bonding Program'!$T$21-'Bonding Program'!$U$21-'Bonding Program'!$Z$21,0)-IF(AND('Bonding Program'!$S$21=1,'Bonding Program'!$H$21&lt;='Bonding Program'!$C$8,AX$3=IF('Bonding Program'!$P$21&lt;&gt;"",'Bonding Program'!$P$21,'Bonding Program'!$C$8)),'Bonding Program'!$Z$21,0)+IF(AND('Bonding Program'!$P$21&lt;&gt;"",AX$3='Bonding Program'!$P$21,AX$3&lt;='Bonding Program'!$C$8),N('Bonding Program'!$O$21),0)</f>
        <v>0</v>
      </c>
      <c r="AY162" s="19" t="n">
        <f aca="false">IF(AND('Bonding Program'!$S$21=1,'Bonding Program'!$H$21&gt;'Bonding Program'!$C$8,AY$3='Bonding Program'!$H$21),'Bonding Program'!$T$21-'Bonding Program'!$U$21-'Bonding Program'!$Z$21,0)-IF(AND('Bonding Program'!$S$21=1,'Bonding Program'!$H$21&lt;='Bonding Program'!$C$8,AY$3=IF('Bonding Program'!$P$21&lt;&gt;"",'Bonding Program'!$P$21,'Bonding Program'!$C$8)),'Bonding Program'!$Z$21,0)+IF(AND('Bonding Program'!$P$21&lt;&gt;"",AY$3='Bonding Program'!$P$21,AY$3&lt;='Bonding Program'!$C$8),N('Bonding Program'!$O$21),0)</f>
        <v>0</v>
      </c>
      <c r="AZ162" s="19" t="n">
        <f aca="false">IF(AND('Bonding Program'!$S$21=1,'Bonding Program'!$H$21&gt;'Bonding Program'!$C$8,AZ$3='Bonding Program'!$H$21),'Bonding Program'!$T$21-'Bonding Program'!$U$21-'Bonding Program'!$Z$21,0)-IF(AND('Bonding Program'!$S$21=1,'Bonding Program'!$H$21&lt;='Bonding Program'!$C$8,AZ$3=IF('Bonding Program'!$P$21&lt;&gt;"",'Bonding Program'!$P$21,'Bonding Program'!$C$8)),'Bonding Program'!$Z$21,0)+IF(AND('Bonding Program'!$P$21&lt;&gt;"",AZ$3='Bonding Program'!$P$21,AZ$3&lt;='Bonding Program'!$C$8),N('Bonding Program'!$O$21),0)</f>
        <v>0</v>
      </c>
      <c r="BA162" s="19" t="n">
        <f aca="false">IF(AND('Bonding Program'!$S$21=1,'Bonding Program'!$H$21&gt;'Bonding Program'!$C$8,BA$3='Bonding Program'!$H$21),'Bonding Program'!$T$21-'Bonding Program'!$U$21-'Bonding Program'!$Z$21,0)-IF(AND('Bonding Program'!$S$21=1,'Bonding Program'!$H$21&lt;='Bonding Program'!$C$8,BA$3=IF('Bonding Program'!$P$21&lt;&gt;"",'Bonding Program'!$P$21,'Bonding Program'!$C$8)),'Bonding Program'!$Z$21,0)+IF(AND('Bonding Program'!$P$21&lt;&gt;"",BA$3='Bonding Program'!$P$21,BA$3&lt;='Bonding Program'!$C$8),N('Bonding Program'!$O$21),0)</f>
        <v>0</v>
      </c>
      <c r="BB162" s="19" t="n">
        <f aca="false">IF(AND('Bonding Program'!$S$21=1,'Bonding Program'!$H$21&gt;'Bonding Program'!$C$8,BB$3='Bonding Program'!$H$21),'Bonding Program'!$T$21-'Bonding Program'!$U$21-'Bonding Program'!$Z$21,0)-IF(AND('Bonding Program'!$S$21=1,'Bonding Program'!$H$21&lt;='Bonding Program'!$C$8,BB$3=IF('Bonding Program'!$P$21&lt;&gt;"",'Bonding Program'!$P$21,'Bonding Program'!$C$8)),'Bonding Program'!$Z$21,0)+IF(AND('Bonding Program'!$P$21&lt;&gt;"",BB$3='Bonding Program'!$P$21,BB$3&lt;='Bonding Program'!$C$8),N('Bonding Program'!$O$21),0)</f>
        <v>0</v>
      </c>
      <c r="BC162" s="19" t="n">
        <f aca="false">IF(AND('Bonding Program'!$S$21=1,'Bonding Program'!$H$21&gt;'Bonding Program'!$C$8,BC$3='Bonding Program'!$H$21),'Bonding Program'!$T$21-'Bonding Program'!$U$21-'Bonding Program'!$Z$21,0)-IF(AND('Bonding Program'!$S$21=1,'Bonding Program'!$H$21&lt;='Bonding Program'!$C$8,BC$3=IF('Bonding Program'!$P$21&lt;&gt;"",'Bonding Program'!$P$21,'Bonding Program'!$C$8)),'Bonding Program'!$Z$21,0)+IF(AND('Bonding Program'!$P$21&lt;&gt;"",BC$3='Bonding Program'!$P$21,BC$3&lt;='Bonding Program'!$C$8),N('Bonding Program'!$O$21),0)</f>
        <v>0</v>
      </c>
      <c r="BD162" s="19" t="n">
        <f aca="false">IF(AND('Bonding Program'!$S$21=1,'Bonding Program'!$H$21&gt;'Bonding Program'!$C$8,BD$3='Bonding Program'!$H$21),'Bonding Program'!$T$21-'Bonding Program'!$U$21-'Bonding Program'!$Z$21,0)-IF(AND('Bonding Program'!$S$21=1,'Bonding Program'!$H$21&lt;='Bonding Program'!$C$8,BD$3=IF('Bonding Program'!$P$21&lt;&gt;"",'Bonding Program'!$P$21,'Bonding Program'!$C$8)),'Bonding Program'!$Z$21,0)+IF(AND('Bonding Program'!$P$21&lt;&gt;"",BD$3='Bonding Program'!$P$21,BD$3&lt;='Bonding Program'!$C$8),N('Bonding Program'!$O$21),0)</f>
        <v>0</v>
      </c>
      <c r="BE162" s="19" t="n">
        <f aca="false">IF(AND('Bonding Program'!$S$21=1,'Bonding Program'!$H$21&gt;'Bonding Program'!$C$8,BE$3='Bonding Program'!$H$21),'Bonding Program'!$T$21-'Bonding Program'!$U$21-'Bonding Program'!$Z$21,0)-IF(AND('Bonding Program'!$S$21=1,'Bonding Program'!$H$21&lt;='Bonding Program'!$C$8,BE$3=IF('Bonding Program'!$P$21&lt;&gt;"",'Bonding Program'!$P$21,'Bonding Program'!$C$8)),'Bonding Program'!$Z$21,0)+IF(AND('Bonding Program'!$P$21&lt;&gt;"",BE$3='Bonding Program'!$P$21,BE$3&lt;='Bonding Program'!$C$8),N('Bonding Program'!$O$21),0)</f>
        <v>0</v>
      </c>
      <c r="BF162" s="19" t="n">
        <f aca="false">IF(AND('Bonding Program'!$S$21=1,'Bonding Program'!$H$21&gt;'Bonding Program'!$C$8,BF$3='Bonding Program'!$H$21),'Bonding Program'!$T$21-'Bonding Program'!$U$21-'Bonding Program'!$Z$21,0)-IF(AND('Bonding Program'!$S$21=1,'Bonding Program'!$H$21&lt;='Bonding Program'!$C$8,BF$3=IF('Bonding Program'!$P$21&lt;&gt;"",'Bonding Program'!$P$21,'Bonding Program'!$C$8)),'Bonding Program'!$Z$21,0)+IF(AND('Bonding Program'!$P$21&lt;&gt;"",BF$3='Bonding Program'!$P$21,BF$3&lt;='Bonding Program'!$C$8),N('Bonding Program'!$O$21),0)</f>
        <v>0</v>
      </c>
      <c r="BG162" s="19" t="n">
        <f aca="false">IF(AND('Bonding Program'!$S$21=1,'Bonding Program'!$H$21&gt;'Bonding Program'!$C$8,BG$3='Bonding Program'!$H$21),'Bonding Program'!$T$21-'Bonding Program'!$U$21-'Bonding Program'!$Z$21,0)-IF(AND('Bonding Program'!$S$21=1,'Bonding Program'!$H$21&lt;='Bonding Program'!$C$8,BG$3=IF('Bonding Program'!$P$21&lt;&gt;"",'Bonding Program'!$P$21,'Bonding Program'!$C$8)),'Bonding Program'!$Z$21,0)+IF(AND('Bonding Program'!$P$21&lt;&gt;"",BG$3='Bonding Program'!$P$21,BG$3&lt;='Bonding Program'!$C$8),N('Bonding Program'!$O$21),0)</f>
        <v>0</v>
      </c>
      <c r="BH162" s="19" t="n">
        <f aca="false">IF(AND('Bonding Program'!$S$21=1,'Bonding Program'!$H$21&gt;'Bonding Program'!$C$8,BH$3='Bonding Program'!$H$21),'Bonding Program'!$T$21-'Bonding Program'!$U$21-'Bonding Program'!$Z$21,0)-IF(AND('Bonding Program'!$S$21=1,'Bonding Program'!$H$21&lt;='Bonding Program'!$C$8,BH$3=IF('Bonding Program'!$P$21&lt;&gt;"",'Bonding Program'!$P$21,'Bonding Program'!$C$8)),'Bonding Program'!$Z$21,0)+IF(AND('Bonding Program'!$P$21&lt;&gt;"",BH$3='Bonding Program'!$P$21,BH$3&lt;='Bonding Program'!$C$8),N('Bonding Program'!$O$21),0)</f>
        <v>0</v>
      </c>
      <c r="BI162" s="19" t="n">
        <f aca="false">IF(AND('Bonding Program'!$S$21=1,'Bonding Program'!$H$21&gt;'Bonding Program'!$C$8,BI$3='Bonding Program'!$H$21),'Bonding Program'!$T$21-'Bonding Program'!$U$21-'Bonding Program'!$Z$21,0)-IF(AND('Bonding Program'!$S$21=1,'Bonding Program'!$H$21&lt;='Bonding Program'!$C$8,BI$3=IF('Bonding Program'!$P$21&lt;&gt;"",'Bonding Program'!$P$21,'Bonding Program'!$C$8)),'Bonding Program'!$Z$21,0)+IF(AND('Bonding Program'!$P$21&lt;&gt;"",BI$3='Bonding Program'!$P$21,BI$3&lt;='Bonding Program'!$C$8),N('Bonding Program'!$O$21),0)</f>
        <v>0</v>
      </c>
      <c r="BJ162" s="19" t="n">
        <f aca="false">IF(AND('Bonding Program'!$S$21=1,'Bonding Program'!$H$21&gt;'Bonding Program'!$C$8,BJ$3='Bonding Program'!$H$21),'Bonding Program'!$T$21-'Bonding Program'!$U$21-'Bonding Program'!$Z$21,0)-IF(AND('Bonding Program'!$S$21=1,'Bonding Program'!$H$21&lt;='Bonding Program'!$C$8,BJ$3=IF('Bonding Program'!$P$21&lt;&gt;"",'Bonding Program'!$P$21,'Bonding Program'!$C$8)),'Bonding Program'!$Z$21,0)+IF(AND('Bonding Program'!$P$21&lt;&gt;"",BJ$3='Bonding Program'!$P$21,BJ$3&lt;='Bonding Program'!$C$8),N('Bonding Program'!$O$21),0)</f>
        <v>0</v>
      </c>
      <c r="BK162" s="19" t="n">
        <f aca="false">IF(AND('Bonding Program'!$S$21=1,'Bonding Program'!$H$21&gt;'Bonding Program'!$C$8,BK$3='Bonding Program'!$H$21),'Bonding Program'!$T$21-'Bonding Program'!$U$21-'Bonding Program'!$Z$21,0)-IF(AND('Bonding Program'!$S$21=1,'Bonding Program'!$H$21&lt;='Bonding Program'!$C$8,BK$3=IF('Bonding Program'!$P$21&lt;&gt;"",'Bonding Program'!$P$21,'Bonding Program'!$C$8)),'Bonding Program'!$Z$21,0)+IF(AND('Bonding Program'!$P$21&lt;&gt;"",BK$3='Bonding Program'!$P$21,BK$3&lt;='Bonding Program'!$C$8),N('Bonding Program'!$O$21),0)</f>
        <v>0</v>
      </c>
      <c r="BL162" s="19" t="n">
        <f aca="false">IF(AND('Bonding Program'!$S$21=1,'Bonding Program'!$H$21&gt;'Bonding Program'!$C$8,BL$3='Bonding Program'!$H$21),'Bonding Program'!$T$21-'Bonding Program'!$U$21-'Bonding Program'!$Z$21,0)-IF(AND('Bonding Program'!$S$21=1,'Bonding Program'!$H$21&lt;='Bonding Program'!$C$8,BL$3=IF('Bonding Program'!$P$21&lt;&gt;"",'Bonding Program'!$P$21,'Bonding Program'!$C$8)),'Bonding Program'!$Z$21,0)+IF(AND('Bonding Program'!$P$21&lt;&gt;"",BL$3='Bonding Program'!$P$21,BL$3&lt;='Bonding Program'!$C$8),N('Bonding Program'!$O$21),0)</f>
        <v>0</v>
      </c>
      <c r="BM162" s="19" t="n">
        <f aca="false">IF(AND('Bonding Program'!$S$21=1,'Bonding Program'!$H$21&gt;'Bonding Program'!$C$8,BM$3='Bonding Program'!$H$21),'Bonding Program'!$T$21-'Bonding Program'!$U$21-'Bonding Program'!$Z$21,0)-IF(AND('Bonding Program'!$S$21=1,'Bonding Program'!$H$21&lt;='Bonding Program'!$C$8,BM$3=IF('Bonding Program'!$P$21&lt;&gt;"",'Bonding Program'!$P$21,'Bonding Program'!$C$8)),'Bonding Program'!$Z$21,0)+IF(AND('Bonding Program'!$P$21&lt;&gt;"",BM$3='Bonding Program'!$P$21,BM$3&lt;='Bonding Program'!$C$8),N('Bonding Program'!$O$21),0)</f>
        <v>0</v>
      </c>
      <c r="BN162" s="19" t="n">
        <f aca="false">IF(AND('Bonding Program'!$S$21=1,'Bonding Program'!$H$21&gt;'Bonding Program'!$C$8,BN$3='Bonding Program'!$H$21),'Bonding Program'!$T$21-'Bonding Program'!$U$21-'Bonding Program'!$Z$21,0)-IF(AND('Bonding Program'!$S$21=1,'Bonding Program'!$H$21&lt;='Bonding Program'!$C$8,BN$3=IF('Bonding Program'!$P$21&lt;&gt;"",'Bonding Program'!$P$21,'Bonding Program'!$C$8)),'Bonding Program'!$Z$21,0)+IF(AND('Bonding Program'!$P$21&lt;&gt;"",BN$3='Bonding Program'!$P$21,BN$3&lt;='Bonding Program'!$C$8),N('Bonding Program'!$O$21),0)</f>
        <v>0</v>
      </c>
      <c r="BO162" s="19" t="n">
        <f aca="false">IF(AND('Bonding Program'!$S$21=1,'Bonding Program'!$H$21&gt;'Bonding Program'!$C$8,BO$3='Bonding Program'!$H$21),'Bonding Program'!$T$21-'Bonding Program'!$U$21-'Bonding Program'!$Z$21,0)-IF(AND('Bonding Program'!$S$21=1,'Bonding Program'!$H$21&lt;='Bonding Program'!$C$8,BO$3=IF('Bonding Program'!$P$21&lt;&gt;"",'Bonding Program'!$P$21,'Bonding Program'!$C$8)),'Bonding Program'!$Z$21,0)+IF(AND('Bonding Program'!$P$21&lt;&gt;"",BO$3='Bonding Program'!$P$21,BO$3&lt;='Bonding Program'!$C$8),N('Bonding Program'!$O$21),0)</f>
        <v>0</v>
      </c>
      <c r="BP162" s="19" t="n">
        <f aca="false">IF(AND('Bonding Program'!$S$21=1,'Bonding Program'!$H$21&gt;'Bonding Program'!$C$8,BP$3='Bonding Program'!$H$21),'Bonding Program'!$T$21-'Bonding Program'!$U$21-'Bonding Program'!$Z$21,0)-IF(AND('Bonding Program'!$S$21=1,'Bonding Program'!$H$21&lt;='Bonding Program'!$C$8,BP$3=IF('Bonding Program'!$P$21&lt;&gt;"",'Bonding Program'!$P$21,'Bonding Program'!$C$8)),'Bonding Program'!$Z$21,0)+IF(AND('Bonding Program'!$P$21&lt;&gt;"",BP$3='Bonding Program'!$P$21,BP$3&lt;='Bonding Program'!$C$8),N('Bonding Program'!$O$21),0)</f>
        <v>0</v>
      </c>
      <c r="BQ162" s="19" t="n">
        <f aca="false">IF(AND('Bonding Program'!$S$21=1,'Bonding Program'!$H$21&gt;'Bonding Program'!$C$8,BQ$3='Bonding Program'!$H$21),'Bonding Program'!$T$21-'Bonding Program'!$U$21-'Bonding Program'!$Z$21,0)-IF(AND('Bonding Program'!$S$21=1,'Bonding Program'!$H$21&lt;='Bonding Program'!$C$8,BQ$3=IF('Bonding Program'!$P$21&lt;&gt;"",'Bonding Program'!$P$21,'Bonding Program'!$C$8)),'Bonding Program'!$Z$21,0)+IF(AND('Bonding Program'!$P$21&lt;&gt;"",BQ$3='Bonding Program'!$P$21,BQ$3&lt;='Bonding Program'!$C$8),N('Bonding Program'!$O$21),0)</f>
        <v>0</v>
      </c>
      <c r="BR162" s="19" t="n">
        <f aca="false">IF(AND('Bonding Program'!$S$21=1,'Bonding Program'!$H$21&gt;'Bonding Program'!$C$8,BR$3='Bonding Program'!$H$21),'Bonding Program'!$T$21-'Bonding Program'!$U$21-'Bonding Program'!$Z$21,0)-IF(AND('Bonding Program'!$S$21=1,'Bonding Program'!$H$21&lt;='Bonding Program'!$C$8,BR$3=IF('Bonding Program'!$P$21&lt;&gt;"",'Bonding Program'!$P$21,'Bonding Program'!$C$8)),'Bonding Program'!$Z$21,0)+IF(AND('Bonding Program'!$P$21&lt;&gt;"",BR$3='Bonding Program'!$P$21,BR$3&lt;='Bonding Program'!$C$8),N('Bonding Program'!$O$21),0)</f>
        <v>0</v>
      </c>
      <c r="BS162" s="19" t="n">
        <f aca="false">IF(AND('Bonding Program'!$S$21=1,'Bonding Program'!$H$21&gt;'Bonding Program'!$C$8,BS$3='Bonding Program'!$H$21),'Bonding Program'!$T$21-'Bonding Program'!$U$21-'Bonding Program'!$Z$21,0)-IF(AND('Bonding Program'!$S$21=1,'Bonding Program'!$H$21&lt;='Bonding Program'!$C$8,BS$3=IF('Bonding Program'!$P$21&lt;&gt;"",'Bonding Program'!$P$21,'Bonding Program'!$C$8)),'Bonding Program'!$Z$21,0)+IF(AND('Bonding Program'!$P$21&lt;&gt;"",BS$3='Bonding Program'!$P$21,BS$3&lt;='Bonding Program'!$C$8),N('Bonding Program'!$O$21),0)</f>
        <v>0</v>
      </c>
      <c r="BT162" s="19" t="n">
        <f aca="false">IF(AND('Bonding Program'!$S$21=1,'Bonding Program'!$H$21&gt;'Bonding Program'!$C$8,BT$3='Bonding Program'!$H$21),'Bonding Program'!$T$21-'Bonding Program'!$U$21-'Bonding Program'!$Z$21,0)-IF(AND('Bonding Program'!$S$21=1,'Bonding Program'!$H$21&lt;='Bonding Program'!$C$8,BT$3=IF('Bonding Program'!$P$21&lt;&gt;"",'Bonding Program'!$P$21,'Bonding Program'!$C$8)),'Bonding Program'!$Z$21,0)+IF(AND('Bonding Program'!$P$21&lt;&gt;"",BT$3='Bonding Program'!$P$21,BT$3&lt;='Bonding Program'!$C$8),N('Bonding Program'!$O$21),0)</f>
        <v>0</v>
      </c>
      <c r="BU162" s="19" t="n">
        <f aca="false">IF(AND('Bonding Program'!$S$21=1,'Bonding Program'!$H$21&gt;'Bonding Program'!$C$8,BU$3='Bonding Program'!$H$21),'Bonding Program'!$T$21-'Bonding Program'!$U$21-'Bonding Program'!$Z$21,0)-IF(AND('Bonding Program'!$S$21=1,'Bonding Program'!$H$21&lt;='Bonding Program'!$C$8,BU$3=IF('Bonding Program'!$P$21&lt;&gt;"",'Bonding Program'!$P$21,'Bonding Program'!$C$8)),'Bonding Program'!$Z$21,0)+IF(AND('Bonding Program'!$P$21&lt;&gt;"",BU$3='Bonding Program'!$P$21,BU$3&lt;='Bonding Program'!$C$8),N('Bonding Program'!$O$21),0)</f>
        <v>0</v>
      </c>
      <c r="BV162" s="19" t="n">
        <f aca="false">IF(AND('Bonding Program'!$S$21=1,'Bonding Program'!$H$21&gt;'Bonding Program'!$C$8,BV$3='Bonding Program'!$H$21),'Bonding Program'!$T$21-'Bonding Program'!$U$21-'Bonding Program'!$Z$21,0)-IF(AND('Bonding Program'!$S$21=1,'Bonding Program'!$H$21&lt;='Bonding Program'!$C$8,BV$3=IF('Bonding Program'!$P$21&lt;&gt;"",'Bonding Program'!$P$21,'Bonding Program'!$C$8)),'Bonding Program'!$Z$21,0)+IF(AND('Bonding Program'!$P$21&lt;&gt;"",BV$3='Bonding Program'!$P$21,BV$3&lt;='Bonding Program'!$C$8),N('Bonding Program'!$O$21),0)</f>
        <v>0</v>
      </c>
      <c r="BW162" s="19" t="n">
        <f aca="false">IF(AND('Bonding Program'!$S$21=1,'Bonding Program'!$H$21&gt;'Bonding Program'!$C$8,BW$3='Bonding Program'!$H$21),'Bonding Program'!$T$21-'Bonding Program'!$U$21-'Bonding Program'!$Z$21,0)-IF(AND('Bonding Program'!$S$21=1,'Bonding Program'!$H$21&lt;='Bonding Program'!$C$8,BW$3=IF('Bonding Program'!$P$21&lt;&gt;"",'Bonding Program'!$P$21,'Bonding Program'!$C$8)),'Bonding Program'!$Z$21,0)+IF(AND('Bonding Program'!$P$21&lt;&gt;"",BW$3='Bonding Program'!$P$21,BW$3&lt;='Bonding Program'!$C$8),N('Bonding Program'!$O$21),0)</f>
        <v>0</v>
      </c>
      <c r="BX162" s="19" t="n">
        <f aca="false">IF(AND('Bonding Program'!$S$21=1,'Bonding Program'!$H$21&gt;'Bonding Program'!$C$8,BX$3='Bonding Program'!$H$21),'Bonding Program'!$T$21-'Bonding Program'!$U$21-'Bonding Program'!$Z$21,0)-IF(AND('Bonding Program'!$S$21=1,'Bonding Program'!$H$21&lt;='Bonding Program'!$C$8,BX$3=IF('Bonding Program'!$P$21&lt;&gt;"",'Bonding Program'!$P$21,'Bonding Program'!$C$8)),'Bonding Program'!$Z$21,0)+IF(AND('Bonding Program'!$P$21&lt;&gt;"",BX$3='Bonding Program'!$P$21,BX$3&lt;='Bonding Program'!$C$8),N('Bonding Program'!$O$21),0)</f>
        <v>0</v>
      </c>
      <c r="BY162" s="19" t="n">
        <f aca="false">IF(AND('Bonding Program'!$S$21=1,'Bonding Program'!$H$21&gt;'Bonding Program'!$C$8,BY$3='Bonding Program'!$H$21),'Bonding Program'!$T$21-'Bonding Program'!$U$21-'Bonding Program'!$Z$21,0)-IF(AND('Bonding Program'!$S$21=1,'Bonding Program'!$H$21&lt;='Bonding Program'!$C$8,BY$3=IF('Bonding Program'!$P$21&lt;&gt;"",'Bonding Program'!$P$21,'Bonding Program'!$C$8)),'Bonding Program'!$Z$21,0)+IF(AND('Bonding Program'!$P$21&lt;&gt;"",BY$3='Bonding Program'!$P$21,BY$3&lt;='Bonding Program'!$C$8),N('Bonding Program'!$O$21),0)</f>
        <v>0</v>
      </c>
      <c r="BZ162" s="19" t="n">
        <f aca="false">IF(AND('Bonding Program'!$S$21=1,'Bonding Program'!$H$21&gt;'Bonding Program'!$C$8,BZ$3='Bonding Program'!$H$21),'Bonding Program'!$T$21-'Bonding Program'!$U$21-'Bonding Program'!$Z$21,0)-IF(AND('Bonding Program'!$S$21=1,'Bonding Program'!$H$21&lt;='Bonding Program'!$C$8,BZ$3=IF('Bonding Program'!$P$21&lt;&gt;"",'Bonding Program'!$P$21,'Bonding Program'!$C$8)),'Bonding Program'!$Z$21,0)+IF(AND('Bonding Program'!$P$21&lt;&gt;"",BZ$3='Bonding Program'!$P$21,BZ$3&lt;='Bonding Program'!$C$8),N('Bonding Program'!$O$21),0)</f>
        <v>0</v>
      </c>
      <c r="CA162" s="19" t="n">
        <f aca="false">IF(AND('Bonding Program'!$S$21=1,'Bonding Program'!$H$21&gt;'Bonding Program'!$C$8,CA$3='Bonding Program'!$H$21),'Bonding Program'!$T$21-'Bonding Program'!$U$21-'Bonding Program'!$Z$21,0)-IF(AND('Bonding Program'!$S$21=1,'Bonding Program'!$H$21&lt;='Bonding Program'!$C$8,CA$3=IF('Bonding Program'!$P$21&lt;&gt;"",'Bonding Program'!$P$21,'Bonding Program'!$C$8)),'Bonding Program'!$Z$21,0)+IF(AND('Bonding Program'!$P$21&lt;&gt;"",CA$3='Bonding Program'!$P$21,CA$3&lt;='Bonding Program'!$C$8),N('Bonding Program'!$O$21),0)</f>
        <v>0</v>
      </c>
      <c r="CB162" s="19" t="n">
        <f aca="false">IF(AND('Bonding Program'!$S$21=1,'Bonding Program'!$H$21&gt;'Bonding Program'!$C$8,CB$3='Bonding Program'!$H$21),'Bonding Program'!$T$21-'Bonding Program'!$U$21-'Bonding Program'!$Z$21,0)-IF(AND('Bonding Program'!$S$21=1,'Bonding Program'!$H$21&lt;='Bonding Program'!$C$8,CB$3=IF('Bonding Program'!$P$21&lt;&gt;"",'Bonding Program'!$P$21,'Bonding Program'!$C$8)),'Bonding Program'!$Z$21,0)+IF(AND('Bonding Program'!$P$21&lt;&gt;"",CB$3='Bonding Program'!$P$21,CB$3&lt;='Bonding Program'!$C$8),N('Bonding Program'!$O$21),0)</f>
        <v>0</v>
      </c>
      <c r="CC162" s="19" t="n">
        <f aca="false">IF(AND('Bonding Program'!$S$21=1,'Bonding Program'!$H$21&gt;'Bonding Program'!$C$8,CC$3='Bonding Program'!$H$21),'Bonding Program'!$T$21-'Bonding Program'!$U$21-'Bonding Program'!$Z$21,0)-IF(AND('Bonding Program'!$S$21=1,'Bonding Program'!$H$21&lt;='Bonding Program'!$C$8,CC$3=IF('Bonding Program'!$P$21&lt;&gt;"",'Bonding Program'!$P$21,'Bonding Program'!$C$8)),'Bonding Program'!$Z$21,0)+IF(AND('Bonding Program'!$P$21&lt;&gt;"",CC$3='Bonding Program'!$P$21,CC$3&lt;='Bonding Program'!$C$8),N('Bonding Program'!$O$21),0)</f>
        <v>0</v>
      </c>
      <c r="CD162" s="19" t="n">
        <f aca="false">IF(AND('Bonding Program'!$S$21=1,'Bonding Program'!$H$21&gt;'Bonding Program'!$C$8,CD$3='Bonding Program'!$H$21),'Bonding Program'!$T$21-'Bonding Program'!$U$21-'Bonding Program'!$Z$21,0)-IF(AND('Bonding Program'!$S$21=1,'Bonding Program'!$H$21&lt;='Bonding Program'!$C$8,CD$3=IF('Bonding Program'!$P$21&lt;&gt;"",'Bonding Program'!$P$21,'Bonding Program'!$C$8)),'Bonding Program'!$Z$21,0)+IF(AND('Bonding Program'!$P$21&lt;&gt;"",CD$3='Bonding Program'!$P$21,CD$3&lt;='Bonding Program'!$C$8),N('Bonding Program'!$O$21),0)</f>
        <v>0</v>
      </c>
      <c r="CE162" s="19" t="n">
        <f aca="false">IF(AND('Bonding Program'!$S$21=1,'Bonding Program'!$H$21&gt;'Bonding Program'!$C$8,CE$3='Bonding Program'!$H$21),'Bonding Program'!$T$21-'Bonding Program'!$U$21-'Bonding Program'!$Z$21,0)-IF(AND('Bonding Program'!$S$21=1,'Bonding Program'!$H$21&lt;='Bonding Program'!$C$8,CE$3=IF('Bonding Program'!$P$21&lt;&gt;"",'Bonding Program'!$P$21,'Bonding Program'!$C$8)),'Bonding Program'!$Z$21,0)+IF(AND('Bonding Program'!$P$21&lt;&gt;"",CE$3='Bonding Program'!$P$21,CE$3&lt;='Bonding Program'!$C$8),N('Bonding Program'!$O$21),0)</f>
        <v>0</v>
      </c>
      <c r="CF162" s="19" t="n">
        <f aca="false">IF(AND('Bonding Program'!$S$21=1,'Bonding Program'!$H$21&gt;'Bonding Program'!$C$8,CF$3='Bonding Program'!$H$21),'Bonding Program'!$T$21-'Bonding Program'!$U$21-'Bonding Program'!$Z$21,0)-IF(AND('Bonding Program'!$S$21=1,'Bonding Program'!$H$21&lt;='Bonding Program'!$C$8,CF$3=IF('Bonding Program'!$P$21&lt;&gt;"",'Bonding Program'!$P$21,'Bonding Program'!$C$8)),'Bonding Program'!$Z$21,0)+IF(AND('Bonding Program'!$P$21&lt;&gt;"",CF$3='Bonding Program'!$P$21,CF$3&lt;='Bonding Program'!$C$8),N('Bonding Program'!$O$21),0)</f>
        <v>0</v>
      </c>
      <c r="CG162" s="19" t="n">
        <f aca="false">IF(AND('Bonding Program'!$S$21=1,'Bonding Program'!$H$21&gt;'Bonding Program'!$C$8,CG$3='Bonding Program'!$H$21),'Bonding Program'!$T$21-'Bonding Program'!$U$21-'Bonding Program'!$Z$21,0)-IF(AND('Bonding Program'!$S$21=1,'Bonding Program'!$H$21&lt;='Bonding Program'!$C$8,CG$3=IF('Bonding Program'!$P$21&lt;&gt;"",'Bonding Program'!$P$21,'Bonding Program'!$C$8)),'Bonding Program'!$Z$21,0)+IF(AND('Bonding Program'!$P$21&lt;&gt;"",CG$3='Bonding Program'!$P$21,CG$3&lt;='Bonding Program'!$C$8),N('Bonding Program'!$O$21),0)</f>
        <v>0</v>
      </c>
      <c r="CH162" s="19" t="n">
        <f aca="false">IF(AND('Bonding Program'!$S$21=1,'Bonding Program'!$H$21&gt;'Bonding Program'!$C$8,CH$3='Bonding Program'!$H$21),'Bonding Program'!$T$21-'Bonding Program'!$U$21-'Bonding Program'!$Z$21,0)-IF(AND('Bonding Program'!$S$21=1,'Bonding Program'!$H$21&lt;='Bonding Program'!$C$8,CH$3=IF('Bonding Program'!$P$21&lt;&gt;"",'Bonding Program'!$P$21,'Bonding Program'!$C$8)),'Bonding Program'!$Z$21,0)+IF(AND('Bonding Program'!$P$21&lt;&gt;"",CH$3='Bonding Program'!$P$21,CH$3&lt;='Bonding Program'!$C$8),N('Bonding Program'!$O$21),0)</f>
        <v>0</v>
      </c>
      <c r="CI162" s="19" t="n">
        <f aca="false">IF(AND('Bonding Program'!$S$21=1,'Bonding Program'!$H$21&gt;'Bonding Program'!$C$8,CI$3='Bonding Program'!$H$21),'Bonding Program'!$T$21-'Bonding Program'!$U$21-'Bonding Program'!$Z$21,0)-IF(AND('Bonding Program'!$S$21=1,'Bonding Program'!$H$21&lt;='Bonding Program'!$C$8,CI$3=IF('Bonding Program'!$P$21&lt;&gt;"",'Bonding Program'!$P$21,'Bonding Program'!$C$8)),'Bonding Program'!$Z$21,0)+IF(AND('Bonding Program'!$P$21&lt;&gt;"",CI$3='Bonding Program'!$P$21,CI$3&lt;='Bonding Program'!$C$8),N('Bonding Program'!$O$21),0)</f>
        <v>0</v>
      </c>
      <c r="CJ162" s="19" t="n">
        <f aca="false">IF(AND('Bonding Program'!$S$21=1,'Bonding Program'!$H$21&gt;'Bonding Program'!$C$8,CJ$3='Bonding Program'!$H$21),'Bonding Program'!$T$21-'Bonding Program'!$U$21-'Bonding Program'!$Z$21,0)-IF(AND('Bonding Program'!$S$21=1,'Bonding Program'!$H$21&lt;='Bonding Program'!$C$8,CJ$3=IF('Bonding Program'!$P$21&lt;&gt;"",'Bonding Program'!$P$21,'Bonding Program'!$C$8)),'Bonding Program'!$Z$21,0)+IF(AND('Bonding Program'!$P$21&lt;&gt;"",CJ$3='Bonding Program'!$P$21,CJ$3&lt;='Bonding Program'!$C$8),N('Bonding Program'!$O$21),0)</f>
        <v>0</v>
      </c>
      <c r="CK162" s="19" t="n">
        <f aca="false">IF(AND('Bonding Program'!$S$21=1,'Bonding Program'!$H$21&gt;'Bonding Program'!$C$8,CK$3='Bonding Program'!$H$21),'Bonding Program'!$T$21-'Bonding Program'!$U$21-'Bonding Program'!$Z$21,0)-IF(AND('Bonding Program'!$S$21=1,'Bonding Program'!$H$21&lt;='Bonding Program'!$C$8,CK$3=IF('Bonding Program'!$P$21&lt;&gt;"",'Bonding Program'!$P$21,'Bonding Program'!$C$8)),'Bonding Program'!$Z$21,0)+IF(AND('Bonding Program'!$P$21&lt;&gt;"",CK$3='Bonding Program'!$P$21,CK$3&lt;='Bonding Program'!$C$8),N('Bonding Program'!$O$21),0)</f>
        <v>0</v>
      </c>
      <c r="CL162" s="19" t="n">
        <f aca="false">IF(AND('Bonding Program'!$S$21=1,'Bonding Program'!$H$21&gt;'Bonding Program'!$C$8,CL$3='Bonding Program'!$H$21),'Bonding Program'!$T$21-'Bonding Program'!$U$21-'Bonding Program'!$Z$21,0)-IF(AND('Bonding Program'!$S$21=1,'Bonding Program'!$H$21&lt;='Bonding Program'!$C$8,CL$3=IF('Bonding Program'!$P$21&lt;&gt;"",'Bonding Program'!$P$21,'Bonding Program'!$C$8)),'Bonding Program'!$Z$21,0)+IF(AND('Bonding Program'!$P$21&lt;&gt;"",CL$3='Bonding Program'!$P$21,CL$3&lt;='Bonding Program'!$C$8),N('Bonding Program'!$O$21),0)</f>
        <v>0</v>
      </c>
      <c r="CM162" s="19" t="n">
        <f aca="false">IF(AND('Bonding Program'!$S$21=1,'Bonding Program'!$H$21&gt;'Bonding Program'!$C$8,CM$3='Bonding Program'!$H$21),'Bonding Program'!$T$21-'Bonding Program'!$U$21-'Bonding Program'!$Z$21,0)-IF(AND('Bonding Program'!$S$21=1,'Bonding Program'!$H$21&lt;='Bonding Program'!$C$8,CM$3=IF('Bonding Program'!$P$21&lt;&gt;"",'Bonding Program'!$P$21,'Bonding Program'!$C$8)),'Bonding Program'!$Z$21,0)+IF(AND('Bonding Program'!$P$21&lt;&gt;"",CM$3='Bonding Program'!$P$21,CM$3&lt;='Bonding Program'!$C$8),N('Bonding Program'!$O$21),0)</f>
        <v>0</v>
      </c>
      <c r="CN162" s="19" t="n">
        <f aca="false">IF(AND('Bonding Program'!$S$21=1,'Bonding Program'!$H$21&gt;'Bonding Program'!$C$8,CN$3='Bonding Program'!$H$21),'Bonding Program'!$T$21-'Bonding Program'!$U$21-'Bonding Program'!$Z$21,0)-IF(AND('Bonding Program'!$S$21=1,'Bonding Program'!$H$21&lt;='Bonding Program'!$C$8,CN$3=IF('Bonding Program'!$P$21&lt;&gt;"",'Bonding Program'!$P$21,'Bonding Program'!$C$8)),'Bonding Program'!$Z$21,0)+IF(AND('Bonding Program'!$P$21&lt;&gt;"",CN$3='Bonding Program'!$P$21,CN$3&lt;='Bonding Program'!$C$8),N('Bonding Program'!$O$21),0)</f>
        <v>0</v>
      </c>
      <c r="CO162" s="19" t="n">
        <f aca="false">IF(AND('Bonding Program'!$S$21=1,'Bonding Program'!$H$21&gt;'Bonding Program'!$C$8,CO$3='Bonding Program'!$H$21),'Bonding Program'!$T$21-'Bonding Program'!$U$21-'Bonding Program'!$Z$21,0)-IF(AND('Bonding Program'!$S$21=1,'Bonding Program'!$H$21&lt;='Bonding Program'!$C$8,CO$3=IF('Bonding Program'!$P$21&lt;&gt;"",'Bonding Program'!$P$21,'Bonding Program'!$C$8)),'Bonding Program'!$Z$21,0)+IF(AND('Bonding Program'!$P$21&lt;&gt;"",CO$3='Bonding Program'!$P$21,CO$3&lt;='Bonding Program'!$C$8),N('Bonding Program'!$O$21),0)</f>
        <v>0</v>
      </c>
      <c r="CP162" s="19" t="n">
        <f aca="false">IF(AND('Bonding Program'!$S$21=1,'Bonding Program'!$H$21&gt;'Bonding Program'!$C$8,CP$3='Bonding Program'!$H$21),'Bonding Program'!$T$21-'Bonding Program'!$U$21-'Bonding Program'!$Z$21,0)-IF(AND('Bonding Program'!$S$21=1,'Bonding Program'!$H$21&lt;='Bonding Program'!$C$8,CP$3=IF('Bonding Program'!$P$21&lt;&gt;"",'Bonding Program'!$P$21,'Bonding Program'!$C$8)),'Bonding Program'!$Z$21,0)+IF(AND('Bonding Program'!$P$21&lt;&gt;"",CP$3='Bonding Program'!$P$21,CP$3&lt;='Bonding Program'!$C$8),N('Bonding Program'!$O$21),0)</f>
        <v>0</v>
      </c>
      <c r="CQ162" s="19" t="n">
        <f aca="false">IF(AND('Bonding Program'!$S$21=1,'Bonding Program'!$H$21&gt;'Bonding Program'!$C$8,CQ$3='Bonding Program'!$H$21),'Bonding Program'!$T$21-'Bonding Program'!$U$21-'Bonding Program'!$Z$21,0)-IF(AND('Bonding Program'!$S$21=1,'Bonding Program'!$H$21&lt;='Bonding Program'!$C$8,CQ$3=IF('Bonding Program'!$P$21&lt;&gt;"",'Bonding Program'!$P$21,'Bonding Program'!$C$8)),'Bonding Program'!$Z$21,0)+IF(AND('Bonding Program'!$P$21&lt;&gt;"",CQ$3='Bonding Program'!$P$21,CQ$3&lt;='Bonding Program'!$C$8),N('Bonding Program'!$O$21),0)</f>
        <v>0</v>
      </c>
      <c r="CR162" s="19" t="n">
        <f aca="false">IF(AND('Bonding Program'!$S$21=1,'Bonding Program'!$H$21&gt;'Bonding Program'!$C$8,CR$3='Bonding Program'!$H$21),'Bonding Program'!$T$21-'Bonding Program'!$U$21-'Bonding Program'!$Z$21,0)-IF(AND('Bonding Program'!$S$21=1,'Bonding Program'!$H$21&lt;='Bonding Program'!$C$8,CR$3=IF('Bonding Program'!$P$21&lt;&gt;"",'Bonding Program'!$P$21,'Bonding Program'!$C$8)),'Bonding Program'!$Z$21,0)+IF(AND('Bonding Program'!$P$21&lt;&gt;"",CR$3='Bonding Program'!$P$21,CR$3&lt;='Bonding Program'!$C$8),N('Bonding Program'!$O$21),0)</f>
        <v>0</v>
      </c>
      <c r="CS162" s="19" t="n">
        <f aca="false">IF(AND('Bonding Program'!$S$21=1,'Bonding Program'!$H$21&gt;'Bonding Program'!$C$8,CS$3='Bonding Program'!$H$21),'Bonding Program'!$T$21-'Bonding Program'!$U$21-'Bonding Program'!$Z$21,0)-IF(AND('Bonding Program'!$S$21=1,'Bonding Program'!$H$21&lt;='Bonding Program'!$C$8,CS$3=IF('Bonding Program'!$P$21&lt;&gt;"",'Bonding Program'!$P$21,'Bonding Program'!$C$8)),'Bonding Program'!$Z$21,0)+IF(AND('Bonding Program'!$P$21&lt;&gt;"",CS$3='Bonding Program'!$P$21,CS$3&lt;='Bonding Program'!$C$8),N('Bonding Program'!$O$21),0)</f>
        <v>0</v>
      </c>
      <c r="CT162" s="19" t="n">
        <f aca="false">IF(AND('Bonding Program'!$S$21=1,'Bonding Program'!$H$21&gt;'Bonding Program'!$C$8,CT$3='Bonding Program'!$H$21),'Bonding Program'!$T$21-'Bonding Program'!$U$21-'Bonding Program'!$Z$21,0)-IF(AND('Bonding Program'!$S$21=1,'Bonding Program'!$H$21&lt;='Bonding Program'!$C$8,CT$3=IF('Bonding Program'!$P$21&lt;&gt;"",'Bonding Program'!$P$21,'Bonding Program'!$C$8)),'Bonding Program'!$Z$21,0)+IF(AND('Bonding Program'!$P$21&lt;&gt;"",CT$3='Bonding Program'!$P$21,CT$3&lt;='Bonding Program'!$C$8),N('Bonding Program'!$O$21),0)</f>
        <v>0</v>
      </c>
      <c r="CU162" s="19" t="n">
        <f aca="false">IF(AND('Bonding Program'!$S$21=1,'Bonding Program'!$H$21&gt;'Bonding Program'!$C$8,CU$3='Bonding Program'!$H$21),'Bonding Program'!$T$21-'Bonding Program'!$U$21-'Bonding Program'!$Z$21,0)-IF(AND('Bonding Program'!$S$21=1,'Bonding Program'!$H$21&lt;='Bonding Program'!$C$8,CU$3=IF('Bonding Program'!$P$21&lt;&gt;"",'Bonding Program'!$P$21,'Bonding Program'!$C$8)),'Bonding Program'!$Z$21,0)+IF(AND('Bonding Program'!$P$21&lt;&gt;"",CU$3='Bonding Program'!$P$21,CU$3&lt;='Bonding Program'!$C$8),N('Bonding Program'!$O$21),0)</f>
        <v>0</v>
      </c>
      <c r="CV162" s="19" t="n">
        <f aca="false">IF(AND('Bonding Program'!$S$21=1,'Bonding Program'!$H$21&gt;'Bonding Program'!$C$8,CV$3='Bonding Program'!$H$21),'Bonding Program'!$T$21-'Bonding Program'!$U$21-'Bonding Program'!$Z$21,0)-IF(AND('Bonding Program'!$S$21=1,'Bonding Program'!$H$21&lt;='Bonding Program'!$C$8,CV$3=IF('Bonding Program'!$P$21&lt;&gt;"",'Bonding Program'!$P$21,'Bonding Program'!$C$8)),'Bonding Program'!$Z$21,0)+IF(AND('Bonding Program'!$P$21&lt;&gt;"",CV$3='Bonding Program'!$P$21,CV$3&lt;='Bonding Program'!$C$8),N('Bonding Program'!$O$21),0)</f>
        <v>0</v>
      </c>
      <c r="CW162" s="19" t="n">
        <f aca="false">IF(AND('Bonding Program'!$S$21=1,'Bonding Program'!$H$21&gt;'Bonding Program'!$C$8,CW$3='Bonding Program'!$H$21),'Bonding Program'!$T$21-'Bonding Program'!$U$21-'Bonding Program'!$Z$21,0)-IF(AND('Bonding Program'!$S$21=1,'Bonding Program'!$H$21&lt;='Bonding Program'!$C$8,CW$3=IF('Bonding Program'!$P$21&lt;&gt;"",'Bonding Program'!$P$21,'Bonding Program'!$C$8)),'Bonding Program'!$Z$21,0)+IF(AND('Bonding Program'!$P$21&lt;&gt;"",CW$3='Bonding Program'!$P$21,CW$3&lt;='Bonding Program'!$C$8),N('Bonding Program'!$O$21),0)</f>
        <v>0</v>
      </c>
      <c r="CX162" s="19" t="n">
        <f aca="false">IF(AND('Bonding Program'!$S$21=1,'Bonding Program'!$H$21&gt;'Bonding Program'!$C$8,CX$3='Bonding Program'!$H$21),'Bonding Program'!$T$21-'Bonding Program'!$U$21-'Bonding Program'!$Z$21,0)-IF(AND('Bonding Program'!$S$21=1,'Bonding Program'!$H$21&lt;='Bonding Program'!$C$8,CX$3=IF('Bonding Program'!$P$21&lt;&gt;"",'Bonding Program'!$P$21,'Bonding Program'!$C$8)),'Bonding Program'!$Z$21,0)+IF(AND('Bonding Program'!$P$21&lt;&gt;"",CX$3='Bonding Program'!$P$21,CX$3&lt;='Bonding Program'!$C$8),N('Bonding Program'!$O$21),0)</f>
        <v>0</v>
      </c>
      <c r="CY162" s="19" t="n">
        <f aca="false">IF(AND('Bonding Program'!$S$21=1,'Bonding Program'!$H$21&gt;'Bonding Program'!$C$8,CY$3='Bonding Program'!$H$21),'Bonding Program'!$T$21-'Bonding Program'!$U$21-'Bonding Program'!$Z$21,0)-IF(AND('Bonding Program'!$S$21=1,'Bonding Program'!$H$21&lt;='Bonding Program'!$C$8,CY$3=IF('Bonding Program'!$P$21&lt;&gt;"",'Bonding Program'!$P$21,'Bonding Program'!$C$8)),'Bonding Program'!$Z$21,0)+IF(AND('Bonding Program'!$P$21&lt;&gt;"",CY$3='Bonding Program'!$P$21,CY$3&lt;='Bonding Program'!$C$8),N('Bonding Program'!$O$21),0)</f>
        <v>0</v>
      </c>
      <c r="CZ162" s="19" t="n">
        <f aca="false">IF(AND('Bonding Program'!$S$21=1,'Bonding Program'!$H$21&gt;'Bonding Program'!$C$8,CZ$3='Bonding Program'!$H$21),'Bonding Program'!$T$21-'Bonding Program'!$U$21-'Bonding Program'!$Z$21,0)-IF(AND('Bonding Program'!$S$21=1,'Bonding Program'!$H$21&lt;='Bonding Program'!$C$8,CZ$3=IF('Bonding Program'!$P$21&lt;&gt;"",'Bonding Program'!$P$21,'Bonding Program'!$C$8)),'Bonding Program'!$Z$21,0)+IF(AND('Bonding Program'!$P$21&lt;&gt;"",CZ$3='Bonding Program'!$P$21,CZ$3&lt;='Bonding Program'!$C$8),N('Bonding Program'!$O$21),0)</f>
        <v>0</v>
      </c>
      <c r="DA162" s="19" t="n">
        <f aca="false">IF(AND('Bonding Program'!$S$21=1,'Bonding Program'!$H$21&gt;'Bonding Program'!$C$8,DA$3='Bonding Program'!$H$21),'Bonding Program'!$T$21-'Bonding Program'!$U$21-'Bonding Program'!$Z$21,0)-IF(AND('Bonding Program'!$S$21=1,'Bonding Program'!$H$21&lt;='Bonding Program'!$C$8,DA$3=IF('Bonding Program'!$P$21&lt;&gt;"",'Bonding Program'!$P$21,'Bonding Program'!$C$8)),'Bonding Program'!$Z$21,0)+IF(AND('Bonding Program'!$P$21&lt;&gt;"",DA$3='Bonding Program'!$P$21,DA$3&lt;='Bonding Program'!$C$8),N('Bonding Program'!$O$21),0)</f>
        <v>0</v>
      </c>
      <c r="DB162" s="19" t="n">
        <f aca="false">IF(AND('Bonding Program'!$S$21=1,'Bonding Program'!$H$21&gt;'Bonding Program'!$C$8,DB$3='Bonding Program'!$H$21),'Bonding Program'!$T$21-'Bonding Program'!$U$21-'Bonding Program'!$Z$21,0)-IF(AND('Bonding Program'!$S$21=1,'Bonding Program'!$H$21&lt;='Bonding Program'!$C$8,DB$3=IF('Bonding Program'!$P$21&lt;&gt;"",'Bonding Program'!$P$21,'Bonding Program'!$C$8)),'Bonding Program'!$Z$21,0)+IF(AND('Bonding Program'!$P$21&lt;&gt;"",DB$3='Bonding Program'!$P$21,DB$3&lt;='Bonding Program'!$C$8),N('Bonding Program'!$O$21),0)</f>
        <v>0</v>
      </c>
      <c r="DC162" s="19" t="n">
        <f aca="false">IF(AND('Bonding Program'!$S$21=1,'Bonding Program'!$H$21&gt;'Bonding Program'!$C$8,DC$3='Bonding Program'!$H$21),'Bonding Program'!$T$21-'Bonding Program'!$U$21-'Bonding Program'!$Z$21,0)-IF(AND('Bonding Program'!$S$21=1,'Bonding Program'!$H$21&lt;='Bonding Program'!$C$8,DC$3=IF('Bonding Program'!$P$21&lt;&gt;"",'Bonding Program'!$P$21,'Bonding Program'!$C$8)),'Bonding Program'!$Z$21,0)+IF(AND('Bonding Program'!$P$21&lt;&gt;"",DC$3='Bonding Program'!$P$21,DC$3&lt;='Bonding Program'!$C$8),N('Bonding Program'!$O$21),0)</f>
        <v>0</v>
      </c>
      <c r="DD162" s="19" t="n">
        <f aca="false">IF(AND('Bonding Program'!$S$21=1,'Bonding Program'!$H$21&gt;'Bonding Program'!$C$8,DD$3='Bonding Program'!$H$21),'Bonding Program'!$T$21-'Bonding Program'!$U$21-'Bonding Program'!$Z$21,0)-IF(AND('Bonding Program'!$S$21=1,'Bonding Program'!$H$21&lt;='Bonding Program'!$C$8,DD$3=IF('Bonding Program'!$P$21&lt;&gt;"",'Bonding Program'!$P$21,'Bonding Program'!$C$8)),'Bonding Program'!$Z$21,0)+IF(AND('Bonding Program'!$P$21&lt;&gt;"",DD$3='Bonding Program'!$P$21,DD$3&lt;='Bonding Program'!$C$8),N('Bonding Program'!$O$21),0)</f>
        <v>0</v>
      </c>
      <c r="DE162" s="19" t="n">
        <f aca="false">IF(AND('Bonding Program'!$S$21=1,'Bonding Program'!$H$21&gt;'Bonding Program'!$C$8,DE$3='Bonding Program'!$H$21),'Bonding Program'!$T$21-'Bonding Program'!$U$21-'Bonding Program'!$Z$21,0)-IF(AND('Bonding Program'!$S$21=1,'Bonding Program'!$H$21&lt;='Bonding Program'!$C$8,DE$3=IF('Bonding Program'!$P$21&lt;&gt;"",'Bonding Program'!$P$21,'Bonding Program'!$C$8)),'Bonding Program'!$Z$21,0)+IF(AND('Bonding Program'!$P$21&lt;&gt;"",DE$3='Bonding Program'!$P$21,DE$3&lt;='Bonding Program'!$C$8),N('Bonding Program'!$O$21),0)</f>
        <v>0</v>
      </c>
    </row>
    <row r="163" customFormat="false" ht="15" hidden="false" customHeight="true" outlineLevel="1" collapsed="false">
      <c r="A163" s="28" t="s">
        <v>18</v>
      </c>
      <c r="B163" s="19" t="n">
        <f aca="false">IF(AND('Bonding Program'!$S$22=1,'Bonding Program'!$H$22&gt;'Bonding Program'!$C$8,B$3='Bonding Program'!$H$22),'Bonding Program'!$T$22-'Bonding Program'!$U$22-'Bonding Program'!$Z$22,0)-IF(AND('Bonding Program'!$S$22=1,'Bonding Program'!$H$22&lt;='Bonding Program'!$C$8,B$3=IF('Bonding Program'!$P$22&lt;&gt;"",'Bonding Program'!$P$22,'Bonding Program'!$C$8)),'Bonding Program'!$Z$22,0)+IF(AND('Bonding Program'!$P$22&lt;&gt;"",B$3='Bonding Program'!$P$22,B$3&lt;='Bonding Program'!$C$8),N('Bonding Program'!$O$22),0)</f>
        <v>0</v>
      </c>
      <c r="C163" s="19" t="n">
        <f aca="false">IF(AND('Bonding Program'!$S$22=1,'Bonding Program'!$H$22&gt;'Bonding Program'!$C$8,C$3='Bonding Program'!$H$22),'Bonding Program'!$T$22-'Bonding Program'!$U$22-'Bonding Program'!$Z$22,0)-IF(AND('Bonding Program'!$S$22=1,'Bonding Program'!$H$22&lt;='Bonding Program'!$C$8,C$3=IF('Bonding Program'!$P$22&lt;&gt;"",'Bonding Program'!$P$22,'Bonding Program'!$C$8)),'Bonding Program'!$Z$22,0)+IF(AND('Bonding Program'!$P$22&lt;&gt;"",C$3='Bonding Program'!$P$22,C$3&lt;='Bonding Program'!$C$8),N('Bonding Program'!$O$22),0)</f>
        <v>0</v>
      </c>
      <c r="D163" s="19" t="n">
        <f aca="false">IF(AND('Bonding Program'!$S$22=1,'Bonding Program'!$H$22&gt;'Bonding Program'!$C$8,D$3='Bonding Program'!$H$22),'Bonding Program'!$T$22-'Bonding Program'!$U$22-'Bonding Program'!$Z$22,0)-IF(AND('Bonding Program'!$S$22=1,'Bonding Program'!$H$22&lt;='Bonding Program'!$C$8,D$3=IF('Bonding Program'!$P$22&lt;&gt;"",'Bonding Program'!$P$22,'Bonding Program'!$C$8)),'Bonding Program'!$Z$22,0)+IF(AND('Bonding Program'!$P$22&lt;&gt;"",D$3='Bonding Program'!$P$22,D$3&lt;='Bonding Program'!$C$8),N('Bonding Program'!$O$22),0)</f>
        <v>0</v>
      </c>
      <c r="E163" s="19" t="n">
        <f aca="false">IF(AND('Bonding Program'!$S$22=1,'Bonding Program'!$H$22&gt;'Bonding Program'!$C$8,E$3='Bonding Program'!$H$22),'Bonding Program'!$T$22-'Bonding Program'!$U$22-'Bonding Program'!$Z$22,0)-IF(AND('Bonding Program'!$S$22=1,'Bonding Program'!$H$22&lt;='Bonding Program'!$C$8,E$3=IF('Bonding Program'!$P$22&lt;&gt;"",'Bonding Program'!$P$22,'Bonding Program'!$C$8)),'Bonding Program'!$Z$22,0)+IF(AND('Bonding Program'!$P$22&lt;&gt;"",E$3='Bonding Program'!$P$22,E$3&lt;='Bonding Program'!$C$8),N('Bonding Program'!$O$22),0)</f>
        <v>0</v>
      </c>
      <c r="F163" s="19" t="n">
        <f aca="false">IF(AND('Bonding Program'!$S$22=1,'Bonding Program'!$H$22&gt;'Bonding Program'!$C$8,F$3='Bonding Program'!$H$22),'Bonding Program'!$T$22-'Bonding Program'!$U$22-'Bonding Program'!$Z$22,0)-IF(AND('Bonding Program'!$S$22=1,'Bonding Program'!$H$22&lt;='Bonding Program'!$C$8,F$3=IF('Bonding Program'!$P$22&lt;&gt;"",'Bonding Program'!$P$22,'Bonding Program'!$C$8)),'Bonding Program'!$Z$22,0)+IF(AND('Bonding Program'!$P$22&lt;&gt;"",F$3='Bonding Program'!$P$22,F$3&lt;='Bonding Program'!$C$8),N('Bonding Program'!$O$22),0)</f>
        <v>0</v>
      </c>
      <c r="G163" s="19" t="n">
        <f aca="false">IF(AND('Bonding Program'!$S$22=1,'Bonding Program'!$H$22&gt;'Bonding Program'!$C$8,G$3='Bonding Program'!$H$22),'Bonding Program'!$T$22-'Bonding Program'!$U$22-'Bonding Program'!$Z$22,0)-IF(AND('Bonding Program'!$S$22=1,'Bonding Program'!$H$22&lt;='Bonding Program'!$C$8,G$3=IF('Bonding Program'!$P$22&lt;&gt;"",'Bonding Program'!$P$22,'Bonding Program'!$C$8)),'Bonding Program'!$Z$22,0)+IF(AND('Bonding Program'!$P$22&lt;&gt;"",G$3='Bonding Program'!$P$22,G$3&lt;='Bonding Program'!$C$8),N('Bonding Program'!$O$22),0)</f>
        <v>0</v>
      </c>
      <c r="H163" s="19" t="n">
        <f aca="false">IF(AND('Bonding Program'!$S$22=1,'Bonding Program'!$H$22&gt;'Bonding Program'!$C$8,H$3='Bonding Program'!$H$22),'Bonding Program'!$T$22-'Bonding Program'!$U$22-'Bonding Program'!$Z$22,0)-IF(AND('Bonding Program'!$S$22=1,'Bonding Program'!$H$22&lt;='Bonding Program'!$C$8,H$3=IF('Bonding Program'!$P$22&lt;&gt;"",'Bonding Program'!$P$22,'Bonding Program'!$C$8)),'Bonding Program'!$Z$22,0)+IF(AND('Bonding Program'!$P$22&lt;&gt;"",H$3='Bonding Program'!$P$22,H$3&lt;='Bonding Program'!$C$8),N('Bonding Program'!$O$22),0)</f>
        <v>0</v>
      </c>
      <c r="I163" s="19" t="n">
        <f aca="false">IF(AND('Bonding Program'!$S$22=1,'Bonding Program'!$H$22&gt;'Bonding Program'!$C$8,I$3='Bonding Program'!$H$22),'Bonding Program'!$T$22-'Bonding Program'!$U$22-'Bonding Program'!$Z$22,0)-IF(AND('Bonding Program'!$S$22=1,'Bonding Program'!$H$22&lt;='Bonding Program'!$C$8,I$3=IF('Bonding Program'!$P$22&lt;&gt;"",'Bonding Program'!$P$22,'Bonding Program'!$C$8)),'Bonding Program'!$Z$22,0)+IF(AND('Bonding Program'!$P$22&lt;&gt;"",I$3='Bonding Program'!$P$22,I$3&lt;='Bonding Program'!$C$8),N('Bonding Program'!$O$22),0)</f>
        <v>0</v>
      </c>
      <c r="J163" s="19" t="n">
        <f aca="false">IF(AND('Bonding Program'!$S$22=1,'Bonding Program'!$H$22&gt;'Bonding Program'!$C$8,J$3='Bonding Program'!$H$22),'Bonding Program'!$T$22-'Bonding Program'!$U$22-'Bonding Program'!$Z$22,0)-IF(AND('Bonding Program'!$S$22=1,'Bonding Program'!$H$22&lt;='Bonding Program'!$C$8,J$3=IF('Bonding Program'!$P$22&lt;&gt;"",'Bonding Program'!$P$22,'Bonding Program'!$C$8)),'Bonding Program'!$Z$22,0)+IF(AND('Bonding Program'!$P$22&lt;&gt;"",J$3='Bonding Program'!$P$22,J$3&lt;='Bonding Program'!$C$8),N('Bonding Program'!$O$22),0)</f>
        <v>0</v>
      </c>
      <c r="K163" s="19" t="n">
        <f aca="false">IF(AND('Bonding Program'!$S$22=1,'Bonding Program'!$H$22&gt;'Bonding Program'!$C$8,K$3='Bonding Program'!$H$22),'Bonding Program'!$T$22-'Bonding Program'!$U$22-'Bonding Program'!$Z$22,0)-IF(AND('Bonding Program'!$S$22=1,'Bonding Program'!$H$22&lt;='Bonding Program'!$C$8,K$3=IF('Bonding Program'!$P$22&lt;&gt;"",'Bonding Program'!$P$22,'Bonding Program'!$C$8)),'Bonding Program'!$Z$22,0)+IF(AND('Bonding Program'!$P$22&lt;&gt;"",K$3='Bonding Program'!$P$22,K$3&lt;='Bonding Program'!$C$8),N('Bonding Program'!$O$22),0)</f>
        <v>0</v>
      </c>
      <c r="L163" s="19" t="n">
        <f aca="false">IF(AND('Bonding Program'!$S$22=1,'Bonding Program'!$H$22&gt;'Bonding Program'!$C$8,L$3='Bonding Program'!$H$22),'Bonding Program'!$T$22-'Bonding Program'!$U$22-'Bonding Program'!$Z$22,0)-IF(AND('Bonding Program'!$S$22=1,'Bonding Program'!$H$22&lt;='Bonding Program'!$C$8,L$3=IF('Bonding Program'!$P$22&lt;&gt;"",'Bonding Program'!$P$22,'Bonding Program'!$C$8)),'Bonding Program'!$Z$22,0)+IF(AND('Bonding Program'!$P$22&lt;&gt;"",L$3='Bonding Program'!$P$22,L$3&lt;='Bonding Program'!$C$8),N('Bonding Program'!$O$22),0)</f>
        <v>0</v>
      </c>
      <c r="M163" s="19" t="n">
        <f aca="false">IF(AND('Bonding Program'!$S$22=1,'Bonding Program'!$H$22&gt;'Bonding Program'!$C$8,M$3='Bonding Program'!$H$22),'Bonding Program'!$T$22-'Bonding Program'!$U$22-'Bonding Program'!$Z$22,0)-IF(AND('Bonding Program'!$S$22=1,'Bonding Program'!$H$22&lt;='Bonding Program'!$C$8,M$3=IF('Bonding Program'!$P$22&lt;&gt;"",'Bonding Program'!$P$22,'Bonding Program'!$C$8)),'Bonding Program'!$Z$22,0)+IF(AND('Bonding Program'!$P$22&lt;&gt;"",M$3='Bonding Program'!$P$22,M$3&lt;='Bonding Program'!$C$8),N('Bonding Program'!$O$22),0)</f>
        <v>0</v>
      </c>
      <c r="N163" s="19" t="n">
        <f aca="false">IF(AND('Bonding Program'!$S$22=1,'Bonding Program'!$H$22&gt;'Bonding Program'!$C$8,N$3='Bonding Program'!$H$22),'Bonding Program'!$T$22-'Bonding Program'!$U$22-'Bonding Program'!$Z$22,0)-IF(AND('Bonding Program'!$S$22=1,'Bonding Program'!$H$22&lt;='Bonding Program'!$C$8,N$3=IF('Bonding Program'!$P$22&lt;&gt;"",'Bonding Program'!$P$22,'Bonding Program'!$C$8)),'Bonding Program'!$Z$22,0)+IF(AND('Bonding Program'!$P$22&lt;&gt;"",N$3='Bonding Program'!$P$22,N$3&lt;='Bonding Program'!$C$8),N('Bonding Program'!$O$22),0)</f>
        <v>0</v>
      </c>
      <c r="O163" s="19" t="n">
        <f aca="false">IF(AND('Bonding Program'!$S$22=1,'Bonding Program'!$H$22&gt;'Bonding Program'!$C$8,O$3='Bonding Program'!$H$22),'Bonding Program'!$T$22-'Bonding Program'!$U$22-'Bonding Program'!$Z$22,0)-IF(AND('Bonding Program'!$S$22=1,'Bonding Program'!$H$22&lt;='Bonding Program'!$C$8,O$3=IF('Bonding Program'!$P$22&lt;&gt;"",'Bonding Program'!$P$22,'Bonding Program'!$C$8)),'Bonding Program'!$Z$22,0)+IF(AND('Bonding Program'!$P$22&lt;&gt;"",O$3='Bonding Program'!$P$22,O$3&lt;='Bonding Program'!$C$8),N('Bonding Program'!$O$22),0)</f>
        <v>0</v>
      </c>
      <c r="P163" s="19" t="n">
        <f aca="false">IF(AND('Bonding Program'!$S$22=1,'Bonding Program'!$H$22&gt;'Bonding Program'!$C$8,P$3='Bonding Program'!$H$22),'Bonding Program'!$T$22-'Bonding Program'!$U$22-'Bonding Program'!$Z$22,0)-IF(AND('Bonding Program'!$S$22=1,'Bonding Program'!$H$22&lt;='Bonding Program'!$C$8,P$3=IF('Bonding Program'!$P$22&lt;&gt;"",'Bonding Program'!$P$22,'Bonding Program'!$C$8)),'Bonding Program'!$Z$22,0)+IF(AND('Bonding Program'!$P$22&lt;&gt;"",P$3='Bonding Program'!$P$22,P$3&lt;='Bonding Program'!$C$8),N('Bonding Program'!$O$22),0)</f>
        <v>0</v>
      </c>
      <c r="Q163" s="19" t="n">
        <f aca="false">IF(AND('Bonding Program'!$S$22=1,'Bonding Program'!$H$22&gt;'Bonding Program'!$C$8,Q$3='Bonding Program'!$H$22),'Bonding Program'!$T$22-'Bonding Program'!$U$22-'Bonding Program'!$Z$22,0)-IF(AND('Bonding Program'!$S$22=1,'Bonding Program'!$H$22&lt;='Bonding Program'!$C$8,Q$3=IF('Bonding Program'!$P$22&lt;&gt;"",'Bonding Program'!$P$22,'Bonding Program'!$C$8)),'Bonding Program'!$Z$22,0)+IF(AND('Bonding Program'!$P$22&lt;&gt;"",Q$3='Bonding Program'!$P$22,Q$3&lt;='Bonding Program'!$C$8),N('Bonding Program'!$O$22),0)</f>
        <v>0</v>
      </c>
      <c r="R163" s="19" t="n">
        <f aca="false">IF(AND('Bonding Program'!$S$22=1,'Bonding Program'!$H$22&gt;'Bonding Program'!$C$8,R$3='Bonding Program'!$H$22),'Bonding Program'!$T$22-'Bonding Program'!$U$22-'Bonding Program'!$Z$22,0)-IF(AND('Bonding Program'!$S$22=1,'Bonding Program'!$H$22&lt;='Bonding Program'!$C$8,R$3=IF('Bonding Program'!$P$22&lt;&gt;"",'Bonding Program'!$P$22,'Bonding Program'!$C$8)),'Bonding Program'!$Z$22,0)+IF(AND('Bonding Program'!$P$22&lt;&gt;"",R$3='Bonding Program'!$P$22,R$3&lt;='Bonding Program'!$C$8),N('Bonding Program'!$O$22),0)</f>
        <v>0</v>
      </c>
      <c r="S163" s="19" t="n">
        <f aca="false">IF(AND('Bonding Program'!$S$22=1,'Bonding Program'!$H$22&gt;'Bonding Program'!$C$8,S$3='Bonding Program'!$H$22),'Bonding Program'!$T$22-'Bonding Program'!$U$22-'Bonding Program'!$Z$22,0)-IF(AND('Bonding Program'!$S$22=1,'Bonding Program'!$H$22&lt;='Bonding Program'!$C$8,S$3=IF('Bonding Program'!$P$22&lt;&gt;"",'Bonding Program'!$P$22,'Bonding Program'!$C$8)),'Bonding Program'!$Z$22,0)+IF(AND('Bonding Program'!$P$22&lt;&gt;"",S$3='Bonding Program'!$P$22,S$3&lt;='Bonding Program'!$C$8),N('Bonding Program'!$O$22),0)</f>
        <v>-583586.299509804</v>
      </c>
      <c r="T163" s="19" t="n">
        <f aca="false">IF(AND('Bonding Program'!$S$22=1,'Bonding Program'!$H$22&gt;'Bonding Program'!$C$8,T$3='Bonding Program'!$H$22),'Bonding Program'!$T$22-'Bonding Program'!$U$22-'Bonding Program'!$Z$22,0)-IF(AND('Bonding Program'!$S$22=1,'Bonding Program'!$H$22&lt;='Bonding Program'!$C$8,T$3=IF('Bonding Program'!$P$22&lt;&gt;"",'Bonding Program'!$P$22,'Bonding Program'!$C$8)),'Bonding Program'!$Z$22,0)+IF(AND('Bonding Program'!$P$22&lt;&gt;"",T$3='Bonding Program'!$P$22,T$3&lt;='Bonding Program'!$C$8),N('Bonding Program'!$O$22),0)</f>
        <v>0</v>
      </c>
      <c r="U163" s="19" t="n">
        <f aca="false">IF(AND('Bonding Program'!$S$22=1,'Bonding Program'!$H$22&gt;'Bonding Program'!$C$8,U$3='Bonding Program'!$H$22),'Bonding Program'!$T$22-'Bonding Program'!$U$22-'Bonding Program'!$Z$22,0)-IF(AND('Bonding Program'!$S$22=1,'Bonding Program'!$H$22&lt;='Bonding Program'!$C$8,U$3=IF('Bonding Program'!$P$22&lt;&gt;"",'Bonding Program'!$P$22,'Bonding Program'!$C$8)),'Bonding Program'!$Z$22,0)+IF(AND('Bonding Program'!$P$22&lt;&gt;"",U$3='Bonding Program'!$P$22,U$3&lt;='Bonding Program'!$C$8),N('Bonding Program'!$O$22),0)</f>
        <v>0</v>
      </c>
      <c r="V163" s="19" t="n">
        <f aca="false">IF(AND('Bonding Program'!$S$22=1,'Bonding Program'!$H$22&gt;'Bonding Program'!$C$8,V$3='Bonding Program'!$H$22),'Bonding Program'!$T$22-'Bonding Program'!$U$22-'Bonding Program'!$Z$22,0)-IF(AND('Bonding Program'!$S$22=1,'Bonding Program'!$H$22&lt;='Bonding Program'!$C$8,V$3=IF('Bonding Program'!$P$22&lt;&gt;"",'Bonding Program'!$P$22,'Bonding Program'!$C$8)),'Bonding Program'!$Z$22,0)+IF(AND('Bonding Program'!$P$22&lt;&gt;"",V$3='Bonding Program'!$P$22,V$3&lt;='Bonding Program'!$C$8),N('Bonding Program'!$O$22),0)</f>
        <v>0</v>
      </c>
      <c r="W163" s="19" t="n">
        <f aca="false">IF(AND('Bonding Program'!$S$22=1,'Bonding Program'!$H$22&gt;'Bonding Program'!$C$8,W$3='Bonding Program'!$H$22),'Bonding Program'!$T$22-'Bonding Program'!$U$22-'Bonding Program'!$Z$22,0)-IF(AND('Bonding Program'!$S$22=1,'Bonding Program'!$H$22&lt;='Bonding Program'!$C$8,W$3=IF('Bonding Program'!$P$22&lt;&gt;"",'Bonding Program'!$P$22,'Bonding Program'!$C$8)),'Bonding Program'!$Z$22,0)+IF(AND('Bonding Program'!$P$22&lt;&gt;"",W$3='Bonding Program'!$P$22,W$3&lt;='Bonding Program'!$C$8),N('Bonding Program'!$O$22),0)</f>
        <v>0</v>
      </c>
      <c r="X163" s="19" t="n">
        <f aca="false">IF(AND('Bonding Program'!$S$22=1,'Bonding Program'!$H$22&gt;'Bonding Program'!$C$8,X$3='Bonding Program'!$H$22),'Bonding Program'!$T$22-'Bonding Program'!$U$22-'Bonding Program'!$Z$22,0)-IF(AND('Bonding Program'!$S$22=1,'Bonding Program'!$H$22&lt;='Bonding Program'!$C$8,X$3=IF('Bonding Program'!$P$22&lt;&gt;"",'Bonding Program'!$P$22,'Bonding Program'!$C$8)),'Bonding Program'!$Z$22,0)+IF(AND('Bonding Program'!$P$22&lt;&gt;"",X$3='Bonding Program'!$P$22,X$3&lt;='Bonding Program'!$C$8),N('Bonding Program'!$O$22),0)</f>
        <v>0</v>
      </c>
      <c r="Y163" s="19" t="n">
        <f aca="false">IF(AND('Bonding Program'!$S$22=1,'Bonding Program'!$H$22&gt;'Bonding Program'!$C$8,Y$3='Bonding Program'!$H$22),'Bonding Program'!$T$22-'Bonding Program'!$U$22-'Bonding Program'!$Z$22,0)-IF(AND('Bonding Program'!$S$22=1,'Bonding Program'!$H$22&lt;='Bonding Program'!$C$8,Y$3=IF('Bonding Program'!$P$22&lt;&gt;"",'Bonding Program'!$P$22,'Bonding Program'!$C$8)),'Bonding Program'!$Z$22,0)+IF(AND('Bonding Program'!$P$22&lt;&gt;"",Y$3='Bonding Program'!$P$22,Y$3&lt;='Bonding Program'!$C$8),N('Bonding Program'!$O$22),0)</f>
        <v>0</v>
      </c>
      <c r="Z163" s="19" t="n">
        <f aca="false">IF(AND('Bonding Program'!$S$22=1,'Bonding Program'!$H$22&gt;'Bonding Program'!$C$8,Z$3='Bonding Program'!$H$22),'Bonding Program'!$T$22-'Bonding Program'!$U$22-'Bonding Program'!$Z$22,0)-IF(AND('Bonding Program'!$S$22=1,'Bonding Program'!$H$22&lt;='Bonding Program'!$C$8,Z$3=IF('Bonding Program'!$P$22&lt;&gt;"",'Bonding Program'!$P$22,'Bonding Program'!$C$8)),'Bonding Program'!$Z$22,0)+IF(AND('Bonding Program'!$P$22&lt;&gt;"",Z$3='Bonding Program'!$P$22,Z$3&lt;='Bonding Program'!$C$8),N('Bonding Program'!$O$22),0)</f>
        <v>0</v>
      </c>
      <c r="AA163" s="19" t="n">
        <f aca="false">IF(AND('Bonding Program'!$S$22=1,'Bonding Program'!$H$22&gt;'Bonding Program'!$C$8,AA$3='Bonding Program'!$H$22),'Bonding Program'!$T$22-'Bonding Program'!$U$22-'Bonding Program'!$Z$22,0)-IF(AND('Bonding Program'!$S$22=1,'Bonding Program'!$H$22&lt;='Bonding Program'!$C$8,AA$3=IF('Bonding Program'!$P$22&lt;&gt;"",'Bonding Program'!$P$22,'Bonding Program'!$C$8)),'Bonding Program'!$Z$22,0)+IF(AND('Bonding Program'!$P$22&lt;&gt;"",AA$3='Bonding Program'!$P$22,AA$3&lt;='Bonding Program'!$C$8),N('Bonding Program'!$O$22),0)</f>
        <v>0</v>
      </c>
      <c r="AB163" s="19" t="n">
        <f aca="false">IF(AND('Bonding Program'!$S$22=1,'Bonding Program'!$H$22&gt;'Bonding Program'!$C$8,AB$3='Bonding Program'!$H$22),'Bonding Program'!$T$22-'Bonding Program'!$U$22-'Bonding Program'!$Z$22,0)-IF(AND('Bonding Program'!$S$22=1,'Bonding Program'!$H$22&lt;='Bonding Program'!$C$8,AB$3=IF('Bonding Program'!$P$22&lt;&gt;"",'Bonding Program'!$P$22,'Bonding Program'!$C$8)),'Bonding Program'!$Z$22,0)+IF(AND('Bonding Program'!$P$22&lt;&gt;"",AB$3='Bonding Program'!$P$22,AB$3&lt;='Bonding Program'!$C$8),N('Bonding Program'!$O$22),0)</f>
        <v>0</v>
      </c>
      <c r="AC163" s="19" t="n">
        <f aca="false">IF(AND('Bonding Program'!$S$22=1,'Bonding Program'!$H$22&gt;'Bonding Program'!$C$8,AC$3='Bonding Program'!$H$22),'Bonding Program'!$T$22-'Bonding Program'!$U$22-'Bonding Program'!$Z$22,0)-IF(AND('Bonding Program'!$S$22=1,'Bonding Program'!$H$22&lt;='Bonding Program'!$C$8,AC$3=IF('Bonding Program'!$P$22&lt;&gt;"",'Bonding Program'!$P$22,'Bonding Program'!$C$8)),'Bonding Program'!$Z$22,0)+IF(AND('Bonding Program'!$P$22&lt;&gt;"",AC$3='Bonding Program'!$P$22,AC$3&lt;='Bonding Program'!$C$8),N('Bonding Program'!$O$22),0)</f>
        <v>0</v>
      </c>
      <c r="AD163" s="19" t="n">
        <f aca="false">IF(AND('Bonding Program'!$S$22=1,'Bonding Program'!$H$22&gt;'Bonding Program'!$C$8,AD$3='Bonding Program'!$H$22),'Bonding Program'!$T$22-'Bonding Program'!$U$22-'Bonding Program'!$Z$22,0)-IF(AND('Bonding Program'!$S$22=1,'Bonding Program'!$H$22&lt;='Bonding Program'!$C$8,AD$3=IF('Bonding Program'!$P$22&lt;&gt;"",'Bonding Program'!$P$22,'Bonding Program'!$C$8)),'Bonding Program'!$Z$22,0)+IF(AND('Bonding Program'!$P$22&lt;&gt;"",AD$3='Bonding Program'!$P$22,AD$3&lt;='Bonding Program'!$C$8),N('Bonding Program'!$O$22),0)</f>
        <v>0</v>
      </c>
      <c r="AE163" s="19" t="n">
        <f aca="false">IF(AND('Bonding Program'!$S$22=1,'Bonding Program'!$H$22&gt;'Bonding Program'!$C$8,AE$3='Bonding Program'!$H$22),'Bonding Program'!$T$22-'Bonding Program'!$U$22-'Bonding Program'!$Z$22,0)-IF(AND('Bonding Program'!$S$22=1,'Bonding Program'!$H$22&lt;='Bonding Program'!$C$8,AE$3=IF('Bonding Program'!$P$22&lt;&gt;"",'Bonding Program'!$P$22,'Bonding Program'!$C$8)),'Bonding Program'!$Z$22,0)+IF(AND('Bonding Program'!$P$22&lt;&gt;"",AE$3='Bonding Program'!$P$22,AE$3&lt;='Bonding Program'!$C$8),N('Bonding Program'!$O$22),0)</f>
        <v>0</v>
      </c>
      <c r="AF163" s="19" t="n">
        <f aca="false">IF(AND('Bonding Program'!$S$22=1,'Bonding Program'!$H$22&gt;'Bonding Program'!$C$8,AF$3='Bonding Program'!$H$22),'Bonding Program'!$T$22-'Bonding Program'!$U$22-'Bonding Program'!$Z$22,0)-IF(AND('Bonding Program'!$S$22=1,'Bonding Program'!$H$22&lt;='Bonding Program'!$C$8,AF$3=IF('Bonding Program'!$P$22&lt;&gt;"",'Bonding Program'!$P$22,'Bonding Program'!$C$8)),'Bonding Program'!$Z$22,0)+IF(AND('Bonding Program'!$P$22&lt;&gt;"",AF$3='Bonding Program'!$P$22,AF$3&lt;='Bonding Program'!$C$8),N('Bonding Program'!$O$22),0)</f>
        <v>0</v>
      </c>
      <c r="AG163" s="19" t="n">
        <f aca="false">IF(AND('Bonding Program'!$S$22=1,'Bonding Program'!$H$22&gt;'Bonding Program'!$C$8,AG$3='Bonding Program'!$H$22),'Bonding Program'!$T$22-'Bonding Program'!$U$22-'Bonding Program'!$Z$22,0)-IF(AND('Bonding Program'!$S$22=1,'Bonding Program'!$H$22&lt;='Bonding Program'!$C$8,AG$3=IF('Bonding Program'!$P$22&lt;&gt;"",'Bonding Program'!$P$22,'Bonding Program'!$C$8)),'Bonding Program'!$Z$22,0)+IF(AND('Bonding Program'!$P$22&lt;&gt;"",AG$3='Bonding Program'!$P$22,AG$3&lt;='Bonding Program'!$C$8),N('Bonding Program'!$O$22),0)</f>
        <v>0</v>
      </c>
      <c r="AH163" s="19" t="n">
        <f aca="false">IF(AND('Bonding Program'!$S$22=1,'Bonding Program'!$H$22&gt;'Bonding Program'!$C$8,AH$3='Bonding Program'!$H$22),'Bonding Program'!$T$22-'Bonding Program'!$U$22-'Bonding Program'!$Z$22,0)-IF(AND('Bonding Program'!$S$22=1,'Bonding Program'!$H$22&lt;='Bonding Program'!$C$8,AH$3=IF('Bonding Program'!$P$22&lt;&gt;"",'Bonding Program'!$P$22,'Bonding Program'!$C$8)),'Bonding Program'!$Z$22,0)+IF(AND('Bonding Program'!$P$22&lt;&gt;"",AH$3='Bonding Program'!$P$22,AH$3&lt;='Bonding Program'!$C$8),N('Bonding Program'!$O$22),0)</f>
        <v>0</v>
      </c>
      <c r="AI163" s="19" t="n">
        <f aca="false">IF(AND('Bonding Program'!$S$22=1,'Bonding Program'!$H$22&gt;'Bonding Program'!$C$8,AI$3='Bonding Program'!$H$22),'Bonding Program'!$T$22-'Bonding Program'!$U$22-'Bonding Program'!$Z$22,0)-IF(AND('Bonding Program'!$S$22=1,'Bonding Program'!$H$22&lt;='Bonding Program'!$C$8,AI$3=IF('Bonding Program'!$P$22&lt;&gt;"",'Bonding Program'!$P$22,'Bonding Program'!$C$8)),'Bonding Program'!$Z$22,0)+IF(AND('Bonding Program'!$P$22&lt;&gt;"",AI$3='Bonding Program'!$P$22,AI$3&lt;='Bonding Program'!$C$8),N('Bonding Program'!$O$22),0)</f>
        <v>0</v>
      </c>
      <c r="AJ163" s="19" t="n">
        <f aca="false">IF(AND('Bonding Program'!$S$22=1,'Bonding Program'!$H$22&gt;'Bonding Program'!$C$8,AJ$3='Bonding Program'!$H$22),'Bonding Program'!$T$22-'Bonding Program'!$U$22-'Bonding Program'!$Z$22,0)-IF(AND('Bonding Program'!$S$22=1,'Bonding Program'!$H$22&lt;='Bonding Program'!$C$8,AJ$3=IF('Bonding Program'!$P$22&lt;&gt;"",'Bonding Program'!$P$22,'Bonding Program'!$C$8)),'Bonding Program'!$Z$22,0)+IF(AND('Bonding Program'!$P$22&lt;&gt;"",AJ$3='Bonding Program'!$P$22,AJ$3&lt;='Bonding Program'!$C$8),N('Bonding Program'!$O$22),0)</f>
        <v>0</v>
      </c>
      <c r="AK163" s="19" t="n">
        <f aca="false">IF(AND('Bonding Program'!$S$22=1,'Bonding Program'!$H$22&gt;'Bonding Program'!$C$8,AK$3='Bonding Program'!$H$22),'Bonding Program'!$T$22-'Bonding Program'!$U$22-'Bonding Program'!$Z$22,0)-IF(AND('Bonding Program'!$S$22=1,'Bonding Program'!$H$22&lt;='Bonding Program'!$C$8,AK$3=IF('Bonding Program'!$P$22&lt;&gt;"",'Bonding Program'!$P$22,'Bonding Program'!$C$8)),'Bonding Program'!$Z$22,0)+IF(AND('Bonding Program'!$P$22&lt;&gt;"",AK$3='Bonding Program'!$P$22,AK$3&lt;='Bonding Program'!$C$8),N('Bonding Program'!$O$22),0)</f>
        <v>0</v>
      </c>
      <c r="AL163" s="19" t="n">
        <f aca="false">IF(AND('Bonding Program'!$S$22=1,'Bonding Program'!$H$22&gt;'Bonding Program'!$C$8,AL$3='Bonding Program'!$H$22),'Bonding Program'!$T$22-'Bonding Program'!$U$22-'Bonding Program'!$Z$22,0)-IF(AND('Bonding Program'!$S$22=1,'Bonding Program'!$H$22&lt;='Bonding Program'!$C$8,AL$3=IF('Bonding Program'!$P$22&lt;&gt;"",'Bonding Program'!$P$22,'Bonding Program'!$C$8)),'Bonding Program'!$Z$22,0)+IF(AND('Bonding Program'!$P$22&lt;&gt;"",AL$3='Bonding Program'!$P$22,AL$3&lt;='Bonding Program'!$C$8),N('Bonding Program'!$O$22),0)</f>
        <v>0</v>
      </c>
      <c r="AM163" s="19" t="n">
        <f aca="false">IF(AND('Bonding Program'!$S$22=1,'Bonding Program'!$H$22&gt;'Bonding Program'!$C$8,AM$3='Bonding Program'!$H$22),'Bonding Program'!$T$22-'Bonding Program'!$U$22-'Bonding Program'!$Z$22,0)-IF(AND('Bonding Program'!$S$22=1,'Bonding Program'!$H$22&lt;='Bonding Program'!$C$8,AM$3=IF('Bonding Program'!$P$22&lt;&gt;"",'Bonding Program'!$P$22,'Bonding Program'!$C$8)),'Bonding Program'!$Z$22,0)+IF(AND('Bonding Program'!$P$22&lt;&gt;"",AM$3='Bonding Program'!$P$22,AM$3&lt;='Bonding Program'!$C$8),N('Bonding Program'!$O$22),0)</f>
        <v>0</v>
      </c>
      <c r="AN163" s="19" t="n">
        <f aca="false">IF(AND('Bonding Program'!$S$22=1,'Bonding Program'!$H$22&gt;'Bonding Program'!$C$8,AN$3='Bonding Program'!$H$22),'Bonding Program'!$T$22-'Bonding Program'!$U$22-'Bonding Program'!$Z$22,0)-IF(AND('Bonding Program'!$S$22=1,'Bonding Program'!$H$22&lt;='Bonding Program'!$C$8,AN$3=IF('Bonding Program'!$P$22&lt;&gt;"",'Bonding Program'!$P$22,'Bonding Program'!$C$8)),'Bonding Program'!$Z$22,0)+IF(AND('Bonding Program'!$P$22&lt;&gt;"",AN$3='Bonding Program'!$P$22,AN$3&lt;='Bonding Program'!$C$8),N('Bonding Program'!$O$22),0)</f>
        <v>0</v>
      </c>
      <c r="AO163" s="19" t="n">
        <f aca="false">IF(AND('Bonding Program'!$S$22=1,'Bonding Program'!$H$22&gt;'Bonding Program'!$C$8,AO$3='Bonding Program'!$H$22),'Bonding Program'!$T$22-'Bonding Program'!$U$22-'Bonding Program'!$Z$22,0)-IF(AND('Bonding Program'!$S$22=1,'Bonding Program'!$H$22&lt;='Bonding Program'!$C$8,AO$3=IF('Bonding Program'!$P$22&lt;&gt;"",'Bonding Program'!$P$22,'Bonding Program'!$C$8)),'Bonding Program'!$Z$22,0)+IF(AND('Bonding Program'!$P$22&lt;&gt;"",AO$3='Bonding Program'!$P$22,AO$3&lt;='Bonding Program'!$C$8),N('Bonding Program'!$O$22),0)</f>
        <v>0</v>
      </c>
      <c r="AP163" s="19" t="n">
        <f aca="false">IF(AND('Bonding Program'!$S$22=1,'Bonding Program'!$H$22&gt;'Bonding Program'!$C$8,AP$3='Bonding Program'!$H$22),'Bonding Program'!$T$22-'Bonding Program'!$U$22-'Bonding Program'!$Z$22,0)-IF(AND('Bonding Program'!$S$22=1,'Bonding Program'!$H$22&lt;='Bonding Program'!$C$8,AP$3=IF('Bonding Program'!$P$22&lt;&gt;"",'Bonding Program'!$P$22,'Bonding Program'!$C$8)),'Bonding Program'!$Z$22,0)+IF(AND('Bonding Program'!$P$22&lt;&gt;"",AP$3='Bonding Program'!$P$22,AP$3&lt;='Bonding Program'!$C$8),N('Bonding Program'!$O$22),0)</f>
        <v>0</v>
      </c>
      <c r="AQ163" s="19" t="n">
        <f aca="false">IF(AND('Bonding Program'!$S$22=1,'Bonding Program'!$H$22&gt;'Bonding Program'!$C$8,AQ$3='Bonding Program'!$H$22),'Bonding Program'!$T$22-'Bonding Program'!$U$22-'Bonding Program'!$Z$22,0)-IF(AND('Bonding Program'!$S$22=1,'Bonding Program'!$H$22&lt;='Bonding Program'!$C$8,AQ$3=IF('Bonding Program'!$P$22&lt;&gt;"",'Bonding Program'!$P$22,'Bonding Program'!$C$8)),'Bonding Program'!$Z$22,0)+IF(AND('Bonding Program'!$P$22&lt;&gt;"",AQ$3='Bonding Program'!$P$22,AQ$3&lt;='Bonding Program'!$C$8),N('Bonding Program'!$O$22),0)</f>
        <v>0</v>
      </c>
      <c r="AR163" s="19" t="n">
        <f aca="false">IF(AND('Bonding Program'!$S$22=1,'Bonding Program'!$H$22&gt;'Bonding Program'!$C$8,AR$3='Bonding Program'!$H$22),'Bonding Program'!$T$22-'Bonding Program'!$U$22-'Bonding Program'!$Z$22,0)-IF(AND('Bonding Program'!$S$22=1,'Bonding Program'!$H$22&lt;='Bonding Program'!$C$8,AR$3=IF('Bonding Program'!$P$22&lt;&gt;"",'Bonding Program'!$P$22,'Bonding Program'!$C$8)),'Bonding Program'!$Z$22,0)+IF(AND('Bonding Program'!$P$22&lt;&gt;"",AR$3='Bonding Program'!$P$22,AR$3&lt;='Bonding Program'!$C$8),N('Bonding Program'!$O$22),0)</f>
        <v>0</v>
      </c>
      <c r="AS163" s="19" t="n">
        <f aca="false">IF(AND('Bonding Program'!$S$22=1,'Bonding Program'!$H$22&gt;'Bonding Program'!$C$8,AS$3='Bonding Program'!$H$22),'Bonding Program'!$T$22-'Bonding Program'!$U$22-'Bonding Program'!$Z$22,0)-IF(AND('Bonding Program'!$S$22=1,'Bonding Program'!$H$22&lt;='Bonding Program'!$C$8,AS$3=IF('Bonding Program'!$P$22&lt;&gt;"",'Bonding Program'!$P$22,'Bonding Program'!$C$8)),'Bonding Program'!$Z$22,0)+IF(AND('Bonding Program'!$P$22&lt;&gt;"",AS$3='Bonding Program'!$P$22,AS$3&lt;='Bonding Program'!$C$8),N('Bonding Program'!$O$22),0)</f>
        <v>0</v>
      </c>
      <c r="AT163" s="19" t="n">
        <f aca="false">IF(AND('Bonding Program'!$S$22=1,'Bonding Program'!$H$22&gt;'Bonding Program'!$C$8,AT$3='Bonding Program'!$H$22),'Bonding Program'!$T$22-'Bonding Program'!$U$22-'Bonding Program'!$Z$22,0)-IF(AND('Bonding Program'!$S$22=1,'Bonding Program'!$H$22&lt;='Bonding Program'!$C$8,AT$3=IF('Bonding Program'!$P$22&lt;&gt;"",'Bonding Program'!$P$22,'Bonding Program'!$C$8)),'Bonding Program'!$Z$22,0)+IF(AND('Bonding Program'!$P$22&lt;&gt;"",AT$3='Bonding Program'!$P$22,AT$3&lt;='Bonding Program'!$C$8),N('Bonding Program'!$O$22),0)</f>
        <v>0</v>
      </c>
      <c r="AU163" s="19" t="n">
        <f aca="false">IF(AND('Bonding Program'!$S$22=1,'Bonding Program'!$H$22&gt;'Bonding Program'!$C$8,AU$3='Bonding Program'!$H$22),'Bonding Program'!$T$22-'Bonding Program'!$U$22-'Bonding Program'!$Z$22,0)-IF(AND('Bonding Program'!$S$22=1,'Bonding Program'!$H$22&lt;='Bonding Program'!$C$8,AU$3=IF('Bonding Program'!$P$22&lt;&gt;"",'Bonding Program'!$P$22,'Bonding Program'!$C$8)),'Bonding Program'!$Z$22,0)+IF(AND('Bonding Program'!$P$22&lt;&gt;"",AU$3='Bonding Program'!$P$22,AU$3&lt;='Bonding Program'!$C$8),N('Bonding Program'!$O$22),0)</f>
        <v>0</v>
      </c>
      <c r="AV163" s="19" t="n">
        <f aca="false">IF(AND('Bonding Program'!$S$22=1,'Bonding Program'!$H$22&gt;'Bonding Program'!$C$8,AV$3='Bonding Program'!$H$22),'Bonding Program'!$T$22-'Bonding Program'!$U$22-'Bonding Program'!$Z$22,0)-IF(AND('Bonding Program'!$S$22=1,'Bonding Program'!$H$22&lt;='Bonding Program'!$C$8,AV$3=IF('Bonding Program'!$P$22&lt;&gt;"",'Bonding Program'!$P$22,'Bonding Program'!$C$8)),'Bonding Program'!$Z$22,0)+IF(AND('Bonding Program'!$P$22&lt;&gt;"",AV$3='Bonding Program'!$P$22,AV$3&lt;='Bonding Program'!$C$8),N('Bonding Program'!$O$22),0)</f>
        <v>0</v>
      </c>
      <c r="AW163" s="19" t="n">
        <f aca="false">IF(AND('Bonding Program'!$S$22=1,'Bonding Program'!$H$22&gt;'Bonding Program'!$C$8,AW$3='Bonding Program'!$H$22),'Bonding Program'!$T$22-'Bonding Program'!$U$22-'Bonding Program'!$Z$22,0)-IF(AND('Bonding Program'!$S$22=1,'Bonding Program'!$H$22&lt;='Bonding Program'!$C$8,AW$3=IF('Bonding Program'!$P$22&lt;&gt;"",'Bonding Program'!$P$22,'Bonding Program'!$C$8)),'Bonding Program'!$Z$22,0)+IF(AND('Bonding Program'!$P$22&lt;&gt;"",AW$3='Bonding Program'!$P$22,AW$3&lt;='Bonding Program'!$C$8),N('Bonding Program'!$O$22),0)</f>
        <v>0</v>
      </c>
      <c r="AX163" s="19" t="n">
        <f aca="false">IF(AND('Bonding Program'!$S$22=1,'Bonding Program'!$H$22&gt;'Bonding Program'!$C$8,AX$3='Bonding Program'!$H$22),'Bonding Program'!$T$22-'Bonding Program'!$U$22-'Bonding Program'!$Z$22,0)-IF(AND('Bonding Program'!$S$22=1,'Bonding Program'!$H$22&lt;='Bonding Program'!$C$8,AX$3=IF('Bonding Program'!$P$22&lt;&gt;"",'Bonding Program'!$P$22,'Bonding Program'!$C$8)),'Bonding Program'!$Z$22,0)+IF(AND('Bonding Program'!$P$22&lt;&gt;"",AX$3='Bonding Program'!$P$22,AX$3&lt;='Bonding Program'!$C$8),N('Bonding Program'!$O$22),0)</f>
        <v>0</v>
      </c>
      <c r="AY163" s="19" t="n">
        <f aca="false">IF(AND('Bonding Program'!$S$22=1,'Bonding Program'!$H$22&gt;'Bonding Program'!$C$8,AY$3='Bonding Program'!$H$22),'Bonding Program'!$T$22-'Bonding Program'!$U$22-'Bonding Program'!$Z$22,0)-IF(AND('Bonding Program'!$S$22=1,'Bonding Program'!$H$22&lt;='Bonding Program'!$C$8,AY$3=IF('Bonding Program'!$P$22&lt;&gt;"",'Bonding Program'!$P$22,'Bonding Program'!$C$8)),'Bonding Program'!$Z$22,0)+IF(AND('Bonding Program'!$P$22&lt;&gt;"",AY$3='Bonding Program'!$P$22,AY$3&lt;='Bonding Program'!$C$8),N('Bonding Program'!$O$22),0)</f>
        <v>0</v>
      </c>
      <c r="AZ163" s="19" t="n">
        <f aca="false">IF(AND('Bonding Program'!$S$22=1,'Bonding Program'!$H$22&gt;'Bonding Program'!$C$8,AZ$3='Bonding Program'!$H$22),'Bonding Program'!$T$22-'Bonding Program'!$U$22-'Bonding Program'!$Z$22,0)-IF(AND('Bonding Program'!$S$22=1,'Bonding Program'!$H$22&lt;='Bonding Program'!$C$8,AZ$3=IF('Bonding Program'!$P$22&lt;&gt;"",'Bonding Program'!$P$22,'Bonding Program'!$C$8)),'Bonding Program'!$Z$22,0)+IF(AND('Bonding Program'!$P$22&lt;&gt;"",AZ$3='Bonding Program'!$P$22,AZ$3&lt;='Bonding Program'!$C$8),N('Bonding Program'!$O$22),0)</f>
        <v>0</v>
      </c>
      <c r="BA163" s="19" t="n">
        <f aca="false">IF(AND('Bonding Program'!$S$22=1,'Bonding Program'!$H$22&gt;'Bonding Program'!$C$8,BA$3='Bonding Program'!$H$22),'Bonding Program'!$T$22-'Bonding Program'!$U$22-'Bonding Program'!$Z$22,0)-IF(AND('Bonding Program'!$S$22=1,'Bonding Program'!$H$22&lt;='Bonding Program'!$C$8,BA$3=IF('Bonding Program'!$P$22&lt;&gt;"",'Bonding Program'!$P$22,'Bonding Program'!$C$8)),'Bonding Program'!$Z$22,0)+IF(AND('Bonding Program'!$P$22&lt;&gt;"",BA$3='Bonding Program'!$P$22,BA$3&lt;='Bonding Program'!$C$8),N('Bonding Program'!$O$22),0)</f>
        <v>0</v>
      </c>
      <c r="BB163" s="19" t="n">
        <f aca="false">IF(AND('Bonding Program'!$S$22=1,'Bonding Program'!$H$22&gt;'Bonding Program'!$C$8,BB$3='Bonding Program'!$H$22),'Bonding Program'!$T$22-'Bonding Program'!$U$22-'Bonding Program'!$Z$22,0)-IF(AND('Bonding Program'!$S$22=1,'Bonding Program'!$H$22&lt;='Bonding Program'!$C$8,BB$3=IF('Bonding Program'!$P$22&lt;&gt;"",'Bonding Program'!$P$22,'Bonding Program'!$C$8)),'Bonding Program'!$Z$22,0)+IF(AND('Bonding Program'!$P$22&lt;&gt;"",BB$3='Bonding Program'!$P$22,BB$3&lt;='Bonding Program'!$C$8),N('Bonding Program'!$O$22),0)</f>
        <v>0</v>
      </c>
      <c r="BC163" s="19" t="n">
        <f aca="false">IF(AND('Bonding Program'!$S$22=1,'Bonding Program'!$H$22&gt;'Bonding Program'!$C$8,BC$3='Bonding Program'!$H$22),'Bonding Program'!$T$22-'Bonding Program'!$U$22-'Bonding Program'!$Z$22,0)-IF(AND('Bonding Program'!$S$22=1,'Bonding Program'!$H$22&lt;='Bonding Program'!$C$8,BC$3=IF('Bonding Program'!$P$22&lt;&gt;"",'Bonding Program'!$P$22,'Bonding Program'!$C$8)),'Bonding Program'!$Z$22,0)+IF(AND('Bonding Program'!$P$22&lt;&gt;"",BC$3='Bonding Program'!$P$22,BC$3&lt;='Bonding Program'!$C$8),N('Bonding Program'!$O$22),0)</f>
        <v>0</v>
      </c>
      <c r="BD163" s="19" t="n">
        <f aca="false">IF(AND('Bonding Program'!$S$22=1,'Bonding Program'!$H$22&gt;'Bonding Program'!$C$8,BD$3='Bonding Program'!$H$22),'Bonding Program'!$T$22-'Bonding Program'!$U$22-'Bonding Program'!$Z$22,0)-IF(AND('Bonding Program'!$S$22=1,'Bonding Program'!$H$22&lt;='Bonding Program'!$C$8,BD$3=IF('Bonding Program'!$P$22&lt;&gt;"",'Bonding Program'!$P$22,'Bonding Program'!$C$8)),'Bonding Program'!$Z$22,0)+IF(AND('Bonding Program'!$P$22&lt;&gt;"",BD$3='Bonding Program'!$P$22,BD$3&lt;='Bonding Program'!$C$8),N('Bonding Program'!$O$22),0)</f>
        <v>0</v>
      </c>
      <c r="BE163" s="19" t="n">
        <f aca="false">IF(AND('Bonding Program'!$S$22=1,'Bonding Program'!$H$22&gt;'Bonding Program'!$C$8,BE$3='Bonding Program'!$H$22),'Bonding Program'!$T$22-'Bonding Program'!$U$22-'Bonding Program'!$Z$22,0)-IF(AND('Bonding Program'!$S$22=1,'Bonding Program'!$H$22&lt;='Bonding Program'!$C$8,BE$3=IF('Bonding Program'!$P$22&lt;&gt;"",'Bonding Program'!$P$22,'Bonding Program'!$C$8)),'Bonding Program'!$Z$22,0)+IF(AND('Bonding Program'!$P$22&lt;&gt;"",BE$3='Bonding Program'!$P$22,BE$3&lt;='Bonding Program'!$C$8),N('Bonding Program'!$O$22),0)</f>
        <v>0</v>
      </c>
      <c r="BF163" s="19" t="n">
        <f aca="false">IF(AND('Bonding Program'!$S$22=1,'Bonding Program'!$H$22&gt;'Bonding Program'!$C$8,BF$3='Bonding Program'!$H$22),'Bonding Program'!$T$22-'Bonding Program'!$U$22-'Bonding Program'!$Z$22,0)-IF(AND('Bonding Program'!$S$22=1,'Bonding Program'!$H$22&lt;='Bonding Program'!$C$8,BF$3=IF('Bonding Program'!$P$22&lt;&gt;"",'Bonding Program'!$P$22,'Bonding Program'!$C$8)),'Bonding Program'!$Z$22,0)+IF(AND('Bonding Program'!$P$22&lt;&gt;"",BF$3='Bonding Program'!$P$22,BF$3&lt;='Bonding Program'!$C$8),N('Bonding Program'!$O$22),0)</f>
        <v>0</v>
      </c>
      <c r="BG163" s="19" t="n">
        <f aca="false">IF(AND('Bonding Program'!$S$22=1,'Bonding Program'!$H$22&gt;'Bonding Program'!$C$8,BG$3='Bonding Program'!$H$22),'Bonding Program'!$T$22-'Bonding Program'!$U$22-'Bonding Program'!$Z$22,0)-IF(AND('Bonding Program'!$S$22=1,'Bonding Program'!$H$22&lt;='Bonding Program'!$C$8,BG$3=IF('Bonding Program'!$P$22&lt;&gt;"",'Bonding Program'!$P$22,'Bonding Program'!$C$8)),'Bonding Program'!$Z$22,0)+IF(AND('Bonding Program'!$P$22&lt;&gt;"",BG$3='Bonding Program'!$P$22,BG$3&lt;='Bonding Program'!$C$8),N('Bonding Program'!$O$22),0)</f>
        <v>0</v>
      </c>
      <c r="BH163" s="19" t="n">
        <f aca="false">IF(AND('Bonding Program'!$S$22=1,'Bonding Program'!$H$22&gt;'Bonding Program'!$C$8,BH$3='Bonding Program'!$H$22),'Bonding Program'!$T$22-'Bonding Program'!$U$22-'Bonding Program'!$Z$22,0)-IF(AND('Bonding Program'!$S$22=1,'Bonding Program'!$H$22&lt;='Bonding Program'!$C$8,BH$3=IF('Bonding Program'!$P$22&lt;&gt;"",'Bonding Program'!$P$22,'Bonding Program'!$C$8)),'Bonding Program'!$Z$22,0)+IF(AND('Bonding Program'!$P$22&lt;&gt;"",BH$3='Bonding Program'!$P$22,BH$3&lt;='Bonding Program'!$C$8),N('Bonding Program'!$O$22),0)</f>
        <v>0</v>
      </c>
      <c r="BI163" s="19" t="n">
        <f aca="false">IF(AND('Bonding Program'!$S$22=1,'Bonding Program'!$H$22&gt;'Bonding Program'!$C$8,BI$3='Bonding Program'!$H$22),'Bonding Program'!$T$22-'Bonding Program'!$U$22-'Bonding Program'!$Z$22,0)-IF(AND('Bonding Program'!$S$22=1,'Bonding Program'!$H$22&lt;='Bonding Program'!$C$8,BI$3=IF('Bonding Program'!$P$22&lt;&gt;"",'Bonding Program'!$P$22,'Bonding Program'!$C$8)),'Bonding Program'!$Z$22,0)+IF(AND('Bonding Program'!$P$22&lt;&gt;"",BI$3='Bonding Program'!$P$22,BI$3&lt;='Bonding Program'!$C$8),N('Bonding Program'!$O$22),0)</f>
        <v>0</v>
      </c>
      <c r="BJ163" s="19" t="n">
        <f aca="false">IF(AND('Bonding Program'!$S$22=1,'Bonding Program'!$H$22&gt;'Bonding Program'!$C$8,BJ$3='Bonding Program'!$H$22),'Bonding Program'!$T$22-'Bonding Program'!$U$22-'Bonding Program'!$Z$22,0)-IF(AND('Bonding Program'!$S$22=1,'Bonding Program'!$H$22&lt;='Bonding Program'!$C$8,BJ$3=IF('Bonding Program'!$P$22&lt;&gt;"",'Bonding Program'!$P$22,'Bonding Program'!$C$8)),'Bonding Program'!$Z$22,0)+IF(AND('Bonding Program'!$P$22&lt;&gt;"",BJ$3='Bonding Program'!$P$22,BJ$3&lt;='Bonding Program'!$C$8),N('Bonding Program'!$O$22),0)</f>
        <v>0</v>
      </c>
      <c r="BK163" s="19" t="n">
        <f aca="false">IF(AND('Bonding Program'!$S$22=1,'Bonding Program'!$H$22&gt;'Bonding Program'!$C$8,BK$3='Bonding Program'!$H$22),'Bonding Program'!$T$22-'Bonding Program'!$U$22-'Bonding Program'!$Z$22,0)-IF(AND('Bonding Program'!$S$22=1,'Bonding Program'!$H$22&lt;='Bonding Program'!$C$8,BK$3=IF('Bonding Program'!$P$22&lt;&gt;"",'Bonding Program'!$P$22,'Bonding Program'!$C$8)),'Bonding Program'!$Z$22,0)+IF(AND('Bonding Program'!$P$22&lt;&gt;"",BK$3='Bonding Program'!$P$22,BK$3&lt;='Bonding Program'!$C$8),N('Bonding Program'!$O$22),0)</f>
        <v>0</v>
      </c>
      <c r="BL163" s="19" t="n">
        <f aca="false">IF(AND('Bonding Program'!$S$22=1,'Bonding Program'!$H$22&gt;'Bonding Program'!$C$8,BL$3='Bonding Program'!$H$22),'Bonding Program'!$T$22-'Bonding Program'!$U$22-'Bonding Program'!$Z$22,0)-IF(AND('Bonding Program'!$S$22=1,'Bonding Program'!$H$22&lt;='Bonding Program'!$C$8,BL$3=IF('Bonding Program'!$P$22&lt;&gt;"",'Bonding Program'!$P$22,'Bonding Program'!$C$8)),'Bonding Program'!$Z$22,0)+IF(AND('Bonding Program'!$P$22&lt;&gt;"",BL$3='Bonding Program'!$P$22,BL$3&lt;='Bonding Program'!$C$8),N('Bonding Program'!$O$22),0)</f>
        <v>0</v>
      </c>
      <c r="BM163" s="19" t="n">
        <f aca="false">IF(AND('Bonding Program'!$S$22=1,'Bonding Program'!$H$22&gt;'Bonding Program'!$C$8,BM$3='Bonding Program'!$H$22),'Bonding Program'!$T$22-'Bonding Program'!$U$22-'Bonding Program'!$Z$22,0)-IF(AND('Bonding Program'!$S$22=1,'Bonding Program'!$H$22&lt;='Bonding Program'!$C$8,BM$3=IF('Bonding Program'!$P$22&lt;&gt;"",'Bonding Program'!$P$22,'Bonding Program'!$C$8)),'Bonding Program'!$Z$22,0)+IF(AND('Bonding Program'!$P$22&lt;&gt;"",BM$3='Bonding Program'!$P$22,BM$3&lt;='Bonding Program'!$C$8),N('Bonding Program'!$O$22),0)</f>
        <v>0</v>
      </c>
      <c r="BN163" s="19" t="n">
        <f aca="false">IF(AND('Bonding Program'!$S$22=1,'Bonding Program'!$H$22&gt;'Bonding Program'!$C$8,BN$3='Bonding Program'!$H$22),'Bonding Program'!$T$22-'Bonding Program'!$U$22-'Bonding Program'!$Z$22,0)-IF(AND('Bonding Program'!$S$22=1,'Bonding Program'!$H$22&lt;='Bonding Program'!$C$8,BN$3=IF('Bonding Program'!$P$22&lt;&gt;"",'Bonding Program'!$P$22,'Bonding Program'!$C$8)),'Bonding Program'!$Z$22,0)+IF(AND('Bonding Program'!$P$22&lt;&gt;"",BN$3='Bonding Program'!$P$22,BN$3&lt;='Bonding Program'!$C$8),N('Bonding Program'!$O$22),0)</f>
        <v>0</v>
      </c>
      <c r="BO163" s="19" t="n">
        <f aca="false">IF(AND('Bonding Program'!$S$22=1,'Bonding Program'!$H$22&gt;'Bonding Program'!$C$8,BO$3='Bonding Program'!$H$22),'Bonding Program'!$T$22-'Bonding Program'!$U$22-'Bonding Program'!$Z$22,0)-IF(AND('Bonding Program'!$S$22=1,'Bonding Program'!$H$22&lt;='Bonding Program'!$C$8,BO$3=IF('Bonding Program'!$P$22&lt;&gt;"",'Bonding Program'!$P$22,'Bonding Program'!$C$8)),'Bonding Program'!$Z$22,0)+IF(AND('Bonding Program'!$P$22&lt;&gt;"",BO$3='Bonding Program'!$P$22,BO$3&lt;='Bonding Program'!$C$8),N('Bonding Program'!$O$22),0)</f>
        <v>0</v>
      </c>
      <c r="BP163" s="19" t="n">
        <f aca="false">IF(AND('Bonding Program'!$S$22=1,'Bonding Program'!$H$22&gt;'Bonding Program'!$C$8,BP$3='Bonding Program'!$H$22),'Bonding Program'!$T$22-'Bonding Program'!$U$22-'Bonding Program'!$Z$22,0)-IF(AND('Bonding Program'!$S$22=1,'Bonding Program'!$H$22&lt;='Bonding Program'!$C$8,BP$3=IF('Bonding Program'!$P$22&lt;&gt;"",'Bonding Program'!$P$22,'Bonding Program'!$C$8)),'Bonding Program'!$Z$22,0)+IF(AND('Bonding Program'!$P$22&lt;&gt;"",BP$3='Bonding Program'!$P$22,BP$3&lt;='Bonding Program'!$C$8),N('Bonding Program'!$O$22),0)</f>
        <v>0</v>
      </c>
      <c r="BQ163" s="19" t="n">
        <f aca="false">IF(AND('Bonding Program'!$S$22=1,'Bonding Program'!$H$22&gt;'Bonding Program'!$C$8,BQ$3='Bonding Program'!$H$22),'Bonding Program'!$T$22-'Bonding Program'!$U$22-'Bonding Program'!$Z$22,0)-IF(AND('Bonding Program'!$S$22=1,'Bonding Program'!$H$22&lt;='Bonding Program'!$C$8,BQ$3=IF('Bonding Program'!$P$22&lt;&gt;"",'Bonding Program'!$P$22,'Bonding Program'!$C$8)),'Bonding Program'!$Z$22,0)+IF(AND('Bonding Program'!$P$22&lt;&gt;"",BQ$3='Bonding Program'!$P$22,BQ$3&lt;='Bonding Program'!$C$8),N('Bonding Program'!$O$22),0)</f>
        <v>0</v>
      </c>
      <c r="BR163" s="19" t="n">
        <f aca="false">IF(AND('Bonding Program'!$S$22=1,'Bonding Program'!$H$22&gt;'Bonding Program'!$C$8,BR$3='Bonding Program'!$H$22),'Bonding Program'!$T$22-'Bonding Program'!$U$22-'Bonding Program'!$Z$22,0)-IF(AND('Bonding Program'!$S$22=1,'Bonding Program'!$H$22&lt;='Bonding Program'!$C$8,BR$3=IF('Bonding Program'!$P$22&lt;&gt;"",'Bonding Program'!$P$22,'Bonding Program'!$C$8)),'Bonding Program'!$Z$22,0)+IF(AND('Bonding Program'!$P$22&lt;&gt;"",BR$3='Bonding Program'!$P$22,BR$3&lt;='Bonding Program'!$C$8),N('Bonding Program'!$O$22),0)</f>
        <v>0</v>
      </c>
      <c r="BS163" s="19" t="n">
        <f aca="false">IF(AND('Bonding Program'!$S$22=1,'Bonding Program'!$H$22&gt;'Bonding Program'!$C$8,BS$3='Bonding Program'!$H$22),'Bonding Program'!$T$22-'Bonding Program'!$U$22-'Bonding Program'!$Z$22,0)-IF(AND('Bonding Program'!$S$22=1,'Bonding Program'!$H$22&lt;='Bonding Program'!$C$8,BS$3=IF('Bonding Program'!$P$22&lt;&gt;"",'Bonding Program'!$P$22,'Bonding Program'!$C$8)),'Bonding Program'!$Z$22,0)+IF(AND('Bonding Program'!$P$22&lt;&gt;"",BS$3='Bonding Program'!$P$22,BS$3&lt;='Bonding Program'!$C$8),N('Bonding Program'!$O$22),0)</f>
        <v>0</v>
      </c>
      <c r="BT163" s="19" t="n">
        <f aca="false">IF(AND('Bonding Program'!$S$22=1,'Bonding Program'!$H$22&gt;'Bonding Program'!$C$8,BT$3='Bonding Program'!$H$22),'Bonding Program'!$T$22-'Bonding Program'!$U$22-'Bonding Program'!$Z$22,0)-IF(AND('Bonding Program'!$S$22=1,'Bonding Program'!$H$22&lt;='Bonding Program'!$C$8,BT$3=IF('Bonding Program'!$P$22&lt;&gt;"",'Bonding Program'!$P$22,'Bonding Program'!$C$8)),'Bonding Program'!$Z$22,0)+IF(AND('Bonding Program'!$P$22&lt;&gt;"",BT$3='Bonding Program'!$P$22,BT$3&lt;='Bonding Program'!$C$8),N('Bonding Program'!$O$22),0)</f>
        <v>0</v>
      </c>
      <c r="BU163" s="19" t="n">
        <f aca="false">IF(AND('Bonding Program'!$S$22=1,'Bonding Program'!$H$22&gt;'Bonding Program'!$C$8,BU$3='Bonding Program'!$H$22),'Bonding Program'!$T$22-'Bonding Program'!$U$22-'Bonding Program'!$Z$22,0)-IF(AND('Bonding Program'!$S$22=1,'Bonding Program'!$H$22&lt;='Bonding Program'!$C$8,BU$3=IF('Bonding Program'!$P$22&lt;&gt;"",'Bonding Program'!$P$22,'Bonding Program'!$C$8)),'Bonding Program'!$Z$22,0)+IF(AND('Bonding Program'!$P$22&lt;&gt;"",BU$3='Bonding Program'!$P$22,BU$3&lt;='Bonding Program'!$C$8),N('Bonding Program'!$O$22),0)</f>
        <v>0</v>
      </c>
      <c r="BV163" s="19" t="n">
        <f aca="false">IF(AND('Bonding Program'!$S$22=1,'Bonding Program'!$H$22&gt;'Bonding Program'!$C$8,BV$3='Bonding Program'!$H$22),'Bonding Program'!$T$22-'Bonding Program'!$U$22-'Bonding Program'!$Z$22,0)-IF(AND('Bonding Program'!$S$22=1,'Bonding Program'!$H$22&lt;='Bonding Program'!$C$8,BV$3=IF('Bonding Program'!$P$22&lt;&gt;"",'Bonding Program'!$P$22,'Bonding Program'!$C$8)),'Bonding Program'!$Z$22,0)+IF(AND('Bonding Program'!$P$22&lt;&gt;"",BV$3='Bonding Program'!$P$22,BV$3&lt;='Bonding Program'!$C$8),N('Bonding Program'!$O$22),0)</f>
        <v>0</v>
      </c>
      <c r="BW163" s="19" t="n">
        <f aca="false">IF(AND('Bonding Program'!$S$22=1,'Bonding Program'!$H$22&gt;'Bonding Program'!$C$8,BW$3='Bonding Program'!$H$22),'Bonding Program'!$T$22-'Bonding Program'!$U$22-'Bonding Program'!$Z$22,0)-IF(AND('Bonding Program'!$S$22=1,'Bonding Program'!$H$22&lt;='Bonding Program'!$C$8,BW$3=IF('Bonding Program'!$P$22&lt;&gt;"",'Bonding Program'!$P$22,'Bonding Program'!$C$8)),'Bonding Program'!$Z$22,0)+IF(AND('Bonding Program'!$P$22&lt;&gt;"",BW$3='Bonding Program'!$P$22,BW$3&lt;='Bonding Program'!$C$8),N('Bonding Program'!$O$22),0)</f>
        <v>0</v>
      </c>
      <c r="BX163" s="19" t="n">
        <f aca="false">IF(AND('Bonding Program'!$S$22=1,'Bonding Program'!$H$22&gt;'Bonding Program'!$C$8,BX$3='Bonding Program'!$H$22),'Bonding Program'!$T$22-'Bonding Program'!$U$22-'Bonding Program'!$Z$22,0)-IF(AND('Bonding Program'!$S$22=1,'Bonding Program'!$H$22&lt;='Bonding Program'!$C$8,BX$3=IF('Bonding Program'!$P$22&lt;&gt;"",'Bonding Program'!$P$22,'Bonding Program'!$C$8)),'Bonding Program'!$Z$22,0)+IF(AND('Bonding Program'!$P$22&lt;&gt;"",BX$3='Bonding Program'!$P$22,BX$3&lt;='Bonding Program'!$C$8),N('Bonding Program'!$O$22),0)</f>
        <v>0</v>
      </c>
      <c r="BY163" s="19" t="n">
        <f aca="false">IF(AND('Bonding Program'!$S$22=1,'Bonding Program'!$H$22&gt;'Bonding Program'!$C$8,BY$3='Bonding Program'!$H$22),'Bonding Program'!$T$22-'Bonding Program'!$U$22-'Bonding Program'!$Z$22,0)-IF(AND('Bonding Program'!$S$22=1,'Bonding Program'!$H$22&lt;='Bonding Program'!$C$8,BY$3=IF('Bonding Program'!$P$22&lt;&gt;"",'Bonding Program'!$P$22,'Bonding Program'!$C$8)),'Bonding Program'!$Z$22,0)+IF(AND('Bonding Program'!$P$22&lt;&gt;"",BY$3='Bonding Program'!$P$22,BY$3&lt;='Bonding Program'!$C$8),N('Bonding Program'!$O$22),0)</f>
        <v>0</v>
      </c>
      <c r="BZ163" s="19" t="n">
        <f aca="false">IF(AND('Bonding Program'!$S$22=1,'Bonding Program'!$H$22&gt;'Bonding Program'!$C$8,BZ$3='Bonding Program'!$H$22),'Bonding Program'!$T$22-'Bonding Program'!$U$22-'Bonding Program'!$Z$22,0)-IF(AND('Bonding Program'!$S$22=1,'Bonding Program'!$H$22&lt;='Bonding Program'!$C$8,BZ$3=IF('Bonding Program'!$P$22&lt;&gt;"",'Bonding Program'!$P$22,'Bonding Program'!$C$8)),'Bonding Program'!$Z$22,0)+IF(AND('Bonding Program'!$P$22&lt;&gt;"",BZ$3='Bonding Program'!$P$22,BZ$3&lt;='Bonding Program'!$C$8),N('Bonding Program'!$O$22),0)</f>
        <v>0</v>
      </c>
      <c r="CA163" s="19" t="n">
        <f aca="false">IF(AND('Bonding Program'!$S$22=1,'Bonding Program'!$H$22&gt;'Bonding Program'!$C$8,CA$3='Bonding Program'!$H$22),'Bonding Program'!$T$22-'Bonding Program'!$U$22-'Bonding Program'!$Z$22,0)-IF(AND('Bonding Program'!$S$22=1,'Bonding Program'!$H$22&lt;='Bonding Program'!$C$8,CA$3=IF('Bonding Program'!$P$22&lt;&gt;"",'Bonding Program'!$P$22,'Bonding Program'!$C$8)),'Bonding Program'!$Z$22,0)+IF(AND('Bonding Program'!$P$22&lt;&gt;"",CA$3='Bonding Program'!$P$22,CA$3&lt;='Bonding Program'!$C$8),N('Bonding Program'!$O$22),0)</f>
        <v>0</v>
      </c>
      <c r="CB163" s="19" t="n">
        <f aca="false">IF(AND('Bonding Program'!$S$22=1,'Bonding Program'!$H$22&gt;'Bonding Program'!$C$8,CB$3='Bonding Program'!$H$22),'Bonding Program'!$T$22-'Bonding Program'!$U$22-'Bonding Program'!$Z$22,0)-IF(AND('Bonding Program'!$S$22=1,'Bonding Program'!$H$22&lt;='Bonding Program'!$C$8,CB$3=IF('Bonding Program'!$P$22&lt;&gt;"",'Bonding Program'!$P$22,'Bonding Program'!$C$8)),'Bonding Program'!$Z$22,0)+IF(AND('Bonding Program'!$P$22&lt;&gt;"",CB$3='Bonding Program'!$P$22,CB$3&lt;='Bonding Program'!$C$8),N('Bonding Program'!$O$22),0)</f>
        <v>0</v>
      </c>
      <c r="CC163" s="19" t="n">
        <f aca="false">IF(AND('Bonding Program'!$S$22=1,'Bonding Program'!$H$22&gt;'Bonding Program'!$C$8,CC$3='Bonding Program'!$H$22),'Bonding Program'!$T$22-'Bonding Program'!$U$22-'Bonding Program'!$Z$22,0)-IF(AND('Bonding Program'!$S$22=1,'Bonding Program'!$H$22&lt;='Bonding Program'!$C$8,CC$3=IF('Bonding Program'!$P$22&lt;&gt;"",'Bonding Program'!$P$22,'Bonding Program'!$C$8)),'Bonding Program'!$Z$22,0)+IF(AND('Bonding Program'!$P$22&lt;&gt;"",CC$3='Bonding Program'!$P$22,CC$3&lt;='Bonding Program'!$C$8),N('Bonding Program'!$O$22),0)</f>
        <v>0</v>
      </c>
      <c r="CD163" s="19" t="n">
        <f aca="false">IF(AND('Bonding Program'!$S$22=1,'Bonding Program'!$H$22&gt;'Bonding Program'!$C$8,CD$3='Bonding Program'!$H$22),'Bonding Program'!$T$22-'Bonding Program'!$U$22-'Bonding Program'!$Z$22,0)-IF(AND('Bonding Program'!$S$22=1,'Bonding Program'!$H$22&lt;='Bonding Program'!$C$8,CD$3=IF('Bonding Program'!$P$22&lt;&gt;"",'Bonding Program'!$P$22,'Bonding Program'!$C$8)),'Bonding Program'!$Z$22,0)+IF(AND('Bonding Program'!$P$22&lt;&gt;"",CD$3='Bonding Program'!$P$22,CD$3&lt;='Bonding Program'!$C$8),N('Bonding Program'!$O$22),0)</f>
        <v>0</v>
      </c>
      <c r="CE163" s="19" t="n">
        <f aca="false">IF(AND('Bonding Program'!$S$22=1,'Bonding Program'!$H$22&gt;'Bonding Program'!$C$8,CE$3='Bonding Program'!$H$22),'Bonding Program'!$T$22-'Bonding Program'!$U$22-'Bonding Program'!$Z$22,0)-IF(AND('Bonding Program'!$S$22=1,'Bonding Program'!$H$22&lt;='Bonding Program'!$C$8,CE$3=IF('Bonding Program'!$P$22&lt;&gt;"",'Bonding Program'!$P$22,'Bonding Program'!$C$8)),'Bonding Program'!$Z$22,0)+IF(AND('Bonding Program'!$P$22&lt;&gt;"",CE$3='Bonding Program'!$P$22,CE$3&lt;='Bonding Program'!$C$8),N('Bonding Program'!$O$22),0)</f>
        <v>0</v>
      </c>
      <c r="CF163" s="19" t="n">
        <f aca="false">IF(AND('Bonding Program'!$S$22=1,'Bonding Program'!$H$22&gt;'Bonding Program'!$C$8,CF$3='Bonding Program'!$H$22),'Bonding Program'!$T$22-'Bonding Program'!$U$22-'Bonding Program'!$Z$22,0)-IF(AND('Bonding Program'!$S$22=1,'Bonding Program'!$H$22&lt;='Bonding Program'!$C$8,CF$3=IF('Bonding Program'!$P$22&lt;&gt;"",'Bonding Program'!$P$22,'Bonding Program'!$C$8)),'Bonding Program'!$Z$22,0)+IF(AND('Bonding Program'!$P$22&lt;&gt;"",CF$3='Bonding Program'!$P$22,CF$3&lt;='Bonding Program'!$C$8),N('Bonding Program'!$O$22),0)</f>
        <v>0</v>
      </c>
      <c r="CG163" s="19" t="n">
        <f aca="false">IF(AND('Bonding Program'!$S$22=1,'Bonding Program'!$H$22&gt;'Bonding Program'!$C$8,CG$3='Bonding Program'!$H$22),'Bonding Program'!$T$22-'Bonding Program'!$U$22-'Bonding Program'!$Z$22,0)-IF(AND('Bonding Program'!$S$22=1,'Bonding Program'!$H$22&lt;='Bonding Program'!$C$8,CG$3=IF('Bonding Program'!$P$22&lt;&gt;"",'Bonding Program'!$P$22,'Bonding Program'!$C$8)),'Bonding Program'!$Z$22,0)+IF(AND('Bonding Program'!$P$22&lt;&gt;"",CG$3='Bonding Program'!$P$22,CG$3&lt;='Bonding Program'!$C$8),N('Bonding Program'!$O$22),0)</f>
        <v>0</v>
      </c>
      <c r="CH163" s="19" t="n">
        <f aca="false">IF(AND('Bonding Program'!$S$22=1,'Bonding Program'!$H$22&gt;'Bonding Program'!$C$8,CH$3='Bonding Program'!$H$22),'Bonding Program'!$T$22-'Bonding Program'!$U$22-'Bonding Program'!$Z$22,0)-IF(AND('Bonding Program'!$S$22=1,'Bonding Program'!$H$22&lt;='Bonding Program'!$C$8,CH$3=IF('Bonding Program'!$P$22&lt;&gt;"",'Bonding Program'!$P$22,'Bonding Program'!$C$8)),'Bonding Program'!$Z$22,0)+IF(AND('Bonding Program'!$P$22&lt;&gt;"",CH$3='Bonding Program'!$P$22,CH$3&lt;='Bonding Program'!$C$8),N('Bonding Program'!$O$22),0)</f>
        <v>0</v>
      </c>
      <c r="CI163" s="19" t="n">
        <f aca="false">IF(AND('Bonding Program'!$S$22=1,'Bonding Program'!$H$22&gt;'Bonding Program'!$C$8,CI$3='Bonding Program'!$H$22),'Bonding Program'!$T$22-'Bonding Program'!$U$22-'Bonding Program'!$Z$22,0)-IF(AND('Bonding Program'!$S$22=1,'Bonding Program'!$H$22&lt;='Bonding Program'!$C$8,CI$3=IF('Bonding Program'!$P$22&lt;&gt;"",'Bonding Program'!$P$22,'Bonding Program'!$C$8)),'Bonding Program'!$Z$22,0)+IF(AND('Bonding Program'!$P$22&lt;&gt;"",CI$3='Bonding Program'!$P$22,CI$3&lt;='Bonding Program'!$C$8),N('Bonding Program'!$O$22),0)</f>
        <v>0</v>
      </c>
      <c r="CJ163" s="19" t="n">
        <f aca="false">IF(AND('Bonding Program'!$S$22=1,'Bonding Program'!$H$22&gt;'Bonding Program'!$C$8,CJ$3='Bonding Program'!$H$22),'Bonding Program'!$T$22-'Bonding Program'!$U$22-'Bonding Program'!$Z$22,0)-IF(AND('Bonding Program'!$S$22=1,'Bonding Program'!$H$22&lt;='Bonding Program'!$C$8,CJ$3=IF('Bonding Program'!$P$22&lt;&gt;"",'Bonding Program'!$P$22,'Bonding Program'!$C$8)),'Bonding Program'!$Z$22,0)+IF(AND('Bonding Program'!$P$22&lt;&gt;"",CJ$3='Bonding Program'!$P$22,CJ$3&lt;='Bonding Program'!$C$8),N('Bonding Program'!$O$22),0)</f>
        <v>0</v>
      </c>
      <c r="CK163" s="19" t="n">
        <f aca="false">IF(AND('Bonding Program'!$S$22=1,'Bonding Program'!$H$22&gt;'Bonding Program'!$C$8,CK$3='Bonding Program'!$H$22),'Bonding Program'!$T$22-'Bonding Program'!$U$22-'Bonding Program'!$Z$22,0)-IF(AND('Bonding Program'!$S$22=1,'Bonding Program'!$H$22&lt;='Bonding Program'!$C$8,CK$3=IF('Bonding Program'!$P$22&lt;&gt;"",'Bonding Program'!$P$22,'Bonding Program'!$C$8)),'Bonding Program'!$Z$22,0)+IF(AND('Bonding Program'!$P$22&lt;&gt;"",CK$3='Bonding Program'!$P$22,CK$3&lt;='Bonding Program'!$C$8),N('Bonding Program'!$O$22),0)</f>
        <v>0</v>
      </c>
      <c r="CL163" s="19" t="n">
        <f aca="false">IF(AND('Bonding Program'!$S$22=1,'Bonding Program'!$H$22&gt;'Bonding Program'!$C$8,CL$3='Bonding Program'!$H$22),'Bonding Program'!$T$22-'Bonding Program'!$U$22-'Bonding Program'!$Z$22,0)-IF(AND('Bonding Program'!$S$22=1,'Bonding Program'!$H$22&lt;='Bonding Program'!$C$8,CL$3=IF('Bonding Program'!$P$22&lt;&gt;"",'Bonding Program'!$P$22,'Bonding Program'!$C$8)),'Bonding Program'!$Z$22,0)+IF(AND('Bonding Program'!$P$22&lt;&gt;"",CL$3='Bonding Program'!$P$22,CL$3&lt;='Bonding Program'!$C$8),N('Bonding Program'!$O$22),0)</f>
        <v>0</v>
      </c>
      <c r="CM163" s="19" t="n">
        <f aca="false">IF(AND('Bonding Program'!$S$22=1,'Bonding Program'!$H$22&gt;'Bonding Program'!$C$8,CM$3='Bonding Program'!$H$22),'Bonding Program'!$T$22-'Bonding Program'!$U$22-'Bonding Program'!$Z$22,0)-IF(AND('Bonding Program'!$S$22=1,'Bonding Program'!$H$22&lt;='Bonding Program'!$C$8,CM$3=IF('Bonding Program'!$P$22&lt;&gt;"",'Bonding Program'!$P$22,'Bonding Program'!$C$8)),'Bonding Program'!$Z$22,0)+IF(AND('Bonding Program'!$P$22&lt;&gt;"",CM$3='Bonding Program'!$P$22,CM$3&lt;='Bonding Program'!$C$8),N('Bonding Program'!$O$22),0)</f>
        <v>0</v>
      </c>
      <c r="CN163" s="19" t="n">
        <f aca="false">IF(AND('Bonding Program'!$S$22=1,'Bonding Program'!$H$22&gt;'Bonding Program'!$C$8,CN$3='Bonding Program'!$H$22),'Bonding Program'!$T$22-'Bonding Program'!$U$22-'Bonding Program'!$Z$22,0)-IF(AND('Bonding Program'!$S$22=1,'Bonding Program'!$H$22&lt;='Bonding Program'!$C$8,CN$3=IF('Bonding Program'!$P$22&lt;&gt;"",'Bonding Program'!$P$22,'Bonding Program'!$C$8)),'Bonding Program'!$Z$22,0)+IF(AND('Bonding Program'!$P$22&lt;&gt;"",CN$3='Bonding Program'!$P$22,CN$3&lt;='Bonding Program'!$C$8),N('Bonding Program'!$O$22),0)</f>
        <v>0</v>
      </c>
      <c r="CO163" s="19" t="n">
        <f aca="false">IF(AND('Bonding Program'!$S$22=1,'Bonding Program'!$H$22&gt;'Bonding Program'!$C$8,CO$3='Bonding Program'!$H$22),'Bonding Program'!$T$22-'Bonding Program'!$U$22-'Bonding Program'!$Z$22,0)-IF(AND('Bonding Program'!$S$22=1,'Bonding Program'!$H$22&lt;='Bonding Program'!$C$8,CO$3=IF('Bonding Program'!$P$22&lt;&gt;"",'Bonding Program'!$P$22,'Bonding Program'!$C$8)),'Bonding Program'!$Z$22,0)+IF(AND('Bonding Program'!$P$22&lt;&gt;"",CO$3='Bonding Program'!$P$22,CO$3&lt;='Bonding Program'!$C$8),N('Bonding Program'!$O$22),0)</f>
        <v>0</v>
      </c>
      <c r="CP163" s="19" t="n">
        <f aca="false">IF(AND('Bonding Program'!$S$22=1,'Bonding Program'!$H$22&gt;'Bonding Program'!$C$8,CP$3='Bonding Program'!$H$22),'Bonding Program'!$T$22-'Bonding Program'!$U$22-'Bonding Program'!$Z$22,0)-IF(AND('Bonding Program'!$S$22=1,'Bonding Program'!$H$22&lt;='Bonding Program'!$C$8,CP$3=IF('Bonding Program'!$P$22&lt;&gt;"",'Bonding Program'!$P$22,'Bonding Program'!$C$8)),'Bonding Program'!$Z$22,0)+IF(AND('Bonding Program'!$P$22&lt;&gt;"",CP$3='Bonding Program'!$P$22,CP$3&lt;='Bonding Program'!$C$8),N('Bonding Program'!$O$22),0)</f>
        <v>0</v>
      </c>
      <c r="CQ163" s="19" t="n">
        <f aca="false">IF(AND('Bonding Program'!$S$22=1,'Bonding Program'!$H$22&gt;'Bonding Program'!$C$8,CQ$3='Bonding Program'!$H$22),'Bonding Program'!$T$22-'Bonding Program'!$U$22-'Bonding Program'!$Z$22,0)-IF(AND('Bonding Program'!$S$22=1,'Bonding Program'!$H$22&lt;='Bonding Program'!$C$8,CQ$3=IF('Bonding Program'!$P$22&lt;&gt;"",'Bonding Program'!$P$22,'Bonding Program'!$C$8)),'Bonding Program'!$Z$22,0)+IF(AND('Bonding Program'!$P$22&lt;&gt;"",CQ$3='Bonding Program'!$P$22,CQ$3&lt;='Bonding Program'!$C$8),N('Bonding Program'!$O$22),0)</f>
        <v>0</v>
      </c>
      <c r="CR163" s="19" t="n">
        <f aca="false">IF(AND('Bonding Program'!$S$22=1,'Bonding Program'!$H$22&gt;'Bonding Program'!$C$8,CR$3='Bonding Program'!$H$22),'Bonding Program'!$T$22-'Bonding Program'!$U$22-'Bonding Program'!$Z$22,0)-IF(AND('Bonding Program'!$S$22=1,'Bonding Program'!$H$22&lt;='Bonding Program'!$C$8,CR$3=IF('Bonding Program'!$P$22&lt;&gt;"",'Bonding Program'!$P$22,'Bonding Program'!$C$8)),'Bonding Program'!$Z$22,0)+IF(AND('Bonding Program'!$P$22&lt;&gt;"",CR$3='Bonding Program'!$P$22,CR$3&lt;='Bonding Program'!$C$8),N('Bonding Program'!$O$22),0)</f>
        <v>0</v>
      </c>
      <c r="CS163" s="19" t="n">
        <f aca="false">IF(AND('Bonding Program'!$S$22=1,'Bonding Program'!$H$22&gt;'Bonding Program'!$C$8,CS$3='Bonding Program'!$H$22),'Bonding Program'!$T$22-'Bonding Program'!$U$22-'Bonding Program'!$Z$22,0)-IF(AND('Bonding Program'!$S$22=1,'Bonding Program'!$H$22&lt;='Bonding Program'!$C$8,CS$3=IF('Bonding Program'!$P$22&lt;&gt;"",'Bonding Program'!$P$22,'Bonding Program'!$C$8)),'Bonding Program'!$Z$22,0)+IF(AND('Bonding Program'!$P$22&lt;&gt;"",CS$3='Bonding Program'!$P$22,CS$3&lt;='Bonding Program'!$C$8),N('Bonding Program'!$O$22),0)</f>
        <v>0</v>
      </c>
      <c r="CT163" s="19" t="n">
        <f aca="false">IF(AND('Bonding Program'!$S$22=1,'Bonding Program'!$H$22&gt;'Bonding Program'!$C$8,CT$3='Bonding Program'!$H$22),'Bonding Program'!$T$22-'Bonding Program'!$U$22-'Bonding Program'!$Z$22,0)-IF(AND('Bonding Program'!$S$22=1,'Bonding Program'!$H$22&lt;='Bonding Program'!$C$8,CT$3=IF('Bonding Program'!$P$22&lt;&gt;"",'Bonding Program'!$P$22,'Bonding Program'!$C$8)),'Bonding Program'!$Z$22,0)+IF(AND('Bonding Program'!$P$22&lt;&gt;"",CT$3='Bonding Program'!$P$22,CT$3&lt;='Bonding Program'!$C$8),N('Bonding Program'!$O$22),0)</f>
        <v>0</v>
      </c>
      <c r="CU163" s="19" t="n">
        <f aca="false">IF(AND('Bonding Program'!$S$22=1,'Bonding Program'!$H$22&gt;'Bonding Program'!$C$8,CU$3='Bonding Program'!$H$22),'Bonding Program'!$T$22-'Bonding Program'!$U$22-'Bonding Program'!$Z$22,0)-IF(AND('Bonding Program'!$S$22=1,'Bonding Program'!$H$22&lt;='Bonding Program'!$C$8,CU$3=IF('Bonding Program'!$P$22&lt;&gt;"",'Bonding Program'!$P$22,'Bonding Program'!$C$8)),'Bonding Program'!$Z$22,0)+IF(AND('Bonding Program'!$P$22&lt;&gt;"",CU$3='Bonding Program'!$P$22,CU$3&lt;='Bonding Program'!$C$8),N('Bonding Program'!$O$22),0)</f>
        <v>0</v>
      </c>
      <c r="CV163" s="19" t="n">
        <f aca="false">IF(AND('Bonding Program'!$S$22=1,'Bonding Program'!$H$22&gt;'Bonding Program'!$C$8,CV$3='Bonding Program'!$H$22),'Bonding Program'!$T$22-'Bonding Program'!$U$22-'Bonding Program'!$Z$22,0)-IF(AND('Bonding Program'!$S$22=1,'Bonding Program'!$H$22&lt;='Bonding Program'!$C$8,CV$3=IF('Bonding Program'!$P$22&lt;&gt;"",'Bonding Program'!$P$22,'Bonding Program'!$C$8)),'Bonding Program'!$Z$22,0)+IF(AND('Bonding Program'!$P$22&lt;&gt;"",CV$3='Bonding Program'!$P$22,CV$3&lt;='Bonding Program'!$C$8),N('Bonding Program'!$O$22),0)</f>
        <v>0</v>
      </c>
      <c r="CW163" s="19" t="n">
        <f aca="false">IF(AND('Bonding Program'!$S$22=1,'Bonding Program'!$H$22&gt;'Bonding Program'!$C$8,CW$3='Bonding Program'!$H$22),'Bonding Program'!$T$22-'Bonding Program'!$U$22-'Bonding Program'!$Z$22,0)-IF(AND('Bonding Program'!$S$22=1,'Bonding Program'!$H$22&lt;='Bonding Program'!$C$8,CW$3=IF('Bonding Program'!$P$22&lt;&gt;"",'Bonding Program'!$P$22,'Bonding Program'!$C$8)),'Bonding Program'!$Z$22,0)+IF(AND('Bonding Program'!$P$22&lt;&gt;"",CW$3='Bonding Program'!$P$22,CW$3&lt;='Bonding Program'!$C$8),N('Bonding Program'!$O$22),0)</f>
        <v>0</v>
      </c>
      <c r="CX163" s="19" t="n">
        <f aca="false">IF(AND('Bonding Program'!$S$22=1,'Bonding Program'!$H$22&gt;'Bonding Program'!$C$8,CX$3='Bonding Program'!$H$22),'Bonding Program'!$T$22-'Bonding Program'!$U$22-'Bonding Program'!$Z$22,0)-IF(AND('Bonding Program'!$S$22=1,'Bonding Program'!$H$22&lt;='Bonding Program'!$C$8,CX$3=IF('Bonding Program'!$P$22&lt;&gt;"",'Bonding Program'!$P$22,'Bonding Program'!$C$8)),'Bonding Program'!$Z$22,0)+IF(AND('Bonding Program'!$P$22&lt;&gt;"",CX$3='Bonding Program'!$P$22,CX$3&lt;='Bonding Program'!$C$8),N('Bonding Program'!$O$22),0)</f>
        <v>0</v>
      </c>
      <c r="CY163" s="19" t="n">
        <f aca="false">IF(AND('Bonding Program'!$S$22=1,'Bonding Program'!$H$22&gt;'Bonding Program'!$C$8,CY$3='Bonding Program'!$H$22),'Bonding Program'!$T$22-'Bonding Program'!$U$22-'Bonding Program'!$Z$22,0)-IF(AND('Bonding Program'!$S$22=1,'Bonding Program'!$H$22&lt;='Bonding Program'!$C$8,CY$3=IF('Bonding Program'!$P$22&lt;&gt;"",'Bonding Program'!$P$22,'Bonding Program'!$C$8)),'Bonding Program'!$Z$22,0)+IF(AND('Bonding Program'!$P$22&lt;&gt;"",CY$3='Bonding Program'!$P$22,CY$3&lt;='Bonding Program'!$C$8),N('Bonding Program'!$O$22),0)</f>
        <v>0</v>
      </c>
      <c r="CZ163" s="19" t="n">
        <f aca="false">IF(AND('Bonding Program'!$S$22=1,'Bonding Program'!$H$22&gt;'Bonding Program'!$C$8,CZ$3='Bonding Program'!$H$22),'Bonding Program'!$T$22-'Bonding Program'!$U$22-'Bonding Program'!$Z$22,0)-IF(AND('Bonding Program'!$S$22=1,'Bonding Program'!$H$22&lt;='Bonding Program'!$C$8,CZ$3=IF('Bonding Program'!$P$22&lt;&gt;"",'Bonding Program'!$P$22,'Bonding Program'!$C$8)),'Bonding Program'!$Z$22,0)+IF(AND('Bonding Program'!$P$22&lt;&gt;"",CZ$3='Bonding Program'!$P$22,CZ$3&lt;='Bonding Program'!$C$8),N('Bonding Program'!$O$22),0)</f>
        <v>0</v>
      </c>
      <c r="DA163" s="19" t="n">
        <f aca="false">IF(AND('Bonding Program'!$S$22=1,'Bonding Program'!$H$22&gt;'Bonding Program'!$C$8,DA$3='Bonding Program'!$H$22),'Bonding Program'!$T$22-'Bonding Program'!$U$22-'Bonding Program'!$Z$22,0)-IF(AND('Bonding Program'!$S$22=1,'Bonding Program'!$H$22&lt;='Bonding Program'!$C$8,DA$3=IF('Bonding Program'!$P$22&lt;&gt;"",'Bonding Program'!$P$22,'Bonding Program'!$C$8)),'Bonding Program'!$Z$22,0)+IF(AND('Bonding Program'!$P$22&lt;&gt;"",DA$3='Bonding Program'!$P$22,DA$3&lt;='Bonding Program'!$C$8),N('Bonding Program'!$O$22),0)</f>
        <v>0</v>
      </c>
      <c r="DB163" s="19" t="n">
        <f aca="false">IF(AND('Bonding Program'!$S$22=1,'Bonding Program'!$H$22&gt;'Bonding Program'!$C$8,DB$3='Bonding Program'!$H$22),'Bonding Program'!$T$22-'Bonding Program'!$U$22-'Bonding Program'!$Z$22,0)-IF(AND('Bonding Program'!$S$22=1,'Bonding Program'!$H$22&lt;='Bonding Program'!$C$8,DB$3=IF('Bonding Program'!$P$22&lt;&gt;"",'Bonding Program'!$P$22,'Bonding Program'!$C$8)),'Bonding Program'!$Z$22,0)+IF(AND('Bonding Program'!$P$22&lt;&gt;"",DB$3='Bonding Program'!$P$22,DB$3&lt;='Bonding Program'!$C$8),N('Bonding Program'!$O$22),0)</f>
        <v>0</v>
      </c>
      <c r="DC163" s="19" t="n">
        <f aca="false">IF(AND('Bonding Program'!$S$22=1,'Bonding Program'!$H$22&gt;'Bonding Program'!$C$8,DC$3='Bonding Program'!$H$22),'Bonding Program'!$T$22-'Bonding Program'!$U$22-'Bonding Program'!$Z$22,0)-IF(AND('Bonding Program'!$S$22=1,'Bonding Program'!$H$22&lt;='Bonding Program'!$C$8,DC$3=IF('Bonding Program'!$P$22&lt;&gt;"",'Bonding Program'!$P$22,'Bonding Program'!$C$8)),'Bonding Program'!$Z$22,0)+IF(AND('Bonding Program'!$P$22&lt;&gt;"",DC$3='Bonding Program'!$P$22,DC$3&lt;='Bonding Program'!$C$8),N('Bonding Program'!$O$22),0)</f>
        <v>0</v>
      </c>
      <c r="DD163" s="19" t="n">
        <f aca="false">IF(AND('Bonding Program'!$S$22=1,'Bonding Program'!$H$22&gt;'Bonding Program'!$C$8,DD$3='Bonding Program'!$H$22),'Bonding Program'!$T$22-'Bonding Program'!$U$22-'Bonding Program'!$Z$22,0)-IF(AND('Bonding Program'!$S$22=1,'Bonding Program'!$H$22&lt;='Bonding Program'!$C$8,DD$3=IF('Bonding Program'!$P$22&lt;&gt;"",'Bonding Program'!$P$22,'Bonding Program'!$C$8)),'Bonding Program'!$Z$22,0)+IF(AND('Bonding Program'!$P$22&lt;&gt;"",DD$3='Bonding Program'!$P$22,DD$3&lt;='Bonding Program'!$C$8),N('Bonding Program'!$O$22),0)</f>
        <v>0</v>
      </c>
      <c r="DE163" s="19" t="n">
        <f aca="false">IF(AND('Bonding Program'!$S$22=1,'Bonding Program'!$H$22&gt;'Bonding Program'!$C$8,DE$3='Bonding Program'!$H$22),'Bonding Program'!$T$22-'Bonding Program'!$U$22-'Bonding Program'!$Z$22,0)-IF(AND('Bonding Program'!$S$22=1,'Bonding Program'!$H$22&lt;='Bonding Program'!$C$8,DE$3=IF('Bonding Program'!$P$22&lt;&gt;"",'Bonding Program'!$P$22,'Bonding Program'!$C$8)),'Bonding Program'!$Z$22,0)+IF(AND('Bonding Program'!$P$22&lt;&gt;"",DE$3='Bonding Program'!$P$22,DE$3&lt;='Bonding Program'!$C$8),N('Bonding Program'!$O$22),0)</f>
        <v>0</v>
      </c>
    </row>
    <row r="164" customFormat="false" ht="15" hidden="false" customHeight="true" outlineLevel="1" collapsed="false">
      <c r="A164" s="28" t="s">
        <v>19</v>
      </c>
      <c r="B164" s="19" t="n">
        <f aca="false">IF(AND('Bonding Program'!$S$23=1,'Bonding Program'!$H$23&gt;'Bonding Program'!$C$8,B$3='Bonding Program'!$H$23),'Bonding Program'!$T$23-'Bonding Program'!$U$23-'Bonding Program'!$Z$23,0)-IF(AND('Bonding Program'!$S$23=1,'Bonding Program'!$H$23&lt;='Bonding Program'!$C$8,B$3=IF('Bonding Program'!$P$23&lt;&gt;"",'Bonding Program'!$P$23,'Bonding Program'!$C$8)),'Bonding Program'!$Z$23,0)+IF(AND('Bonding Program'!$P$23&lt;&gt;"",B$3='Bonding Program'!$P$23,B$3&lt;='Bonding Program'!$C$8),N('Bonding Program'!$O$23),0)</f>
        <v>0</v>
      </c>
      <c r="C164" s="19" t="n">
        <f aca="false">IF(AND('Bonding Program'!$S$23=1,'Bonding Program'!$H$23&gt;'Bonding Program'!$C$8,C$3='Bonding Program'!$H$23),'Bonding Program'!$T$23-'Bonding Program'!$U$23-'Bonding Program'!$Z$23,0)-IF(AND('Bonding Program'!$S$23=1,'Bonding Program'!$H$23&lt;='Bonding Program'!$C$8,C$3=IF('Bonding Program'!$P$23&lt;&gt;"",'Bonding Program'!$P$23,'Bonding Program'!$C$8)),'Bonding Program'!$Z$23,0)+IF(AND('Bonding Program'!$P$23&lt;&gt;"",C$3='Bonding Program'!$P$23,C$3&lt;='Bonding Program'!$C$8),N('Bonding Program'!$O$23),0)</f>
        <v>0</v>
      </c>
      <c r="D164" s="19" t="n">
        <f aca="false">IF(AND('Bonding Program'!$S$23=1,'Bonding Program'!$H$23&gt;'Bonding Program'!$C$8,D$3='Bonding Program'!$H$23),'Bonding Program'!$T$23-'Bonding Program'!$U$23-'Bonding Program'!$Z$23,0)-IF(AND('Bonding Program'!$S$23=1,'Bonding Program'!$H$23&lt;='Bonding Program'!$C$8,D$3=IF('Bonding Program'!$P$23&lt;&gt;"",'Bonding Program'!$P$23,'Bonding Program'!$C$8)),'Bonding Program'!$Z$23,0)+IF(AND('Bonding Program'!$P$23&lt;&gt;"",D$3='Bonding Program'!$P$23,D$3&lt;='Bonding Program'!$C$8),N('Bonding Program'!$O$23),0)</f>
        <v>0</v>
      </c>
      <c r="E164" s="19" t="n">
        <f aca="false">IF(AND('Bonding Program'!$S$23=1,'Bonding Program'!$H$23&gt;'Bonding Program'!$C$8,E$3='Bonding Program'!$H$23),'Bonding Program'!$T$23-'Bonding Program'!$U$23-'Bonding Program'!$Z$23,0)-IF(AND('Bonding Program'!$S$23=1,'Bonding Program'!$H$23&lt;='Bonding Program'!$C$8,E$3=IF('Bonding Program'!$P$23&lt;&gt;"",'Bonding Program'!$P$23,'Bonding Program'!$C$8)),'Bonding Program'!$Z$23,0)+IF(AND('Bonding Program'!$P$23&lt;&gt;"",E$3='Bonding Program'!$P$23,E$3&lt;='Bonding Program'!$C$8),N('Bonding Program'!$O$23),0)</f>
        <v>0</v>
      </c>
      <c r="F164" s="19" t="n">
        <f aca="false">IF(AND('Bonding Program'!$S$23=1,'Bonding Program'!$H$23&gt;'Bonding Program'!$C$8,F$3='Bonding Program'!$H$23),'Bonding Program'!$T$23-'Bonding Program'!$U$23-'Bonding Program'!$Z$23,0)-IF(AND('Bonding Program'!$S$23=1,'Bonding Program'!$H$23&lt;='Bonding Program'!$C$8,F$3=IF('Bonding Program'!$P$23&lt;&gt;"",'Bonding Program'!$P$23,'Bonding Program'!$C$8)),'Bonding Program'!$Z$23,0)+IF(AND('Bonding Program'!$P$23&lt;&gt;"",F$3='Bonding Program'!$P$23,F$3&lt;='Bonding Program'!$C$8),N('Bonding Program'!$O$23),0)</f>
        <v>0</v>
      </c>
      <c r="G164" s="19" t="n">
        <f aca="false">IF(AND('Bonding Program'!$S$23=1,'Bonding Program'!$H$23&gt;'Bonding Program'!$C$8,G$3='Bonding Program'!$H$23),'Bonding Program'!$T$23-'Bonding Program'!$U$23-'Bonding Program'!$Z$23,0)-IF(AND('Bonding Program'!$S$23=1,'Bonding Program'!$H$23&lt;='Bonding Program'!$C$8,G$3=IF('Bonding Program'!$P$23&lt;&gt;"",'Bonding Program'!$P$23,'Bonding Program'!$C$8)),'Bonding Program'!$Z$23,0)+IF(AND('Bonding Program'!$P$23&lt;&gt;"",G$3='Bonding Program'!$P$23,G$3&lt;='Bonding Program'!$C$8),N('Bonding Program'!$O$23),0)</f>
        <v>0</v>
      </c>
      <c r="H164" s="19" t="n">
        <f aca="false">IF(AND('Bonding Program'!$S$23=1,'Bonding Program'!$H$23&gt;'Bonding Program'!$C$8,H$3='Bonding Program'!$H$23),'Bonding Program'!$T$23-'Bonding Program'!$U$23-'Bonding Program'!$Z$23,0)-IF(AND('Bonding Program'!$S$23=1,'Bonding Program'!$H$23&lt;='Bonding Program'!$C$8,H$3=IF('Bonding Program'!$P$23&lt;&gt;"",'Bonding Program'!$P$23,'Bonding Program'!$C$8)),'Bonding Program'!$Z$23,0)+IF(AND('Bonding Program'!$P$23&lt;&gt;"",H$3='Bonding Program'!$P$23,H$3&lt;='Bonding Program'!$C$8),N('Bonding Program'!$O$23),0)</f>
        <v>0</v>
      </c>
      <c r="I164" s="19" t="n">
        <f aca="false">IF(AND('Bonding Program'!$S$23=1,'Bonding Program'!$H$23&gt;'Bonding Program'!$C$8,I$3='Bonding Program'!$H$23),'Bonding Program'!$T$23-'Bonding Program'!$U$23-'Bonding Program'!$Z$23,0)-IF(AND('Bonding Program'!$S$23=1,'Bonding Program'!$H$23&lt;='Bonding Program'!$C$8,I$3=IF('Bonding Program'!$P$23&lt;&gt;"",'Bonding Program'!$P$23,'Bonding Program'!$C$8)),'Bonding Program'!$Z$23,0)+IF(AND('Bonding Program'!$P$23&lt;&gt;"",I$3='Bonding Program'!$P$23,I$3&lt;='Bonding Program'!$C$8),N('Bonding Program'!$O$23),0)</f>
        <v>0</v>
      </c>
      <c r="J164" s="19" t="n">
        <f aca="false">IF(AND('Bonding Program'!$S$23=1,'Bonding Program'!$H$23&gt;'Bonding Program'!$C$8,J$3='Bonding Program'!$H$23),'Bonding Program'!$T$23-'Bonding Program'!$U$23-'Bonding Program'!$Z$23,0)-IF(AND('Bonding Program'!$S$23=1,'Bonding Program'!$H$23&lt;='Bonding Program'!$C$8,J$3=IF('Bonding Program'!$P$23&lt;&gt;"",'Bonding Program'!$P$23,'Bonding Program'!$C$8)),'Bonding Program'!$Z$23,0)+IF(AND('Bonding Program'!$P$23&lt;&gt;"",J$3='Bonding Program'!$P$23,J$3&lt;='Bonding Program'!$C$8),N('Bonding Program'!$O$23),0)</f>
        <v>0</v>
      </c>
      <c r="K164" s="19" t="n">
        <f aca="false">IF(AND('Bonding Program'!$S$23=1,'Bonding Program'!$H$23&gt;'Bonding Program'!$C$8,K$3='Bonding Program'!$H$23),'Bonding Program'!$T$23-'Bonding Program'!$U$23-'Bonding Program'!$Z$23,0)-IF(AND('Bonding Program'!$S$23=1,'Bonding Program'!$H$23&lt;='Bonding Program'!$C$8,K$3=IF('Bonding Program'!$P$23&lt;&gt;"",'Bonding Program'!$P$23,'Bonding Program'!$C$8)),'Bonding Program'!$Z$23,0)+IF(AND('Bonding Program'!$P$23&lt;&gt;"",K$3='Bonding Program'!$P$23,K$3&lt;='Bonding Program'!$C$8),N('Bonding Program'!$O$23),0)</f>
        <v>0</v>
      </c>
      <c r="L164" s="19" t="n">
        <f aca="false">IF(AND('Bonding Program'!$S$23=1,'Bonding Program'!$H$23&gt;'Bonding Program'!$C$8,L$3='Bonding Program'!$H$23),'Bonding Program'!$T$23-'Bonding Program'!$U$23-'Bonding Program'!$Z$23,0)-IF(AND('Bonding Program'!$S$23=1,'Bonding Program'!$H$23&lt;='Bonding Program'!$C$8,L$3=IF('Bonding Program'!$P$23&lt;&gt;"",'Bonding Program'!$P$23,'Bonding Program'!$C$8)),'Bonding Program'!$Z$23,0)+IF(AND('Bonding Program'!$P$23&lt;&gt;"",L$3='Bonding Program'!$P$23,L$3&lt;='Bonding Program'!$C$8),N('Bonding Program'!$O$23),0)</f>
        <v>0</v>
      </c>
      <c r="M164" s="19" t="n">
        <f aca="false">IF(AND('Bonding Program'!$S$23=1,'Bonding Program'!$H$23&gt;'Bonding Program'!$C$8,M$3='Bonding Program'!$H$23),'Bonding Program'!$T$23-'Bonding Program'!$U$23-'Bonding Program'!$Z$23,0)-IF(AND('Bonding Program'!$S$23=1,'Bonding Program'!$H$23&lt;='Bonding Program'!$C$8,M$3=IF('Bonding Program'!$P$23&lt;&gt;"",'Bonding Program'!$P$23,'Bonding Program'!$C$8)),'Bonding Program'!$Z$23,0)+IF(AND('Bonding Program'!$P$23&lt;&gt;"",M$3='Bonding Program'!$P$23,M$3&lt;='Bonding Program'!$C$8),N('Bonding Program'!$O$23),0)</f>
        <v>0</v>
      </c>
      <c r="N164" s="19" t="n">
        <f aca="false">IF(AND('Bonding Program'!$S$23=1,'Bonding Program'!$H$23&gt;'Bonding Program'!$C$8,N$3='Bonding Program'!$H$23),'Bonding Program'!$T$23-'Bonding Program'!$U$23-'Bonding Program'!$Z$23,0)-IF(AND('Bonding Program'!$S$23=1,'Bonding Program'!$H$23&lt;='Bonding Program'!$C$8,N$3=IF('Bonding Program'!$P$23&lt;&gt;"",'Bonding Program'!$P$23,'Bonding Program'!$C$8)),'Bonding Program'!$Z$23,0)+IF(AND('Bonding Program'!$P$23&lt;&gt;"",N$3='Bonding Program'!$P$23,N$3&lt;='Bonding Program'!$C$8),N('Bonding Program'!$O$23),0)</f>
        <v>0</v>
      </c>
      <c r="O164" s="19" t="n">
        <f aca="false">IF(AND('Bonding Program'!$S$23=1,'Bonding Program'!$H$23&gt;'Bonding Program'!$C$8,O$3='Bonding Program'!$H$23),'Bonding Program'!$T$23-'Bonding Program'!$U$23-'Bonding Program'!$Z$23,0)-IF(AND('Bonding Program'!$S$23=1,'Bonding Program'!$H$23&lt;='Bonding Program'!$C$8,O$3=IF('Bonding Program'!$P$23&lt;&gt;"",'Bonding Program'!$P$23,'Bonding Program'!$C$8)),'Bonding Program'!$Z$23,0)+IF(AND('Bonding Program'!$P$23&lt;&gt;"",O$3='Bonding Program'!$P$23,O$3&lt;='Bonding Program'!$C$8),N('Bonding Program'!$O$23),0)</f>
        <v>0</v>
      </c>
      <c r="P164" s="19" t="n">
        <f aca="false">IF(AND('Bonding Program'!$S$23=1,'Bonding Program'!$H$23&gt;'Bonding Program'!$C$8,P$3='Bonding Program'!$H$23),'Bonding Program'!$T$23-'Bonding Program'!$U$23-'Bonding Program'!$Z$23,0)-IF(AND('Bonding Program'!$S$23=1,'Bonding Program'!$H$23&lt;='Bonding Program'!$C$8,P$3=IF('Bonding Program'!$P$23&lt;&gt;"",'Bonding Program'!$P$23,'Bonding Program'!$C$8)),'Bonding Program'!$Z$23,0)+IF(AND('Bonding Program'!$P$23&lt;&gt;"",P$3='Bonding Program'!$P$23,P$3&lt;='Bonding Program'!$C$8),N('Bonding Program'!$O$23),0)</f>
        <v>0</v>
      </c>
      <c r="Q164" s="19" t="n">
        <f aca="false">IF(AND('Bonding Program'!$S$23=1,'Bonding Program'!$H$23&gt;'Bonding Program'!$C$8,Q$3='Bonding Program'!$H$23),'Bonding Program'!$T$23-'Bonding Program'!$U$23-'Bonding Program'!$Z$23,0)-IF(AND('Bonding Program'!$S$23=1,'Bonding Program'!$H$23&lt;='Bonding Program'!$C$8,Q$3=IF('Bonding Program'!$P$23&lt;&gt;"",'Bonding Program'!$P$23,'Bonding Program'!$C$8)),'Bonding Program'!$Z$23,0)+IF(AND('Bonding Program'!$P$23&lt;&gt;"",Q$3='Bonding Program'!$P$23,Q$3&lt;='Bonding Program'!$C$8),N('Bonding Program'!$O$23),0)</f>
        <v>0</v>
      </c>
      <c r="R164" s="19" t="n">
        <f aca="false">IF(AND('Bonding Program'!$S$23=1,'Bonding Program'!$H$23&gt;'Bonding Program'!$C$8,R$3='Bonding Program'!$H$23),'Bonding Program'!$T$23-'Bonding Program'!$U$23-'Bonding Program'!$Z$23,0)-IF(AND('Bonding Program'!$S$23=1,'Bonding Program'!$H$23&lt;='Bonding Program'!$C$8,R$3=IF('Bonding Program'!$P$23&lt;&gt;"",'Bonding Program'!$P$23,'Bonding Program'!$C$8)),'Bonding Program'!$Z$23,0)+IF(AND('Bonding Program'!$P$23&lt;&gt;"",R$3='Bonding Program'!$P$23,R$3&lt;='Bonding Program'!$C$8),N('Bonding Program'!$O$23),0)</f>
        <v>0</v>
      </c>
      <c r="S164" s="19" t="n">
        <f aca="false">IF(AND('Bonding Program'!$S$23=1,'Bonding Program'!$H$23&gt;'Bonding Program'!$C$8,S$3='Bonding Program'!$H$23),'Bonding Program'!$T$23-'Bonding Program'!$U$23-'Bonding Program'!$Z$23,0)-IF(AND('Bonding Program'!$S$23=1,'Bonding Program'!$H$23&lt;='Bonding Program'!$C$8,S$3=IF('Bonding Program'!$P$23&lt;&gt;"",'Bonding Program'!$P$23,'Bonding Program'!$C$8)),'Bonding Program'!$Z$23,0)+IF(AND('Bonding Program'!$P$23&lt;&gt;"",S$3='Bonding Program'!$P$23,S$3&lt;='Bonding Program'!$C$8),N('Bonding Program'!$O$23),0)</f>
        <v>0</v>
      </c>
      <c r="T164" s="19" t="n">
        <f aca="false">IF(AND('Bonding Program'!$S$23=1,'Bonding Program'!$H$23&gt;'Bonding Program'!$C$8,T$3='Bonding Program'!$H$23),'Bonding Program'!$T$23-'Bonding Program'!$U$23-'Bonding Program'!$Z$23,0)-IF(AND('Bonding Program'!$S$23=1,'Bonding Program'!$H$23&lt;='Bonding Program'!$C$8,T$3=IF('Bonding Program'!$P$23&lt;&gt;"",'Bonding Program'!$P$23,'Bonding Program'!$C$8)),'Bonding Program'!$Z$23,0)+IF(AND('Bonding Program'!$P$23&lt;&gt;"",T$3='Bonding Program'!$P$23,T$3&lt;='Bonding Program'!$C$8),N('Bonding Program'!$O$23),0)</f>
        <v>0</v>
      </c>
      <c r="U164" s="19" t="n">
        <f aca="false">IF(AND('Bonding Program'!$S$23=1,'Bonding Program'!$H$23&gt;'Bonding Program'!$C$8,U$3='Bonding Program'!$H$23),'Bonding Program'!$T$23-'Bonding Program'!$U$23-'Bonding Program'!$Z$23,0)-IF(AND('Bonding Program'!$S$23=1,'Bonding Program'!$H$23&lt;='Bonding Program'!$C$8,U$3=IF('Bonding Program'!$P$23&lt;&gt;"",'Bonding Program'!$P$23,'Bonding Program'!$C$8)),'Bonding Program'!$Z$23,0)+IF(AND('Bonding Program'!$P$23&lt;&gt;"",U$3='Bonding Program'!$P$23,U$3&lt;='Bonding Program'!$C$8),N('Bonding Program'!$O$23),0)</f>
        <v>0</v>
      </c>
      <c r="V164" s="19" t="n">
        <f aca="false">IF(AND('Bonding Program'!$S$23=1,'Bonding Program'!$H$23&gt;'Bonding Program'!$C$8,V$3='Bonding Program'!$H$23),'Bonding Program'!$T$23-'Bonding Program'!$U$23-'Bonding Program'!$Z$23,0)-IF(AND('Bonding Program'!$S$23=1,'Bonding Program'!$H$23&lt;='Bonding Program'!$C$8,V$3=IF('Bonding Program'!$P$23&lt;&gt;"",'Bonding Program'!$P$23,'Bonding Program'!$C$8)),'Bonding Program'!$Z$23,0)+IF(AND('Bonding Program'!$P$23&lt;&gt;"",V$3='Bonding Program'!$P$23,V$3&lt;='Bonding Program'!$C$8),N('Bonding Program'!$O$23),0)</f>
        <v>0</v>
      </c>
      <c r="W164" s="19" t="n">
        <f aca="false">IF(AND('Bonding Program'!$S$23=1,'Bonding Program'!$H$23&gt;'Bonding Program'!$C$8,W$3='Bonding Program'!$H$23),'Bonding Program'!$T$23-'Bonding Program'!$U$23-'Bonding Program'!$Z$23,0)-IF(AND('Bonding Program'!$S$23=1,'Bonding Program'!$H$23&lt;='Bonding Program'!$C$8,W$3=IF('Bonding Program'!$P$23&lt;&gt;"",'Bonding Program'!$P$23,'Bonding Program'!$C$8)),'Bonding Program'!$Z$23,0)+IF(AND('Bonding Program'!$P$23&lt;&gt;"",W$3='Bonding Program'!$P$23,W$3&lt;='Bonding Program'!$C$8),N('Bonding Program'!$O$23),0)</f>
        <v>0</v>
      </c>
      <c r="X164" s="19" t="n">
        <f aca="false">IF(AND('Bonding Program'!$S$23=1,'Bonding Program'!$H$23&gt;'Bonding Program'!$C$8,X$3='Bonding Program'!$H$23),'Bonding Program'!$T$23-'Bonding Program'!$U$23-'Bonding Program'!$Z$23,0)-IF(AND('Bonding Program'!$S$23=1,'Bonding Program'!$H$23&lt;='Bonding Program'!$C$8,X$3=IF('Bonding Program'!$P$23&lt;&gt;"",'Bonding Program'!$P$23,'Bonding Program'!$C$8)),'Bonding Program'!$Z$23,0)+IF(AND('Bonding Program'!$P$23&lt;&gt;"",X$3='Bonding Program'!$P$23,X$3&lt;='Bonding Program'!$C$8),N('Bonding Program'!$O$23),0)</f>
        <v>0</v>
      </c>
      <c r="Y164" s="19" t="n">
        <f aca="false">IF(AND('Bonding Program'!$S$23=1,'Bonding Program'!$H$23&gt;'Bonding Program'!$C$8,Y$3='Bonding Program'!$H$23),'Bonding Program'!$T$23-'Bonding Program'!$U$23-'Bonding Program'!$Z$23,0)-IF(AND('Bonding Program'!$S$23=1,'Bonding Program'!$H$23&lt;='Bonding Program'!$C$8,Y$3=IF('Bonding Program'!$P$23&lt;&gt;"",'Bonding Program'!$P$23,'Bonding Program'!$C$8)),'Bonding Program'!$Z$23,0)+IF(AND('Bonding Program'!$P$23&lt;&gt;"",Y$3='Bonding Program'!$P$23,Y$3&lt;='Bonding Program'!$C$8),N('Bonding Program'!$O$23),0)</f>
        <v>0</v>
      </c>
      <c r="Z164" s="19" t="n">
        <f aca="false">IF(AND('Bonding Program'!$S$23=1,'Bonding Program'!$H$23&gt;'Bonding Program'!$C$8,Z$3='Bonding Program'!$H$23),'Bonding Program'!$T$23-'Bonding Program'!$U$23-'Bonding Program'!$Z$23,0)-IF(AND('Bonding Program'!$S$23=1,'Bonding Program'!$H$23&lt;='Bonding Program'!$C$8,Z$3=IF('Bonding Program'!$P$23&lt;&gt;"",'Bonding Program'!$P$23,'Bonding Program'!$C$8)),'Bonding Program'!$Z$23,0)+IF(AND('Bonding Program'!$P$23&lt;&gt;"",Z$3='Bonding Program'!$P$23,Z$3&lt;='Bonding Program'!$C$8),N('Bonding Program'!$O$23),0)</f>
        <v>0</v>
      </c>
      <c r="AA164" s="19" t="n">
        <f aca="false">IF(AND('Bonding Program'!$S$23=1,'Bonding Program'!$H$23&gt;'Bonding Program'!$C$8,AA$3='Bonding Program'!$H$23),'Bonding Program'!$T$23-'Bonding Program'!$U$23-'Bonding Program'!$Z$23,0)-IF(AND('Bonding Program'!$S$23=1,'Bonding Program'!$H$23&lt;='Bonding Program'!$C$8,AA$3=IF('Bonding Program'!$P$23&lt;&gt;"",'Bonding Program'!$P$23,'Bonding Program'!$C$8)),'Bonding Program'!$Z$23,0)+IF(AND('Bonding Program'!$P$23&lt;&gt;"",AA$3='Bonding Program'!$P$23,AA$3&lt;='Bonding Program'!$C$8),N('Bonding Program'!$O$23),0)</f>
        <v>0</v>
      </c>
      <c r="AB164" s="19" t="n">
        <f aca="false">IF(AND('Bonding Program'!$S$23=1,'Bonding Program'!$H$23&gt;'Bonding Program'!$C$8,AB$3='Bonding Program'!$H$23),'Bonding Program'!$T$23-'Bonding Program'!$U$23-'Bonding Program'!$Z$23,0)-IF(AND('Bonding Program'!$S$23=1,'Bonding Program'!$H$23&lt;='Bonding Program'!$C$8,AB$3=IF('Bonding Program'!$P$23&lt;&gt;"",'Bonding Program'!$P$23,'Bonding Program'!$C$8)),'Bonding Program'!$Z$23,0)+IF(AND('Bonding Program'!$P$23&lt;&gt;"",AB$3='Bonding Program'!$P$23,AB$3&lt;='Bonding Program'!$C$8),N('Bonding Program'!$O$23),0)</f>
        <v>0</v>
      </c>
      <c r="AC164" s="19" t="n">
        <f aca="false">IF(AND('Bonding Program'!$S$23=1,'Bonding Program'!$H$23&gt;'Bonding Program'!$C$8,AC$3='Bonding Program'!$H$23),'Bonding Program'!$T$23-'Bonding Program'!$U$23-'Bonding Program'!$Z$23,0)-IF(AND('Bonding Program'!$S$23=1,'Bonding Program'!$H$23&lt;='Bonding Program'!$C$8,AC$3=IF('Bonding Program'!$P$23&lt;&gt;"",'Bonding Program'!$P$23,'Bonding Program'!$C$8)),'Bonding Program'!$Z$23,0)+IF(AND('Bonding Program'!$P$23&lt;&gt;"",AC$3='Bonding Program'!$P$23,AC$3&lt;='Bonding Program'!$C$8),N('Bonding Program'!$O$23),0)</f>
        <v>0</v>
      </c>
      <c r="AD164" s="19" t="n">
        <f aca="false">IF(AND('Bonding Program'!$S$23=1,'Bonding Program'!$H$23&gt;'Bonding Program'!$C$8,AD$3='Bonding Program'!$H$23),'Bonding Program'!$T$23-'Bonding Program'!$U$23-'Bonding Program'!$Z$23,0)-IF(AND('Bonding Program'!$S$23=1,'Bonding Program'!$H$23&lt;='Bonding Program'!$C$8,AD$3=IF('Bonding Program'!$P$23&lt;&gt;"",'Bonding Program'!$P$23,'Bonding Program'!$C$8)),'Bonding Program'!$Z$23,0)+IF(AND('Bonding Program'!$P$23&lt;&gt;"",AD$3='Bonding Program'!$P$23,AD$3&lt;='Bonding Program'!$C$8),N('Bonding Program'!$O$23),0)</f>
        <v>0</v>
      </c>
      <c r="AE164" s="19" t="n">
        <f aca="false">IF(AND('Bonding Program'!$S$23=1,'Bonding Program'!$H$23&gt;'Bonding Program'!$C$8,AE$3='Bonding Program'!$H$23),'Bonding Program'!$T$23-'Bonding Program'!$U$23-'Bonding Program'!$Z$23,0)-IF(AND('Bonding Program'!$S$23=1,'Bonding Program'!$H$23&lt;='Bonding Program'!$C$8,AE$3=IF('Bonding Program'!$P$23&lt;&gt;"",'Bonding Program'!$P$23,'Bonding Program'!$C$8)),'Bonding Program'!$Z$23,0)+IF(AND('Bonding Program'!$P$23&lt;&gt;"",AE$3='Bonding Program'!$P$23,AE$3&lt;='Bonding Program'!$C$8),N('Bonding Program'!$O$23),0)</f>
        <v>-732873.342955665</v>
      </c>
      <c r="AF164" s="19" t="n">
        <f aca="false">IF(AND('Bonding Program'!$S$23=1,'Bonding Program'!$H$23&gt;'Bonding Program'!$C$8,AF$3='Bonding Program'!$H$23),'Bonding Program'!$T$23-'Bonding Program'!$U$23-'Bonding Program'!$Z$23,0)-IF(AND('Bonding Program'!$S$23=1,'Bonding Program'!$H$23&lt;='Bonding Program'!$C$8,AF$3=IF('Bonding Program'!$P$23&lt;&gt;"",'Bonding Program'!$P$23,'Bonding Program'!$C$8)),'Bonding Program'!$Z$23,0)+IF(AND('Bonding Program'!$P$23&lt;&gt;"",AF$3='Bonding Program'!$P$23,AF$3&lt;='Bonding Program'!$C$8),N('Bonding Program'!$O$23),0)</f>
        <v>0</v>
      </c>
      <c r="AG164" s="19" t="n">
        <f aca="false">IF(AND('Bonding Program'!$S$23=1,'Bonding Program'!$H$23&gt;'Bonding Program'!$C$8,AG$3='Bonding Program'!$H$23),'Bonding Program'!$T$23-'Bonding Program'!$U$23-'Bonding Program'!$Z$23,0)-IF(AND('Bonding Program'!$S$23=1,'Bonding Program'!$H$23&lt;='Bonding Program'!$C$8,AG$3=IF('Bonding Program'!$P$23&lt;&gt;"",'Bonding Program'!$P$23,'Bonding Program'!$C$8)),'Bonding Program'!$Z$23,0)+IF(AND('Bonding Program'!$P$23&lt;&gt;"",AG$3='Bonding Program'!$P$23,AG$3&lt;='Bonding Program'!$C$8),N('Bonding Program'!$O$23),0)</f>
        <v>0</v>
      </c>
      <c r="AH164" s="19" t="n">
        <f aca="false">IF(AND('Bonding Program'!$S$23=1,'Bonding Program'!$H$23&gt;'Bonding Program'!$C$8,AH$3='Bonding Program'!$H$23),'Bonding Program'!$T$23-'Bonding Program'!$U$23-'Bonding Program'!$Z$23,0)-IF(AND('Bonding Program'!$S$23=1,'Bonding Program'!$H$23&lt;='Bonding Program'!$C$8,AH$3=IF('Bonding Program'!$P$23&lt;&gt;"",'Bonding Program'!$P$23,'Bonding Program'!$C$8)),'Bonding Program'!$Z$23,0)+IF(AND('Bonding Program'!$P$23&lt;&gt;"",AH$3='Bonding Program'!$P$23,AH$3&lt;='Bonding Program'!$C$8),N('Bonding Program'!$O$23),0)</f>
        <v>0</v>
      </c>
      <c r="AI164" s="19" t="n">
        <f aca="false">IF(AND('Bonding Program'!$S$23=1,'Bonding Program'!$H$23&gt;'Bonding Program'!$C$8,AI$3='Bonding Program'!$H$23),'Bonding Program'!$T$23-'Bonding Program'!$U$23-'Bonding Program'!$Z$23,0)-IF(AND('Bonding Program'!$S$23=1,'Bonding Program'!$H$23&lt;='Bonding Program'!$C$8,AI$3=IF('Bonding Program'!$P$23&lt;&gt;"",'Bonding Program'!$P$23,'Bonding Program'!$C$8)),'Bonding Program'!$Z$23,0)+IF(AND('Bonding Program'!$P$23&lt;&gt;"",AI$3='Bonding Program'!$P$23,AI$3&lt;='Bonding Program'!$C$8),N('Bonding Program'!$O$23),0)</f>
        <v>0</v>
      </c>
      <c r="AJ164" s="19" t="n">
        <f aca="false">IF(AND('Bonding Program'!$S$23=1,'Bonding Program'!$H$23&gt;'Bonding Program'!$C$8,AJ$3='Bonding Program'!$H$23),'Bonding Program'!$T$23-'Bonding Program'!$U$23-'Bonding Program'!$Z$23,0)-IF(AND('Bonding Program'!$S$23=1,'Bonding Program'!$H$23&lt;='Bonding Program'!$C$8,AJ$3=IF('Bonding Program'!$P$23&lt;&gt;"",'Bonding Program'!$P$23,'Bonding Program'!$C$8)),'Bonding Program'!$Z$23,0)+IF(AND('Bonding Program'!$P$23&lt;&gt;"",AJ$3='Bonding Program'!$P$23,AJ$3&lt;='Bonding Program'!$C$8),N('Bonding Program'!$O$23),0)</f>
        <v>0</v>
      </c>
      <c r="AK164" s="19" t="n">
        <f aca="false">IF(AND('Bonding Program'!$S$23=1,'Bonding Program'!$H$23&gt;'Bonding Program'!$C$8,AK$3='Bonding Program'!$H$23),'Bonding Program'!$T$23-'Bonding Program'!$U$23-'Bonding Program'!$Z$23,0)-IF(AND('Bonding Program'!$S$23=1,'Bonding Program'!$H$23&lt;='Bonding Program'!$C$8,AK$3=IF('Bonding Program'!$P$23&lt;&gt;"",'Bonding Program'!$P$23,'Bonding Program'!$C$8)),'Bonding Program'!$Z$23,0)+IF(AND('Bonding Program'!$P$23&lt;&gt;"",AK$3='Bonding Program'!$P$23,AK$3&lt;='Bonding Program'!$C$8),N('Bonding Program'!$O$23),0)</f>
        <v>0</v>
      </c>
      <c r="AL164" s="19" t="n">
        <f aca="false">IF(AND('Bonding Program'!$S$23=1,'Bonding Program'!$H$23&gt;'Bonding Program'!$C$8,AL$3='Bonding Program'!$H$23),'Bonding Program'!$T$23-'Bonding Program'!$U$23-'Bonding Program'!$Z$23,0)-IF(AND('Bonding Program'!$S$23=1,'Bonding Program'!$H$23&lt;='Bonding Program'!$C$8,AL$3=IF('Bonding Program'!$P$23&lt;&gt;"",'Bonding Program'!$P$23,'Bonding Program'!$C$8)),'Bonding Program'!$Z$23,0)+IF(AND('Bonding Program'!$P$23&lt;&gt;"",AL$3='Bonding Program'!$P$23,AL$3&lt;='Bonding Program'!$C$8),N('Bonding Program'!$O$23),0)</f>
        <v>0</v>
      </c>
      <c r="AM164" s="19" t="n">
        <f aca="false">IF(AND('Bonding Program'!$S$23=1,'Bonding Program'!$H$23&gt;'Bonding Program'!$C$8,AM$3='Bonding Program'!$H$23),'Bonding Program'!$T$23-'Bonding Program'!$U$23-'Bonding Program'!$Z$23,0)-IF(AND('Bonding Program'!$S$23=1,'Bonding Program'!$H$23&lt;='Bonding Program'!$C$8,AM$3=IF('Bonding Program'!$P$23&lt;&gt;"",'Bonding Program'!$P$23,'Bonding Program'!$C$8)),'Bonding Program'!$Z$23,0)+IF(AND('Bonding Program'!$P$23&lt;&gt;"",AM$3='Bonding Program'!$P$23,AM$3&lt;='Bonding Program'!$C$8),N('Bonding Program'!$O$23),0)</f>
        <v>0</v>
      </c>
      <c r="AN164" s="19" t="n">
        <f aca="false">IF(AND('Bonding Program'!$S$23=1,'Bonding Program'!$H$23&gt;'Bonding Program'!$C$8,AN$3='Bonding Program'!$H$23),'Bonding Program'!$T$23-'Bonding Program'!$U$23-'Bonding Program'!$Z$23,0)-IF(AND('Bonding Program'!$S$23=1,'Bonding Program'!$H$23&lt;='Bonding Program'!$C$8,AN$3=IF('Bonding Program'!$P$23&lt;&gt;"",'Bonding Program'!$P$23,'Bonding Program'!$C$8)),'Bonding Program'!$Z$23,0)+IF(AND('Bonding Program'!$P$23&lt;&gt;"",AN$3='Bonding Program'!$P$23,AN$3&lt;='Bonding Program'!$C$8),N('Bonding Program'!$O$23),0)</f>
        <v>0</v>
      </c>
      <c r="AO164" s="19" t="n">
        <f aca="false">IF(AND('Bonding Program'!$S$23=1,'Bonding Program'!$H$23&gt;'Bonding Program'!$C$8,AO$3='Bonding Program'!$H$23),'Bonding Program'!$T$23-'Bonding Program'!$U$23-'Bonding Program'!$Z$23,0)-IF(AND('Bonding Program'!$S$23=1,'Bonding Program'!$H$23&lt;='Bonding Program'!$C$8,AO$3=IF('Bonding Program'!$P$23&lt;&gt;"",'Bonding Program'!$P$23,'Bonding Program'!$C$8)),'Bonding Program'!$Z$23,0)+IF(AND('Bonding Program'!$P$23&lt;&gt;"",AO$3='Bonding Program'!$P$23,AO$3&lt;='Bonding Program'!$C$8),N('Bonding Program'!$O$23),0)</f>
        <v>0</v>
      </c>
      <c r="AP164" s="19" t="n">
        <f aca="false">IF(AND('Bonding Program'!$S$23=1,'Bonding Program'!$H$23&gt;'Bonding Program'!$C$8,AP$3='Bonding Program'!$H$23),'Bonding Program'!$T$23-'Bonding Program'!$U$23-'Bonding Program'!$Z$23,0)-IF(AND('Bonding Program'!$S$23=1,'Bonding Program'!$H$23&lt;='Bonding Program'!$C$8,AP$3=IF('Bonding Program'!$P$23&lt;&gt;"",'Bonding Program'!$P$23,'Bonding Program'!$C$8)),'Bonding Program'!$Z$23,0)+IF(AND('Bonding Program'!$P$23&lt;&gt;"",AP$3='Bonding Program'!$P$23,AP$3&lt;='Bonding Program'!$C$8),N('Bonding Program'!$O$23),0)</f>
        <v>0</v>
      </c>
      <c r="AQ164" s="19" t="n">
        <f aca="false">IF(AND('Bonding Program'!$S$23=1,'Bonding Program'!$H$23&gt;'Bonding Program'!$C$8,AQ$3='Bonding Program'!$H$23),'Bonding Program'!$T$23-'Bonding Program'!$U$23-'Bonding Program'!$Z$23,0)-IF(AND('Bonding Program'!$S$23=1,'Bonding Program'!$H$23&lt;='Bonding Program'!$C$8,AQ$3=IF('Bonding Program'!$P$23&lt;&gt;"",'Bonding Program'!$P$23,'Bonding Program'!$C$8)),'Bonding Program'!$Z$23,0)+IF(AND('Bonding Program'!$P$23&lt;&gt;"",AQ$3='Bonding Program'!$P$23,AQ$3&lt;='Bonding Program'!$C$8),N('Bonding Program'!$O$23),0)</f>
        <v>0</v>
      </c>
      <c r="AR164" s="19" t="n">
        <f aca="false">IF(AND('Bonding Program'!$S$23=1,'Bonding Program'!$H$23&gt;'Bonding Program'!$C$8,AR$3='Bonding Program'!$H$23),'Bonding Program'!$T$23-'Bonding Program'!$U$23-'Bonding Program'!$Z$23,0)-IF(AND('Bonding Program'!$S$23=1,'Bonding Program'!$H$23&lt;='Bonding Program'!$C$8,AR$3=IF('Bonding Program'!$P$23&lt;&gt;"",'Bonding Program'!$P$23,'Bonding Program'!$C$8)),'Bonding Program'!$Z$23,0)+IF(AND('Bonding Program'!$P$23&lt;&gt;"",AR$3='Bonding Program'!$P$23,AR$3&lt;='Bonding Program'!$C$8),N('Bonding Program'!$O$23),0)</f>
        <v>0</v>
      </c>
      <c r="AS164" s="19" t="n">
        <f aca="false">IF(AND('Bonding Program'!$S$23=1,'Bonding Program'!$H$23&gt;'Bonding Program'!$C$8,AS$3='Bonding Program'!$H$23),'Bonding Program'!$T$23-'Bonding Program'!$U$23-'Bonding Program'!$Z$23,0)-IF(AND('Bonding Program'!$S$23=1,'Bonding Program'!$H$23&lt;='Bonding Program'!$C$8,AS$3=IF('Bonding Program'!$P$23&lt;&gt;"",'Bonding Program'!$P$23,'Bonding Program'!$C$8)),'Bonding Program'!$Z$23,0)+IF(AND('Bonding Program'!$P$23&lt;&gt;"",AS$3='Bonding Program'!$P$23,AS$3&lt;='Bonding Program'!$C$8),N('Bonding Program'!$O$23),0)</f>
        <v>0</v>
      </c>
      <c r="AT164" s="19" t="n">
        <f aca="false">IF(AND('Bonding Program'!$S$23=1,'Bonding Program'!$H$23&gt;'Bonding Program'!$C$8,AT$3='Bonding Program'!$H$23),'Bonding Program'!$T$23-'Bonding Program'!$U$23-'Bonding Program'!$Z$23,0)-IF(AND('Bonding Program'!$S$23=1,'Bonding Program'!$H$23&lt;='Bonding Program'!$C$8,AT$3=IF('Bonding Program'!$P$23&lt;&gt;"",'Bonding Program'!$P$23,'Bonding Program'!$C$8)),'Bonding Program'!$Z$23,0)+IF(AND('Bonding Program'!$P$23&lt;&gt;"",AT$3='Bonding Program'!$P$23,AT$3&lt;='Bonding Program'!$C$8),N('Bonding Program'!$O$23),0)</f>
        <v>0</v>
      </c>
      <c r="AU164" s="19" t="n">
        <f aca="false">IF(AND('Bonding Program'!$S$23=1,'Bonding Program'!$H$23&gt;'Bonding Program'!$C$8,AU$3='Bonding Program'!$H$23),'Bonding Program'!$T$23-'Bonding Program'!$U$23-'Bonding Program'!$Z$23,0)-IF(AND('Bonding Program'!$S$23=1,'Bonding Program'!$H$23&lt;='Bonding Program'!$C$8,AU$3=IF('Bonding Program'!$P$23&lt;&gt;"",'Bonding Program'!$P$23,'Bonding Program'!$C$8)),'Bonding Program'!$Z$23,0)+IF(AND('Bonding Program'!$P$23&lt;&gt;"",AU$3='Bonding Program'!$P$23,AU$3&lt;='Bonding Program'!$C$8),N('Bonding Program'!$O$23),0)</f>
        <v>0</v>
      </c>
      <c r="AV164" s="19" t="n">
        <f aca="false">IF(AND('Bonding Program'!$S$23=1,'Bonding Program'!$H$23&gt;'Bonding Program'!$C$8,AV$3='Bonding Program'!$H$23),'Bonding Program'!$T$23-'Bonding Program'!$U$23-'Bonding Program'!$Z$23,0)-IF(AND('Bonding Program'!$S$23=1,'Bonding Program'!$H$23&lt;='Bonding Program'!$C$8,AV$3=IF('Bonding Program'!$P$23&lt;&gt;"",'Bonding Program'!$P$23,'Bonding Program'!$C$8)),'Bonding Program'!$Z$23,0)+IF(AND('Bonding Program'!$P$23&lt;&gt;"",AV$3='Bonding Program'!$P$23,AV$3&lt;='Bonding Program'!$C$8),N('Bonding Program'!$O$23),0)</f>
        <v>0</v>
      </c>
      <c r="AW164" s="19" t="n">
        <f aca="false">IF(AND('Bonding Program'!$S$23=1,'Bonding Program'!$H$23&gt;'Bonding Program'!$C$8,AW$3='Bonding Program'!$H$23),'Bonding Program'!$T$23-'Bonding Program'!$U$23-'Bonding Program'!$Z$23,0)-IF(AND('Bonding Program'!$S$23=1,'Bonding Program'!$H$23&lt;='Bonding Program'!$C$8,AW$3=IF('Bonding Program'!$P$23&lt;&gt;"",'Bonding Program'!$P$23,'Bonding Program'!$C$8)),'Bonding Program'!$Z$23,0)+IF(AND('Bonding Program'!$P$23&lt;&gt;"",AW$3='Bonding Program'!$P$23,AW$3&lt;='Bonding Program'!$C$8),N('Bonding Program'!$O$23),0)</f>
        <v>0</v>
      </c>
      <c r="AX164" s="19" t="n">
        <f aca="false">IF(AND('Bonding Program'!$S$23=1,'Bonding Program'!$H$23&gt;'Bonding Program'!$C$8,AX$3='Bonding Program'!$H$23),'Bonding Program'!$T$23-'Bonding Program'!$U$23-'Bonding Program'!$Z$23,0)-IF(AND('Bonding Program'!$S$23=1,'Bonding Program'!$H$23&lt;='Bonding Program'!$C$8,AX$3=IF('Bonding Program'!$P$23&lt;&gt;"",'Bonding Program'!$P$23,'Bonding Program'!$C$8)),'Bonding Program'!$Z$23,0)+IF(AND('Bonding Program'!$P$23&lt;&gt;"",AX$3='Bonding Program'!$P$23,AX$3&lt;='Bonding Program'!$C$8),N('Bonding Program'!$O$23),0)</f>
        <v>0</v>
      </c>
      <c r="AY164" s="19" t="n">
        <f aca="false">IF(AND('Bonding Program'!$S$23=1,'Bonding Program'!$H$23&gt;'Bonding Program'!$C$8,AY$3='Bonding Program'!$H$23),'Bonding Program'!$T$23-'Bonding Program'!$U$23-'Bonding Program'!$Z$23,0)-IF(AND('Bonding Program'!$S$23=1,'Bonding Program'!$H$23&lt;='Bonding Program'!$C$8,AY$3=IF('Bonding Program'!$P$23&lt;&gt;"",'Bonding Program'!$P$23,'Bonding Program'!$C$8)),'Bonding Program'!$Z$23,0)+IF(AND('Bonding Program'!$P$23&lt;&gt;"",AY$3='Bonding Program'!$P$23,AY$3&lt;='Bonding Program'!$C$8),N('Bonding Program'!$O$23),0)</f>
        <v>0</v>
      </c>
      <c r="AZ164" s="19" t="n">
        <f aca="false">IF(AND('Bonding Program'!$S$23=1,'Bonding Program'!$H$23&gt;'Bonding Program'!$C$8,AZ$3='Bonding Program'!$H$23),'Bonding Program'!$T$23-'Bonding Program'!$U$23-'Bonding Program'!$Z$23,0)-IF(AND('Bonding Program'!$S$23=1,'Bonding Program'!$H$23&lt;='Bonding Program'!$C$8,AZ$3=IF('Bonding Program'!$P$23&lt;&gt;"",'Bonding Program'!$P$23,'Bonding Program'!$C$8)),'Bonding Program'!$Z$23,0)+IF(AND('Bonding Program'!$P$23&lt;&gt;"",AZ$3='Bonding Program'!$P$23,AZ$3&lt;='Bonding Program'!$C$8),N('Bonding Program'!$O$23),0)</f>
        <v>0</v>
      </c>
      <c r="BA164" s="19" t="n">
        <f aca="false">IF(AND('Bonding Program'!$S$23=1,'Bonding Program'!$H$23&gt;'Bonding Program'!$C$8,BA$3='Bonding Program'!$H$23),'Bonding Program'!$T$23-'Bonding Program'!$U$23-'Bonding Program'!$Z$23,0)-IF(AND('Bonding Program'!$S$23=1,'Bonding Program'!$H$23&lt;='Bonding Program'!$C$8,BA$3=IF('Bonding Program'!$P$23&lt;&gt;"",'Bonding Program'!$P$23,'Bonding Program'!$C$8)),'Bonding Program'!$Z$23,0)+IF(AND('Bonding Program'!$P$23&lt;&gt;"",BA$3='Bonding Program'!$P$23,BA$3&lt;='Bonding Program'!$C$8),N('Bonding Program'!$O$23),0)</f>
        <v>0</v>
      </c>
      <c r="BB164" s="19" t="n">
        <f aca="false">IF(AND('Bonding Program'!$S$23=1,'Bonding Program'!$H$23&gt;'Bonding Program'!$C$8,BB$3='Bonding Program'!$H$23),'Bonding Program'!$T$23-'Bonding Program'!$U$23-'Bonding Program'!$Z$23,0)-IF(AND('Bonding Program'!$S$23=1,'Bonding Program'!$H$23&lt;='Bonding Program'!$C$8,BB$3=IF('Bonding Program'!$P$23&lt;&gt;"",'Bonding Program'!$P$23,'Bonding Program'!$C$8)),'Bonding Program'!$Z$23,0)+IF(AND('Bonding Program'!$P$23&lt;&gt;"",BB$3='Bonding Program'!$P$23,BB$3&lt;='Bonding Program'!$C$8),N('Bonding Program'!$O$23),0)</f>
        <v>0</v>
      </c>
      <c r="BC164" s="19" t="n">
        <f aca="false">IF(AND('Bonding Program'!$S$23=1,'Bonding Program'!$H$23&gt;'Bonding Program'!$C$8,BC$3='Bonding Program'!$H$23),'Bonding Program'!$T$23-'Bonding Program'!$U$23-'Bonding Program'!$Z$23,0)-IF(AND('Bonding Program'!$S$23=1,'Bonding Program'!$H$23&lt;='Bonding Program'!$C$8,BC$3=IF('Bonding Program'!$P$23&lt;&gt;"",'Bonding Program'!$P$23,'Bonding Program'!$C$8)),'Bonding Program'!$Z$23,0)+IF(AND('Bonding Program'!$P$23&lt;&gt;"",BC$3='Bonding Program'!$P$23,BC$3&lt;='Bonding Program'!$C$8),N('Bonding Program'!$O$23),0)</f>
        <v>0</v>
      </c>
      <c r="BD164" s="19" t="n">
        <f aca="false">IF(AND('Bonding Program'!$S$23=1,'Bonding Program'!$H$23&gt;'Bonding Program'!$C$8,BD$3='Bonding Program'!$H$23),'Bonding Program'!$T$23-'Bonding Program'!$U$23-'Bonding Program'!$Z$23,0)-IF(AND('Bonding Program'!$S$23=1,'Bonding Program'!$H$23&lt;='Bonding Program'!$C$8,BD$3=IF('Bonding Program'!$P$23&lt;&gt;"",'Bonding Program'!$P$23,'Bonding Program'!$C$8)),'Bonding Program'!$Z$23,0)+IF(AND('Bonding Program'!$P$23&lt;&gt;"",BD$3='Bonding Program'!$P$23,BD$3&lt;='Bonding Program'!$C$8),N('Bonding Program'!$O$23),0)</f>
        <v>0</v>
      </c>
      <c r="BE164" s="19" t="n">
        <f aca="false">IF(AND('Bonding Program'!$S$23=1,'Bonding Program'!$H$23&gt;'Bonding Program'!$C$8,BE$3='Bonding Program'!$H$23),'Bonding Program'!$T$23-'Bonding Program'!$U$23-'Bonding Program'!$Z$23,0)-IF(AND('Bonding Program'!$S$23=1,'Bonding Program'!$H$23&lt;='Bonding Program'!$C$8,BE$3=IF('Bonding Program'!$P$23&lt;&gt;"",'Bonding Program'!$P$23,'Bonding Program'!$C$8)),'Bonding Program'!$Z$23,0)+IF(AND('Bonding Program'!$P$23&lt;&gt;"",BE$3='Bonding Program'!$P$23,BE$3&lt;='Bonding Program'!$C$8),N('Bonding Program'!$O$23),0)</f>
        <v>0</v>
      </c>
      <c r="BF164" s="19" t="n">
        <f aca="false">IF(AND('Bonding Program'!$S$23=1,'Bonding Program'!$H$23&gt;'Bonding Program'!$C$8,BF$3='Bonding Program'!$H$23),'Bonding Program'!$T$23-'Bonding Program'!$U$23-'Bonding Program'!$Z$23,0)-IF(AND('Bonding Program'!$S$23=1,'Bonding Program'!$H$23&lt;='Bonding Program'!$C$8,BF$3=IF('Bonding Program'!$P$23&lt;&gt;"",'Bonding Program'!$P$23,'Bonding Program'!$C$8)),'Bonding Program'!$Z$23,0)+IF(AND('Bonding Program'!$P$23&lt;&gt;"",BF$3='Bonding Program'!$P$23,BF$3&lt;='Bonding Program'!$C$8),N('Bonding Program'!$O$23),0)</f>
        <v>0</v>
      </c>
      <c r="BG164" s="19" t="n">
        <f aca="false">IF(AND('Bonding Program'!$S$23=1,'Bonding Program'!$H$23&gt;'Bonding Program'!$C$8,BG$3='Bonding Program'!$H$23),'Bonding Program'!$T$23-'Bonding Program'!$U$23-'Bonding Program'!$Z$23,0)-IF(AND('Bonding Program'!$S$23=1,'Bonding Program'!$H$23&lt;='Bonding Program'!$C$8,BG$3=IF('Bonding Program'!$P$23&lt;&gt;"",'Bonding Program'!$P$23,'Bonding Program'!$C$8)),'Bonding Program'!$Z$23,0)+IF(AND('Bonding Program'!$P$23&lt;&gt;"",BG$3='Bonding Program'!$P$23,BG$3&lt;='Bonding Program'!$C$8),N('Bonding Program'!$O$23),0)</f>
        <v>0</v>
      </c>
      <c r="BH164" s="19" t="n">
        <f aca="false">IF(AND('Bonding Program'!$S$23=1,'Bonding Program'!$H$23&gt;'Bonding Program'!$C$8,BH$3='Bonding Program'!$H$23),'Bonding Program'!$T$23-'Bonding Program'!$U$23-'Bonding Program'!$Z$23,0)-IF(AND('Bonding Program'!$S$23=1,'Bonding Program'!$H$23&lt;='Bonding Program'!$C$8,BH$3=IF('Bonding Program'!$P$23&lt;&gt;"",'Bonding Program'!$P$23,'Bonding Program'!$C$8)),'Bonding Program'!$Z$23,0)+IF(AND('Bonding Program'!$P$23&lt;&gt;"",BH$3='Bonding Program'!$P$23,BH$3&lt;='Bonding Program'!$C$8),N('Bonding Program'!$O$23),0)</f>
        <v>0</v>
      </c>
      <c r="BI164" s="19" t="n">
        <f aca="false">IF(AND('Bonding Program'!$S$23=1,'Bonding Program'!$H$23&gt;'Bonding Program'!$C$8,BI$3='Bonding Program'!$H$23),'Bonding Program'!$T$23-'Bonding Program'!$U$23-'Bonding Program'!$Z$23,0)-IF(AND('Bonding Program'!$S$23=1,'Bonding Program'!$H$23&lt;='Bonding Program'!$C$8,BI$3=IF('Bonding Program'!$P$23&lt;&gt;"",'Bonding Program'!$P$23,'Bonding Program'!$C$8)),'Bonding Program'!$Z$23,0)+IF(AND('Bonding Program'!$P$23&lt;&gt;"",BI$3='Bonding Program'!$P$23,BI$3&lt;='Bonding Program'!$C$8),N('Bonding Program'!$O$23),0)</f>
        <v>0</v>
      </c>
      <c r="BJ164" s="19" t="n">
        <f aca="false">IF(AND('Bonding Program'!$S$23=1,'Bonding Program'!$H$23&gt;'Bonding Program'!$C$8,BJ$3='Bonding Program'!$H$23),'Bonding Program'!$T$23-'Bonding Program'!$U$23-'Bonding Program'!$Z$23,0)-IF(AND('Bonding Program'!$S$23=1,'Bonding Program'!$H$23&lt;='Bonding Program'!$C$8,BJ$3=IF('Bonding Program'!$P$23&lt;&gt;"",'Bonding Program'!$P$23,'Bonding Program'!$C$8)),'Bonding Program'!$Z$23,0)+IF(AND('Bonding Program'!$P$23&lt;&gt;"",BJ$3='Bonding Program'!$P$23,BJ$3&lt;='Bonding Program'!$C$8),N('Bonding Program'!$O$23),0)</f>
        <v>0</v>
      </c>
      <c r="BK164" s="19" t="n">
        <f aca="false">IF(AND('Bonding Program'!$S$23=1,'Bonding Program'!$H$23&gt;'Bonding Program'!$C$8,BK$3='Bonding Program'!$H$23),'Bonding Program'!$T$23-'Bonding Program'!$U$23-'Bonding Program'!$Z$23,0)-IF(AND('Bonding Program'!$S$23=1,'Bonding Program'!$H$23&lt;='Bonding Program'!$C$8,BK$3=IF('Bonding Program'!$P$23&lt;&gt;"",'Bonding Program'!$P$23,'Bonding Program'!$C$8)),'Bonding Program'!$Z$23,0)+IF(AND('Bonding Program'!$P$23&lt;&gt;"",BK$3='Bonding Program'!$P$23,BK$3&lt;='Bonding Program'!$C$8),N('Bonding Program'!$O$23),0)</f>
        <v>0</v>
      </c>
      <c r="BL164" s="19" t="n">
        <f aca="false">IF(AND('Bonding Program'!$S$23=1,'Bonding Program'!$H$23&gt;'Bonding Program'!$C$8,BL$3='Bonding Program'!$H$23),'Bonding Program'!$T$23-'Bonding Program'!$U$23-'Bonding Program'!$Z$23,0)-IF(AND('Bonding Program'!$S$23=1,'Bonding Program'!$H$23&lt;='Bonding Program'!$C$8,BL$3=IF('Bonding Program'!$P$23&lt;&gt;"",'Bonding Program'!$P$23,'Bonding Program'!$C$8)),'Bonding Program'!$Z$23,0)+IF(AND('Bonding Program'!$P$23&lt;&gt;"",BL$3='Bonding Program'!$P$23,BL$3&lt;='Bonding Program'!$C$8),N('Bonding Program'!$O$23),0)</f>
        <v>0</v>
      </c>
      <c r="BM164" s="19" t="n">
        <f aca="false">IF(AND('Bonding Program'!$S$23=1,'Bonding Program'!$H$23&gt;'Bonding Program'!$C$8,BM$3='Bonding Program'!$H$23),'Bonding Program'!$T$23-'Bonding Program'!$U$23-'Bonding Program'!$Z$23,0)-IF(AND('Bonding Program'!$S$23=1,'Bonding Program'!$H$23&lt;='Bonding Program'!$C$8,BM$3=IF('Bonding Program'!$P$23&lt;&gt;"",'Bonding Program'!$P$23,'Bonding Program'!$C$8)),'Bonding Program'!$Z$23,0)+IF(AND('Bonding Program'!$P$23&lt;&gt;"",BM$3='Bonding Program'!$P$23,BM$3&lt;='Bonding Program'!$C$8),N('Bonding Program'!$O$23),0)</f>
        <v>0</v>
      </c>
      <c r="BN164" s="19" t="n">
        <f aca="false">IF(AND('Bonding Program'!$S$23=1,'Bonding Program'!$H$23&gt;'Bonding Program'!$C$8,BN$3='Bonding Program'!$H$23),'Bonding Program'!$T$23-'Bonding Program'!$U$23-'Bonding Program'!$Z$23,0)-IF(AND('Bonding Program'!$S$23=1,'Bonding Program'!$H$23&lt;='Bonding Program'!$C$8,BN$3=IF('Bonding Program'!$P$23&lt;&gt;"",'Bonding Program'!$P$23,'Bonding Program'!$C$8)),'Bonding Program'!$Z$23,0)+IF(AND('Bonding Program'!$P$23&lt;&gt;"",BN$3='Bonding Program'!$P$23,BN$3&lt;='Bonding Program'!$C$8),N('Bonding Program'!$O$23),0)</f>
        <v>0</v>
      </c>
      <c r="BO164" s="19" t="n">
        <f aca="false">IF(AND('Bonding Program'!$S$23=1,'Bonding Program'!$H$23&gt;'Bonding Program'!$C$8,BO$3='Bonding Program'!$H$23),'Bonding Program'!$T$23-'Bonding Program'!$U$23-'Bonding Program'!$Z$23,0)-IF(AND('Bonding Program'!$S$23=1,'Bonding Program'!$H$23&lt;='Bonding Program'!$C$8,BO$3=IF('Bonding Program'!$P$23&lt;&gt;"",'Bonding Program'!$P$23,'Bonding Program'!$C$8)),'Bonding Program'!$Z$23,0)+IF(AND('Bonding Program'!$P$23&lt;&gt;"",BO$3='Bonding Program'!$P$23,BO$3&lt;='Bonding Program'!$C$8),N('Bonding Program'!$O$23),0)</f>
        <v>0</v>
      </c>
      <c r="BP164" s="19" t="n">
        <f aca="false">IF(AND('Bonding Program'!$S$23=1,'Bonding Program'!$H$23&gt;'Bonding Program'!$C$8,BP$3='Bonding Program'!$H$23),'Bonding Program'!$T$23-'Bonding Program'!$U$23-'Bonding Program'!$Z$23,0)-IF(AND('Bonding Program'!$S$23=1,'Bonding Program'!$H$23&lt;='Bonding Program'!$C$8,BP$3=IF('Bonding Program'!$P$23&lt;&gt;"",'Bonding Program'!$P$23,'Bonding Program'!$C$8)),'Bonding Program'!$Z$23,0)+IF(AND('Bonding Program'!$P$23&lt;&gt;"",BP$3='Bonding Program'!$P$23,BP$3&lt;='Bonding Program'!$C$8),N('Bonding Program'!$O$23),0)</f>
        <v>0</v>
      </c>
      <c r="BQ164" s="19" t="n">
        <f aca="false">IF(AND('Bonding Program'!$S$23=1,'Bonding Program'!$H$23&gt;'Bonding Program'!$C$8,BQ$3='Bonding Program'!$H$23),'Bonding Program'!$T$23-'Bonding Program'!$U$23-'Bonding Program'!$Z$23,0)-IF(AND('Bonding Program'!$S$23=1,'Bonding Program'!$H$23&lt;='Bonding Program'!$C$8,BQ$3=IF('Bonding Program'!$P$23&lt;&gt;"",'Bonding Program'!$P$23,'Bonding Program'!$C$8)),'Bonding Program'!$Z$23,0)+IF(AND('Bonding Program'!$P$23&lt;&gt;"",BQ$3='Bonding Program'!$P$23,BQ$3&lt;='Bonding Program'!$C$8),N('Bonding Program'!$O$23),0)</f>
        <v>0</v>
      </c>
      <c r="BR164" s="19" t="n">
        <f aca="false">IF(AND('Bonding Program'!$S$23=1,'Bonding Program'!$H$23&gt;'Bonding Program'!$C$8,BR$3='Bonding Program'!$H$23),'Bonding Program'!$T$23-'Bonding Program'!$U$23-'Bonding Program'!$Z$23,0)-IF(AND('Bonding Program'!$S$23=1,'Bonding Program'!$H$23&lt;='Bonding Program'!$C$8,BR$3=IF('Bonding Program'!$P$23&lt;&gt;"",'Bonding Program'!$P$23,'Bonding Program'!$C$8)),'Bonding Program'!$Z$23,0)+IF(AND('Bonding Program'!$P$23&lt;&gt;"",BR$3='Bonding Program'!$P$23,BR$3&lt;='Bonding Program'!$C$8),N('Bonding Program'!$O$23),0)</f>
        <v>0</v>
      </c>
      <c r="BS164" s="19" t="n">
        <f aca="false">IF(AND('Bonding Program'!$S$23=1,'Bonding Program'!$H$23&gt;'Bonding Program'!$C$8,BS$3='Bonding Program'!$H$23),'Bonding Program'!$T$23-'Bonding Program'!$U$23-'Bonding Program'!$Z$23,0)-IF(AND('Bonding Program'!$S$23=1,'Bonding Program'!$H$23&lt;='Bonding Program'!$C$8,BS$3=IF('Bonding Program'!$P$23&lt;&gt;"",'Bonding Program'!$P$23,'Bonding Program'!$C$8)),'Bonding Program'!$Z$23,0)+IF(AND('Bonding Program'!$P$23&lt;&gt;"",BS$3='Bonding Program'!$P$23,BS$3&lt;='Bonding Program'!$C$8),N('Bonding Program'!$O$23),0)</f>
        <v>0</v>
      </c>
      <c r="BT164" s="19" t="n">
        <f aca="false">IF(AND('Bonding Program'!$S$23=1,'Bonding Program'!$H$23&gt;'Bonding Program'!$C$8,BT$3='Bonding Program'!$H$23),'Bonding Program'!$T$23-'Bonding Program'!$U$23-'Bonding Program'!$Z$23,0)-IF(AND('Bonding Program'!$S$23=1,'Bonding Program'!$H$23&lt;='Bonding Program'!$C$8,BT$3=IF('Bonding Program'!$P$23&lt;&gt;"",'Bonding Program'!$P$23,'Bonding Program'!$C$8)),'Bonding Program'!$Z$23,0)+IF(AND('Bonding Program'!$P$23&lt;&gt;"",BT$3='Bonding Program'!$P$23,BT$3&lt;='Bonding Program'!$C$8),N('Bonding Program'!$O$23),0)</f>
        <v>0</v>
      </c>
      <c r="BU164" s="19" t="n">
        <f aca="false">IF(AND('Bonding Program'!$S$23=1,'Bonding Program'!$H$23&gt;'Bonding Program'!$C$8,BU$3='Bonding Program'!$H$23),'Bonding Program'!$T$23-'Bonding Program'!$U$23-'Bonding Program'!$Z$23,0)-IF(AND('Bonding Program'!$S$23=1,'Bonding Program'!$H$23&lt;='Bonding Program'!$C$8,BU$3=IF('Bonding Program'!$P$23&lt;&gt;"",'Bonding Program'!$P$23,'Bonding Program'!$C$8)),'Bonding Program'!$Z$23,0)+IF(AND('Bonding Program'!$P$23&lt;&gt;"",BU$3='Bonding Program'!$P$23,BU$3&lt;='Bonding Program'!$C$8),N('Bonding Program'!$O$23),0)</f>
        <v>0</v>
      </c>
      <c r="BV164" s="19" t="n">
        <f aca="false">IF(AND('Bonding Program'!$S$23=1,'Bonding Program'!$H$23&gt;'Bonding Program'!$C$8,BV$3='Bonding Program'!$H$23),'Bonding Program'!$T$23-'Bonding Program'!$U$23-'Bonding Program'!$Z$23,0)-IF(AND('Bonding Program'!$S$23=1,'Bonding Program'!$H$23&lt;='Bonding Program'!$C$8,BV$3=IF('Bonding Program'!$P$23&lt;&gt;"",'Bonding Program'!$P$23,'Bonding Program'!$C$8)),'Bonding Program'!$Z$23,0)+IF(AND('Bonding Program'!$P$23&lt;&gt;"",BV$3='Bonding Program'!$P$23,BV$3&lt;='Bonding Program'!$C$8),N('Bonding Program'!$O$23),0)</f>
        <v>0</v>
      </c>
      <c r="BW164" s="19" t="n">
        <f aca="false">IF(AND('Bonding Program'!$S$23=1,'Bonding Program'!$H$23&gt;'Bonding Program'!$C$8,BW$3='Bonding Program'!$H$23),'Bonding Program'!$T$23-'Bonding Program'!$U$23-'Bonding Program'!$Z$23,0)-IF(AND('Bonding Program'!$S$23=1,'Bonding Program'!$H$23&lt;='Bonding Program'!$C$8,BW$3=IF('Bonding Program'!$P$23&lt;&gt;"",'Bonding Program'!$P$23,'Bonding Program'!$C$8)),'Bonding Program'!$Z$23,0)+IF(AND('Bonding Program'!$P$23&lt;&gt;"",BW$3='Bonding Program'!$P$23,BW$3&lt;='Bonding Program'!$C$8),N('Bonding Program'!$O$23),0)</f>
        <v>0</v>
      </c>
      <c r="BX164" s="19" t="n">
        <f aca="false">IF(AND('Bonding Program'!$S$23=1,'Bonding Program'!$H$23&gt;'Bonding Program'!$C$8,BX$3='Bonding Program'!$H$23),'Bonding Program'!$T$23-'Bonding Program'!$U$23-'Bonding Program'!$Z$23,0)-IF(AND('Bonding Program'!$S$23=1,'Bonding Program'!$H$23&lt;='Bonding Program'!$C$8,BX$3=IF('Bonding Program'!$P$23&lt;&gt;"",'Bonding Program'!$P$23,'Bonding Program'!$C$8)),'Bonding Program'!$Z$23,0)+IF(AND('Bonding Program'!$P$23&lt;&gt;"",BX$3='Bonding Program'!$P$23,BX$3&lt;='Bonding Program'!$C$8),N('Bonding Program'!$O$23),0)</f>
        <v>0</v>
      </c>
      <c r="BY164" s="19" t="n">
        <f aca="false">IF(AND('Bonding Program'!$S$23=1,'Bonding Program'!$H$23&gt;'Bonding Program'!$C$8,BY$3='Bonding Program'!$H$23),'Bonding Program'!$T$23-'Bonding Program'!$U$23-'Bonding Program'!$Z$23,0)-IF(AND('Bonding Program'!$S$23=1,'Bonding Program'!$H$23&lt;='Bonding Program'!$C$8,BY$3=IF('Bonding Program'!$P$23&lt;&gt;"",'Bonding Program'!$P$23,'Bonding Program'!$C$8)),'Bonding Program'!$Z$23,0)+IF(AND('Bonding Program'!$P$23&lt;&gt;"",BY$3='Bonding Program'!$P$23,BY$3&lt;='Bonding Program'!$C$8),N('Bonding Program'!$O$23),0)</f>
        <v>0</v>
      </c>
      <c r="BZ164" s="19" t="n">
        <f aca="false">IF(AND('Bonding Program'!$S$23=1,'Bonding Program'!$H$23&gt;'Bonding Program'!$C$8,BZ$3='Bonding Program'!$H$23),'Bonding Program'!$T$23-'Bonding Program'!$U$23-'Bonding Program'!$Z$23,0)-IF(AND('Bonding Program'!$S$23=1,'Bonding Program'!$H$23&lt;='Bonding Program'!$C$8,BZ$3=IF('Bonding Program'!$P$23&lt;&gt;"",'Bonding Program'!$P$23,'Bonding Program'!$C$8)),'Bonding Program'!$Z$23,0)+IF(AND('Bonding Program'!$P$23&lt;&gt;"",BZ$3='Bonding Program'!$P$23,BZ$3&lt;='Bonding Program'!$C$8),N('Bonding Program'!$O$23),0)</f>
        <v>0</v>
      </c>
      <c r="CA164" s="19" t="n">
        <f aca="false">IF(AND('Bonding Program'!$S$23=1,'Bonding Program'!$H$23&gt;'Bonding Program'!$C$8,CA$3='Bonding Program'!$H$23),'Bonding Program'!$T$23-'Bonding Program'!$U$23-'Bonding Program'!$Z$23,0)-IF(AND('Bonding Program'!$S$23=1,'Bonding Program'!$H$23&lt;='Bonding Program'!$C$8,CA$3=IF('Bonding Program'!$P$23&lt;&gt;"",'Bonding Program'!$P$23,'Bonding Program'!$C$8)),'Bonding Program'!$Z$23,0)+IF(AND('Bonding Program'!$P$23&lt;&gt;"",CA$3='Bonding Program'!$P$23,CA$3&lt;='Bonding Program'!$C$8),N('Bonding Program'!$O$23),0)</f>
        <v>0</v>
      </c>
      <c r="CB164" s="19" t="n">
        <f aca="false">IF(AND('Bonding Program'!$S$23=1,'Bonding Program'!$H$23&gt;'Bonding Program'!$C$8,CB$3='Bonding Program'!$H$23),'Bonding Program'!$T$23-'Bonding Program'!$U$23-'Bonding Program'!$Z$23,0)-IF(AND('Bonding Program'!$S$23=1,'Bonding Program'!$H$23&lt;='Bonding Program'!$C$8,CB$3=IF('Bonding Program'!$P$23&lt;&gt;"",'Bonding Program'!$P$23,'Bonding Program'!$C$8)),'Bonding Program'!$Z$23,0)+IF(AND('Bonding Program'!$P$23&lt;&gt;"",CB$3='Bonding Program'!$P$23,CB$3&lt;='Bonding Program'!$C$8),N('Bonding Program'!$O$23),0)</f>
        <v>0</v>
      </c>
      <c r="CC164" s="19" t="n">
        <f aca="false">IF(AND('Bonding Program'!$S$23=1,'Bonding Program'!$H$23&gt;'Bonding Program'!$C$8,CC$3='Bonding Program'!$H$23),'Bonding Program'!$T$23-'Bonding Program'!$U$23-'Bonding Program'!$Z$23,0)-IF(AND('Bonding Program'!$S$23=1,'Bonding Program'!$H$23&lt;='Bonding Program'!$C$8,CC$3=IF('Bonding Program'!$P$23&lt;&gt;"",'Bonding Program'!$P$23,'Bonding Program'!$C$8)),'Bonding Program'!$Z$23,0)+IF(AND('Bonding Program'!$P$23&lt;&gt;"",CC$3='Bonding Program'!$P$23,CC$3&lt;='Bonding Program'!$C$8),N('Bonding Program'!$O$23),0)</f>
        <v>0</v>
      </c>
      <c r="CD164" s="19" t="n">
        <f aca="false">IF(AND('Bonding Program'!$S$23=1,'Bonding Program'!$H$23&gt;'Bonding Program'!$C$8,CD$3='Bonding Program'!$H$23),'Bonding Program'!$T$23-'Bonding Program'!$U$23-'Bonding Program'!$Z$23,0)-IF(AND('Bonding Program'!$S$23=1,'Bonding Program'!$H$23&lt;='Bonding Program'!$C$8,CD$3=IF('Bonding Program'!$P$23&lt;&gt;"",'Bonding Program'!$P$23,'Bonding Program'!$C$8)),'Bonding Program'!$Z$23,0)+IF(AND('Bonding Program'!$P$23&lt;&gt;"",CD$3='Bonding Program'!$P$23,CD$3&lt;='Bonding Program'!$C$8),N('Bonding Program'!$O$23),0)</f>
        <v>0</v>
      </c>
      <c r="CE164" s="19" t="n">
        <f aca="false">IF(AND('Bonding Program'!$S$23=1,'Bonding Program'!$H$23&gt;'Bonding Program'!$C$8,CE$3='Bonding Program'!$H$23),'Bonding Program'!$T$23-'Bonding Program'!$U$23-'Bonding Program'!$Z$23,0)-IF(AND('Bonding Program'!$S$23=1,'Bonding Program'!$H$23&lt;='Bonding Program'!$C$8,CE$3=IF('Bonding Program'!$P$23&lt;&gt;"",'Bonding Program'!$P$23,'Bonding Program'!$C$8)),'Bonding Program'!$Z$23,0)+IF(AND('Bonding Program'!$P$23&lt;&gt;"",CE$3='Bonding Program'!$P$23,CE$3&lt;='Bonding Program'!$C$8),N('Bonding Program'!$O$23),0)</f>
        <v>0</v>
      </c>
      <c r="CF164" s="19" t="n">
        <f aca="false">IF(AND('Bonding Program'!$S$23=1,'Bonding Program'!$H$23&gt;'Bonding Program'!$C$8,CF$3='Bonding Program'!$H$23),'Bonding Program'!$T$23-'Bonding Program'!$U$23-'Bonding Program'!$Z$23,0)-IF(AND('Bonding Program'!$S$23=1,'Bonding Program'!$H$23&lt;='Bonding Program'!$C$8,CF$3=IF('Bonding Program'!$P$23&lt;&gt;"",'Bonding Program'!$P$23,'Bonding Program'!$C$8)),'Bonding Program'!$Z$23,0)+IF(AND('Bonding Program'!$P$23&lt;&gt;"",CF$3='Bonding Program'!$P$23,CF$3&lt;='Bonding Program'!$C$8),N('Bonding Program'!$O$23),0)</f>
        <v>0</v>
      </c>
      <c r="CG164" s="19" t="n">
        <f aca="false">IF(AND('Bonding Program'!$S$23=1,'Bonding Program'!$H$23&gt;'Bonding Program'!$C$8,CG$3='Bonding Program'!$H$23),'Bonding Program'!$T$23-'Bonding Program'!$U$23-'Bonding Program'!$Z$23,0)-IF(AND('Bonding Program'!$S$23=1,'Bonding Program'!$H$23&lt;='Bonding Program'!$C$8,CG$3=IF('Bonding Program'!$P$23&lt;&gt;"",'Bonding Program'!$P$23,'Bonding Program'!$C$8)),'Bonding Program'!$Z$23,0)+IF(AND('Bonding Program'!$P$23&lt;&gt;"",CG$3='Bonding Program'!$P$23,CG$3&lt;='Bonding Program'!$C$8),N('Bonding Program'!$O$23),0)</f>
        <v>0</v>
      </c>
      <c r="CH164" s="19" t="n">
        <f aca="false">IF(AND('Bonding Program'!$S$23=1,'Bonding Program'!$H$23&gt;'Bonding Program'!$C$8,CH$3='Bonding Program'!$H$23),'Bonding Program'!$T$23-'Bonding Program'!$U$23-'Bonding Program'!$Z$23,0)-IF(AND('Bonding Program'!$S$23=1,'Bonding Program'!$H$23&lt;='Bonding Program'!$C$8,CH$3=IF('Bonding Program'!$P$23&lt;&gt;"",'Bonding Program'!$P$23,'Bonding Program'!$C$8)),'Bonding Program'!$Z$23,0)+IF(AND('Bonding Program'!$P$23&lt;&gt;"",CH$3='Bonding Program'!$P$23,CH$3&lt;='Bonding Program'!$C$8),N('Bonding Program'!$O$23),0)</f>
        <v>0</v>
      </c>
      <c r="CI164" s="19" t="n">
        <f aca="false">IF(AND('Bonding Program'!$S$23=1,'Bonding Program'!$H$23&gt;'Bonding Program'!$C$8,CI$3='Bonding Program'!$H$23),'Bonding Program'!$T$23-'Bonding Program'!$U$23-'Bonding Program'!$Z$23,0)-IF(AND('Bonding Program'!$S$23=1,'Bonding Program'!$H$23&lt;='Bonding Program'!$C$8,CI$3=IF('Bonding Program'!$P$23&lt;&gt;"",'Bonding Program'!$P$23,'Bonding Program'!$C$8)),'Bonding Program'!$Z$23,0)+IF(AND('Bonding Program'!$P$23&lt;&gt;"",CI$3='Bonding Program'!$P$23,CI$3&lt;='Bonding Program'!$C$8),N('Bonding Program'!$O$23),0)</f>
        <v>0</v>
      </c>
      <c r="CJ164" s="19" t="n">
        <f aca="false">IF(AND('Bonding Program'!$S$23=1,'Bonding Program'!$H$23&gt;'Bonding Program'!$C$8,CJ$3='Bonding Program'!$H$23),'Bonding Program'!$T$23-'Bonding Program'!$U$23-'Bonding Program'!$Z$23,0)-IF(AND('Bonding Program'!$S$23=1,'Bonding Program'!$H$23&lt;='Bonding Program'!$C$8,CJ$3=IF('Bonding Program'!$P$23&lt;&gt;"",'Bonding Program'!$P$23,'Bonding Program'!$C$8)),'Bonding Program'!$Z$23,0)+IF(AND('Bonding Program'!$P$23&lt;&gt;"",CJ$3='Bonding Program'!$P$23,CJ$3&lt;='Bonding Program'!$C$8),N('Bonding Program'!$O$23),0)</f>
        <v>0</v>
      </c>
      <c r="CK164" s="19" t="n">
        <f aca="false">IF(AND('Bonding Program'!$S$23=1,'Bonding Program'!$H$23&gt;'Bonding Program'!$C$8,CK$3='Bonding Program'!$H$23),'Bonding Program'!$T$23-'Bonding Program'!$U$23-'Bonding Program'!$Z$23,0)-IF(AND('Bonding Program'!$S$23=1,'Bonding Program'!$H$23&lt;='Bonding Program'!$C$8,CK$3=IF('Bonding Program'!$P$23&lt;&gt;"",'Bonding Program'!$P$23,'Bonding Program'!$C$8)),'Bonding Program'!$Z$23,0)+IF(AND('Bonding Program'!$P$23&lt;&gt;"",CK$3='Bonding Program'!$P$23,CK$3&lt;='Bonding Program'!$C$8),N('Bonding Program'!$O$23),0)</f>
        <v>0</v>
      </c>
      <c r="CL164" s="19" t="n">
        <f aca="false">IF(AND('Bonding Program'!$S$23=1,'Bonding Program'!$H$23&gt;'Bonding Program'!$C$8,CL$3='Bonding Program'!$H$23),'Bonding Program'!$T$23-'Bonding Program'!$U$23-'Bonding Program'!$Z$23,0)-IF(AND('Bonding Program'!$S$23=1,'Bonding Program'!$H$23&lt;='Bonding Program'!$C$8,CL$3=IF('Bonding Program'!$P$23&lt;&gt;"",'Bonding Program'!$P$23,'Bonding Program'!$C$8)),'Bonding Program'!$Z$23,0)+IF(AND('Bonding Program'!$P$23&lt;&gt;"",CL$3='Bonding Program'!$P$23,CL$3&lt;='Bonding Program'!$C$8),N('Bonding Program'!$O$23),0)</f>
        <v>0</v>
      </c>
      <c r="CM164" s="19" t="n">
        <f aca="false">IF(AND('Bonding Program'!$S$23=1,'Bonding Program'!$H$23&gt;'Bonding Program'!$C$8,CM$3='Bonding Program'!$H$23),'Bonding Program'!$T$23-'Bonding Program'!$U$23-'Bonding Program'!$Z$23,0)-IF(AND('Bonding Program'!$S$23=1,'Bonding Program'!$H$23&lt;='Bonding Program'!$C$8,CM$3=IF('Bonding Program'!$P$23&lt;&gt;"",'Bonding Program'!$P$23,'Bonding Program'!$C$8)),'Bonding Program'!$Z$23,0)+IF(AND('Bonding Program'!$P$23&lt;&gt;"",CM$3='Bonding Program'!$P$23,CM$3&lt;='Bonding Program'!$C$8),N('Bonding Program'!$O$23),0)</f>
        <v>0</v>
      </c>
      <c r="CN164" s="19" t="n">
        <f aca="false">IF(AND('Bonding Program'!$S$23=1,'Bonding Program'!$H$23&gt;'Bonding Program'!$C$8,CN$3='Bonding Program'!$H$23),'Bonding Program'!$T$23-'Bonding Program'!$U$23-'Bonding Program'!$Z$23,0)-IF(AND('Bonding Program'!$S$23=1,'Bonding Program'!$H$23&lt;='Bonding Program'!$C$8,CN$3=IF('Bonding Program'!$P$23&lt;&gt;"",'Bonding Program'!$P$23,'Bonding Program'!$C$8)),'Bonding Program'!$Z$23,0)+IF(AND('Bonding Program'!$P$23&lt;&gt;"",CN$3='Bonding Program'!$P$23,CN$3&lt;='Bonding Program'!$C$8),N('Bonding Program'!$O$23),0)</f>
        <v>0</v>
      </c>
      <c r="CO164" s="19" t="n">
        <f aca="false">IF(AND('Bonding Program'!$S$23=1,'Bonding Program'!$H$23&gt;'Bonding Program'!$C$8,CO$3='Bonding Program'!$H$23),'Bonding Program'!$T$23-'Bonding Program'!$U$23-'Bonding Program'!$Z$23,0)-IF(AND('Bonding Program'!$S$23=1,'Bonding Program'!$H$23&lt;='Bonding Program'!$C$8,CO$3=IF('Bonding Program'!$P$23&lt;&gt;"",'Bonding Program'!$P$23,'Bonding Program'!$C$8)),'Bonding Program'!$Z$23,0)+IF(AND('Bonding Program'!$P$23&lt;&gt;"",CO$3='Bonding Program'!$P$23,CO$3&lt;='Bonding Program'!$C$8),N('Bonding Program'!$O$23),0)</f>
        <v>0</v>
      </c>
      <c r="CP164" s="19" t="n">
        <f aca="false">IF(AND('Bonding Program'!$S$23=1,'Bonding Program'!$H$23&gt;'Bonding Program'!$C$8,CP$3='Bonding Program'!$H$23),'Bonding Program'!$T$23-'Bonding Program'!$U$23-'Bonding Program'!$Z$23,0)-IF(AND('Bonding Program'!$S$23=1,'Bonding Program'!$H$23&lt;='Bonding Program'!$C$8,CP$3=IF('Bonding Program'!$P$23&lt;&gt;"",'Bonding Program'!$P$23,'Bonding Program'!$C$8)),'Bonding Program'!$Z$23,0)+IF(AND('Bonding Program'!$P$23&lt;&gt;"",CP$3='Bonding Program'!$P$23,CP$3&lt;='Bonding Program'!$C$8),N('Bonding Program'!$O$23),0)</f>
        <v>0</v>
      </c>
      <c r="CQ164" s="19" t="n">
        <f aca="false">IF(AND('Bonding Program'!$S$23=1,'Bonding Program'!$H$23&gt;'Bonding Program'!$C$8,CQ$3='Bonding Program'!$H$23),'Bonding Program'!$T$23-'Bonding Program'!$U$23-'Bonding Program'!$Z$23,0)-IF(AND('Bonding Program'!$S$23=1,'Bonding Program'!$H$23&lt;='Bonding Program'!$C$8,CQ$3=IF('Bonding Program'!$P$23&lt;&gt;"",'Bonding Program'!$P$23,'Bonding Program'!$C$8)),'Bonding Program'!$Z$23,0)+IF(AND('Bonding Program'!$P$23&lt;&gt;"",CQ$3='Bonding Program'!$P$23,CQ$3&lt;='Bonding Program'!$C$8),N('Bonding Program'!$O$23),0)</f>
        <v>0</v>
      </c>
      <c r="CR164" s="19" t="n">
        <f aca="false">IF(AND('Bonding Program'!$S$23=1,'Bonding Program'!$H$23&gt;'Bonding Program'!$C$8,CR$3='Bonding Program'!$H$23),'Bonding Program'!$T$23-'Bonding Program'!$U$23-'Bonding Program'!$Z$23,0)-IF(AND('Bonding Program'!$S$23=1,'Bonding Program'!$H$23&lt;='Bonding Program'!$C$8,CR$3=IF('Bonding Program'!$P$23&lt;&gt;"",'Bonding Program'!$P$23,'Bonding Program'!$C$8)),'Bonding Program'!$Z$23,0)+IF(AND('Bonding Program'!$P$23&lt;&gt;"",CR$3='Bonding Program'!$P$23,CR$3&lt;='Bonding Program'!$C$8),N('Bonding Program'!$O$23),0)</f>
        <v>0</v>
      </c>
      <c r="CS164" s="19" t="n">
        <f aca="false">IF(AND('Bonding Program'!$S$23=1,'Bonding Program'!$H$23&gt;'Bonding Program'!$C$8,CS$3='Bonding Program'!$H$23),'Bonding Program'!$T$23-'Bonding Program'!$U$23-'Bonding Program'!$Z$23,0)-IF(AND('Bonding Program'!$S$23=1,'Bonding Program'!$H$23&lt;='Bonding Program'!$C$8,CS$3=IF('Bonding Program'!$P$23&lt;&gt;"",'Bonding Program'!$P$23,'Bonding Program'!$C$8)),'Bonding Program'!$Z$23,0)+IF(AND('Bonding Program'!$P$23&lt;&gt;"",CS$3='Bonding Program'!$P$23,CS$3&lt;='Bonding Program'!$C$8),N('Bonding Program'!$O$23),0)</f>
        <v>0</v>
      </c>
      <c r="CT164" s="19" t="n">
        <f aca="false">IF(AND('Bonding Program'!$S$23=1,'Bonding Program'!$H$23&gt;'Bonding Program'!$C$8,CT$3='Bonding Program'!$H$23),'Bonding Program'!$T$23-'Bonding Program'!$U$23-'Bonding Program'!$Z$23,0)-IF(AND('Bonding Program'!$S$23=1,'Bonding Program'!$H$23&lt;='Bonding Program'!$C$8,CT$3=IF('Bonding Program'!$P$23&lt;&gt;"",'Bonding Program'!$P$23,'Bonding Program'!$C$8)),'Bonding Program'!$Z$23,0)+IF(AND('Bonding Program'!$P$23&lt;&gt;"",CT$3='Bonding Program'!$P$23,CT$3&lt;='Bonding Program'!$C$8),N('Bonding Program'!$O$23),0)</f>
        <v>0</v>
      </c>
      <c r="CU164" s="19" t="n">
        <f aca="false">IF(AND('Bonding Program'!$S$23=1,'Bonding Program'!$H$23&gt;'Bonding Program'!$C$8,CU$3='Bonding Program'!$H$23),'Bonding Program'!$T$23-'Bonding Program'!$U$23-'Bonding Program'!$Z$23,0)-IF(AND('Bonding Program'!$S$23=1,'Bonding Program'!$H$23&lt;='Bonding Program'!$C$8,CU$3=IF('Bonding Program'!$P$23&lt;&gt;"",'Bonding Program'!$P$23,'Bonding Program'!$C$8)),'Bonding Program'!$Z$23,0)+IF(AND('Bonding Program'!$P$23&lt;&gt;"",CU$3='Bonding Program'!$P$23,CU$3&lt;='Bonding Program'!$C$8),N('Bonding Program'!$O$23),0)</f>
        <v>0</v>
      </c>
      <c r="CV164" s="19" t="n">
        <f aca="false">IF(AND('Bonding Program'!$S$23=1,'Bonding Program'!$H$23&gt;'Bonding Program'!$C$8,CV$3='Bonding Program'!$H$23),'Bonding Program'!$T$23-'Bonding Program'!$U$23-'Bonding Program'!$Z$23,0)-IF(AND('Bonding Program'!$S$23=1,'Bonding Program'!$H$23&lt;='Bonding Program'!$C$8,CV$3=IF('Bonding Program'!$P$23&lt;&gt;"",'Bonding Program'!$P$23,'Bonding Program'!$C$8)),'Bonding Program'!$Z$23,0)+IF(AND('Bonding Program'!$P$23&lt;&gt;"",CV$3='Bonding Program'!$P$23,CV$3&lt;='Bonding Program'!$C$8),N('Bonding Program'!$O$23),0)</f>
        <v>0</v>
      </c>
      <c r="CW164" s="19" t="n">
        <f aca="false">IF(AND('Bonding Program'!$S$23=1,'Bonding Program'!$H$23&gt;'Bonding Program'!$C$8,CW$3='Bonding Program'!$H$23),'Bonding Program'!$T$23-'Bonding Program'!$U$23-'Bonding Program'!$Z$23,0)-IF(AND('Bonding Program'!$S$23=1,'Bonding Program'!$H$23&lt;='Bonding Program'!$C$8,CW$3=IF('Bonding Program'!$P$23&lt;&gt;"",'Bonding Program'!$P$23,'Bonding Program'!$C$8)),'Bonding Program'!$Z$23,0)+IF(AND('Bonding Program'!$P$23&lt;&gt;"",CW$3='Bonding Program'!$P$23,CW$3&lt;='Bonding Program'!$C$8),N('Bonding Program'!$O$23),0)</f>
        <v>0</v>
      </c>
      <c r="CX164" s="19" t="n">
        <f aca="false">IF(AND('Bonding Program'!$S$23=1,'Bonding Program'!$H$23&gt;'Bonding Program'!$C$8,CX$3='Bonding Program'!$H$23),'Bonding Program'!$T$23-'Bonding Program'!$U$23-'Bonding Program'!$Z$23,0)-IF(AND('Bonding Program'!$S$23=1,'Bonding Program'!$H$23&lt;='Bonding Program'!$C$8,CX$3=IF('Bonding Program'!$P$23&lt;&gt;"",'Bonding Program'!$P$23,'Bonding Program'!$C$8)),'Bonding Program'!$Z$23,0)+IF(AND('Bonding Program'!$P$23&lt;&gt;"",CX$3='Bonding Program'!$P$23,CX$3&lt;='Bonding Program'!$C$8),N('Bonding Program'!$O$23),0)</f>
        <v>0</v>
      </c>
      <c r="CY164" s="19" t="n">
        <f aca="false">IF(AND('Bonding Program'!$S$23=1,'Bonding Program'!$H$23&gt;'Bonding Program'!$C$8,CY$3='Bonding Program'!$H$23),'Bonding Program'!$T$23-'Bonding Program'!$U$23-'Bonding Program'!$Z$23,0)-IF(AND('Bonding Program'!$S$23=1,'Bonding Program'!$H$23&lt;='Bonding Program'!$C$8,CY$3=IF('Bonding Program'!$P$23&lt;&gt;"",'Bonding Program'!$P$23,'Bonding Program'!$C$8)),'Bonding Program'!$Z$23,0)+IF(AND('Bonding Program'!$P$23&lt;&gt;"",CY$3='Bonding Program'!$P$23,CY$3&lt;='Bonding Program'!$C$8),N('Bonding Program'!$O$23),0)</f>
        <v>0</v>
      </c>
      <c r="CZ164" s="19" t="n">
        <f aca="false">IF(AND('Bonding Program'!$S$23=1,'Bonding Program'!$H$23&gt;'Bonding Program'!$C$8,CZ$3='Bonding Program'!$H$23),'Bonding Program'!$T$23-'Bonding Program'!$U$23-'Bonding Program'!$Z$23,0)-IF(AND('Bonding Program'!$S$23=1,'Bonding Program'!$H$23&lt;='Bonding Program'!$C$8,CZ$3=IF('Bonding Program'!$P$23&lt;&gt;"",'Bonding Program'!$P$23,'Bonding Program'!$C$8)),'Bonding Program'!$Z$23,0)+IF(AND('Bonding Program'!$P$23&lt;&gt;"",CZ$3='Bonding Program'!$P$23,CZ$3&lt;='Bonding Program'!$C$8),N('Bonding Program'!$O$23),0)</f>
        <v>0</v>
      </c>
      <c r="DA164" s="19" t="n">
        <f aca="false">IF(AND('Bonding Program'!$S$23=1,'Bonding Program'!$H$23&gt;'Bonding Program'!$C$8,DA$3='Bonding Program'!$H$23),'Bonding Program'!$T$23-'Bonding Program'!$U$23-'Bonding Program'!$Z$23,0)-IF(AND('Bonding Program'!$S$23=1,'Bonding Program'!$H$23&lt;='Bonding Program'!$C$8,DA$3=IF('Bonding Program'!$P$23&lt;&gt;"",'Bonding Program'!$P$23,'Bonding Program'!$C$8)),'Bonding Program'!$Z$23,0)+IF(AND('Bonding Program'!$P$23&lt;&gt;"",DA$3='Bonding Program'!$P$23,DA$3&lt;='Bonding Program'!$C$8),N('Bonding Program'!$O$23),0)</f>
        <v>0</v>
      </c>
      <c r="DB164" s="19" t="n">
        <f aca="false">IF(AND('Bonding Program'!$S$23=1,'Bonding Program'!$H$23&gt;'Bonding Program'!$C$8,DB$3='Bonding Program'!$H$23),'Bonding Program'!$T$23-'Bonding Program'!$U$23-'Bonding Program'!$Z$23,0)-IF(AND('Bonding Program'!$S$23=1,'Bonding Program'!$H$23&lt;='Bonding Program'!$C$8,DB$3=IF('Bonding Program'!$P$23&lt;&gt;"",'Bonding Program'!$P$23,'Bonding Program'!$C$8)),'Bonding Program'!$Z$23,0)+IF(AND('Bonding Program'!$P$23&lt;&gt;"",DB$3='Bonding Program'!$P$23,DB$3&lt;='Bonding Program'!$C$8),N('Bonding Program'!$O$23),0)</f>
        <v>0</v>
      </c>
      <c r="DC164" s="19" t="n">
        <f aca="false">IF(AND('Bonding Program'!$S$23=1,'Bonding Program'!$H$23&gt;'Bonding Program'!$C$8,DC$3='Bonding Program'!$H$23),'Bonding Program'!$T$23-'Bonding Program'!$U$23-'Bonding Program'!$Z$23,0)-IF(AND('Bonding Program'!$S$23=1,'Bonding Program'!$H$23&lt;='Bonding Program'!$C$8,DC$3=IF('Bonding Program'!$P$23&lt;&gt;"",'Bonding Program'!$P$23,'Bonding Program'!$C$8)),'Bonding Program'!$Z$23,0)+IF(AND('Bonding Program'!$P$23&lt;&gt;"",DC$3='Bonding Program'!$P$23,DC$3&lt;='Bonding Program'!$C$8),N('Bonding Program'!$O$23),0)</f>
        <v>0</v>
      </c>
      <c r="DD164" s="19" t="n">
        <f aca="false">IF(AND('Bonding Program'!$S$23=1,'Bonding Program'!$H$23&gt;'Bonding Program'!$C$8,DD$3='Bonding Program'!$H$23),'Bonding Program'!$T$23-'Bonding Program'!$U$23-'Bonding Program'!$Z$23,0)-IF(AND('Bonding Program'!$S$23=1,'Bonding Program'!$H$23&lt;='Bonding Program'!$C$8,DD$3=IF('Bonding Program'!$P$23&lt;&gt;"",'Bonding Program'!$P$23,'Bonding Program'!$C$8)),'Bonding Program'!$Z$23,0)+IF(AND('Bonding Program'!$P$23&lt;&gt;"",DD$3='Bonding Program'!$P$23,DD$3&lt;='Bonding Program'!$C$8),N('Bonding Program'!$O$23),0)</f>
        <v>0</v>
      </c>
      <c r="DE164" s="19" t="n">
        <f aca="false">IF(AND('Bonding Program'!$S$23=1,'Bonding Program'!$H$23&gt;'Bonding Program'!$C$8,DE$3='Bonding Program'!$H$23),'Bonding Program'!$T$23-'Bonding Program'!$U$23-'Bonding Program'!$Z$23,0)-IF(AND('Bonding Program'!$S$23=1,'Bonding Program'!$H$23&lt;='Bonding Program'!$C$8,DE$3=IF('Bonding Program'!$P$23&lt;&gt;"",'Bonding Program'!$P$23,'Bonding Program'!$C$8)),'Bonding Program'!$Z$23,0)+IF(AND('Bonding Program'!$P$23&lt;&gt;"",DE$3='Bonding Program'!$P$23,DE$3&lt;='Bonding Program'!$C$8),N('Bonding Program'!$O$23),0)</f>
        <v>0</v>
      </c>
    </row>
    <row r="165" customFormat="false" ht="15" hidden="false" customHeight="true" outlineLevel="1" collapsed="false">
      <c r="A165" s="28" t="s">
        <v>20</v>
      </c>
      <c r="B165" s="19" t="n">
        <f aca="false">IF(AND('Bonding Program'!$S$24=1,'Bonding Program'!$H$24&gt;'Bonding Program'!$C$8,B$3='Bonding Program'!$H$24),'Bonding Program'!$T$24-'Bonding Program'!$U$24-'Bonding Program'!$Z$24,0)-IF(AND('Bonding Program'!$S$24=1,'Bonding Program'!$H$24&lt;='Bonding Program'!$C$8,B$3=IF('Bonding Program'!$P$24&lt;&gt;"",'Bonding Program'!$P$24,'Bonding Program'!$C$8)),'Bonding Program'!$Z$24,0)+IF(AND('Bonding Program'!$P$24&lt;&gt;"",B$3='Bonding Program'!$P$24,B$3&lt;='Bonding Program'!$C$8),N('Bonding Program'!$O$24),0)</f>
        <v>0</v>
      </c>
      <c r="C165" s="19" t="n">
        <f aca="false">IF(AND('Bonding Program'!$S$24=1,'Bonding Program'!$H$24&gt;'Bonding Program'!$C$8,C$3='Bonding Program'!$H$24),'Bonding Program'!$T$24-'Bonding Program'!$U$24-'Bonding Program'!$Z$24,0)-IF(AND('Bonding Program'!$S$24=1,'Bonding Program'!$H$24&lt;='Bonding Program'!$C$8,C$3=IF('Bonding Program'!$P$24&lt;&gt;"",'Bonding Program'!$P$24,'Bonding Program'!$C$8)),'Bonding Program'!$Z$24,0)+IF(AND('Bonding Program'!$P$24&lt;&gt;"",C$3='Bonding Program'!$P$24,C$3&lt;='Bonding Program'!$C$8),N('Bonding Program'!$O$24),0)</f>
        <v>0</v>
      </c>
      <c r="D165" s="19" t="n">
        <f aca="false">IF(AND('Bonding Program'!$S$24=1,'Bonding Program'!$H$24&gt;'Bonding Program'!$C$8,D$3='Bonding Program'!$H$24),'Bonding Program'!$T$24-'Bonding Program'!$U$24-'Bonding Program'!$Z$24,0)-IF(AND('Bonding Program'!$S$24=1,'Bonding Program'!$H$24&lt;='Bonding Program'!$C$8,D$3=IF('Bonding Program'!$P$24&lt;&gt;"",'Bonding Program'!$P$24,'Bonding Program'!$C$8)),'Bonding Program'!$Z$24,0)+IF(AND('Bonding Program'!$P$24&lt;&gt;"",D$3='Bonding Program'!$P$24,D$3&lt;='Bonding Program'!$C$8),N('Bonding Program'!$O$24),0)</f>
        <v>0</v>
      </c>
      <c r="E165" s="19" t="n">
        <f aca="false">IF(AND('Bonding Program'!$S$24=1,'Bonding Program'!$H$24&gt;'Bonding Program'!$C$8,E$3='Bonding Program'!$H$24),'Bonding Program'!$T$24-'Bonding Program'!$U$24-'Bonding Program'!$Z$24,0)-IF(AND('Bonding Program'!$S$24=1,'Bonding Program'!$H$24&lt;='Bonding Program'!$C$8,E$3=IF('Bonding Program'!$P$24&lt;&gt;"",'Bonding Program'!$P$24,'Bonding Program'!$C$8)),'Bonding Program'!$Z$24,0)+IF(AND('Bonding Program'!$P$24&lt;&gt;"",E$3='Bonding Program'!$P$24,E$3&lt;='Bonding Program'!$C$8),N('Bonding Program'!$O$24),0)</f>
        <v>0</v>
      </c>
      <c r="F165" s="19" t="n">
        <f aca="false">IF(AND('Bonding Program'!$S$24=1,'Bonding Program'!$H$24&gt;'Bonding Program'!$C$8,F$3='Bonding Program'!$H$24),'Bonding Program'!$T$24-'Bonding Program'!$U$24-'Bonding Program'!$Z$24,0)-IF(AND('Bonding Program'!$S$24=1,'Bonding Program'!$H$24&lt;='Bonding Program'!$C$8,F$3=IF('Bonding Program'!$P$24&lt;&gt;"",'Bonding Program'!$P$24,'Bonding Program'!$C$8)),'Bonding Program'!$Z$24,0)+IF(AND('Bonding Program'!$P$24&lt;&gt;"",F$3='Bonding Program'!$P$24,F$3&lt;='Bonding Program'!$C$8),N('Bonding Program'!$O$24),0)</f>
        <v>0</v>
      </c>
      <c r="G165" s="19" t="n">
        <f aca="false">IF(AND('Bonding Program'!$S$24=1,'Bonding Program'!$H$24&gt;'Bonding Program'!$C$8,G$3='Bonding Program'!$H$24),'Bonding Program'!$T$24-'Bonding Program'!$U$24-'Bonding Program'!$Z$24,0)-IF(AND('Bonding Program'!$S$24=1,'Bonding Program'!$H$24&lt;='Bonding Program'!$C$8,G$3=IF('Bonding Program'!$P$24&lt;&gt;"",'Bonding Program'!$P$24,'Bonding Program'!$C$8)),'Bonding Program'!$Z$24,0)+IF(AND('Bonding Program'!$P$24&lt;&gt;"",G$3='Bonding Program'!$P$24,G$3&lt;='Bonding Program'!$C$8),N('Bonding Program'!$O$24),0)</f>
        <v>0</v>
      </c>
      <c r="H165" s="19" t="n">
        <f aca="false">IF(AND('Bonding Program'!$S$24=1,'Bonding Program'!$H$24&gt;'Bonding Program'!$C$8,H$3='Bonding Program'!$H$24),'Bonding Program'!$T$24-'Bonding Program'!$U$24-'Bonding Program'!$Z$24,0)-IF(AND('Bonding Program'!$S$24=1,'Bonding Program'!$H$24&lt;='Bonding Program'!$C$8,H$3=IF('Bonding Program'!$P$24&lt;&gt;"",'Bonding Program'!$P$24,'Bonding Program'!$C$8)),'Bonding Program'!$Z$24,0)+IF(AND('Bonding Program'!$P$24&lt;&gt;"",H$3='Bonding Program'!$P$24,H$3&lt;='Bonding Program'!$C$8),N('Bonding Program'!$O$24),0)</f>
        <v>0</v>
      </c>
      <c r="I165" s="19" t="n">
        <f aca="false">IF(AND('Bonding Program'!$S$24=1,'Bonding Program'!$H$24&gt;'Bonding Program'!$C$8,I$3='Bonding Program'!$H$24),'Bonding Program'!$T$24-'Bonding Program'!$U$24-'Bonding Program'!$Z$24,0)-IF(AND('Bonding Program'!$S$24=1,'Bonding Program'!$H$24&lt;='Bonding Program'!$C$8,I$3=IF('Bonding Program'!$P$24&lt;&gt;"",'Bonding Program'!$P$24,'Bonding Program'!$C$8)),'Bonding Program'!$Z$24,0)+IF(AND('Bonding Program'!$P$24&lt;&gt;"",I$3='Bonding Program'!$P$24,I$3&lt;='Bonding Program'!$C$8),N('Bonding Program'!$O$24),0)</f>
        <v>0</v>
      </c>
      <c r="J165" s="19" t="n">
        <f aca="false">IF(AND('Bonding Program'!$S$24=1,'Bonding Program'!$H$24&gt;'Bonding Program'!$C$8,J$3='Bonding Program'!$H$24),'Bonding Program'!$T$24-'Bonding Program'!$U$24-'Bonding Program'!$Z$24,0)-IF(AND('Bonding Program'!$S$24=1,'Bonding Program'!$H$24&lt;='Bonding Program'!$C$8,J$3=IF('Bonding Program'!$P$24&lt;&gt;"",'Bonding Program'!$P$24,'Bonding Program'!$C$8)),'Bonding Program'!$Z$24,0)+IF(AND('Bonding Program'!$P$24&lt;&gt;"",J$3='Bonding Program'!$P$24,J$3&lt;='Bonding Program'!$C$8),N('Bonding Program'!$O$24),0)</f>
        <v>0</v>
      </c>
      <c r="K165" s="19" t="n">
        <f aca="false">IF(AND('Bonding Program'!$S$24=1,'Bonding Program'!$H$24&gt;'Bonding Program'!$C$8,K$3='Bonding Program'!$H$24),'Bonding Program'!$T$24-'Bonding Program'!$U$24-'Bonding Program'!$Z$24,0)-IF(AND('Bonding Program'!$S$24=1,'Bonding Program'!$H$24&lt;='Bonding Program'!$C$8,K$3=IF('Bonding Program'!$P$24&lt;&gt;"",'Bonding Program'!$P$24,'Bonding Program'!$C$8)),'Bonding Program'!$Z$24,0)+IF(AND('Bonding Program'!$P$24&lt;&gt;"",K$3='Bonding Program'!$P$24,K$3&lt;='Bonding Program'!$C$8),N('Bonding Program'!$O$24),0)</f>
        <v>0</v>
      </c>
      <c r="L165" s="19" t="n">
        <f aca="false">IF(AND('Bonding Program'!$S$24=1,'Bonding Program'!$H$24&gt;'Bonding Program'!$C$8,L$3='Bonding Program'!$H$24),'Bonding Program'!$T$24-'Bonding Program'!$U$24-'Bonding Program'!$Z$24,0)-IF(AND('Bonding Program'!$S$24=1,'Bonding Program'!$H$24&lt;='Bonding Program'!$C$8,L$3=IF('Bonding Program'!$P$24&lt;&gt;"",'Bonding Program'!$P$24,'Bonding Program'!$C$8)),'Bonding Program'!$Z$24,0)+IF(AND('Bonding Program'!$P$24&lt;&gt;"",L$3='Bonding Program'!$P$24,L$3&lt;='Bonding Program'!$C$8),N('Bonding Program'!$O$24),0)</f>
        <v>0</v>
      </c>
      <c r="M165" s="19" t="n">
        <f aca="false">IF(AND('Bonding Program'!$S$24=1,'Bonding Program'!$H$24&gt;'Bonding Program'!$C$8,M$3='Bonding Program'!$H$24),'Bonding Program'!$T$24-'Bonding Program'!$U$24-'Bonding Program'!$Z$24,0)-IF(AND('Bonding Program'!$S$24=1,'Bonding Program'!$H$24&lt;='Bonding Program'!$C$8,M$3=IF('Bonding Program'!$P$24&lt;&gt;"",'Bonding Program'!$P$24,'Bonding Program'!$C$8)),'Bonding Program'!$Z$24,0)+IF(AND('Bonding Program'!$P$24&lt;&gt;"",M$3='Bonding Program'!$P$24,M$3&lt;='Bonding Program'!$C$8),N('Bonding Program'!$O$24),0)</f>
        <v>0</v>
      </c>
      <c r="N165" s="19" t="n">
        <f aca="false">IF(AND('Bonding Program'!$S$24=1,'Bonding Program'!$H$24&gt;'Bonding Program'!$C$8,N$3='Bonding Program'!$H$24),'Bonding Program'!$T$24-'Bonding Program'!$U$24-'Bonding Program'!$Z$24,0)-IF(AND('Bonding Program'!$S$24=1,'Bonding Program'!$H$24&lt;='Bonding Program'!$C$8,N$3=IF('Bonding Program'!$P$24&lt;&gt;"",'Bonding Program'!$P$24,'Bonding Program'!$C$8)),'Bonding Program'!$Z$24,0)+IF(AND('Bonding Program'!$P$24&lt;&gt;"",N$3='Bonding Program'!$P$24,N$3&lt;='Bonding Program'!$C$8),N('Bonding Program'!$O$24),0)</f>
        <v>0</v>
      </c>
      <c r="O165" s="19" t="n">
        <f aca="false">IF(AND('Bonding Program'!$S$24=1,'Bonding Program'!$H$24&gt;'Bonding Program'!$C$8,O$3='Bonding Program'!$H$24),'Bonding Program'!$T$24-'Bonding Program'!$U$24-'Bonding Program'!$Z$24,0)-IF(AND('Bonding Program'!$S$24=1,'Bonding Program'!$H$24&lt;='Bonding Program'!$C$8,O$3=IF('Bonding Program'!$P$24&lt;&gt;"",'Bonding Program'!$P$24,'Bonding Program'!$C$8)),'Bonding Program'!$Z$24,0)+IF(AND('Bonding Program'!$P$24&lt;&gt;"",O$3='Bonding Program'!$P$24,O$3&lt;='Bonding Program'!$C$8),N('Bonding Program'!$O$24),0)</f>
        <v>0</v>
      </c>
      <c r="P165" s="19" t="n">
        <f aca="false">IF(AND('Bonding Program'!$S$24=1,'Bonding Program'!$H$24&gt;'Bonding Program'!$C$8,P$3='Bonding Program'!$H$24),'Bonding Program'!$T$24-'Bonding Program'!$U$24-'Bonding Program'!$Z$24,0)-IF(AND('Bonding Program'!$S$24=1,'Bonding Program'!$H$24&lt;='Bonding Program'!$C$8,P$3=IF('Bonding Program'!$P$24&lt;&gt;"",'Bonding Program'!$P$24,'Bonding Program'!$C$8)),'Bonding Program'!$Z$24,0)+IF(AND('Bonding Program'!$P$24&lt;&gt;"",P$3='Bonding Program'!$P$24,P$3&lt;='Bonding Program'!$C$8),N('Bonding Program'!$O$24),0)</f>
        <v>0</v>
      </c>
      <c r="Q165" s="19" t="n">
        <f aca="false">IF(AND('Bonding Program'!$S$24=1,'Bonding Program'!$H$24&gt;'Bonding Program'!$C$8,Q$3='Bonding Program'!$H$24),'Bonding Program'!$T$24-'Bonding Program'!$U$24-'Bonding Program'!$Z$24,0)-IF(AND('Bonding Program'!$S$24=1,'Bonding Program'!$H$24&lt;='Bonding Program'!$C$8,Q$3=IF('Bonding Program'!$P$24&lt;&gt;"",'Bonding Program'!$P$24,'Bonding Program'!$C$8)),'Bonding Program'!$Z$24,0)+IF(AND('Bonding Program'!$P$24&lt;&gt;"",Q$3='Bonding Program'!$P$24,Q$3&lt;='Bonding Program'!$C$8),N('Bonding Program'!$O$24),0)</f>
        <v>0</v>
      </c>
      <c r="R165" s="19" t="n">
        <f aca="false">IF(AND('Bonding Program'!$S$24=1,'Bonding Program'!$H$24&gt;'Bonding Program'!$C$8,R$3='Bonding Program'!$H$24),'Bonding Program'!$T$24-'Bonding Program'!$U$24-'Bonding Program'!$Z$24,0)-IF(AND('Bonding Program'!$S$24=1,'Bonding Program'!$H$24&lt;='Bonding Program'!$C$8,R$3=IF('Bonding Program'!$P$24&lt;&gt;"",'Bonding Program'!$P$24,'Bonding Program'!$C$8)),'Bonding Program'!$Z$24,0)+IF(AND('Bonding Program'!$P$24&lt;&gt;"",R$3='Bonding Program'!$P$24,R$3&lt;='Bonding Program'!$C$8),N('Bonding Program'!$O$24),0)</f>
        <v>0</v>
      </c>
      <c r="S165" s="19" t="n">
        <f aca="false">IF(AND('Bonding Program'!$S$24=1,'Bonding Program'!$H$24&gt;'Bonding Program'!$C$8,S$3='Bonding Program'!$H$24),'Bonding Program'!$T$24-'Bonding Program'!$U$24-'Bonding Program'!$Z$24,0)-IF(AND('Bonding Program'!$S$24=1,'Bonding Program'!$H$24&lt;='Bonding Program'!$C$8,S$3=IF('Bonding Program'!$P$24&lt;&gt;"",'Bonding Program'!$P$24,'Bonding Program'!$C$8)),'Bonding Program'!$Z$24,0)+IF(AND('Bonding Program'!$P$24&lt;&gt;"",S$3='Bonding Program'!$P$24,S$3&lt;='Bonding Program'!$C$8),N('Bonding Program'!$O$24),0)</f>
        <v>0</v>
      </c>
      <c r="T165" s="19" t="n">
        <f aca="false">IF(AND('Bonding Program'!$S$24=1,'Bonding Program'!$H$24&gt;'Bonding Program'!$C$8,T$3='Bonding Program'!$H$24),'Bonding Program'!$T$24-'Bonding Program'!$U$24-'Bonding Program'!$Z$24,0)-IF(AND('Bonding Program'!$S$24=1,'Bonding Program'!$H$24&lt;='Bonding Program'!$C$8,T$3=IF('Bonding Program'!$P$24&lt;&gt;"",'Bonding Program'!$P$24,'Bonding Program'!$C$8)),'Bonding Program'!$Z$24,0)+IF(AND('Bonding Program'!$P$24&lt;&gt;"",T$3='Bonding Program'!$P$24,T$3&lt;='Bonding Program'!$C$8),N('Bonding Program'!$O$24),0)</f>
        <v>0</v>
      </c>
      <c r="U165" s="19" t="n">
        <f aca="false">IF(AND('Bonding Program'!$S$24=1,'Bonding Program'!$H$24&gt;'Bonding Program'!$C$8,U$3='Bonding Program'!$H$24),'Bonding Program'!$T$24-'Bonding Program'!$U$24-'Bonding Program'!$Z$24,0)-IF(AND('Bonding Program'!$S$24=1,'Bonding Program'!$H$24&lt;='Bonding Program'!$C$8,U$3=IF('Bonding Program'!$P$24&lt;&gt;"",'Bonding Program'!$P$24,'Bonding Program'!$C$8)),'Bonding Program'!$Z$24,0)+IF(AND('Bonding Program'!$P$24&lt;&gt;"",U$3='Bonding Program'!$P$24,U$3&lt;='Bonding Program'!$C$8),N('Bonding Program'!$O$24),0)</f>
        <v>0</v>
      </c>
      <c r="V165" s="19" t="n">
        <f aca="false">IF(AND('Bonding Program'!$S$24=1,'Bonding Program'!$H$24&gt;'Bonding Program'!$C$8,V$3='Bonding Program'!$H$24),'Bonding Program'!$T$24-'Bonding Program'!$U$24-'Bonding Program'!$Z$24,0)-IF(AND('Bonding Program'!$S$24=1,'Bonding Program'!$H$24&lt;='Bonding Program'!$C$8,V$3=IF('Bonding Program'!$P$24&lt;&gt;"",'Bonding Program'!$P$24,'Bonding Program'!$C$8)),'Bonding Program'!$Z$24,0)+IF(AND('Bonding Program'!$P$24&lt;&gt;"",V$3='Bonding Program'!$P$24,V$3&lt;='Bonding Program'!$C$8),N('Bonding Program'!$O$24),0)</f>
        <v>-251994.1533867</v>
      </c>
      <c r="W165" s="19" t="n">
        <f aca="false">IF(AND('Bonding Program'!$S$24=1,'Bonding Program'!$H$24&gt;'Bonding Program'!$C$8,W$3='Bonding Program'!$H$24),'Bonding Program'!$T$24-'Bonding Program'!$U$24-'Bonding Program'!$Z$24,0)-IF(AND('Bonding Program'!$S$24=1,'Bonding Program'!$H$24&lt;='Bonding Program'!$C$8,W$3=IF('Bonding Program'!$P$24&lt;&gt;"",'Bonding Program'!$P$24,'Bonding Program'!$C$8)),'Bonding Program'!$Z$24,0)+IF(AND('Bonding Program'!$P$24&lt;&gt;"",W$3='Bonding Program'!$P$24,W$3&lt;='Bonding Program'!$C$8),N('Bonding Program'!$O$24),0)</f>
        <v>0</v>
      </c>
      <c r="X165" s="19" t="n">
        <f aca="false">IF(AND('Bonding Program'!$S$24=1,'Bonding Program'!$H$24&gt;'Bonding Program'!$C$8,X$3='Bonding Program'!$H$24),'Bonding Program'!$T$24-'Bonding Program'!$U$24-'Bonding Program'!$Z$24,0)-IF(AND('Bonding Program'!$S$24=1,'Bonding Program'!$H$24&lt;='Bonding Program'!$C$8,X$3=IF('Bonding Program'!$P$24&lt;&gt;"",'Bonding Program'!$P$24,'Bonding Program'!$C$8)),'Bonding Program'!$Z$24,0)+IF(AND('Bonding Program'!$P$24&lt;&gt;"",X$3='Bonding Program'!$P$24,X$3&lt;='Bonding Program'!$C$8),N('Bonding Program'!$O$24),0)</f>
        <v>0</v>
      </c>
      <c r="Y165" s="19" t="n">
        <f aca="false">IF(AND('Bonding Program'!$S$24=1,'Bonding Program'!$H$24&gt;'Bonding Program'!$C$8,Y$3='Bonding Program'!$H$24),'Bonding Program'!$T$24-'Bonding Program'!$U$24-'Bonding Program'!$Z$24,0)-IF(AND('Bonding Program'!$S$24=1,'Bonding Program'!$H$24&lt;='Bonding Program'!$C$8,Y$3=IF('Bonding Program'!$P$24&lt;&gt;"",'Bonding Program'!$P$24,'Bonding Program'!$C$8)),'Bonding Program'!$Z$24,0)+IF(AND('Bonding Program'!$P$24&lt;&gt;"",Y$3='Bonding Program'!$P$24,Y$3&lt;='Bonding Program'!$C$8),N('Bonding Program'!$O$24),0)</f>
        <v>0</v>
      </c>
      <c r="Z165" s="19" t="n">
        <f aca="false">IF(AND('Bonding Program'!$S$24=1,'Bonding Program'!$H$24&gt;'Bonding Program'!$C$8,Z$3='Bonding Program'!$H$24),'Bonding Program'!$T$24-'Bonding Program'!$U$24-'Bonding Program'!$Z$24,0)-IF(AND('Bonding Program'!$S$24=1,'Bonding Program'!$H$24&lt;='Bonding Program'!$C$8,Z$3=IF('Bonding Program'!$P$24&lt;&gt;"",'Bonding Program'!$P$24,'Bonding Program'!$C$8)),'Bonding Program'!$Z$24,0)+IF(AND('Bonding Program'!$P$24&lt;&gt;"",Z$3='Bonding Program'!$P$24,Z$3&lt;='Bonding Program'!$C$8),N('Bonding Program'!$O$24),0)</f>
        <v>0</v>
      </c>
      <c r="AA165" s="19" t="n">
        <f aca="false">IF(AND('Bonding Program'!$S$24=1,'Bonding Program'!$H$24&gt;'Bonding Program'!$C$8,AA$3='Bonding Program'!$H$24),'Bonding Program'!$T$24-'Bonding Program'!$U$24-'Bonding Program'!$Z$24,0)-IF(AND('Bonding Program'!$S$24=1,'Bonding Program'!$H$24&lt;='Bonding Program'!$C$8,AA$3=IF('Bonding Program'!$P$24&lt;&gt;"",'Bonding Program'!$P$24,'Bonding Program'!$C$8)),'Bonding Program'!$Z$24,0)+IF(AND('Bonding Program'!$P$24&lt;&gt;"",AA$3='Bonding Program'!$P$24,AA$3&lt;='Bonding Program'!$C$8),N('Bonding Program'!$O$24),0)</f>
        <v>0</v>
      </c>
      <c r="AB165" s="19" t="n">
        <f aca="false">IF(AND('Bonding Program'!$S$24=1,'Bonding Program'!$H$24&gt;'Bonding Program'!$C$8,AB$3='Bonding Program'!$H$24),'Bonding Program'!$T$24-'Bonding Program'!$U$24-'Bonding Program'!$Z$24,0)-IF(AND('Bonding Program'!$S$24=1,'Bonding Program'!$H$24&lt;='Bonding Program'!$C$8,AB$3=IF('Bonding Program'!$P$24&lt;&gt;"",'Bonding Program'!$P$24,'Bonding Program'!$C$8)),'Bonding Program'!$Z$24,0)+IF(AND('Bonding Program'!$P$24&lt;&gt;"",AB$3='Bonding Program'!$P$24,AB$3&lt;='Bonding Program'!$C$8),N('Bonding Program'!$O$24),0)</f>
        <v>0</v>
      </c>
      <c r="AC165" s="19" t="n">
        <f aca="false">IF(AND('Bonding Program'!$S$24=1,'Bonding Program'!$H$24&gt;'Bonding Program'!$C$8,AC$3='Bonding Program'!$H$24),'Bonding Program'!$T$24-'Bonding Program'!$U$24-'Bonding Program'!$Z$24,0)-IF(AND('Bonding Program'!$S$24=1,'Bonding Program'!$H$24&lt;='Bonding Program'!$C$8,AC$3=IF('Bonding Program'!$P$24&lt;&gt;"",'Bonding Program'!$P$24,'Bonding Program'!$C$8)),'Bonding Program'!$Z$24,0)+IF(AND('Bonding Program'!$P$24&lt;&gt;"",AC$3='Bonding Program'!$P$24,AC$3&lt;='Bonding Program'!$C$8),N('Bonding Program'!$O$24),0)</f>
        <v>0</v>
      </c>
      <c r="AD165" s="19" t="n">
        <f aca="false">IF(AND('Bonding Program'!$S$24=1,'Bonding Program'!$H$24&gt;'Bonding Program'!$C$8,AD$3='Bonding Program'!$H$24),'Bonding Program'!$T$24-'Bonding Program'!$U$24-'Bonding Program'!$Z$24,0)-IF(AND('Bonding Program'!$S$24=1,'Bonding Program'!$H$24&lt;='Bonding Program'!$C$8,AD$3=IF('Bonding Program'!$P$24&lt;&gt;"",'Bonding Program'!$P$24,'Bonding Program'!$C$8)),'Bonding Program'!$Z$24,0)+IF(AND('Bonding Program'!$P$24&lt;&gt;"",AD$3='Bonding Program'!$P$24,AD$3&lt;='Bonding Program'!$C$8),N('Bonding Program'!$O$24),0)</f>
        <v>0</v>
      </c>
      <c r="AE165" s="19" t="n">
        <f aca="false">IF(AND('Bonding Program'!$S$24=1,'Bonding Program'!$H$24&gt;'Bonding Program'!$C$8,AE$3='Bonding Program'!$H$24),'Bonding Program'!$T$24-'Bonding Program'!$U$24-'Bonding Program'!$Z$24,0)-IF(AND('Bonding Program'!$S$24=1,'Bonding Program'!$H$24&lt;='Bonding Program'!$C$8,AE$3=IF('Bonding Program'!$P$24&lt;&gt;"",'Bonding Program'!$P$24,'Bonding Program'!$C$8)),'Bonding Program'!$Z$24,0)+IF(AND('Bonding Program'!$P$24&lt;&gt;"",AE$3='Bonding Program'!$P$24,AE$3&lt;='Bonding Program'!$C$8),N('Bonding Program'!$O$24),0)</f>
        <v>0</v>
      </c>
      <c r="AF165" s="19" t="n">
        <f aca="false">IF(AND('Bonding Program'!$S$24=1,'Bonding Program'!$H$24&gt;'Bonding Program'!$C$8,AF$3='Bonding Program'!$H$24),'Bonding Program'!$T$24-'Bonding Program'!$U$24-'Bonding Program'!$Z$24,0)-IF(AND('Bonding Program'!$S$24=1,'Bonding Program'!$H$24&lt;='Bonding Program'!$C$8,AF$3=IF('Bonding Program'!$P$24&lt;&gt;"",'Bonding Program'!$P$24,'Bonding Program'!$C$8)),'Bonding Program'!$Z$24,0)+IF(AND('Bonding Program'!$P$24&lt;&gt;"",AF$3='Bonding Program'!$P$24,AF$3&lt;='Bonding Program'!$C$8),N('Bonding Program'!$O$24),0)</f>
        <v>0</v>
      </c>
      <c r="AG165" s="19" t="n">
        <f aca="false">IF(AND('Bonding Program'!$S$24=1,'Bonding Program'!$H$24&gt;'Bonding Program'!$C$8,AG$3='Bonding Program'!$H$24),'Bonding Program'!$T$24-'Bonding Program'!$U$24-'Bonding Program'!$Z$24,0)-IF(AND('Bonding Program'!$S$24=1,'Bonding Program'!$H$24&lt;='Bonding Program'!$C$8,AG$3=IF('Bonding Program'!$P$24&lt;&gt;"",'Bonding Program'!$P$24,'Bonding Program'!$C$8)),'Bonding Program'!$Z$24,0)+IF(AND('Bonding Program'!$P$24&lt;&gt;"",AG$3='Bonding Program'!$P$24,AG$3&lt;='Bonding Program'!$C$8),N('Bonding Program'!$O$24),0)</f>
        <v>0</v>
      </c>
      <c r="AH165" s="19" t="n">
        <f aca="false">IF(AND('Bonding Program'!$S$24=1,'Bonding Program'!$H$24&gt;'Bonding Program'!$C$8,AH$3='Bonding Program'!$H$24),'Bonding Program'!$T$24-'Bonding Program'!$U$24-'Bonding Program'!$Z$24,0)-IF(AND('Bonding Program'!$S$24=1,'Bonding Program'!$H$24&lt;='Bonding Program'!$C$8,AH$3=IF('Bonding Program'!$P$24&lt;&gt;"",'Bonding Program'!$P$24,'Bonding Program'!$C$8)),'Bonding Program'!$Z$24,0)+IF(AND('Bonding Program'!$P$24&lt;&gt;"",AH$3='Bonding Program'!$P$24,AH$3&lt;='Bonding Program'!$C$8),N('Bonding Program'!$O$24),0)</f>
        <v>0</v>
      </c>
      <c r="AI165" s="19" t="n">
        <f aca="false">IF(AND('Bonding Program'!$S$24=1,'Bonding Program'!$H$24&gt;'Bonding Program'!$C$8,AI$3='Bonding Program'!$H$24),'Bonding Program'!$T$24-'Bonding Program'!$U$24-'Bonding Program'!$Z$24,0)-IF(AND('Bonding Program'!$S$24=1,'Bonding Program'!$H$24&lt;='Bonding Program'!$C$8,AI$3=IF('Bonding Program'!$P$24&lt;&gt;"",'Bonding Program'!$P$24,'Bonding Program'!$C$8)),'Bonding Program'!$Z$24,0)+IF(AND('Bonding Program'!$P$24&lt;&gt;"",AI$3='Bonding Program'!$P$24,AI$3&lt;='Bonding Program'!$C$8),N('Bonding Program'!$O$24),0)</f>
        <v>0</v>
      </c>
      <c r="AJ165" s="19" t="n">
        <f aca="false">IF(AND('Bonding Program'!$S$24=1,'Bonding Program'!$H$24&gt;'Bonding Program'!$C$8,AJ$3='Bonding Program'!$H$24),'Bonding Program'!$T$24-'Bonding Program'!$U$24-'Bonding Program'!$Z$24,0)-IF(AND('Bonding Program'!$S$24=1,'Bonding Program'!$H$24&lt;='Bonding Program'!$C$8,AJ$3=IF('Bonding Program'!$P$24&lt;&gt;"",'Bonding Program'!$P$24,'Bonding Program'!$C$8)),'Bonding Program'!$Z$24,0)+IF(AND('Bonding Program'!$P$24&lt;&gt;"",AJ$3='Bonding Program'!$P$24,AJ$3&lt;='Bonding Program'!$C$8),N('Bonding Program'!$O$24),0)</f>
        <v>0</v>
      </c>
      <c r="AK165" s="19" t="n">
        <f aca="false">IF(AND('Bonding Program'!$S$24=1,'Bonding Program'!$H$24&gt;'Bonding Program'!$C$8,AK$3='Bonding Program'!$H$24),'Bonding Program'!$T$24-'Bonding Program'!$U$24-'Bonding Program'!$Z$24,0)-IF(AND('Bonding Program'!$S$24=1,'Bonding Program'!$H$24&lt;='Bonding Program'!$C$8,AK$3=IF('Bonding Program'!$P$24&lt;&gt;"",'Bonding Program'!$P$24,'Bonding Program'!$C$8)),'Bonding Program'!$Z$24,0)+IF(AND('Bonding Program'!$P$24&lt;&gt;"",AK$3='Bonding Program'!$P$24,AK$3&lt;='Bonding Program'!$C$8),N('Bonding Program'!$O$24),0)</f>
        <v>0</v>
      </c>
      <c r="AL165" s="19" t="n">
        <f aca="false">IF(AND('Bonding Program'!$S$24=1,'Bonding Program'!$H$24&gt;'Bonding Program'!$C$8,AL$3='Bonding Program'!$H$24),'Bonding Program'!$T$24-'Bonding Program'!$U$24-'Bonding Program'!$Z$24,0)-IF(AND('Bonding Program'!$S$24=1,'Bonding Program'!$H$24&lt;='Bonding Program'!$C$8,AL$3=IF('Bonding Program'!$P$24&lt;&gt;"",'Bonding Program'!$P$24,'Bonding Program'!$C$8)),'Bonding Program'!$Z$24,0)+IF(AND('Bonding Program'!$P$24&lt;&gt;"",AL$3='Bonding Program'!$P$24,AL$3&lt;='Bonding Program'!$C$8),N('Bonding Program'!$O$24),0)</f>
        <v>0</v>
      </c>
      <c r="AM165" s="19" t="n">
        <f aca="false">IF(AND('Bonding Program'!$S$24=1,'Bonding Program'!$H$24&gt;'Bonding Program'!$C$8,AM$3='Bonding Program'!$H$24),'Bonding Program'!$T$24-'Bonding Program'!$U$24-'Bonding Program'!$Z$24,0)-IF(AND('Bonding Program'!$S$24=1,'Bonding Program'!$H$24&lt;='Bonding Program'!$C$8,AM$3=IF('Bonding Program'!$P$24&lt;&gt;"",'Bonding Program'!$P$24,'Bonding Program'!$C$8)),'Bonding Program'!$Z$24,0)+IF(AND('Bonding Program'!$P$24&lt;&gt;"",AM$3='Bonding Program'!$P$24,AM$3&lt;='Bonding Program'!$C$8),N('Bonding Program'!$O$24),0)</f>
        <v>0</v>
      </c>
      <c r="AN165" s="19" t="n">
        <f aca="false">IF(AND('Bonding Program'!$S$24=1,'Bonding Program'!$H$24&gt;'Bonding Program'!$C$8,AN$3='Bonding Program'!$H$24),'Bonding Program'!$T$24-'Bonding Program'!$U$24-'Bonding Program'!$Z$24,0)-IF(AND('Bonding Program'!$S$24=1,'Bonding Program'!$H$24&lt;='Bonding Program'!$C$8,AN$3=IF('Bonding Program'!$P$24&lt;&gt;"",'Bonding Program'!$P$24,'Bonding Program'!$C$8)),'Bonding Program'!$Z$24,0)+IF(AND('Bonding Program'!$P$24&lt;&gt;"",AN$3='Bonding Program'!$P$24,AN$3&lt;='Bonding Program'!$C$8),N('Bonding Program'!$O$24),0)</f>
        <v>0</v>
      </c>
      <c r="AO165" s="19" t="n">
        <f aca="false">IF(AND('Bonding Program'!$S$24=1,'Bonding Program'!$H$24&gt;'Bonding Program'!$C$8,AO$3='Bonding Program'!$H$24),'Bonding Program'!$T$24-'Bonding Program'!$U$24-'Bonding Program'!$Z$24,0)-IF(AND('Bonding Program'!$S$24=1,'Bonding Program'!$H$24&lt;='Bonding Program'!$C$8,AO$3=IF('Bonding Program'!$P$24&lt;&gt;"",'Bonding Program'!$P$24,'Bonding Program'!$C$8)),'Bonding Program'!$Z$24,0)+IF(AND('Bonding Program'!$P$24&lt;&gt;"",AO$3='Bonding Program'!$P$24,AO$3&lt;='Bonding Program'!$C$8),N('Bonding Program'!$O$24),0)</f>
        <v>0</v>
      </c>
      <c r="AP165" s="19" t="n">
        <f aca="false">IF(AND('Bonding Program'!$S$24=1,'Bonding Program'!$H$24&gt;'Bonding Program'!$C$8,AP$3='Bonding Program'!$H$24),'Bonding Program'!$T$24-'Bonding Program'!$U$24-'Bonding Program'!$Z$24,0)-IF(AND('Bonding Program'!$S$24=1,'Bonding Program'!$H$24&lt;='Bonding Program'!$C$8,AP$3=IF('Bonding Program'!$P$24&lt;&gt;"",'Bonding Program'!$P$24,'Bonding Program'!$C$8)),'Bonding Program'!$Z$24,0)+IF(AND('Bonding Program'!$P$24&lt;&gt;"",AP$3='Bonding Program'!$P$24,AP$3&lt;='Bonding Program'!$C$8),N('Bonding Program'!$O$24),0)</f>
        <v>0</v>
      </c>
      <c r="AQ165" s="19" t="n">
        <f aca="false">IF(AND('Bonding Program'!$S$24=1,'Bonding Program'!$H$24&gt;'Bonding Program'!$C$8,AQ$3='Bonding Program'!$H$24),'Bonding Program'!$T$24-'Bonding Program'!$U$24-'Bonding Program'!$Z$24,0)-IF(AND('Bonding Program'!$S$24=1,'Bonding Program'!$H$24&lt;='Bonding Program'!$C$8,AQ$3=IF('Bonding Program'!$P$24&lt;&gt;"",'Bonding Program'!$P$24,'Bonding Program'!$C$8)),'Bonding Program'!$Z$24,0)+IF(AND('Bonding Program'!$P$24&lt;&gt;"",AQ$3='Bonding Program'!$P$24,AQ$3&lt;='Bonding Program'!$C$8),N('Bonding Program'!$O$24),0)</f>
        <v>0</v>
      </c>
      <c r="AR165" s="19" t="n">
        <f aca="false">IF(AND('Bonding Program'!$S$24=1,'Bonding Program'!$H$24&gt;'Bonding Program'!$C$8,AR$3='Bonding Program'!$H$24),'Bonding Program'!$T$24-'Bonding Program'!$U$24-'Bonding Program'!$Z$24,0)-IF(AND('Bonding Program'!$S$24=1,'Bonding Program'!$H$24&lt;='Bonding Program'!$C$8,AR$3=IF('Bonding Program'!$P$24&lt;&gt;"",'Bonding Program'!$P$24,'Bonding Program'!$C$8)),'Bonding Program'!$Z$24,0)+IF(AND('Bonding Program'!$P$24&lt;&gt;"",AR$3='Bonding Program'!$P$24,AR$3&lt;='Bonding Program'!$C$8),N('Bonding Program'!$O$24),0)</f>
        <v>0</v>
      </c>
      <c r="AS165" s="19" t="n">
        <f aca="false">IF(AND('Bonding Program'!$S$24=1,'Bonding Program'!$H$24&gt;'Bonding Program'!$C$8,AS$3='Bonding Program'!$H$24),'Bonding Program'!$T$24-'Bonding Program'!$U$24-'Bonding Program'!$Z$24,0)-IF(AND('Bonding Program'!$S$24=1,'Bonding Program'!$H$24&lt;='Bonding Program'!$C$8,AS$3=IF('Bonding Program'!$P$24&lt;&gt;"",'Bonding Program'!$P$24,'Bonding Program'!$C$8)),'Bonding Program'!$Z$24,0)+IF(AND('Bonding Program'!$P$24&lt;&gt;"",AS$3='Bonding Program'!$P$24,AS$3&lt;='Bonding Program'!$C$8),N('Bonding Program'!$O$24),0)</f>
        <v>0</v>
      </c>
      <c r="AT165" s="19" t="n">
        <f aca="false">IF(AND('Bonding Program'!$S$24=1,'Bonding Program'!$H$24&gt;'Bonding Program'!$C$8,AT$3='Bonding Program'!$H$24),'Bonding Program'!$T$24-'Bonding Program'!$U$24-'Bonding Program'!$Z$24,0)-IF(AND('Bonding Program'!$S$24=1,'Bonding Program'!$H$24&lt;='Bonding Program'!$C$8,AT$3=IF('Bonding Program'!$P$24&lt;&gt;"",'Bonding Program'!$P$24,'Bonding Program'!$C$8)),'Bonding Program'!$Z$24,0)+IF(AND('Bonding Program'!$P$24&lt;&gt;"",AT$3='Bonding Program'!$P$24,AT$3&lt;='Bonding Program'!$C$8),N('Bonding Program'!$O$24),0)</f>
        <v>0</v>
      </c>
      <c r="AU165" s="19" t="n">
        <f aca="false">IF(AND('Bonding Program'!$S$24=1,'Bonding Program'!$H$24&gt;'Bonding Program'!$C$8,AU$3='Bonding Program'!$H$24),'Bonding Program'!$T$24-'Bonding Program'!$U$24-'Bonding Program'!$Z$24,0)-IF(AND('Bonding Program'!$S$24=1,'Bonding Program'!$H$24&lt;='Bonding Program'!$C$8,AU$3=IF('Bonding Program'!$P$24&lt;&gt;"",'Bonding Program'!$P$24,'Bonding Program'!$C$8)),'Bonding Program'!$Z$24,0)+IF(AND('Bonding Program'!$P$24&lt;&gt;"",AU$3='Bonding Program'!$P$24,AU$3&lt;='Bonding Program'!$C$8),N('Bonding Program'!$O$24),0)</f>
        <v>0</v>
      </c>
      <c r="AV165" s="19" t="n">
        <f aca="false">IF(AND('Bonding Program'!$S$24=1,'Bonding Program'!$H$24&gt;'Bonding Program'!$C$8,AV$3='Bonding Program'!$H$24),'Bonding Program'!$T$24-'Bonding Program'!$U$24-'Bonding Program'!$Z$24,0)-IF(AND('Bonding Program'!$S$24=1,'Bonding Program'!$H$24&lt;='Bonding Program'!$C$8,AV$3=IF('Bonding Program'!$P$24&lt;&gt;"",'Bonding Program'!$P$24,'Bonding Program'!$C$8)),'Bonding Program'!$Z$24,0)+IF(AND('Bonding Program'!$P$24&lt;&gt;"",AV$3='Bonding Program'!$P$24,AV$3&lt;='Bonding Program'!$C$8),N('Bonding Program'!$O$24),0)</f>
        <v>0</v>
      </c>
      <c r="AW165" s="19" t="n">
        <f aca="false">IF(AND('Bonding Program'!$S$24=1,'Bonding Program'!$H$24&gt;'Bonding Program'!$C$8,AW$3='Bonding Program'!$H$24),'Bonding Program'!$T$24-'Bonding Program'!$U$24-'Bonding Program'!$Z$24,0)-IF(AND('Bonding Program'!$S$24=1,'Bonding Program'!$H$24&lt;='Bonding Program'!$C$8,AW$3=IF('Bonding Program'!$P$24&lt;&gt;"",'Bonding Program'!$P$24,'Bonding Program'!$C$8)),'Bonding Program'!$Z$24,0)+IF(AND('Bonding Program'!$P$24&lt;&gt;"",AW$3='Bonding Program'!$P$24,AW$3&lt;='Bonding Program'!$C$8),N('Bonding Program'!$O$24),0)</f>
        <v>0</v>
      </c>
      <c r="AX165" s="19" t="n">
        <f aca="false">IF(AND('Bonding Program'!$S$24=1,'Bonding Program'!$H$24&gt;'Bonding Program'!$C$8,AX$3='Bonding Program'!$H$24),'Bonding Program'!$T$24-'Bonding Program'!$U$24-'Bonding Program'!$Z$24,0)-IF(AND('Bonding Program'!$S$24=1,'Bonding Program'!$H$24&lt;='Bonding Program'!$C$8,AX$3=IF('Bonding Program'!$P$24&lt;&gt;"",'Bonding Program'!$P$24,'Bonding Program'!$C$8)),'Bonding Program'!$Z$24,0)+IF(AND('Bonding Program'!$P$24&lt;&gt;"",AX$3='Bonding Program'!$P$24,AX$3&lt;='Bonding Program'!$C$8),N('Bonding Program'!$O$24),0)</f>
        <v>0</v>
      </c>
      <c r="AY165" s="19" t="n">
        <f aca="false">IF(AND('Bonding Program'!$S$24=1,'Bonding Program'!$H$24&gt;'Bonding Program'!$C$8,AY$3='Bonding Program'!$H$24),'Bonding Program'!$T$24-'Bonding Program'!$U$24-'Bonding Program'!$Z$24,0)-IF(AND('Bonding Program'!$S$24=1,'Bonding Program'!$H$24&lt;='Bonding Program'!$C$8,AY$3=IF('Bonding Program'!$P$24&lt;&gt;"",'Bonding Program'!$P$24,'Bonding Program'!$C$8)),'Bonding Program'!$Z$24,0)+IF(AND('Bonding Program'!$P$24&lt;&gt;"",AY$3='Bonding Program'!$P$24,AY$3&lt;='Bonding Program'!$C$8),N('Bonding Program'!$O$24),0)</f>
        <v>0</v>
      </c>
      <c r="AZ165" s="19" t="n">
        <f aca="false">IF(AND('Bonding Program'!$S$24=1,'Bonding Program'!$H$24&gt;'Bonding Program'!$C$8,AZ$3='Bonding Program'!$H$24),'Bonding Program'!$T$24-'Bonding Program'!$U$24-'Bonding Program'!$Z$24,0)-IF(AND('Bonding Program'!$S$24=1,'Bonding Program'!$H$24&lt;='Bonding Program'!$C$8,AZ$3=IF('Bonding Program'!$P$24&lt;&gt;"",'Bonding Program'!$P$24,'Bonding Program'!$C$8)),'Bonding Program'!$Z$24,0)+IF(AND('Bonding Program'!$P$24&lt;&gt;"",AZ$3='Bonding Program'!$P$24,AZ$3&lt;='Bonding Program'!$C$8),N('Bonding Program'!$O$24),0)</f>
        <v>0</v>
      </c>
      <c r="BA165" s="19" t="n">
        <f aca="false">IF(AND('Bonding Program'!$S$24=1,'Bonding Program'!$H$24&gt;'Bonding Program'!$C$8,BA$3='Bonding Program'!$H$24),'Bonding Program'!$T$24-'Bonding Program'!$U$24-'Bonding Program'!$Z$24,0)-IF(AND('Bonding Program'!$S$24=1,'Bonding Program'!$H$24&lt;='Bonding Program'!$C$8,BA$3=IF('Bonding Program'!$P$24&lt;&gt;"",'Bonding Program'!$P$24,'Bonding Program'!$C$8)),'Bonding Program'!$Z$24,0)+IF(AND('Bonding Program'!$P$24&lt;&gt;"",BA$3='Bonding Program'!$P$24,BA$3&lt;='Bonding Program'!$C$8),N('Bonding Program'!$O$24),0)</f>
        <v>0</v>
      </c>
      <c r="BB165" s="19" t="n">
        <f aca="false">IF(AND('Bonding Program'!$S$24=1,'Bonding Program'!$H$24&gt;'Bonding Program'!$C$8,BB$3='Bonding Program'!$H$24),'Bonding Program'!$T$24-'Bonding Program'!$U$24-'Bonding Program'!$Z$24,0)-IF(AND('Bonding Program'!$S$24=1,'Bonding Program'!$H$24&lt;='Bonding Program'!$C$8,BB$3=IF('Bonding Program'!$P$24&lt;&gt;"",'Bonding Program'!$P$24,'Bonding Program'!$C$8)),'Bonding Program'!$Z$24,0)+IF(AND('Bonding Program'!$P$24&lt;&gt;"",BB$3='Bonding Program'!$P$24,BB$3&lt;='Bonding Program'!$C$8),N('Bonding Program'!$O$24),0)</f>
        <v>0</v>
      </c>
      <c r="BC165" s="19" t="n">
        <f aca="false">IF(AND('Bonding Program'!$S$24=1,'Bonding Program'!$H$24&gt;'Bonding Program'!$C$8,BC$3='Bonding Program'!$H$24),'Bonding Program'!$T$24-'Bonding Program'!$U$24-'Bonding Program'!$Z$24,0)-IF(AND('Bonding Program'!$S$24=1,'Bonding Program'!$H$24&lt;='Bonding Program'!$C$8,BC$3=IF('Bonding Program'!$P$24&lt;&gt;"",'Bonding Program'!$P$24,'Bonding Program'!$C$8)),'Bonding Program'!$Z$24,0)+IF(AND('Bonding Program'!$P$24&lt;&gt;"",BC$3='Bonding Program'!$P$24,BC$3&lt;='Bonding Program'!$C$8),N('Bonding Program'!$O$24),0)</f>
        <v>0</v>
      </c>
      <c r="BD165" s="19" t="n">
        <f aca="false">IF(AND('Bonding Program'!$S$24=1,'Bonding Program'!$H$24&gt;'Bonding Program'!$C$8,BD$3='Bonding Program'!$H$24),'Bonding Program'!$T$24-'Bonding Program'!$U$24-'Bonding Program'!$Z$24,0)-IF(AND('Bonding Program'!$S$24=1,'Bonding Program'!$H$24&lt;='Bonding Program'!$C$8,BD$3=IF('Bonding Program'!$P$24&lt;&gt;"",'Bonding Program'!$P$24,'Bonding Program'!$C$8)),'Bonding Program'!$Z$24,0)+IF(AND('Bonding Program'!$P$24&lt;&gt;"",BD$3='Bonding Program'!$P$24,BD$3&lt;='Bonding Program'!$C$8),N('Bonding Program'!$O$24),0)</f>
        <v>0</v>
      </c>
      <c r="BE165" s="19" t="n">
        <f aca="false">IF(AND('Bonding Program'!$S$24=1,'Bonding Program'!$H$24&gt;'Bonding Program'!$C$8,BE$3='Bonding Program'!$H$24),'Bonding Program'!$T$24-'Bonding Program'!$U$24-'Bonding Program'!$Z$24,0)-IF(AND('Bonding Program'!$S$24=1,'Bonding Program'!$H$24&lt;='Bonding Program'!$C$8,BE$3=IF('Bonding Program'!$P$24&lt;&gt;"",'Bonding Program'!$P$24,'Bonding Program'!$C$8)),'Bonding Program'!$Z$24,0)+IF(AND('Bonding Program'!$P$24&lt;&gt;"",BE$3='Bonding Program'!$P$24,BE$3&lt;='Bonding Program'!$C$8),N('Bonding Program'!$O$24),0)</f>
        <v>0</v>
      </c>
      <c r="BF165" s="19" t="n">
        <f aca="false">IF(AND('Bonding Program'!$S$24=1,'Bonding Program'!$H$24&gt;'Bonding Program'!$C$8,BF$3='Bonding Program'!$H$24),'Bonding Program'!$T$24-'Bonding Program'!$U$24-'Bonding Program'!$Z$24,0)-IF(AND('Bonding Program'!$S$24=1,'Bonding Program'!$H$24&lt;='Bonding Program'!$C$8,BF$3=IF('Bonding Program'!$P$24&lt;&gt;"",'Bonding Program'!$P$24,'Bonding Program'!$C$8)),'Bonding Program'!$Z$24,0)+IF(AND('Bonding Program'!$P$24&lt;&gt;"",BF$3='Bonding Program'!$P$24,BF$3&lt;='Bonding Program'!$C$8),N('Bonding Program'!$O$24),0)</f>
        <v>0</v>
      </c>
      <c r="BG165" s="19" t="n">
        <f aca="false">IF(AND('Bonding Program'!$S$24=1,'Bonding Program'!$H$24&gt;'Bonding Program'!$C$8,BG$3='Bonding Program'!$H$24),'Bonding Program'!$T$24-'Bonding Program'!$U$24-'Bonding Program'!$Z$24,0)-IF(AND('Bonding Program'!$S$24=1,'Bonding Program'!$H$24&lt;='Bonding Program'!$C$8,BG$3=IF('Bonding Program'!$P$24&lt;&gt;"",'Bonding Program'!$P$24,'Bonding Program'!$C$8)),'Bonding Program'!$Z$24,0)+IF(AND('Bonding Program'!$P$24&lt;&gt;"",BG$3='Bonding Program'!$P$24,BG$3&lt;='Bonding Program'!$C$8),N('Bonding Program'!$O$24),0)</f>
        <v>0</v>
      </c>
      <c r="BH165" s="19" t="n">
        <f aca="false">IF(AND('Bonding Program'!$S$24=1,'Bonding Program'!$H$24&gt;'Bonding Program'!$C$8,BH$3='Bonding Program'!$H$24),'Bonding Program'!$T$24-'Bonding Program'!$U$24-'Bonding Program'!$Z$24,0)-IF(AND('Bonding Program'!$S$24=1,'Bonding Program'!$H$24&lt;='Bonding Program'!$C$8,BH$3=IF('Bonding Program'!$P$24&lt;&gt;"",'Bonding Program'!$P$24,'Bonding Program'!$C$8)),'Bonding Program'!$Z$24,0)+IF(AND('Bonding Program'!$P$24&lt;&gt;"",BH$3='Bonding Program'!$P$24,BH$3&lt;='Bonding Program'!$C$8),N('Bonding Program'!$O$24),0)</f>
        <v>0</v>
      </c>
      <c r="BI165" s="19" t="n">
        <f aca="false">IF(AND('Bonding Program'!$S$24=1,'Bonding Program'!$H$24&gt;'Bonding Program'!$C$8,BI$3='Bonding Program'!$H$24),'Bonding Program'!$T$24-'Bonding Program'!$U$24-'Bonding Program'!$Z$24,0)-IF(AND('Bonding Program'!$S$24=1,'Bonding Program'!$H$24&lt;='Bonding Program'!$C$8,BI$3=IF('Bonding Program'!$P$24&lt;&gt;"",'Bonding Program'!$P$24,'Bonding Program'!$C$8)),'Bonding Program'!$Z$24,0)+IF(AND('Bonding Program'!$P$24&lt;&gt;"",BI$3='Bonding Program'!$P$24,BI$3&lt;='Bonding Program'!$C$8),N('Bonding Program'!$O$24),0)</f>
        <v>0</v>
      </c>
      <c r="BJ165" s="19" t="n">
        <f aca="false">IF(AND('Bonding Program'!$S$24=1,'Bonding Program'!$H$24&gt;'Bonding Program'!$C$8,BJ$3='Bonding Program'!$H$24),'Bonding Program'!$T$24-'Bonding Program'!$U$24-'Bonding Program'!$Z$24,0)-IF(AND('Bonding Program'!$S$24=1,'Bonding Program'!$H$24&lt;='Bonding Program'!$C$8,BJ$3=IF('Bonding Program'!$P$24&lt;&gt;"",'Bonding Program'!$P$24,'Bonding Program'!$C$8)),'Bonding Program'!$Z$24,0)+IF(AND('Bonding Program'!$P$24&lt;&gt;"",BJ$3='Bonding Program'!$P$24,BJ$3&lt;='Bonding Program'!$C$8),N('Bonding Program'!$O$24),0)</f>
        <v>0</v>
      </c>
      <c r="BK165" s="19" t="n">
        <f aca="false">IF(AND('Bonding Program'!$S$24=1,'Bonding Program'!$H$24&gt;'Bonding Program'!$C$8,BK$3='Bonding Program'!$H$24),'Bonding Program'!$T$24-'Bonding Program'!$U$24-'Bonding Program'!$Z$24,0)-IF(AND('Bonding Program'!$S$24=1,'Bonding Program'!$H$24&lt;='Bonding Program'!$C$8,BK$3=IF('Bonding Program'!$P$24&lt;&gt;"",'Bonding Program'!$P$24,'Bonding Program'!$C$8)),'Bonding Program'!$Z$24,0)+IF(AND('Bonding Program'!$P$24&lt;&gt;"",BK$3='Bonding Program'!$P$24,BK$3&lt;='Bonding Program'!$C$8),N('Bonding Program'!$O$24),0)</f>
        <v>0</v>
      </c>
      <c r="BL165" s="19" t="n">
        <f aca="false">IF(AND('Bonding Program'!$S$24=1,'Bonding Program'!$H$24&gt;'Bonding Program'!$C$8,BL$3='Bonding Program'!$H$24),'Bonding Program'!$T$24-'Bonding Program'!$U$24-'Bonding Program'!$Z$24,0)-IF(AND('Bonding Program'!$S$24=1,'Bonding Program'!$H$24&lt;='Bonding Program'!$C$8,BL$3=IF('Bonding Program'!$P$24&lt;&gt;"",'Bonding Program'!$P$24,'Bonding Program'!$C$8)),'Bonding Program'!$Z$24,0)+IF(AND('Bonding Program'!$P$24&lt;&gt;"",BL$3='Bonding Program'!$P$24,BL$3&lt;='Bonding Program'!$C$8),N('Bonding Program'!$O$24),0)</f>
        <v>0</v>
      </c>
      <c r="BM165" s="19" t="n">
        <f aca="false">IF(AND('Bonding Program'!$S$24=1,'Bonding Program'!$H$24&gt;'Bonding Program'!$C$8,BM$3='Bonding Program'!$H$24),'Bonding Program'!$T$24-'Bonding Program'!$U$24-'Bonding Program'!$Z$24,0)-IF(AND('Bonding Program'!$S$24=1,'Bonding Program'!$H$24&lt;='Bonding Program'!$C$8,BM$3=IF('Bonding Program'!$P$24&lt;&gt;"",'Bonding Program'!$P$24,'Bonding Program'!$C$8)),'Bonding Program'!$Z$24,0)+IF(AND('Bonding Program'!$P$24&lt;&gt;"",BM$3='Bonding Program'!$P$24,BM$3&lt;='Bonding Program'!$C$8),N('Bonding Program'!$O$24),0)</f>
        <v>0</v>
      </c>
      <c r="BN165" s="19" t="n">
        <f aca="false">IF(AND('Bonding Program'!$S$24=1,'Bonding Program'!$H$24&gt;'Bonding Program'!$C$8,BN$3='Bonding Program'!$H$24),'Bonding Program'!$T$24-'Bonding Program'!$U$24-'Bonding Program'!$Z$24,0)-IF(AND('Bonding Program'!$S$24=1,'Bonding Program'!$H$24&lt;='Bonding Program'!$C$8,BN$3=IF('Bonding Program'!$P$24&lt;&gt;"",'Bonding Program'!$P$24,'Bonding Program'!$C$8)),'Bonding Program'!$Z$24,0)+IF(AND('Bonding Program'!$P$24&lt;&gt;"",BN$3='Bonding Program'!$P$24,BN$3&lt;='Bonding Program'!$C$8),N('Bonding Program'!$O$24),0)</f>
        <v>0</v>
      </c>
      <c r="BO165" s="19" t="n">
        <f aca="false">IF(AND('Bonding Program'!$S$24=1,'Bonding Program'!$H$24&gt;'Bonding Program'!$C$8,BO$3='Bonding Program'!$H$24),'Bonding Program'!$T$24-'Bonding Program'!$U$24-'Bonding Program'!$Z$24,0)-IF(AND('Bonding Program'!$S$24=1,'Bonding Program'!$H$24&lt;='Bonding Program'!$C$8,BO$3=IF('Bonding Program'!$P$24&lt;&gt;"",'Bonding Program'!$P$24,'Bonding Program'!$C$8)),'Bonding Program'!$Z$24,0)+IF(AND('Bonding Program'!$P$24&lt;&gt;"",BO$3='Bonding Program'!$P$24,BO$3&lt;='Bonding Program'!$C$8),N('Bonding Program'!$O$24),0)</f>
        <v>0</v>
      </c>
      <c r="BP165" s="19" t="n">
        <f aca="false">IF(AND('Bonding Program'!$S$24=1,'Bonding Program'!$H$24&gt;'Bonding Program'!$C$8,BP$3='Bonding Program'!$H$24),'Bonding Program'!$T$24-'Bonding Program'!$U$24-'Bonding Program'!$Z$24,0)-IF(AND('Bonding Program'!$S$24=1,'Bonding Program'!$H$24&lt;='Bonding Program'!$C$8,BP$3=IF('Bonding Program'!$P$24&lt;&gt;"",'Bonding Program'!$P$24,'Bonding Program'!$C$8)),'Bonding Program'!$Z$24,0)+IF(AND('Bonding Program'!$P$24&lt;&gt;"",BP$3='Bonding Program'!$P$24,BP$3&lt;='Bonding Program'!$C$8),N('Bonding Program'!$O$24),0)</f>
        <v>0</v>
      </c>
      <c r="BQ165" s="19" t="n">
        <f aca="false">IF(AND('Bonding Program'!$S$24=1,'Bonding Program'!$H$24&gt;'Bonding Program'!$C$8,BQ$3='Bonding Program'!$H$24),'Bonding Program'!$T$24-'Bonding Program'!$U$24-'Bonding Program'!$Z$24,0)-IF(AND('Bonding Program'!$S$24=1,'Bonding Program'!$H$24&lt;='Bonding Program'!$C$8,BQ$3=IF('Bonding Program'!$P$24&lt;&gt;"",'Bonding Program'!$P$24,'Bonding Program'!$C$8)),'Bonding Program'!$Z$24,0)+IF(AND('Bonding Program'!$P$24&lt;&gt;"",BQ$3='Bonding Program'!$P$24,BQ$3&lt;='Bonding Program'!$C$8),N('Bonding Program'!$O$24),0)</f>
        <v>0</v>
      </c>
      <c r="BR165" s="19" t="n">
        <f aca="false">IF(AND('Bonding Program'!$S$24=1,'Bonding Program'!$H$24&gt;'Bonding Program'!$C$8,BR$3='Bonding Program'!$H$24),'Bonding Program'!$T$24-'Bonding Program'!$U$24-'Bonding Program'!$Z$24,0)-IF(AND('Bonding Program'!$S$24=1,'Bonding Program'!$H$24&lt;='Bonding Program'!$C$8,BR$3=IF('Bonding Program'!$P$24&lt;&gt;"",'Bonding Program'!$P$24,'Bonding Program'!$C$8)),'Bonding Program'!$Z$24,0)+IF(AND('Bonding Program'!$P$24&lt;&gt;"",BR$3='Bonding Program'!$P$24,BR$3&lt;='Bonding Program'!$C$8),N('Bonding Program'!$O$24),0)</f>
        <v>0</v>
      </c>
      <c r="BS165" s="19" t="n">
        <f aca="false">IF(AND('Bonding Program'!$S$24=1,'Bonding Program'!$H$24&gt;'Bonding Program'!$C$8,BS$3='Bonding Program'!$H$24),'Bonding Program'!$T$24-'Bonding Program'!$U$24-'Bonding Program'!$Z$24,0)-IF(AND('Bonding Program'!$S$24=1,'Bonding Program'!$H$24&lt;='Bonding Program'!$C$8,BS$3=IF('Bonding Program'!$P$24&lt;&gt;"",'Bonding Program'!$P$24,'Bonding Program'!$C$8)),'Bonding Program'!$Z$24,0)+IF(AND('Bonding Program'!$P$24&lt;&gt;"",BS$3='Bonding Program'!$P$24,BS$3&lt;='Bonding Program'!$C$8),N('Bonding Program'!$O$24),0)</f>
        <v>0</v>
      </c>
      <c r="BT165" s="19" t="n">
        <f aca="false">IF(AND('Bonding Program'!$S$24=1,'Bonding Program'!$H$24&gt;'Bonding Program'!$C$8,BT$3='Bonding Program'!$H$24),'Bonding Program'!$T$24-'Bonding Program'!$U$24-'Bonding Program'!$Z$24,0)-IF(AND('Bonding Program'!$S$24=1,'Bonding Program'!$H$24&lt;='Bonding Program'!$C$8,BT$3=IF('Bonding Program'!$P$24&lt;&gt;"",'Bonding Program'!$P$24,'Bonding Program'!$C$8)),'Bonding Program'!$Z$24,0)+IF(AND('Bonding Program'!$P$24&lt;&gt;"",BT$3='Bonding Program'!$P$24,BT$3&lt;='Bonding Program'!$C$8),N('Bonding Program'!$O$24),0)</f>
        <v>0</v>
      </c>
      <c r="BU165" s="19" t="n">
        <f aca="false">IF(AND('Bonding Program'!$S$24=1,'Bonding Program'!$H$24&gt;'Bonding Program'!$C$8,BU$3='Bonding Program'!$H$24),'Bonding Program'!$T$24-'Bonding Program'!$U$24-'Bonding Program'!$Z$24,0)-IF(AND('Bonding Program'!$S$24=1,'Bonding Program'!$H$24&lt;='Bonding Program'!$C$8,BU$3=IF('Bonding Program'!$P$24&lt;&gt;"",'Bonding Program'!$P$24,'Bonding Program'!$C$8)),'Bonding Program'!$Z$24,0)+IF(AND('Bonding Program'!$P$24&lt;&gt;"",BU$3='Bonding Program'!$P$24,BU$3&lt;='Bonding Program'!$C$8),N('Bonding Program'!$O$24),0)</f>
        <v>0</v>
      </c>
      <c r="BV165" s="19" t="n">
        <f aca="false">IF(AND('Bonding Program'!$S$24=1,'Bonding Program'!$H$24&gt;'Bonding Program'!$C$8,BV$3='Bonding Program'!$H$24),'Bonding Program'!$T$24-'Bonding Program'!$U$24-'Bonding Program'!$Z$24,0)-IF(AND('Bonding Program'!$S$24=1,'Bonding Program'!$H$24&lt;='Bonding Program'!$C$8,BV$3=IF('Bonding Program'!$P$24&lt;&gt;"",'Bonding Program'!$P$24,'Bonding Program'!$C$8)),'Bonding Program'!$Z$24,0)+IF(AND('Bonding Program'!$P$24&lt;&gt;"",BV$3='Bonding Program'!$P$24,BV$3&lt;='Bonding Program'!$C$8),N('Bonding Program'!$O$24),0)</f>
        <v>0</v>
      </c>
      <c r="BW165" s="19" t="n">
        <f aca="false">IF(AND('Bonding Program'!$S$24=1,'Bonding Program'!$H$24&gt;'Bonding Program'!$C$8,BW$3='Bonding Program'!$H$24),'Bonding Program'!$T$24-'Bonding Program'!$U$24-'Bonding Program'!$Z$24,0)-IF(AND('Bonding Program'!$S$24=1,'Bonding Program'!$H$24&lt;='Bonding Program'!$C$8,BW$3=IF('Bonding Program'!$P$24&lt;&gt;"",'Bonding Program'!$P$24,'Bonding Program'!$C$8)),'Bonding Program'!$Z$24,0)+IF(AND('Bonding Program'!$P$24&lt;&gt;"",BW$3='Bonding Program'!$P$24,BW$3&lt;='Bonding Program'!$C$8),N('Bonding Program'!$O$24),0)</f>
        <v>0</v>
      </c>
      <c r="BX165" s="19" t="n">
        <f aca="false">IF(AND('Bonding Program'!$S$24=1,'Bonding Program'!$H$24&gt;'Bonding Program'!$C$8,BX$3='Bonding Program'!$H$24),'Bonding Program'!$T$24-'Bonding Program'!$U$24-'Bonding Program'!$Z$24,0)-IF(AND('Bonding Program'!$S$24=1,'Bonding Program'!$H$24&lt;='Bonding Program'!$C$8,BX$3=IF('Bonding Program'!$P$24&lt;&gt;"",'Bonding Program'!$P$24,'Bonding Program'!$C$8)),'Bonding Program'!$Z$24,0)+IF(AND('Bonding Program'!$P$24&lt;&gt;"",BX$3='Bonding Program'!$P$24,BX$3&lt;='Bonding Program'!$C$8),N('Bonding Program'!$O$24),0)</f>
        <v>0</v>
      </c>
      <c r="BY165" s="19" t="n">
        <f aca="false">IF(AND('Bonding Program'!$S$24=1,'Bonding Program'!$H$24&gt;'Bonding Program'!$C$8,BY$3='Bonding Program'!$H$24),'Bonding Program'!$T$24-'Bonding Program'!$U$24-'Bonding Program'!$Z$24,0)-IF(AND('Bonding Program'!$S$24=1,'Bonding Program'!$H$24&lt;='Bonding Program'!$C$8,BY$3=IF('Bonding Program'!$P$24&lt;&gt;"",'Bonding Program'!$P$24,'Bonding Program'!$C$8)),'Bonding Program'!$Z$24,0)+IF(AND('Bonding Program'!$P$24&lt;&gt;"",BY$3='Bonding Program'!$P$24,BY$3&lt;='Bonding Program'!$C$8),N('Bonding Program'!$O$24),0)</f>
        <v>0</v>
      </c>
      <c r="BZ165" s="19" t="n">
        <f aca="false">IF(AND('Bonding Program'!$S$24=1,'Bonding Program'!$H$24&gt;'Bonding Program'!$C$8,BZ$3='Bonding Program'!$H$24),'Bonding Program'!$T$24-'Bonding Program'!$U$24-'Bonding Program'!$Z$24,0)-IF(AND('Bonding Program'!$S$24=1,'Bonding Program'!$H$24&lt;='Bonding Program'!$C$8,BZ$3=IF('Bonding Program'!$P$24&lt;&gt;"",'Bonding Program'!$P$24,'Bonding Program'!$C$8)),'Bonding Program'!$Z$24,0)+IF(AND('Bonding Program'!$P$24&lt;&gt;"",BZ$3='Bonding Program'!$P$24,BZ$3&lt;='Bonding Program'!$C$8),N('Bonding Program'!$O$24),0)</f>
        <v>0</v>
      </c>
      <c r="CA165" s="19" t="n">
        <f aca="false">IF(AND('Bonding Program'!$S$24=1,'Bonding Program'!$H$24&gt;'Bonding Program'!$C$8,CA$3='Bonding Program'!$H$24),'Bonding Program'!$T$24-'Bonding Program'!$U$24-'Bonding Program'!$Z$24,0)-IF(AND('Bonding Program'!$S$24=1,'Bonding Program'!$H$24&lt;='Bonding Program'!$C$8,CA$3=IF('Bonding Program'!$P$24&lt;&gt;"",'Bonding Program'!$P$24,'Bonding Program'!$C$8)),'Bonding Program'!$Z$24,0)+IF(AND('Bonding Program'!$P$24&lt;&gt;"",CA$3='Bonding Program'!$P$24,CA$3&lt;='Bonding Program'!$C$8),N('Bonding Program'!$O$24),0)</f>
        <v>0</v>
      </c>
      <c r="CB165" s="19" t="n">
        <f aca="false">IF(AND('Bonding Program'!$S$24=1,'Bonding Program'!$H$24&gt;'Bonding Program'!$C$8,CB$3='Bonding Program'!$H$24),'Bonding Program'!$T$24-'Bonding Program'!$U$24-'Bonding Program'!$Z$24,0)-IF(AND('Bonding Program'!$S$24=1,'Bonding Program'!$H$24&lt;='Bonding Program'!$C$8,CB$3=IF('Bonding Program'!$P$24&lt;&gt;"",'Bonding Program'!$P$24,'Bonding Program'!$C$8)),'Bonding Program'!$Z$24,0)+IF(AND('Bonding Program'!$P$24&lt;&gt;"",CB$3='Bonding Program'!$P$24,CB$3&lt;='Bonding Program'!$C$8),N('Bonding Program'!$O$24),0)</f>
        <v>0</v>
      </c>
      <c r="CC165" s="19" t="n">
        <f aca="false">IF(AND('Bonding Program'!$S$24=1,'Bonding Program'!$H$24&gt;'Bonding Program'!$C$8,CC$3='Bonding Program'!$H$24),'Bonding Program'!$T$24-'Bonding Program'!$U$24-'Bonding Program'!$Z$24,0)-IF(AND('Bonding Program'!$S$24=1,'Bonding Program'!$H$24&lt;='Bonding Program'!$C$8,CC$3=IF('Bonding Program'!$P$24&lt;&gt;"",'Bonding Program'!$P$24,'Bonding Program'!$C$8)),'Bonding Program'!$Z$24,0)+IF(AND('Bonding Program'!$P$24&lt;&gt;"",CC$3='Bonding Program'!$P$24,CC$3&lt;='Bonding Program'!$C$8),N('Bonding Program'!$O$24),0)</f>
        <v>0</v>
      </c>
      <c r="CD165" s="19" t="n">
        <f aca="false">IF(AND('Bonding Program'!$S$24=1,'Bonding Program'!$H$24&gt;'Bonding Program'!$C$8,CD$3='Bonding Program'!$H$24),'Bonding Program'!$T$24-'Bonding Program'!$U$24-'Bonding Program'!$Z$24,0)-IF(AND('Bonding Program'!$S$24=1,'Bonding Program'!$H$24&lt;='Bonding Program'!$C$8,CD$3=IF('Bonding Program'!$P$24&lt;&gt;"",'Bonding Program'!$P$24,'Bonding Program'!$C$8)),'Bonding Program'!$Z$24,0)+IF(AND('Bonding Program'!$P$24&lt;&gt;"",CD$3='Bonding Program'!$P$24,CD$3&lt;='Bonding Program'!$C$8),N('Bonding Program'!$O$24),0)</f>
        <v>0</v>
      </c>
      <c r="CE165" s="19" t="n">
        <f aca="false">IF(AND('Bonding Program'!$S$24=1,'Bonding Program'!$H$24&gt;'Bonding Program'!$C$8,CE$3='Bonding Program'!$H$24),'Bonding Program'!$T$24-'Bonding Program'!$U$24-'Bonding Program'!$Z$24,0)-IF(AND('Bonding Program'!$S$24=1,'Bonding Program'!$H$24&lt;='Bonding Program'!$C$8,CE$3=IF('Bonding Program'!$P$24&lt;&gt;"",'Bonding Program'!$P$24,'Bonding Program'!$C$8)),'Bonding Program'!$Z$24,0)+IF(AND('Bonding Program'!$P$24&lt;&gt;"",CE$3='Bonding Program'!$P$24,CE$3&lt;='Bonding Program'!$C$8),N('Bonding Program'!$O$24),0)</f>
        <v>0</v>
      </c>
      <c r="CF165" s="19" t="n">
        <f aca="false">IF(AND('Bonding Program'!$S$24=1,'Bonding Program'!$H$24&gt;'Bonding Program'!$C$8,CF$3='Bonding Program'!$H$24),'Bonding Program'!$T$24-'Bonding Program'!$U$24-'Bonding Program'!$Z$24,0)-IF(AND('Bonding Program'!$S$24=1,'Bonding Program'!$H$24&lt;='Bonding Program'!$C$8,CF$3=IF('Bonding Program'!$P$24&lt;&gt;"",'Bonding Program'!$P$24,'Bonding Program'!$C$8)),'Bonding Program'!$Z$24,0)+IF(AND('Bonding Program'!$P$24&lt;&gt;"",CF$3='Bonding Program'!$P$24,CF$3&lt;='Bonding Program'!$C$8),N('Bonding Program'!$O$24),0)</f>
        <v>0</v>
      </c>
      <c r="CG165" s="19" t="n">
        <f aca="false">IF(AND('Bonding Program'!$S$24=1,'Bonding Program'!$H$24&gt;'Bonding Program'!$C$8,CG$3='Bonding Program'!$H$24),'Bonding Program'!$T$24-'Bonding Program'!$U$24-'Bonding Program'!$Z$24,0)-IF(AND('Bonding Program'!$S$24=1,'Bonding Program'!$H$24&lt;='Bonding Program'!$C$8,CG$3=IF('Bonding Program'!$P$24&lt;&gt;"",'Bonding Program'!$P$24,'Bonding Program'!$C$8)),'Bonding Program'!$Z$24,0)+IF(AND('Bonding Program'!$P$24&lt;&gt;"",CG$3='Bonding Program'!$P$24,CG$3&lt;='Bonding Program'!$C$8),N('Bonding Program'!$O$24),0)</f>
        <v>0</v>
      </c>
      <c r="CH165" s="19" t="n">
        <f aca="false">IF(AND('Bonding Program'!$S$24=1,'Bonding Program'!$H$24&gt;'Bonding Program'!$C$8,CH$3='Bonding Program'!$H$24),'Bonding Program'!$T$24-'Bonding Program'!$U$24-'Bonding Program'!$Z$24,0)-IF(AND('Bonding Program'!$S$24=1,'Bonding Program'!$H$24&lt;='Bonding Program'!$C$8,CH$3=IF('Bonding Program'!$P$24&lt;&gt;"",'Bonding Program'!$P$24,'Bonding Program'!$C$8)),'Bonding Program'!$Z$24,0)+IF(AND('Bonding Program'!$P$24&lt;&gt;"",CH$3='Bonding Program'!$P$24,CH$3&lt;='Bonding Program'!$C$8),N('Bonding Program'!$O$24),0)</f>
        <v>0</v>
      </c>
      <c r="CI165" s="19" t="n">
        <f aca="false">IF(AND('Bonding Program'!$S$24=1,'Bonding Program'!$H$24&gt;'Bonding Program'!$C$8,CI$3='Bonding Program'!$H$24),'Bonding Program'!$T$24-'Bonding Program'!$U$24-'Bonding Program'!$Z$24,0)-IF(AND('Bonding Program'!$S$24=1,'Bonding Program'!$H$24&lt;='Bonding Program'!$C$8,CI$3=IF('Bonding Program'!$P$24&lt;&gt;"",'Bonding Program'!$P$24,'Bonding Program'!$C$8)),'Bonding Program'!$Z$24,0)+IF(AND('Bonding Program'!$P$24&lt;&gt;"",CI$3='Bonding Program'!$P$24,CI$3&lt;='Bonding Program'!$C$8),N('Bonding Program'!$O$24),0)</f>
        <v>0</v>
      </c>
      <c r="CJ165" s="19" t="n">
        <f aca="false">IF(AND('Bonding Program'!$S$24=1,'Bonding Program'!$H$24&gt;'Bonding Program'!$C$8,CJ$3='Bonding Program'!$H$24),'Bonding Program'!$T$24-'Bonding Program'!$U$24-'Bonding Program'!$Z$24,0)-IF(AND('Bonding Program'!$S$24=1,'Bonding Program'!$H$24&lt;='Bonding Program'!$C$8,CJ$3=IF('Bonding Program'!$P$24&lt;&gt;"",'Bonding Program'!$P$24,'Bonding Program'!$C$8)),'Bonding Program'!$Z$24,0)+IF(AND('Bonding Program'!$P$24&lt;&gt;"",CJ$3='Bonding Program'!$P$24,CJ$3&lt;='Bonding Program'!$C$8),N('Bonding Program'!$O$24),0)</f>
        <v>0</v>
      </c>
      <c r="CK165" s="19" t="n">
        <f aca="false">IF(AND('Bonding Program'!$S$24=1,'Bonding Program'!$H$24&gt;'Bonding Program'!$C$8,CK$3='Bonding Program'!$H$24),'Bonding Program'!$T$24-'Bonding Program'!$U$24-'Bonding Program'!$Z$24,0)-IF(AND('Bonding Program'!$S$24=1,'Bonding Program'!$H$24&lt;='Bonding Program'!$C$8,CK$3=IF('Bonding Program'!$P$24&lt;&gt;"",'Bonding Program'!$P$24,'Bonding Program'!$C$8)),'Bonding Program'!$Z$24,0)+IF(AND('Bonding Program'!$P$24&lt;&gt;"",CK$3='Bonding Program'!$P$24,CK$3&lt;='Bonding Program'!$C$8),N('Bonding Program'!$O$24),0)</f>
        <v>0</v>
      </c>
      <c r="CL165" s="19" t="n">
        <f aca="false">IF(AND('Bonding Program'!$S$24=1,'Bonding Program'!$H$24&gt;'Bonding Program'!$C$8,CL$3='Bonding Program'!$H$24),'Bonding Program'!$T$24-'Bonding Program'!$U$24-'Bonding Program'!$Z$24,0)-IF(AND('Bonding Program'!$S$24=1,'Bonding Program'!$H$24&lt;='Bonding Program'!$C$8,CL$3=IF('Bonding Program'!$P$24&lt;&gt;"",'Bonding Program'!$P$24,'Bonding Program'!$C$8)),'Bonding Program'!$Z$24,0)+IF(AND('Bonding Program'!$P$24&lt;&gt;"",CL$3='Bonding Program'!$P$24,CL$3&lt;='Bonding Program'!$C$8),N('Bonding Program'!$O$24),0)</f>
        <v>0</v>
      </c>
      <c r="CM165" s="19" t="n">
        <f aca="false">IF(AND('Bonding Program'!$S$24=1,'Bonding Program'!$H$24&gt;'Bonding Program'!$C$8,CM$3='Bonding Program'!$H$24),'Bonding Program'!$T$24-'Bonding Program'!$U$24-'Bonding Program'!$Z$24,0)-IF(AND('Bonding Program'!$S$24=1,'Bonding Program'!$H$24&lt;='Bonding Program'!$C$8,CM$3=IF('Bonding Program'!$P$24&lt;&gt;"",'Bonding Program'!$P$24,'Bonding Program'!$C$8)),'Bonding Program'!$Z$24,0)+IF(AND('Bonding Program'!$P$24&lt;&gt;"",CM$3='Bonding Program'!$P$24,CM$3&lt;='Bonding Program'!$C$8),N('Bonding Program'!$O$24),0)</f>
        <v>0</v>
      </c>
      <c r="CN165" s="19" t="n">
        <f aca="false">IF(AND('Bonding Program'!$S$24=1,'Bonding Program'!$H$24&gt;'Bonding Program'!$C$8,CN$3='Bonding Program'!$H$24),'Bonding Program'!$T$24-'Bonding Program'!$U$24-'Bonding Program'!$Z$24,0)-IF(AND('Bonding Program'!$S$24=1,'Bonding Program'!$H$24&lt;='Bonding Program'!$C$8,CN$3=IF('Bonding Program'!$P$24&lt;&gt;"",'Bonding Program'!$P$24,'Bonding Program'!$C$8)),'Bonding Program'!$Z$24,0)+IF(AND('Bonding Program'!$P$24&lt;&gt;"",CN$3='Bonding Program'!$P$24,CN$3&lt;='Bonding Program'!$C$8),N('Bonding Program'!$O$24),0)</f>
        <v>0</v>
      </c>
      <c r="CO165" s="19" t="n">
        <f aca="false">IF(AND('Bonding Program'!$S$24=1,'Bonding Program'!$H$24&gt;'Bonding Program'!$C$8,CO$3='Bonding Program'!$H$24),'Bonding Program'!$T$24-'Bonding Program'!$U$24-'Bonding Program'!$Z$24,0)-IF(AND('Bonding Program'!$S$24=1,'Bonding Program'!$H$24&lt;='Bonding Program'!$C$8,CO$3=IF('Bonding Program'!$P$24&lt;&gt;"",'Bonding Program'!$P$24,'Bonding Program'!$C$8)),'Bonding Program'!$Z$24,0)+IF(AND('Bonding Program'!$P$24&lt;&gt;"",CO$3='Bonding Program'!$P$24,CO$3&lt;='Bonding Program'!$C$8),N('Bonding Program'!$O$24),0)</f>
        <v>0</v>
      </c>
      <c r="CP165" s="19" t="n">
        <f aca="false">IF(AND('Bonding Program'!$S$24=1,'Bonding Program'!$H$24&gt;'Bonding Program'!$C$8,CP$3='Bonding Program'!$H$24),'Bonding Program'!$T$24-'Bonding Program'!$U$24-'Bonding Program'!$Z$24,0)-IF(AND('Bonding Program'!$S$24=1,'Bonding Program'!$H$24&lt;='Bonding Program'!$C$8,CP$3=IF('Bonding Program'!$P$24&lt;&gt;"",'Bonding Program'!$P$24,'Bonding Program'!$C$8)),'Bonding Program'!$Z$24,0)+IF(AND('Bonding Program'!$P$24&lt;&gt;"",CP$3='Bonding Program'!$P$24,CP$3&lt;='Bonding Program'!$C$8),N('Bonding Program'!$O$24),0)</f>
        <v>0</v>
      </c>
      <c r="CQ165" s="19" t="n">
        <f aca="false">IF(AND('Bonding Program'!$S$24=1,'Bonding Program'!$H$24&gt;'Bonding Program'!$C$8,CQ$3='Bonding Program'!$H$24),'Bonding Program'!$T$24-'Bonding Program'!$U$24-'Bonding Program'!$Z$24,0)-IF(AND('Bonding Program'!$S$24=1,'Bonding Program'!$H$24&lt;='Bonding Program'!$C$8,CQ$3=IF('Bonding Program'!$P$24&lt;&gt;"",'Bonding Program'!$P$24,'Bonding Program'!$C$8)),'Bonding Program'!$Z$24,0)+IF(AND('Bonding Program'!$P$24&lt;&gt;"",CQ$3='Bonding Program'!$P$24,CQ$3&lt;='Bonding Program'!$C$8),N('Bonding Program'!$O$24),0)</f>
        <v>0</v>
      </c>
      <c r="CR165" s="19" t="n">
        <f aca="false">IF(AND('Bonding Program'!$S$24=1,'Bonding Program'!$H$24&gt;'Bonding Program'!$C$8,CR$3='Bonding Program'!$H$24),'Bonding Program'!$T$24-'Bonding Program'!$U$24-'Bonding Program'!$Z$24,0)-IF(AND('Bonding Program'!$S$24=1,'Bonding Program'!$H$24&lt;='Bonding Program'!$C$8,CR$3=IF('Bonding Program'!$P$24&lt;&gt;"",'Bonding Program'!$P$24,'Bonding Program'!$C$8)),'Bonding Program'!$Z$24,0)+IF(AND('Bonding Program'!$P$24&lt;&gt;"",CR$3='Bonding Program'!$P$24,CR$3&lt;='Bonding Program'!$C$8),N('Bonding Program'!$O$24),0)</f>
        <v>0</v>
      </c>
      <c r="CS165" s="19" t="n">
        <f aca="false">IF(AND('Bonding Program'!$S$24=1,'Bonding Program'!$H$24&gt;'Bonding Program'!$C$8,CS$3='Bonding Program'!$H$24),'Bonding Program'!$T$24-'Bonding Program'!$U$24-'Bonding Program'!$Z$24,0)-IF(AND('Bonding Program'!$S$24=1,'Bonding Program'!$H$24&lt;='Bonding Program'!$C$8,CS$3=IF('Bonding Program'!$P$24&lt;&gt;"",'Bonding Program'!$P$24,'Bonding Program'!$C$8)),'Bonding Program'!$Z$24,0)+IF(AND('Bonding Program'!$P$24&lt;&gt;"",CS$3='Bonding Program'!$P$24,CS$3&lt;='Bonding Program'!$C$8),N('Bonding Program'!$O$24),0)</f>
        <v>0</v>
      </c>
      <c r="CT165" s="19" t="n">
        <f aca="false">IF(AND('Bonding Program'!$S$24=1,'Bonding Program'!$H$24&gt;'Bonding Program'!$C$8,CT$3='Bonding Program'!$H$24),'Bonding Program'!$T$24-'Bonding Program'!$U$24-'Bonding Program'!$Z$24,0)-IF(AND('Bonding Program'!$S$24=1,'Bonding Program'!$H$24&lt;='Bonding Program'!$C$8,CT$3=IF('Bonding Program'!$P$24&lt;&gt;"",'Bonding Program'!$P$24,'Bonding Program'!$C$8)),'Bonding Program'!$Z$24,0)+IF(AND('Bonding Program'!$P$24&lt;&gt;"",CT$3='Bonding Program'!$P$24,CT$3&lt;='Bonding Program'!$C$8),N('Bonding Program'!$O$24),0)</f>
        <v>0</v>
      </c>
      <c r="CU165" s="19" t="n">
        <f aca="false">IF(AND('Bonding Program'!$S$24=1,'Bonding Program'!$H$24&gt;'Bonding Program'!$C$8,CU$3='Bonding Program'!$H$24),'Bonding Program'!$T$24-'Bonding Program'!$U$24-'Bonding Program'!$Z$24,0)-IF(AND('Bonding Program'!$S$24=1,'Bonding Program'!$H$24&lt;='Bonding Program'!$C$8,CU$3=IF('Bonding Program'!$P$24&lt;&gt;"",'Bonding Program'!$P$24,'Bonding Program'!$C$8)),'Bonding Program'!$Z$24,0)+IF(AND('Bonding Program'!$P$24&lt;&gt;"",CU$3='Bonding Program'!$P$24,CU$3&lt;='Bonding Program'!$C$8),N('Bonding Program'!$O$24),0)</f>
        <v>0</v>
      </c>
      <c r="CV165" s="19" t="n">
        <f aca="false">IF(AND('Bonding Program'!$S$24=1,'Bonding Program'!$H$24&gt;'Bonding Program'!$C$8,CV$3='Bonding Program'!$H$24),'Bonding Program'!$T$24-'Bonding Program'!$U$24-'Bonding Program'!$Z$24,0)-IF(AND('Bonding Program'!$S$24=1,'Bonding Program'!$H$24&lt;='Bonding Program'!$C$8,CV$3=IF('Bonding Program'!$P$24&lt;&gt;"",'Bonding Program'!$P$24,'Bonding Program'!$C$8)),'Bonding Program'!$Z$24,0)+IF(AND('Bonding Program'!$P$24&lt;&gt;"",CV$3='Bonding Program'!$P$24,CV$3&lt;='Bonding Program'!$C$8),N('Bonding Program'!$O$24),0)</f>
        <v>0</v>
      </c>
      <c r="CW165" s="19" t="n">
        <f aca="false">IF(AND('Bonding Program'!$S$24=1,'Bonding Program'!$H$24&gt;'Bonding Program'!$C$8,CW$3='Bonding Program'!$H$24),'Bonding Program'!$T$24-'Bonding Program'!$U$24-'Bonding Program'!$Z$24,0)-IF(AND('Bonding Program'!$S$24=1,'Bonding Program'!$H$24&lt;='Bonding Program'!$C$8,CW$3=IF('Bonding Program'!$P$24&lt;&gt;"",'Bonding Program'!$P$24,'Bonding Program'!$C$8)),'Bonding Program'!$Z$24,0)+IF(AND('Bonding Program'!$P$24&lt;&gt;"",CW$3='Bonding Program'!$P$24,CW$3&lt;='Bonding Program'!$C$8),N('Bonding Program'!$O$24),0)</f>
        <v>0</v>
      </c>
      <c r="CX165" s="19" t="n">
        <f aca="false">IF(AND('Bonding Program'!$S$24=1,'Bonding Program'!$H$24&gt;'Bonding Program'!$C$8,CX$3='Bonding Program'!$H$24),'Bonding Program'!$T$24-'Bonding Program'!$U$24-'Bonding Program'!$Z$24,0)-IF(AND('Bonding Program'!$S$24=1,'Bonding Program'!$H$24&lt;='Bonding Program'!$C$8,CX$3=IF('Bonding Program'!$P$24&lt;&gt;"",'Bonding Program'!$P$24,'Bonding Program'!$C$8)),'Bonding Program'!$Z$24,0)+IF(AND('Bonding Program'!$P$24&lt;&gt;"",CX$3='Bonding Program'!$P$24,CX$3&lt;='Bonding Program'!$C$8),N('Bonding Program'!$O$24),0)</f>
        <v>0</v>
      </c>
      <c r="CY165" s="19" t="n">
        <f aca="false">IF(AND('Bonding Program'!$S$24=1,'Bonding Program'!$H$24&gt;'Bonding Program'!$C$8,CY$3='Bonding Program'!$H$24),'Bonding Program'!$T$24-'Bonding Program'!$U$24-'Bonding Program'!$Z$24,0)-IF(AND('Bonding Program'!$S$24=1,'Bonding Program'!$H$24&lt;='Bonding Program'!$C$8,CY$3=IF('Bonding Program'!$P$24&lt;&gt;"",'Bonding Program'!$P$24,'Bonding Program'!$C$8)),'Bonding Program'!$Z$24,0)+IF(AND('Bonding Program'!$P$24&lt;&gt;"",CY$3='Bonding Program'!$P$24,CY$3&lt;='Bonding Program'!$C$8),N('Bonding Program'!$O$24),0)</f>
        <v>0</v>
      </c>
      <c r="CZ165" s="19" t="n">
        <f aca="false">IF(AND('Bonding Program'!$S$24=1,'Bonding Program'!$H$24&gt;'Bonding Program'!$C$8,CZ$3='Bonding Program'!$H$24),'Bonding Program'!$T$24-'Bonding Program'!$U$24-'Bonding Program'!$Z$24,0)-IF(AND('Bonding Program'!$S$24=1,'Bonding Program'!$H$24&lt;='Bonding Program'!$C$8,CZ$3=IF('Bonding Program'!$P$24&lt;&gt;"",'Bonding Program'!$P$24,'Bonding Program'!$C$8)),'Bonding Program'!$Z$24,0)+IF(AND('Bonding Program'!$P$24&lt;&gt;"",CZ$3='Bonding Program'!$P$24,CZ$3&lt;='Bonding Program'!$C$8),N('Bonding Program'!$O$24),0)</f>
        <v>0</v>
      </c>
      <c r="DA165" s="19" t="n">
        <f aca="false">IF(AND('Bonding Program'!$S$24=1,'Bonding Program'!$H$24&gt;'Bonding Program'!$C$8,DA$3='Bonding Program'!$H$24),'Bonding Program'!$T$24-'Bonding Program'!$U$24-'Bonding Program'!$Z$24,0)-IF(AND('Bonding Program'!$S$24=1,'Bonding Program'!$H$24&lt;='Bonding Program'!$C$8,DA$3=IF('Bonding Program'!$P$24&lt;&gt;"",'Bonding Program'!$P$24,'Bonding Program'!$C$8)),'Bonding Program'!$Z$24,0)+IF(AND('Bonding Program'!$P$24&lt;&gt;"",DA$3='Bonding Program'!$P$24,DA$3&lt;='Bonding Program'!$C$8),N('Bonding Program'!$O$24),0)</f>
        <v>0</v>
      </c>
      <c r="DB165" s="19" t="n">
        <f aca="false">IF(AND('Bonding Program'!$S$24=1,'Bonding Program'!$H$24&gt;'Bonding Program'!$C$8,DB$3='Bonding Program'!$H$24),'Bonding Program'!$T$24-'Bonding Program'!$U$24-'Bonding Program'!$Z$24,0)-IF(AND('Bonding Program'!$S$24=1,'Bonding Program'!$H$24&lt;='Bonding Program'!$C$8,DB$3=IF('Bonding Program'!$P$24&lt;&gt;"",'Bonding Program'!$P$24,'Bonding Program'!$C$8)),'Bonding Program'!$Z$24,0)+IF(AND('Bonding Program'!$P$24&lt;&gt;"",DB$3='Bonding Program'!$P$24,DB$3&lt;='Bonding Program'!$C$8),N('Bonding Program'!$O$24),0)</f>
        <v>0</v>
      </c>
      <c r="DC165" s="19" t="n">
        <f aca="false">IF(AND('Bonding Program'!$S$24=1,'Bonding Program'!$H$24&gt;'Bonding Program'!$C$8,DC$3='Bonding Program'!$H$24),'Bonding Program'!$T$24-'Bonding Program'!$U$24-'Bonding Program'!$Z$24,0)-IF(AND('Bonding Program'!$S$24=1,'Bonding Program'!$H$24&lt;='Bonding Program'!$C$8,DC$3=IF('Bonding Program'!$P$24&lt;&gt;"",'Bonding Program'!$P$24,'Bonding Program'!$C$8)),'Bonding Program'!$Z$24,0)+IF(AND('Bonding Program'!$P$24&lt;&gt;"",DC$3='Bonding Program'!$P$24,DC$3&lt;='Bonding Program'!$C$8),N('Bonding Program'!$O$24),0)</f>
        <v>0</v>
      </c>
      <c r="DD165" s="19" t="n">
        <f aca="false">IF(AND('Bonding Program'!$S$24=1,'Bonding Program'!$H$24&gt;'Bonding Program'!$C$8,DD$3='Bonding Program'!$H$24),'Bonding Program'!$T$24-'Bonding Program'!$U$24-'Bonding Program'!$Z$24,0)-IF(AND('Bonding Program'!$S$24=1,'Bonding Program'!$H$24&lt;='Bonding Program'!$C$8,DD$3=IF('Bonding Program'!$P$24&lt;&gt;"",'Bonding Program'!$P$24,'Bonding Program'!$C$8)),'Bonding Program'!$Z$24,0)+IF(AND('Bonding Program'!$P$24&lt;&gt;"",DD$3='Bonding Program'!$P$24,DD$3&lt;='Bonding Program'!$C$8),N('Bonding Program'!$O$24),0)</f>
        <v>0</v>
      </c>
      <c r="DE165" s="19" t="n">
        <f aca="false">IF(AND('Bonding Program'!$S$24=1,'Bonding Program'!$H$24&gt;'Bonding Program'!$C$8,DE$3='Bonding Program'!$H$24),'Bonding Program'!$T$24-'Bonding Program'!$U$24-'Bonding Program'!$Z$24,0)-IF(AND('Bonding Program'!$S$24=1,'Bonding Program'!$H$24&lt;='Bonding Program'!$C$8,DE$3=IF('Bonding Program'!$P$24&lt;&gt;"",'Bonding Program'!$P$24,'Bonding Program'!$C$8)),'Bonding Program'!$Z$24,0)+IF(AND('Bonding Program'!$P$24&lt;&gt;"",DE$3='Bonding Program'!$P$24,DE$3&lt;='Bonding Program'!$C$8),N('Bonding Program'!$O$24),0)</f>
        <v>0</v>
      </c>
    </row>
    <row r="166" customFormat="false" ht="15" hidden="false" customHeight="true" outlineLevel="1" collapsed="false">
      <c r="A166" s="28" t="s">
        <v>21</v>
      </c>
      <c r="B166" s="19" t="n">
        <f aca="false">IF(AND('Bonding Program'!$S$25=1,'Bonding Program'!$H$25&gt;'Bonding Program'!$C$8,B$3='Bonding Program'!$H$25),'Bonding Program'!$T$25-'Bonding Program'!$U$25-'Bonding Program'!$Z$25,0)-IF(AND('Bonding Program'!$S$25=1,'Bonding Program'!$H$25&lt;='Bonding Program'!$C$8,B$3=IF('Bonding Program'!$P$25&lt;&gt;"",'Bonding Program'!$P$25,'Bonding Program'!$C$8)),'Bonding Program'!$Z$25,0)+IF(AND('Bonding Program'!$P$25&lt;&gt;"",B$3='Bonding Program'!$P$25,B$3&lt;='Bonding Program'!$C$8),N('Bonding Program'!$O$25),0)</f>
        <v>0</v>
      </c>
      <c r="C166" s="19" t="n">
        <f aca="false">IF(AND('Bonding Program'!$S$25=1,'Bonding Program'!$H$25&gt;'Bonding Program'!$C$8,C$3='Bonding Program'!$H$25),'Bonding Program'!$T$25-'Bonding Program'!$U$25-'Bonding Program'!$Z$25,0)-IF(AND('Bonding Program'!$S$25=1,'Bonding Program'!$H$25&lt;='Bonding Program'!$C$8,C$3=IF('Bonding Program'!$P$25&lt;&gt;"",'Bonding Program'!$P$25,'Bonding Program'!$C$8)),'Bonding Program'!$Z$25,0)+IF(AND('Bonding Program'!$P$25&lt;&gt;"",C$3='Bonding Program'!$P$25,C$3&lt;='Bonding Program'!$C$8),N('Bonding Program'!$O$25),0)</f>
        <v>0</v>
      </c>
      <c r="D166" s="19" t="n">
        <f aca="false">IF(AND('Bonding Program'!$S$25=1,'Bonding Program'!$H$25&gt;'Bonding Program'!$C$8,D$3='Bonding Program'!$H$25),'Bonding Program'!$T$25-'Bonding Program'!$U$25-'Bonding Program'!$Z$25,0)-IF(AND('Bonding Program'!$S$25=1,'Bonding Program'!$H$25&lt;='Bonding Program'!$C$8,D$3=IF('Bonding Program'!$P$25&lt;&gt;"",'Bonding Program'!$P$25,'Bonding Program'!$C$8)),'Bonding Program'!$Z$25,0)+IF(AND('Bonding Program'!$P$25&lt;&gt;"",D$3='Bonding Program'!$P$25,D$3&lt;='Bonding Program'!$C$8),N('Bonding Program'!$O$25),0)</f>
        <v>0</v>
      </c>
      <c r="E166" s="19" t="n">
        <f aca="false">IF(AND('Bonding Program'!$S$25=1,'Bonding Program'!$H$25&gt;'Bonding Program'!$C$8,E$3='Bonding Program'!$H$25),'Bonding Program'!$T$25-'Bonding Program'!$U$25-'Bonding Program'!$Z$25,0)-IF(AND('Bonding Program'!$S$25=1,'Bonding Program'!$H$25&lt;='Bonding Program'!$C$8,E$3=IF('Bonding Program'!$P$25&lt;&gt;"",'Bonding Program'!$P$25,'Bonding Program'!$C$8)),'Bonding Program'!$Z$25,0)+IF(AND('Bonding Program'!$P$25&lt;&gt;"",E$3='Bonding Program'!$P$25,E$3&lt;='Bonding Program'!$C$8),N('Bonding Program'!$O$25),0)</f>
        <v>0</v>
      </c>
      <c r="F166" s="19" t="n">
        <f aca="false">IF(AND('Bonding Program'!$S$25=1,'Bonding Program'!$H$25&gt;'Bonding Program'!$C$8,F$3='Bonding Program'!$H$25),'Bonding Program'!$T$25-'Bonding Program'!$U$25-'Bonding Program'!$Z$25,0)-IF(AND('Bonding Program'!$S$25=1,'Bonding Program'!$H$25&lt;='Bonding Program'!$C$8,F$3=IF('Bonding Program'!$P$25&lt;&gt;"",'Bonding Program'!$P$25,'Bonding Program'!$C$8)),'Bonding Program'!$Z$25,0)+IF(AND('Bonding Program'!$P$25&lt;&gt;"",F$3='Bonding Program'!$P$25,F$3&lt;='Bonding Program'!$C$8),N('Bonding Program'!$O$25),0)</f>
        <v>0</v>
      </c>
      <c r="G166" s="19" t="n">
        <f aca="false">IF(AND('Bonding Program'!$S$25=1,'Bonding Program'!$H$25&gt;'Bonding Program'!$C$8,G$3='Bonding Program'!$H$25),'Bonding Program'!$T$25-'Bonding Program'!$U$25-'Bonding Program'!$Z$25,0)-IF(AND('Bonding Program'!$S$25=1,'Bonding Program'!$H$25&lt;='Bonding Program'!$C$8,G$3=IF('Bonding Program'!$P$25&lt;&gt;"",'Bonding Program'!$P$25,'Bonding Program'!$C$8)),'Bonding Program'!$Z$25,0)+IF(AND('Bonding Program'!$P$25&lt;&gt;"",G$3='Bonding Program'!$P$25,G$3&lt;='Bonding Program'!$C$8),N('Bonding Program'!$O$25),0)</f>
        <v>0</v>
      </c>
      <c r="H166" s="19" t="n">
        <f aca="false">IF(AND('Bonding Program'!$S$25=1,'Bonding Program'!$H$25&gt;'Bonding Program'!$C$8,H$3='Bonding Program'!$H$25),'Bonding Program'!$T$25-'Bonding Program'!$U$25-'Bonding Program'!$Z$25,0)-IF(AND('Bonding Program'!$S$25=1,'Bonding Program'!$H$25&lt;='Bonding Program'!$C$8,H$3=IF('Bonding Program'!$P$25&lt;&gt;"",'Bonding Program'!$P$25,'Bonding Program'!$C$8)),'Bonding Program'!$Z$25,0)+IF(AND('Bonding Program'!$P$25&lt;&gt;"",H$3='Bonding Program'!$P$25,H$3&lt;='Bonding Program'!$C$8),N('Bonding Program'!$O$25),0)</f>
        <v>0</v>
      </c>
      <c r="I166" s="19" t="n">
        <f aca="false">IF(AND('Bonding Program'!$S$25=1,'Bonding Program'!$H$25&gt;'Bonding Program'!$C$8,I$3='Bonding Program'!$H$25),'Bonding Program'!$T$25-'Bonding Program'!$U$25-'Bonding Program'!$Z$25,0)-IF(AND('Bonding Program'!$S$25=1,'Bonding Program'!$H$25&lt;='Bonding Program'!$C$8,I$3=IF('Bonding Program'!$P$25&lt;&gt;"",'Bonding Program'!$P$25,'Bonding Program'!$C$8)),'Bonding Program'!$Z$25,0)+IF(AND('Bonding Program'!$P$25&lt;&gt;"",I$3='Bonding Program'!$P$25,I$3&lt;='Bonding Program'!$C$8),N('Bonding Program'!$O$25),0)</f>
        <v>0</v>
      </c>
      <c r="J166" s="19" t="n">
        <f aca="false">IF(AND('Bonding Program'!$S$25=1,'Bonding Program'!$H$25&gt;'Bonding Program'!$C$8,J$3='Bonding Program'!$H$25),'Bonding Program'!$T$25-'Bonding Program'!$U$25-'Bonding Program'!$Z$25,0)-IF(AND('Bonding Program'!$S$25=1,'Bonding Program'!$H$25&lt;='Bonding Program'!$C$8,J$3=IF('Bonding Program'!$P$25&lt;&gt;"",'Bonding Program'!$P$25,'Bonding Program'!$C$8)),'Bonding Program'!$Z$25,0)+IF(AND('Bonding Program'!$P$25&lt;&gt;"",J$3='Bonding Program'!$P$25,J$3&lt;='Bonding Program'!$C$8),N('Bonding Program'!$O$25),0)</f>
        <v>0</v>
      </c>
      <c r="K166" s="19" t="n">
        <f aca="false">IF(AND('Bonding Program'!$S$25=1,'Bonding Program'!$H$25&gt;'Bonding Program'!$C$8,K$3='Bonding Program'!$H$25),'Bonding Program'!$T$25-'Bonding Program'!$U$25-'Bonding Program'!$Z$25,0)-IF(AND('Bonding Program'!$S$25=1,'Bonding Program'!$H$25&lt;='Bonding Program'!$C$8,K$3=IF('Bonding Program'!$P$25&lt;&gt;"",'Bonding Program'!$P$25,'Bonding Program'!$C$8)),'Bonding Program'!$Z$25,0)+IF(AND('Bonding Program'!$P$25&lt;&gt;"",K$3='Bonding Program'!$P$25,K$3&lt;='Bonding Program'!$C$8),N('Bonding Program'!$O$25),0)</f>
        <v>0</v>
      </c>
      <c r="L166" s="19" t="n">
        <f aca="false">IF(AND('Bonding Program'!$S$25=1,'Bonding Program'!$H$25&gt;'Bonding Program'!$C$8,L$3='Bonding Program'!$H$25),'Bonding Program'!$T$25-'Bonding Program'!$U$25-'Bonding Program'!$Z$25,0)-IF(AND('Bonding Program'!$S$25=1,'Bonding Program'!$H$25&lt;='Bonding Program'!$C$8,L$3=IF('Bonding Program'!$P$25&lt;&gt;"",'Bonding Program'!$P$25,'Bonding Program'!$C$8)),'Bonding Program'!$Z$25,0)+IF(AND('Bonding Program'!$P$25&lt;&gt;"",L$3='Bonding Program'!$P$25,L$3&lt;='Bonding Program'!$C$8),N('Bonding Program'!$O$25),0)</f>
        <v>0</v>
      </c>
      <c r="M166" s="19" t="n">
        <f aca="false">IF(AND('Bonding Program'!$S$25=1,'Bonding Program'!$H$25&gt;'Bonding Program'!$C$8,M$3='Bonding Program'!$H$25),'Bonding Program'!$T$25-'Bonding Program'!$U$25-'Bonding Program'!$Z$25,0)-IF(AND('Bonding Program'!$S$25=1,'Bonding Program'!$H$25&lt;='Bonding Program'!$C$8,M$3=IF('Bonding Program'!$P$25&lt;&gt;"",'Bonding Program'!$P$25,'Bonding Program'!$C$8)),'Bonding Program'!$Z$25,0)+IF(AND('Bonding Program'!$P$25&lt;&gt;"",M$3='Bonding Program'!$P$25,M$3&lt;='Bonding Program'!$C$8),N('Bonding Program'!$O$25),0)</f>
        <v>0</v>
      </c>
      <c r="N166" s="19" t="n">
        <f aca="false">IF(AND('Bonding Program'!$S$25=1,'Bonding Program'!$H$25&gt;'Bonding Program'!$C$8,N$3='Bonding Program'!$H$25),'Bonding Program'!$T$25-'Bonding Program'!$U$25-'Bonding Program'!$Z$25,0)-IF(AND('Bonding Program'!$S$25=1,'Bonding Program'!$H$25&lt;='Bonding Program'!$C$8,N$3=IF('Bonding Program'!$P$25&lt;&gt;"",'Bonding Program'!$P$25,'Bonding Program'!$C$8)),'Bonding Program'!$Z$25,0)+IF(AND('Bonding Program'!$P$25&lt;&gt;"",N$3='Bonding Program'!$P$25,N$3&lt;='Bonding Program'!$C$8),N('Bonding Program'!$O$25),0)</f>
        <v>0</v>
      </c>
      <c r="O166" s="19" t="n">
        <f aca="false">IF(AND('Bonding Program'!$S$25=1,'Bonding Program'!$H$25&gt;'Bonding Program'!$C$8,O$3='Bonding Program'!$H$25),'Bonding Program'!$T$25-'Bonding Program'!$U$25-'Bonding Program'!$Z$25,0)-IF(AND('Bonding Program'!$S$25=1,'Bonding Program'!$H$25&lt;='Bonding Program'!$C$8,O$3=IF('Bonding Program'!$P$25&lt;&gt;"",'Bonding Program'!$P$25,'Bonding Program'!$C$8)),'Bonding Program'!$Z$25,0)+IF(AND('Bonding Program'!$P$25&lt;&gt;"",O$3='Bonding Program'!$P$25,O$3&lt;='Bonding Program'!$C$8),N('Bonding Program'!$O$25),0)</f>
        <v>0</v>
      </c>
      <c r="P166" s="19" t="n">
        <f aca="false">IF(AND('Bonding Program'!$S$25=1,'Bonding Program'!$H$25&gt;'Bonding Program'!$C$8,P$3='Bonding Program'!$H$25),'Bonding Program'!$T$25-'Bonding Program'!$U$25-'Bonding Program'!$Z$25,0)-IF(AND('Bonding Program'!$S$25=1,'Bonding Program'!$H$25&lt;='Bonding Program'!$C$8,P$3=IF('Bonding Program'!$P$25&lt;&gt;"",'Bonding Program'!$P$25,'Bonding Program'!$C$8)),'Bonding Program'!$Z$25,0)+IF(AND('Bonding Program'!$P$25&lt;&gt;"",P$3='Bonding Program'!$P$25,P$3&lt;='Bonding Program'!$C$8),N('Bonding Program'!$O$25),0)</f>
        <v>0</v>
      </c>
      <c r="Q166" s="19" t="n">
        <f aca="false">IF(AND('Bonding Program'!$S$25=1,'Bonding Program'!$H$25&gt;'Bonding Program'!$C$8,Q$3='Bonding Program'!$H$25),'Bonding Program'!$T$25-'Bonding Program'!$U$25-'Bonding Program'!$Z$25,0)-IF(AND('Bonding Program'!$S$25=1,'Bonding Program'!$H$25&lt;='Bonding Program'!$C$8,Q$3=IF('Bonding Program'!$P$25&lt;&gt;"",'Bonding Program'!$P$25,'Bonding Program'!$C$8)),'Bonding Program'!$Z$25,0)+IF(AND('Bonding Program'!$P$25&lt;&gt;"",Q$3='Bonding Program'!$P$25,Q$3&lt;='Bonding Program'!$C$8),N('Bonding Program'!$O$25),0)</f>
        <v>0</v>
      </c>
      <c r="R166" s="19" t="n">
        <f aca="false">IF(AND('Bonding Program'!$S$25=1,'Bonding Program'!$H$25&gt;'Bonding Program'!$C$8,R$3='Bonding Program'!$H$25),'Bonding Program'!$T$25-'Bonding Program'!$U$25-'Bonding Program'!$Z$25,0)-IF(AND('Bonding Program'!$S$25=1,'Bonding Program'!$H$25&lt;='Bonding Program'!$C$8,R$3=IF('Bonding Program'!$P$25&lt;&gt;"",'Bonding Program'!$P$25,'Bonding Program'!$C$8)),'Bonding Program'!$Z$25,0)+IF(AND('Bonding Program'!$P$25&lt;&gt;"",R$3='Bonding Program'!$P$25,R$3&lt;='Bonding Program'!$C$8),N('Bonding Program'!$O$25),0)</f>
        <v>-204464.975800493</v>
      </c>
      <c r="S166" s="19" t="n">
        <f aca="false">IF(AND('Bonding Program'!$S$25=1,'Bonding Program'!$H$25&gt;'Bonding Program'!$C$8,S$3='Bonding Program'!$H$25),'Bonding Program'!$T$25-'Bonding Program'!$U$25-'Bonding Program'!$Z$25,0)-IF(AND('Bonding Program'!$S$25=1,'Bonding Program'!$H$25&lt;='Bonding Program'!$C$8,S$3=IF('Bonding Program'!$P$25&lt;&gt;"",'Bonding Program'!$P$25,'Bonding Program'!$C$8)),'Bonding Program'!$Z$25,0)+IF(AND('Bonding Program'!$P$25&lt;&gt;"",S$3='Bonding Program'!$P$25,S$3&lt;='Bonding Program'!$C$8),N('Bonding Program'!$O$25),0)</f>
        <v>0</v>
      </c>
      <c r="T166" s="19" t="n">
        <f aca="false">IF(AND('Bonding Program'!$S$25=1,'Bonding Program'!$H$25&gt;'Bonding Program'!$C$8,T$3='Bonding Program'!$H$25),'Bonding Program'!$T$25-'Bonding Program'!$U$25-'Bonding Program'!$Z$25,0)-IF(AND('Bonding Program'!$S$25=1,'Bonding Program'!$H$25&lt;='Bonding Program'!$C$8,T$3=IF('Bonding Program'!$P$25&lt;&gt;"",'Bonding Program'!$P$25,'Bonding Program'!$C$8)),'Bonding Program'!$Z$25,0)+IF(AND('Bonding Program'!$P$25&lt;&gt;"",T$3='Bonding Program'!$P$25,T$3&lt;='Bonding Program'!$C$8),N('Bonding Program'!$O$25),0)</f>
        <v>0</v>
      </c>
      <c r="U166" s="19" t="n">
        <f aca="false">IF(AND('Bonding Program'!$S$25=1,'Bonding Program'!$H$25&gt;'Bonding Program'!$C$8,U$3='Bonding Program'!$H$25),'Bonding Program'!$T$25-'Bonding Program'!$U$25-'Bonding Program'!$Z$25,0)-IF(AND('Bonding Program'!$S$25=1,'Bonding Program'!$H$25&lt;='Bonding Program'!$C$8,U$3=IF('Bonding Program'!$P$25&lt;&gt;"",'Bonding Program'!$P$25,'Bonding Program'!$C$8)),'Bonding Program'!$Z$25,0)+IF(AND('Bonding Program'!$P$25&lt;&gt;"",U$3='Bonding Program'!$P$25,U$3&lt;='Bonding Program'!$C$8),N('Bonding Program'!$O$25),0)</f>
        <v>0</v>
      </c>
      <c r="V166" s="19" t="n">
        <f aca="false">IF(AND('Bonding Program'!$S$25=1,'Bonding Program'!$H$25&gt;'Bonding Program'!$C$8,V$3='Bonding Program'!$H$25),'Bonding Program'!$T$25-'Bonding Program'!$U$25-'Bonding Program'!$Z$25,0)-IF(AND('Bonding Program'!$S$25=1,'Bonding Program'!$H$25&lt;='Bonding Program'!$C$8,V$3=IF('Bonding Program'!$P$25&lt;&gt;"",'Bonding Program'!$P$25,'Bonding Program'!$C$8)),'Bonding Program'!$Z$25,0)+IF(AND('Bonding Program'!$P$25&lt;&gt;"",V$3='Bonding Program'!$P$25,V$3&lt;='Bonding Program'!$C$8),N('Bonding Program'!$O$25),0)</f>
        <v>0</v>
      </c>
      <c r="W166" s="19" t="n">
        <f aca="false">IF(AND('Bonding Program'!$S$25=1,'Bonding Program'!$H$25&gt;'Bonding Program'!$C$8,W$3='Bonding Program'!$H$25),'Bonding Program'!$T$25-'Bonding Program'!$U$25-'Bonding Program'!$Z$25,0)-IF(AND('Bonding Program'!$S$25=1,'Bonding Program'!$H$25&lt;='Bonding Program'!$C$8,W$3=IF('Bonding Program'!$P$25&lt;&gt;"",'Bonding Program'!$P$25,'Bonding Program'!$C$8)),'Bonding Program'!$Z$25,0)+IF(AND('Bonding Program'!$P$25&lt;&gt;"",W$3='Bonding Program'!$P$25,W$3&lt;='Bonding Program'!$C$8),N('Bonding Program'!$O$25),0)</f>
        <v>0</v>
      </c>
      <c r="X166" s="19" t="n">
        <f aca="false">IF(AND('Bonding Program'!$S$25=1,'Bonding Program'!$H$25&gt;'Bonding Program'!$C$8,X$3='Bonding Program'!$H$25),'Bonding Program'!$T$25-'Bonding Program'!$U$25-'Bonding Program'!$Z$25,0)-IF(AND('Bonding Program'!$S$25=1,'Bonding Program'!$H$25&lt;='Bonding Program'!$C$8,X$3=IF('Bonding Program'!$P$25&lt;&gt;"",'Bonding Program'!$P$25,'Bonding Program'!$C$8)),'Bonding Program'!$Z$25,0)+IF(AND('Bonding Program'!$P$25&lt;&gt;"",X$3='Bonding Program'!$P$25,X$3&lt;='Bonding Program'!$C$8),N('Bonding Program'!$O$25),0)</f>
        <v>0</v>
      </c>
      <c r="Y166" s="19" t="n">
        <f aca="false">IF(AND('Bonding Program'!$S$25=1,'Bonding Program'!$H$25&gt;'Bonding Program'!$C$8,Y$3='Bonding Program'!$H$25),'Bonding Program'!$T$25-'Bonding Program'!$U$25-'Bonding Program'!$Z$25,0)-IF(AND('Bonding Program'!$S$25=1,'Bonding Program'!$H$25&lt;='Bonding Program'!$C$8,Y$3=IF('Bonding Program'!$P$25&lt;&gt;"",'Bonding Program'!$P$25,'Bonding Program'!$C$8)),'Bonding Program'!$Z$25,0)+IF(AND('Bonding Program'!$P$25&lt;&gt;"",Y$3='Bonding Program'!$P$25,Y$3&lt;='Bonding Program'!$C$8),N('Bonding Program'!$O$25),0)</f>
        <v>0</v>
      </c>
      <c r="Z166" s="19" t="n">
        <f aca="false">IF(AND('Bonding Program'!$S$25=1,'Bonding Program'!$H$25&gt;'Bonding Program'!$C$8,Z$3='Bonding Program'!$H$25),'Bonding Program'!$T$25-'Bonding Program'!$U$25-'Bonding Program'!$Z$25,0)-IF(AND('Bonding Program'!$S$25=1,'Bonding Program'!$H$25&lt;='Bonding Program'!$C$8,Z$3=IF('Bonding Program'!$P$25&lt;&gt;"",'Bonding Program'!$P$25,'Bonding Program'!$C$8)),'Bonding Program'!$Z$25,0)+IF(AND('Bonding Program'!$P$25&lt;&gt;"",Z$3='Bonding Program'!$P$25,Z$3&lt;='Bonding Program'!$C$8),N('Bonding Program'!$O$25),0)</f>
        <v>0</v>
      </c>
      <c r="AA166" s="19" t="n">
        <f aca="false">IF(AND('Bonding Program'!$S$25=1,'Bonding Program'!$H$25&gt;'Bonding Program'!$C$8,AA$3='Bonding Program'!$H$25),'Bonding Program'!$T$25-'Bonding Program'!$U$25-'Bonding Program'!$Z$25,0)-IF(AND('Bonding Program'!$S$25=1,'Bonding Program'!$H$25&lt;='Bonding Program'!$C$8,AA$3=IF('Bonding Program'!$P$25&lt;&gt;"",'Bonding Program'!$P$25,'Bonding Program'!$C$8)),'Bonding Program'!$Z$25,0)+IF(AND('Bonding Program'!$P$25&lt;&gt;"",AA$3='Bonding Program'!$P$25,AA$3&lt;='Bonding Program'!$C$8),N('Bonding Program'!$O$25),0)</f>
        <v>0</v>
      </c>
      <c r="AB166" s="19" t="n">
        <f aca="false">IF(AND('Bonding Program'!$S$25=1,'Bonding Program'!$H$25&gt;'Bonding Program'!$C$8,AB$3='Bonding Program'!$H$25),'Bonding Program'!$T$25-'Bonding Program'!$U$25-'Bonding Program'!$Z$25,0)-IF(AND('Bonding Program'!$S$25=1,'Bonding Program'!$H$25&lt;='Bonding Program'!$C$8,AB$3=IF('Bonding Program'!$P$25&lt;&gt;"",'Bonding Program'!$P$25,'Bonding Program'!$C$8)),'Bonding Program'!$Z$25,0)+IF(AND('Bonding Program'!$P$25&lt;&gt;"",AB$3='Bonding Program'!$P$25,AB$3&lt;='Bonding Program'!$C$8),N('Bonding Program'!$O$25),0)</f>
        <v>0</v>
      </c>
      <c r="AC166" s="19" t="n">
        <f aca="false">IF(AND('Bonding Program'!$S$25=1,'Bonding Program'!$H$25&gt;'Bonding Program'!$C$8,AC$3='Bonding Program'!$H$25),'Bonding Program'!$T$25-'Bonding Program'!$U$25-'Bonding Program'!$Z$25,0)-IF(AND('Bonding Program'!$S$25=1,'Bonding Program'!$H$25&lt;='Bonding Program'!$C$8,AC$3=IF('Bonding Program'!$P$25&lt;&gt;"",'Bonding Program'!$P$25,'Bonding Program'!$C$8)),'Bonding Program'!$Z$25,0)+IF(AND('Bonding Program'!$P$25&lt;&gt;"",AC$3='Bonding Program'!$P$25,AC$3&lt;='Bonding Program'!$C$8),N('Bonding Program'!$O$25),0)</f>
        <v>0</v>
      </c>
      <c r="AD166" s="19" t="n">
        <f aca="false">IF(AND('Bonding Program'!$S$25=1,'Bonding Program'!$H$25&gt;'Bonding Program'!$C$8,AD$3='Bonding Program'!$H$25),'Bonding Program'!$T$25-'Bonding Program'!$U$25-'Bonding Program'!$Z$25,0)-IF(AND('Bonding Program'!$S$25=1,'Bonding Program'!$H$25&lt;='Bonding Program'!$C$8,AD$3=IF('Bonding Program'!$P$25&lt;&gt;"",'Bonding Program'!$P$25,'Bonding Program'!$C$8)),'Bonding Program'!$Z$25,0)+IF(AND('Bonding Program'!$P$25&lt;&gt;"",AD$3='Bonding Program'!$P$25,AD$3&lt;='Bonding Program'!$C$8),N('Bonding Program'!$O$25),0)</f>
        <v>0</v>
      </c>
      <c r="AE166" s="19" t="n">
        <f aca="false">IF(AND('Bonding Program'!$S$25=1,'Bonding Program'!$H$25&gt;'Bonding Program'!$C$8,AE$3='Bonding Program'!$H$25),'Bonding Program'!$T$25-'Bonding Program'!$U$25-'Bonding Program'!$Z$25,0)-IF(AND('Bonding Program'!$S$25=1,'Bonding Program'!$H$25&lt;='Bonding Program'!$C$8,AE$3=IF('Bonding Program'!$P$25&lt;&gt;"",'Bonding Program'!$P$25,'Bonding Program'!$C$8)),'Bonding Program'!$Z$25,0)+IF(AND('Bonding Program'!$P$25&lt;&gt;"",AE$3='Bonding Program'!$P$25,AE$3&lt;='Bonding Program'!$C$8),N('Bonding Program'!$O$25),0)</f>
        <v>0</v>
      </c>
      <c r="AF166" s="19" t="n">
        <f aca="false">IF(AND('Bonding Program'!$S$25=1,'Bonding Program'!$H$25&gt;'Bonding Program'!$C$8,AF$3='Bonding Program'!$H$25),'Bonding Program'!$T$25-'Bonding Program'!$U$25-'Bonding Program'!$Z$25,0)-IF(AND('Bonding Program'!$S$25=1,'Bonding Program'!$H$25&lt;='Bonding Program'!$C$8,AF$3=IF('Bonding Program'!$P$25&lt;&gt;"",'Bonding Program'!$P$25,'Bonding Program'!$C$8)),'Bonding Program'!$Z$25,0)+IF(AND('Bonding Program'!$P$25&lt;&gt;"",AF$3='Bonding Program'!$P$25,AF$3&lt;='Bonding Program'!$C$8),N('Bonding Program'!$O$25),0)</f>
        <v>0</v>
      </c>
      <c r="AG166" s="19" t="n">
        <f aca="false">IF(AND('Bonding Program'!$S$25=1,'Bonding Program'!$H$25&gt;'Bonding Program'!$C$8,AG$3='Bonding Program'!$H$25),'Bonding Program'!$T$25-'Bonding Program'!$U$25-'Bonding Program'!$Z$25,0)-IF(AND('Bonding Program'!$S$25=1,'Bonding Program'!$H$25&lt;='Bonding Program'!$C$8,AG$3=IF('Bonding Program'!$P$25&lt;&gt;"",'Bonding Program'!$P$25,'Bonding Program'!$C$8)),'Bonding Program'!$Z$25,0)+IF(AND('Bonding Program'!$P$25&lt;&gt;"",AG$3='Bonding Program'!$P$25,AG$3&lt;='Bonding Program'!$C$8),N('Bonding Program'!$O$25),0)</f>
        <v>0</v>
      </c>
      <c r="AH166" s="19" t="n">
        <f aca="false">IF(AND('Bonding Program'!$S$25=1,'Bonding Program'!$H$25&gt;'Bonding Program'!$C$8,AH$3='Bonding Program'!$H$25),'Bonding Program'!$T$25-'Bonding Program'!$U$25-'Bonding Program'!$Z$25,0)-IF(AND('Bonding Program'!$S$25=1,'Bonding Program'!$H$25&lt;='Bonding Program'!$C$8,AH$3=IF('Bonding Program'!$P$25&lt;&gt;"",'Bonding Program'!$P$25,'Bonding Program'!$C$8)),'Bonding Program'!$Z$25,0)+IF(AND('Bonding Program'!$P$25&lt;&gt;"",AH$3='Bonding Program'!$P$25,AH$3&lt;='Bonding Program'!$C$8),N('Bonding Program'!$O$25),0)</f>
        <v>0</v>
      </c>
      <c r="AI166" s="19" t="n">
        <f aca="false">IF(AND('Bonding Program'!$S$25=1,'Bonding Program'!$H$25&gt;'Bonding Program'!$C$8,AI$3='Bonding Program'!$H$25),'Bonding Program'!$T$25-'Bonding Program'!$U$25-'Bonding Program'!$Z$25,0)-IF(AND('Bonding Program'!$S$25=1,'Bonding Program'!$H$25&lt;='Bonding Program'!$C$8,AI$3=IF('Bonding Program'!$P$25&lt;&gt;"",'Bonding Program'!$P$25,'Bonding Program'!$C$8)),'Bonding Program'!$Z$25,0)+IF(AND('Bonding Program'!$P$25&lt;&gt;"",AI$3='Bonding Program'!$P$25,AI$3&lt;='Bonding Program'!$C$8),N('Bonding Program'!$O$25),0)</f>
        <v>0</v>
      </c>
      <c r="AJ166" s="19" t="n">
        <f aca="false">IF(AND('Bonding Program'!$S$25=1,'Bonding Program'!$H$25&gt;'Bonding Program'!$C$8,AJ$3='Bonding Program'!$H$25),'Bonding Program'!$T$25-'Bonding Program'!$U$25-'Bonding Program'!$Z$25,0)-IF(AND('Bonding Program'!$S$25=1,'Bonding Program'!$H$25&lt;='Bonding Program'!$C$8,AJ$3=IF('Bonding Program'!$P$25&lt;&gt;"",'Bonding Program'!$P$25,'Bonding Program'!$C$8)),'Bonding Program'!$Z$25,0)+IF(AND('Bonding Program'!$P$25&lt;&gt;"",AJ$3='Bonding Program'!$P$25,AJ$3&lt;='Bonding Program'!$C$8),N('Bonding Program'!$O$25),0)</f>
        <v>0</v>
      </c>
      <c r="AK166" s="19" t="n">
        <f aca="false">IF(AND('Bonding Program'!$S$25=1,'Bonding Program'!$H$25&gt;'Bonding Program'!$C$8,AK$3='Bonding Program'!$H$25),'Bonding Program'!$T$25-'Bonding Program'!$U$25-'Bonding Program'!$Z$25,0)-IF(AND('Bonding Program'!$S$25=1,'Bonding Program'!$H$25&lt;='Bonding Program'!$C$8,AK$3=IF('Bonding Program'!$P$25&lt;&gt;"",'Bonding Program'!$P$25,'Bonding Program'!$C$8)),'Bonding Program'!$Z$25,0)+IF(AND('Bonding Program'!$P$25&lt;&gt;"",AK$3='Bonding Program'!$P$25,AK$3&lt;='Bonding Program'!$C$8),N('Bonding Program'!$O$25),0)</f>
        <v>0</v>
      </c>
      <c r="AL166" s="19" t="n">
        <f aca="false">IF(AND('Bonding Program'!$S$25=1,'Bonding Program'!$H$25&gt;'Bonding Program'!$C$8,AL$3='Bonding Program'!$H$25),'Bonding Program'!$T$25-'Bonding Program'!$U$25-'Bonding Program'!$Z$25,0)-IF(AND('Bonding Program'!$S$25=1,'Bonding Program'!$H$25&lt;='Bonding Program'!$C$8,AL$3=IF('Bonding Program'!$P$25&lt;&gt;"",'Bonding Program'!$P$25,'Bonding Program'!$C$8)),'Bonding Program'!$Z$25,0)+IF(AND('Bonding Program'!$P$25&lt;&gt;"",AL$3='Bonding Program'!$P$25,AL$3&lt;='Bonding Program'!$C$8),N('Bonding Program'!$O$25),0)</f>
        <v>0</v>
      </c>
      <c r="AM166" s="19" t="n">
        <f aca="false">IF(AND('Bonding Program'!$S$25=1,'Bonding Program'!$H$25&gt;'Bonding Program'!$C$8,AM$3='Bonding Program'!$H$25),'Bonding Program'!$T$25-'Bonding Program'!$U$25-'Bonding Program'!$Z$25,0)-IF(AND('Bonding Program'!$S$25=1,'Bonding Program'!$H$25&lt;='Bonding Program'!$C$8,AM$3=IF('Bonding Program'!$P$25&lt;&gt;"",'Bonding Program'!$P$25,'Bonding Program'!$C$8)),'Bonding Program'!$Z$25,0)+IF(AND('Bonding Program'!$P$25&lt;&gt;"",AM$3='Bonding Program'!$P$25,AM$3&lt;='Bonding Program'!$C$8),N('Bonding Program'!$O$25),0)</f>
        <v>0</v>
      </c>
      <c r="AN166" s="19" t="n">
        <f aca="false">IF(AND('Bonding Program'!$S$25=1,'Bonding Program'!$H$25&gt;'Bonding Program'!$C$8,AN$3='Bonding Program'!$H$25),'Bonding Program'!$T$25-'Bonding Program'!$U$25-'Bonding Program'!$Z$25,0)-IF(AND('Bonding Program'!$S$25=1,'Bonding Program'!$H$25&lt;='Bonding Program'!$C$8,AN$3=IF('Bonding Program'!$P$25&lt;&gt;"",'Bonding Program'!$P$25,'Bonding Program'!$C$8)),'Bonding Program'!$Z$25,0)+IF(AND('Bonding Program'!$P$25&lt;&gt;"",AN$3='Bonding Program'!$P$25,AN$3&lt;='Bonding Program'!$C$8),N('Bonding Program'!$O$25),0)</f>
        <v>0</v>
      </c>
      <c r="AO166" s="19" t="n">
        <f aca="false">IF(AND('Bonding Program'!$S$25=1,'Bonding Program'!$H$25&gt;'Bonding Program'!$C$8,AO$3='Bonding Program'!$H$25),'Bonding Program'!$T$25-'Bonding Program'!$U$25-'Bonding Program'!$Z$25,0)-IF(AND('Bonding Program'!$S$25=1,'Bonding Program'!$H$25&lt;='Bonding Program'!$C$8,AO$3=IF('Bonding Program'!$P$25&lt;&gt;"",'Bonding Program'!$P$25,'Bonding Program'!$C$8)),'Bonding Program'!$Z$25,0)+IF(AND('Bonding Program'!$P$25&lt;&gt;"",AO$3='Bonding Program'!$P$25,AO$3&lt;='Bonding Program'!$C$8),N('Bonding Program'!$O$25),0)</f>
        <v>0</v>
      </c>
      <c r="AP166" s="19" t="n">
        <f aca="false">IF(AND('Bonding Program'!$S$25=1,'Bonding Program'!$H$25&gt;'Bonding Program'!$C$8,AP$3='Bonding Program'!$H$25),'Bonding Program'!$T$25-'Bonding Program'!$U$25-'Bonding Program'!$Z$25,0)-IF(AND('Bonding Program'!$S$25=1,'Bonding Program'!$H$25&lt;='Bonding Program'!$C$8,AP$3=IF('Bonding Program'!$P$25&lt;&gt;"",'Bonding Program'!$P$25,'Bonding Program'!$C$8)),'Bonding Program'!$Z$25,0)+IF(AND('Bonding Program'!$P$25&lt;&gt;"",AP$3='Bonding Program'!$P$25,AP$3&lt;='Bonding Program'!$C$8),N('Bonding Program'!$O$25),0)</f>
        <v>0</v>
      </c>
      <c r="AQ166" s="19" t="n">
        <f aca="false">IF(AND('Bonding Program'!$S$25=1,'Bonding Program'!$H$25&gt;'Bonding Program'!$C$8,AQ$3='Bonding Program'!$H$25),'Bonding Program'!$T$25-'Bonding Program'!$U$25-'Bonding Program'!$Z$25,0)-IF(AND('Bonding Program'!$S$25=1,'Bonding Program'!$H$25&lt;='Bonding Program'!$C$8,AQ$3=IF('Bonding Program'!$P$25&lt;&gt;"",'Bonding Program'!$P$25,'Bonding Program'!$C$8)),'Bonding Program'!$Z$25,0)+IF(AND('Bonding Program'!$P$25&lt;&gt;"",AQ$3='Bonding Program'!$P$25,AQ$3&lt;='Bonding Program'!$C$8),N('Bonding Program'!$O$25),0)</f>
        <v>0</v>
      </c>
      <c r="AR166" s="19" t="n">
        <f aca="false">IF(AND('Bonding Program'!$S$25=1,'Bonding Program'!$H$25&gt;'Bonding Program'!$C$8,AR$3='Bonding Program'!$H$25),'Bonding Program'!$T$25-'Bonding Program'!$U$25-'Bonding Program'!$Z$25,0)-IF(AND('Bonding Program'!$S$25=1,'Bonding Program'!$H$25&lt;='Bonding Program'!$C$8,AR$3=IF('Bonding Program'!$P$25&lt;&gt;"",'Bonding Program'!$P$25,'Bonding Program'!$C$8)),'Bonding Program'!$Z$25,0)+IF(AND('Bonding Program'!$P$25&lt;&gt;"",AR$3='Bonding Program'!$P$25,AR$3&lt;='Bonding Program'!$C$8),N('Bonding Program'!$O$25),0)</f>
        <v>0</v>
      </c>
      <c r="AS166" s="19" t="n">
        <f aca="false">IF(AND('Bonding Program'!$S$25=1,'Bonding Program'!$H$25&gt;'Bonding Program'!$C$8,AS$3='Bonding Program'!$H$25),'Bonding Program'!$T$25-'Bonding Program'!$U$25-'Bonding Program'!$Z$25,0)-IF(AND('Bonding Program'!$S$25=1,'Bonding Program'!$H$25&lt;='Bonding Program'!$C$8,AS$3=IF('Bonding Program'!$P$25&lt;&gt;"",'Bonding Program'!$P$25,'Bonding Program'!$C$8)),'Bonding Program'!$Z$25,0)+IF(AND('Bonding Program'!$P$25&lt;&gt;"",AS$3='Bonding Program'!$P$25,AS$3&lt;='Bonding Program'!$C$8),N('Bonding Program'!$O$25),0)</f>
        <v>0</v>
      </c>
      <c r="AT166" s="19" t="n">
        <f aca="false">IF(AND('Bonding Program'!$S$25=1,'Bonding Program'!$H$25&gt;'Bonding Program'!$C$8,AT$3='Bonding Program'!$H$25),'Bonding Program'!$T$25-'Bonding Program'!$U$25-'Bonding Program'!$Z$25,0)-IF(AND('Bonding Program'!$S$25=1,'Bonding Program'!$H$25&lt;='Bonding Program'!$C$8,AT$3=IF('Bonding Program'!$P$25&lt;&gt;"",'Bonding Program'!$P$25,'Bonding Program'!$C$8)),'Bonding Program'!$Z$25,0)+IF(AND('Bonding Program'!$P$25&lt;&gt;"",AT$3='Bonding Program'!$P$25,AT$3&lt;='Bonding Program'!$C$8),N('Bonding Program'!$O$25),0)</f>
        <v>0</v>
      </c>
      <c r="AU166" s="19" t="n">
        <f aca="false">IF(AND('Bonding Program'!$S$25=1,'Bonding Program'!$H$25&gt;'Bonding Program'!$C$8,AU$3='Bonding Program'!$H$25),'Bonding Program'!$T$25-'Bonding Program'!$U$25-'Bonding Program'!$Z$25,0)-IF(AND('Bonding Program'!$S$25=1,'Bonding Program'!$H$25&lt;='Bonding Program'!$C$8,AU$3=IF('Bonding Program'!$P$25&lt;&gt;"",'Bonding Program'!$P$25,'Bonding Program'!$C$8)),'Bonding Program'!$Z$25,0)+IF(AND('Bonding Program'!$P$25&lt;&gt;"",AU$3='Bonding Program'!$P$25,AU$3&lt;='Bonding Program'!$C$8),N('Bonding Program'!$O$25),0)</f>
        <v>0</v>
      </c>
      <c r="AV166" s="19" t="n">
        <f aca="false">IF(AND('Bonding Program'!$S$25=1,'Bonding Program'!$H$25&gt;'Bonding Program'!$C$8,AV$3='Bonding Program'!$H$25),'Bonding Program'!$T$25-'Bonding Program'!$U$25-'Bonding Program'!$Z$25,0)-IF(AND('Bonding Program'!$S$25=1,'Bonding Program'!$H$25&lt;='Bonding Program'!$C$8,AV$3=IF('Bonding Program'!$P$25&lt;&gt;"",'Bonding Program'!$P$25,'Bonding Program'!$C$8)),'Bonding Program'!$Z$25,0)+IF(AND('Bonding Program'!$P$25&lt;&gt;"",AV$3='Bonding Program'!$P$25,AV$3&lt;='Bonding Program'!$C$8),N('Bonding Program'!$O$25),0)</f>
        <v>0</v>
      </c>
      <c r="AW166" s="19" t="n">
        <f aca="false">IF(AND('Bonding Program'!$S$25=1,'Bonding Program'!$H$25&gt;'Bonding Program'!$C$8,AW$3='Bonding Program'!$H$25),'Bonding Program'!$T$25-'Bonding Program'!$U$25-'Bonding Program'!$Z$25,0)-IF(AND('Bonding Program'!$S$25=1,'Bonding Program'!$H$25&lt;='Bonding Program'!$C$8,AW$3=IF('Bonding Program'!$P$25&lt;&gt;"",'Bonding Program'!$P$25,'Bonding Program'!$C$8)),'Bonding Program'!$Z$25,0)+IF(AND('Bonding Program'!$P$25&lt;&gt;"",AW$3='Bonding Program'!$P$25,AW$3&lt;='Bonding Program'!$C$8),N('Bonding Program'!$O$25),0)</f>
        <v>0</v>
      </c>
      <c r="AX166" s="19" t="n">
        <f aca="false">IF(AND('Bonding Program'!$S$25=1,'Bonding Program'!$H$25&gt;'Bonding Program'!$C$8,AX$3='Bonding Program'!$H$25),'Bonding Program'!$T$25-'Bonding Program'!$U$25-'Bonding Program'!$Z$25,0)-IF(AND('Bonding Program'!$S$25=1,'Bonding Program'!$H$25&lt;='Bonding Program'!$C$8,AX$3=IF('Bonding Program'!$P$25&lt;&gt;"",'Bonding Program'!$P$25,'Bonding Program'!$C$8)),'Bonding Program'!$Z$25,0)+IF(AND('Bonding Program'!$P$25&lt;&gt;"",AX$3='Bonding Program'!$P$25,AX$3&lt;='Bonding Program'!$C$8),N('Bonding Program'!$O$25),0)</f>
        <v>0</v>
      </c>
      <c r="AY166" s="19" t="n">
        <f aca="false">IF(AND('Bonding Program'!$S$25=1,'Bonding Program'!$H$25&gt;'Bonding Program'!$C$8,AY$3='Bonding Program'!$H$25),'Bonding Program'!$T$25-'Bonding Program'!$U$25-'Bonding Program'!$Z$25,0)-IF(AND('Bonding Program'!$S$25=1,'Bonding Program'!$H$25&lt;='Bonding Program'!$C$8,AY$3=IF('Bonding Program'!$P$25&lt;&gt;"",'Bonding Program'!$P$25,'Bonding Program'!$C$8)),'Bonding Program'!$Z$25,0)+IF(AND('Bonding Program'!$P$25&lt;&gt;"",AY$3='Bonding Program'!$P$25,AY$3&lt;='Bonding Program'!$C$8),N('Bonding Program'!$O$25),0)</f>
        <v>0</v>
      </c>
      <c r="AZ166" s="19" t="n">
        <f aca="false">IF(AND('Bonding Program'!$S$25=1,'Bonding Program'!$H$25&gt;'Bonding Program'!$C$8,AZ$3='Bonding Program'!$H$25),'Bonding Program'!$T$25-'Bonding Program'!$U$25-'Bonding Program'!$Z$25,0)-IF(AND('Bonding Program'!$S$25=1,'Bonding Program'!$H$25&lt;='Bonding Program'!$C$8,AZ$3=IF('Bonding Program'!$P$25&lt;&gt;"",'Bonding Program'!$P$25,'Bonding Program'!$C$8)),'Bonding Program'!$Z$25,0)+IF(AND('Bonding Program'!$P$25&lt;&gt;"",AZ$3='Bonding Program'!$P$25,AZ$3&lt;='Bonding Program'!$C$8),N('Bonding Program'!$O$25),0)</f>
        <v>0</v>
      </c>
      <c r="BA166" s="19" t="n">
        <f aca="false">IF(AND('Bonding Program'!$S$25=1,'Bonding Program'!$H$25&gt;'Bonding Program'!$C$8,BA$3='Bonding Program'!$H$25),'Bonding Program'!$T$25-'Bonding Program'!$U$25-'Bonding Program'!$Z$25,0)-IF(AND('Bonding Program'!$S$25=1,'Bonding Program'!$H$25&lt;='Bonding Program'!$C$8,BA$3=IF('Bonding Program'!$P$25&lt;&gt;"",'Bonding Program'!$P$25,'Bonding Program'!$C$8)),'Bonding Program'!$Z$25,0)+IF(AND('Bonding Program'!$P$25&lt;&gt;"",BA$3='Bonding Program'!$P$25,BA$3&lt;='Bonding Program'!$C$8),N('Bonding Program'!$O$25),0)</f>
        <v>0</v>
      </c>
      <c r="BB166" s="19" t="n">
        <f aca="false">IF(AND('Bonding Program'!$S$25=1,'Bonding Program'!$H$25&gt;'Bonding Program'!$C$8,BB$3='Bonding Program'!$H$25),'Bonding Program'!$T$25-'Bonding Program'!$U$25-'Bonding Program'!$Z$25,0)-IF(AND('Bonding Program'!$S$25=1,'Bonding Program'!$H$25&lt;='Bonding Program'!$C$8,BB$3=IF('Bonding Program'!$P$25&lt;&gt;"",'Bonding Program'!$P$25,'Bonding Program'!$C$8)),'Bonding Program'!$Z$25,0)+IF(AND('Bonding Program'!$P$25&lt;&gt;"",BB$3='Bonding Program'!$P$25,BB$3&lt;='Bonding Program'!$C$8),N('Bonding Program'!$O$25),0)</f>
        <v>0</v>
      </c>
      <c r="BC166" s="19" t="n">
        <f aca="false">IF(AND('Bonding Program'!$S$25=1,'Bonding Program'!$H$25&gt;'Bonding Program'!$C$8,BC$3='Bonding Program'!$H$25),'Bonding Program'!$T$25-'Bonding Program'!$U$25-'Bonding Program'!$Z$25,0)-IF(AND('Bonding Program'!$S$25=1,'Bonding Program'!$H$25&lt;='Bonding Program'!$C$8,BC$3=IF('Bonding Program'!$P$25&lt;&gt;"",'Bonding Program'!$P$25,'Bonding Program'!$C$8)),'Bonding Program'!$Z$25,0)+IF(AND('Bonding Program'!$P$25&lt;&gt;"",BC$3='Bonding Program'!$P$25,BC$3&lt;='Bonding Program'!$C$8),N('Bonding Program'!$O$25),0)</f>
        <v>0</v>
      </c>
      <c r="BD166" s="19" t="n">
        <f aca="false">IF(AND('Bonding Program'!$S$25=1,'Bonding Program'!$H$25&gt;'Bonding Program'!$C$8,BD$3='Bonding Program'!$H$25),'Bonding Program'!$T$25-'Bonding Program'!$U$25-'Bonding Program'!$Z$25,0)-IF(AND('Bonding Program'!$S$25=1,'Bonding Program'!$H$25&lt;='Bonding Program'!$C$8,BD$3=IF('Bonding Program'!$P$25&lt;&gt;"",'Bonding Program'!$P$25,'Bonding Program'!$C$8)),'Bonding Program'!$Z$25,0)+IF(AND('Bonding Program'!$P$25&lt;&gt;"",BD$3='Bonding Program'!$P$25,BD$3&lt;='Bonding Program'!$C$8),N('Bonding Program'!$O$25),0)</f>
        <v>0</v>
      </c>
      <c r="BE166" s="19" t="n">
        <f aca="false">IF(AND('Bonding Program'!$S$25=1,'Bonding Program'!$H$25&gt;'Bonding Program'!$C$8,BE$3='Bonding Program'!$H$25),'Bonding Program'!$T$25-'Bonding Program'!$U$25-'Bonding Program'!$Z$25,0)-IF(AND('Bonding Program'!$S$25=1,'Bonding Program'!$H$25&lt;='Bonding Program'!$C$8,BE$3=IF('Bonding Program'!$P$25&lt;&gt;"",'Bonding Program'!$P$25,'Bonding Program'!$C$8)),'Bonding Program'!$Z$25,0)+IF(AND('Bonding Program'!$P$25&lt;&gt;"",BE$3='Bonding Program'!$P$25,BE$3&lt;='Bonding Program'!$C$8),N('Bonding Program'!$O$25),0)</f>
        <v>0</v>
      </c>
      <c r="BF166" s="19" t="n">
        <f aca="false">IF(AND('Bonding Program'!$S$25=1,'Bonding Program'!$H$25&gt;'Bonding Program'!$C$8,BF$3='Bonding Program'!$H$25),'Bonding Program'!$T$25-'Bonding Program'!$U$25-'Bonding Program'!$Z$25,0)-IF(AND('Bonding Program'!$S$25=1,'Bonding Program'!$H$25&lt;='Bonding Program'!$C$8,BF$3=IF('Bonding Program'!$P$25&lt;&gt;"",'Bonding Program'!$P$25,'Bonding Program'!$C$8)),'Bonding Program'!$Z$25,0)+IF(AND('Bonding Program'!$P$25&lt;&gt;"",BF$3='Bonding Program'!$P$25,BF$3&lt;='Bonding Program'!$C$8),N('Bonding Program'!$O$25),0)</f>
        <v>0</v>
      </c>
      <c r="BG166" s="19" t="n">
        <f aca="false">IF(AND('Bonding Program'!$S$25=1,'Bonding Program'!$H$25&gt;'Bonding Program'!$C$8,BG$3='Bonding Program'!$H$25),'Bonding Program'!$T$25-'Bonding Program'!$U$25-'Bonding Program'!$Z$25,0)-IF(AND('Bonding Program'!$S$25=1,'Bonding Program'!$H$25&lt;='Bonding Program'!$C$8,BG$3=IF('Bonding Program'!$P$25&lt;&gt;"",'Bonding Program'!$P$25,'Bonding Program'!$C$8)),'Bonding Program'!$Z$25,0)+IF(AND('Bonding Program'!$P$25&lt;&gt;"",BG$3='Bonding Program'!$P$25,BG$3&lt;='Bonding Program'!$C$8),N('Bonding Program'!$O$25),0)</f>
        <v>0</v>
      </c>
      <c r="BH166" s="19" t="n">
        <f aca="false">IF(AND('Bonding Program'!$S$25=1,'Bonding Program'!$H$25&gt;'Bonding Program'!$C$8,BH$3='Bonding Program'!$H$25),'Bonding Program'!$T$25-'Bonding Program'!$U$25-'Bonding Program'!$Z$25,0)-IF(AND('Bonding Program'!$S$25=1,'Bonding Program'!$H$25&lt;='Bonding Program'!$C$8,BH$3=IF('Bonding Program'!$P$25&lt;&gt;"",'Bonding Program'!$P$25,'Bonding Program'!$C$8)),'Bonding Program'!$Z$25,0)+IF(AND('Bonding Program'!$P$25&lt;&gt;"",BH$3='Bonding Program'!$P$25,BH$3&lt;='Bonding Program'!$C$8),N('Bonding Program'!$O$25),0)</f>
        <v>0</v>
      </c>
      <c r="BI166" s="19" t="n">
        <f aca="false">IF(AND('Bonding Program'!$S$25=1,'Bonding Program'!$H$25&gt;'Bonding Program'!$C$8,BI$3='Bonding Program'!$H$25),'Bonding Program'!$T$25-'Bonding Program'!$U$25-'Bonding Program'!$Z$25,0)-IF(AND('Bonding Program'!$S$25=1,'Bonding Program'!$H$25&lt;='Bonding Program'!$C$8,BI$3=IF('Bonding Program'!$P$25&lt;&gt;"",'Bonding Program'!$P$25,'Bonding Program'!$C$8)),'Bonding Program'!$Z$25,0)+IF(AND('Bonding Program'!$P$25&lt;&gt;"",BI$3='Bonding Program'!$P$25,BI$3&lt;='Bonding Program'!$C$8),N('Bonding Program'!$O$25),0)</f>
        <v>0</v>
      </c>
      <c r="BJ166" s="19" t="n">
        <f aca="false">IF(AND('Bonding Program'!$S$25=1,'Bonding Program'!$H$25&gt;'Bonding Program'!$C$8,BJ$3='Bonding Program'!$H$25),'Bonding Program'!$T$25-'Bonding Program'!$U$25-'Bonding Program'!$Z$25,0)-IF(AND('Bonding Program'!$S$25=1,'Bonding Program'!$H$25&lt;='Bonding Program'!$C$8,BJ$3=IF('Bonding Program'!$P$25&lt;&gt;"",'Bonding Program'!$P$25,'Bonding Program'!$C$8)),'Bonding Program'!$Z$25,0)+IF(AND('Bonding Program'!$P$25&lt;&gt;"",BJ$3='Bonding Program'!$P$25,BJ$3&lt;='Bonding Program'!$C$8),N('Bonding Program'!$O$25),0)</f>
        <v>0</v>
      </c>
      <c r="BK166" s="19" t="n">
        <f aca="false">IF(AND('Bonding Program'!$S$25=1,'Bonding Program'!$H$25&gt;'Bonding Program'!$C$8,BK$3='Bonding Program'!$H$25),'Bonding Program'!$T$25-'Bonding Program'!$U$25-'Bonding Program'!$Z$25,0)-IF(AND('Bonding Program'!$S$25=1,'Bonding Program'!$H$25&lt;='Bonding Program'!$C$8,BK$3=IF('Bonding Program'!$P$25&lt;&gt;"",'Bonding Program'!$P$25,'Bonding Program'!$C$8)),'Bonding Program'!$Z$25,0)+IF(AND('Bonding Program'!$P$25&lt;&gt;"",BK$3='Bonding Program'!$P$25,BK$3&lt;='Bonding Program'!$C$8),N('Bonding Program'!$O$25),0)</f>
        <v>0</v>
      </c>
      <c r="BL166" s="19" t="n">
        <f aca="false">IF(AND('Bonding Program'!$S$25=1,'Bonding Program'!$H$25&gt;'Bonding Program'!$C$8,BL$3='Bonding Program'!$H$25),'Bonding Program'!$T$25-'Bonding Program'!$U$25-'Bonding Program'!$Z$25,0)-IF(AND('Bonding Program'!$S$25=1,'Bonding Program'!$H$25&lt;='Bonding Program'!$C$8,BL$3=IF('Bonding Program'!$P$25&lt;&gt;"",'Bonding Program'!$P$25,'Bonding Program'!$C$8)),'Bonding Program'!$Z$25,0)+IF(AND('Bonding Program'!$P$25&lt;&gt;"",BL$3='Bonding Program'!$P$25,BL$3&lt;='Bonding Program'!$C$8),N('Bonding Program'!$O$25),0)</f>
        <v>0</v>
      </c>
      <c r="BM166" s="19" t="n">
        <f aca="false">IF(AND('Bonding Program'!$S$25=1,'Bonding Program'!$H$25&gt;'Bonding Program'!$C$8,BM$3='Bonding Program'!$H$25),'Bonding Program'!$T$25-'Bonding Program'!$U$25-'Bonding Program'!$Z$25,0)-IF(AND('Bonding Program'!$S$25=1,'Bonding Program'!$H$25&lt;='Bonding Program'!$C$8,BM$3=IF('Bonding Program'!$P$25&lt;&gt;"",'Bonding Program'!$P$25,'Bonding Program'!$C$8)),'Bonding Program'!$Z$25,0)+IF(AND('Bonding Program'!$P$25&lt;&gt;"",BM$3='Bonding Program'!$P$25,BM$3&lt;='Bonding Program'!$C$8),N('Bonding Program'!$O$25),0)</f>
        <v>0</v>
      </c>
      <c r="BN166" s="19" t="n">
        <f aca="false">IF(AND('Bonding Program'!$S$25=1,'Bonding Program'!$H$25&gt;'Bonding Program'!$C$8,BN$3='Bonding Program'!$H$25),'Bonding Program'!$T$25-'Bonding Program'!$U$25-'Bonding Program'!$Z$25,0)-IF(AND('Bonding Program'!$S$25=1,'Bonding Program'!$H$25&lt;='Bonding Program'!$C$8,BN$3=IF('Bonding Program'!$P$25&lt;&gt;"",'Bonding Program'!$P$25,'Bonding Program'!$C$8)),'Bonding Program'!$Z$25,0)+IF(AND('Bonding Program'!$P$25&lt;&gt;"",BN$3='Bonding Program'!$P$25,BN$3&lt;='Bonding Program'!$C$8),N('Bonding Program'!$O$25),0)</f>
        <v>0</v>
      </c>
      <c r="BO166" s="19" t="n">
        <f aca="false">IF(AND('Bonding Program'!$S$25=1,'Bonding Program'!$H$25&gt;'Bonding Program'!$C$8,BO$3='Bonding Program'!$H$25),'Bonding Program'!$T$25-'Bonding Program'!$U$25-'Bonding Program'!$Z$25,0)-IF(AND('Bonding Program'!$S$25=1,'Bonding Program'!$H$25&lt;='Bonding Program'!$C$8,BO$3=IF('Bonding Program'!$P$25&lt;&gt;"",'Bonding Program'!$P$25,'Bonding Program'!$C$8)),'Bonding Program'!$Z$25,0)+IF(AND('Bonding Program'!$P$25&lt;&gt;"",BO$3='Bonding Program'!$P$25,BO$3&lt;='Bonding Program'!$C$8),N('Bonding Program'!$O$25),0)</f>
        <v>0</v>
      </c>
      <c r="BP166" s="19" t="n">
        <f aca="false">IF(AND('Bonding Program'!$S$25=1,'Bonding Program'!$H$25&gt;'Bonding Program'!$C$8,BP$3='Bonding Program'!$H$25),'Bonding Program'!$T$25-'Bonding Program'!$U$25-'Bonding Program'!$Z$25,0)-IF(AND('Bonding Program'!$S$25=1,'Bonding Program'!$H$25&lt;='Bonding Program'!$C$8,BP$3=IF('Bonding Program'!$P$25&lt;&gt;"",'Bonding Program'!$P$25,'Bonding Program'!$C$8)),'Bonding Program'!$Z$25,0)+IF(AND('Bonding Program'!$P$25&lt;&gt;"",BP$3='Bonding Program'!$P$25,BP$3&lt;='Bonding Program'!$C$8),N('Bonding Program'!$O$25),0)</f>
        <v>0</v>
      </c>
      <c r="BQ166" s="19" t="n">
        <f aca="false">IF(AND('Bonding Program'!$S$25=1,'Bonding Program'!$H$25&gt;'Bonding Program'!$C$8,BQ$3='Bonding Program'!$H$25),'Bonding Program'!$T$25-'Bonding Program'!$U$25-'Bonding Program'!$Z$25,0)-IF(AND('Bonding Program'!$S$25=1,'Bonding Program'!$H$25&lt;='Bonding Program'!$C$8,BQ$3=IF('Bonding Program'!$P$25&lt;&gt;"",'Bonding Program'!$P$25,'Bonding Program'!$C$8)),'Bonding Program'!$Z$25,0)+IF(AND('Bonding Program'!$P$25&lt;&gt;"",BQ$3='Bonding Program'!$P$25,BQ$3&lt;='Bonding Program'!$C$8),N('Bonding Program'!$O$25),0)</f>
        <v>0</v>
      </c>
      <c r="BR166" s="19" t="n">
        <f aca="false">IF(AND('Bonding Program'!$S$25=1,'Bonding Program'!$H$25&gt;'Bonding Program'!$C$8,BR$3='Bonding Program'!$H$25),'Bonding Program'!$T$25-'Bonding Program'!$U$25-'Bonding Program'!$Z$25,0)-IF(AND('Bonding Program'!$S$25=1,'Bonding Program'!$H$25&lt;='Bonding Program'!$C$8,BR$3=IF('Bonding Program'!$P$25&lt;&gt;"",'Bonding Program'!$P$25,'Bonding Program'!$C$8)),'Bonding Program'!$Z$25,0)+IF(AND('Bonding Program'!$P$25&lt;&gt;"",BR$3='Bonding Program'!$P$25,BR$3&lt;='Bonding Program'!$C$8),N('Bonding Program'!$O$25),0)</f>
        <v>0</v>
      </c>
      <c r="BS166" s="19" t="n">
        <f aca="false">IF(AND('Bonding Program'!$S$25=1,'Bonding Program'!$H$25&gt;'Bonding Program'!$C$8,BS$3='Bonding Program'!$H$25),'Bonding Program'!$T$25-'Bonding Program'!$U$25-'Bonding Program'!$Z$25,0)-IF(AND('Bonding Program'!$S$25=1,'Bonding Program'!$H$25&lt;='Bonding Program'!$C$8,BS$3=IF('Bonding Program'!$P$25&lt;&gt;"",'Bonding Program'!$P$25,'Bonding Program'!$C$8)),'Bonding Program'!$Z$25,0)+IF(AND('Bonding Program'!$P$25&lt;&gt;"",BS$3='Bonding Program'!$P$25,BS$3&lt;='Bonding Program'!$C$8),N('Bonding Program'!$O$25),0)</f>
        <v>0</v>
      </c>
      <c r="BT166" s="19" t="n">
        <f aca="false">IF(AND('Bonding Program'!$S$25=1,'Bonding Program'!$H$25&gt;'Bonding Program'!$C$8,BT$3='Bonding Program'!$H$25),'Bonding Program'!$T$25-'Bonding Program'!$U$25-'Bonding Program'!$Z$25,0)-IF(AND('Bonding Program'!$S$25=1,'Bonding Program'!$H$25&lt;='Bonding Program'!$C$8,BT$3=IF('Bonding Program'!$P$25&lt;&gt;"",'Bonding Program'!$P$25,'Bonding Program'!$C$8)),'Bonding Program'!$Z$25,0)+IF(AND('Bonding Program'!$P$25&lt;&gt;"",BT$3='Bonding Program'!$P$25,BT$3&lt;='Bonding Program'!$C$8),N('Bonding Program'!$O$25),0)</f>
        <v>0</v>
      </c>
      <c r="BU166" s="19" t="n">
        <f aca="false">IF(AND('Bonding Program'!$S$25=1,'Bonding Program'!$H$25&gt;'Bonding Program'!$C$8,BU$3='Bonding Program'!$H$25),'Bonding Program'!$T$25-'Bonding Program'!$U$25-'Bonding Program'!$Z$25,0)-IF(AND('Bonding Program'!$S$25=1,'Bonding Program'!$H$25&lt;='Bonding Program'!$C$8,BU$3=IF('Bonding Program'!$P$25&lt;&gt;"",'Bonding Program'!$P$25,'Bonding Program'!$C$8)),'Bonding Program'!$Z$25,0)+IF(AND('Bonding Program'!$P$25&lt;&gt;"",BU$3='Bonding Program'!$P$25,BU$3&lt;='Bonding Program'!$C$8),N('Bonding Program'!$O$25),0)</f>
        <v>0</v>
      </c>
      <c r="BV166" s="19" t="n">
        <f aca="false">IF(AND('Bonding Program'!$S$25=1,'Bonding Program'!$H$25&gt;'Bonding Program'!$C$8,BV$3='Bonding Program'!$H$25),'Bonding Program'!$T$25-'Bonding Program'!$U$25-'Bonding Program'!$Z$25,0)-IF(AND('Bonding Program'!$S$25=1,'Bonding Program'!$H$25&lt;='Bonding Program'!$C$8,BV$3=IF('Bonding Program'!$P$25&lt;&gt;"",'Bonding Program'!$P$25,'Bonding Program'!$C$8)),'Bonding Program'!$Z$25,0)+IF(AND('Bonding Program'!$P$25&lt;&gt;"",BV$3='Bonding Program'!$P$25,BV$3&lt;='Bonding Program'!$C$8),N('Bonding Program'!$O$25),0)</f>
        <v>0</v>
      </c>
      <c r="BW166" s="19" t="n">
        <f aca="false">IF(AND('Bonding Program'!$S$25=1,'Bonding Program'!$H$25&gt;'Bonding Program'!$C$8,BW$3='Bonding Program'!$H$25),'Bonding Program'!$T$25-'Bonding Program'!$U$25-'Bonding Program'!$Z$25,0)-IF(AND('Bonding Program'!$S$25=1,'Bonding Program'!$H$25&lt;='Bonding Program'!$C$8,BW$3=IF('Bonding Program'!$P$25&lt;&gt;"",'Bonding Program'!$P$25,'Bonding Program'!$C$8)),'Bonding Program'!$Z$25,0)+IF(AND('Bonding Program'!$P$25&lt;&gt;"",BW$3='Bonding Program'!$P$25,BW$3&lt;='Bonding Program'!$C$8),N('Bonding Program'!$O$25),0)</f>
        <v>0</v>
      </c>
      <c r="BX166" s="19" t="n">
        <f aca="false">IF(AND('Bonding Program'!$S$25=1,'Bonding Program'!$H$25&gt;'Bonding Program'!$C$8,BX$3='Bonding Program'!$H$25),'Bonding Program'!$T$25-'Bonding Program'!$U$25-'Bonding Program'!$Z$25,0)-IF(AND('Bonding Program'!$S$25=1,'Bonding Program'!$H$25&lt;='Bonding Program'!$C$8,BX$3=IF('Bonding Program'!$P$25&lt;&gt;"",'Bonding Program'!$P$25,'Bonding Program'!$C$8)),'Bonding Program'!$Z$25,0)+IF(AND('Bonding Program'!$P$25&lt;&gt;"",BX$3='Bonding Program'!$P$25,BX$3&lt;='Bonding Program'!$C$8),N('Bonding Program'!$O$25),0)</f>
        <v>0</v>
      </c>
      <c r="BY166" s="19" t="n">
        <f aca="false">IF(AND('Bonding Program'!$S$25=1,'Bonding Program'!$H$25&gt;'Bonding Program'!$C$8,BY$3='Bonding Program'!$H$25),'Bonding Program'!$T$25-'Bonding Program'!$U$25-'Bonding Program'!$Z$25,0)-IF(AND('Bonding Program'!$S$25=1,'Bonding Program'!$H$25&lt;='Bonding Program'!$C$8,BY$3=IF('Bonding Program'!$P$25&lt;&gt;"",'Bonding Program'!$P$25,'Bonding Program'!$C$8)),'Bonding Program'!$Z$25,0)+IF(AND('Bonding Program'!$P$25&lt;&gt;"",BY$3='Bonding Program'!$P$25,BY$3&lt;='Bonding Program'!$C$8),N('Bonding Program'!$O$25),0)</f>
        <v>0</v>
      </c>
      <c r="BZ166" s="19" t="n">
        <f aca="false">IF(AND('Bonding Program'!$S$25=1,'Bonding Program'!$H$25&gt;'Bonding Program'!$C$8,BZ$3='Bonding Program'!$H$25),'Bonding Program'!$T$25-'Bonding Program'!$U$25-'Bonding Program'!$Z$25,0)-IF(AND('Bonding Program'!$S$25=1,'Bonding Program'!$H$25&lt;='Bonding Program'!$C$8,BZ$3=IF('Bonding Program'!$P$25&lt;&gt;"",'Bonding Program'!$P$25,'Bonding Program'!$C$8)),'Bonding Program'!$Z$25,0)+IF(AND('Bonding Program'!$P$25&lt;&gt;"",BZ$3='Bonding Program'!$P$25,BZ$3&lt;='Bonding Program'!$C$8),N('Bonding Program'!$O$25),0)</f>
        <v>0</v>
      </c>
      <c r="CA166" s="19" t="n">
        <f aca="false">IF(AND('Bonding Program'!$S$25=1,'Bonding Program'!$H$25&gt;'Bonding Program'!$C$8,CA$3='Bonding Program'!$H$25),'Bonding Program'!$T$25-'Bonding Program'!$U$25-'Bonding Program'!$Z$25,0)-IF(AND('Bonding Program'!$S$25=1,'Bonding Program'!$H$25&lt;='Bonding Program'!$C$8,CA$3=IF('Bonding Program'!$P$25&lt;&gt;"",'Bonding Program'!$P$25,'Bonding Program'!$C$8)),'Bonding Program'!$Z$25,0)+IF(AND('Bonding Program'!$P$25&lt;&gt;"",CA$3='Bonding Program'!$P$25,CA$3&lt;='Bonding Program'!$C$8),N('Bonding Program'!$O$25),0)</f>
        <v>0</v>
      </c>
      <c r="CB166" s="19" t="n">
        <f aca="false">IF(AND('Bonding Program'!$S$25=1,'Bonding Program'!$H$25&gt;'Bonding Program'!$C$8,CB$3='Bonding Program'!$H$25),'Bonding Program'!$T$25-'Bonding Program'!$U$25-'Bonding Program'!$Z$25,0)-IF(AND('Bonding Program'!$S$25=1,'Bonding Program'!$H$25&lt;='Bonding Program'!$C$8,CB$3=IF('Bonding Program'!$P$25&lt;&gt;"",'Bonding Program'!$P$25,'Bonding Program'!$C$8)),'Bonding Program'!$Z$25,0)+IF(AND('Bonding Program'!$P$25&lt;&gt;"",CB$3='Bonding Program'!$P$25,CB$3&lt;='Bonding Program'!$C$8),N('Bonding Program'!$O$25),0)</f>
        <v>0</v>
      </c>
      <c r="CC166" s="19" t="n">
        <f aca="false">IF(AND('Bonding Program'!$S$25=1,'Bonding Program'!$H$25&gt;'Bonding Program'!$C$8,CC$3='Bonding Program'!$H$25),'Bonding Program'!$T$25-'Bonding Program'!$U$25-'Bonding Program'!$Z$25,0)-IF(AND('Bonding Program'!$S$25=1,'Bonding Program'!$H$25&lt;='Bonding Program'!$C$8,CC$3=IF('Bonding Program'!$P$25&lt;&gt;"",'Bonding Program'!$P$25,'Bonding Program'!$C$8)),'Bonding Program'!$Z$25,0)+IF(AND('Bonding Program'!$P$25&lt;&gt;"",CC$3='Bonding Program'!$P$25,CC$3&lt;='Bonding Program'!$C$8),N('Bonding Program'!$O$25),0)</f>
        <v>0</v>
      </c>
      <c r="CD166" s="19" t="n">
        <f aca="false">IF(AND('Bonding Program'!$S$25=1,'Bonding Program'!$H$25&gt;'Bonding Program'!$C$8,CD$3='Bonding Program'!$H$25),'Bonding Program'!$T$25-'Bonding Program'!$U$25-'Bonding Program'!$Z$25,0)-IF(AND('Bonding Program'!$S$25=1,'Bonding Program'!$H$25&lt;='Bonding Program'!$C$8,CD$3=IF('Bonding Program'!$P$25&lt;&gt;"",'Bonding Program'!$P$25,'Bonding Program'!$C$8)),'Bonding Program'!$Z$25,0)+IF(AND('Bonding Program'!$P$25&lt;&gt;"",CD$3='Bonding Program'!$P$25,CD$3&lt;='Bonding Program'!$C$8),N('Bonding Program'!$O$25),0)</f>
        <v>0</v>
      </c>
      <c r="CE166" s="19" t="n">
        <f aca="false">IF(AND('Bonding Program'!$S$25=1,'Bonding Program'!$H$25&gt;'Bonding Program'!$C$8,CE$3='Bonding Program'!$H$25),'Bonding Program'!$T$25-'Bonding Program'!$U$25-'Bonding Program'!$Z$25,0)-IF(AND('Bonding Program'!$S$25=1,'Bonding Program'!$H$25&lt;='Bonding Program'!$C$8,CE$3=IF('Bonding Program'!$P$25&lt;&gt;"",'Bonding Program'!$P$25,'Bonding Program'!$C$8)),'Bonding Program'!$Z$25,0)+IF(AND('Bonding Program'!$P$25&lt;&gt;"",CE$3='Bonding Program'!$P$25,CE$3&lt;='Bonding Program'!$C$8),N('Bonding Program'!$O$25),0)</f>
        <v>0</v>
      </c>
      <c r="CF166" s="19" t="n">
        <f aca="false">IF(AND('Bonding Program'!$S$25=1,'Bonding Program'!$H$25&gt;'Bonding Program'!$C$8,CF$3='Bonding Program'!$H$25),'Bonding Program'!$T$25-'Bonding Program'!$U$25-'Bonding Program'!$Z$25,0)-IF(AND('Bonding Program'!$S$25=1,'Bonding Program'!$H$25&lt;='Bonding Program'!$C$8,CF$3=IF('Bonding Program'!$P$25&lt;&gt;"",'Bonding Program'!$P$25,'Bonding Program'!$C$8)),'Bonding Program'!$Z$25,0)+IF(AND('Bonding Program'!$P$25&lt;&gt;"",CF$3='Bonding Program'!$P$25,CF$3&lt;='Bonding Program'!$C$8),N('Bonding Program'!$O$25),0)</f>
        <v>0</v>
      </c>
      <c r="CG166" s="19" t="n">
        <f aca="false">IF(AND('Bonding Program'!$S$25=1,'Bonding Program'!$H$25&gt;'Bonding Program'!$C$8,CG$3='Bonding Program'!$H$25),'Bonding Program'!$T$25-'Bonding Program'!$U$25-'Bonding Program'!$Z$25,0)-IF(AND('Bonding Program'!$S$25=1,'Bonding Program'!$H$25&lt;='Bonding Program'!$C$8,CG$3=IF('Bonding Program'!$P$25&lt;&gt;"",'Bonding Program'!$P$25,'Bonding Program'!$C$8)),'Bonding Program'!$Z$25,0)+IF(AND('Bonding Program'!$P$25&lt;&gt;"",CG$3='Bonding Program'!$P$25,CG$3&lt;='Bonding Program'!$C$8),N('Bonding Program'!$O$25),0)</f>
        <v>0</v>
      </c>
      <c r="CH166" s="19" t="n">
        <f aca="false">IF(AND('Bonding Program'!$S$25=1,'Bonding Program'!$H$25&gt;'Bonding Program'!$C$8,CH$3='Bonding Program'!$H$25),'Bonding Program'!$T$25-'Bonding Program'!$U$25-'Bonding Program'!$Z$25,0)-IF(AND('Bonding Program'!$S$25=1,'Bonding Program'!$H$25&lt;='Bonding Program'!$C$8,CH$3=IF('Bonding Program'!$P$25&lt;&gt;"",'Bonding Program'!$P$25,'Bonding Program'!$C$8)),'Bonding Program'!$Z$25,0)+IF(AND('Bonding Program'!$P$25&lt;&gt;"",CH$3='Bonding Program'!$P$25,CH$3&lt;='Bonding Program'!$C$8),N('Bonding Program'!$O$25),0)</f>
        <v>0</v>
      </c>
      <c r="CI166" s="19" t="n">
        <f aca="false">IF(AND('Bonding Program'!$S$25=1,'Bonding Program'!$H$25&gt;'Bonding Program'!$C$8,CI$3='Bonding Program'!$H$25),'Bonding Program'!$T$25-'Bonding Program'!$U$25-'Bonding Program'!$Z$25,0)-IF(AND('Bonding Program'!$S$25=1,'Bonding Program'!$H$25&lt;='Bonding Program'!$C$8,CI$3=IF('Bonding Program'!$P$25&lt;&gt;"",'Bonding Program'!$P$25,'Bonding Program'!$C$8)),'Bonding Program'!$Z$25,0)+IF(AND('Bonding Program'!$P$25&lt;&gt;"",CI$3='Bonding Program'!$P$25,CI$3&lt;='Bonding Program'!$C$8),N('Bonding Program'!$O$25),0)</f>
        <v>0</v>
      </c>
      <c r="CJ166" s="19" t="n">
        <f aca="false">IF(AND('Bonding Program'!$S$25=1,'Bonding Program'!$H$25&gt;'Bonding Program'!$C$8,CJ$3='Bonding Program'!$H$25),'Bonding Program'!$T$25-'Bonding Program'!$U$25-'Bonding Program'!$Z$25,0)-IF(AND('Bonding Program'!$S$25=1,'Bonding Program'!$H$25&lt;='Bonding Program'!$C$8,CJ$3=IF('Bonding Program'!$P$25&lt;&gt;"",'Bonding Program'!$P$25,'Bonding Program'!$C$8)),'Bonding Program'!$Z$25,0)+IF(AND('Bonding Program'!$P$25&lt;&gt;"",CJ$3='Bonding Program'!$P$25,CJ$3&lt;='Bonding Program'!$C$8),N('Bonding Program'!$O$25),0)</f>
        <v>0</v>
      </c>
      <c r="CK166" s="19" t="n">
        <f aca="false">IF(AND('Bonding Program'!$S$25=1,'Bonding Program'!$H$25&gt;'Bonding Program'!$C$8,CK$3='Bonding Program'!$H$25),'Bonding Program'!$T$25-'Bonding Program'!$U$25-'Bonding Program'!$Z$25,0)-IF(AND('Bonding Program'!$S$25=1,'Bonding Program'!$H$25&lt;='Bonding Program'!$C$8,CK$3=IF('Bonding Program'!$P$25&lt;&gt;"",'Bonding Program'!$P$25,'Bonding Program'!$C$8)),'Bonding Program'!$Z$25,0)+IF(AND('Bonding Program'!$P$25&lt;&gt;"",CK$3='Bonding Program'!$P$25,CK$3&lt;='Bonding Program'!$C$8),N('Bonding Program'!$O$25),0)</f>
        <v>0</v>
      </c>
      <c r="CL166" s="19" t="n">
        <f aca="false">IF(AND('Bonding Program'!$S$25=1,'Bonding Program'!$H$25&gt;'Bonding Program'!$C$8,CL$3='Bonding Program'!$H$25),'Bonding Program'!$T$25-'Bonding Program'!$U$25-'Bonding Program'!$Z$25,0)-IF(AND('Bonding Program'!$S$25=1,'Bonding Program'!$H$25&lt;='Bonding Program'!$C$8,CL$3=IF('Bonding Program'!$P$25&lt;&gt;"",'Bonding Program'!$P$25,'Bonding Program'!$C$8)),'Bonding Program'!$Z$25,0)+IF(AND('Bonding Program'!$P$25&lt;&gt;"",CL$3='Bonding Program'!$P$25,CL$3&lt;='Bonding Program'!$C$8),N('Bonding Program'!$O$25),0)</f>
        <v>0</v>
      </c>
      <c r="CM166" s="19" t="n">
        <f aca="false">IF(AND('Bonding Program'!$S$25=1,'Bonding Program'!$H$25&gt;'Bonding Program'!$C$8,CM$3='Bonding Program'!$H$25),'Bonding Program'!$T$25-'Bonding Program'!$U$25-'Bonding Program'!$Z$25,0)-IF(AND('Bonding Program'!$S$25=1,'Bonding Program'!$H$25&lt;='Bonding Program'!$C$8,CM$3=IF('Bonding Program'!$P$25&lt;&gt;"",'Bonding Program'!$P$25,'Bonding Program'!$C$8)),'Bonding Program'!$Z$25,0)+IF(AND('Bonding Program'!$P$25&lt;&gt;"",CM$3='Bonding Program'!$P$25,CM$3&lt;='Bonding Program'!$C$8),N('Bonding Program'!$O$25),0)</f>
        <v>0</v>
      </c>
      <c r="CN166" s="19" t="n">
        <f aca="false">IF(AND('Bonding Program'!$S$25=1,'Bonding Program'!$H$25&gt;'Bonding Program'!$C$8,CN$3='Bonding Program'!$H$25),'Bonding Program'!$T$25-'Bonding Program'!$U$25-'Bonding Program'!$Z$25,0)-IF(AND('Bonding Program'!$S$25=1,'Bonding Program'!$H$25&lt;='Bonding Program'!$C$8,CN$3=IF('Bonding Program'!$P$25&lt;&gt;"",'Bonding Program'!$P$25,'Bonding Program'!$C$8)),'Bonding Program'!$Z$25,0)+IF(AND('Bonding Program'!$P$25&lt;&gt;"",CN$3='Bonding Program'!$P$25,CN$3&lt;='Bonding Program'!$C$8),N('Bonding Program'!$O$25),0)</f>
        <v>0</v>
      </c>
      <c r="CO166" s="19" t="n">
        <f aca="false">IF(AND('Bonding Program'!$S$25=1,'Bonding Program'!$H$25&gt;'Bonding Program'!$C$8,CO$3='Bonding Program'!$H$25),'Bonding Program'!$T$25-'Bonding Program'!$U$25-'Bonding Program'!$Z$25,0)-IF(AND('Bonding Program'!$S$25=1,'Bonding Program'!$H$25&lt;='Bonding Program'!$C$8,CO$3=IF('Bonding Program'!$P$25&lt;&gt;"",'Bonding Program'!$P$25,'Bonding Program'!$C$8)),'Bonding Program'!$Z$25,0)+IF(AND('Bonding Program'!$P$25&lt;&gt;"",CO$3='Bonding Program'!$P$25,CO$3&lt;='Bonding Program'!$C$8),N('Bonding Program'!$O$25),0)</f>
        <v>0</v>
      </c>
      <c r="CP166" s="19" t="n">
        <f aca="false">IF(AND('Bonding Program'!$S$25=1,'Bonding Program'!$H$25&gt;'Bonding Program'!$C$8,CP$3='Bonding Program'!$H$25),'Bonding Program'!$T$25-'Bonding Program'!$U$25-'Bonding Program'!$Z$25,0)-IF(AND('Bonding Program'!$S$25=1,'Bonding Program'!$H$25&lt;='Bonding Program'!$C$8,CP$3=IF('Bonding Program'!$P$25&lt;&gt;"",'Bonding Program'!$P$25,'Bonding Program'!$C$8)),'Bonding Program'!$Z$25,0)+IF(AND('Bonding Program'!$P$25&lt;&gt;"",CP$3='Bonding Program'!$P$25,CP$3&lt;='Bonding Program'!$C$8),N('Bonding Program'!$O$25),0)</f>
        <v>0</v>
      </c>
      <c r="CQ166" s="19" t="n">
        <f aca="false">IF(AND('Bonding Program'!$S$25=1,'Bonding Program'!$H$25&gt;'Bonding Program'!$C$8,CQ$3='Bonding Program'!$H$25),'Bonding Program'!$T$25-'Bonding Program'!$U$25-'Bonding Program'!$Z$25,0)-IF(AND('Bonding Program'!$S$25=1,'Bonding Program'!$H$25&lt;='Bonding Program'!$C$8,CQ$3=IF('Bonding Program'!$P$25&lt;&gt;"",'Bonding Program'!$P$25,'Bonding Program'!$C$8)),'Bonding Program'!$Z$25,0)+IF(AND('Bonding Program'!$P$25&lt;&gt;"",CQ$3='Bonding Program'!$P$25,CQ$3&lt;='Bonding Program'!$C$8),N('Bonding Program'!$O$25),0)</f>
        <v>0</v>
      </c>
      <c r="CR166" s="19" t="n">
        <f aca="false">IF(AND('Bonding Program'!$S$25=1,'Bonding Program'!$H$25&gt;'Bonding Program'!$C$8,CR$3='Bonding Program'!$H$25),'Bonding Program'!$T$25-'Bonding Program'!$U$25-'Bonding Program'!$Z$25,0)-IF(AND('Bonding Program'!$S$25=1,'Bonding Program'!$H$25&lt;='Bonding Program'!$C$8,CR$3=IF('Bonding Program'!$P$25&lt;&gt;"",'Bonding Program'!$P$25,'Bonding Program'!$C$8)),'Bonding Program'!$Z$25,0)+IF(AND('Bonding Program'!$P$25&lt;&gt;"",CR$3='Bonding Program'!$P$25,CR$3&lt;='Bonding Program'!$C$8),N('Bonding Program'!$O$25),0)</f>
        <v>0</v>
      </c>
      <c r="CS166" s="19" t="n">
        <f aca="false">IF(AND('Bonding Program'!$S$25=1,'Bonding Program'!$H$25&gt;'Bonding Program'!$C$8,CS$3='Bonding Program'!$H$25),'Bonding Program'!$T$25-'Bonding Program'!$U$25-'Bonding Program'!$Z$25,0)-IF(AND('Bonding Program'!$S$25=1,'Bonding Program'!$H$25&lt;='Bonding Program'!$C$8,CS$3=IF('Bonding Program'!$P$25&lt;&gt;"",'Bonding Program'!$P$25,'Bonding Program'!$C$8)),'Bonding Program'!$Z$25,0)+IF(AND('Bonding Program'!$P$25&lt;&gt;"",CS$3='Bonding Program'!$P$25,CS$3&lt;='Bonding Program'!$C$8),N('Bonding Program'!$O$25),0)</f>
        <v>0</v>
      </c>
      <c r="CT166" s="19" t="n">
        <f aca="false">IF(AND('Bonding Program'!$S$25=1,'Bonding Program'!$H$25&gt;'Bonding Program'!$C$8,CT$3='Bonding Program'!$H$25),'Bonding Program'!$T$25-'Bonding Program'!$U$25-'Bonding Program'!$Z$25,0)-IF(AND('Bonding Program'!$S$25=1,'Bonding Program'!$H$25&lt;='Bonding Program'!$C$8,CT$3=IF('Bonding Program'!$P$25&lt;&gt;"",'Bonding Program'!$P$25,'Bonding Program'!$C$8)),'Bonding Program'!$Z$25,0)+IF(AND('Bonding Program'!$P$25&lt;&gt;"",CT$3='Bonding Program'!$P$25,CT$3&lt;='Bonding Program'!$C$8),N('Bonding Program'!$O$25),0)</f>
        <v>0</v>
      </c>
      <c r="CU166" s="19" t="n">
        <f aca="false">IF(AND('Bonding Program'!$S$25=1,'Bonding Program'!$H$25&gt;'Bonding Program'!$C$8,CU$3='Bonding Program'!$H$25),'Bonding Program'!$T$25-'Bonding Program'!$U$25-'Bonding Program'!$Z$25,0)-IF(AND('Bonding Program'!$S$25=1,'Bonding Program'!$H$25&lt;='Bonding Program'!$C$8,CU$3=IF('Bonding Program'!$P$25&lt;&gt;"",'Bonding Program'!$P$25,'Bonding Program'!$C$8)),'Bonding Program'!$Z$25,0)+IF(AND('Bonding Program'!$P$25&lt;&gt;"",CU$3='Bonding Program'!$P$25,CU$3&lt;='Bonding Program'!$C$8),N('Bonding Program'!$O$25),0)</f>
        <v>0</v>
      </c>
      <c r="CV166" s="19" t="n">
        <f aca="false">IF(AND('Bonding Program'!$S$25=1,'Bonding Program'!$H$25&gt;'Bonding Program'!$C$8,CV$3='Bonding Program'!$H$25),'Bonding Program'!$T$25-'Bonding Program'!$U$25-'Bonding Program'!$Z$25,0)-IF(AND('Bonding Program'!$S$25=1,'Bonding Program'!$H$25&lt;='Bonding Program'!$C$8,CV$3=IF('Bonding Program'!$P$25&lt;&gt;"",'Bonding Program'!$P$25,'Bonding Program'!$C$8)),'Bonding Program'!$Z$25,0)+IF(AND('Bonding Program'!$P$25&lt;&gt;"",CV$3='Bonding Program'!$P$25,CV$3&lt;='Bonding Program'!$C$8),N('Bonding Program'!$O$25),0)</f>
        <v>0</v>
      </c>
      <c r="CW166" s="19" t="n">
        <f aca="false">IF(AND('Bonding Program'!$S$25=1,'Bonding Program'!$H$25&gt;'Bonding Program'!$C$8,CW$3='Bonding Program'!$H$25),'Bonding Program'!$T$25-'Bonding Program'!$U$25-'Bonding Program'!$Z$25,0)-IF(AND('Bonding Program'!$S$25=1,'Bonding Program'!$H$25&lt;='Bonding Program'!$C$8,CW$3=IF('Bonding Program'!$P$25&lt;&gt;"",'Bonding Program'!$P$25,'Bonding Program'!$C$8)),'Bonding Program'!$Z$25,0)+IF(AND('Bonding Program'!$P$25&lt;&gt;"",CW$3='Bonding Program'!$P$25,CW$3&lt;='Bonding Program'!$C$8),N('Bonding Program'!$O$25),0)</f>
        <v>0</v>
      </c>
      <c r="CX166" s="19" t="n">
        <f aca="false">IF(AND('Bonding Program'!$S$25=1,'Bonding Program'!$H$25&gt;'Bonding Program'!$C$8,CX$3='Bonding Program'!$H$25),'Bonding Program'!$T$25-'Bonding Program'!$U$25-'Bonding Program'!$Z$25,0)-IF(AND('Bonding Program'!$S$25=1,'Bonding Program'!$H$25&lt;='Bonding Program'!$C$8,CX$3=IF('Bonding Program'!$P$25&lt;&gt;"",'Bonding Program'!$P$25,'Bonding Program'!$C$8)),'Bonding Program'!$Z$25,0)+IF(AND('Bonding Program'!$P$25&lt;&gt;"",CX$3='Bonding Program'!$P$25,CX$3&lt;='Bonding Program'!$C$8),N('Bonding Program'!$O$25),0)</f>
        <v>0</v>
      </c>
      <c r="CY166" s="19" t="n">
        <f aca="false">IF(AND('Bonding Program'!$S$25=1,'Bonding Program'!$H$25&gt;'Bonding Program'!$C$8,CY$3='Bonding Program'!$H$25),'Bonding Program'!$T$25-'Bonding Program'!$U$25-'Bonding Program'!$Z$25,0)-IF(AND('Bonding Program'!$S$25=1,'Bonding Program'!$H$25&lt;='Bonding Program'!$C$8,CY$3=IF('Bonding Program'!$P$25&lt;&gt;"",'Bonding Program'!$P$25,'Bonding Program'!$C$8)),'Bonding Program'!$Z$25,0)+IF(AND('Bonding Program'!$P$25&lt;&gt;"",CY$3='Bonding Program'!$P$25,CY$3&lt;='Bonding Program'!$C$8),N('Bonding Program'!$O$25),0)</f>
        <v>0</v>
      </c>
      <c r="CZ166" s="19" t="n">
        <f aca="false">IF(AND('Bonding Program'!$S$25=1,'Bonding Program'!$H$25&gt;'Bonding Program'!$C$8,CZ$3='Bonding Program'!$H$25),'Bonding Program'!$T$25-'Bonding Program'!$U$25-'Bonding Program'!$Z$25,0)-IF(AND('Bonding Program'!$S$25=1,'Bonding Program'!$H$25&lt;='Bonding Program'!$C$8,CZ$3=IF('Bonding Program'!$P$25&lt;&gt;"",'Bonding Program'!$P$25,'Bonding Program'!$C$8)),'Bonding Program'!$Z$25,0)+IF(AND('Bonding Program'!$P$25&lt;&gt;"",CZ$3='Bonding Program'!$P$25,CZ$3&lt;='Bonding Program'!$C$8),N('Bonding Program'!$O$25),0)</f>
        <v>0</v>
      </c>
      <c r="DA166" s="19" t="n">
        <f aca="false">IF(AND('Bonding Program'!$S$25=1,'Bonding Program'!$H$25&gt;'Bonding Program'!$C$8,DA$3='Bonding Program'!$H$25),'Bonding Program'!$T$25-'Bonding Program'!$U$25-'Bonding Program'!$Z$25,0)-IF(AND('Bonding Program'!$S$25=1,'Bonding Program'!$H$25&lt;='Bonding Program'!$C$8,DA$3=IF('Bonding Program'!$P$25&lt;&gt;"",'Bonding Program'!$P$25,'Bonding Program'!$C$8)),'Bonding Program'!$Z$25,0)+IF(AND('Bonding Program'!$P$25&lt;&gt;"",DA$3='Bonding Program'!$P$25,DA$3&lt;='Bonding Program'!$C$8),N('Bonding Program'!$O$25),0)</f>
        <v>0</v>
      </c>
      <c r="DB166" s="19" t="n">
        <f aca="false">IF(AND('Bonding Program'!$S$25=1,'Bonding Program'!$H$25&gt;'Bonding Program'!$C$8,DB$3='Bonding Program'!$H$25),'Bonding Program'!$T$25-'Bonding Program'!$U$25-'Bonding Program'!$Z$25,0)-IF(AND('Bonding Program'!$S$25=1,'Bonding Program'!$H$25&lt;='Bonding Program'!$C$8,DB$3=IF('Bonding Program'!$P$25&lt;&gt;"",'Bonding Program'!$P$25,'Bonding Program'!$C$8)),'Bonding Program'!$Z$25,0)+IF(AND('Bonding Program'!$P$25&lt;&gt;"",DB$3='Bonding Program'!$P$25,DB$3&lt;='Bonding Program'!$C$8),N('Bonding Program'!$O$25),0)</f>
        <v>0</v>
      </c>
      <c r="DC166" s="19" t="n">
        <f aca="false">IF(AND('Bonding Program'!$S$25=1,'Bonding Program'!$H$25&gt;'Bonding Program'!$C$8,DC$3='Bonding Program'!$H$25),'Bonding Program'!$T$25-'Bonding Program'!$U$25-'Bonding Program'!$Z$25,0)-IF(AND('Bonding Program'!$S$25=1,'Bonding Program'!$H$25&lt;='Bonding Program'!$C$8,DC$3=IF('Bonding Program'!$P$25&lt;&gt;"",'Bonding Program'!$P$25,'Bonding Program'!$C$8)),'Bonding Program'!$Z$25,0)+IF(AND('Bonding Program'!$P$25&lt;&gt;"",DC$3='Bonding Program'!$P$25,DC$3&lt;='Bonding Program'!$C$8),N('Bonding Program'!$O$25),0)</f>
        <v>0</v>
      </c>
      <c r="DD166" s="19" t="n">
        <f aca="false">IF(AND('Bonding Program'!$S$25=1,'Bonding Program'!$H$25&gt;'Bonding Program'!$C$8,DD$3='Bonding Program'!$H$25),'Bonding Program'!$T$25-'Bonding Program'!$U$25-'Bonding Program'!$Z$25,0)-IF(AND('Bonding Program'!$S$25=1,'Bonding Program'!$H$25&lt;='Bonding Program'!$C$8,DD$3=IF('Bonding Program'!$P$25&lt;&gt;"",'Bonding Program'!$P$25,'Bonding Program'!$C$8)),'Bonding Program'!$Z$25,0)+IF(AND('Bonding Program'!$P$25&lt;&gt;"",DD$3='Bonding Program'!$P$25,DD$3&lt;='Bonding Program'!$C$8),N('Bonding Program'!$O$25),0)</f>
        <v>0</v>
      </c>
      <c r="DE166" s="19" t="n">
        <f aca="false">IF(AND('Bonding Program'!$S$25=1,'Bonding Program'!$H$25&gt;'Bonding Program'!$C$8,DE$3='Bonding Program'!$H$25),'Bonding Program'!$T$25-'Bonding Program'!$U$25-'Bonding Program'!$Z$25,0)-IF(AND('Bonding Program'!$S$25=1,'Bonding Program'!$H$25&lt;='Bonding Program'!$C$8,DE$3=IF('Bonding Program'!$P$25&lt;&gt;"",'Bonding Program'!$P$25,'Bonding Program'!$C$8)),'Bonding Program'!$Z$25,0)+IF(AND('Bonding Program'!$P$25&lt;&gt;"",DE$3='Bonding Program'!$P$25,DE$3&lt;='Bonding Program'!$C$8),N('Bonding Program'!$O$25),0)</f>
        <v>0</v>
      </c>
    </row>
    <row r="167" customFormat="false" ht="15" hidden="false" customHeight="true" outlineLevel="1" collapsed="false">
      <c r="A167" s="28" t="s">
        <v>22</v>
      </c>
      <c r="B167" s="19" t="n">
        <f aca="false">IF(AND('Bonding Program'!$S$26=1,'Bonding Program'!$H$26&gt;'Bonding Program'!$C$8,B$3='Bonding Program'!$H$26),'Bonding Program'!$T$26-'Bonding Program'!$U$26-'Bonding Program'!$Z$26,0)-IF(AND('Bonding Program'!$S$26=1,'Bonding Program'!$H$26&lt;='Bonding Program'!$C$8,B$3=IF('Bonding Program'!$P$26&lt;&gt;"",'Bonding Program'!$P$26,'Bonding Program'!$C$8)),'Bonding Program'!$Z$26,0)+IF(AND('Bonding Program'!$P$26&lt;&gt;"",B$3='Bonding Program'!$P$26,B$3&lt;='Bonding Program'!$C$8),N('Bonding Program'!$O$26),0)</f>
        <v>0</v>
      </c>
      <c r="C167" s="19" t="n">
        <f aca="false">IF(AND('Bonding Program'!$S$26=1,'Bonding Program'!$H$26&gt;'Bonding Program'!$C$8,C$3='Bonding Program'!$H$26),'Bonding Program'!$T$26-'Bonding Program'!$U$26-'Bonding Program'!$Z$26,0)-IF(AND('Bonding Program'!$S$26=1,'Bonding Program'!$H$26&lt;='Bonding Program'!$C$8,C$3=IF('Bonding Program'!$P$26&lt;&gt;"",'Bonding Program'!$P$26,'Bonding Program'!$C$8)),'Bonding Program'!$Z$26,0)+IF(AND('Bonding Program'!$P$26&lt;&gt;"",C$3='Bonding Program'!$P$26,C$3&lt;='Bonding Program'!$C$8),N('Bonding Program'!$O$26),0)</f>
        <v>0</v>
      </c>
      <c r="D167" s="19" t="n">
        <f aca="false">IF(AND('Bonding Program'!$S$26=1,'Bonding Program'!$H$26&gt;'Bonding Program'!$C$8,D$3='Bonding Program'!$H$26),'Bonding Program'!$T$26-'Bonding Program'!$U$26-'Bonding Program'!$Z$26,0)-IF(AND('Bonding Program'!$S$26=1,'Bonding Program'!$H$26&lt;='Bonding Program'!$C$8,D$3=IF('Bonding Program'!$P$26&lt;&gt;"",'Bonding Program'!$P$26,'Bonding Program'!$C$8)),'Bonding Program'!$Z$26,0)+IF(AND('Bonding Program'!$P$26&lt;&gt;"",D$3='Bonding Program'!$P$26,D$3&lt;='Bonding Program'!$C$8),N('Bonding Program'!$O$26),0)</f>
        <v>0</v>
      </c>
      <c r="E167" s="19" t="n">
        <f aca="false">IF(AND('Bonding Program'!$S$26=1,'Bonding Program'!$H$26&gt;'Bonding Program'!$C$8,E$3='Bonding Program'!$H$26),'Bonding Program'!$T$26-'Bonding Program'!$U$26-'Bonding Program'!$Z$26,0)-IF(AND('Bonding Program'!$S$26=1,'Bonding Program'!$H$26&lt;='Bonding Program'!$C$8,E$3=IF('Bonding Program'!$P$26&lt;&gt;"",'Bonding Program'!$P$26,'Bonding Program'!$C$8)),'Bonding Program'!$Z$26,0)+IF(AND('Bonding Program'!$P$26&lt;&gt;"",E$3='Bonding Program'!$P$26,E$3&lt;='Bonding Program'!$C$8),N('Bonding Program'!$O$26),0)</f>
        <v>0</v>
      </c>
      <c r="F167" s="19" t="n">
        <f aca="false">IF(AND('Bonding Program'!$S$26=1,'Bonding Program'!$H$26&gt;'Bonding Program'!$C$8,F$3='Bonding Program'!$H$26),'Bonding Program'!$T$26-'Bonding Program'!$U$26-'Bonding Program'!$Z$26,0)-IF(AND('Bonding Program'!$S$26=1,'Bonding Program'!$H$26&lt;='Bonding Program'!$C$8,F$3=IF('Bonding Program'!$P$26&lt;&gt;"",'Bonding Program'!$P$26,'Bonding Program'!$C$8)),'Bonding Program'!$Z$26,0)+IF(AND('Bonding Program'!$P$26&lt;&gt;"",F$3='Bonding Program'!$P$26,F$3&lt;='Bonding Program'!$C$8),N('Bonding Program'!$O$26),0)</f>
        <v>0</v>
      </c>
      <c r="G167" s="19" t="n">
        <f aca="false">IF(AND('Bonding Program'!$S$26=1,'Bonding Program'!$H$26&gt;'Bonding Program'!$C$8,G$3='Bonding Program'!$H$26),'Bonding Program'!$T$26-'Bonding Program'!$U$26-'Bonding Program'!$Z$26,0)-IF(AND('Bonding Program'!$S$26=1,'Bonding Program'!$H$26&lt;='Bonding Program'!$C$8,G$3=IF('Bonding Program'!$P$26&lt;&gt;"",'Bonding Program'!$P$26,'Bonding Program'!$C$8)),'Bonding Program'!$Z$26,0)+IF(AND('Bonding Program'!$P$26&lt;&gt;"",G$3='Bonding Program'!$P$26,G$3&lt;='Bonding Program'!$C$8),N('Bonding Program'!$O$26),0)</f>
        <v>0</v>
      </c>
      <c r="H167" s="19" t="n">
        <f aca="false">IF(AND('Bonding Program'!$S$26=1,'Bonding Program'!$H$26&gt;'Bonding Program'!$C$8,H$3='Bonding Program'!$H$26),'Bonding Program'!$T$26-'Bonding Program'!$U$26-'Bonding Program'!$Z$26,0)-IF(AND('Bonding Program'!$S$26=1,'Bonding Program'!$H$26&lt;='Bonding Program'!$C$8,H$3=IF('Bonding Program'!$P$26&lt;&gt;"",'Bonding Program'!$P$26,'Bonding Program'!$C$8)),'Bonding Program'!$Z$26,0)+IF(AND('Bonding Program'!$P$26&lt;&gt;"",H$3='Bonding Program'!$P$26,H$3&lt;='Bonding Program'!$C$8),N('Bonding Program'!$O$26),0)</f>
        <v>0</v>
      </c>
      <c r="I167" s="19" t="n">
        <f aca="false">IF(AND('Bonding Program'!$S$26=1,'Bonding Program'!$H$26&gt;'Bonding Program'!$C$8,I$3='Bonding Program'!$H$26),'Bonding Program'!$T$26-'Bonding Program'!$U$26-'Bonding Program'!$Z$26,0)-IF(AND('Bonding Program'!$S$26=1,'Bonding Program'!$H$26&lt;='Bonding Program'!$C$8,I$3=IF('Bonding Program'!$P$26&lt;&gt;"",'Bonding Program'!$P$26,'Bonding Program'!$C$8)),'Bonding Program'!$Z$26,0)+IF(AND('Bonding Program'!$P$26&lt;&gt;"",I$3='Bonding Program'!$P$26,I$3&lt;='Bonding Program'!$C$8),N('Bonding Program'!$O$26),0)</f>
        <v>0</v>
      </c>
      <c r="J167" s="19" t="n">
        <f aca="false">IF(AND('Bonding Program'!$S$26=1,'Bonding Program'!$H$26&gt;'Bonding Program'!$C$8,J$3='Bonding Program'!$H$26),'Bonding Program'!$T$26-'Bonding Program'!$U$26-'Bonding Program'!$Z$26,0)-IF(AND('Bonding Program'!$S$26=1,'Bonding Program'!$H$26&lt;='Bonding Program'!$C$8,J$3=IF('Bonding Program'!$P$26&lt;&gt;"",'Bonding Program'!$P$26,'Bonding Program'!$C$8)),'Bonding Program'!$Z$26,0)+IF(AND('Bonding Program'!$P$26&lt;&gt;"",J$3='Bonding Program'!$P$26,J$3&lt;='Bonding Program'!$C$8),N('Bonding Program'!$O$26),0)</f>
        <v>0</v>
      </c>
      <c r="K167" s="19" t="n">
        <f aca="false">IF(AND('Bonding Program'!$S$26=1,'Bonding Program'!$H$26&gt;'Bonding Program'!$C$8,K$3='Bonding Program'!$H$26),'Bonding Program'!$T$26-'Bonding Program'!$U$26-'Bonding Program'!$Z$26,0)-IF(AND('Bonding Program'!$S$26=1,'Bonding Program'!$H$26&lt;='Bonding Program'!$C$8,K$3=IF('Bonding Program'!$P$26&lt;&gt;"",'Bonding Program'!$P$26,'Bonding Program'!$C$8)),'Bonding Program'!$Z$26,0)+IF(AND('Bonding Program'!$P$26&lt;&gt;"",K$3='Bonding Program'!$P$26,K$3&lt;='Bonding Program'!$C$8),N('Bonding Program'!$O$26),0)</f>
        <v>0</v>
      </c>
      <c r="L167" s="19" t="n">
        <f aca="false">IF(AND('Bonding Program'!$S$26=1,'Bonding Program'!$H$26&gt;'Bonding Program'!$C$8,L$3='Bonding Program'!$H$26),'Bonding Program'!$T$26-'Bonding Program'!$U$26-'Bonding Program'!$Z$26,0)-IF(AND('Bonding Program'!$S$26=1,'Bonding Program'!$H$26&lt;='Bonding Program'!$C$8,L$3=IF('Bonding Program'!$P$26&lt;&gt;"",'Bonding Program'!$P$26,'Bonding Program'!$C$8)),'Bonding Program'!$Z$26,0)+IF(AND('Bonding Program'!$P$26&lt;&gt;"",L$3='Bonding Program'!$P$26,L$3&lt;='Bonding Program'!$C$8),N('Bonding Program'!$O$26),0)</f>
        <v>0</v>
      </c>
      <c r="M167" s="19" t="n">
        <f aca="false">IF(AND('Bonding Program'!$S$26=1,'Bonding Program'!$H$26&gt;'Bonding Program'!$C$8,M$3='Bonding Program'!$H$26),'Bonding Program'!$T$26-'Bonding Program'!$U$26-'Bonding Program'!$Z$26,0)-IF(AND('Bonding Program'!$S$26=1,'Bonding Program'!$H$26&lt;='Bonding Program'!$C$8,M$3=IF('Bonding Program'!$P$26&lt;&gt;"",'Bonding Program'!$P$26,'Bonding Program'!$C$8)),'Bonding Program'!$Z$26,0)+IF(AND('Bonding Program'!$P$26&lt;&gt;"",M$3='Bonding Program'!$P$26,M$3&lt;='Bonding Program'!$C$8),N('Bonding Program'!$O$26),0)</f>
        <v>0</v>
      </c>
      <c r="N167" s="19" t="n">
        <f aca="false">IF(AND('Bonding Program'!$S$26=1,'Bonding Program'!$H$26&gt;'Bonding Program'!$C$8,N$3='Bonding Program'!$H$26),'Bonding Program'!$T$26-'Bonding Program'!$U$26-'Bonding Program'!$Z$26,0)-IF(AND('Bonding Program'!$S$26=1,'Bonding Program'!$H$26&lt;='Bonding Program'!$C$8,N$3=IF('Bonding Program'!$P$26&lt;&gt;"",'Bonding Program'!$P$26,'Bonding Program'!$C$8)),'Bonding Program'!$Z$26,0)+IF(AND('Bonding Program'!$P$26&lt;&gt;"",N$3='Bonding Program'!$P$26,N$3&lt;='Bonding Program'!$C$8),N('Bonding Program'!$O$26),0)</f>
        <v>0</v>
      </c>
      <c r="O167" s="19" t="n">
        <f aca="false">IF(AND('Bonding Program'!$S$26=1,'Bonding Program'!$H$26&gt;'Bonding Program'!$C$8,O$3='Bonding Program'!$H$26),'Bonding Program'!$T$26-'Bonding Program'!$U$26-'Bonding Program'!$Z$26,0)-IF(AND('Bonding Program'!$S$26=1,'Bonding Program'!$H$26&lt;='Bonding Program'!$C$8,O$3=IF('Bonding Program'!$P$26&lt;&gt;"",'Bonding Program'!$P$26,'Bonding Program'!$C$8)),'Bonding Program'!$Z$26,0)+IF(AND('Bonding Program'!$P$26&lt;&gt;"",O$3='Bonding Program'!$P$26,O$3&lt;='Bonding Program'!$C$8),N('Bonding Program'!$O$26),0)</f>
        <v>0</v>
      </c>
      <c r="P167" s="19" t="n">
        <f aca="false">IF(AND('Bonding Program'!$S$26=1,'Bonding Program'!$H$26&gt;'Bonding Program'!$C$8,P$3='Bonding Program'!$H$26),'Bonding Program'!$T$26-'Bonding Program'!$U$26-'Bonding Program'!$Z$26,0)-IF(AND('Bonding Program'!$S$26=1,'Bonding Program'!$H$26&lt;='Bonding Program'!$C$8,P$3=IF('Bonding Program'!$P$26&lt;&gt;"",'Bonding Program'!$P$26,'Bonding Program'!$C$8)),'Bonding Program'!$Z$26,0)+IF(AND('Bonding Program'!$P$26&lt;&gt;"",P$3='Bonding Program'!$P$26,P$3&lt;='Bonding Program'!$C$8),N('Bonding Program'!$O$26),0)</f>
        <v>0</v>
      </c>
      <c r="Q167" s="19" t="n">
        <f aca="false">IF(AND('Bonding Program'!$S$26=1,'Bonding Program'!$H$26&gt;'Bonding Program'!$C$8,Q$3='Bonding Program'!$H$26),'Bonding Program'!$T$26-'Bonding Program'!$U$26-'Bonding Program'!$Z$26,0)-IF(AND('Bonding Program'!$S$26=1,'Bonding Program'!$H$26&lt;='Bonding Program'!$C$8,Q$3=IF('Bonding Program'!$P$26&lt;&gt;"",'Bonding Program'!$P$26,'Bonding Program'!$C$8)),'Bonding Program'!$Z$26,0)+IF(AND('Bonding Program'!$P$26&lt;&gt;"",Q$3='Bonding Program'!$P$26,Q$3&lt;='Bonding Program'!$C$8),N('Bonding Program'!$O$26),0)</f>
        <v>-332539.874568966</v>
      </c>
      <c r="R167" s="19" t="n">
        <f aca="false">IF(AND('Bonding Program'!$S$26=1,'Bonding Program'!$H$26&gt;'Bonding Program'!$C$8,R$3='Bonding Program'!$H$26),'Bonding Program'!$T$26-'Bonding Program'!$U$26-'Bonding Program'!$Z$26,0)-IF(AND('Bonding Program'!$S$26=1,'Bonding Program'!$H$26&lt;='Bonding Program'!$C$8,R$3=IF('Bonding Program'!$P$26&lt;&gt;"",'Bonding Program'!$P$26,'Bonding Program'!$C$8)),'Bonding Program'!$Z$26,0)+IF(AND('Bonding Program'!$P$26&lt;&gt;"",R$3='Bonding Program'!$P$26,R$3&lt;='Bonding Program'!$C$8),N('Bonding Program'!$O$26),0)</f>
        <v>0</v>
      </c>
      <c r="S167" s="19" t="n">
        <f aca="false">IF(AND('Bonding Program'!$S$26=1,'Bonding Program'!$H$26&gt;'Bonding Program'!$C$8,S$3='Bonding Program'!$H$26),'Bonding Program'!$T$26-'Bonding Program'!$U$26-'Bonding Program'!$Z$26,0)-IF(AND('Bonding Program'!$S$26=1,'Bonding Program'!$H$26&lt;='Bonding Program'!$C$8,S$3=IF('Bonding Program'!$P$26&lt;&gt;"",'Bonding Program'!$P$26,'Bonding Program'!$C$8)),'Bonding Program'!$Z$26,0)+IF(AND('Bonding Program'!$P$26&lt;&gt;"",S$3='Bonding Program'!$P$26,S$3&lt;='Bonding Program'!$C$8),N('Bonding Program'!$O$26),0)</f>
        <v>0</v>
      </c>
      <c r="T167" s="19" t="n">
        <f aca="false">IF(AND('Bonding Program'!$S$26=1,'Bonding Program'!$H$26&gt;'Bonding Program'!$C$8,T$3='Bonding Program'!$H$26),'Bonding Program'!$T$26-'Bonding Program'!$U$26-'Bonding Program'!$Z$26,0)-IF(AND('Bonding Program'!$S$26=1,'Bonding Program'!$H$26&lt;='Bonding Program'!$C$8,T$3=IF('Bonding Program'!$P$26&lt;&gt;"",'Bonding Program'!$P$26,'Bonding Program'!$C$8)),'Bonding Program'!$Z$26,0)+IF(AND('Bonding Program'!$P$26&lt;&gt;"",T$3='Bonding Program'!$P$26,T$3&lt;='Bonding Program'!$C$8),N('Bonding Program'!$O$26),0)</f>
        <v>0</v>
      </c>
      <c r="U167" s="19" t="n">
        <f aca="false">IF(AND('Bonding Program'!$S$26=1,'Bonding Program'!$H$26&gt;'Bonding Program'!$C$8,U$3='Bonding Program'!$H$26),'Bonding Program'!$T$26-'Bonding Program'!$U$26-'Bonding Program'!$Z$26,0)-IF(AND('Bonding Program'!$S$26=1,'Bonding Program'!$H$26&lt;='Bonding Program'!$C$8,U$3=IF('Bonding Program'!$P$26&lt;&gt;"",'Bonding Program'!$P$26,'Bonding Program'!$C$8)),'Bonding Program'!$Z$26,0)+IF(AND('Bonding Program'!$P$26&lt;&gt;"",U$3='Bonding Program'!$P$26,U$3&lt;='Bonding Program'!$C$8),N('Bonding Program'!$O$26),0)</f>
        <v>0</v>
      </c>
      <c r="V167" s="19" t="n">
        <f aca="false">IF(AND('Bonding Program'!$S$26=1,'Bonding Program'!$H$26&gt;'Bonding Program'!$C$8,V$3='Bonding Program'!$H$26),'Bonding Program'!$T$26-'Bonding Program'!$U$26-'Bonding Program'!$Z$26,0)-IF(AND('Bonding Program'!$S$26=1,'Bonding Program'!$H$26&lt;='Bonding Program'!$C$8,V$3=IF('Bonding Program'!$P$26&lt;&gt;"",'Bonding Program'!$P$26,'Bonding Program'!$C$8)),'Bonding Program'!$Z$26,0)+IF(AND('Bonding Program'!$P$26&lt;&gt;"",V$3='Bonding Program'!$P$26,V$3&lt;='Bonding Program'!$C$8),N('Bonding Program'!$O$26),0)</f>
        <v>0</v>
      </c>
      <c r="W167" s="19" t="n">
        <f aca="false">IF(AND('Bonding Program'!$S$26=1,'Bonding Program'!$H$26&gt;'Bonding Program'!$C$8,W$3='Bonding Program'!$H$26),'Bonding Program'!$T$26-'Bonding Program'!$U$26-'Bonding Program'!$Z$26,0)-IF(AND('Bonding Program'!$S$26=1,'Bonding Program'!$H$26&lt;='Bonding Program'!$C$8,W$3=IF('Bonding Program'!$P$26&lt;&gt;"",'Bonding Program'!$P$26,'Bonding Program'!$C$8)),'Bonding Program'!$Z$26,0)+IF(AND('Bonding Program'!$P$26&lt;&gt;"",W$3='Bonding Program'!$P$26,W$3&lt;='Bonding Program'!$C$8),N('Bonding Program'!$O$26),0)</f>
        <v>0</v>
      </c>
      <c r="X167" s="19" t="n">
        <f aca="false">IF(AND('Bonding Program'!$S$26=1,'Bonding Program'!$H$26&gt;'Bonding Program'!$C$8,X$3='Bonding Program'!$H$26),'Bonding Program'!$T$26-'Bonding Program'!$U$26-'Bonding Program'!$Z$26,0)-IF(AND('Bonding Program'!$S$26=1,'Bonding Program'!$H$26&lt;='Bonding Program'!$C$8,X$3=IF('Bonding Program'!$P$26&lt;&gt;"",'Bonding Program'!$P$26,'Bonding Program'!$C$8)),'Bonding Program'!$Z$26,0)+IF(AND('Bonding Program'!$P$26&lt;&gt;"",X$3='Bonding Program'!$P$26,X$3&lt;='Bonding Program'!$C$8),N('Bonding Program'!$O$26),0)</f>
        <v>0</v>
      </c>
      <c r="Y167" s="19" t="n">
        <f aca="false">IF(AND('Bonding Program'!$S$26=1,'Bonding Program'!$H$26&gt;'Bonding Program'!$C$8,Y$3='Bonding Program'!$H$26),'Bonding Program'!$T$26-'Bonding Program'!$U$26-'Bonding Program'!$Z$26,0)-IF(AND('Bonding Program'!$S$26=1,'Bonding Program'!$H$26&lt;='Bonding Program'!$C$8,Y$3=IF('Bonding Program'!$P$26&lt;&gt;"",'Bonding Program'!$P$26,'Bonding Program'!$C$8)),'Bonding Program'!$Z$26,0)+IF(AND('Bonding Program'!$P$26&lt;&gt;"",Y$3='Bonding Program'!$P$26,Y$3&lt;='Bonding Program'!$C$8),N('Bonding Program'!$O$26),0)</f>
        <v>0</v>
      </c>
      <c r="Z167" s="19" t="n">
        <f aca="false">IF(AND('Bonding Program'!$S$26=1,'Bonding Program'!$H$26&gt;'Bonding Program'!$C$8,Z$3='Bonding Program'!$H$26),'Bonding Program'!$T$26-'Bonding Program'!$U$26-'Bonding Program'!$Z$26,0)-IF(AND('Bonding Program'!$S$26=1,'Bonding Program'!$H$26&lt;='Bonding Program'!$C$8,Z$3=IF('Bonding Program'!$P$26&lt;&gt;"",'Bonding Program'!$P$26,'Bonding Program'!$C$8)),'Bonding Program'!$Z$26,0)+IF(AND('Bonding Program'!$P$26&lt;&gt;"",Z$3='Bonding Program'!$P$26,Z$3&lt;='Bonding Program'!$C$8),N('Bonding Program'!$O$26),0)</f>
        <v>0</v>
      </c>
      <c r="AA167" s="19" t="n">
        <f aca="false">IF(AND('Bonding Program'!$S$26=1,'Bonding Program'!$H$26&gt;'Bonding Program'!$C$8,AA$3='Bonding Program'!$H$26),'Bonding Program'!$T$26-'Bonding Program'!$U$26-'Bonding Program'!$Z$26,0)-IF(AND('Bonding Program'!$S$26=1,'Bonding Program'!$H$26&lt;='Bonding Program'!$C$8,AA$3=IF('Bonding Program'!$P$26&lt;&gt;"",'Bonding Program'!$P$26,'Bonding Program'!$C$8)),'Bonding Program'!$Z$26,0)+IF(AND('Bonding Program'!$P$26&lt;&gt;"",AA$3='Bonding Program'!$P$26,AA$3&lt;='Bonding Program'!$C$8),N('Bonding Program'!$O$26),0)</f>
        <v>0</v>
      </c>
      <c r="AB167" s="19" t="n">
        <f aca="false">IF(AND('Bonding Program'!$S$26=1,'Bonding Program'!$H$26&gt;'Bonding Program'!$C$8,AB$3='Bonding Program'!$H$26),'Bonding Program'!$T$26-'Bonding Program'!$U$26-'Bonding Program'!$Z$26,0)-IF(AND('Bonding Program'!$S$26=1,'Bonding Program'!$H$26&lt;='Bonding Program'!$C$8,AB$3=IF('Bonding Program'!$P$26&lt;&gt;"",'Bonding Program'!$P$26,'Bonding Program'!$C$8)),'Bonding Program'!$Z$26,0)+IF(AND('Bonding Program'!$P$26&lt;&gt;"",AB$3='Bonding Program'!$P$26,AB$3&lt;='Bonding Program'!$C$8),N('Bonding Program'!$O$26),0)</f>
        <v>0</v>
      </c>
      <c r="AC167" s="19" t="n">
        <f aca="false">IF(AND('Bonding Program'!$S$26=1,'Bonding Program'!$H$26&gt;'Bonding Program'!$C$8,AC$3='Bonding Program'!$H$26),'Bonding Program'!$T$26-'Bonding Program'!$U$26-'Bonding Program'!$Z$26,0)-IF(AND('Bonding Program'!$S$26=1,'Bonding Program'!$H$26&lt;='Bonding Program'!$C$8,AC$3=IF('Bonding Program'!$P$26&lt;&gt;"",'Bonding Program'!$P$26,'Bonding Program'!$C$8)),'Bonding Program'!$Z$26,0)+IF(AND('Bonding Program'!$P$26&lt;&gt;"",AC$3='Bonding Program'!$P$26,AC$3&lt;='Bonding Program'!$C$8),N('Bonding Program'!$O$26),0)</f>
        <v>0</v>
      </c>
      <c r="AD167" s="19" t="n">
        <f aca="false">IF(AND('Bonding Program'!$S$26=1,'Bonding Program'!$H$26&gt;'Bonding Program'!$C$8,AD$3='Bonding Program'!$H$26),'Bonding Program'!$T$26-'Bonding Program'!$U$26-'Bonding Program'!$Z$26,0)-IF(AND('Bonding Program'!$S$26=1,'Bonding Program'!$H$26&lt;='Bonding Program'!$C$8,AD$3=IF('Bonding Program'!$P$26&lt;&gt;"",'Bonding Program'!$P$26,'Bonding Program'!$C$8)),'Bonding Program'!$Z$26,0)+IF(AND('Bonding Program'!$P$26&lt;&gt;"",AD$3='Bonding Program'!$P$26,AD$3&lt;='Bonding Program'!$C$8),N('Bonding Program'!$O$26),0)</f>
        <v>0</v>
      </c>
      <c r="AE167" s="19" t="n">
        <f aca="false">IF(AND('Bonding Program'!$S$26=1,'Bonding Program'!$H$26&gt;'Bonding Program'!$C$8,AE$3='Bonding Program'!$H$26),'Bonding Program'!$T$26-'Bonding Program'!$U$26-'Bonding Program'!$Z$26,0)-IF(AND('Bonding Program'!$S$26=1,'Bonding Program'!$H$26&lt;='Bonding Program'!$C$8,AE$3=IF('Bonding Program'!$P$26&lt;&gt;"",'Bonding Program'!$P$26,'Bonding Program'!$C$8)),'Bonding Program'!$Z$26,0)+IF(AND('Bonding Program'!$P$26&lt;&gt;"",AE$3='Bonding Program'!$P$26,AE$3&lt;='Bonding Program'!$C$8),N('Bonding Program'!$O$26),0)</f>
        <v>0</v>
      </c>
      <c r="AF167" s="19" t="n">
        <f aca="false">IF(AND('Bonding Program'!$S$26=1,'Bonding Program'!$H$26&gt;'Bonding Program'!$C$8,AF$3='Bonding Program'!$H$26),'Bonding Program'!$T$26-'Bonding Program'!$U$26-'Bonding Program'!$Z$26,0)-IF(AND('Bonding Program'!$S$26=1,'Bonding Program'!$H$26&lt;='Bonding Program'!$C$8,AF$3=IF('Bonding Program'!$P$26&lt;&gt;"",'Bonding Program'!$P$26,'Bonding Program'!$C$8)),'Bonding Program'!$Z$26,0)+IF(AND('Bonding Program'!$P$26&lt;&gt;"",AF$3='Bonding Program'!$P$26,AF$3&lt;='Bonding Program'!$C$8),N('Bonding Program'!$O$26),0)</f>
        <v>0</v>
      </c>
      <c r="AG167" s="19" t="n">
        <f aca="false">IF(AND('Bonding Program'!$S$26=1,'Bonding Program'!$H$26&gt;'Bonding Program'!$C$8,AG$3='Bonding Program'!$H$26),'Bonding Program'!$T$26-'Bonding Program'!$U$26-'Bonding Program'!$Z$26,0)-IF(AND('Bonding Program'!$S$26=1,'Bonding Program'!$H$26&lt;='Bonding Program'!$C$8,AG$3=IF('Bonding Program'!$P$26&lt;&gt;"",'Bonding Program'!$P$26,'Bonding Program'!$C$8)),'Bonding Program'!$Z$26,0)+IF(AND('Bonding Program'!$P$26&lt;&gt;"",AG$3='Bonding Program'!$P$26,AG$3&lt;='Bonding Program'!$C$8),N('Bonding Program'!$O$26),0)</f>
        <v>0</v>
      </c>
      <c r="AH167" s="19" t="n">
        <f aca="false">IF(AND('Bonding Program'!$S$26=1,'Bonding Program'!$H$26&gt;'Bonding Program'!$C$8,AH$3='Bonding Program'!$H$26),'Bonding Program'!$T$26-'Bonding Program'!$U$26-'Bonding Program'!$Z$26,0)-IF(AND('Bonding Program'!$S$26=1,'Bonding Program'!$H$26&lt;='Bonding Program'!$C$8,AH$3=IF('Bonding Program'!$P$26&lt;&gt;"",'Bonding Program'!$P$26,'Bonding Program'!$C$8)),'Bonding Program'!$Z$26,0)+IF(AND('Bonding Program'!$P$26&lt;&gt;"",AH$3='Bonding Program'!$P$26,AH$3&lt;='Bonding Program'!$C$8),N('Bonding Program'!$O$26),0)</f>
        <v>0</v>
      </c>
      <c r="AI167" s="19" t="n">
        <f aca="false">IF(AND('Bonding Program'!$S$26=1,'Bonding Program'!$H$26&gt;'Bonding Program'!$C$8,AI$3='Bonding Program'!$H$26),'Bonding Program'!$T$26-'Bonding Program'!$U$26-'Bonding Program'!$Z$26,0)-IF(AND('Bonding Program'!$S$26=1,'Bonding Program'!$H$26&lt;='Bonding Program'!$C$8,AI$3=IF('Bonding Program'!$P$26&lt;&gt;"",'Bonding Program'!$P$26,'Bonding Program'!$C$8)),'Bonding Program'!$Z$26,0)+IF(AND('Bonding Program'!$P$26&lt;&gt;"",AI$3='Bonding Program'!$P$26,AI$3&lt;='Bonding Program'!$C$8),N('Bonding Program'!$O$26),0)</f>
        <v>0</v>
      </c>
      <c r="AJ167" s="19" t="n">
        <f aca="false">IF(AND('Bonding Program'!$S$26=1,'Bonding Program'!$H$26&gt;'Bonding Program'!$C$8,AJ$3='Bonding Program'!$H$26),'Bonding Program'!$T$26-'Bonding Program'!$U$26-'Bonding Program'!$Z$26,0)-IF(AND('Bonding Program'!$S$26=1,'Bonding Program'!$H$26&lt;='Bonding Program'!$C$8,AJ$3=IF('Bonding Program'!$P$26&lt;&gt;"",'Bonding Program'!$P$26,'Bonding Program'!$C$8)),'Bonding Program'!$Z$26,0)+IF(AND('Bonding Program'!$P$26&lt;&gt;"",AJ$3='Bonding Program'!$P$26,AJ$3&lt;='Bonding Program'!$C$8),N('Bonding Program'!$O$26),0)</f>
        <v>0</v>
      </c>
      <c r="AK167" s="19" t="n">
        <f aca="false">IF(AND('Bonding Program'!$S$26=1,'Bonding Program'!$H$26&gt;'Bonding Program'!$C$8,AK$3='Bonding Program'!$H$26),'Bonding Program'!$T$26-'Bonding Program'!$U$26-'Bonding Program'!$Z$26,0)-IF(AND('Bonding Program'!$S$26=1,'Bonding Program'!$H$26&lt;='Bonding Program'!$C$8,AK$3=IF('Bonding Program'!$P$26&lt;&gt;"",'Bonding Program'!$P$26,'Bonding Program'!$C$8)),'Bonding Program'!$Z$26,0)+IF(AND('Bonding Program'!$P$26&lt;&gt;"",AK$3='Bonding Program'!$P$26,AK$3&lt;='Bonding Program'!$C$8),N('Bonding Program'!$O$26),0)</f>
        <v>0</v>
      </c>
      <c r="AL167" s="19" t="n">
        <f aca="false">IF(AND('Bonding Program'!$S$26=1,'Bonding Program'!$H$26&gt;'Bonding Program'!$C$8,AL$3='Bonding Program'!$H$26),'Bonding Program'!$T$26-'Bonding Program'!$U$26-'Bonding Program'!$Z$26,0)-IF(AND('Bonding Program'!$S$26=1,'Bonding Program'!$H$26&lt;='Bonding Program'!$C$8,AL$3=IF('Bonding Program'!$P$26&lt;&gt;"",'Bonding Program'!$P$26,'Bonding Program'!$C$8)),'Bonding Program'!$Z$26,0)+IF(AND('Bonding Program'!$P$26&lt;&gt;"",AL$3='Bonding Program'!$P$26,AL$3&lt;='Bonding Program'!$C$8),N('Bonding Program'!$O$26),0)</f>
        <v>0</v>
      </c>
      <c r="AM167" s="19" t="n">
        <f aca="false">IF(AND('Bonding Program'!$S$26=1,'Bonding Program'!$H$26&gt;'Bonding Program'!$C$8,AM$3='Bonding Program'!$H$26),'Bonding Program'!$T$26-'Bonding Program'!$U$26-'Bonding Program'!$Z$26,0)-IF(AND('Bonding Program'!$S$26=1,'Bonding Program'!$H$26&lt;='Bonding Program'!$C$8,AM$3=IF('Bonding Program'!$P$26&lt;&gt;"",'Bonding Program'!$P$26,'Bonding Program'!$C$8)),'Bonding Program'!$Z$26,0)+IF(AND('Bonding Program'!$P$26&lt;&gt;"",AM$3='Bonding Program'!$P$26,AM$3&lt;='Bonding Program'!$C$8),N('Bonding Program'!$O$26),0)</f>
        <v>0</v>
      </c>
      <c r="AN167" s="19" t="n">
        <f aca="false">IF(AND('Bonding Program'!$S$26=1,'Bonding Program'!$H$26&gt;'Bonding Program'!$C$8,AN$3='Bonding Program'!$H$26),'Bonding Program'!$T$26-'Bonding Program'!$U$26-'Bonding Program'!$Z$26,0)-IF(AND('Bonding Program'!$S$26=1,'Bonding Program'!$H$26&lt;='Bonding Program'!$C$8,AN$3=IF('Bonding Program'!$P$26&lt;&gt;"",'Bonding Program'!$P$26,'Bonding Program'!$C$8)),'Bonding Program'!$Z$26,0)+IF(AND('Bonding Program'!$P$26&lt;&gt;"",AN$3='Bonding Program'!$P$26,AN$3&lt;='Bonding Program'!$C$8),N('Bonding Program'!$O$26),0)</f>
        <v>0</v>
      </c>
      <c r="AO167" s="19" t="n">
        <f aca="false">IF(AND('Bonding Program'!$S$26=1,'Bonding Program'!$H$26&gt;'Bonding Program'!$C$8,AO$3='Bonding Program'!$H$26),'Bonding Program'!$T$26-'Bonding Program'!$U$26-'Bonding Program'!$Z$26,0)-IF(AND('Bonding Program'!$S$26=1,'Bonding Program'!$H$26&lt;='Bonding Program'!$C$8,AO$3=IF('Bonding Program'!$P$26&lt;&gt;"",'Bonding Program'!$P$26,'Bonding Program'!$C$8)),'Bonding Program'!$Z$26,0)+IF(AND('Bonding Program'!$P$26&lt;&gt;"",AO$3='Bonding Program'!$P$26,AO$3&lt;='Bonding Program'!$C$8),N('Bonding Program'!$O$26),0)</f>
        <v>0</v>
      </c>
      <c r="AP167" s="19" t="n">
        <f aca="false">IF(AND('Bonding Program'!$S$26=1,'Bonding Program'!$H$26&gt;'Bonding Program'!$C$8,AP$3='Bonding Program'!$H$26),'Bonding Program'!$T$26-'Bonding Program'!$U$26-'Bonding Program'!$Z$26,0)-IF(AND('Bonding Program'!$S$26=1,'Bonding Program'!$H$26&lt;='Bonding Program'!$C$8,AP$3=IF('Bonding Program'!$P$26&lt;&gt;"",'Bonding Program'!$P$26,'Bonding Program'!$C$8)),'Bonding Program'!$Z$26,0)+IF(AND('Bonding Program'!$P$26&lt;&gt;"",AP$3='Bonding Program'!$P$26,AP$3&lt;='Bonding Program'!$C$8),N('Bonding Program'!$O$26),0)</f>
        <v>0</v>
      </c>
      <c r="AQ167" s="19" t="n">
        <f aca="false">IF(AND('Bonding Program'!$S$26=1,'Bonding Program'!$H$26&gt;'Bonding Program'!$C$8,AQ$3='Bonding Program'!$H$26),'Bonding Program'!$T$26-'Bonding Program'!$U$26-'Bonding Program'!$Z$26,0)-IF(AND('Bonding Program'!$S$26=1,'Bonding Program'!$H$26&lt;='Bonding Program'!$C$8,AQ$3=IF('Bonding Program'!$P$26&lt;&gt;"",'Bonding Program'!$P$26,'Bonding Program'!$C$8)),'Bonding Program'!$Z$26,0)+IF(AND('Bonding Program'!$P$26&lt;&gt;"",AQ$3='Bonding Program'!$P$26,AQ$3&lt;='Bonding Program'!$C$8),N('Bonding Program'!$O$26),0)</f>
        <v>0</v>
      </c>
      <c r="AR167" s="19" t="n">
        <f aca="false">IF(AND('Bonding Program'!$S$26=1,'Bonding Program'!$H$26&gt;'Bonding Program'!$C$8,AR$3='Bonding Program'!$H$26),'Bonding Program'!$T$26-'Bonding Program'!$U$26-'Bonding Program'!$Z$26,0)-IF(AND('Bonding Program'!$S$26=1,'Bonding Program'!$H$26&lt;='Bonding Program'!$C$8,AR$3=IF('Bonding Program'!$P$26&lt;&gt;"",'Bonding Program'!$P$26,'Bonding Program'!$C$8)),'Bonding Program'!$Z$26,0)+IF(AND('Bonding Program'!$P$26&lt;&gt;"",AR$3='Bonding Program'!$P$26,AR$3&lt;='Bonding Program'!$C$8),N('Bonding Program'!$O$26),0)</f>
        <v>0</v>
      </c>
      <c r="AS167" s="19" t="n">
        <f aca="false">IF(AND('Bonding Program'!$S$26=1,'Bonding Program'!$H$26&gt;'Bonding Program'!$C$8,AS$3='Bonding Program'!$H$26),'Bonding Program'!$T$26-'Bonding Program'!$U$26-'Bonding Program'!$Z$26,0)-IF(AND('Bonding Program'!$S$26=1,'Bonding Program'!$H$26&lt;='Bonding Program'!$C$8,AS$3=IF('Bonding Program'!$P$26&lt;&gt;"",'Bonding Program'!$P$26,'Bonding Program'!$C$8)),'Bonding Program'!$Z$26,0)+IF(AND('Bonding Program'!$P$26&lt;&gt;"",AS$3='Bonding Program'!$P$26,AS$3&lt;='Bonding Program'!$C$8),N('Bonding Program'!$O$26),0)</f>
        <v>0</v>
      </c>
      <c r="AT167" s="19" t="n">
        <f aca="false">IF(AND('Bonding Program'!$S$26=1,'Bonding Program'!$H$26&gt;'Bonding Program'!$C$8,AT$3='Bonding Program'!$H$26),'Bonding Program'!$T$26-'Bonding Program'!$U$26-'Bonding Program'!$Z$26,0)-IF(AND('Bonding Program'!$S$26=1,'Bonding Program'!$H$26&lt;='Bonding Program'!$C$8,AT$3=IF('Bonding Program'!$P$26&lt;&gt;"",'Bonding Program'!$P$26,'Bonding Program'!$C$8)),'Bonding Program'!$Z$26,0)+IF(AND('Bonding Program'!$P$26&lt;&gt;"",AT$3='Bonding Program'!$P$26,AT$3&lt;='Bonding Program'!$C$8),N('Bonding Program'!$O$26),0)</f>
        <v>0</v>
      </c>
      <c r="AU167" s="19" t="n">
        <f aca="false">IF(AND('Bonding Program'!$S$26=1,'Bonding Program'!$H$26&gt;'Bonding Program'!$C$8,AU$3='Bonding Program'!$H$26),'Bonding Program'!$T$26-'Bonding Program'!$U$26-'Bonding Program'!$Z$26,0)-IF(AND('Bonding Program'!$S$26=1,'Bonding Program'!$H$26&lt;='Bonding Program'!$C$8,AU$3=IF('Bonding Program'!$P$26&lt;&gt;"",'Bonding Program'!$P$26,'Bonding Program'!$C$8)),'Bonding Program'!$Z$26,0)+IF(AND('Bonding Program'!$P$26&lt;&gt;"",AU$3='Bonding Program'!$P$26,AU$3&lt;='Bonding Program'!$C$8),N('Bonding Program'!$O$26),0)</f>
        <v>0</v>
      </c>
      <c r="AV167" s="19" t="n">
        <f aca="false">IF(AND('Bonding Program'!$S$26=1,'Bonding Program'!$H$26&gt;'Bonding Program'!$C$8,AV$3='Bonding Program'!$H$26),'Bonding Program'!$T$26-'Bonding Program'!$U$26-'Bonding Program'!$Z$26,0)-IF(AND('Bonding Program'!$S$26=1,'Bonding Program'!$H$26&lt;='Bonding Program'!$C$8,AV$3=IF('Bonding Program'!$P$26&lt;&gt;"",'Bonding Program'!$P$26,'Bonding Program'!$C$8)),'Bonding Program'!$Z$26,0)+IF(AND('Bonding Program'!$P$26&lt;&gt;"",AV$3='Bonding Program'!$P$26,AV$3&lt;='Bonding Program'!$C$8),N('Bonding Program'!$O$26),0)</f>
        <v>0</v>
      </c>
      <c r="AW167" s="19" t="n">
        <f aca="false">IF(AND('Bonding Program'!$S$26=1,'Bonding Program'!$H$26&gt;'Bonding Program'!$C$8,AW$3='Bonding Program'!$H$26),'Bonding Program'!$T$26-'Bonding Program'!$U$26-'Bonding Program'!$Z$26,0)-IF(AND('Bonding Program'!$S$26=1,'Bonding Program'!$H$26&lt;='Bonding Program'!$C$8,AW$3=IF('Bonding Program'!$P$26&lt;&gt;"",'Bonding Program'!$P$26,'Bonding Program'!$C$8)),'Bonding Program'!$Z$26,0)+IF(AND('Bonding Program'!$P$26&lt;&gt;"",AW$3='Bonding Program'!$P$26,AW$3&lt;='Bonding Program'!$C$8),N('Bonding Program'!$O$26),0)</f>
        <v>0</v>
      </c>
      <c r="AX167" s="19" t="n">
        <f aca="false">IF(AND('Bonding Program'!$S$26=1,'Bonding Program'!$H$26&gt;'Bonding Program'!$C$8,AX$3='Bonding Program'!$H$26),'Bonding Program'!$T$26-'Bonding Program'!$U$26-'Bonding Program'!$Z$26,0)-IF(AND('Bonding Program'!$S$26=1,'Bonding Program'!$H$26&lt;='Bonding Program'!$C$8,AX$3=IF('Bonding Program'!$P$26&lt;&gt;"",'Bonding Program'!$P$26,'Bonding Program'!$C$8)),'Bonding Program'!$Z$26,0)+IF(AND('Bonding Program'!$P$26&lt;&gt;"",AX$3='Bonding Program'!$P$26,AX$3&lt;='Bonding Program'!$C$8),N('Bonding Program'!$O$26),0)</f>
        <v>0</v>
      </c>
      <c r="AY167" s="19" t="n">
        <f aca="false">IF(AND('Bonding Program'!$S$26=1,'Bonding Program'!$H$26&gt;'Bonding Program'!$C$8,AY$3='Bonding Program'!$H$26),'Bonding Program'!$T$26-'Bonding Program'!$U$26-'Bonding Program'!$Z$26,0)-IF(AND('Bonding Program'!$S$26=1,'Bonding Program'!$H$26&lt;='Bonding Program'!$C$8,AY$3=IF('Bonding Program'!$P$26&lt;&gt;"",'Bonding Program'!$P$26,'Bonding Program'!$C$8)),'Bonding Program'!$Z$26,0)+IF(AND('Bonding Program'!$P$26&lt;&gt;"",AY$3='Bonding Program'!$P$26,AY$3&lt;='Bonding Program'!$C$8),N('Bonding Program'!$O$26),0)</f>
        <v>0</v>
      </c>
      <c r="AZ167" s="19" t="n">
        <f aca="false">IF(AND('Bonding Program'!$S$26=1,'Bonding Program'!$H$26&gt;'Bonding Program'!$C$8,AZ$3='Bonding Program'!$H$26),'Bonding Program'!$T$26-'Bonding Program'!$U$26-'Bonding Program'!$Z$26,0)-IF(AND('Bonding Program'!$S$26=1,'Bonding Program'!$H$26&lt;='Bonding Program'!$C$8,AZ$3=IF('Bonding Program'!$P$26&lt;&gt;"",'Bonding Program'!$P$26,'Bonding Program'!$C$8)),'Bonding Program'!$Z$26,0)+IF(AND('Bonding Program'!$P$26&lt;&gt;"",AZ$3='Bonding Program'!$P$26,AZ$3&lt;='Bonding Program'!$C$8),N('Bonding Program'!$O$26),0)</f>
        <v>0</v>
      </c>
      <c r="BA167" s="19" t="n">
        <f aca="false">IF(AND('Bonding Program'!$S$26=1,'Bonding Program'!$H$26&gt;'Bonding Program'!$C$8,BA$3='Bonding Program'!$H$26),'Bonding Program'!$T$26-'Bonding Program'!$U$26-'Bonding Program'!$Z$26,0)-IF(AND('Bonding Program'!$S$26=1,'Bonding Program'!$H$26&lt;='Bonding Program'!$C$8,BA$3=IF('Bonding Program'!$P$26&lt;&gt;"",'Bonding Program'!$P$26,'Bonding Program'!$C$8)),'Bonding Program'!$Z$26,0)+IF(AND('Bonding Program'!$P$26&lt;&gt;"",BA$3='Bonding Program'!$P$26,BA$3&lt;='Bonding Program'!$C$8),N('Bonding Program'!$O$26),0)</f>
        <v>0</v>
      </c>
      <c r="BB167" s="19" t="n">
        <f aca="false">IF(AND('Bonding Program'!$S$26=1,'Bonding Program'!$H$26&gt;'Bonding Program'!$C$8,BB$3='Bonding Program'!$H$26),'Bonding Program'!$T$26-'Bonding Program'!$U$26-'Bonding Program'!$Z$26,0)-IF(AND('Bonding Program'!$S$26=1,'Bonding Program'!$H$26&lt;='Bonding Program'!$C$8,BB$3=IF('Bonding Program'!$P$26&lt;&gt;"",'Bonding Program'!$P$26,'Bonding Program'!$C$8)),'Bonding Program'!$Z$26,0)+IF(AND('Bonding Program'!$P$26&lt;&gt;"",BB$3='Bonding Program'!$P$26,BB$3&lt;='Bonding Program'!$C$8),N('Bonding Program'!$O$26),0)</f>
        <v>0</v>
      </c>
      <c r="BC167" s="19" t="n">
        <f aca="false">IF(AND('Bonding Program'!$S$26=1,'Bonding Program'!$H$26&gt;'Bonding Program'!$C$8,BC$3='Bonding Program'!$H$26),'Bonding Program'!$T$26-'Bonding Program'!$U$26-'Bonding Program'!$Z$26,0)-IF(AND('Bonding Program'!$S$26=1,'Bonding Program'!$H$26&lt;='Bonding Program'!$C$8,BC$3=IF('Bonding Program'!$P$26&lt;&gt;"",'Bonding Program'!$P$26,'Bonding Program'!$C$8)),'Bonding Program'!$Z$26,0)+IF(AND('Bonding Program'!$P$26&lt;&gt;"",BC$3='Bonding Program'!$P$26,BC$3&lt;='Bonding Program'!$C$8),N('Bonding Program'!$O$26),0)</f>
        <v>0</v>
      </c>
      <c r="BD167" s="19" t="n">
        <f aca="false">IF(AND('Bonding Program'!$S$26=1,'Bonding Program'!$H$26&gt;'Bonding Program'!$C$8,BD$3='Bonding Program'!$H$26),'Bonding Program'!$T$26-'Bonding Program'!$U$26-'Bonding Program'!$Z$26,0)-IF(AND('Bonding Program'!$S$26=1,'Bonding Program'!$H$26&lt;='Bonding Program'!$C$8,BD$3=IF('Bonding Program'!$P$26&lt;&gt;"",'Bonding Program'!$P$26,'Bonding Program'!$C$8)),'Bonding Program'!$Z$26,0)+IF(AND('Bonding Program'!$P$26&lt;&gt;"",BD$3='Bonding Program'!$P$26,BD$3&lt;='Bonding Program'!$C$8),N('Bonding Program'!$O$26),0)</f>
        <v>0</v>
      </c>
      <c r="BE167" s="19" t="n">
        <f aca="false">IF(AND('Bonding Program'!$S$26=1,'Bonding Program'!$H$26&gt;'Bonding Program'!$C$8,BE$3='Bonding Program'!$H$26),'Bonding Program'!$T$26-'Bonding Program'!$U$26-'Bonding Program'!$Z$26,0)-IF(AND('Bonding Program'!$S$26=1,'Bonding Program'!$H$26&lt;='Bonding Program'!$C$8,BE$3=IF('Bonding Program'!$P$26&lt;&gt;"",'Bonding Program'!$P$26,'Bonding Program'!$C$8)),'Bonding Program'!$Z$26,0)+IF(AND('Bonding Program'!$P$26&lt;&gt;"",BE$3='Bonding Program'!$P$26,BE$3&lt;='Bonding Program'!$C$8),N('Bonding Program'!$O$26),0)</f>
        <v>0</v>
      </c>
      <c r="BF167" s="19" t="n">
        <f aca="false">IF(AND('Bonding Program'!$S$26=1,'Bonding Program'!$H$26&gt;'Bonding Program'!$C$8,BF$3='Bonding Program'!$H$26),'Bonding Program'!$T$26-'Bonding Program'!$U$26-'Bonding Program'!$Z$26,0)-IF(AND('Bonding Program'!$S$26=1,'Bonding Program'!$H$26&lt;='Bonding Program'!$C$8,BF$3=IF('Bonding Program'!$P$26&lt;&gt;"",'Bonding Program'!$P$26,'Bonding Program'!$C$8)),'Bonding Program'!$Z$26,0)+IF(AND('Bonding Program'!$P$26&lt;&gt;"",BF$3='Bonding Program'!$P$26,BF$3&lt;='Bonding Program'!$C$8),N('Bonding Program'!$O$26),0)</f>
        <v>0</v>
      </c>
      <c r="BG167" s="19" t="n">
        <f aca="false">IF(AND('Bonding Program'!$S$26=1,'Bonding Program'!$H$26&gt;'Bonding Program'!$C$8,BG$3='Bonding Program'!$H$26),'Bonding Program'!$T$26-'Bonding Program'!$U$26-'Bonding Program'!$Z$26,0)-IF(AND('Bonding Program'!$S$26=1,'Bonding Program'!$H$26&lt;='Bonding Program'!$C$8,BG$3=IF('Bonding Program'!$P$26&lt;&gt;"",'Bonding Program'!$P$26,'Bonding Program'!$C$8)),'Bonding Program'!$Z$26,0)+IF(AND('Bonding Program'!$P$26&lt;&gt;"",BG$3='Bonding Program'!$P$26,BG$3&lt;='Bonding Program'!$C$8),N('Bonding Program'!$O$26),0)</f>
        <v>0</v>
      </c>
      <c r="BH167" s="19" t="n">
        <f aca="false">IF(AND('Bonding Program'!$S$26=1,'Bonding Program'!$H$26&gt;'Bonding Program'!$C$8,BH$3='Bonding Program'!$H$26),'Bonding Program'!$T$26-'Bonding Program'!$U$26-'Bonding Program'!$Z$26,0)-IF(AND('Bonding Program'!$S$26=1,'Bonding Program'!$H$26&lt;='Bonding Program'!$C$8,BH$3=IF('Bonding Program'!$P$26&lt;&gt;"",'Bonding Program'!$P$26,'Bonding Program'!$C$8)),'Bonding Program'!$Z$26,0)+IF(AND('Bonding Program'!$P$26&lt;&gt;"",BH$3='Bonding Program'!$P$26,BH$3&lt;='Bonding Program'!$C$8),N('Bonding Program'!$O$26),0)</f>
        <v>0</v>
      </c>
      <c r="BI167" s="19" t="n">
        <f aca="false">IF(AND('Bonding Program'!$S$26=1,'Bonding Program'!$H$26&gt;'Bonding Program'!$C$8,BI$3='Bonding Program'!$H$26),'Bonding Program'!$T$26-'Bonding Program'!$U$26-'Bonding Program'!$Z$26,0)-IF(AND('Bonding Program'!$S$26=1,'Bonding Program'!$H$26&lt;='Bonding Program'!$C$8,BI$3=IF('Bonding Program'!$P$26&lt;&gt;"",'Bonding Program'!$P$26,'Bonding Program'!$C$8)),'Bonding Program'!$Z$26,0)+IF(AND('Bonding Program'!$P$26&lt;&gt;"",BI$3='Bonding Program'!$P$26,BI$3&lt;='Bonding Program'!$C$8),N('Bonding Program'!$O$26),0)</f>
        <v>0</v>
      </c>
      <c r="BJ167" s="19" t="n">
        <f aca="false">IF(AND('Bonding Program'!$S$26=1,'Bonding Program'!$H$26&gt;'Bonding Program'!$C$8,BJ$3='Bonding Program'!$H$26),'Bonding Program'!$T$26-'Bonding Program'!$U$26-'Bonding Program'!$Z$26,0)-IF(AND('Bonding Program'!$S$26=1,'Bonding Program'!$H$26&lt;='Bonding Program'!$C$8,BJ$3=IF('Bonding Program'!$P$26&lt;&gt;"",'Bonding Program'!$P$26,'Bonding Program'!$C$8)),'Bonding Program'!$Z$26,0)+IF(AND('Bonding Program'!$P$26&lt;&gt;"",BJ$3='Bonding Program'!$P$26,BJ$3&lt;='Bonding Program'!$C$8),N('Bonding Program'!$O$26),0)</f>
        <v>0</v>
      </c>
      <c r="BK167" s="19" t="n">
        <f aca="false">IF(AND('Bonding Program'!$S$26=1,'Bonding Program'!$H$26&gt;'Bonding Program'!$C$8,BK$3='Bonding Program'!$H$26),'Bonding Program'!$T$26-'Bonding Program'!$U$26-'Bonding Program'!$Z$26,0)-IF(AND('Bonding Program'!$S$26=1,'Bonding Program'!$H$26&lt;='Bonding Program'!$C$8,BK$3=IF('Bonding Program'!$P$26&lt;&gt;"",'Bonding Program'!$P$26,'Bonding Program'!$C$8)),'Bonding Program'!$Z$26,0)+IF(AND('Bonding Program'!$P$26&lt;&gt;"",BK$3='Bonding Program'!$P$26,BK$3&lt;='Bonding Program'!$C$8),N('Bonding Program'!$O$26),0)</f>
        <v>0</v>
      </c>
      <c r="BL167" s="19" t="n">
        <f aca="false">IF(AND('Bonding Program'!$S$26=1,'Bonding Program'!$H$26&gt;'Bonding Program'!$C$8,BL$3='Bonding Program'!$H$26),'Bonding Program'!$T$26-'Bonding Program'!$U$26-'Bonding Program'!$Z$26,0)-IF(AND('Bonding Program'!$S$26=1,'Bonding Program'!$H$26&lt;='Bonding Program'!$C$8,BL$3=IF('Bonding Program'!$P$26&lt;&gt;"",'Bonding Program'!$P$26,'Bonding Program'!$C$8)),'Bonding Program'!$Z$26,0)+IF(AND('Bonding Program'!$P$26&lt;&gt;"",BL$3='Bonding Program'!$P$26,BL$3&lt;='Bonding Program'!$C$8),N('Bonding Program'!$O$26),0)</f>
        <v>0</v>
      </c>
      <c r="BM167" s="19" t="n">
        <f aca="false">IF(AND('Bonding Program'!$S$26=1,'Bonding Program'!$H$26&gt;'Bonding Program'!$C$8,BM$3='Bonding Program'!$H$26),'Bonding Program'!$T$26-'Bonding Program'!$U$26-'Bonding Program'!$Z$26,0)-IF(AND('Bonding Program'!$S$26=1,'Bonding Program'!$H$26&lt;='Bonding Program'!$C$8,BM$3=IF('Bonding Program'!$P$26&lt;&gt;"",'Bonding Program'!$P$26,'Bonding Program'!$C$8)),'Bonding Program'!$Z$26,0)+IF(AND('Bonding Program'!$P$26&lt;&gt;"",BM$3='Bonding Program'!$P$26,BM$3&lt;='Bonding Program'!$C$8),N('Bonding Program'!$O$26),0)</f>
        <v>0</v>
      </c>
      <c r="BN167" s="19" t="n">
        <f aca="false">IF(AND('Bonding Program'!$S$26=1,'Bonding Program'!$H$26&gt;'Bonding Program'!$C$8,BN$3='Bonding Program'!$H$26),'Bonding Program'!$T$26-'Bonding Program'!$U$26-'Bonding Program'!$Z$26,0)-IF(AND('Bonding Program'!$S$26=1,'Bonding Program'!$H$26&lt;='Bonding Program'!$C$8,BN$3=IF('Bonding Program'!$P$26&lt;&gt;"",'Bonding Program'!$P$26,'Bonding Program'!$C$8)),'Bonding Program'!$Z$26,0)+IF(AND('Bonding Program'!$P$26&lt;&gt;"",BN$3='Bonding Program'!$P$26,BN$3&lt;='Bonding Program'!$C$8),N('Bonding Program'!$O$26),0)</f>
        <v>0</v>
      </c>
      <c r="BO167" s="19" t="n">
        <f aca="false">IF(AND('Bonding Program'!$S$26=1,'Bonding Program'!$H$26&gt;'Bonding Program'!$C$8,BO$3='Bonding Program'!$H$26),'Bonding Program'!$T$26-'Bonding Program'!$U$26-'Bonding Program'!$Z$26,0)-IF(AND('Bonding Program'!$S$26=1,'Bonding Program'!$H$26&lt;='Bonding Program'!$C$8,BO$3=IF('Bonding Program'!$P$26&lt;&gt;"",'Bonding Program'!$P$26,'Bonding Program'!$C$8)),'Bonding Program'!$Z$26,0)+IF(AND('Bonding Program'!$P$26&lt;&gt;"",BO$3='Bonding Program'!$P$26,BO$3&lt;='Bonding Program'!$C$8),N('Bonding Program'!$O$26),0)</f>
        <v>0</v>
      </c>
      <c r="BP167" s="19" t="n">
        <f aca="false">IF(AND('Bonding Program'!$S$26=1,'Bonding Program'!$H$26&gt;'Bonding Program'!$C$8,BP$3='Bonding Program'!$H$26),'Bonding Program'!$T$26-'Bonding Program'!$U$26-'Bonding Program'!$Z$26,0)-IF(AND('Bonding Program'!$S$26=1,'Bonding Program'!$H$26&lt;='Bonding Program'!$C$8,BP$3=IF('Bonding Program'!$P$26&lt;&gt;"",'Bonding Program'!$P$26,'Bonding Program'!$C$8)),'Bonding Program'!$Z$26,0)+IF(AND('Bonding Program'!$P$26&lt;&gt;"",BP$3='Bonding Program'!$P$26,BP$3&lt;='Bonding Program'!$C$8),N('Bonding Program'!$O$26),0)</f>
        <v>0</v>
      </c>
      <c r="BQ167" s="19" t="n">
        <f aca="false">IF(AND('Bonding Program'!$S$26=1,'Bonding Program'!$H$26&gt;'Bonding Program'!$C$8,BQ$3='Bonding Program'!$H$26),'Bonding Program'!$T$26-'Bonding Program'!$U$26-'Bonding Program'!$Z$26,0)-IF(AND('Bonding Program'!$S$26=1,'Bonding Program'!$H$26&lt;='Bonding Program'!$C$8,BQ$3=IF('Bonding Program'!$P$26&lt;&gt;"",'Bonding Program'!$P$26,'Bonding Program'!$C$8)),'Bonding Program'!$Z$26,0)+IF(AND('Bonding Program'!$P$26&lt;&gt;"",BQ$3='Bonding Program'!$P$26,BQ$3&lt;='Bonding Program'!$C$8),N('Bonding Program'!$O$26),0)</f>
        <v>0</v>
      </c>
      <c r="BR167" s="19" t="n">
        <f aca="false">IF(AND('Bonding Program'!$S$26=1,'Bonding Program'!$H$26&gt;'Bonding Program'!$C$8,BR$3='Bonding Program'!$H$26),'Bonding Program'!$T$26-'Bonding Program'!$U$26-'Bonding Program'!$Z$26,0)-IF(AND('Bonding Program'!$S$26=1,'Bonding Program'!$H$26&lt;='Bonding Program'!$C$8,BR$3=IF('Bonding Program'!$P$26&lt;&gt;"",'Bonding Program'!$P$26,'Bonding Program'!$C$8)),'Bonding Program'!$Z$26,0)+IF(AND('Bonding Program'!$P$26&lt;&gt;"",BR$3='Bonding Program'!$P$26,BR$3&lt;='Bonding Program'!$C$8),N('Bonding Program'!$O$26),0)</f>
        <v>0</v>
      </c>
      <c r="BS167" s="19" t="n">
        <f aca="false">IF(AND('Bonding Program'!$S$26=1,'Bonding Program'!$H$26&gt;'Bonding Program'!$C$8,BS$3='Bonding Program'!$H$26),'Bonding Program'!$T$26-'Bonding Program'!$U$26-'Bonding Program'!$Z$26,0)-IF(AND('Bonding Program'!$S$26=1,'Bonding Program'!$H$26&lt;='Bonding Program'!$C$8,BS$3=IF('Bonding Program'!$P$26&lt;&gt;"",'Bonding Program'!$P$26,'Bonding Program'!$C$8)),'Bonding Program'!$Z$26,0)+IF(AND('Bonding Program'!$P$26&lt;&gt;"",BS$3='Bonding Program'!$P$26,BS$3&lt;='Bonding Program'!$C$8),N('Bonding Program'!$O$26),0)</f>
        <v>0</v>
      </c>
      <c r="BT167" s="19" t="n">
        <f aca="false">IF(AND('Bonding Program'!$S$26=1,'Bonding Program'!$H$26&gt;'Bonding Program'!$C$8,BT$3='Bonding Program'!$H$26),'Bonding Program'!$T$26-'Bonding Program'!$U$26-'Bonding Program'!$Z$26,0)-IF(AND('Bonding Program'!$S$26=1,'Bonding Program'!$H$26&lt;='Bonding Program'!$C$8,BT$3=IF('Bonding Program'!$P$26&lt;&gt;"",'Bonding Program'!$P$26,'Bonding Program'!$C$8)),'Bonding Program'!$Z$26,0)+IF(AND('Bonding Program'!$P$26&lt;&gt;"",BT$3='Bonding Program'!$P$26,BT$3&lt;='Bonding Program'!$C$8),N('Bonding Program'!$O$26),0)</f>
        <v>0</v>
      </c>
      <c r="BU167" s="19" t="n">
        <f aca="false">IF(AND('Bonding Program'!$S$26=1,'Bonding Program'!$H$26&gt;'Bonding Program'!$C$8,BU$3='Bonding Program'!$H$26),'Bonding Program'!$T$26-'Bonding Program'!$U$26-'Bonding Program'!$Z$26,0)-IF(AND('Bonding Program'!$S$26=1,'Bonding Program'!$H$26&lt;='Bonding Program'!$C$8,BU$3=IF('Bonding Program'!$P$26&lt;&gt;"",'Bonding Program'!$P$26,'Bonding Program'!$C$8)),'Bonding Program'!$Z$26,0)+IF(AND('Bonding Program'!$P$26&lt;&gt;"",BU$3='Bonding Program'!$P$26,BU$3&lt;='Bonding Program'!$C$8),N('Bonding Program'!$O$26),0)</f>
        <v>0</v>
      </c>
      <c r="BV167" s="19" t="n">
        <f aca="false">IF(AND('Bonding Program'!$S$26=1,'Bonding Program'!$H$26&gt;'Bonding Program'!$C$8,BV$3='Bonding Program'!$H$26),'Bonding Program'!$T$26-'Bonding Program'!$U$26-'Bonding Program'!$Z$26,0)-IF(AND('Bonding Program'!$S$26=1,'Bonding Program'!$H$26&lt;='Bonding Program'!$C$8,BV$3=IF('Bonding Program'!$P$26&lt;&gt;"",'Bonding Program'!$P$26,'Bonding Program'!$C$8)),'Bonding Program'!$Z$26,0)+IF(AND('Bonding Program'!$P$26&lt;&gt;"",BV$3='Bonding Program'!$P$26,BV$3&lt;='Bonding Program'!$C$8),N('Bonding Program'!$O$26),0)</f>
        <v>0</v>
      </c>
      <c r="BW167" s="19" t="n">
        <f aca="false">IF(AND('Bonding Program'!$S$26=1,'Bonding Program'!$H$26&gt;'Bonding Program'!$C$8,BW$3='Bonding Program'!$H$26),'Bonding Program'!$T$26-'Bonding Program'!$U$26-'Bonding Program'!$Z$26,0)-IF(AND('Bonding Program'!$S$26=1,'Bonding Program'!$H$26&lt;='Bonding Program'!$C$8,BW$3=IF('Bonding Program'!$P$26&lt;&gt;"",'Bonding Program'!$P$26,'Bonding Program'!$C$8)),'Bonding Program'!$Z$26,0)+IF(AND('Bonding Program'!$P$26&lt;&gt;"",BW$3='Bonding Program'!$P$26,BW$3&lt;='Bonding Program'!$C$8),N('Bonding Program'!$O$26),0)</f>
        <v>0</v>
      </c>
      <c r="BX167" s="19" t="n">
        <f aca="false">IF(AND('Bonding Program'!$S$26=1,'Bonding Program'!$H$26&gt;'Bonding Program'!$C$8,BX$3='Bonding Program'!$H$26),'Bonding Program'!$T$26-'Bonding Program'!$U$26-'Bonding Program'!$Z$26,0)-IF(AND('Bonding Program'!$S$26=1,'Bonding Program'!$H$26&lt;='Bonding Program'!$C$8,BX$3=IF('Bonding Program'!$P$26&lt;&gt;"",'Bonding Program'!$P$26,'Bonding Program'!$C$8)),'Bonding Program'!$Z$26,0)+IF(AND('Bonding Program'!$P$26&lt;&gt;"",BX$3='Bonding Program'!$P$26,BX$3&lt;='Bonding Program'!$C$8),N('Bonding Program'!$O$26),0)</f>
        <v>0</v>
      </c>
      <c r="BY167" s="19" t="n">
        <f aca="false">IF(AND('Bonding Program'!$S$26=1,'Bonding Program'!$H$26&gt;'Bonding Program'!$C$8,BY$3='Bonding Program'!$H$26),'Bonding Program'!$T$26-'Bonding Program'!$U$26-'Bonding Program'!$Z$26,0)-IF(AND('Bonding Program'!$S$26=1,'Bonding Program'!$H$26&lt;='Bonding Program'!$C$8,BY$3=IF('Bonding Program'!$P$26&lt;&gt;"",'Bonding Program'!$P$26,'Bonding Program'!$C$8)),'Bonding Program'!$Z$26,0)+IF(AND('Bonding Program'!$P$26&lt;&gt;"",BY$3='Bonding Program'!$P$26,BY$3&lt;='Bonding Program'!$C$8),N('Bonding Program'!$O$26),0)</f>
        <v>0</v>
      </c>
      <c r="BZ167" s="19" t="n">
        <f aca="false">IF(AND('Bonding Program'!$S$26=1,'Bonding Program'!$H$26&gt;'Bonding Program'!$C$8,BZ$3='Bonding Program'!$H$26),'Bonding Program'!$T$26-'Bonding Program'!$U$26-'Bonding Program'!$Z$26,0)-IF(AND('Bonding Program'!$S$26=1,'Bonding Program'!$H$26&lt;='Bonding Program'!$C$8,BZ$3=IF('Bonding Program'!$P$26&lt;&gt;"",'Bonding Program'!$P$26,'Bonding Program'!$C$8)),'Bonding Program'!$Z$26,0)+IF(AND('Bonding Program'!$P$26&lt;&gt;"",BZ$3='Bonding Program'!$P$26,BZ$3&lt;='Bonding Program'!$C$8),N('Bonding Program'!$O$26),0)</f>
        <v>0</v>
      </c>
      <c r="CA167" s="19" t="n">
        <f aca="false">IF(AND('Bonding Program'!$S$26=1,'Bonding Program'!$H$26&gt;'Bonding Program'!$C$8,CA$3='Bonding Program'!$H$26),'Bonding Program'!$T$26-'Bonding Program'!$U$26-'Bonding Program'!$Z$26,0)-IF(AND('Bonding Program'!$S$26=1,'Bonding Program'!$H$26&lt;='Bonding Program'!$C$8,CA$3=IF('Bonding Program'!$P$26&lt;&gt;"",'Bonding Program'!$P$26,'Bonding Program'!$C$8)),'Bonding Program'!$Z$26,0)+IF(AND('Bonding Program'!$P$26&lt;&gt;"",CA$3='Bonding Program'!$P$26,CA$3&lt;='Bonding Program'!$C$8),N('Bonding Program'!$O$26),0)</f>
        <v>0</v>
      </c>
      <c r="CB167" s="19" t="n">
        <f aca="false">IF(AND('Bonding Program'!$S$26=1,'Bonding Program'!$H$26&gt;'Bonding Program'!$C$8,CB$3='Bonding Program'!$H$26),'Bonding Program'!$T$26-'Bonding Program'!$U$26-'Bonding Program'!$Z$26,0)-IF(AND('Bonding Program'!$S$26=1,'Bonding Program'!$H$26&lt;='Bonding Program'!$C$8,CB$3=IF('Bonding Program'!$P$26&lt;&gt;"",'Bonding Program'!$P$26,'Bonding Program'!$C$8)),'Bonding Program'!$Z$26,0)+IF(AND('Bonding Program'!$P$26&lt;&gt;"",CB$3='Bonding Program'!$P$26,CB$3&lt;='Bonding Program'!$C$8),N('Bonding Program'!$O$26),0)</f>
        <v>0</v>
      </c>
      <c r="CC167" s="19" t="n">
        <f aca="false">IF(AND('Bonding Program'!$S$26=1,'Bonding Program'!$H$26&gt;'Bonding Program'!$C$8,CC$3='Bonding Program'!$H$26),'Bonding Program'!$T$26-'Bonding Program'!$U$26-'Bonding Program'!$Z$26,0)-IF(AND('Bonding Program'!$S$26=1,'Bonding Program'!$H$26&lt;='Bonding Program'!$C$8,CC$3=IF('Bonding Program'!$P$26&lt;&gt;"",'Bonding Program'!$P$26,'Bonding Program'!$C$8)),'Bonding Program'!$Z$26,0)+IF(AND('Bonding Program'!$P$26&lt;&gt;"",CC$3='Bonding Program'!$P$26,CC$3&lt;='Bonding Program'!$C$8),N('Bonding Program'!$O$26),0)</f>
        <v>0</v>
      </c>
      <c r="CD167" s="19" t="n">
        <f aca="false">IF(AND('Bonding Program'!$S$26=1,'Bonding Program'!$H$26&gt;'Bonding Program'!$C$8,CD$3='Bonding Program'!$H$26),'Bonding Program'!$T$26-'Bonding Program'!$U$26-'Bonding Program'!$Z$26,0)-IF(AND('Bonding Program'!$S$26=1,'Bonding Program'!$H$26&lt;='Bonding Program'!$C$8,CD$3=IF('Bonding Program'!$P$26&lt;&gt;"",'Bonding Program'!$P$26,'Bonding Program'!$C$8)),'Bonding Program'!$Z$26,0)+IF(AND('Bonding Program'!$P$26&lt;&gt;"",CD$3='Bonding Program'!$P$26,CD$3&lt;='Bonding Program'!$C$8),N('Bonding Program'!$O$26),0)</f>
        <v>0</v>
      </c>
      <c r="CE167" s="19" t="n">
        <f aca="false">IF(AND('Bonding Program'!$S$26=1,'Bonding Program'!$H$26&gt;'Bonding Program'!$C$8,CE$3='Bonding Program'!$H$26),'Bonding Program'!$T$26-'Bonding Program'!$U$26-'Bonding Program'!$Z$26,0)-IF(AND('Bonding Program'!$S$26=1,'Bonding Program'!$H$26&lt;='Bonding Program'!$C$8,CE$3=IF('Bonding Program'!$P$26&lt;&gt;"",'Bonding Program'!$P$26,'Bonding Program'!$C$8)),'Bonding Program'!$Z$26,0)+IF(AND('Bonding Program'!$P$26&lt;&gt;"",CE$3='Bonding Program'!$P$26,CE$3&lt;='Bonding Program'!$C$8),N('Bonding Program'!$O$26),0)</f>
        <v>0</v>
      </c>
      <c r="CF167" s="19" t="n">
        <f aca="false">IF(AND('Bonding Program'!$S$26=1,'Bonding Program'!$H$26&gt;'Bonding Program'!$C$8,CF$3='Bonding Program'!$H$26),'Bonding Program'!$T$26-'Bonding Program'!$U$26-'Bonding Program'!$Z$26,0)-IF(AND('Bonding Program'!$S$26=1,'Bonding Program'!$H$26&lt;='Bonding Program'!$C$8,CF$3=IF('Bonding Program'!$P$26&lt;&gt;"",'Bonding Program'!$P$26,'Bonding Program'!$C$8)),'Bonding Program'!$Z$26,0)+IF(AND('Bonding Program'!$P$26&lt;&gt;"",CF$3='Bonding Program'!$P$26,CF$3&lt;='Bonding Program'!$C$8),N('Bonding Program'!$O$26),0)</f>
        <v>0</v>
      </c>
      <c r="CG167" s="19" t="n">
        <f aca="false">IF(AND('Bonding Program'!$S$26=1,'Bonding Program'!$H$26&gt;'Bonding Program'!$C$8,CG$3='Bonding Program'!$H$26),'Bonding Program'!$T$26-'Bonding Program'!$U$26-'Bonding Program'!$Z$26,0)-IF(AND('Bonding Program'!$S$26=1,'Bonding Program'!$H$26&lt;='Bonding Program'!$C$8,CG$3=IF('Bonding Program'!$P$26&lt;&gt;"",'Bonding Program'!$P$26,'Bonding Program'!$C$8)),'Bonding Program'!$Z$26,0)+IF(AND('Bonding Program'!$P$26&lt;&gt;"",CG$3='Bonding Program'!$P$26,CG$3&lt;='Bonding Program'!$C$8),N('Bonding Program'!$O$26),0)</f>
        <v>0</v>
      </c>
      <c r="CH167" s="19" t="n">
        <f aca="false">IF(AND('Bonding Program'!$S$26=1,'Bonding Program'!$H$26&gt;'Bonding Program'!$C$8,CH$3='Bonding Program'!$H$26),'Bonding Program'!$T$26-'Bonding Program'!$U$26-'Bonding Program'!$Z$26,0)-IF(AND('Bonding Program'!$S$26=1,'Bonding Program'!$H$26&lt;='Bonding Program'!$C$8,CH$3=IF('Bonding Program'!$P$26&lt;&gt;"",'Bonding Program'!$P$26,'Bonding Program'!$C$8)),'Bonding Program'!$Z$26,0)+IF(AND('Bonding Program'!$P$26&lt;&gt;"",CH$3='Bonding Program'!$P$26,CH$3&lt;='Bonding Program'!$C$8),N('Bonding Program'!$O$26),0)</f>
        <v>0</v>
      </c>
      <c r="CI167" s="19" t="n">
        <f aca="false">IF(AND('Bonding Program'!$S$26=1,'Bonding Program'!$H$26&gt;'Bonding Program'!$C$8,CI$3='Bonding Program'!$H$26),'Bonding Program'!$T$26-'Bonding Program'!$U$26-'Bonding Program'!$Z$26,0)-IF(AND('Bonding Program'!$S$26=1,'Bonding Program'!$H$26&lt;='Bonding Program'!$C$8,CI$3=IF('Bonding Program'!$P$26&lt;&gt;"",'Bonding Program'!$P$26,'Bonding Program'!$C$8)),'Bonding Program'!$Z$26,0)+IF(AND('Bonding Program'!$P$26&lt;&gt;"",CI$3='Bonding Program'!$P$26,CI$3&lt;='Bonding Program'!$C$8),N('Bonding Program'!$O$26),0)</f>
        <v>0</v>
      </c>
      <c r="CJ167" s="19" t="n">
        <f aca="false">IF(AND('Bonding Program'!$S$26=1,'Bonding Program'!$H$26&gt;'Bonding Program'!$C$8,CJ$3='Bonding Program'!$H$26),'Bonding Program'!$T$26-'Bonding Program'!$U$26-'Bonding Program'!$Z$26,0)-IF(AND('Bonding Program'!$S$26=1,'Bonding Program'!$H$26&lt;='Bonding Program'!$C$8,CJ$3=IF('Bonding Program'!$P$26&lt;&gt;"",'Bonding Program'!$P$26,'Bonding Program'!$C$8)),'Bonding Program'!$Z$26,0)+IF(AND('Bonding Program'!$P$26&lt;&gt;"",CJ$3='Bonding Program'!$P$26,CJ$3&lt;='Bonding Program'!$C$8),N('Bonding Program'!$O$26),0)</f>
        <v>0</v>
      </c>
      <c r="CK167" s="19" t="n">
        <f aca="false">IF(AND('Bonding Program'!$S$26=1,'Bonding Program'!$H$26&gt;'Bonding Program'!$C$8,CK$3='Bonding Program'!$H$26),'Bonding Program'!$T$26-'Bonding Program'!$U$26-'Bonding Program'!$Z$26,0)-IF(AND('Bonding Program'!$S$26=1,'Bonding Program'!$H$26&lt;='Bonding Program'!$C$8,CK$3=IF('Bonding Program'!$P$26&lt;&gt;"",'Bonding Program'!$P$26,'Bonding Program'!$C$8)),'Bonding Program'!$Z$26,0)+IF(AND('Bonding Program'!$P$26&lt;&gt;"",CK$3='Bonding Program'!$P$26,CK$3&lt;='Bonding Program'!$C$8),N('Bonding Program'!$O$26),0)</f>
        <v>0</v>
      </c>
      <c r="CL167" s="19" t="n">
        <f aca="false">IF(AND('Bonding Program'!$S$26=1,'Bonding Program'!$H$26&gt;'Bonding Program'!$C$8,CL$3='Bonding Program'!$H$26),'Bonding Program'!$T$26-'Bonding Program'!$U$26-'Bonding Program'!$Z$26,0)-IF(AND('Bonding Program'!$S$26=1,'Bonding Program'!$H$26&lt;='Bonding Program'!$C$8,CL$3=IF('Bonding Program'!$P$26&lt;&gt;"",'Bonding Program'!$P$26,'Bonding Program'!$C$8)),'Bonding Program'!$Z$26,0)+IF(AND('Bonding Program'!$P$26&lt;&gt;"",CL$3='Bonding Program'!$P$26,CL$3&lt;='Bonding Program'!$C$8),N('Bonding Program'!$O$26),0)</f>
        <v>0</v>
      </c>
      <c r="CM167" s="19" t="n">
        <f aca="false">IF(AND('Bonding Program'!$S$26=1,'Bonding Program'!$H$26&gt;'Bonding Program'!$C$8,CM$3='Bonding Program'!$H$26),'Bonding Program'!$T$26-'Bonding Program'!$U$26-'Bonding Program'!$Z$26,0)-IF(AND('Bonding Program'!$S$26=1,'Bonding Program'!$H$26&lt;='Bonding Program'!$C$8,CM$3=IF('Bonding Program'!$P$26&lt;&gt;"",'Bonding Program'!$P$26,'Bonding Program'!$C$8)),'Bonding Program'!$Z$26,0)+IF(AND('Bonding Program'!$P$26&lt;&gt;"",CM$3='Bonding Program'!$P$26,CM$3&lt;='Bonding Program'!$C$8),N('Bonding Program'!$O$26),0)</f>
        <v>0</v>
      </c>
      <c r="CN167" s="19" t="n">
        <f aca="false">IF(AND('Bonding Program'!$S$26=1,'Bonding Program'!$H$26&gt;'Bonding Program'!$C$8,CN$3='Bonding Program'!$H$26),'Bonding Program'!$T$26-'Bonding Program'!$U$26-'Bonding Program'!$Z$26,0)-IF(AND('Bonding Program'!$S$26=1,'Bonding Program'!$H$26&lt;='Bonding Program'!$C$8,CN$3=IF('Bonding Program'!$P$26&lt;&gt;"",'Bonding Program'!$P$26,'Bonding Program'!$C$8)),'Bonding Program'!$Z$26,0)+IF(AND('Bonding Program'!$P$26&lt;&gt;"",CN$3='Bonding Program'!$P$26,CN$3&lt;='Bonding Program'!$C$8),N('Bonding Program'!$O$26),0)</f>
        <v>0</v>
      </c>
      <c r="CO167" s="19" t="n">
        <f aca="false">IF(AND('Bonding Program'!$S$26=1,'Bonding Program'!$H$26&gt;'Bonding Program'!$C$8,CO$3='Bonding Program'!$H$26),'Bonding Program'!$T$26-'Bonding Program'!$U$26-'Bonding Program'!$Z$26,0)-IF(AND('Bonding Program'!$S$26=1,'Bonding Program'!$H$26&lt;='Bonding Program'!$C$8,CO$3=IF('Bonding Program'!$P$26&lt;&gt;"",'Bonding Program'!$P$26,'Bonding Program'!$C$8)),'Bonding Program'!$Z$26,0)+IF(AND('Bonding Program'!$P$26&lt;&gt;"",CO$3='Bonding Program'!$P$26,CO$3&lt;='Bonding Program'!$C$8),N('Bonding Program'!$O$26),0)</f>
        <v>0</v>
      </c>
      <c r="CP167" s="19" t="n">
        <f aca="false">IF(AND('Bonding Program'!$S$26=1,'Bonding Program'!$H$26&gt;'Bonding Program'!$C$8,CP$3='Bonding Program'!$H$26),'Bonding Program'!$T$26-'Bonding Program'!$U$26-'Bonding Program'!$Z$26,0)-IF(AND('Bonding Program'!$S$26=1,'Bonding Program'!$H$26&lt;='Bonding Program'!$C$8,CP$3=IF('Bonding Program'!$P$26&lt;&gt;"",'Bonding Program'!$P$26,'Bonding Program'!$C$8)),'Bonding Program'!$Z$26,0)+IF(AND('Bonding Program'!$P$26&lt;&gt;"",CP$3='Bonding Program'!$P$26,CP$3&lt;='Bonding Program'!$C$8),N('Bonding Program'!$O$26),0)</f>
        <v>0</v>
      </c>
      <c r="CQ167" s="19" t="n">
        <f aca="false">IF(AND('Bonding Program'!$S$26=1,'Bonding Program'!$H$26&gt;'Bonding Program'!$C$8,CQ$3='Bonding Program'!$H$26),'Bonding Program'!$T$26-'Bonding Program'!$U$26-'Bonding Program'!$Z$26,0)-IF(AND('Bonding Program'!$S$26=1,'Bonding Program'!$H$26&lt;='Bonding Program'!$C$8,CQ$3=IF('Bonding Program'!$P$26&lt;&gt;"",'Bonding Program'!$P$26,'Bonding Program'!$C$8)),'Bonding Program'!$Z$26,0)+IF(AND('Bonding Program'!$P$26&lt;&gt;"",CQ$3='Bonding Program'!$P$26,CQ$3&lt;='Bonding Program'!$C$8),N('Bonding Program'!$O$26),0)</f>
        <v>0</v>
      </c>
      <c r="CR167" s="19" t="n">
        <f aca="false">IF(AND('Bonding Program'!$S$26=1,'Bonding Program'!$H$26&gt;'Bonding Program'!$C$8,CR$3='Bonding Program'!$H$26),'Bonding Program'!$T$26-'Bonding Program'!$U$26-'Bonding Program'!$Z$26,0)-IF(AND('Bonding Program'!$S$26=1,'Bonding Program'!$H$26&lt;='Bonding Program'!$C$8,CR$3=IF('Bonding Program'!$P$26&lt;&gt;"",'Bonding Program'!$P$26,'Bonding Program'!$C$8)),'Bonding Program'!$Z$26,0)+IF(AND('Bonding Program'!$P$26&lt;&gt;"",CR$3='Bonding Program'!$P$26,CR$3&lt;='Bonding Program'!$C$8),N('Bonding Program'!$O$26),0)</f>
        <v>0</v>
      </c>
      <c r="CS167" s="19" t="n">
        <f aca="false">IF(AND('Bonding Program'!$S$26=1,'Bonding Program'!$H$26&gt;'Bonding Program'!$C$8,CS$3='Bonding Program'!$H$26),'Bonding Program'!$T$26-'Bonding Program'!$U$26-'Bonding Program'!$Z$26,0)-IF(AND('Bonding Program'!$S$26=1,'Bonding Program'!$H$26&lt;='Bonding Program'!$C$8,CS$3=IF('Bonding Program'!$P$26&lt;&gt;"",'Bonding Program'!$P$26,'Bonding Program'!$C$8)),'Bonding Program'!$Z$26,0)+IF(AND('Bonding Program'!$P$26&lt;&gt;"",CS$3='Bonding Program'!$P$26,CS$3&lt;='Bonding Program'!$C$8),N('Bonding Program'!$O$26),0)</f>
        <v>0</v>
      </c>
      <c r="CT167" s="19" t="n">
        <f aca="false">IF(AND('Bonding Program'!$S$26=1,'Bonding Program'!$H$26&gt;'Bonding Program'!$C$8,CT$3='Bonding Program'!$H$26),'Bonding Program'!$T$26-'Bonding Program'!$U$26-'Bonding Program'!$Z$26,0)-IF(AND('Bonding Program'!$S$26=1,'Bonding Program'!$H$26&lt;='Bonding Program'!$C$8,CT$3=IF('Bonding Program'!$P$26&lt;&gt;"",'Bonding Program'!$P$26,'Bonding Program'!$C$8)),'Bonding Program'!$Z$26,0)+IF(AND('Bonding Program'!$P$26&lt;&gt;"",CT$3='Bonding Program'!$P$26,CT$3&lt;='Bonding Program'!$C$8),N('Bonding Program'!$O$26),0)</f>
        <v>0</v>
      </c>
      <c r="CU167" s="19" t="n">
        <f aca="false">IF(AND('Bonding Program'!$S$26=1,'Bonding Program'!$H$26&gt;'Bonding Program'!$C$8,CU$3='Bonding Program'!$H$26),'Bonding Program'!$T$26-'Bonding Program'!$U$26-'Bonding Program'!$Z$26,0)-IF(AND('Bonding Program'!$S$26=1,'Bonding Program'!$H$26&lt;='Bonding Program'!$C$8,CU$3=IF('Bonding Program'!$P$26&lt;&gt;"",'Bonding Program'!$P$26,'Bonding Program'!$C$8)),'Bonding Program'!$Z$26,0)+IF(AND('Bonding Program'!$P$26&lt;&gt;"",CU$3='Bonding Program'!$P$26,CU$3&lt;='Bonding Program'!$C$8),N('Bonding Program'!$O$26),0)</f>
        <v>0</v>
      </c>
      <c r="CV167" s="19" t="n">
        <f aca="false">IF(AND('Bonding Program'!$S$26=1,'Bonding Program'!$H$26&gt;'Bonding Program'!$C$8,CV$3='Bonding Program'!$H$26),'Bonding Program'!$T$26-'Bonding Program'!$U$26-'Bonding Program'!$Z$26,0)-IF(AND('Bonding Program'!$S$26=1,'Bonding Program'!$H$26&lt;='Bonding Program'!$C$8,CV$3=IF('Bonding Program'!$P$26&lt;&gt;"",'Bonding Program'!$P$26,'Bonding Program'!$C$8)),'Bonding Program'!$Z$26,0)+IF(AND('Bonding Program'!$P$26&lt;&gt;"",CV$3='Bonding Program'!$P$26,CV$3&lt;='Bonding Program'!$C$8),N('Bonding Program'!$O$26),0)</f>
        <v>0</v>
      </c>
      <c r="CW167" s="19" t="n">
        <f aca="false">IF(AND('Bonding Program'!$S$26=1,'Bonding Program'!$H$26&gt;'Bonding Program'!$C$8,CW$3='Bonding Program'!$H$26),'Bonding Program'!$T$26-'Bonding Program'!$U$26-'Bonding Program'!$Z$26,0)-IF(AND('Bonding Program'!$S$26=1,'Bonding Program'!$H$26&lt;='Bonding Program'!$C$8,CW$3=IF('Bonding Program'!$P$26&lt;&gt;"",'Bonding Program'!$P$26,'Bonding Program'!$C$8)),'Bonding Program'!$Z$26,0)+IF(AND('Bonding Program'!$P$26&lt;&gt;"",CW$3='Bonding Program'!$P$26,CW$3&lt;='Bonding Program'!$C$8),N('Bonding Program'!$O$26),0)</f>
        <v>0</v>
      </c>
      <c r="CX167" s="19" t="n">
        <f aca="false">IF(AND('Bonding Program'!$S$26=1,'Bonding Program'!$H$26&gt;'Bonding Program'!$C$8,CX$3='Bonding Program'!$H$26),'Bonding Program'!$T$26-'Bonding Program'!$U$26-'Bonding Program'!$Z$26,0)-IF(AND('Bonding Program'!$S$26=1,'Bonding Program'!$H$26&lt;='Bonding Program'!$C$8,CX$3=IF('Bonding Program'!$P$26&lt;&gt;"",'Bonding Program'!$P$26,'Bonding Program'!$C$8)),'Bonding Program'!$Z$26,0)+IF(AND('Bonding Program'!$P$26&lt;&gt;"",CX$3='Bonding Program'!$P$26,CX$3&lt;='Bonding Program'!$C$8),N('Bonding Program'!$O$26),0)</f>
        <v>0</v>
      </c>
      <c r="CY167" s="19" t="n">
        <f aca="false">IF(AND('Bonding Program'!$S$26=1,'Bonding Program'!$H$26&gt;'Bonding Program'!$C$8,CY$3='Bonding Program'!$H$26),'Bonding Program'!$T$26-'Bonding Program'!$U$26-'Bonding Program'!$Z$26,0)-IF(AND('Bonding Program'!$S$26=1,'Bonding Program'!$H$26&lt;='Bonding Program'!$C$8,CY$3=IF('Bonding Program'!$P$26&lt;&gt;"",'Bonding Program'!$P$26,'Bonding Program'!$C$8)),'Bonding Program'!$Z$26,0)+IF(AND('Bonding Program'!$P$26&lt;&gt;"",CY$3='Bonding Program'!$P$26,CY$3&lt;='Bonding Program'!$C$8),N('Bonding Program'!$O$26),0)</f>
        <v>0</v>
      </c>
      <c r="CZ167" s="19" t="n">
        <f aca="false">IF(AND('Bonding Program'!$S$26=1,'Bonding Program'!$H$26&gt;'Bonding Program'!$C$8,CZ$3='Bonding Program'!$H$26),'Bonding Program'!$T$26-'Bonding Program'!$U$26-'Bonding Program'!$Z$26,0)-IF(AND('Bonding Program'!$S$26=1,'Bonding Program'!$H$26&lt;='Bonding Program'!$C$8,CZ$3=IF('Bonding Program'!$P$26&lt;&gt;"",'Bonding Program'!$P$26,'Bonding Program'!$C$8)),'Bonding Program'!$Z$26,0)+IF(AND('Bonding Program'!$P$26&lt;&gt;"",CZ$3='Bonding Program'!$P$26,CZ$3&lt;='Bonding Program'!$C$8),N('Bonding Program'!$O$26),0)</f>
        <v>0</v>
      </c>
      <c r="DA167" s="19" t="n">
        <f aca="false">IF(AND('Bonding Program'!$S$26=1,'Bonding Program'!$H$26&gt;'Bonding Program'!$C$8,DA$3='Bonding Program'!$H$26),'Bonding Program'!$T$26-'Bonding Program'!$U$26-'Bonding Program'!$Z$26,0)-IF(AND('Bonding Program'!$S$26=1,'Bonding Program'!$H$26&lt;='Bonding Program'!$C$8,DA$3=IF('Bonding Program'!$P$26&lt;&gt;"",'Bonding Program'!$P$26,'Bonding Program'!$C$8)),'Bonding Program'!$Z$26,0)+IF(AND('Bonding Program'!$P$26&lt;&gt;"",DA$3='Bonding Program'!$P$26,DA$3&lt;='Bonding Program'!$C$8),N('Bonding Program'!$O$26),0)</f>
        <v>0</v>
      </c>
      <c r="DB167" s="19" t="n">
        <f aca="false">IF(AND('Bonding Program'!$S$26=1,'Bonding Program'!$H$26&gt;'Bonding Program'!$C$8,DB$3='Bonding Program'!$H$26),'Bonding Program'!$T$26-'Bonding Program'!$U$26-'Bonding Program'!$Z$26,0)-IF(AND('Bonding Program'!$S$26=1,'Bonding Program'!$H$26&lt;='Bonding Program'!$C$8,DB$3=IF('Bonding Program'!$P$26&lt;&gt;"",'Bonding Program'!$P$26,'Bonding Program'!$C$8)),'Bonding Program'!$Z$26,0)+IF(AND('Bonding Program'!$P$26&lt;&gt;"",DB$3='Bonding Program'!$P$26,DB$3&lt;='Bonding Program'!$C$8),N('Bonding Program'!$O$26),0)</f>
        <v>0</v>
      </c>
      <c r="DC167" s="19" t="n">
        <f aca="false">IF(AND('Bonding Program'!$S$26=1,'Bonding Program'!$H$26&gt;'Bonding Program'!$C$8,DC$3='Bonding Program'!$H$26),'Bonding Program'!$T$26-'Bonding Program'!$U$26-'Bonding Program'!$Z$26,0)-IF(AND('Bonding Program'!$S$26=1,'Bonding Program'!$H$26&lt;='Bonding Program'!$C$8,DC$3=IF('Bonding Program'!$P$26&lt;&gt;"",'Bonding Program'!$P$26,'Bonding Program'!$C$8)),'Bonding Program'!$Z$26,0)+IF(AND('Bonding Program'!$P$26&lt;&gt;"",DC$3='Bonding Program'!$P$26,DC$3&lt;='Bonding Program'!$C$8),N('Bonding Program'!$O$26),0)</f>
        <v>0</v>
      </c>
      <c r="DD167" s="19" t="n">
        <f aca="false">IF(AND('Bonding Program'!$S$26=1,'Bonding Program'!$H$26&gt;'Bonding Program'!$C$8,DD$3='Bonding Program'!$H$26),'Bonding Program'!$T$26-'Bonding Program'!$U$26-'Bonding Program'!$Z$26,0)-IF(AND('Bonding Program'!$S$26=1,'Bonding Program'!$H$26&lt;='Bonding Program'!$C$8,DD$3=IF('Bonding Program'!$P$26&lt;&gt;"",'Bonding Program'!$P$26,'Bonding Program'!$C$8)),'Bonding Program'!$Z$26,0)+IF(AND('Bonding Program'!$P$26&lt;&gt;"",DD$3='Bonding Program'!$P$26,DD$3&lt;='Bonding Program'!$C$8),N('Bonding Program'!$O$26),0)</f>
        <v>0</v>
      </c>
      <c r="DE167" s="19" t="n">
        <f aca="false">IF(AND('Bonding Program'!$S$26=1,'Bonding Program'!$H$26&gt;'Bonding Program'!$C$8,DE$3='Bonding Program'!$H$26),'Bonding Program'!$T$26-'Bonding Program'!$U$26-'Bonding Program'!$Z$26,0)-IF(AND('Bonding Program'!$S$26=1,'Bonding Program'!$H$26&lt;='Bonding Program'!$C$8,DE$3=IF('Bonding Program'!$P$26&lt;&gt;"",'Bonding Program'!$P$26,'Bonding Program'!$C$8)),'Bonding Program'!$Z$26,0)+IF(AND('Bonding Program'!$P$26&lt;&gt;"",DE$3='Bonding Program'!$P$26,DE$3&lt;='Bonding Program'!$C$8),N('Bonding Program'!$O$26),0)</f>
        <v>0</v>
      </c>
    </row>
    <row r="168" customFormat="false" ht="15" hidden="false" customHeight="true" outlineLevel="1" collapsed="false">
      <c r="A168" s="28" t="s">
        <v>23</v>
      </c>
      <c r="B168" s="19" t="n">
        <f aca="false">IF(AND('Bonding Program'!$S$27=1,'Bonding Program'!$H$27&gt;'Bonding Program'!$C$8,B$3='Bonding Program'!$H$27),'Bonding Program'!$T$27-'Bonding Program'!$U$27-'Bonding Program'!$Z$27,0)-IF(AND('Bonding Program'!$S$27=1,'Bonding Program'!$H$27&lt;='Bonding Program'!$C$8,B$3=IF('Bonding Program'!$P$27&lt;&gt;"",'Bonding Program'!$P$27,'Bonding Program'!$C$8)),'Bonding Program'!$Z$27,0)+IF(AND('Bonding Program'!$P$27&lt;&gt;"",B$3='Bonding Program'!$P$27,B$3&lt;='Bonding Program'!$C$8),N('Bonding Program'!$O$27),0)</f>
        <v>0</v>
      </c>
      <c r="C168" s="19" t="n">
        <f aca="false">IF(AND('Bonding Program'!$S$27=1,'Bonding Program'!$H$27&gt;'Bonding Program'!$C$8,C$3='Bonding Program'!$H$27),'Bonding Program'!$T$27-'Bonding Program'!$U$27-'Bonding Program'!$Z$27,0)-IF(AND('Bonding Program'!$S$27=1,'Bonding Program'!$H$27&lt;='Bonding Program'!$C$8,C$3=IF('Bonding Program'!$P$27&lt;&gt;"",'Bonding Program'!$P$27,'Bonding Program'!$C$8)),'Bonding Program'!$Z$27,0)+IF(AND('Bonding Program'!$P$27&lt;&gt;"",C$3='Bonding Program'!$P$27,C$3&lt;='Bonding Program'!$C$8),N('Bonding Program'!$O$27),0)</f>
        <v>0</v>
      </c>
      <c r="D168" s="19" t="n">
        <f aca="false">IF(AND('Bonding Program'!$S$27=1,'Bonding Program'!$H$27&gt;'Bonding Program'!$C$8,D$3='Bonding Program'!$H$27),'Bonding Program'!$T$27-'Bonding Program'!$U$27-'Bonding Program'!$Z$27,0)-IF(AND('Bonding Program'!$S$27=1,'Bonding Program'!$H$27&lt;='Bonding Program'!$C$8,D$3=IF('Bonding Program'!$P$27&lt;&gt;"",'Bonding Program'!$P$27,'Bonding Program'!$C$8)),'Bonding Program'!$Z$27,0)+IF(AND('Bonding Program'!$P$27&lt;&gt;"",D$3='Bonding Program'!$P$27,D$3&lt;='Bonding Program'!$C$8),N('Bonding Program'!$O$27),0)</f>
        <v>0</v>
      </c>
      <c r="E168" s="19" t="n">
        <f aca="false">IF(AND('Bonding Program'!$S$27=1,'Bonding Program'!$H$27&gt;'Bonding Program'!$C$8,E$3='Bonding Program'!$H$27),'Bonding Program'!$T$27-'Bonding Program'!$U$27-'Bonding Program'!$Z$27,0)-IF(AND('Bonding Program'!$S$27=1,'Bonding Program'!$H$27&lt;='Bonding Program'!$C$8,E$3=IF('Bonding Program'!$P$27&lt;&gt;"",'Bonding Program'!$P$27,'Bonding Program'!$C$8)),'Bonding Program'!$Z$27,0)+IF(AND('Bonding Program'!$P$27&lt;&gt;"",E$3='Bonding Program'!$P$27,E$3&lt;='Bonding Program'!$C$8),N('Bonding Program'!$O$27),0)</f>
        <v>0</v>
      </c>
      <c r="F168" s="19" t="n">
        <f aca="false">IF(AND('Bonding Program'!$S$27=1,'Bonding Program'!$H$27&gt;'Bonding Program'!$C$8,F$3='Bonding Program'!$H$27),'Bonding Program'!$T$27-'Bonding Program'!$U$27-'Bonding Program'!$Z$27,0)-IF(AND('Bonding Program'!$S$27=1,'Bonding Program'!$H$27&lt;='Bonding Program'!$C$8,F$3=IF('Bonding Program'!$P$27&lt;&gt;"",'Bonding Program'!$P$27,'Bonding Program'!$C$8)),'Bonding Program'!$Z$27,0)+IF(AND('Bonding Program'!$P$27&lt;&gt;"",F$3='Bonding Program'!$P$27,F$3&lt;='Bonding Program'!$C$8),N('Bonding Program'!$O$27),0)</f>
        <v>0</v>
      </c>
      <c r="G168" s="19" t="n">
        <f aca="false">IF(AND('Bonding Program'!$S$27=1,'Bonding Program'!$H$27&gt;'Bonding Program'!$C$8,G$3='Bonding Program'!$H$27),'Bonding Program'!$T$27-'Bonding Program'!$U$27-'Bonding Program'!$Z$27,0)-IF(AND('Bonding Program'!$S$27=1,'Bonding Program'!$H$27&lt;='Bonding Program'!$C$8,G$3=IF('Bonding Program'!$P$27&lt;&gt;"",'Bonding Program'!$P$27,'Bonding Program'!$C$8)),'Bonding Program'!$Z$27,0)+IF(AND('Bonding Program'!$P$27&lt;&gt;"",G$3='Bonding Program'!$P$27,G$3&lt;='Bonding Program'!$C$8),N('Bonding Program'!$O$27),0)</f>
        <v>0</v>
      </c>
      <c r="H168" s="19" t="n">
        <f aca="false">IF(AND('Bonding Program'!$S$27=1,'Bonding Program'!$H$27&gt;'Bonding Program'!$C$8,H$3='Bonding Program'!$H$27),'Bonding Program'!$T$27-'Bonding Program'!$U$27-'Bonding Program'!$Z$27,0)-IF(AND('Bonding Program'!$S$27=1,'Bonding Program'!$H$27&lt;='Bonding Program'!$C$8,H$3=IF('Bonding Program'!$P$27&lt;&gt;"",'Bonding Program'!$P$27,'Bonding Program'!$C$8)),'Bonding Program'!$Z$27,0)+IF(AND('Bonding Program'!$P$27&lt;&gt;"",H$3='Bonding Program'!$P$27,H$3&lt;='Bonding Program'!$C$8),N('Bonding Program'!$O$27),0)</f>
        <v>0</v>
      </c>
      <c r="I168" s="19" t="n">
        <f aca="false">IF(AND('Bonding Program'!$S$27=1,'Bonding Program'!$H$27&gt;'Bonding Program'!$C$8,I$3='Bonding Program'!$H$27),'Bonding Program'!$T$27-'Bonding Program'!$U$27-'Bonding Program'!$Z$27,0)-IF(AND('Bonding Program'!$S$27=1,'Bonding Program'!$H$27&lt;='Bonding Program'!$C$8,I$3=IF('Bonding Program'!$P$27&lt;&gt;"",'Bonding Program'!$P$27,'Bonding Program'!$C$8)),'Bonding Program'!$Z$27,0)+IF(AND('Bonding Program'!$P$27&lt;&gt;"",I$3='Bonding Program'!$P$27,I$3&lt;='Bonding Program'!$C$8),N('Bonding Program'!$O$27),0)</f>
        <v>0</v>
      </c>
      <c r="J168" s="19" t="n">
        <f aca="false">IF(AND('Bonding Program'!$S$27=1,'Bonding Program'!$H$27&gt;'Bonding Program'!$C$8,J$3='Bonding Program'!$H$27),'Bonding Program'!$T$27-'Bonding Program'!$U$27-'Bonding Program'!$Z$27,0)-IF(AND('Bonding Program'!$S$27=1,'Bonding Program'!$H$27&lt;='Bonding Program'!$C$8,J$3=IF('Bonding Program'!$P$27&lt;&gt;"",'Bonding Program'!$P$27,'Bonding Program'!$C$8)),'Bonding Program'!$Z$27,0)+IF(AND('Bonding Program'!$P$27&lt;&gt;"",J$3='Bonding Program'!$P$27,J$3&lt;='Bonding Program'!$C$8),N('Bonding Program'!$O$27),0)</f>
        <v>0</v>
      </c>
      <c r="K168" s="19" t="n">
        <f aca="false">IF(AND('Bonding Program'!$S$27=1,'Bonding Program'!$H$27&gt;'Bonding Program'!$C$8,K$3='Bonding Program'!$H$27),'Bonding Program'!$T$27-'Bonding Program'!$U$27-'Bonding Program'!$Z$27,0)-IF(AND('Bonding Program'!$S$27=1,'Bonding Program'!$H$27&lt;='Bonding Program'!$C$8,K$3=IF('Bonding Program'!$P$27&lt;&gt;"",'Bonding Program'!$P$27,'Bonding Program'!$C$8)),'Bonding Program'!$Z$27,0)+IF(AND('Bonding Program'!$P$27&lt;&gt;"",K$3='Bonding Program'!$P$27,K$3&lt;='Bonding Program'!$C$8),N('Bonding Program'!$O$27),0)</f>
        <v>0</v>
      </c>
      <c r="L168" s="19" t="n">
        <f aca="false">IF(AND('Bonding Program'!$S$27=1,'Bonding Program'!$H$27&gt;'Bonding Program'!$C$8,L$3='Bonding Program'!$H$27),'Bonding Program'!$T$27-'Bonding Program'!$U$27-'Bonding Program'!$Z$27,0)-IF(AND('Bonding Program'!$S$27=1,'Bonding Program'!$H$27&lt;='Bonding Program'!$C$8,L$3=IF('Bonding Program'!$P$27&lt;&gt;"",'Bonding Program'!$P$27,'Bonding Program'!$C$8)),'Bonding Program'!$Z$27,0)+IF(AND('Bonding Program'!$P$27&lt;&gt;"",L$3='Bonding Program'!$P$27,L$3&lt;='Bonding Program'!$C$8),N('Bonding Program'!$O$27),0)</f>
        <v>0</v>
      </c>
      <c r="M168" s="19" t="n">
        <f aca="false">IF(AND('Bonding Program'!$S$27=1,'Bonding Program'!$H$27&gt;'Bonding Program'!$C$8,M$3='Bonding Program'!$H$27),'Bonding Program'!$T$27-'Bonding Program'!$U$27-'Bonding Program'!$Z$27,0)-IF(AND('Bonding Program'!$S$27=1,'Bonding Program'!$H$27&lt;='Bonding Program'!$C$8,M$3=IF('Bonding Program'!$P$27&lt;&gt;"",'Bonding Program'!$P$27,'Bonding Program'!$C$8)),'Bonding Program'!$Z$27,0)+IF(AND('Bonding Program'!$P$27&lt;&gt;"",M$3='Bonding Program'!$P$27,M$3&lt;='Bonding Program'!$C$8),N('Bonding Program'!$O$27),0)</f>
        <v>0</v>
      </c>
      <c r="N168" s="19" t="n">
        <f aca="false">IF(AND('Bonding Program'!$S$27=1,'Bonding Program'!$H$27&gt;'Bonding Program'!$C$8,N$3='Bonding Program'!$H$27),'Bonding Program'!$T$27-'Bonding Program'!$U$27-'Bonding Program'!$Z$27,0)-IF(AND('Bonding Program'!$S$27=1,'Bonding Program'!$H$27&lt;='Bonding Program'!$C$8,N$3=IF('Bonding Program'!$P$27&lt;&gt;"",'Bonding Program'!$P$27,'Bonding Program'!$C$8)),'Bonding Program'!$Z$27,0)+IF(AND('Bonding Program'!$P$27&lt;&gt;"",N$3='Bonding Program'!$P$27,N$3&lt;='Bonding Program'!$C$8),N('Bonding Program'!$O$27),0)</f>
        <v>0</v>
      </c>
      <c r="O168" s="19" t="n">
        <f aca="false">IF(AND('Bonding Program'!$S$27=1,'Bonding Program'!$H$27&gt;'Bonding Program'!$C$8,O$3='Bonding Program'!$H$27),'Bonding Program'!$T$27-'Bonding Program'!$U$27-'Bonding Program'!$Z$27,0)-IF(AND('Bonding Program'!$S$27=1,'Bonding Program'!$H$27&lt;='Bonding Program'!$C$8,O$3=IF('Bonding Program'!$P$27&lt;&gt;"",'Bonding Program'!$P$27,'Bonding Program'!$C$8)),'Bonding Program'!$Z$27,0)+IF(AND('Bonding Program'!$P$27&lt;&gt;"",O$3='Bonding Program'!$P$27,O$3&lt;='Bonding Program'!$C$8),N('Bonding Program'!$O$27),0)</f>
        <v>0</v>
      </c>
      <c r="P168" s="19" t="n">
        <f aca="false">IF(AND('Bonding Program'!$S$27=1,'Bonding Program'!$H$27&gt;'Bonding Program'!$C$8,P$3='Bonding Program'!$H$27),'Bonding Program'!$T$27-'Bonding Program'!$U$27-'Bonding Program'!$Z$27,0)-IF(AND('Bonding Program'!$S$27=1,'Bonding Program'!$H$27&lt;='Bonding Program'!$C$8,P$3=IF('Bonding Program'!$P$27&lt;&gt;"",'Bonding Program'!$P$27,'Bonding Program'!$C$8)),'Bonding Program'!$Z$27,0)+IF(AND('Bonding Program'!$P$27&lt;&gt;"",P$3='Bonding Program'!$P$27,P$3&lt;='Bonding Program'!$C$8),N('Bonding Program'!$O$27),0)</f>
        <v>0</v>
      </c>
      <c r="Q168" s="19" t="n">
        <f aca="false">IF(AND('Bonding Program'!$S$27=1,'Bonding Program'!$H$27&gt;'Bonding Program'!$C$8,Q$3='Bonding Program'!$H$27),'Bonding Program'!$T$27-'Bonding Program'!$U$27-'Bonding Program'!$Z$27,0)-IF(AND('Bonding Program'!$S$27=1,'Bonding Program'!$H$27&lt;='Bonding Program'!$C$8,Q$3=IF('Bonding Program'!$P$27&lt;&gt;"",'Bonding Program'!$P$27,'Bonding Program'!$C$8)),'Bonding Program'!$Z$27,0)+IF(AND('Bonding Program'!$P$27&lt;&gt;"",Q$3='Bonding Program'!$P$27,Q$3&lt;='Bonding Program'!$C$8),N('Bonding Program'!$O$27),0)</f>
        <v>0</v>
      </c>
      <c r="R168" s="19" t="n">
        <f aca="false">IF(AND('Bonding Program'!$S$27=1,'Bonding Program'!$H$27&gt;'Bonding Program'!$C$8,R$3='Bonding Program'!$H$27),'Bonding Program'!$T$27-'Bonding Program'!$U$27-'Bonding Program'!$Z$27,0)-IF(AND('Bonding Program'!$S$27=1,'Bonding Program'!$H$27&lt;='Bonding Program'!$C$8,R$3=IF('Bonding Program'!$P$27&lt;&gt;"",'Bonding Program'!$P$27,'Bonding Program'!$C$8)),'Bonding Program'!$Z$27,0)+IF(AND('Bonding Program'!$P$27&lt;&gt;"",R$3='Bonding Program'!$P$27,R$3&lt;='Bonding Program'!$C$8),N('Bonding Program'!$O$27),0)</f>
        <v>0</v>
      </c>
      <c r="S168" s="19" t="n">
        <f aca="false">IF(AND('Bonding Program'!$S$27=1,'Bonding Program'!$H$27&gt;'Bonding Program'!$C$8,S$3='Bonding Program'!$H$27),'Bonding Program'!$T$27-'Bonding Program'!$U$27-'Bonding Program'!$Z$27,0)-IF(AND('Bonding Program'!$S$27=1,'Bonding Program'!$H$27&lt;='Bonding Program'!$C$8,S$3=IF('Bonding Program'!$P$27&lt;&gt;"",'Bonding Program'!$P$27,'Bonding Program'!$C$8)),'Bonding Program'!$Z$27,0)+IF(AND('Bonding Program'!$P$27&lt;&gt;"",S$3='Bonding Program'!$P$27,S$3&lt;='Bonding Program'!$C$8),N('Bonding Program'!$O$27),0)</f>
        <v>0</v>
      </c>
      <c r="T168" s="19" t="n">
        <f aca="false">IF(AND('Bonding Program'!$S$27=1,'Bonding Program'!$H$27&gt;'Bonding Program'!$C$8,T$3='Bonding Program'!$H$27),'Bonding Program'!$T$27-'Bonding Program'!$U$27-'Bonding Program'!$Z$27,0)-IF(AND('Bonding Program'!$S$27=1,'Bonding Program'!$H$27&lt;='Bonding Program'!$C$8,T$3=IF('Bonding Program'!$P$27&lt;&gt;"",'Bonding Program'!$P$27,'Bonding Program'!$C$8)),'Bonding Program'!$Z$27,0)+IF(AND('Bonding Program'!$P$27&lt;&gt;"",T$3='Bonding Program'!$P$27,T$3&lt;='Bonding Program'!$C$8),N('Bonding Program'!$O$27),0)</f>
        <v>0</v>
      </c>
      <c r="U168" s="19" t="n">
        <f aca="false">IF(AND('Bonding Program'!$S$27=1,'Bonding Program'!$H$27&gt;'Bonding Program'!$C$8,U$3='Bonding Program'!$H$27),'Bonding Program'!$T$27-'Bonding Program'!$U$27-'Bonding Program'!$Z$27,0)-IF(AND('Bonding Program'!$S$27=1,'Bonding Program'!$H$27&lt;='Bonding Program'!$C$8,U$3=IF('Bonding Program'!$P$27&lt;&gt;"",'Bonding Program'!$P$27,'Bonding Program'!$C$8)),'Bonding Program'!$Z$27,0)+IF(AND('Bonding Program'!$P$27&lt;&gt;"",U$3='Bonding Program'!$P$27,U$3&lt;='Bonding Program'!$C$8),N('Bonding Program'!$O$27),0)</f>
        <v>0</v>
      </c>
      <c r="V168" s="19" t="n">
        <f aca="false">IF(AND('Bonding Program'!$S$27=1,'Bonding Program'!$H$27&gt;'Bonding Program'!$C$8,V$3='Bonding Program'!$H$27),'Bonding Program'!$T$27-'Bonding Program'!$U$27-'Bonding Program'!$Z$27,0)-IF(AND('Bonding Program'!$S$27=1,'Bonding Program'!$H$27&lt;='Bonding Program'!$C$8,V$3=IF('Bonding Program'!$P$27&lt;&gt;"",'Bonding Program'!$P$27,'Bonding Program'!$C$8)),'Bonding Program'!$Z$27,0)+IF(AND('Bonding Program'!$P$27&lt;&gt;"",V$3='Bonding Program'!$P$27,V$3&lt;='Bonding Program'!$C$8),N('Bonding Program'!$O$27),0)</f>
        <v>0</v>
      </c>
      <c r="W168" s="19" t="n">
        <f aca="false">IF(AND('Bonding Program'!$S$27=1,'Bonding Program'!$H$27&gt;'Bonding Program'!$C$8,W$3='Bonding Program'!$H$27),'Bonding Program'!$T$27-'Bonding Program'!$U$27-'Bonding Program'!$Z$27,0)-IF(AND('Bonding Program'!$S$27=1,'Bonding Program'!$H$27&lt;='Bonding Program'!$C$8,W$3=IF('Bonding Program'!$P$27&lt;&gt;"",'Bonding Program'!$P$27,'Bonding Program'!$C$8)),'Bonding Program'!$Z$27,0)+IF(AND('Bonding Program'!$P$27&lt;&gt;"",W$3='Bonding Program'!$P$27,W$3&lt;='Bonding Program'!$C$8),N('Bonding Program'!$O$27),0)</f>
        <v>0</v>
      </c>
      <c r="X168" s="19" t="n">
        <f aca="false">IF(AND('Bonding Program'!$S$27=1,'Bonding Program'!$H$27&gt;'Bonding Program'!$C$8,X$3='Bonding Program'!$H$27),'Bonding Program'!$T$27-'Bonding Program'!$U$27-'Bonding Program'!$Z$27,0)-IF(AND('Bonding Program'!$S$27=1,'Bonding Program'!$H$27&lt;='Bonding Program'!$C$8,X$3=IF('Bonding Program'!$P$27&lt;&gt;"",'Bonding Program'!$P$27,'Bonding Program'!$C$8)),'Bonding Program'!$Z$27,0)+IF(AND('Bonding Program'!$P$27&lt;&gt;"",X$3='Bonding Program'!$P$27,X$3&lt;='Bonding Program'!$C$8),N('Bonding Program'!$O$27),0)</f>
        <v>0</v>
      </c>
      <c r="Y168" s="19" t="n">
        <f aca="false">IF(AND('Bonding Program'!$S$27=1,'Bonding Program'!$H$27&gt;'Bonding Program'!$C$8,Y$3='Bonding Program'!$H$27),'Bonding Program'!$T$27-'Bonding Program'!$U$27-'Bonding Program'!$Z$27,0)-IF(AND('Bonding Program'!$S$27=1,'Bonding Program'!$H$27&lt;='Bonding Program'!$C$8,Y$3=IF('Bonding Program'!$P$27&lt;&gt;"",'Bonding Program'!$P$27,'Bonding Program'!$C$8)),'Bonding Program'!$Z$27,0)+IF(AND('Bonding Program'!$P$27&lt;&gt;"",Y$3='Bonding Program'!$P$27,Y$3&lt;='Bonding Program'!$C$8),N('Bonding Program'!$O$27),0)</f>
        <v>0</v>
      </c>
      <c r="Z168" s="19" t="n">
        <f aca="false">IF(AND('Bonding Program'!$S$27=1,'Bonding Program'!$H$27&gt;'Bonding Program'!$C$8,Z$3='Bonding Program'!$H$27),'Bonding Program'!$T$27-'Bonding Program'!$U$27-'Bonding Program'!$Z$27,0)-IF(AND('Bonding Program'!$S$27=1,'Bonding Program'!$H$27&lt;='Bonding Program'!$C$8,Z$3=IF('Bonding Program'!$P$27&lt;&gt;"",'Bonding Program'!$P$27,'Bonding Program'!$C$8)),'Bonding Program'!$Z$27,0)+IF(AND('Bonding Program'!$P$27&lt;&gt;"",Z$3='Bonding Program'!$P$27,Z$3&lt;='Bonding Program'!$C$8),N('Bonding Program'!$O$27),0)</f>
        <v>0</v>
      </c>
      <c r="AA168" s="19" t="n">
        <f aca="false">IF(AND('Bonding Program'!$S$27=1,'Bonding Program'!$H$27&gt;'Bonding Program'!$C$8,AA$3='Bonding Program'!$H$27),'Bonding Program'!$T$27-'Bonding Program'!$U$27-'Bonding Program'!$Z$27,0)-IF(AND('Bonding Program'!$S$27=1,'Bonding Program'!$H$27&lt;='Bonding Program'!$C$8,AA$3=IF('Bonding Program'!$P$27&lt;&gt;"",'Bonding Program'!$P$27,'Bonding Program'!$C$8)),'Bonding Program'!$Z$27,0)+IF(AND('Bonding Program'!$P$27&lt;&gt;"",AA$3='Bonding Program'!$P$27,AA$3&lt;='Bonding Program'!$C$8),N('Bonding Program'!$O$27),0)</f>
        <v>0</v>
      </c>
      <c r="AB168" s="19" t="n">
        <f aca="false">IF(AND('Bonding Program'!$S$27=1,'Bonding Program'!$H$27&gt;'Bonding Program'!$C$8,AB$3='Bonding Program'!$H$27),'Bonding Program'!$T$27-'Bonding Program'!$U$27-'Bonding Program'!$Z$27,0)-IF(AND('Bonding Program'!$S$27=1,'Bonding Program'!$H$27&lt;='Bonding Program'!$C$8,AB$3=IF('Bonding Program'!$P$27&lt;&gt;"",'Bonding Program'!$P$27,'Bonding Program'!$C$8)),'Bonding Program'!$Z$27,0)+IF(AND('Bonding Program'!$P$27&lt;&gt;"",AB$3='Bonding Program'!$P$27,AB$3&lt;='Bonding Program'!$C$8),N('Bonding Program'!$O$27),0)</f>
        <v>0</v>
      </c>
      <c r="AC168" s="19" t="n">
        <f aca="false">IF(AND('Bonding Program'!$S$27=1,'Bonding Program'!$H$27&gt;'Bonding Program'!$C$8,AC$3='Bonding Program'!$H$27),'Bonding Program'!$T$27-'Bonding Program'!$U$27-'Bonding Program'!$Z$27,0)-IF(AND('Bonding Program'!$S$27=1,'Bonding Program'!$H$27&lt;='Bonding Program'!$C$8,AC$3=IF('Bonding Program'!$P$27&lt;&gt;"",'Bonding Program'!$P$27,'Bonding Program'!$C$8)),'Bonding Program'!$Z$27,0)+IF(AND('Bonding Program'!$P$27&lt;&gt;"",AC$3='Bonding Program'!$P$27,AC$3&lt;='Bonding Program'!$C$8),N('Bonding Program'!$O$27),0)</f>
        <v>0</v>
      </c>
      <c r="AD168" s="19" t="n">
        <f aca="false">IF(AND('Bonding Program'!$S$27=1,'Bonding Program'!$H$27&gt;'Bonding Program'!$C$8,AD$3='Bonding Program'!$H$27),'Bonding Program'!$T$27-'Bonding Program'!$U$27-'Bonding Program'!$Z$27,0)-IF(AND('Bonding Program'!$S$27=1,'Bonding Program'!$H$27&lt;='Bonding Program'!$C$8,AD$3=IF('Bonding Program'!$P$27&lt;&gt;"",'Bonding Program'!$P$27,'Bonding Program'!$C$8)),'Bonding Program'!$Z$27,0)+IF(AND('Bonding Program'!$P$27&lt;&gt;"",AD$3='Bonding Program'!$P$27,AD$3&lt;='Bonding Program'!$C$8),N('Bonding Program'!$O$27),0)</f>
        <v>0</v>
      </c>
      <c r="AE168" s="19" t="n">
        <f aca="false">IF(AND('Bonding Program'!$S$27=1,'Bonding Program'!$H$27&gt;'Bonding Program'!$C$8,AE$3='Bonding Program'!$H$27),'Bonding Program'!$T$27-'Bonding Program'!$U$27-'Bonding Program'!$Z$27,0)-IF(AND('Bonding Program'!$S$27=1,'Bonding Program'!$H$27&lt;='Bonding Program'!$C$8,AE$3=IF('Bonding Program'!$P$27&lt;&gt;"",'Bonding Program'!$P$27,'Bonding Program'!$C$8)),'Bonding Program'!$Z$27,0)+IF(AND('Bonding Program'!$P$27&lt;&gt;"",AE$3='Bonding Program'!$P$27,AE$3&lt;='Bonding Program'!$C$8),N('Bonding Program'!$O$27),0)</f>
        <v>0</v>
      </c>
      <c r="AF168" s="19" t="n">
        <f aca="false">IF(AND('Bonding Program'!$S$27=1,'Bonding Program'!$H$27&gt;'Bonding Program'!$C$8,AF$3='Bonding Program'!$H$27),'Bonding Program'!$T$27-'Bonding Program'!$U$27-'Bonding Program'!$Z$27,0)-IF(AND('Bonding Program'!$S$27=1,'Bonding Program'!$H$27&lt;='Bonding Program'!$C$8,AF$3=IF('Bonding Program'!$P$27&lt;&gt;"",'Bonding Program'!$P$27,'Bonding Program'!$C$8)),'Bonding Program'!$Z$27,0)+IF(AND('Bonding Program'!$P$27&lt;&gt;"",AF$3='Bonding Program'!$P$27,AF$3&lt;='Bonding Program'!$C$8),N('Bonding Program'!$O$27),0)</f>
        <v>0</v>
      </c>
      <c r="AG168" s="19" t="n">
        <f aca="false">IF(AND('Bonding Program'!$S$27=1,'Bonding Program'!$H$27&gt;'Bonding Program'!$C$8,AG$3='Bonding Program'!$H$27),'Bonding Program'!$T$27-'Bonding Program'!$U$27-'Bonding Program'!$Z$27,0)-IF(AND('Bonding Program'!$S$27=1,'Bonding Program'!$H$27&lt;='Bonding Program'!$C$8,AG$3=IF('Bonding Program'!$P$27&lt;&gt;"",'Bonding Program'!$P$27,'Bonding Program'!$C$8)),'Bonding Program'!$Z$27,0)+IF(AND('Bonding Program'!$P$27&lt;&gt;"",AG$3='Bonding Program'!$P$27,AG$3&lt;='Bonding Program'!$C$8),N('Bonding Program'!$O$27),0)</f>
        <v>0</v>
      </c>
      <c r="AH168" s="19" t="n">
        <f aca="false">IF(AND('Bonding Program'!$S$27=1,'Bonding Program'!$H$27&gt;'Bonding Program'!$C$8,AH$3='Bonding Program'!$H$27),'Bonding Program'!$T$27-'Bonding Program'!$U$27-'Bonding Program'!$Z$27,0)-IF(AND('Bonding Program'!$S$27=1,'Bonding Program'!$H$27&lt;='Bonding Program'!$C$8,AH$3=IF('Bonding Program'!$P$27&lt;&gt;"",'Bonding Program'!$P$27,'Bonding Program'!$C$8)),'Bonding Program'!$Z$27,0)+IF(AND('Bonding Program'!$P$27&lt;&gt;"",AH$3='Bonding Program'!$P$27,AH$3&lt;='Bonding Program'!$C$8),N('Bonding Program'!$O$27),0)</f>
        <v>0</v>
      </c>
      <c r="AI168" s="19" t="n">
        <f aca="false">IF(AND('Bonding Program'!$S$27=1,'Bonding Program'!$H$27&gt;'Bonding Program'!$C$8,AI$3='Bonding Program'!$H$27),'Bonding Program'!$T$27-'Bonding Program'!$U$27-'Bonding Program'!$Z$27,0)-IF(AND('Bonding Program'!$S$27=1,'Bonding Program'!$H$27&lt;='Bonding Program'!$C$8,AI$3=IF('Bonding Program'!$P$27&lt;&gt;"",'Bonding Program'!$P$27,'Bonding Program'!$C$8)),'Bonding Program'!$Z$27,0)+IF(AND('Bonding Program'!$P$27&lt;&gt;"",AI$3='Bonding Program'!$P$27,AI$3&lt;='Bonding Program'!$C$8),N('Bonding Program'!$O$27),0)</f>
        <v>0</v>
      </c>
      <c r="AJ168" s="19" t="n">
        <f aca="false">IF(AND('Bonding Program'!$S$27=1,'Bonding Program'!$H$27&gt;'Bonding Program'!$C$8,AJ$3='Bonding Program'!$H$27),'Bonding Program'!$T$27-'Bonding Program'!$U$27-'Bonding Program'!$Z$27,0)-IF(AND('Bonding Program'!$S$27=1,'Bonding Program'!$H$27&lt;='Bonding Program'!$C$8,AJ$3=IF('Bonding Program'!$P$27&lt;&gt;"",'Bonding Program'!$P$27,'Bonding Program'!$C$8)),'Bonding Program'!$Z$27,0)+IF(AND('Bonding Program'!$P$27&lt;&gt;"",AJ$3='Bonding Program'!$P$27,AJ$3&lt;='Bonding Program'!$C$8),N('Bonding Program'!$O$27),0)</f>
        <v>0</v>
      </c>
      <c r="AK168" s="19" t="n">
        <f aca="false">IF(AND('Bonding Program'!$S$27=1,'Bonding Program'!$H$27&gt;'Bonding Program'!$C$8,AK$3='Bonding Program'!$H$27),'Bonding Program'!$T$27-'Bonding Program'!$U$27-'Bonding Program'!$Z$27,0)-IF(AND('Bonding Program'!$S$27=1,'Bonding Program'!$H$27&lt;='Bonding Program'!$C$8,AK$3=IF('Bonding Program'!$P$27&lt;&gt;"",'Bonding Program'!$P$27,'Bonding Program'!$C$8)),'Bonding Program'!$Z$27,0)+IF(AND('Bonding Program'!$P$27&lt;&gt;"",AK$3='Bonding Program'!$P$27,AK$3&lt;='Bonding Program'!$C$8),N('Bonding Program'!$O$27),0)</f>
        <v>0</v>
      </c>
      <c r="AL168" s="19" t="n">
        <f aca="false">IF(AND('Bonding Program'!$S$27=1,'Bonding Program'!$H$27&gt;'Bonding Program'!$C$8,AL$3='Bonding Program'!$H$27),'Bonding Program'!$T$27-'Bonding Program'!$U$27-'Bonding Program'!$Z$27,0)-IF(AND('Bonding Program'!$S$27=1,'Bonding Program'!$H$27&lt;='Bonding Program'!$C$8,AL$3=IF('Bonding Program'!$P$27&lt;&gt;"",'Bonding Program'!$P$27,'Bonding Program'!$C$8)),'Bonding Program'!$Z$27,0)+IF(AND('Bonding Program'!$P$27&lt;&gt;"",AL$3='Bonding Program'!$P$27,AL$3&lt;='Bonding Program'!$C$8),N('Bonding Program'!$O$27),0)</f>
        <v>0</v>
      </c>
      <c r="AM168" s="19" t="n">
        <f aca="false">IF(AND('Bonding Program'!$S$27=1,'Bonding Program'!$H$27&gt;'Bonding Program'!$C$8,AM$3='Bonding Program'!$H$27),'Bonding Program'!$T$27-'Bonding Program'!$U$27-'Bonding Program'!$Z$27,0)-IF(AND('Bonding Program'!$S$27=1,'Bonding Program'!$H$27&lt;='Bonding Program'!$C$8,AM$3=IF('Bonding Program'!$P$27&lt;&gt;"",'Bonding Program'!$P$27,'Bonding Program'!$C$8)),'Bonding Program'!$Z$27,0)+IF(AND('Bonding Program'!$P$27&lt;&gt;"",AM$3='Bonding Program'!$P$27,AM$3&lt;='Bonding Program'!$C$8),N('Bonding Program'!$O$27),0)</f>
        <v>0</v>
      </c>
      <c r="AN168" s="19" t="n">
        <f aca="false">IF(AND('Bonding Program'!$S$27=1,'Bonding Program'!$H$27&gt;'Bonding Program'!$C$8,AN$3='Bonding Program'!$H$27),'Bonding Program'!$T$27-'Bonding Program'!$U$27-'Bonding Program'!$Z$27,0)-IF(AND('Bonding Program'!$S$27=1,'Bonding Program'!$H$27&lt;='Bonding Program'!$C$8,AN$3=IF('Bonding Program'!$P$27&lt;&gt;"",'Bonding Program'!$P$27,'Bonding Program'!$C$8)),'Bonding Program'!$Z$27,0)+IF(AND('Bonding Program'!$P$27&lt;&gt;"",AN$3='Bonding Program'!$P$27,AN$3&lt;='Bonding Program'!$C$8),N('Bonding Program'!$O$27),0)</f>
        <v>0</v>
      </c>
      <c r="AO168" s="19" t="n">
        <f aca="false">IF(AND('Bonding Program'!$S$27=1,'Bonding Program'!$H$27&gt;'Bonding Program'!$C$8,AO$3='Bonding Program'!$H$27),'Bonding Program'!$T$27-'Bonding Program'!$U$27-'Bonding Program'!$Z$27,0)-IF(AND('Bonding Program'!$S$27=1,'Bonding Program'!$H$27&lt;='Bonding Program'!$C$8,AO$3=IF('Bonding Program'!$P$27&lt;&gt;"",'Bonding Program'!$P$27,'Bonding Program'!$C$8)),'Bonding Program'!$Z$27,0)+IF(AND('Bonding Program'!$P$27&lt;&gt;"",AO$3='Bonding Program'!$P$27,AO$3&lt;='Bonding Program'!$C$8),N('Bonding Program'!$O$27),0)</f>
        <v>0</v>
      </c>
      <c r="AP168" s="19" t="n">
        <f aca="false">IF(AND('Bonding Program'!$S$27=1,'Bonding Program'!$H$27&gt;'Bonding Program'!$C$8,AP$3='Bonding Program'!$H$27),'Bonding Program'!$T$27-'Bonding Program'!$U$27-'Bonding Program'!$Z$27,0)-IF(AND('Bonding Program'!$S$27=1,'Bonding Program'!$H$27&lt;='Bonding Program'!$C$8,AP$3=IF('Bonding Program'!$P$27&lt;&gt;"",'Bonding Program'!$P$27,'Bonding Program'!$C$8)),'Bonding Program'!$Z$27,0)+IF(AND('Bonding Program'!$P$27&lt;&gt;"",AP$3='Bonding Program'!$P$27,AP$3&lt;='Bonding Program'!$C$8),N('Bonding Program'!$O$27),0)</f>
        <v>0</v>
      </c>
      <c r="AQ168" s="19" t="n">
        <f aca="false">IF(AND('Bonding Program'!$S$27=1,'Bonding Program'!$H$27&gt;'Bonding Program'!$C$8,AQ$3='Bonding Program'!$H$27),'Bonding Program'!$T$27-'Bonding Program'!$U$27-'Bonding Program'!$Z$27,0)-IF(AND('Bonding Program'!$S$27=1,'Bonding Program'!$H$27&lt;='Bonding Program'!$C$8,AQ$3=IF('Bonding Program'!$P$27&lt;&gt;"",'Bonding Program'!$P$27,'Bonding Program'!$C$8)),'Bonding Program'!$Z$27,0)+IF(AND('Bonding Program'!$P$27&lt;&gt;"",AQ$3='Bonding Program'!$P$27,AQ$3&lt;='Bonding Program'!$C$8),N('Bonding Program'!$O$27),0)</f>
        <v>0</v>
      </c>
      <c r="AR168" s="19" t="n">
        <f aca="false">IF(AND('Bonding Program'!$S$27=1,'Bonding Program'!$H$27&gt;'Bonding Program'!$C$8,AR$3='Bonding Program'!$H$27),'Bonding Program'!$T$27-'Bonding Program'!$U$27-'Bonding Program'!$Z$27,0)-IF(AND('Bonding Program'!$S$27=1,'Bonding Program'!$H$27&lt;='Bonding Program'!$C$8,AR$3=IF('Bonding Program'!$P$27&lt;&gt;"",'Bonding Program'!$P$27,'Bonding Program'!$C$8)),'Bonding Program'!$Z$27,0)+IF(AND('Bonding Program'!$P$27&lt;&gt;"",AR$3='Bonding Program'!$P$27,AR$3&lt;='Bonding Program'!$C$8),N('Bonding Program'!$O$27),0)</f>
        <v>0</v>
      </c>
      <c r="AS168" s="19" t="n">
        <f aca="false">IF(AND('Bonding Program'!$S$27=1,'Bonding Program'!$H$27&gt;'Bonding Program'!$C$8,AS$3='Bonding Program'!$H$27),'Bonding Program'!$T$27-'Bonding Program'!$U$27-'Bonding Program'!$Z$27,0)-IF(AND('Bonding Program'!$S$27=1,'Bonding Program'!$H$27&lt;='Bonding Program'!$C$8,AS$3=IF('Bonding Program'!$P$27&lt;&gt;"",'Bonding Program'!$P$27,'Bonding Program'!$C$8)),'Bonding Program'!$Z$27,0)+IF(AND('Bonding Program'!$P$27&lt;&gt;"",AS$3='Bonding Program'!$P$27,AS$3&lt;='Bonding Program'!$C$8),N('Bonding Program'!$O$27),0)</f>
        <v>0</v>
      </c>
      <c r="AT168" s="19" t="n">
        <f aca="false">IF(AND('Bonding Program'!$S$27=1,'Bonding Program'!$H$27&gt;'Bonding Program'!$C$8,AT$3='Bonding Program'!$H$27),'Bonding Program'!$T$27-'Bonding Program'!$U$27-'Bonding Program'!$Z$27,0)-IF(AND('Bonding Program'!$S$27=1,'Bonding Program'!$H$27&lt;='Bonding Program'!$C$8,AT$3=IF('Bonding Program'!$P$27&lt;&gt;"",'Bonding Program'!$P$27,'Bonding Program'!$C$8)),'Bonding Program'!$Z$27,0)+IF(AND('Bonding Program'!$P$27&lt;&gt;"",AT$3='Bonding Program'!$P$27,AT$3&lt;='Bonding Program'!$C$8),N('Bonding Program'!$O$27),0)</f>
        <v>0</v>
      </c>
      <c r="AU168" s="19" t="n">
        <f aca="false">IF(AND('Bonding Program'!$S$27=1,'Bonding Program'!$H$27&gt;'Bonding Program'!$C$8,AU$3='Bonding Program'!$H$27),'Bonding Program'!$T$27-'Bonding Program'!$U$27-'Bonding Program'!$Z$27,0)-IF(AND('Bonding Program'!$S$27=1,'Bonding Program'!$H$27&lt;='Bonding Program'!$C$8,AU$3=IF('Bonding Program'!$P$27&lt;&gt;"",'Bonding Program'!$P$27,'Bonding Program'!$C$8)),'Bonding Program'!$Z$27,0)+IF(AND('Bonding Program'!$P$27&lt;&gt;"",AU$3='Bonding Program'!$P$27,AU$3&lt;='Bonding Program'!$C$8),N('Bonding Program'!$O$27),0)</f>
        <v>0</v>
      </c>
      <c r="AV168" s="19" t="n">
        <f aca="false">IF(AND('Bonding Program'!$S$27=1,'Bonding Program'!$H$27&gt;'Bonding Program'!$C$8,AV$3='Bonding Program'!$H$27),'Bonding Program'!$T$27-'Bonding Program'!$U$27-'Bonding Program'!$Z$27,0)-IF(AND('Bonding Program'!$S$27=1,'Bonding Program'!$H$27&lt;='Bonding Program'!$C$8,AV$3=IF('Bonding Program'!$P$27&lt;&gt;"",'Bonding Program'!$P$27,'Bonding Program'!$C$8)),'Bonding Program'!$Z$27,0)+IF(AND('Bonding Program'!$P$27&lt;&gt;"",AV$3='Bonding Program'!$P$27,AV$3&lt;='Bonding Program'!$C$8),N('Bonding Program'!$O$27),0)</f>
        <v>0</v>
      </c>
      <c r="AW168" s="19" t="n">
        <f aca="false">IF(AND('Bonding Program'!$S$27=1,'Bonding Program'!$H$27&gt;'Bonding Program'!$C$8,AW$3='Bonding Program'!$H$27),'Bonding Program'!$T$27-'Bonding Program'!$U$27-'Bonding Program'!$Z$27,0)-IF(AND('Bonding Program'!$S$27=1,'Bonding Program'!$H$27&lt;='Bonding Program'!$C$8,AW$3=IF('Bonding Program'!$P$27&lt;&gt;"",'Bonding Program'!$P$27,'Bonding Program'!$C$8)),'Bonding Program'!$Z$27,0)+IF(AND('Bonding Program'!$P$27&lt;&gt;"",AW$3='Bonding Program'!$P$27,AW$3&lt;='Bonding Program'!$C$8),N('Bonding Program'!$O$27),0)</f>
        <v>0</v>
      </c>
      <c r="AX168" s="19" t="n">
        <f aca="false">IF(AND('Bonding Program'!$S$27=1,'Bonding Program'!$H$27&gt;'Bonding Program'!$C$8,AX$3='Bonding Program'!$H$27),'Bonding Program'!$T$27-'Bonding Program'!$U$27-'Bonding Program'!$Z$27,0)-IF(AND('Bonding Program'!$S$27=1,'Bonding Program'!$H$27&lt;='Bonding Program'!$C$8,AX$3=IF('Bonding Program'!$P$27&lt;&gt;"",'Bonding Program'!$P$27,'Bonding Program'!$C$8)),'Bonding Program'!$Z$27,0)+IF(AND('Bonding Program'!$P$27&lt;&gt;"",AX$3='Bonding Program'!$P$27,AX$3&lt;='Bonding Program'!$C$8),N('Bonding Program'!$O$27),0)</f>
        <v>0</v>
      </c>
      <c r="AY168" s="19" t="n">
        <f aca="false">IF(AND('Bonding Program'!$S$27=1,'Bonding Program'!$H$27&gt;'Bonding Program'!$C$8,AY$3='Bonding Program'!$H$27),'Bonding Program'!$T$27-'Bonding Program'!$U$27-'Bonding Program'!$Z$27,0)-IF(AND('Bonding Program'!$S$27=1,'Bonding Program'!$H$27&lt;='Bonding Program'!$C$8,AY$3=IF('Bonding Program'!$P$27&lt;&gt;"",'Bonding Program'!$P$27,'Bonding Program'!$C$8)),'Bonding Program'!$Z$27,0)+IF(AND('Bonding Program'!$P$27&lt;&gt;"",AY$3='Bonding Program'!$P$27,AY$3&lt;='Bonding Program'!$C$8),N('Bonding Program'!$O$27),0)</f>
        <v>0</v>
      </c>
      <c r="AZ168" s="19" t="n">
        <f aca="false">IF(AND('Bonding Program'!$S$27=1,'Bonding Program'!$H$27&gt;'Bonding Program'!$C$8,AZ$3='Bonding Program'!$H$27),'Bonding Program'!$T$27-'Bonding Program'!$U$27-'Bonding Program'!$Z$27,0)-IF(AND('Bonding Program'!$S$27=1,'Bonding Program'!$H$27&lt;='Bonding Program'!$C$8,AZ$3=IF('Bonding Program'!$P$27&lt;&gt;"",'Bonding Program'!$P$27,'Bonding Program'!$C$8)),'Bonding Program'!$Z$27,0)+IF(AND('Bonding Program'!$P$27&lt;&gt;"",AZ$3='Bonding Program'!$P$27,AZ$3&lt;='Bonding Program'!$C$8),N('Bonding Program'!$O$27),0)</f>
        <v>0</v>
      </c>
      <c r="BA168" s="19" t="n">
        <f aca="false">IF(AND('Bonding Program'!$S$27=1,'Bonding Program'!$H$27&gt;'Bonding Program'!$C$8,BA$3='Bonding Program'!$H$27),'Bonding Program'!$T$27-'Bonding Program'!$U$27-'Bonding Program'!$Z$27,0)-IF(AND('Bonding Program'!$S$27=1,'Bonding Program'!$H$27&lt;='Bonding Program'!$C$8,BA$3=IF('Bonding Program'!$P$27&lt;&gt;"",'Bonding Program'!$P$27,'Bonding Program'!$C$8)),'Bonding Program'!$Z$27,0)+IF(AND('Bonding Program'!$P$27&lt;&gt;"",BA$3='Bonding Program'!$P$27,BA$3&lt;='Bonding Program'!$C$8),N('Bonding Program'!$O$27),0)</f>
        <v>0</v>
      </c>
      <c r="BB168" s="19" t="n">
        <f aca="false">IF(AND('Bonding Program'!$S$27=1,'Bonding Program'!$H$27&gt;'Bonding Program'!$C$8,BB$3='Bonding Program'!$H$27),'Bonding Program'!$T$27-'Bonding Program'!$U$27-'Bonding Program'!$Z$27,0)-IF(AND('Bonding Program'!$S$27=1,'Bonding Program'!$H$27&lt;='Bonding Program'!$C$8,BB$3=IF('Bonding Program'!$P$27&lt;&gt;"",'Bonding Program'!$P$27,'Bonding Program'!$C$8)),'Bonding Program'!$Z$27,0)+IF(AND('Bonding Program'!$P$27&lt;&gt;"",BB$3='Bonding Program'!$P$27,BB$3&lt;='Bonding Program'!$C$8),N('Bonding Program'!$O$27),0)</f>
        <v>0</v>
      </c>
      <c r="BC168" s="19" t="n">
        <f aca="false">IF(AND('Bonding Program'!$S$27=1,'Bonding Program'!$H$27&gt;'Bonding Program'!$C$8,BC$3='Bonding Program'!$H$27),'Bonding Program'!$T$27-'Bonding Program'!$U$27-'Bonding Program'!$Z$27,0)-IF(AND('Bonding Program'!$S$27=1,'Bonding Program'!$H$27&lt;='Bonding Program'!$C$8,BC$3=IF('Bonding Program'!$P$27&lt;&gt;"",'Bonding Program'!$P$27,'Bonding Program'!$C$8)),'Bonding Program'!$Z$27,0)+IF(AND('Bonding Program'!$P$27&lt;&gt;"",BC$3='Bonding Program'!$P$27,BC$3&lt;='Bonding Program'!$C$8),N('Bonding Program'!$O$27),0)</f>
        <v>0</v>
      </c>
      <c r="BD168" s="19" t="n">
        <f aca="false">IF(AND('Bonding Program'!$S$27=1,'Bonding Program'!$H$27&gt;'Bonding Program'!$C$8,BD$3='Bonding Program'!$H$27),'Bonding Program'!$T$27-'Bonding Program'!$U$27-'Bonding Program'!$Z$27,0)-IF(AND('Bonding Program'!$S$27=1,'Bonding Program'!$H$27&lt;='Bonding Program'!$C$8,BD$3=IF('Bonding Program'!$P$27&lt;&gt;"",'Bonding Program'!$P$27,'Bonding Program'!$C$8)),'Bonding Program'!$Z$27,0)+IF(AND('Bonding Program'!$P$27&lt;&gt;"",BD$3='Bonding Program'!$P$27,BD$3&lt;='Bonding Program'!$C$8),N('Bonding Program'!$O$27),0)</f>
        <v>0</v>
      </c>
      <c r="BE168" s="19" t="n">
        <f aca="false">IF(AND('Bonding Program'!$S$27=1,'Bonding Program'!$H$27&gt;'Bonding Program'!$C$8,BE$3='Bonding Program'!$H$27),'Bonding Program'!$T$27-'Bonding Program'!$U$27-'Bonding Program'!$Z$27,0)-IF(AND('Bonding Program'!$S$27=1,'Bonding Program'!$H$27&lt;='Bonding Program'!$C$8,BE$3=IF('Bonding Program'!$P$27&lt;&gt;"",'Bonding Program'!$P$27,'Bonding Program'!$C$8)),'Bonding Program'!$Z$27,0)+IF(AND('Bonding Program'!$P$27&lt;&gt;"",BE$3='Bonding Program'!$P$27,BE$3&lt;='Bonding Program'!$C$8),N('Bonding Program'!$O$27),0)</f>
        <v>0</v>
      </c>
      <c r="BF168" s="19" t="n">
        <f aca="false">IF(AND('Bonding Program'!$S$27=1,'Bonding Program'!$H$27&gt;'Bonding Program'!$C$8,BF$3='Bonding Program'!$H$27),'Bonding Program'!$T$27-'Bonding Program'!$U$27-'Bonding Program'!$Z$27,0)-IF(AND('Bonding Program'!$S$27=1,'Bonding Program'!$H$27&lt;='Bonding Program'!$C$8,BF$3=IF('Bonding Program'!$P$27&lt;&gt;"",'Bonding Program'!$P$27,'Bonding Program'!$C$8)),'Bonding Program'!$Z$27,0)+IF(AND('Bonding Program'!$P$27&lt;&gt;"",BF$3='Bonding Program'!$P$27,BF$3&lt;='Bonding Program'!$C$8),N('Bonding Program'!$O$27),0)</f>
        <v>0</v>
      </c>
      <c r="BG168" s="19" t="n">
        <f aca="false">IF(AND('Bonding Program'!$S$27=1,'Bonding Program'!$H$27&gt;'Bonding Program'!$C$8,BG$3='Bonding Program'!$H$27),'Bonding Program'!$T$27-'Bonding Program'!$U$27-'Bonding Program'!$Z$27,0)-IF(AND('Bonding Program'!$S$27=1,'Bonding Program'!$H$27&lt;='Bonding Program'!$C$8,BG$3=IF('Bonding Program'!$P$27&lt;&gt;"",'Bonding Program'!$P$27,'Bonding Program'!$C$8)),'Bonding Program'!$Z$27,0)+IF(AND('Bonding Program'!$P$27&lt;&gt;"",BG$3='Bonding Program'!$P$27,BG$3&lt;='Bonding Program'!$C$8),N('Bonding Program'!$O$27),0)</f>
        <v>0</v>
      </c>
      <c r="BH168" s="19" t="n">
        <f aca="false">IF(AND('Bonding Program'!$S$27=1,'Bonding Program'!$H$27&gt;'Bonding Program'!$C$8,BH$3='Bonding Program'!$H$27),'Bonding Program'!$T$27-'Bonding Program'!$U$27-'Bonding Program'!$Z$27,0)-IF(AND('Bonding Program'!$S$27=1,'Bonding Program'!$H$27&lt;='Bonding Program'!$C$8,BH$3=IF('Bonding Program'!$P$27&lt;&gt;"",'Bonding Program'!$P$27,'Bonding Program'!$C$8)),'Bonding Program'!$Z$27,0)+IF(AND('Bonding Program'!$P$27&lt;&gt;"",BH$3='Bonding Program'!$P$27,BH$3&lt;='Bonding Program'!$C$8),N('Bonding Program'!$O$27),0)</f>
        <v>0</v>
      </c>
      <c r="BI168" s="19" t="n">
        <f aca="false">IF(AND('Bonding Program'!$S$27=1,'Bonding Program'!$H$27&gt;'Bonding Program'!$C$8,BI$3='Bonding Program'!$H$27),'Bonding Program'!$T$27-'Bonding Program'!$U$27-'Bonding Program'!$Z$27,0)-IF(AND('Bonding Program'!$S$27=1,'Bonding Program'!$H$27&lt;='Bonding Program'!$C$8,BI$3=IF('Bonding Program'!$P$27&lt;&gt;"",'Bonding Program'!$P$27,'Bonding Program'!$C$8)),'Bonding Program'!$Z$27,0)+IF(AND('Bonding Program'!$P$27&lt;&gt;"",BI$3='Bonding Program'!$P$27,BI$3&lt;='Bonding Program'!$C$8),N('Bonding Program'!$O$27),0)</f>
        <v>0</v>
      </c>
      <c r="BJ168" s="19" t="n">
        <f aca="false">IF(AND('Bonding Program'!$S$27=1,'Bonding Program'!$H$27&gt;'Bonding Program'!$C$8,BJ$3='Bonding Program'!$H$27),'Bonding Program'!$T$27-'Bonding Program'!$U$27-'Bonding Program'!$Z$27,0)-IF(AND('Bonding Program'!$S$27=1,'Bonding Program'!$H$27&lt;='Bonding Program'!$C$8,BJ$3=IF('Bonding Program'!$P$27&lt;&gt;"",'Bonding Program'!$P$27,'Bonding Program'!$C$8)),'Bonding Program'!$Z$27,0)+IF(AND('Bonding Program'!$P$27&lt;&gt;"",BJ$3='Bonding Program'!$P$27,BJ$3&lt;='Bonding Program'!$C$8),N('Bonding Program'!$O$27),0)</f>
        <v>0</v>
      </c>
      <c r="BK168" s="19" t="n">
        <f aca="false">IF(AND('Bonding Program'!$S$27=1,'Bonding Program'!$H$27&gt;'Bonding Program'!$C$8,BK$3='Bonding Program'!$H$27),'Bonding Program'!$T$27-'Bonding Program'!$U$27-'Bonding Program'!$Z$27,0)-IF(AND('Bonding Program'!$S$27=1,'Bonding Program'!$H$27&lt;='Bonding Program'!$C$8,BK$3=IF('Bonding Program'!$P$27&lt;&gt;"",'Bonding Program'!$P$27,'Bonding Program'!$C$8)),'Bonding Program'!$Z$27,0)+IF(AND('Bonding Program'!$P$27&lt;&gt;"",BK$3='Bonding Program'!$P$27,BK$3&lt;='Bonding Program'!$C$8),N('Bonding Program'!$O$27),0)</f>
        <v>0</v>
      </c>
      <c r="BL168" s="19" t="n">
        <f aca="false">IF(AND('Bonding Program'!$S$27=1,'Bonding Program'!$H$27&gt;'Bonding Program'!$C$8,BL$3='Bonding Program'!$H$27),'Bonding Program'!$T$27-'Bonding Program'!$U$27-'Bonding Program'!$Z$27,0)-IF(AND('Bonding Program'!$S$27=1,'Bonding Program'!$H$27&lt;='Bonding Program'!$C$8,BL$3=IF('Bonding Program'!$P$27&lt;&gt;"",'Bonding Program'!$P$27,'Bonding Program'!$C$8)),'Bonding Program'!$Z$27,0)+IF(AND('Bonding Program'!$P$27&lt;&gt;"",BL$3='Bonding Program'!$P$27,BL$3&lt;='Bonding Program'!$C$8),N('Bonding Program'!$O$27),0)</f>
        <v>0</v>
      </c>
      <c r="BM168" s="19" t="n">
        <f aca="false">IF(AND('Bonding Program'!$S$27=1,'Bonding Program'!$H$27&gt;'Bonding Program'!$C$8,BM$3='Bonding Program'!$H$27),'Bonding Program'!$T$27-'Bonding Program'!$U$27-'Bonding Program'!$Z$27,0)-IF(AND('Bonding Program'!$S$27=1,'Bonding Program'!$H$27&lt;='Bonding Program'!$C$8,BM$3=IF('Bonding Program'!$P$27&lt;&gt;"",'Bonding Program'!$P$27,'Bonding Program'!$C$8)),'Bonding Program'!$Z$27,0)+IF(AND('Bonding Program'!$P$27&lt;&gt;"",BM$3='Bonding Program'!$P$27,BM$3&lt;='Bonding Program'!$C$8),N('Bonding Program'!$O$27),0)</f>
        <v>0</v>
      </c>
      <c r="BN168" s="19" t="n">
        <f aca="false">IF(AND('Bonding Program'!$S$27=1,'Bonding Program'!$H$27&gt;'Bonding Program'!$C$8,BN$3='Bonding Program'!$H$27),'Bonding Program'!$T$27-'Bonding Program'!$U$27-'Bonding Program'!$Z$27,0)-IF(AND('Bonding Program'!$S$27=1,'Bonding Program'!$H$27&lt;='Bonding Program'!$C$8,BN$3=IF('Bonding Program'!$P$27&lt;&gt;"",'Bonding Program'!$P$27,'Bonding Program'!$C$8)),'Bonding Program'!$Z$27,0)+IF(AND('Bonding Program'!$P$27&lt;&gt;"",BN$3='Bonding Program'!$P$27,BN$3&lt;='Bonding Program'!$C$8),N('Bonding Program'!$O$27),0)</f>
        <v>0</v>
      </c>
      <c r="BO168" s="19" t="n">
        <f aca="false">IF(AND('Bonding Program'!$S$27=1,'Bonding Program'!$H$27&gt;'Bonding Program'!$C$8,BO$3='Bonding Program'!$H$27),'Bonding Program'!$T$27-'Bonding Program'!$U$27-'Bonding Program'!$Z$27,0)-IF(AND('Bonding Program'!$S$27=1,'Bonding Program'!$H$27&lt;='Bonding Program'!$C$8,BO$3=IF('Bonding Program'!$P$27&lt;&gt;"",'Bonding Program'!$P$27,'Bonding Program'!$C$8)),'Bonding Program'!$Z$27,0)+IF(AND('Bonding Program'!$P$27&lt;&gt;"",BO$3='Bonding Program'!$P$27,BO$3&lt;='Bonding Program'!$C$8),N('Bonding Program'!$O$27),0)</f>
        <v>0</v>
      </c>
      <c r="BP168" s="19" t="n">
        <f aca="false">IF(AND('Bonding Program'!$S$27=1,'Bonding Program'!$H$27&gt;'Bonding Program'!$C$8,BP$3='Bonding Program'!$H$27),'Bonding Program'!$T$27-'Bonding Program'!$U$27-'Bonding Program'!$Z$27,0)-IF(AND('Bonding Program'!$S$27=1,'Bonding Program'!$H$27&lt;='Bonding Program'!$C$8,BP$3=IF('Bonding Program'!$P$27&lt;&gt;"",'Bonding Program'!$P$27,'Bonding Program'!$C$8)),'Bonding Program'!$Z$27,0)+IF(AND('Bonding Program'!$P$27&lt;&gt;"",BP$3='Bonding Program'!$P$27,BP$3&lt;='Bonding Program'!$C$8),N('Bonding Program'!$O$27),0)</f>
        <v>0</v>
      </c>
      <c r="BQ168" s="19" t="n">
        <f aca="false">IF(AND('Bonding Program'!$S$27=1,'Bonding Program'!$H$27&gt;'Bonding Program'!$C$8,BQ$3='Bonding Program'!$H$27),'Bonding Program'!$T$27-'Bonding Program'!$U$27-'Bonding Program'!$Z$27,0)-IF(AND('Bonding Program'!$S$27=1,'Bonding Program'!$H$27&lt;='Bonding Program'!$C$8,BQ$3=IF('Bonding Program'!$P$27&lt;&gt;"",'Bonding Program'!$P$27,'Bonding Program'!$C$8)),'Bonding Program'!$Z$27,0)+IF(AND('Bonding Program'!$P$27&lt;&gt;"",BQ$3='Bonding Program'!$P$27,BQ$3&lt;='Bonding Program'!$C$8),N('Bonding Program'!$O$27),0)</f>
        <v>0</v>
      </c>
      <c r="BR168" s="19" t="n">
        <f aca="false">IF(AND('Bonding Program'!$S$27=1,'Bonding Program'!$H$27&gt;'Bonding Program'!$C$8,BR$3='Bonding Program'!$H$27),'Bonding Program'!$T$27-'Bonding Program'!$U$27-'Bonding Program'!$Z$27,0)-IF(AND('Bonding Program'!$S$27=1,'Bonding Program'!$H$27&lt;='Bonding Program'!$C$8,BR$3=IF('Bonding Program'!$P$27&lt;&gt;"",'Bonding Program'!$P$27,'Bonding Program'!$C$8)),'Bonding Program'!$Z$27,0)+IF(AND('Bonding Program'!$P$27&lt;&gt;"",BR$3='Bonding Program'!$P$27,BR$3&lt;='Bonding Program'!$C$8),N('Bonding Program'!$O$27),0)</f>
        <v>0</v>
      </c>
      <c r="BS168" s="19" t="n">
        <f aca="false">IF(AND('Bonding Program'!$S$27=1,'Bonding Program'!$H$27&gt;'Bonding Program'!$C$8,BS$3='Bonding Program'!$H$27),'Bonding Program'!$T$27-'Bonding Program'!$U$27-'Bonding Program'!$Z$27,0)-IF(AND('Bonding Program'!$S$27=1,'Bonding Program'!$H$27&lt;='Bonding Program'!$C$8,BS$3=IF('Bonding Program'!$P$27&lt;&gt;"",'Bonding Program'!$P$27,'Bonding Program'!$C$8)),'Bonding Program'!$Z$27,0)+IF(AND('Bonding Program'!$P$27&lt;&gt;"",BS$3='Bonding Program'!$P$27,BS$3&lt;='Bonding Program'!$C$8),N('Bonding Program'!$O$27),0)</f>
        <v>0</v>
      </c>
      <c r="BT168" s="19" t="n">
        <f aca="false">IF(AND('Bonding Program'!$S$27=1,'Bonding Program'!$H$27&gt;'Bonding Program'!$C$8,BT$3='Bonding Program'!$H$27),'Bonding Program'!$T$27-'Bonding Program'!$U$27-'Bonding Program'!$Z$27,0)-IF(AND('Bonding Program'!$S$27=1,'Bonding Program'!$H$27&lt;='Bonding Program'!$C$8,BT$3=IF('Bonding Program'!$P$27&lt;&gt;"",'Bonding Program'!$P$27,'Bonding Program'!$C$8)),'Bonding Program'!$Z$27,0)+IF(AND('Bonding Program'!$P$27&lt;&gt;"",BT$3='Bonding Program'!$P$27,BT$3&lt;='Bonding Program'!$C$8),N('Bonding Program'!$O$27),0)</f>
        <v>0</v>
      </c>
      <c r="BU168" s="19" t="n">
        <f aca="false">IF(AND('Bonding Program'!$S$27=1,'Bonding Program'!$H$27&gt;'Bonding Program'!$C$8,BU$3='Bonding Program'!$H$27),'Bonding Program'!$T$27-'Bonding Program'!$U$27-'Bonding Program'!$Z$27,0)-IF(AND('Bonding Program'!$S$27=1,'Bonding Program'!$H$27&lt;='Bonding Program'!$C$8,BU$3=IF('Bonding Program'!$P$27&lt;&gt;"",'Bonding Program'!$P$27,'Bonding Program'!$C$8)),'Bonding Program'!$Z$27,0)+IF(AND('Bonding Program'!$P$27&lt;&gt;"",BU$3='Bonding Program'!$P$27,BU$3&lt;='Bonding Program'!$C$8),N('Bonding Program'!$O$27),0)</f>
        <v>0</v>
      </c>
      <c r="BV168" s="19" t="n">
        <f aca="false">IF(AND('Bonding Program'!$S$27=1,'Bonding Program'!$H$27&gt;'Bonding Program'!$C$8,BV$3='Bonding Program'!$H$27),'Bonding Program'!$T$27-'Bonding Program'!$U$27-'Bonding Program'!$Z$27,0)-IF(AND('Bonding Program'!$S$27=1,'Bonding Program'!$H$27&lt;='Bonding Program'!$C$8,BV$3=IF('Bonding Program'!$P$27&lt;&gt;"",'Bonding Program'!$P$27,'Bonding Program'!$C$8)),'Bonding Program'!$Z$27,0)+IF(AND('Bonding Program'!$P$27&lt;&gt;"",BV$3='Bonding Program'!$P$27,BV$3&lt;='Bonding Program'!$C$8),N('Bonding Program'!$O$27),0)</f>
        <v>0</v>
      </c>
      <c r="BW168" s="19" t="n">
        <f aca="false">IF(AND('Bonding Program'!$S$27=1,'Bonding Program'!$H$27&gt;'Bonding Program'!$C$8,BW$3='Bonding Program'!$H$27),'Bonding Program'!$T$27-'Bonding Program'!$U$27-'Bonding Program'!$Z$27,0)-IF(AND('Bonding Program'!$S$27=1,'Bonding Program'!$H$27&lt;='Bonding Program'!$C$8,BW$3=IF('Bonding Program'!$P$27&lt;&gt;"",'Bonding Program'!$P$27,'Bonding Program'!$C$8)),'Bonding Program'!$Z$27,0)+IF(AND('Bonding Program'!$P$27&lt;&gt;"",BW$3='Bonding Program'!$P$27,BW$3&lt;='Bonding Program'!$C$8),N('Bonding Program'!$O$27),0)</f>
        <v>0</v>
      </c>
      <c r="BX168" s="19" t="n">
        <f aca="false">IF(AND('Bonding Program'!$S$27=1,'Bonding Program'!$H$27&gt;'Bonding Program'!$C$8,BX$3='Bonding Program'!$H$27),'Bonding Program'!$T$27-'Bonding Program'!$U$27-'Bonding Program'!$Z$27,0)-IF(AND('Bonding Program'!$S$27=1,'Bonding Program'!$H$27&lt;='Bonding Program'!$C$8,BX$3=IF('Bonding Program'!$P$27&lt;&gt;"",'Bonding Program'!$P$27,'Bonding Program'!$C$8)),'Bonding Program'!$Z$27,0)+IF(AND('Bonding Program'!$P$27&lt;&gt;"",BX$3='Bonding Program'!$P$27,BX$3&lt;='Bonding Program'!$C$8),N('Bonding Program'!$O$27),0)</f>
        <v>0</v>
      </c>
      <c r="BY168" s="19" t="n">
        <f aca="false">IF(AND('Bonding Program'!$S$27=1,'Bonding Program'!$H$27&gt;'Bonding Program'!$C$8,BY$3='Bonding Program'!$H$27),'Bonding Program'!$T$27-'Bonding Program'!$U$27-'Bonding Program'!$Z$27,0)-IF(AND('Bonding Program'!$S$27=1,'Bonding Program'!$H$27&lt;='Bonding Program'!$C$8,BY$3=IF('Bonding Program'!$P$27&lt;&gt;"",'Bonding Program'!$P$27,'Bonding Program'!$C$8)),'Bonding Program'!$Z$27,0)+IF(AND('Bonding Program'!$P$27&lt;&gt;"",BY$3='Bonding Program'!$P$27,BY$3&lt;='Bonding Program'!$C$8),N('Bonding Program'!$O$27),0)</f>
        <v>0</v>
      </c>
      <c r="BZ168" s="19" t="n">
        <f aca="false">IF(AND('Bonding Program'!$S$27=1,'Bonding Program'!$H$27&gt;'Bonding Program'!$C$8,BZ$3='Bonding Program'!$H$27),'Bonding Program'!$T$27-'Bonding Program'!$U$27-'Bonding Program'!$Z$27,0)-IF(AND('Bonding Program'!$S$27=1,'Bonding Program'!$H$27&lt;='Bonding Program'!$C$8,BZ$3=IF('Bonding Program'!$P$27&lt;&gt;"",'Bonding Program'!$P$27,'Bonding Program'!$C$8)),'Bonding Program'!$Z$27,0)+IF(AND('Bonding Program'!$P$27&lt;&gt;"",BZ$3='Bonding Program'!$P$27,BZ$3&lt;='Bonding Program'!$C$8),N('Bonding Program'!$O$27),0)</f>
        <v>0</v>
      </c>
      <c r="CA168" s="19" t="n">
        <f aca="false">IF(AND('Bonding Program'!$S$27=1,'Bonding Program'!$H$27&gt;'Bonding Program'!$C$8,CA$3='Bonding Program'!$H$27),'Bonding Program'!$T$27-'Bonding Program'!$U$27-'Bonding Program'!$Z$27,0)-IF(AND('Bonding Program'!$S$27=1,'Bonding Program'!$H$27&lt;='Bonding Program'!$C$8,CA$3=IF('Bonding Program'!$P$27&lt;&gt;"",'Bonding Program'!$P$27,'Bonding Program'!$C$8)),'Bonding Program'!$Z$27,0)+IF(AND('Bonding Program'!$P$27&lt;&gt;"",CA$3='Bonding Program'!$P$27,CA$3&lt;='Bonding Program'!$C$8),N('Bonding Program'!$O$27),0)</f>
        <v>0</v>
      </c>
      <c r="CB168" s="19" t="n">
        <f aca="false">IF(AND('Bonding Program'!$S$27=1,'Bonding Program'!$H$27&gt;'Bonding Program'!$C$8,CB$3='Bonding Program'!$H$27),'Bonding Program'!$T$27-'Bonding Program'!$U$27-'Bonding Program'!$Z$27,0)-IF(AND('Bonding Program'!$S$27=1,'Bonding Program'!$H$27&lt;='Bonding Program'!$C$8,CB$3=IF('Bonding Program'!$P$27&lt;&gt;"",'Bonding Program'!$P$27,'Bonding Program'!$C$8)),'Bonding Program'!$Z$27,0)+IF(AND('Bonding Program'!$P$27&lt;&gt;"",CB$3='Bonding Program'!$P$27,CB$3&lt;='Bonding Program'!$C$8),N('Bonding Program'!$O$27),0)</f>
        <v>0</v>
      </c>
      <c r="CC168" s="19" t="n">
        <f aca="false">IF(AND('Bonding Program'!$S$27=1,'Bonding Program'!$H$27&gt;'Bonding Program'!$C$8,CC$3='Bonding Program'!$H$27),'Bonding Program'!$T$27-'Bonding Program'!$U$27-'Bonding Program'!$Z$27,0)-IF(AND('Bonding Program'!$S$27=1,'Bonding Program'!$H$27&lt;='Bonding Program'!$C$8,CC$3=IF('Bonding Program'!$P$27&lt;&gt;"",'Bonding Program'!$P$27,'Bonding Program'!$C$8)),'Bonding Program'!$Z$27,0)+IF(AND('Bonding Program'!$P$27&lt;&gt;"",CC$3='Bonding Program'!$P$27,CC$3&lt;='Bonding Program'!$C$8),N('Bonding Program'!$O$27),0)</f>
        <v>0</v>
      </c>
      <c r="CD168" s="19" t="n">
        <f aca="false">IF(AND('Bonding Program'!$S$27=1,'Bonding Program'!$H$27&gt;'Bonding Program'!$C$8,CD$3='Bonding Program'!$H$27),'Bonding Program'!$T$27-'Bonding Program'!$U$27-'Bonding Program'!$Z$27,0)-IF(AND('Bonding Program'!$S$27=1,'Bonding Program'!$H$27&lt;='Bonding Program'!$C$8,CD$3=IF('Bonding Program'!$P$27&lt;&gt;"",'Bonding Program'!$P$27,'Bonding Program'!$C$8)),'Bonding Program'!$Z$27,0)+IF(AND('Bonding Program'!$P$27&lt;&gt;"",CD$3='Bonding Program'!$P$27,CD$3&lt;='Bonding Program'!$C$8),N('Bonding Program'!$O$27),0)</f>
        <v>0</v>
      </c>
      <c r="CE168" s="19" t="n">
        <f aca="false">IF(AND('Bonding Program'!$S$27=1,'Bonding Program'!$H$27&gt;'Bonding Program'!$C$8,CE$3='Bonding Program'!$H$27),'Bonding Program'!$T$27-'Bonding Program'!$U$27-'Bonding Program'!$Z$27,0)-IF(AND('Bonding Program'!$S$27=1,'Bonding Program'!$H$27&lt;='Bonding Program'!$C$8,CE$3=IF('Bonding Program'!$P$27&lt;&gt;"",'Bonding Program'!$P$27,'Bonding Program'!$C$8)),'Bonding Program'!$Z$27,0)+IF(AND('Bonding Program'!$P$27&lt;&gt;"",CE$3='Bonding Program'!$P$27,CE$3&lt;='Bonding Program'!$C$8),N('Bonding Program'!$O$27),0)</f>
        <v>0</v>
      </c>
      <c r="CF168" s="19" t="n">
        <f aca="false">IF(AND('Bonding Program'!$S$27=1,'Bonding Program'!$H$27&gt;'Bonding Program'!$C$8,CF$3='Bonding Program'!$H$27),'Bonding Program'!$T$27-'Bonding Program'!$U$27-'Bonding Program'!$Z$27,0)-IF(AND('Bonding Program'!$S$27=1,'Bonding Program'!$H$27&lt;='Bonding Program'!$C$8,CF$3=IF('Bonding Program'!$P$27&lt;&gt;"",'Bonding Program'!$P$27,'Bonding Program'!$C$8)),'Bonding Program'!$Z$27,0)+IF(AND('Bonding Program'!$P$27&lt;&gt;"",CF$3='Bonding Program'!$P$27,CF$3&lt;='Bonding Program'!$C$8),N('Bonding Program'!$O$27),0)</f>
        <v>0</v>
      </c>
      <c r="CG168" s="19" t="n">
        <f aca="false">IF(AND('Bonding Program'!$S$27=1,'Bonding Program'!$H$27&gt;'Bonding Program'!$C$8,CG$3='Bonding Program'!$H$27),'Bonding Program'!$T$27-'Bonding Program'!$U$27-'Bonding Program'!$Z$27,0)-IF(AND('Bonding Program'!$S$27=1,'Bonding Program'!$H$27&lt;='Bonding Program'!$C$8,CG$3=IF('Bonding Program'!$P$27&lt;&gt;"",'Bonding Program'!$P$27,'Bonding Program'!$C$8)),'Bonding Program'!$Z$27,0)+IF(AND('Bonding Program'!$P$27&lt;&gt;"",CG$3='Bonding Program'!$P$27,CG$3&lt;='Bonding Program'!$C$8),N('Bonding Program'!$O$27),0)</f>
        <v>0</v>
      </c>
      <c r="CH168" s="19" t="n">
        <f aca="false">IF(AND('Bonding Program'!$S$27=1,'Bonding Program'!$H$27&gt;'Bonding Program'!$C$8,CH$3='Bonding Program'!$H$27),'Bonding Program'!$T$27-'Bonding Program'!$U$27-'Bonding Program'!$Z$27,0)-IF(AND('Bonding Program'!$S$27=1,'Bonding Program'!$H$27&lt;='Bonding Program'!$C$8,CH$3=IF('Bonding Program'!$P$27&lt;&gt;"",'Bonding Program'!$P$27,'Bonding Program'!$C$8)),'Bonding Program'!$Z$27,0)+IF(AND('Bonding Program'!$P$27&lt;&gt;"",CH$3='Bonding Program'!$P$27,CH$3&lt;='Bonding Program'!$C$8),N('Bonding Program'!$O$27),0)</f>
        <v>0</v>
      </c>
      <c r="CI168" s="19" t="n">
        <f aca="false">IF(AND('Bonding Program'!$S$27=1,'Bonding Program'!$H$27&gt;'Bonding Program'!$C$8,CI$3='Bonding Program'!$H$27),'Bonding Program'!$T$27-'Bonding Program'!$U$27-'Bonding Program'!$Z$27,0)-IF(AND('Bonding Program'!$S$27=1,'Bonding Program'!$H$27&lt;='Bonding Program'!$C$8,CI$3=IF('Bonding Program'!$P$27&lt;&gt;"",'Bonding Program'!$P$27,'Bonding Program'!$C$8)),'Bonding Program'!$Z$27,0)+IF(AND('Bonding Program'!$P$27&lt;&gt;"",CI$3='Bonding Program'!$P$27,CI$3&lt;='Bonding Program'!$C$8),N('Bonding Program'!$O$27),0)</f>
        <v>0</v>
      </c>
      <c r="CJ168" s="19" t="n">
        <f aca="false">IF(AND('Bonding Program'!$S$27=1,'Bonding Program'!$H$27&gt;'Bonding Program'!$C$8,CJ$3='Bonding Program'!$H$27),'Bonding Program'!$T$27-'Bonding Program'!$U$27-'Bonding Program'!$Z$27,0)-IF(AND('Bonding Program'!$S$27=1,'Bonding Program'!$H$27&lt;='Bonding Program'!$C$8,CJ$3=IF('Bonding Program'!$P$27&lt;&gt;"",'Bonding Program'!$P$27,'Bonding Program'!$C$8)),'Bonding Program'!$Z$27,0)+IF(AND('Bonding Program'!$P$27&lt;&gt;"",CJ$3='Bonding Program'!$P$27,CJ$3&lt;='Bonding Program'!$C$8),N('Bonding Program'!$O$27),0)</f>
        <v>0</v>
      </c>
      <c r="CK168" s="19" t="n">
        <f aca="false">IF(AND('Bonding Program'!$S$27=1,'Bonding Program'!$H$27&gt;'Bonding Program'!$C$8,CK$3='Bonding Program'!$H$27),'Bonding Program'!$T$27-'Bonding Program'!$U$27-'Bonding Program'!$Z$27,0)-IF(AND('Bonding Program'!$S$27=1,'Bonding Program'!$H$27&lt;='Bonding Program'!$C$8,CK$3=IF('Bonding Program'!$P$27&lt;&gt;"",'Bonding Program'!$P$27,'Bonding Program'!$C$8)),'Bonding Program'!$Z$27,0)+IF(AND('Bonding Program'!$P$27&lt;&gt;"",CK$3='Bonding Program'!$P$27,CK$3&lt;='Bonding Program'!$C$8),N('Bonding Program'!$O$27),0)</f>
        <v>0</v>
      </c>
      <c r="CL168" s="19" t="n">
        <f aca="false">IF(AND('Bonding Program'!$S$27=1,'Bonding Program'!$H$27&gt;'Bonding Program'!$C$8,CL$3='Bonding Program'!$H$27),'Bonding Program'!$T$27-'Bonding Program'!$U$27-'Bonding Program'!$Z$27,0)-IF(AND('Bonding Program'!$S$27=1,'Bonding Program'!$H$27&lt;='Bonding Program'!$C$8,CL$3=IF('Bonding Program'!$P$27&lt;&gt;"",'Bonding Program'!$P$27,'Bonding Program'!$C$8)),'Bonding Program'!$Z$27,0)+IF(AND('Bonding Program'!$P$27&lt;&gt;"",CL$3='Bonding Program'!$P$27,CL$3&lt;='Bonding Program'!$C$8),N('Bonding Program'!$O$27),0)</f>
        <v>0</v>
      </c>
      <c r="CM168" s="19" t="n">
        <f aca="false">IF(AND('Bonding Program'!$S$27=1,'Bonding Program'!$H$27&gt;'Bonding Program'!$C$8,CM$3='Bonding Program'!$H$27),'Bonding Program'!$T$27-'Bonding Program'!$U$27-'Bonding Program'!$Z$27,0)-IF(AND('Bonding Program'!$S$27=1,'Bonding Program'!$H$27&lt;='Bonding Program'!$C$8,CM$3=IF('Bonding Program'!$P$27&lt;&gt;"",'Bonding Program'!$P$27,'Bonding Program'!$C$8)),'Bonding Program'!$Z$27,0)+IF(AND('Bonding Program'!$P$27&lt;&gt;"",CM$3='Bonding Program'!$P$27,CM$3&lt;='Bonding Program'!$C$8),N('Bonding Program'!$O$27),0)</f>
        <v>0</v>
      </c>
      <c r="CN168" s="19" t="n">
        <f aca="false">IF(AND('Bonding Program'!$S$27=1,'Bonding Program'!$H$27&gt;'Bonding Program'!$C$8,CN$3='Bonding Program'!$H$27),'Bonding Program'!$T$27-'Bonding Program'!$U$27-'Bonding Program'!$Z$27,0)-IF(AND('Bonding Program'!$S$27=1,'Bonding Program'!$H$27&lt;='Bonding Program'!$C$8,CN$3=IF('Bonding Program'!$P$27&lt;&gt;"",'Bonding Program'!$P$27,'Bonding Program'!$C$8)),'Bonding Program'!$Z$27,0)+IF(AND('Bonding Program'!$P$27&lt;&gt;"",CN$3='Bonding Program'!$P$27,CN$3&lt;='Bonding Program'!$C$8),N('Bonding Program'!$O$27),0)</f>
        <v>0</v>
      </c>
      <c r="CO168" s="19" t="n">
        <f aca="false">IF(AND('Bonding Program'!$S$27=1,'Bonding Program'!$H$27&gt;'Bonding Program'!$C$8,CO$3='Bonding Program'!$H$27),'Bonding Program'!$T$27-'Bonding Program'!$U$27-'Bonding Program'!$Z$27,0)-IF(AND('Bonding Program'!$S$27=1,'Bonding Program'!$H$27&lt;='Bonding Program'!$C$8,CO$3=IF('Bonding Program'!$P$27&lt;&gt;"",'Bonding Program'!$P$27,'Bonding Program'!$C$8)),'Bonding Program'!$Z$27,0)+IF(AND('Bonding Program'!$P$27&lt;&gt;"",CO$3='Bonding Program'!$P$27,CO$3&lt;='Bonding Program'!$C$8),N('Bonding Program'!$O$27),0)</f>
        <v>0</v>
      </c>
      <c r="CP168" s="19" t="n">
        <f aca="false">IF(AND('Bonding Program'!$S$27=1,'Bonding Program'!$H$27&gt;'Bonding Program'!$C$8,CP$3='Bonding Program'!$H$27),'Bonding Program'!$T$27-'Bonding Program'!$U$27-'Bonding Program'!$Z$27,0)-IF(AND('Bonding Program'!$S$27=1,'Bonding Program'!$H$27&lt;='Bonding Program'!$C$8,CP$3=IF('Bonding Program'!$P$27&lt;&gt;"",'Bonding Program'!$P$27,'Bonding Program'!$C$8)),'Bonding Program'!$Z$27,0)+IF(AND('Bonding Program'!$P$27&lt;&gt;"",CP$3='Bonding Program'!$P$27,CP$3&lt;='Bonding Program'!$C$8),N('Bonding Program'!$O$27),0)</f>
        <v>0</v>
      </c>
      <c r="CQ168" s="19" t="n">
        <f aca="false">IF(AND('Bonding Program'!$S$27=1,'Bonding Program'!$H$27&gt;'Bonding Program'!$C$8,CQ$3='Bonding Program'!$H$27),'Bonding Program'!$T$27-'Bonding Program'!$U$27-'Bonding Program'!$Z$27,0)-IF(AND('Bonding Program'!$S$27=1,'Bonding Program'!$H$27&lt;='Bonding Program'!$C$8,CQ$3=IF('Bonding Program'!$P$27&lt;&gt;"",'Bonding Program'!$P$27,'Bonding Program'!$C$8)),'Bonding Program'!$Z$27,0)+IF(AND('Bonding Program'!$P$27&lt;&gt;"",CQ$3='Bonding Program'!$P$27,CQ$3&lt;='Bonding Program'!$C$8),N('Bonding Program'!$O$27),0)</f>
        <v>0</v>
      </c>
      <c r="CR168" s="19" t="n">
        <f aca="false">IF(AND('Bonding Program'!$S$27=1,'Bonding Program'!$H$27&gt;'Bonding Program'!$C$8,CR$3='Bonding Program'!$H$27),'Bonding Program'!$T$27-'Bonding Program'!$U$27-'Bonding Program'!$Z$27,0)-IF(AND('Bonding Program'!$S$27=1,'Bonding Program'!$H$27&lt;='Bonding Program'!$C$8,CR$3=IF('Bonding Program'!$P$27&lt;&gt;"",'Bonding Program'!$P$27,'Bonding Program'!$C$8)),'Bonding Program'!$Z$27,0)+IF(AND('Bonding Program'!$P$27&lt;&gt;"",CR$3='Bonding Program'!$P$27,CR$3&lt;='Bonding Program'!$C$8),N('Bonding Program'!$O$27),0)</f>
        <v>0</v>
      </c>
      <c r="CS168" s="19" t="n">
        <f aca="false">IF(AND('Bonding Program'!$S$27=1,'Bonding Program'!$H$27&gt;'Bonding Program'!$C$8,CS$3='Bonding Program'!$H$27),'Bonding Program'!$T$27-'Bonding Program'!$U$27-'Bonding Program'!$Z$27,0)-IF(AND('Bonding Program'!$S$27=1,'Bonding Program'!$H$27&lt;='Bonding Program'!$C$8,CS$3=IF('Bonding Program'!$P$27&lt;&gt;"",'Bonding Program'!$P$27,'Bonding Program'!$C$8)),'Bonding Program'!$Z$27,0)+IF(AND('Bonding Program'!$P$27&lt;&gt;"",CS$3='Bonding Program'!$P$27,CS$3&lt;='Bonding Program'!$C$8),N('Bonding Program'!$O$27),0)</f>
        <v>0</v>
      </c>
      <c r="CT168" s="19" t="n">
        <f aca="false">IF(AND('Bonding Program'!$S$27=1,'Bonding Program'!$H$27&gt;'Bonding Program'!$C$8,CT$3='Bonding Program'!$H$27),'Bonding Program'!$T$27-'Bonding Program'!$U$27-'Bonding Program'!$Z$27,0)-IF(AND('Bonding Program'!$S$27=1,'Bonding Program'!$H$27&lt;='Bonding Program'!$C$8,CT$3=IF('Bonding Program'!$P$27&lt;&gt;"",'Bonding Program'!$P$27,'Bonding Program'!$C$8)),'Bonding Program'!$Z$27,0)+IF(AND('Bonding Program'!$P$27&lt;&gt;"",CT$3='Bonding Program'!$P$27,CT$3&lt;='Bonding Program'!$C$8),N('Bonding Program'!$O$27),0)</f>
        <v>0</v>
      </c>
      <c r="CU168" s="19" t="n">
        <f aca="false">IF(AND('Bonding Program'!$S$27=1,'Bonding Program'!$H$27&gt;'Bonding Program'!$C$8,CU$3='Bonding Program'!$H$27),'Bonding Program'!$T$27-'Bonding Program'!$U$27-'Bonding Program'!$Z$27,0)-IF(AND('Bonding Program'!$S$27=1,'Bonding Program'!$H$27&lt;='Bonding Program'!$C$8,CU$3=IF('Bonding Program'!$P$27&lt;&gt;"",'Bonding Program'!$P$27,'Bonding Program'!$C$8)),'Bonding Program'!$Z$27,0)+IF(AND('Bonding Program'!$P$27&lt;&gt;"",CU$3='Bonding Program'!$P$27,CU$3&lt;='Bonding Program'!$C$8),N('Bonding Program'!$O$27),0)</f>
        <v>0</v>
      </c>
      <c r="CV168" s="19" t="n">
        <f aca="false">IF(AND('Bonding Program'!$S$27=1,'Bonding Program'!$H$27&gt;'Bonding Program'!$C$8,CV$3='Bonding Program'!$H$27),'Bonding Program'!$T$27-'Bonding Program'!$U$27-'Bonding Program'!$Z$27,0)-IF(AND('Bonding Program'!$S$27=1,'Bonding Program'!$H$27&lt;='Bonding Program'!$C$8,CV$3=IF('Bonding Program'!$P$27&lt;&gt;"",'Bonding Program'!$P$27,'Bonding Program'!$C$8)),'Bonding Program'!$Z$27,0)+IF(AND('Bonding Program'!$P$27&lt;&gt;"",CV$3='Bonding Program'!$P$27,CV$3&lt;='Bonding Program'!$C$8),N('Bonding Program'!$O$27),0)</f>
        <v>0</v>
      </c>
      <c r="CW168" s="19" t="n">
        <f aca="false">IF(AND('Bonding Program'!$S$27=1,'Bonding Program'!$H$27&gt;'Bonding Program'!$C$8,CW$3='Bonding Program'!$H$27),'Bonding Program'!$T$27-'Bonding Program'!$U$27-'Bonding Program'!$Z$27,0)-IF(AND('Bonding Program'!$S$27=1,'Bonding Program'!$H$27&lt;='Bonding Program'!$C$8,CW$3=IF('Bonding Program'!$P$27&lt;&gt;"",'Bonding Program'!$P$27,'Bonding Program'!$C$8)),'Bonding Program'!$Z$27,0)+IF(AND('Bonding Program'!$P$27&lt;&gt;"",CW$3='Bonding Program'!$P$27,CW$3&lt;='Bonding Program'!$C$8),N('Bonding Program'!$O$27),0)</f>
        <v>0</v>
      </c>
      <c r="CX168" s="19" t="n">
        <f aca="false">IF(AND('Bonding Program'!$S$27=1,'Bonding Program'!$H$27&gt;'Bonding Program'!$C$8,CX$3='Bonding Program'!$H$27),'Bonding Program'!$T$27-'Bonding Program'!$U$27-'Bonding Program'!$Z$27,0)-IF(AND('Bonding Program'!$S$27=1,'Bonding Program'!$H$27&lt;='Bonding Program'!$C$8,CX$3=IF('Bonding Program'!$P$27&lt;&gt;"",'Bonding Program'!$P$27,'Bonding Program'!$C$8)),'Bonding Program'!$Z$27,0)+IF(AND('Bonding Program'!$P$27&lt;&gt;"",CX$3='Bonding Program'!$P$27,CX$3&lt;='Bonding Program'!$C$8),N('Bonding Program'!$O$27),0)</f>
        <v>0</v>
      </c>
      <c r="CY168" s="19" t="n">
        <f aca="false">IF(AND('Bonding Program'!$S$27=1,'Bonding Program'!$H$27&gt;'Bonding Program'!$C$8,CY$3='Bonding Program'!$H$27),'Bonding Program'!$T$27-'Bonding Program'!$U$27-'Bonding Program'!$Z$27,0)-IF(AND('Bonding Program'!$S$27=1,'Bonding Program'!$H$27&lt;='Bonding Program'!$C$8,CY$3=IF('Bonding Program'!$P$27&lt;&gt;"",'Bonding Program'!$P$27,'Bonding Program'!$C$8)),'Bonding Program'!$Z$27,0)+IF(AND('Bonding Program'!$P$27&lt;&gt;"",CY$3='Bonding Program'!$P$27,CY$3&lt;='Bonding Program'!$C$8),N('Bonding Program'!$O$27),0)</f>
        <v>0</v>
      </c>
      <c r="CZ168" s="19" t="n">
        <f aca="false">IF(AND('Bonding Program'!$S$27=1,'Bonding Program'!$H$27&gt;'Bonding Program'!$C$8,CZ$3='Bonding Program'!$H$27),'Bonding Program'!$T$27-'Bonding Program'!$U$27-'Bonding Program'!$Z$27,0)-IF(AND('Bonding Program'!$S$27=1,'Bonding Program'!$H$27&lt;='Bonding Program'!$C$8,CZ$3=IF('Bonding Program'!$P$27&lt;&gt;"",'Bonding Program'!$P$27,'Bonding Program'!$C$8)),'Bonding Program'!$Z$27,0)+IF(AND('Bonding Program'!$P$27&lt;&gt;"",CZ$3='Bonding Program'!$P$27,CZ$3&lt;='Bonding Program'!$C$8),N('Bonding Program'!$O$27),0)</f>
        <v>0</v>
      </c>
      <c r="DA168" s="19" t="n">
        <f aca="false">IF(AND('Bonding Program'!$S$27=1,'Bonding Program'!$H$27&gt;'Bonding Program'!$C$8,DA$3='Bonding Program'!$H$27),'Bonding Program'!$T$27-'Bonding Program'!$U$27-'Bonding Program'!$Z$27,0)-IF(AND('Bonding Program'!$S$27=1,'Bonding Program'!$H$27&lt;='Bonding Program'!$C$8,DA$3=IF('Bonding Program'!$P$27&lt;&gt;"",'Bonding Program'!$P$27,'Bonding Program'!$C$8)),'Bonding Program'!$Z$27,0)+IF(AND('Bonding Program'!$P$27&lt;&gt;"",DA$3='Bonding Program'!$P$27,DA$3&lt;='Bonding Program'!$C$8),N('Bonding Program'!$O$27),0)</f>
        <v>0</v>
      </c>
      <c r="DB168" s="19" t="n">
        <f aca="false">IF(AND('Bonding Program'!$S$27=1,'Bonding Program'!$H$27&gt;'Bonding Program'!$C$8,DB$3='Bonding Program'!$H$27),'Bonding Program'!$T$27-'Bonding Program'!$U$27-'Bonding Program'!$Z$27,0)-IF(AND('Bonding Program'!$S$27=1,'Bonding Program'!$H$27&lt;='Bonding Program'!$C$8,DB$3=IF('Bonding Program'!$P$27&lt;&gt;"",'Bonding Program'!$P$27,'Bonding Program'!$C$8)),'Bonding Program'!$Z$27,0)+IF(AND('Bonding Program'!$P$27&lt;&gt;"",DB$3='Bonding Program'!$P$27,DB$3&lt;='Bonding Program'!$C$8),N('Bonding Program'!$O$27),0)</f>
        <v>0</v>
      </c>
      <c r="DC168" s="19" t="n">
        <f aca="false">IF(AND('Bonding Program'!$S$27=1,'Bonding Program'!$H$27&gt;'Bonding Program'!$C$8,DC$3='Bonding Program'!$H$27),'Bonding Program'!$T$27-'Bonding Program'!$U$27-'Bonding Program'!$Z$27,0)-IF(AND('Bonding Program'!$S$27=1,'Bonding Program'!$H$27&lt;='Bonding Program'!$C$8,DC$3=IF('Bonding Program'!$P$27&lt;&gt;"",'Bonding Program'!$P$27,'Bonding Program'!$C$8)),'Bonding Program'!$Z$27,0)+IF(AND('Bonding Program'!$P$27&lt;&gt;"",DC$3='Bonding Program'!$P$27,DC$3&lt;='Bonding Program'!$C$8),N('Bonding Program'!$O$27),0)</f>
        <v>0</v>
      </c>
      <c r="DD168" s="19" t="n">
        <f aca="false">IF(AND('Bonding Program'!$S$27=1,'Bonding Program'!$H$27&gt;'Bonding Program'!$C$8,DD$3='Bonding Program'!$H$27),'Bonding Program'!$T$27-'Bonding Program'!$U$27-'Bonding Program'!$Z$27,0)-IF(AND('Bonding Program'!$S$27=1,'Bonding Program'!$H$27&lt;='Bonding Program'!$C$8,DD$3=IF('Bonding Program'!$P$27&lt;&gt;"",'Bonding Program'!$P$27,'Bonding Program'!$C$8)),'Bonding Program'!$Z$27,0)+IF(AND('Bonding Program'!$P$27&lt;&gt;"",DD$3='Bonding Program'!$P$27,DD$3&lt;='Bonding Program'!$C$8),N('Bonding Program'!$O$27),0)</f>
        <v>0</v>
      </c>
      <c r="DE168" s="19" t="n">
        <f aca="false">IF(AND('Bonding Program'!$S$27=1,'Bonding Program'!$H$27&gt;'Bonding Program'!$C$8,DE$3='Bonding Program'!$H$27),'Bonding Program'!$T$27-'Bonding Program'!$U$27-'Bonding Program'!$Z$27,0)-IF(AND('Bonding Program'!$S$27=1,'Bonding Program'!$H$27&lt;='Bonding Program'!$C$8,DE$3=IF('Bonding Program'!$P$27&lt;&gt;"",'Bonding Program'!$P$27,'Bonding Program'!$C$8)),'Bonding Program'!$Z$27,0)+IF(AND('Bonding Program'!$P$27&lt;&gt;"",DE$3='Bonding Program'!$P$27,DE$3&lt;='Bonding Program'!$C$8),N('Bonding Program'!$O$27),0)</f>
        <v>0</v>
      </c>
    </row>
    <row r="169" customFormat="false" ht="15" hidden="false" customHeight="true" outlineLevel="1" collapsed="false">
      <c r="A169" s="28" t="s">
        <v>24</v>
      </c>
      <c r="B169" s="19" t="n">
        <f aca="false">IF(AND('Bonding Program'!$S$28=1,'Bonding Program'!$H$28&gt;'Bonding Program'!$C$8,B$3='Bonding Program'!$H$28),'Bonding Program'!$T$28-'Bonding Program'!$U$28-'Bonding Program'!$Z$28,0)-IF(AND('Bonding Program'!$S$28=1,'Bonding Program'!$H$28&lt;='Bonding Program'!$C$8,B$3=IF('Bonding Program'!$P$28&lt;&gt;"",'Bonding Program'!$P$28,'Bonding Program'!$C$8)),'Bonding Program'!$Z$28,0)+IF(AND('Bonding Program'!$P$28&lt;&gt;"",B$3='Bonding Program'!$P$28,B$3&lt;='Bonding Program'!$C$8),N('Bonding Program'!$O$28),0)</f>
        <v>0</v>
      </c>
      <c r="C169" s="19" t="n">
        <f aca="false">IF(AND('Bonding Program'!$S$28=1,'Bonding Program'!$H$28&gt;'Bonding Program'!$C$8,C$3='Bonding Program'!$H$28),'Bonding Program'!$T$28-'Bonding Program'!$U$28-'Bonding Program'!$Z$28,0)-IF(AND('Bonding Program'!$S$28=1,'Bonding Program'!$H$28&lt;='Bonding Program'!$C$8,C$3=IF('Bonding Program'!$P$28&lt;&gt;"",'Bonding Program'!$P$28,'Bonding Program'!$C$8)),'Bonding Program'!$Z$28,0)+IF(AND('Bonding Program'!$P$28&lt;&gt;"",C$3='Bonding Program'!$P$28,C$3&lt;='Bonding Program'!$C$8),N('Bonding Program'!$O$28),0)</f>
        <v>0</v>
      </c>
      <c r="D169" s="19" t="n">
        <f aca="false">IF(AND('Bonding Program'!$S$28=1,'Bonding Program'!$H$28&gt;'Bonding Program'!$C$8,D$3='Bonding Program'!$H$28),'Bonding Program'!$T$28-'Bonding Program'!$U$28-'Bonding Program'!$Z$28,0)-IF(AND('Bonding Program'!$S$28=1,'Bonding Program'!$H$28&lt;='Bonding Program'!$C$8,D$3=IF('Bonding Program'!$P$28&lt;&gt;"",'Bonding Program'!$P$28,'Bonding Program'!$C$8)),'Bonding Program'!$Z$28,0)+IF(AND('Bonding Program'!$P$28&lt;&gt;"",D$3='Bonding Program'!$P$28,D$3&lt;='Bonding Program'!$C$8),N('Bonding Program'!$O$28),0)</f>
        <v>0</v>
      </c>
      <c r="E169" s="19" t="n">
        <f aca="false">IF(AND('Bonding Program'!$S$28=1,'Bonding Program'!$H$28&gt;'Bonding Program'!$C$8,E$3='Bonding Program'!$H$28),'Bonding Program'!$T$28-'Bonding Program'!$U$28-'Bonding Program'!$Z$28,0)-IF(AND('Bonding Program'!$S$28=1,'Bonding Program'!$H$28&lt;='Bonding Program'!$C$8,E$3=IF('Bonding Program'!$P$28&lt;&gt;"",'Bonding Program'!$P$28,'Bonding Program'!$C$8)),'Bonding Program'!$Z$28,0)+IF(AND('Bonding Program'!$P$28&lt;&gt;"",E$3='Bonding Program'!$P$28,E$3&lt;='Bonding Program'!$C$8),N('Bonding Program'!$O$28),0)</f>
        <v>0</v>
      </c>
      <c r="F169" s="19" t="n">
        <f aca="false">IF(AND('Bonding Program'!$S$28=1,'Bonding Program'!$H$28&gt;'Bonding Program'!$C$8,F$3='Bonding Program'!$H$28),'Bonding Program'!$T$28-'Bonding Program'!$U$28-'Bonding Program'!$Z$28,0)-IF(AND('Bonding Program'!$S$28=1,'Bonding Program'!$H$28&lt;='Bonding Program'!$C$8,F$3=IF('Bonding Program'!$P$28&lt;&gt;"",'Bonding Program'!$P$28,'Bonding Program'!$C$8)),'Bonding Program'!$Z$28,0)+IF(AND('Bonding Program'!$P$28&lt;&gt;"",F$3='Bonding Program'!$P$28,F$3&lt;='Bonding Program'!$C$8),N('Bonding Program'!$O$28),0)</f>
        <v>0</v>
      </c>
      <c r="G169" s="19" t="n">
        <f aca="false">IF(AND('Bonding Program'!$S$28=1,'Bonding Program'!$H$28&gt;'Bonding Program'!$C$8,G$3='Bonding Program'!$H$28),'Bonding Program'!$T$28-'Bonding Program'!$U$28-'Bonding Program'!$Z$28,0)-IF(AND('Bonding Program'!$S$28=1,'Bonding Program'!$H$28&lt;='Bonding Program'!$C$8,G$3=IF('Bonding Program'!$P$28&lt;&gt;"",'Bonding Program'!$P$28,'Bonding Program'!$C$8)),'Bonding Program'!$Z$28,0)+IF(AND('Bonding Program'!$P$28&lt;&gt;"",G$3='Bonding Program'!$P$28,G$3&lt;='Bonding Program'!$C$8),N('Bonding Program'!$O$28),0)</f>
        <v>0</v>
      </c>
      <c r="H169" s="19" t="n">
        <f aca="false">IF(AND('Bonding Program'!$S$28=1,'Bonding Program'!$H$28&gt;'Bonding Program'!$C$8,H$3='Bonding Program'!$H$28),'Bonding Program'!$T$28-'Bonding Program'!$U$28-'Bonding Program'!$Z$28,0)-IF(AND('Bonding Program'!$S$28=1,'Bonding Program'!$H$28&lt;='Bonding Program'!$C$8,H$3=IF('Bonding Program'!$P$28&lt;&gt;"",'Bonding Program'!$P$28,'Bonding Program'!$C$8)),'Bonding Program'!$Z$28,0)+IF(AND('Bonding Program'!$P$28&lt;&gt;"",H$3='Bonding Program'!$P$28,H$3&lt;='Bonding Program'!$C$8),N('Bonding Program'!$O$28),0)</f>
        <v>0</v>
      </c>
      <c r="I169" s="19" t="n">
        <f aca="false">IF(AND('Bonding Program'!$S$28=1,'Bonding Program'!$H$28&gt;'Bonding Program'!$C$8,I$3='Bonding Program'!$H$28),'Bonding Program'!$T$28-'Bonding Program'!$U$28-'Bonding Program'!$Z$28,0)-IF(AND('Bonding Program'!$S$28=1,'Bonding Program'!$H$28&lt;='Bonding Program'!$C$8,I$3=IF('Bonding Program'!$P$28&lt;&gt;"",'Bonding Program'!$P$28,'Bonding Program'!$C$8)),'Bonding Program'!$Z$28,0)+IF(AND('Bonding Program'!$P$28&lt;&gt;"",I$3='Bonding Program'!$P$28,I$3&lt;='Bonding Program'!$C$8),N('Bonding Program'!$O$28),0)</f>
        <v>0</v>
      </c>
      <c r="J169" s="19" t="n">
        <f aca="false">IF(AND('Bonding Program'!$S$28=1,'Bonding Program'!$H$28&gt;'Bonding Program'!$C$8,J$3='Bonding Program'!$H$28),'Bonding Program'!$T$28-'Bonding Program'!$U$28-'Bonding Program'!$Z$28,0)-IF(AND('Bonding Program'!$S$28=1,'Bonding Program'!$H$28&lt;='Bonding Program'!$C$8,J$3=IF('Bonding Program'!$P$28&lt;&gt;"",'Bonding Program'!$P$28,'Bonding Program'!$C$8)),'Bonding Program'!$Z$28,0)+IF(AND('Bonding Program'!$P$28&lt;&gt;"",J$3='Bonding Program'!$P$28,J$3&lt;='Bonding Program'!$C$8),N('Bonding Program'!$O$28),0)</f>
        <v>0</v>
      </c>
      <c r="K169" s="19" t="n">
        <f aca="false">IF(AND('Bonding Program'!$S$28=1,'Bonding Program'!$H$28&gt;'Bonding Program'!$C$8,K$3='Bonding Program'!$H$28),'Bonding Program'!$T$28-'Bonding Program'!$U$28-'Bonding Program'!$Z$28,0)-IF(AND('Bonding Program'!$S$28=1,'Bonding Program'!$H$28&lt;='Bonding Program'!$C$8,K$3=IF('Bonding Program'!$P$28&lt;&gt;"",'Bonding Program'!$P$28,'Bonding Program'!$C$8)),'Bonding Program'!$Z$28,0)+IF(AND('Bonding Program'!$P$28&lt;&gt;"",K$3='Bonding Program'!$P$28,K$3&lt;='Bonding Program'!$C$8),N('Bonding Program'!$O$28),0)</f>
        <v>0</v>
      </c>
      <c r="L169" s="19" t="n">
        <f aca="false">IF(AND('Bonding Program'!$S$28=1,'Bonding Program'!$H$28&gt;'Bonding Program'!$C$8,L$3='Bonding Program'!$H$28),'Bonding Program'!$T$28-'Bonding Program'!$U$28-'Bonding Program'!$Z$28,0)-IF(AND('Bonding Program'!$S$28=1,'Bonding Program'!$H$28&lt;='Bonding Program'!$C$8,L$3=IF('Bonding Program'!$P$28&lt;&gt;"",'Bonding Program'!$P$28,'Bonding Program'!$C$8)),'Bonding Program'!$Z$28,0)+IF(AND('Bonding Program'!$P$28&lt;&gt;"",L$3='Bonding Program'!$P$28,L$3&lt;='Bonding Program'!$C$8),N('Bonding Program'!$O$28),0)</f>
        <v>0</v>
      </c>
      <c r="M169" s="19" t="n">
        <f aca="false">IF(AND('Bonding Program'!$S$28=1,'Bonding Program'!$H$28&gt;'Bonding Program'!$C$8,M$3='Bonding Program'!$H$28),'Bonding Program'!$T$28-'Bonding Program'!$U$28-'Bonding Program'!$Z$28,0)-IF(AND('Bonding Program'!$S$28=1,'Bonding Program'!$H$28&lt;='Bonding Program'!$C$8,M$3=IF('Bonding Program'!$P$28&lt;&gt;"",'Bonding Program'!$P$28,'Bonding Program'!$C$8)),'Bonding Program'!$Z$28,0)+IF(AND('Bonding Program'!$P$28&lt;&gt;"",M$3='Bonding Program'!$P$28,M$3&lt;='Bonding Program'!$C$8),N('Bonding Program'!$O$28),0)</f>
        <v>0</v>
      </c>
      <c r="N169" s="19" t="n">
        <f aca="false">IF(AND('Bonding Program'!$S$28=1,'Bonding Program'!$H$28&gt;'Bonding Program'!$C$8,N$3='Bonding Program'!$H$28),'Bonding Program'!$T$28-'Bonding Program'!$U$28-'Bonding Program'!$Z$28,0)-IF(AND('Bonding Program'!$S$28=1,'Bonding Program'!$H$28&lt;='Bonding Program'!$C$8,N$3=IF('Bonding Program'!$P$28&lt;&gt;"",'Bonding Program'!$P$28,'Bonding Program'!$C$8)),'Bonding Program'!$Z$28,0)+IF(AND('Bonding Program'!$P$28&lt;&gt;"",N$3='Bonding Program'!$P$28,N$3&lt;='Bonding Program'!$C$8),N('Bonding Program'!$O$28),0)</f>
        <v>0</v>
      </c>
      <c r="O169" s="19" t="n">
        <f aca="false">IF(AND('Bonding Program'!$S$28=1,'Bonding Program'!$H$28&gt;'Bonding Program'!$C$8,O$3='Bonding Program'!$H$28),'Bonding Program'!$T$28-'Bonding Program'!$U$28-'Bonding Program'!$Z$28,0)-IF(AND('Bonding Program'!$S$28=1,'Bonding Program'!$H$28&lt;='Bonding Program'!$C$8,O$3=IF('Bonding Program'!$P$28&lt;&gt;"",'Bonding Program'!$P$28,'Bonding Program'!$C$8)),'Bonding Program'!$Z$28,0)+IF(AND('Bonding Program'!$P$28&lt;&gt;"",O$3='Bonding Program'!$P$28,O$3&lt;='Bonding Program'!$C$8),N('Bonding Program'!$O$28),0)</f>
        <v>0</v>
      </c>
      <c r="P169" s="19" t="n">
        <f aca="false">IF(AND('Bonding Program'!$S$28=1,'Bonding Program'!$H$28&gt;'Bonding Program'!$C$8,P$3='Bonding Program'!$H$28),'Bonding Program'!$T$28-'Bonding Program'!$U$28-'Bonding Program'!$Z$28,0)-IF(AND('Bonding Program'!$S$28=1,'Bonding Program'!$H$28&lt;='Bonding Program'!$C$8,P$3=IF('Bonding Program'!$P$28&lt;&gt;"",'Bonding Program'!$P$28,'Bonding Program'!$C$8)),'Bonding Program'!$Z$28,0)+IF(AND('Bonding Program'!$P$28&lt;&gt;"",P$3='Bonding Program'!$P$28,P$3&lt;='Bonding Program'!$C$8),N('Bonding Program'!$O$28),0)</f>
        <v>0</v>
      </c>
      <c r="Q169" s="19" t="n">
        <f aca="false">IF(AND('Bonding Program'!$S$28=1,'Bonding Program'!$H$28&gt;'Bonding Program'!$C$8,Q$3='Bonding Program'!$H$28),'Bonding Program'!$T$28-'Bonding Program'!$U$28-'Bonding Program'!$Z$28,0)-IF(AND('Bonding Program'!$S$28=1,'Bonding Program'!$H$28&lt;='Bonding Program'!$C$8,Q$3=IF('Bonding Program'!$P$28&lt;&gt;"",'Bonding Program'!$P$28,'Bonding Program'!$C$8)),'Bonding Program'!$Z$28,0)+IF(AND('Bonding Program'!$P$28&lt;&gt;"",Q$3='Bonding Program'!$P$28,Q$3&lt;='Bonding Program'!$C$8),N('Bonding Program'!$O$28),0)</f>
        <v>0</v>
      </c>
      <c r="R169" s="19" t="n">
        <f aca="false">IF(AND('Bonding Program'!$S$28=1,'Bonding Program'!$H$28&gt;'Bonding Program'!$C$8,R$3='Bonding Program'!$H$28),'Bonding Program'!$T$28-'Bonding Program'!$U$28-'Bonding Program'!$Z$28,0)-IF(AND('Bonding Program'!$S$28=1,'Bonding Program'!$H$28&lt;='Bonding Program'!$C$8,R$3=IF('Bonding Program'!$P$28&lt;&gt;"",'Bonding Program'!$P$28,'Bonding Program'!$C$8)),'Bonding Program'!$Z$28,0)+IF(AND('Bonding Program'!$P$28&lt;&gt;"",R$3='Bonding Program'!$P$28,R$3&lt;='Bonding Program'!$C$8),N('Bonding Program'!$O$28),0)</f>
        <v>0</v>
      </c>
      <c r="S169" s="19" t="n">
        <f aca="false">IF(AND('Bonding Program'!$S$28=1,'Bonding Program'!$H$28&gt;'Bonding Program'!$C$8,S$3='Bonding Program'!$H$28),'Bonding Program'!$T$28-'Bonding Program'!$U$28-'Bonding Program'!$Z$28,0)-IF(AND('Bonding Program'!$S$28=1,'Bonding Program'!$H$28&lt;='Bonding Program'!$C$8,S$3=IF('Bonding Program'!$P$28&lt;&gt;"",'Bonding Program'!$P$28,'Bonding Program'!$C$8)),'Bonding Program'!$Z$28,0)+IF(AND('Bonding Program'!$P$28&lt;&gt;"",S$3='Bonding Program'!$P$28,S$3&lt;='Bonding Program'!$C$8),N('Bonding Program'!$O$28),0)</f>
        <v>0</v>
      </c>
      <c r="T169" s="19" t="n">
        <f aca="false">IF(AND('Bonding Program'!$S$28=1,'Bonding Program'!$H$28&gt;'Bonding Program'!$C$8,T$3='Bonding Program'!$H$28),'Bonding Program'!$T$28-'Bonding Program'!$U$28-'Bonding Program'!$Z$28,0)-IF(AND('Bonding Program'!$S$28=1,'Bonding Program'!$H$28&lt;='Bonding Program'!$C$8,T$3=IF('Bonding Program'!$P$28&lt;&gt;"",'Bonding Program'!$P$28,'Bonding Program'!$C$8)),'Bonding Program'!$Z$28,0)+IF(AND('Bonding Program'!$P$28&lt;&gt;"",T$3='Bonding Program'!$P$28,T$3&lt;='Bonding Program'!$C$8),N('Bonding Program'!$O$28),0)</f>
        <v>0</v>
      </c>
      <c r="U169" s="19" t="n">
        <f aca="false">IF(AND('Bonding Program'!$S$28=1,'Bonding Program'!$H$28&gt;'Bonding Program'!$C$8,U$3='Bonding Program'!$H$28),'Bonding Program'!$T$28-'Bonding Program'!$U$28-'Bonding Program'!$Z$28,0)-IF(AND('Bonding Program'!$S$28=1,'Bonding Program'!$H$28&lt;='Bonding Program'!$C$8,U$3=IF('Bonding Program'!$P$28&lt;&gt;"",'Bonding Program'!$P$28,'Bonding Program'!$C$8)),'Bonding Program'!$Z$28,0)+IF(AND('Bonding Program'!$P$28&lt;&gt;"",U$3='Bonding Program'!$P$28,U$3&lt;='Bonding Program'!$C$8),N('Bonding Program'!$O$28),0)</f>
        <v>0</v>
      </c>
      <c r="V169" s="19" t="n">
        <f aca="false">IF(AND('Bonding Program'!$S$28=1,'Bonding Program'!$H$28&gt;'Bonding Program'!$C$8,V$3='Bonding Program'!$H$28),'Bonding Program'!$T$28-'Bonding Program'!$U$28-'Bonding Program'!$Z$28,0)-IF(AND('Bonding Program'!$S$28=1,'Bonding Program'!$H$28&lt;='Bonding Program'!$C$8,V$3=IF('Bonding Program'!$P$28&lt;&gt;"",'Bonding Program'!$P$28,'Bonding Program'!$C$8)),'Bonding Program'!$Z$28,0)+IF(AND('Bonding Program'!$P$28&lt;&gt;"",V$3='Bonding Program'!$P$28,V$3&lt;='Bonding Program'!$C$8),N('Bonding Program'!$O$28),0)</f>
        <v>0</v>
      </c>
      <c r="W169" s="19" t="n">
        <f aca="false">IF(AND('Bonding Program'!$S$28=1,'Bonding Program'!$H$28&gt;'Bonding Program'!$C$8,W$3='Bonding Program'!$H$28),'Bonding Program'!$T$28-'Bonding Program'!$U$28-'Bonding Program'!$Z$28,0)-IF(AND('Bonding Program'!$S$28=1,'Bonding Program'!$H$28&lt;='Bonding Program'!$C$8,W$3=IF('Bonding Program'!$P$28&lt;&gt;"",'Bonding Program'!$P$28,'Bonding Program'!$C$8)),'Bonding Program'!$Z$28,0)+IF(AND('Bonding Program'!$P$28&lt;&gt;"",W$3='Bonding Program'!$P$28,W$3&lt;='Bonding Program'!$C$8),N('Bonding Program'!$O$28),0)</f>
        <v>0</v>
      </c>
      <c r="X169" s="19" t="n">
        <f aca="false">IF(AND('Bonding Program'!$S$28=1,'Bonding Program'!$H$28&gt;'Bonding Program'!$C$8,X$3='Bonding Program'!$H$28),'Bonding Program'!$T$28-'Bonding Program'!$U$28-'Bonding Program'!$Z$28,0)-IF(AND('Bonding Program'!$S$28=1,'Bonding Program'!$H$28&lt;='Bonding Program'!$C$8,X$3=IF('Bonding Program'!$P$28&lt;&gt;"",'Bonding Program'!$P$28,'Bonding Program'!$C$8)),'Bonding Program'!$Z$28,0)+IF(AND('Bonding Program'!$P$28&lt;&gt;"",X$3='Bonding Program'!$P$28,X$3&lt;='Bonding Program'!$C$8),N('Bonding Program'!$O$28),0)</f>
        <v>0</v>
      </c>
      <c r="Y169" s="19" t="n">
        <f aca="false">IF(AND('Bonding Program'!$S$28=1,'Bonding Program'!$H$28&gt;'Bonding Program'!$C$8,Y$3='Bonding Program'!$H$28),'Bonding Program'!$T$28-'Bonding Program'!$U$28-'Bonding Program'!$Z$28,0)-IF(AND('Bonding Program'!$S$28=1,'Bonding Program'!$H$28&lt;='Bonding Program'!$C$8,Y$3=IF('Bonding Program'!$P$28&lt;&gt;"",'Bonding Program'!$P$28,'Bonding Program'!$C$8)),'Bonding Program'!$Z$28,0)+IF(AND('Bonding Program'!$P$28&lt;&gt;"",Y$3='Bonding Program'!$P$28,Y$3&lt;='Bonding Program'!$C$8),N('Bonding Program'!$O$28),0)</f>
        <v>0</v>
      </c>
      <c r="Z169" s="19" t="n">
        <f aca="false">IF(AND('Bonding Program'!$S$28=1,'Bonding Program'!$H$28&gt;'Bonding Program'!$C$8,Z$3='Bonding Program'!$H$28),'Bonding Program'!$T$28-'Bonding Program'!$U$28-'Bonding Program'!$Z$28,0)-IF(AND('Bonding Program'!$S$28=1,'Bonding Program'!$H$28&lt;='Bonding Program'!$C$8,Z$3=IF('Bonding Program'!$P$28&lt;&gt;"",'Bonding Program'!$P$28,'Bonding Program'!$C$8)),'Bonding Program'!$Z$28,0)+IF(AND('Bonding Program'!$P$28&lt;&gt;"",Z$3='Bonding Program'!$P$28,Z$3&lt;='Bonding Program'!$C$8),N('Bonding Program'!$O$28),0)</f>
        <v>0</v>
      </c>
      <c r="AA169" s="19" t="n">
        <f aca="false">IF(AND('Bonding Program'!$S$28=1,'Bonding Program'!$H$28&gt;'Bonding Program'!$C$8,AA$3='Bonding Program'!$H$28),'Bonding Program'!$T$28-'Bonding Program'!$U$28-'Bonding Program'!$Z$28,0)-IF(AND('Bonding Program'!$S$28=1,'Bonding Program'!$H$28&lt;='Bonding Program'!$C$8,AA$3=IF('Bonding Program'!$P$28&lt;&gt;"",'Bonding Program'!$P$28,'Bonding Program'!$C$8)),'Bonding Program'!$Z$28,0)+IF(AND('Bonding Program'!$P$28&lt;&gt;"",AA$3='Bonding Program'!$P$28,AA$3&lt;='Bonding Program'!$C$8),N('Bonding Program'!$O$28),0)</f>
        <v>0</v>
      </c>
      <c r="AB169" s="19" t="n">
        <f aca="false">IF(AND('Bonding Program'!$S$28=1,'Bonding Program'!$H$28&gt;'Bonding Program'!$C$8,AB$3='Bonding Program'!$H$28),'Bonding Program'!$T$28-'Bonding Program'!$U$28-'Bonding Program'!$Z$28,0)-IF(AND('Bonding Program'!$S$28=1,'Bonding Program'!$H$28&lt;='Bonding Program'!$C$8,AB$3=IF('Bonding Program'!$P$28&lt;&gt;"",'Bonding Program'!$P$28,'Bonding Program'!$C$8)),'Bonding Program'!$Z$28,0)+IF(AND('Bonding Program'!$P$28&lt;&gt;"",AB$3='Bonding Program'!$P$28,AB$3&lt;='Bonding Program'!$C$8),N('Bonding Program'!$O$28),0)</f>
        <v>0</v>
      </c>
      <c r="AC169" s="19" t="n">
        <f aca="false">IF(AND('Bonding Program'!$S$28=1,'Bonding Program'!$H$28&gt;'Bonding Program'!$C$8,AC$3='Bonding Program'!$H$28),'Bonding Program'!$T$28-'Bonding Program'!$U$28-'Bonding Program'!$Z$28,0)-IF(AND('Bonding Program'!$S$28=1,'Bonding Program'!$H$28&lt;='Bonding Program'!$C$8,AC$3=IF('Bonding Program'!$P$28&lt;&gt;"",'Bonding Program'!$P$28,'Bonding Program'!$C$8)),'Bonding Program'!$Z$28,0)+IF(AND('Bonding Program'!$P$28&lt;&gt;"",AC$3='Bonding Program'!$P$28,AC$3&lt;='Bonding Program'!$C$8),N('Bonding Program'!$O$28),0)</f>
        <v>0</v>
      </c>
      <c r="AD169" s="19" t="n">
        <f aca="false">IF(AND('Bonding Program'!$S$28=1,'Bonding Program'!$H$28&gt;'Bonding Program'!$C$8,AD$3='Bonding Program'!$H$28),'Bonding Program'!$T$28-'Bonding Program'!$U$28-'Bonding Program'!$Z$28,0)-IF(AND('Bonding Program'!$S$28=1,'Bonding Program'!$H$28&lt;='Bonding Program'!$C$8,AD$3=IF('Bonding Program'!$P$28&lt;&gt;"",'Bonding Program'!$P$28,'Bonding Program'!$C$8)),'Bonding Program'!$Z$28,0)+IF(AND('Bonding Program'!$P$28&lt;&gt;"",AD$3='Bonding Program'!$P$28,AD$3&lt;='Bonding Program'!$C$8),N('Bonding Program'!$O$28),0)</f>
        <v>0</v>
      </c>
      <c r="AE169" s="19" t="n">
        <f aca="false">IF(AND('Bonding Program'!$S$28=1,'Bonding Program'!$H$28&gt;'Bonding Program'!$C$8,AE$3='Bonding Program'!$H$28),'Bonding Program'!$T$28-'Bonding Program'!$U$28-'Bonding Program'!$Z$28,0)-IF(AND('Bonding Program'!$S$28=1,'Bonding Program'!$H$28&lt;='Bonding Program'!$C$8,AE$3=IF('Bonding Program'!$P$28&lt;&gt;"",'Bonding Program'!$P$28,'Bonding Program'!$C$8)),'Bonding Program'!$Z$28,0)+IF(AND('Bonding Program'!$P$28&lt;&gt;"",AE$3='Bonding Program'!$P$28,AE$3&lt;='Bonding Program'!$C$8),N('Bonding Program'!$O$28),0)</f>
        <v>0</v>
      </c>
      <c r="AF169" s="19" t="n">
        <f aca="false">IF(AND('Bonding Program'!$S$28=1,'Bonding Program'!$H$28&gt;'Bonding Program'!$C$8,AF$3='Bonding Program'!$H$28),'Bonding Program'!$T$28-'Bonding Program'!$U$28-'Bonding Program'!$Z$28,0)-IF(AND('Bonding Program'!$S$28=1,'Bonding Program'!$H$28&lt;='Bonding Program'!$C$8,AF$3=IF('Bonding Program'!$P$28&lt;&gt;"",'Bonding Program'!$P$28,'Bonding Program'!$C$8)),'Bonding Program'!$Z$28,0)+IF(AND('Bonding Program'!$P$28&lt;&gt;"",AF$3='Bonding Program'!$P$28,AF$3&lt;='Bonding Program'!$C$8),N('Bonding Program'!$O$28),0)</f>
        <v>0</v>
      </c>
      <c r="AG169" s="19" t="n">
        <f aca="false">IF(AND('Bonding Program'!$S$28=1,'Bonding Program'!$H$28&gt;'Bonding Program'!$C$8,AG$3='Bonding Program'!$H$28),'Bonding Program'!$T$28-'Bonding Program'!$U$28-'Bonding Program'!$Z$28,0)-IF(AND('Bonding Program'!$S$28=1,'Bonding Program'!$H$28&lt;='Bonding Program'!$C$8,AG$3=IF('Bonding Program'!$P$28&lt;&gt;"",'Bonding Program'!$P$28,'Bonding Program'!$C$8)),'Bonding Program'!$Z$28,0)+IF(AND('Bonding Program'!$P$28&lt;&gt;"",AG$3='Bonding Program'!$P$28,AG$3&lt;='Bonding Program'!$C$8),N('Bonding Program'!$O$28),0)</f>
        <v>0</v>
      </c>
      <c r="AH169" s="19" t="n">
        <f aca="false">IF(AND('Bonding Program'!$S$28=1,'Bonding Program'!$H$28&gt;'Bonding Program'!$C$8,AH$3='Bonding Program'!$H$28),'Bonding Program'!$T$28-'Bonding Program'!$U$28-'Bonding Program'!$Z$28,0)-IF(AND('Bonding Program'!$S$28=1,'Bonding Program'!$H$28&lt;='Bonding Program'!$C$8,AH$3=IF('Bonding Program'!$P$28&lt;&gt;"",'Bonding Program'!$P$28,'Bonding Program'!$C$8)),'Bonding Program'!$Z$28,0)+IF(AND('Bonding Program'!$P$28&lt;&gt;"",AH$3='Bonding Program'!$P$28,AH$3&lt;='Bonding Program'!$C$8),N('Bonding Program'!$O$28),0)</f>
        <v>0</v>
      </c>
      <c r="AI169" s="19" t="n">
        <f aca="false">IF(AND('Bonding Program'!$S$28=1,'Bonding Program'!$H$28&gt;'Bonding Program'!$C$8,AI$3='Bonding Program'!$H$28),'Bonding Program'!$T$28-'Bonding Program'!$U$28-'Bonding Program'!$Z$28,0)-IF(AND('Bonding Program'!$S$28=1,'Bonding Program'!$H$28&lt;='Bonding Program'!$C$8,AI$3=IF('Bonding Program'!$P$28&lt;&gt;"",'Bonding Program'!$P$28,'Bonding Program'!$C$8)),'Bonding Program'!$Z$28,0)+IF(AND('Bonding Program'!$P$28&lt;&gt;"",AI$3='Bonding Program'!$P$28,AI$3&lt;='Bonding Program'!$C$8),N('Bonding Program'!$O$28),0)</f>
        <v>0</v>
      </c>
      <c r="AJ169" s="19" t="n">
        <f aca="false">IF(AND('Bonding Program'!$S$28=1,'Bonding Program'!$H$28&gt;'Bonding Program'!$C$8,AJ$3='Bonding Program'!$H$28),'Bonding Program'!$T$28-'Bonding Program'!$U$28-'Bonding Program'!$Z$28,0)-IF(AND('Bonding Program'!$S$28=1,'Bonding Program'!$H$28&lt;='Bonding Program'!$C$8,AJ$3=IF('Bonding Program'!$P$28&lt;&gt;"",'Bonding Program'!$P$28,'Bonding Program'!$C$8)),'Bonding Program'!$Z$28,0)+IF(AND('Bonding Program'!$P$28&lt;&gt;"",AJ$3='Bonding Program'!$P$28,AJ$3&lt;='Bonding Program'!$C$8),N('Bonding Program'!$O$28),0)</f>
        <v>0</v>
      </c>
      <c r="AK169" s="19" t="n">
        <f aca="false">IF(AND('Bonding Program'!$S$28=1,'Bonding Program'!$H$28&gt;'Bonding Program'!$C$8,AK$3='Bonding Program'!$H$28),'Bonding Program'!$T$28-'Bonding Program'!$U$28-'Bonding Program'!$Z$28,0)-IF(AND('Bonding Program'!$S$28=1,'Bonding Program'!$H$28&lt;='Bonding Program'!$C$8,AK$3=IF('Bonding Program'!$P$28&lt;&gt;"",'Bonding Program'!$P$28,'Bonding Program'!$C$8)),'Bonding Program'!$Z$28,0)+IF(AND('Bonding Program'!$P$28&lt;&gt;"",AK$3='Bonding Program'!$P$28,AK$3&lt;='Bonding Program'!$C$8),N('Bonding Program'!$O$28),0)</f>
        <v>0</v>
      </c>
      <c r="AL169" s="19" t="n">
        <f aca="false">IF(AND('Bonding Program'!$S$28=1,'Bonding Program'!$H$28&gt;'Bonding Program'!$C$8,AL$3='Bonding Program'!$H$28),'Bonding Program'!$T$28-'Bonding Program'!$U$28-'Bonding Program'!$Z$28,0)-IF(AND('Bonding Program'!$S$28=1,'Bonding Program'!$H$28&lt;='Bonding Program'!$C$8,AL$3=IF('Bonding Program'!$P$28&lt;&gt;"",'Bonding Program'!$P$28,'Bonding Program'!$C$8)),'Bonding Program'!$Z$28,0)+IF(AND('Bonding Program'!$P$28&lt;&gt;"",AL$3='Bonding Program'!$P$28,AL$3&lt;='Bonding Program'!$C$8),N('Bonding Program'!$O$28),0)</f>
        <v>0</v>
      </c>
      <c r="AM169" s="19" t="n">
        <f aca="false">IF(AND('Bonding Program'!$S$28=1,'Bonding Program'!$H$28&gt;'Bonding Program'!$C$8,AM$3='Bonding Program'!$H$28),'Bonding Program'!$T$28-'Bonding Program'!$U$28-'Bonding Program'!$Z$28,0)-IF(AND('Bonding Program'!$S$28=1,'Bonding Program'!$H$28&lt;='Bonding Program'!$C$8,AM$3=IF('Bonding Program'!$P$28&lt;&gt;"",'Bonding Program'!$P$28,'Bonding Program'!$C$8)),'Bonding Program'!$Z$28,0)+IF(AND('Bonding Program'!$P$28&lt;&gt;"",AM$3='Bonding Program'!$P$28,AM$3&lt;='Bonding Program'!$C$8),N('Bonding Program'!$O$28),0)</f>
        <v>0</v>
      </c>
      <c r="AN169" s="19" t="n">
        <f aca="false">IF(AND('Bonding Program'!$S$28=1,'Bonding Program'!$H$28&gt;'Bonding Program'!$C$8,AN$3='Bonding Program'!$H$28),'Bonding Program'!$T$28-'Bonding Program'!$U$28-'Bonding Program'!$Z$28,0)-IF(AND('Bonding Program'!$S$28=1,'Bonding Program'!$H$28&lt;='Bonding Program'!$C$8,AN$3=IF('Bonding Program'!$P$28&lt;&gt;"",'Bonding Program'!$P$28,'Bonding Program'!$C$8)),'Bonding Program'!$Z$28,0)+IF(AND('Bonding Program'!$P$28&lt;&gt;"",AN$3='Bonding Program'!$P$28,AN$3&lt;='Bonding Program'!$C$8),N('Bonding Program'!$O$28),0)</f>
        <v>0</v>
      </c>
      <c r="AO169" s="19" t="n">
        <f aca="false">IF(AND('Bonding Program'!$S$28=1,'Bonding Program'!$H$28&gt;'Bonding Program'!$C$8,AO$3='Bonding Program'!$H$28),'Bonding Program'!$T$28-'Bonding Program'!$U$28-'Bonding Program'!$Z$28,0)-IF(AND('Bonding Program'!$S$28=1,'Bonding Program'!$H$28&lt;='Bonding Program'!$C$8,AO$3=IF('Bonding Program'!$P$28&lt;&gt;"",'Bonding Program'!$P$28,'Bonding Program'!$C$8)),'Bonding Program'!$Z$28,0)+IF(AND('Bonding Program'!$P$28&lt;&gt;"",AO$3='Bonding Program'!$P$28,AO$3&lt;='Bonding Program'!$C$8),N('Bonding Program'!$O$28),0)</f>
        <v>0</v>
      </c>
      <c r="AP169" s="19" t="n">
        <f aca="false">IF(AND('Bonding Program'!$S$28=1,'Bonding Program'!$H$28&gt;'Bonding Program'!$C$8,AP$3='Bonding Program'!$H$28),'Bonding Program'!$T$28-'Bonding Program'!$U$28-'Bonding Program'!$Z$28,0)-IF(AND('Bonding Program'!$S$28=1,'Bonding Program'!$H$28&lt;='Bonding Program'!$C$8,AP$3=IF('Bonding Program'!$P$28&lt;&gt;"",'Bonding Program'!$P$28,'Bonding Program'!$C$8)),'Bonding Program'!$Z$28,0)+IF(AND('Bonding Program'!$P$28&lt;&gt;"",AP$3='Bonding Program'!$P$28,AP$3&lt;='Bonding Program'!$C$8),N('Bonding Program'!$O$28),0)</f>
        <v>0</v>
      </c>
      <c r="AQ169" s="19" t="n">
        <f aca="false">IF(AND('Bonding Program'!$S$28=1,'Bonding Program'!$H$28&gt;'Bonding Program'!$C$8,AQ$3='Bonding Program'!$H$28),'Bonding Program'!$T$28-'Bonding Program'!$U$28-'Bonding Program'!$Z$28,0)-IF(AND('Bonding Program'!$S$28=1,'Bonding Program'!$H$28&lt;='Bonding Program'!$C$8,AQ$3=IF('Bonding Program'!$P$28&lt;&gt;"",'Bonding Program'!$P$28,'Bonding Program'!$C$8)),'Bonding Program'!$Z$28,0)+IF(AND('Bonding Program'!$P$28&lt;&gt;"",AQ$3='Bonding Program'!$P$28,AQ$3&lt;='Bonding Program'!$C$8),N('Bonding Program'!$O$28),0)</f>
        <v>0</v>
      </c>
      <c r="AR169" s="19" t="n">
        <f aca="false">IF(AND('Bonding Program'!$S$28=1,'Bonding Program'!$H$28&gt;'Bonding Program'!$C$8,AR$3='Bonding Program'!$H$28),'Bonding Program'!$T$28-'Bonding Program'!$U$28-'Bonding Program'!$Z$28,0)-IF(AND('Bonding Program'!$S$28=1,'Bonding Program'!$H$28&lt;='Bonding Program'!$C$8,AR$3=IF('Bonding Program'!$P$28&lt;&gt;"",'Bonding Program'!$P$28,'Bonding Program'!$C$8)),'Bonding Program'!$Z$28,0)+IF(AND('Bonding Program'!$P$28&lt;&gt;"",AR$3='Bonding Program'!$P$28,AR$3&lt;='Bonding Program'!$C$8),N('Bonding Program'!$O$28),0)</f>
        <v>0</v>
      </c>
      <c r="AS169" s="19" t="n">
        <f aca="false">IF(AND('Bonding Program'!$S$28=1,'Bonding Program'!$H$28&gt;'Bonding Program'!$C$8,AS$3='Bonding Program'!$H$28),'Bonding Program'!$T$28-'Bonding Program'!$U$28-'Bonding Program'!$Z$28,0)-IF(AND('Bonding Program'!$S$28=1,'Bonding Program'!$H$28&lt;='Bonding Program'!$C$8,AS$3=IF('Bonding Program'!$P$28&lt;&gt;"",'Bonding Program'!$P$28,'Bonding Program'!$C$8)),'Bonding Program'!$Z$28,0)+IF(AND('Bonding Program'!$P$28&lt;&gt;"",AS$3='Bonding Program'!$P$28,AS$3&lt;='Bonding Program'!$C$8),N('Bonding Program'!$O$28),0)</f>
        <v>0</v>
      </c>
      <c r="AT169" s="19" t="n">
        <f aca="false">IF(AND('Bonding Program'!$S$28=1,'Bonding Program'!$H$28&gt;'Bonding Program'!$C$8,AT$3='Bonding Program'!$H$28),'Bonding Program'!$T$28-'Bonding Program'!$U$28-'Bonding Program'!$Z$28,0)-IF(AND('Bonding Program'!$S$28=1,'Bonding Program'!$H$28&lt;='Bonding Program'!$C$8,AT$3=IF('Bonding Program'!$P$28&lt;&gt;"",'Bonding Program'!$P$28,'Bonding Program'!$C$8)),'Bonding Program'!$Z$28,0)+IF(AND('Bonding Program'!$P$28&lt;&gt;"",AT$3='Bonding Program'!$P$28,AT$3&lt;='Bonding Program'!$C$8),N('Bonding Program'!$O$28),0)</f>
        <v>0</v>
      </c>
      <c r="AU169" s="19" t="n">
        <f aca="false">IF(AND('Bonding Program'!$S$28=1,'Bonding Program'!$H$28&gt;'Bonding Program'!$C$8,AU$3='Bonding Program'!$H$28),'Bonding Program'!$T$28-'Bonding Program'!$U$28-'Bonding Program'!$Z$28,0)-IF(AND('Bonding Program'!$S$28=1,'Bonding Program'!$H$28&lt;='Bonding Program'!$C$8,AU$3=IF('Bonding Program'!$P$28&lt;&gt;"",'Bonding Program'!$P$28,'Bonding Program'!$C$8)),'Bonding Program'!$Z$28,0)+IF(AND('Bonding Program'!$P$28&lt;&gt;"",AU$3='Bonding Program'!$P$28,AU$3&lt;='Bonding Program'!$C$8),N('Bonding Program'!$O$28),0)</f>
        <v>0</v>
      </c>
      <c r="AV169" s="19" t="n">
        <f aca="false">IF(AND('Bonding Program'!$S$28=1,'Bonding Program'!$H$28&gt;'Bonding Program'!$C$8,AV$3='Bonding Program'!$H$28),'Bonding Program'!$T$28-'Bonding Program'!$U$28-'Bonding Program'!$Z$28,0)-IF(AND('Bonding Program'!$S$28=1,'Bonding Program'!$H$28&lt;='Bonding Program'!$C$8,AV$3=IF('Bonding Program'!$P$28&lt;&gt;"",'Bonding Program'!$P$28,'Bonding Program'!$C$8)),'Bonding Program'!$Z$28,0)+IF(AND('Bonding Program'!$P$28&lt;&gt;"",AV$3='Bonding Program'!$P$28,AV$3&lt;='Bonding Program'!$C$8),N('Bonding Program'!$O$28),0)</f>
        <v>0</v>
      </c>
      <c r="AW169" s="19" t="n">
        <f aca="false">IF(AND('Bonding Program'!$S$28=1,'Bonding Program'!$H$28&gt;'Bonding Program'!$C$8,AW$3='Bonding Program'!$H$28),'Bonding Program'!$T$28-'Bonding Program'!$U$28-'Bonding Program'!$Z$28,0)-IF(AND('Bonding Program'!$S$28=1,'Bonding Program'!$H$28&lt;='Bonding Program'!$C$8,AW$3=IF('Bonding Program'!$P$28&lt;&gt;"",'Bonding Program'!$P$28,'Bonding Program'!$C$8)),'Bonding Program'!$Z$28,0)+IF(AND('Bonding Program'!$P$28&lt;&gt;"",AW$3='Bonding Program'!$P$28,AW$3&lt;='Bonding Program'!$C$8),N('Bonding Program'!$O$28),0)</f>
        <v>0</v>
      </c>
      <c r="AX169" s="19" t="n">
        <f aca="false">IF(AND('Bonding Program'!$S$28=1,'Bonding Program'!$H$28&gt;'Bonding Program'!$C$8,AX$3='Bonding Program'!$H$28),'Bonding Program'!$T$28-'Bonding Program'!$U$28-'Bonding Program'!$Z$28,0)-IF(AND('Bonding Program'!$S$28=1,'Bonding Program'!$H$28&lt;='Bonding Program'!$C$8,AX$3=IF('Bonding Program'!$P$28&lt;&gt;"",'Bonding Program'!$P$28,'Bonding Program'!$C$8)),'Bonding Program'!$Z$28,0)+IF(AND('Bonding Program'!$P$28&lt;&gt;"",AX$3='Bonding Program'!$P$28,AX$3&lt;='Bonding Program'!$C$8),N('Bonding Program'!$O$28),0)</f>
        <v>0</v>
      </c>
      <c r="AY169" s="19" t="n">
        <f aca="false">IF(AND('Bonding Program'!$S$28=1,'Bonding Program'!$H$28&gt;'Bonding Program'!$C$8,AY$3='Bonding Program'!$H$28),'Bonding Program'!$T$28-'Bonding Program'!$U$28-'Bonding Program'!$Z$28,0)-IF(AND('Bonding Program'!$S$28=1,'Bonding Program'!$H$28&lt;='Bonding Program'!$C$8,AY$3=IF('Bonding Program'!$P$28&lt;&gt;"",'Bonding Program'!$P$28,'Bonding Program'!$C$8)),'Bonding Program'!$Z$28,0)+IF(AND('Bonding Program'!$P$28&lt;&gt;"",AY$3='Bonding Program'!$P$28,AY$3&lt;='Bonding Program'!$C$8),N('Bonding Program'!$O$28),0)</f>
        <v>0</v>
      </c>
      <c r="AZ169" s="19" t="n">
        <f aca="false">IF(AND('Bonding Program'!$S$28=1,'Bonding Program'!$H$28&gt;'Bonding Program'!$C$8,AZ$3='Bonding Program'!$H$28),'Bonding Program'!$T$28-'Bonding Program'!$U$28-'Bonding Program'!$Z$28,0)-IF(AND('Bonding Program'!$S$28=1,'Bonding Program'!$H$28&lt;='Bonding Program'!$C$8,AZ$3=IF('Bonding Program'!$P$28&lt;&gt;"",'Bonding Program'!$P$28,'Bonding Program'!$C$8)),'Bonding Program'!$Z$28,0)+IF(AND('Bonding Program'!$P$28&lt;&gt;"",AZ$3='Bonding Program'!$P$28,AZ$3&lt;='Bonding Program'!$C$8),N('Bonding Program'!$O$28),0)</f>
        <v>0</v>
      </c>
      <c r="BA169" s="19" t="n">
        <f aca="false">IF(AND('Bonding Program'!$S$28=1,'Bonding Program'!$H$28&gt;'Bonding Program'!$C$8,BA$3='Bonding Program'!$H$28),'Bonding Program'!$T$28-'Bonding Program'!$U$28-'Bonding Program'!$Z$28,0)-IF(AND('Bonding Program'!$S$28=1,'Bonding Program'!$H$28&lt;='Bonding Program'!$C$8,BA$3=IF('Bonding Program'!$P$28&lt;&gt;"",'Bonding Program'!$P$28,'Bonding Program'!$C$8)),'Bonding Program'!$Z$28,0)+IF(AND('Bonding Program'!$P$28&lt;&gt;"",BA$3='Bonding Program'!$P$28,BA$3&lt;='Bonding Program'!$C$8),N('Bonding Program'!$O$28),0)</f>
        <v>0</v>
      </c>
      <c r="BB169" s="19" t="n">
        <f aca="false">IF(AND('Bonding Program'!$S$28=1,'Bonding Program'!$H$28&gt;'Bonding Program'!$C$8,BB$3='Bonding Program'!$H$28),'Bonding Program'!$T$28-'Bonding Program'!$U$28-'Bonding Program'!$Z$28,0)-IF(AND('Bonding Program'!$S$28=1,'Bonding Program'!$H$28&lt;='Bonding Program'!$C$8,BB$3=IF('Bonding Program'!$P$28&lt;&gt;"",'Bonding Program'!$P$28,'Bonding Program'!$C$8)),'Bonding Program'!$Z$28,0)+IF(AND('Bonding Program'!$P$28&lt;&gt;"",BB$3='Bonding Program'!$P$28,BB$3&lt;='Bonding Program'!$C$8),N('Bonding Program'!$O$28),0)</f>
        <v>0</v>
      </c>
      <c r="BC169" s="19" t="n">
        <f aca="false">IF(AND('Bonding Program'!$S$28=1,'Bonding Program'!$H$28&gt;'Bonding Program'!$C$8,BC$3='Bonding Program'!$H$28),'Bonding Program'!$T$28-'Bonding Program'!$U$28-'Bonding Program'!$Z$28,0)-IF(AND('Bonding Program'!$S$28=1,'Bonding Program'!$H$28&lt;='Bonding Program'!$C$8,BC$3=IF('Bonding Program'!$P$28&lt;&gt;"",'Bonding Program'!$P$28,'Bonding Program'!$C$8)),'Bonding Program'!$Z$28,0)+IF(AND('Bonding Program'!$P$28&lt;&gt;"",BC$3='Bonding Program'!$P$28,BC$3&lt;='Bonding Program'!$C$8),N('Bonding Program'!$O$28),0)</f>
        <v>0</v>
      </c>
      <c r="BD169" s="19" t="n">
        <f aca="false">IF(AND('Bonding Program'!$S$28=1,'Bonding Program'!$H$28&gt;'Bonding Program'!$C$8,BD$3='Bonding Program'!$H$28),'Bonding Program'!$T$28-'Bonding Program'!$U$28-'Bonding Program'!$Z$28,0)-IF(AND('Bonding Program'!$S$28=1,'Bonding Program'!$H$28&lt;='Bonding Program'!$C$8,BD$3=IF('Bonding Program'!$P$28&lt;&gt;"",'Bonding Program'!$P$28,'Bonding Program'!$C$8)),'Bonding Program'!$Z$28,0)+IF(AND('Bonding Program'!$P$28&lt;&gt;"",BD$3='Bonding Program'!$P$28,BD$3&lt;='Bonding Program'!$C$8),N('Bonding Program'!$O$28),0)</f>
        <v>0</v>
      </c>
      <c r="BE169" s="19" t="n">
        <f aca="false">IF(AND('Bonding Program'!$S$28=1,'Bonding Program'!$H$28&gt;'Bonding Program'!$C$8,BE$3='Bonding Program'!$H$28),'Bonding Program'!$T$28-'Bonding Program'!$U$28-'Bonding Program'!$Z$28,0)-IF(AND('Bonding Program'!$S$28=1,'Bonding Program'!$H$28&lt;='Bonding Program'!$C$8,BE$3=IF('Bonding Program'!$P$28&lt;&gt;"",'Bonding Program'!$P$28,'Bonding Program'!$C$8)),'Bonding Program'!$Z$28,0)+IF(AND('Bonding Program'!$P$28&lt;&gt;"",BE$3='Bonding Program'!$P$28,BE$3&lt;='Bonding Program'!$C$8),N('Bonding Program'!$O$28),0)</f>
        <v>0</v>
      </c>
      <c r="BF169" s="19" t="n">
        <f aca="false">IF(AND('Bonding Program'!$S$28=1,'Bonding Program'!$H$28&gt;'Bonding Program'!$C$8,BF$3='Bonding Program'!$H$28),'Bonding Program'!$T$28-'Bonding Program'!$U$28-'Bonding Program'!$Z$28,0)-IF(AND('Bonding Program'!$S$28=1,'Bonding Program'!$H$28&lt;='Bonding Program'!$C$8,BF$3=IF('Bonding Program'!$P$28&lt;&gt;"",'Bonding Program'!$P$28,'Bonding Program'!$C$8)),'Bonding Program'!$Z$28,0)+IF(AND('Bonding Program'!$P$28&lt;&gt;"",BF$3='Bonding Program'!$P$28,BF$3&lt;='Bonding Program'!$C$8),N('Bonding Program'!$O$28),0)</f>
        <v>0</v>
      </c>
      <c r="BG169" s="19" t="n">
        <f aca="false">IF(AND('Bonding Program'!$S$28=1,'Bonding Program'!$H$28&gt;'Bonding Program'!$C$8,BG$3='Bonding Program'!$H$28),'Bonding Program'!$T$28-'Bonding Program'!$U$28-'Bonding Program'!$Z$28,0)-IF(AND('Bonding Program'!$S$28=1,'Bonding Program'!$H$28&lt;='Bonding Program'!$C$8,BG$3=IF('Bonding Program'!$P$28&lt;&gt;"",'Bonding Program'!$P$28,'Bonding Program'!$C$8)),'Bonding Program'!$Z$28,0)+IF(AND('Bonding Program'!$P$28&lt;&gt;"",BG$3='Bonding Program'!$P$28,BG$3&lt;='Bonding Program'!$C$8),N('Bonding Program'!$O$28),0)</f>
        <v>0</v>
      </c>
      <c r="BH169" s="19" t="n">
        <f aca="false">IF(AND('Bonding Program'!$S$28=1,'Bonding Program'!$H$28&gt;'Bonding Program'!$C$8,BH$3='Bonding Program'!$H$28),'Bonding Program'!$T$28-'Bonding Program'!$U$28-'Bonding Program'!$Z$28,0)-IF(AND('Bonding Program'!$S$28=1,'Bonding Program'!$H$28&lt;='Bonding Program'!$C$8,BH$3=IF('Bonding Program'!$P$28&lt;&gt;"",'Bonding Program'!$P$28,'Bonding Program'!$C$8)),'Bonding Program'!$Z$28,0)+IF(AND('Bonding Program'!$P$28&lt;&gt;"",BH$3='Bonding Program'!$P$28,BH$3&lt;='Bonding Program'!$C$8),N('Bonding Program'!$O$28),0)</f>
        <v>0</v>
      </c>
      <c r="BI169" s="19" t="n">
        <f aca="false">IF(AND('Bonding Program'!$S$28=1,'Bonding Program'!$H$28&gt;'Bonding Program'!$C$8,BI$3='Bonding Program'!$H$28),'Bonding Program'!$T$28-'Bonding Program'!$U$28-'Bonding Program'!$Z$28,0)-IF(AND('Bonding Program'!$S$28=1,'Bonding Program'!$H$28&lt;='Bonding Program'!$C$8,BI$3=IF('Bonding Program'!$P$28&lt;&gt;"",'Bonding Program'!$P$28,'Bonding Program'!$C$8)),'Bonding Program'!$Z$28,0)+IF(AND('Bonding Program'!$P$28&lt;&gt;"",BI$3='Bonding Program'!$P$28,BI$3&lt;='Bonding Program'!$C$8),N('Bonding Program'!$O$28),0)</f>
        <v>0</v>
      </c>
      <c r="BJ169" s="19" t="n">
        <f aca="false">IF(AND('Bonding Program'!$S$28=1,'Bonding Program'!$H$28&gt;'Bonding Program'!$C$8,BJ$3='Bonding Program'!$H$28),'Bonding Program'!$T$28-'Bonding Program'!$U$28-'Bonding Program'!$Z$28,0)-IF(AND('Bonding Program'!$S$28=1,'Bonding Program'!$H$28&lt;='Bonding Program'!$C$8,BJ$3=IF('Bonding Program'!$P$28&lt;&gt;"",'Bonding Program'!$P$28,'Bonding Program'!$C$8)),'Bonding Program'!$Z$28,0)+IF(AND('Bonding Program'!$P$28&lt;&gt;"",BJ$3='Bonding Program'!$P$28,BJ$3&lt;='Bonding Program'!$C$8),N('Bonding Program'!$O$28),0)</f>
        <v>0</v>
      </c>
      <c r="BK169" s="19" t="n">
        <f aca="false">IF(AND('Bonding Program'!$S$28=1,'Bonding Program'!$H$28&gt;'Bonding Program'!$C$8,BK$3='Bonding Program'!$H$28),'Bonding Program'!$T$28-'Bonding Program'!$U$28-'Bonding Program'!$Z$28,0)-IF(AND('Bonding Program'!$S$28=1,'Bonding Program'!$H$28&lt;='Bonding Program'!$C$8,BK$3=IF('Bonding Program'!$P$28&lt;&gt;"",'Bonding Program'!$P$28,'Bonding Program'!$C$8)),'Bonding Program'!$Z$28,0)+IF(AND('Bonding Program'!$P$28&lt;&gt;"",BK$3='Bonding Program'!$P$28,BK$3&lt;='Bonding Program'!$C$8),N('Bonding Program'!$O$28),0)</f>
        <v>0</v>
      </c>
      <c r="BL169" s="19" t="n">
        <f aca="false">IF(AND('Bonding Program'!$S$28=1,'Bonding Program'!$H$28&gt;'Bonding Program'!$C$8,BL$3='Bonding Program'!$H$28),'Bonding Program'!$T$28-'Bonding Program'!$U$28-'Bonding Program'!$Z$28,0)-IF(AND('Bonding Program'!$S$28=1,'Bonding Program'!$H$28&lt;='Bonding Program'!$C$8,BL$3=IF('Bonding Program'!$P$28&lt;&gt;"",'Bonding Program'!$P$28,'Bonding Program'!$C$8)),'Bonding Program'!$Z$28,0)+IF(AND('Bonding Program'!$P$28&lt;&gt;"",BL$3='Bonding Program'!$P$28,BL$3&lt;='Bonding Program'!$C$8),N('Bonding Program'!$O$28),0)</f>
        <v>0</v>
      </c>
      <c r="BM169" s="19" t="n">
        <f aca="false">IF(AND('Bonding Program'!$S$28=1,'Bonding Program'!$H$28&gt;'Bonding Program'!$C$8,BM$3='Bonding Program'!$H$28),'Bonding Program'!$T$28-'Bonding Program'!$U$28-'Bonding Program'!$Z$28,0)-IF(AND('Bonding Program'!$S$28=1,'Bonding Program'!$H$28&lt;='Bonding Program'!$C$8,BM$3=IF('Bonding Program'!$P$28&lt;&gt;"",'Bonding Program'!$P$28,'Bonding Program'!$C$8)),'Bonding Program'!$Z$28,0)+IF(AND('Bonding Program'!$P$28&lt;&gt;"",BM$3='Bonding Program'!$P$28,BM$3&lt;='Bonding Program'!$C$8),N('Bonding Program'!$O$28),0)</f>
        <v>0</v>
      </c>
      <c r="BN169" s="19" t="n">
        <f aca="false">IF(AND('Bonding Program'!$S$28=1,'Bonding Program'!$H$28&gt;'Bonding Program'!$C$8,BN$3='Bonding Program'!$H$28),'Bonding Program'!$T$28-'Bonding Program'!$U$28-'Bonding Program'!$Z$28,0)-IF(AND('Bonding Program'!$S$28=1,'Bonding Program'!$H$28&lt;='Bonding Program'!$C$8,BN$3=IF('Bonding Program'!$P$28&lt;&gt;"",'Bonding Program'!$P$28,'Bonding Program'!$C$8)),'Bonding Program'!$Z$28,0)+IF(AND('Bonding Program'!$P$28&lt;&gt;"",BN$3='Bonding Program'!$P$28,BN$3&lt;='Bonding Program'!$C$8),N('Bonding Program'!$O$28),0)</f>
        <v>0</v>
      </c>
      <c r="BO169" s="19" t="n">
        <f aca="false">IF(AND('Bonding Program'!$S$28=1,'Bonding Program'!$H$28&gt;'Bonding Program'!$C$8,BO$3='Bonding Program'!$H$28),'Bonding Program'!$T$28-'Bonding Program'!$U$28-'Bonding Program'!$Z$28,0)-IF(AND('Bonding Program'!$S$28=1,'Bonding Program'!$H$28&lt;='Bonding Program'!$C$8,BO$3=IF('Bonding Program'!$P$28&lt;&gt;"",'Bonding Program'!$P$28,'Bonding Program'!$C$8)),'Bonding Program'!$Z$28,0)+IF(AND('Bonding Program'!$P$28&lt;&gt;"",BO$3='Bonding Program'!$P$28,BO$3&lt;='Bonding Program'!$C$8),N('Bonding Program'!$O$28),0)</f>
        <v>0</v>
      </c>
      <c r="BP169" s="19" t="n">
        <f aca="false">IF(AND('Bonding Program'!$S$28=1,'Bonding Program'!$H$28&gt;'Bonding Program'!$C$8,BP$3='Bonding Program'!$H$28),'Bonding Program'!$T$28-'Bonding Program'!$U$28-'Bonding Program'!$Z$28,0)-IF(AND('Bonding Program'!$S$28=1,'Bonding Program'!$H$28&lt;='Bonding Program'!$C$8,BP$3=IF('Bonding Program'!$P$28&lt;&gt;"",'Bonding Program'!$P$28,'Bonding Program'!$C$8)),'Bonding Program'!$Z$28,0)+IF(AND('Bonding Program'!$P$28&lt;&gt;"",BP$3='Bonding Program'!$P$28,BP$3&lt;='Bonding Program'!$C$8),N('Bonding Program'!$O$28),0)</f>
        <v>0</v>
      </c>
      <c r="BQ169" s="19" t="n">
        <f aca="false">IF(AND('Bonding Program'!$S$28=1,'Bonding Program'!$H$28&gt;'Bonding Program'!$C$8,BQ$3='Bonding Program'!$H$28),'Bonding Program'!$T$28-'Bonding Program'!$U$28-'Bonding Program'!$Z$28,0)-IF(AND('Bonding Program'!$S$28=1,'Bonding Program'!$H$28&lt;='Bonding Program'!$C$8,BQ$3=IF('Bonding Program'!$P$28&lt;&gt;"",'Bonding Program'!$P$28,'Bonding Program'!$C$8)),'Bonding Program'!$Z$28,0)+IF(AND('Bonding Program'!$P$28&lt;&gt;"",BQ$3='Bonding Program'!$P$28,BQ$3&lt;='Bonding Program'!$C$8),N('Bonding Program'!$O$28),0)</f>
        <v>0</v>
      </c>
      <c r="BR169" s="19" t="n">
        <f aca="false">IF(AND('Bonding Program'!$S$28=1,'Bonding Program'!$H$28&gt;'Bonding Program'!$C$8,BR$3='Bonding Program'!$H$28),'Bonding Program'!$T$28-'Bonding Program'!$U$28-'Bonding Program'!$Z$28,0)-IF(AND('Bonding Program'!$S$28=1,'Bonding Program'!$H$28&lt;='Bonding Program'!$C$8,BR$3=IF('Bonding Program'!$P$28&lt;&gt;"",'Bonding Program'!$P$28,'Bonding Program'!$C$8)),'Bonding Program'!$Z$28,0)+IF(AND('Bonding Program'!$P$28&lt;&gt;"",BR$3='Bonding Program'!$P$28,BR$3&lt;='Bonding Program'!$C$8),N('Bonding Program'!$O$28),0)</f>
        <v>0</v>
      </c>
      <c r="BS169" s="19" t="n">
        <f aca="false">IF(AND('Bonding Program'!$S$28=1,'Bonding Program'!$H$28&gt;'Bonding Program'!$C$8,BS$3='Bonding Program'!$H$28),'Bonding Program'!$T$28-'Bonding Program'!$U$28-'Bonding Program'!$Z$28,0)-IF(AND('Bonding Program'!$S$28=1,'Bonding Program'!$H$28&lt;='Bonding Program'!$C$8,BS$3=IF('Bonding Program'!$P$28&lt;&gt;"",'Bonding Program'!$P$28,'Bonding Program'!$C$8)),'Bonding Program'!$Z$28,0)+IF(AND('Bonding Program'!$P$28&lt;&gt;"",BS$3='Bonding Program'!$P$28,BS$3&lt;='Bonding Program'!$C$8),N('Bonding Program'!$O$28),0)</f>
        <v>0</v>
      </c>
      <c r="BT169" s="19" t="n">
        <f aca="false">IF(AND('Bonding Program'!$S$28=1,'Bonding Program'!$H$28&gt;'Bonding Program'!$C$8,BT$3='Bonding Program'!$H$28),'Bonding Program'!$T$28-'Bonding Program'!$U$28-'Bonding Program'!$Z$28,0)-IF(AND('Bonding Program'!$S$28=1,'Bonding Program'!$H$28&lt;='Bonding Program'!$C$8,BT$3=IF('Bonding Program'!$P$28&lt;&gt;"",'Bonding Program'!$P$28,'Bonding Program'!$C$8)),'Bonding Program'!$Z$28,0)+IF(AND('Bonding Program'!$P$28&lt;&gt;"",BT$3='Bonding Program'!$P$28,BT$3&lt;='Bonding Program'!$C$8),N('Bonding Program'!$O$28),0)</f>
        <v>0</v>
      </c>
      <c r="BU169" s="19" t="n">
        <f aca="false">IF(AND('Bonding Program'!$S$28=1,'Bonding Program'!$H$28&gt;'Bonding Program'!$C$8,BU$3='Bonding Program'!$H$28),'Bonding Program'!$T$28-'Bonding Program'!$U$28-'Bonding Program'!$Z$28,0)-IF(AND('Bonding Program'!$S$28=1,'Bonding Program'!$H$28&lt;='Bonding Program'!$C$8,BU$3=IF('Bonding Program'!$P$28&lt;&gt;"",'Bonding Program'!$P$28,'Bonding Program'!$C$8)),'Bonding Program'!$Z$28,0)+IF(AND('Bonding Program'!$P$28&lt;&gt;"",BU$3='Bonding Program'!$P$28,BU$3&lt;='Bonding Program'!$C$8),N('Bonding Program'!$O$28),0)</f>
        <v>0</v>
      </c>
      <c r="BV169" s="19" t="n">
        <f aca="false">IF(AND('Bonding Program'!$S$28=1,'Bonding Program'!$H$28&gt;'Bonding Program'!$C$8,BV$3='Bonding Program'!$H$28),'Bonding Program'!$T$28-'Bonding Program'!$U$28-'Bonding Program'!$Z$28,0)-IF(AND('Bonding Program'!$S$28=1,'Bonding Program'!$H$28&lt;='Bonding Program'!$C$8,BV$3=IF('Bonding Program'!$P$28&lt;&gt;"",'Bonding Program'!$P$28,'Bonding Program'!$C$8)),'Bonding Program'!$Z$28,0)+IF(AND('Bonding Program'!$P$28&lt;&gt;"",BV$3='Bonding Program'!$P$28,BV$3&lt;='Bonding Program'!$C$8),N('Bonding Program'!$O$28),0)</f>
        <v>0</v>
      </c>
      <c r="BW169" s="19" t="n">
        <f aca="false">IF(AND('Bonding Program'!$S$28=1,'Bonding Program'!$H$28&gt;'Bonding Program'!$C$8,BW$3='Bonding Program'!$H$28),'Bonding Program'!$T$28-'Bonding Program'!$U$28-'Bonding Program'!$Z$28,0)-IF(AND('Bonding Program'!$S$28=1,'Bonding Program'!$H$28&lt;='Bonding Program'!$C$8,BW$3=IF('Bonding Program'!$P$28&lt;&gt;"",'Bonding Program'!$P$28,'Bonding Program'!$C$8)),'Bonding Program'!$Z$28,0)+IF(AND('Bonding Program'!$P$28&lt;&gt;"",BW$3='Bonding Program'!$P$28,BW$3&lt;='Bonding Program'!$C$8),N('Bonding Program'!$O$28),0)</f>
        <v>0</v>
      </c>
      <c r="BX169" s="19" t="n">
        <f aca="false">IF(AND('Bonding Program'!$S$28=1,'Bonding Program'!$H$28&gt;'Bonding Program'!$C$8,BX$3='Bonding Program'!$H$28),'Bonding Program'!$T$28-'Bonding Program'!$U$28-'Bonding Program'!$Z$28,0)-IF(AND('Bonding Program'!$S$28=1,'Bonding Program'!$H$28&lt;='Bonding Program'!$C$8,BX$3=IF('Bonding Program'!$P$28&lt;&gt;"",'Bonding Program'!$P$28,'Bonding Program'!$C$8)),'Bonding Program'!$Z$28,0)+IF(AND('Bonding Program'!$P$28&lt;&gt;"",BX$3='Bonding Program'!$P$28,BX$3&lt;='Bonding Program'!$C$8),N('Bonding Program'!$O$28),0)</f>
        <v>0</v>
      </c>
      <c r="BY169" s="19" t="n">
        <f aca="false">IF(AND('Bonding Program'!$S$28=1,'Bonding Program'!$H$28&gt;'Bonding Program'!$C$8,BY$3='Bonding Program'!$H$28),'Bonding Program'!$T$28-'Bonding Program'!$U$28-'Bonding Program'!$Z$28,0)-IF(AND('Bonding Program'!$S$28=1,'Bonding Program'!$H$28&lt;='Bonding Program'!$C$8,BY$3=IF('Bonding Program'!$P$28&lt;&gt;"",'Bonding Program'!$P$28,'Bonding Program'!$C$8)),'Bonding Program'!$Z$28,0)+IF(AND('Bonding Program'!$P$28&lt;&gt;"",BY$3='Bonding Program'!$P$28,BY$3&lt;='Bonding Program'!$C$8),N('Bonding Program'!$O$28),0)</f>
        <v>0</v>
      </c>
      <c r="BZ169" s="19" t="n">
        <f aca="false">IF(AND('Bonding Program'!$S$28=1,'Bonding Program'!$H$28&gt;'Bonding Program'!$C$8,BZ$3='Bonding Program'!$H$28),'Bonding Program'!$T$28-'Bonding Program'!$U$28-'Bonding Program'!$Z$28,0)-IF(AND('Bonding Program'!$S$28=1,'Bonding Program'!$H$28&lt;='Bonding Program'!$C$8,BZ$3=IF('Bonding Program'!$P$28&lt;&gt;"",'Bonding Program'!$P$28,'Bonding Program'!$C$8)),'Bonding Program'!$Z$28,0)+IF(AND('Bonding Program'!$P$28&lt;&gt;"",BZ$3='Bonding Program'!$P$28,BZ$3&lt;='Bonding Program'!$C$8),N('Bonding Program'!$O$28),0)</f>
        <v>0</v>
      </c>
      <c r="CA169" s="19" t="n">
        <f aca="false">IF(AND('Bonding Program'!$S$28=1,'Bonding Program'!$H$28&gt;'Bonding Program'!$C$8,CA$3='Bonding Program'!$H$28),'Bonding Program'!$T$28-'Bonding Program'!$U$28-'Bonding Program'!$Z$28,0)-IF(AND('Bonding Program'!$S$28=1,'Bonding Program'!$H$28&lt;='Bonding Program'!$C$8,CA$3=IF('Bonding Program'!$P$28&lt;&gt;"",'Bonding Program'!$P$28,'Bonding Program'!$C$8)),'Bonding Program'!$Z$28,0)+IF(AND('Bonding Program'!$P$28&lt;&gt;"",CA$3='Bonding Program'!$P$28,CA$3&lt;='Bonding Program'!$C$8),N('Bonding Program'!$O$28),0)</f>
        <v>0</v>
      </c>
      <c r="CB169" s="19" t="n">
        <f aca="false">IF(AND('Bonding Program'!$S$28=1,'Bonding Program'!$H$28&gt;'Bonding Program'!$C$8,CB$3='Bonding Program'!$H$28),'Bonding Program'!$T$28-'Bonding Program'!$U$28-'Bonding Program'!$Z$28,0)-IF(AND('Bonding Program'!$S$28=1,'Bonding Program'!$H$28&lt;='Bonding Program'!$C$8,CB$3=IF('Bonding Program'!$P$28&lt;&gt;"",'Bonding Program'!$P$28,'Bonding Program'!$C$8)),'Bonding Program'!$Z$28,0)+IF(AND('Bonding Program'!$P$28&lt;&gt;"",CB$3='Bonding Program'!$P$28,CB$3&lt;='Bonding Program'!$C$8),N('Bonding Program'!$O$28),0)</f>
        <v>0</v>
      </c>
      <c r="CC169" s="19" t="n">
        <f aca="false">IF(AND('Bonding Program'!$S$28=1,'Bonding Program'!$H$28&gt;'Bonding Program'!$C$8,CC$3='Bonding Program'!$H$28),'Bonding Program'!$T$28-'Bonding Program'!$U$28-'Bonding Program'!$Z$28,0)-IF(AND('Bonding Program'!$S$28=1,'Bonding Program'!$H$28&lt;='Bonding Program'!$C$8,CC$3=IF('Bonding Program'!$P$28&lt;&gt;"",'Bonding Program'!$P$28,'Bonding Program'!$C$8)),'Bonding Program'!$Z$28,0)+IF(AND('Bonding Program'!$P$28&lt;&gt;"",CC$3='Bonding Program'!$P$28,CC$3&lt;='Bonding Program'!$C$8),N('Bonding Program'!$O$28),0)</f>
        <v>0</v>
      </c>
      <c r="CD169" s="19" t="n">
        <f aca="false">IF(AND('Bonding Program'!$S$28=1,'Bonding Program'!$H$28&gt;'Bonding Program'!$C$8,CD$3='Bonding Program'!$H$28),'Bonding Program'!$T$28-'Bonding Program'!$U$28-'Bonding Program'!$Z$28,0)-IF(AND('Bonding Program'!$S$28=1,'Bonding Program'!$H$28&lt;='Bonding Program'!$C$8,CD$3=IF('Bonding Program'!$P$28&lt;&gt;"",'Bonding Program'!$P$28,'Bonding Program'!$C$8)),'Bonding Program'!$Z$28,0)+IF(AND('Bonding Program'!$P$28&lt;&gt;"",CD$3='Bonding Program'!$P$28,CD$3&lt;='Bonding Program'!$C$8),N('Bonding Program'!$O$28),0)</f>
        <v>0</v>
      </c>
      <c r="CE169" s="19" t="n">
        <f aca="false">IF(AND('Bonding Program'!$S$28=1,'Bonding Program'!$H$28&gt;'Bonding Program'!$C$8,CE$3='Bonding Program'!$H$28),'Bonding Program'!$T$28-'Bonding Program'!$U$28-'Bonding Program'!$Z$28,0)-IF(AND('Bonding Program'!$S$28=1,'Bonding Program'!$H$28&lt;='Bonding Program'!$C$8,CE$3=IF('Bonding Program'!$P$28&lt;&gt;"",'Bonding Program'!$P$28,'Bonding Program'!$C$8)),'Bonding Program'!$Z$28,0)+IF(AND('Bonding Program'!$P$28&lt;&gt;"",CE$3='Bonding Program'!$P$28,CE$3&lt;='Bonding Program'!$C$8),N('Bonding Program'!$O$28),0)</f>
        <v>0</v>
      </c>
      <c r="CF169" s="19" t="n">
        <f aca="false">IF(AND('Bonding Program'!$S$28=1,'Bonding Program'!$H$28&gt;'Bonding Program'!$C$8,CF$3='Bonding Program'!$H$28),'Bonding Program'!$T$28-'Bonding Program'!$U$28-'Bonding Program'!$Z$28,0)-IF(AND('Bonding Program'!$S$28=1,'Bonding Program'!$H$28&lt;='Bonding Program'!$C$8,CF$3=IF('Bonding Program'!$P$28&lt;&gt;"",'Bonding Program'!$P$28,'Bonding Program'!$C$8)),'Bonding Program'!$Z$28,0)+IF(AND('Bonding Program'!$P$28&lt;&gt;"",CF$3='Bonding Program'!$P$28,CF$3&lt;='Bonding Program'!$C$8),N('Bonding Program'!$O$28),0)</f>
        <v>0</v>
      </c>
      <c r="CG169" s="19" t="n">
        <f aca="false">IF(AND('Bonding Program'!$S$28=1,'Bonding Program'!$H$28&gt;'Bonding Program'!$C$8,CG$3='Bonding Program'!$H$28),'Bonding Program'!$T$28-'Bonding Program'!$U$28-'Bonding Program'!$Z$28,0)-IF(AND('Bonding Program'!$S$28=1,'Bonding Program'!$H$28&lt;='Bonding Program'!$C$8,CG$3=IF('Bonding Program'!$P$28&lt;&gt;"",'Bonding Program'!$P$28,'Bonding Program'!$C$8)),'Bonding Program'!$Z$28,0)+IF(AND('Bonding Program'!$P$28&lt;&gt;"",CG$3='Bonding Program'!$P$28,CG$3&lt;='Bonding Program'!$C$8),N('Bonding Program'!$O$28),0)</f>
        <v>0</v>
      </c>
      <c r="CH169" s="19" t="n">
        <f aca="false">IF(AND('Bonding Program'!$S$28=1,'Bonding Program'!$H$28&gt;'Bonding Program'!$C$8,CH$3='Bonding Program'!$H$28),'Bonding Program'!$T$28-'Bonding Program'!$U$28-'Bonding Program'!$Z$28,0)-IF(AND('Bonding Program'!$S$28=1,'Bonding Program'!$H$28&lt;='Bonding Program'!$C$8,CH$3=IF('Bonding Program'!$P$28&lt;&gt;"",'Bonding Program'!$P$28,'Bonding Program'!$C$8)),'Bonding Program'!$Z$28,0)+IF(AND('Bonding Program'!$P$28&lt;&gt;"",CH$3='Bonding Program'!$P$28,CH$3&lt;='Bonding Program'!$C$8),N('Bonding Program'!$O$28),0)</f>
        <v>0</v>
      </c>
      <c r="CI169" s="19" t="n">
        <f aca="false">IF(AND('Bonding Program'!$S$28=1,'Bonding Program'!$H$28&gt;'Bonding Program'!$C$8,CI$3='Bonding Program'!$H$28),'Bonding Program'!$T$28-'Bonding Program'!$U$28-'Bonding Program'!$Z$28,0)-IF(AND('Bonding Program'!$S$28=1,'Bonding Program'!$H$28&lt;='Bonding Program'!$C$8,CI$3=IF('Bonding Program'!$P$28&lt;&gt;"",'Bonding Program'!$P$28,'Bonding Program'!$C$8)),'Bonding Program'!$Z$28,0)+IF(AND('Bonding Program'!$P$28&lt;&gt;"",CI$3='Bonding Program'!$P$28,CI$3&lt;='Bonding Program'!$C$8),N('Bonding Program'!$O$28),0)</f>
        <v>0</v>
      </c>
      <c r="CJ169" s="19" t="n">
        <f aca="false">IF(AND('Bonding Program'!$S$28=1,'Bonding Program'!$H$28&gt;'Bonding Program'!$C$8,CJ$3='Bonding Program'!$H$28),'Bonding Program'!$T$28-'Bonding Program'!$U$28-'Bonding Program'!$Z$28,0)-IF(AND('Bonding Program'!$S$28=1,'Bonding Program'!$H$28&lt;='Bonding Program'!$C$8,CJ$3=IF('Bonding Program'!$P$28&lt;&gt;"",'Bonding Program'!$P$28,'Bonding Program'!$C$8)),'Bonding Program'!$Z$28,0)+IF(AND('Bonding Program'!$P$28&lt;&gt;"",CJ$3='Bonding Program'!$P$28,CJ$3&lt;='Bonding Program'!$C$8),N('Bonding Program'!$O$28),0)</f>
        <v>0</v>
      </c>
      <c r="CK169" s="19" t="n">
        <f aca="false">IF(AND('Bonding Program'!$S$28=1,'Bonding Program'!$H$28&gt;'Bonding Program'!$C$8,CK$3='Bonding Program'!$H$28),'Bonding Program'!$T$28-'Bonding Program'!$U$28-'Bonding Program'!$Z$28,0)-IF(AND('Bonding Program'!$S$28=1,'Bonding Program'!$H$28&lt;='Bonding Program'!$C$8,CK$3=IF('Bonding Program'!$P$28&lt;&gt;"",'Bonding Program'!$P$28,'Bonding Program'!$C$8)),'Bonding Program'!$Z$28,0)+IF(AND('Bonding Program'!$P$28&lt;&gt;"",CK$3='Bonding Program'!$P$28,CK$3&lt;='Bonding Program'!$C$8),N('Bonding Program'!$O$28),0)</f>
        <v>0</v>
      </c>
      <c r="CL169" s="19" t="n">
        <f aca="false">IF(AND('Bonding Program'!$S$28=1,'Bonding Program'!$H$28&gt;'Bonding Program'!$C$8,CL$3='Bonding Program'!$H$28),'Bonding Program'!$T$28-'Bonding Program'!$U$28-'Bonding Program'!$Z$28,0)-IF(AND('Bonding Program'!$S$28=1,'Bonding Program'!$H$28&lt;='Bonding Program'!$C$8,CL$3=IF('Bonding Program'!$P$28&lt;&gt;"",'Bonding Program'!$P$28,'Bonding Program'!$C$8)),'Bonding Program'!$Z$28,0)+IF(AND('Bonding Program'!$P$28&lt;&gt;"",CL$3='Bonding Program'!$P$28,CL$3&lt;='Bonding Program'!$C$8),N('Bonding Program'!$O$28),0)</f>
        <v>0</v>
      </c>
      <c r="CM169" s="19" t="n">
        <f aca="false">IF(AND('Bonding Program'!$S$28=1,'Bonding Program'!$H$28&gt;'Bonding Program'!$C$8,CM$3='Bonding Program'!$H$28),'Bonding Program'!$T$28-'Bonding Program'!$U$28-'Bonding Program'!$Z$28,0)-IF(AND('Bonding Program'!$S$28=1,'Bonding Program'!$H$28&lt;='Bonding Program'!$C$8,CM$3=IF('Bonding Program'!$P$28&lt;&gt;"",'Bonding Program'!$P$28,'Bonding Program'!$C$8)),'Bonding Program'!$Z$28,0)+IF(AND('Bonding Program'!$P$28&lt;&gt;"",CM$3='Bonding Program'!$P$28,CM$3&lt;='Bonding Program'!$C$8),N('Bonding Program'!$O$28),0)</f>
        <v>0</v>
      </c>
      <c r="CN169" s="19" t="n">
        <f aca="false">IF(AND('Bonding Program'!$S$28=1,'Bonding Program'!$H$28&gt;'Bonding Program'!$C$8,CN$3='Bonding Program'!$H$28),'Bonding Program'!$T$28-'Bonding Program'!$U$28-'Bonding Program'!$Z$28,0)-IF(AND('Bonding Program'!$S$28=1,'Bonding Program'!$H$28&lt;='Bonding Program'!$C$8,CN$3=IF('Bonding Program'!$P$28&lt;&gt;"",'Bonding Program'!$P$28,'Bonding Program'!$C$8)),'Bonding Program'!$Z$28,0)+IF(AND('Bonding Program'!$P$28&lt;&gt;"",CN$3='Bonding Program'!$P$28,CN$3&lt;='Bonding Program'!$C$8),N('Bonding Program'!$O$28),0)</f>
        <v>0</v>
      </c>
      <c r="CO169" s="19" t="n">
        <f aca="false">IF(AND('Bonding Program'!$S$28=1,'Bonding Program'!$H$28&gt;'Bonding Program'!$C$8,CO$3='Bonding Program'!$H$28),'Bonding Program'!$T$28-'Bonding Program'!$U$28-'Bonding Program'!$Z$28,0)-IF(AND('Bonding Program'!$S$28=1,'Bonding Program'!$H$28&lt;='Bonding Program'!$C$8,CO$3=IF('Bonding Program'!$P$28&lt;&gt;"",'Bonding Program'!$P$28,'Bonding Program'!$C$8)),'Bonding Program'!$Z$28,0)+IF(AND('Bonding Program'!$P$28&lt;&gt;"",CO$3='Bonding Program'!$P$28,CO$3&lt;='Bonding Program'!$C$8),N('Bonding Program'!$O$28),0)</f>
        <v>0</v>
      </c>
      <c r="CP169" s="19" t="n">
        <f aca="false">IF(AND('Bonding Program'!$S$28=1,'Bonding Program'!$H$28&gt;'Bonding Program'!$C$8,CP$3='Bonding Program'!$H$28),'Bonding Program'!$T$28-'Bonding Program'!$U$28-'Bonding Program'!$Z$28,0)-IF(AND('Bonding Program'!$S$28=1,'Bonding Program'!$H$28&lt;='Bonding Program'!$C$8,CP$3=IF('Bonding Program'!$P$28&lt;&gt;"",'Bonding Program'!$P$28,'Bonding Program'!$C$8)),'Bonding Program'!$Z$28,0)+IF(AND('Bonding Program'!$P$28&lt;&gt;"",CP$3='Bonding Program'!$P$28,CP$3&lt;='Bonding Program'!$C$8),N('Bonding Program'!$O$28),0)</f>
        <v>0</v>
      </c>
      <c r="CQ169" s="19" t="n">
        <f aca="false">IF(AND('Bonding Program'!$S$28=1,'Bonding Program'!$H$28&gt;'Bonding Program'!$C$8,CQ$3='Bonding Program'!$H$28),'Bonding Program'!$T$28-'Bonding Program'!$U$28-'Bonding Program'!$Z$28,0)-IF(AND('Bonding Program'!$S$28=1,'Bonding Program'!$H$28&lt;='Bonding Program'!$C$8,CQ$3=IF('Bonding Program'!$P$28&lt;&gt;"",'Bonding Program'!$P$28,'Bonding Program'!$C$8)),'Bonding Program'!$Z$28,0)+IF(AND('Bonding Program'!$P$28&lt;&gt;"",CQ$3='Bonding Program'!$P$28,CQ$3&lt;='Bonding Program'!$C$8),N('Bonding Program'!$O$28),0)</f>
        <v>0</v>
      </c>
      <c r="CR169" s="19" t="n">
        <f aca="false">IF(AND('Bonding Program'!$S$28=1,'Bonding Program'!$H$28&gt;'Bonding Program'!$C$8,CR$3='Bonding Program'!$H$28),'Bonding Program'!$T$28-'Bonding Program'!$U$28-'Bonding Program'!$Z$28,0)-IF(AND('Bonding Program'!$S$28=1,'Bonding Program'!$H$28&lt;='Bonding Program'!$C$8,CR$3=IF('Bonding Program'!$P$28&lt;&gt;"",'Bonding Program'!$P$28,'Bonding Program'!$C$8)),'Bonding Program'!$Z$28,0)+IF(AND('Bonding Program'!$P$28&lt;&gt;"",CR$3='Bonding Program'!$P$28,CR$3&lt;='Bonding Program'!$C$8),N('Bonding Program'!$O$28),0)</f>
        <v>0</v>
      </c>
      <c r="CS169" s="19" t="n">
        <f aca="false">IF(AND('Bonding Program'!$S$28=1,'Bonding Program'!$H$28&gt;'Bonding Program'!$C$8,CS$3='Bonding Program'!$H$28),'Bonding Program'!$T$28-'Bonding Program'!$U$28-'Bonding Program'!$Z$28,0)-IF(AND('Bonding Program'!$S$28=1,'Bonding Program'!$H$28&lt;='Bonding Program'!$C$8,CS$3=IF('Bonding Program'!$P$28&lt;&gt;"",'Bonding Program'!$P$28,'Bonding Program'!$C$8)),'Bonding Program'!$Z$28,0)+IF(AND('Bonding Program'!$P$28&lt;&gt;"",CS$3='Bonding Program'!$P$28,CS$3&lt;='Bonding Program'!$C$8),N('Bonding Program'!$O$28),0)</f>
        <v>0</v>
      </c>
      <c r="CT169" s="19" t="n">
        <f aca="false">IF(AND('Bonding Program'!$S$28=1,'Bonding Program'!$H$28&gt;'Bonding Program'!$C$8,CT$3='Bonding Program'!$H$28),'Bonding Program'!$T$28-'Bonding Program'!$U$28-'Bonding Program'!$Z$28,0)-IF(AND('Bonding Program'!$S$28=1,'Bonding Program'!$H$28&lt;='Bonding Program'!$C$8,CT$3=IF('Bonding Program'!$P$28&lt;&gt;"",'Bonding Program'!$P$28,'Bonding Program'!$C$8)),'Bonding Program'!$Z$28,0)+IF(AND('Bonding Program'!$P$28&lt;&gt;"",CT$3='Bonding Program'!$P$28,CT$3&lt;='Bonding Program'!$C$8),N('Bonding Program'!$O$28),0)</f>
        <v>0</v>
      </c>
      <c r="CU169" s="19" t="n">
        <f aca="false">IF(AND('Bonding Program'!$S$28=1,'Bonding Program'!$H$28&gt;'Bonding Program'!$C$8,CU$3='Bonding Program'!$H$28),'Bonding Program'!$T$28-'Bonding Program'!$U$28-'Bonding Program'!$Z$28,0)-IF(AND('Bonding Program'!$S$28=1,'Bonding Program'!$H$28&lt;='Bonding Program'!$C$8,CU$3=IF('Bonding Program'!$P$28&lt;&gt;"",'Bonding Program'!$P$28,'Bonding Program'!$C$8)),'Bonding Program'!$Z$28,0)+IF(AND('Bonding Program'!$P$28&lt;&gt;"",CU$3='Bonding Program'!$P$28,CU$3&lt;='Bonding Program'!$C$8),N('Bonding Program'!$O$28),0)</f>
        <v>0</v>
      </c>
      <c r="CV169" s="19" t="n">
        <f aca="false">IF(AND('Bonding Program'!$S$28=1,'Bonding Program'!$H$28&gt;'Bonding Program'!$C$8,CV$3='Bonding Program'!$H$28),'Bonding Program'!$T$28-'Bonding Program'!$U$28-'Bonding Program'!$Z$28,0)-IF(AND('Bonding Program'!$S$28=1,'Bonding Program'!$H$28&lt;='Bonding Program'!$C$8,CV$3=IF('Bonding Program'!$P$28&lt;&gt;"",'Bonding Program'!$P$28,'Bonding Program'!$C$8)),'Bonding Program'!$Z$28,0)+IF(AND('Bonding Program'!$P$28&lt;&gt;"",CV$3='Bonding Program'!$P$28,CV$3&lt;='Bonding Program'!$C$8),N('Bonding Program'!$O$28),0)</f>
        <v>0</v>
      </c>
      <c r="CW169" s="19" t="n">
        <f aca="false">IF(AND('Bonding Program'!$S$28=1,'Bonding Program'!$H$28&gt;'Bonding Program'!$C$8,CW$3='Bonding Program'!$H$28),'Bonding Program'!$T$28-'Bonding Program'!$U$28-'Bonding Program'!$Z$28,0)-IF(AND('Bonding Program'!$S$28=1,'Bonding Program'!$H$28&lt;='Bonding Program'!$C$8,CW$3=IF('Bonding Program'!$P$28&lt;&gt;"",'Bonding Program'!$P$28,'Bonding Program'!$C$8)),'Bonding Program'!$Z$28,0)+IF(AND('Bonding Program'!$P$28&lt;&gt;"",CW$3='Bonding Program'!$P$28,CW$3&lt;='Bonding Program'!$C$8),N('Bonding Program'!$O$28),0)</f>
        <v>0</v>
      </c>
      <c r="CX169" s="19" t="n">
        <f aca="false">IF(AND('Bonding Program'!$S$28=1,'Bonding Program'!$H$28&gt;'Bonding Program'!$C$8,CX$3='Bonding Program'!$H$28),'Bonding Program'!$T$28-'Bonding Program'!$U$28-'Bonding Program'!$Z$28,0)-IF(AND('Bonding Program'!$S$28=1,'Bonding Program'!$H$28&lt;='Bonding Program'!$C$8,CX$3=IF('Bonding Program'!$P$28&lt;&gt;"",'Bonding Program'!$P$28,'Bonding Program'!$C$8)),'Bonding Program'!$Z$28,0)+IF(AND('Bonding Program'!$P$28&lt;&gt;"",CX$3='Bonding Program'!$P$28,CX$3&lt;='Bonding Program'!$C$8),N('Bonding Program'!$O$28),0)</f>
        <v>0</v>
      </c>
      <c r="CY169" s="19" t="n">
        <f aca="false">IF(AND('Bonding Program'!$S$28=1,'Bonding Program'!$H$28&gt;'Bonding Program'!$C$8,CY$3='Bonding Program'!$H$28),'Bonding Program'!$T$28-'Bonding Program'!$U$28-'Bonding Program'!$Z$28,0)-IF(AND('Bonding Program'!$S$28=1,'Bonding Program'!$H$28&lt;='Bonding Program'!$C$8,CY$3=IF('Bonding Program'!$P$28&lt;&gt;"",'Bonding Program'!$P$28,'Bonding Program'!$C$8)),'Bonding Program'!$Z$28,0)+IF(AND('Bonding Program'!$P$28&lt;&gt;"",CY$3='Bonding Program'!$P$28,CY$3&lt;='Bonding Program'!$C$8),N('Bonding Program'!$O$28),0)</f>
        <v>0</v>
      </c>
      <c r="CZ169" s="19" t="n">
        <f aca="false">IF(AND('Bonding Program'!$S$28=1,'Bonding Program'!$H$28&gt;'Bonding Program'!$C$8,CZ$3='Bonding Program'!$H$28),'Bonding Program'!$T$28-'Bonding Program'!$U$28-'Bonding Program'!$Z$28,0)-IF(AND('Bonding Program'!$S$28=1,'Bonding Program'!$H$28&lt;='Bonding Program'!$C$8,CZ$3=IF('Bonding Program'!$P$28&lt;&gt;"",'Bonding Program'!$P$28,'Bonding Program'!$C$8)),'Bonding Program'!$Z$28,0)+IF(AND('Bonding Program'!$P$28&lt;&gt;"",CZ$3='Bonding Program'!$P$28,CZ$3&lt;='Bonding Program'!$C$8),N('Bonding Program'!$O$28),0)</f>
        <v>0</v>
      </c>
      <c r="DA169" s="19" t="n">
        <f aca="false">IF(AND('Bonding Program'!$S$28=1,'Bonding Program'!$H$28&gt;'Bonding Program'!$C$8,DA$3='Bonding Program'!$H$28),'Bonding Program'!$T$28-'Bonding Program'!$U$28-'Bonding Program'!$Z$28,0)-IF(AND('Bonding Program'!$S$28=1,'Bonding Program'!$H$28&lt;='Bonding Program'!$C$8,DA$3=IF('Bonding Program'!$P$28&lt;&gt;"",'Bonding Program'!$P$28,'Bonding Program'!$C$8)),'Bonding Program'!$Z$28,0)+IF(AND('Bonding Program'!$P$28&lt;&gt;"",DA$3='Bonding Program'!$P$28,DA$3&lt;='Bonding Program'!$C$8),N('Bonding Program'!$O$28),0)</f>
        <v>0</v>
      </c>
      <c r="DB169" s="19" t="n">
        <f aca="false">IF(AND('Bonding Program'!$S$28=1,'Bonding Program'!$H$28&gt;'Bonding Program'!$C$8,DB$3='Bonding Program'!$H$28),'Bonding Program'!$T$28-'Bonding Program'!$U$28-'Bonding Program'!$Z$28,0)-IF(AND('Bonding Program'!$S$28=1,'Bonding Program'!$H$28&lt;='Bonding Program'!$C$8,DB$3=IF('Bonding Program'!$P$28&lt;&gt;"",'Bonding Program'!$P$28,'Bonding Program'!$C$8)),'Bonding Program'!$Z$28,0)+IF(AND('Bonding Program'!$P$28&lt;&gt;"",DB$3='Bonding Program'!$P$28,DB$3&lt;='Bonding Program'!$C$8),N('Bonding Program'!$O$28),0)</f>
        <v>0</v>
      </c>
      <c r="DC169" s="19" t="n">
        <f aca="false">IF(AND('Bonding Program'!$S$28=1,'Bonding Program'!$H$28&gt;'Bonding Program'!$C$8,DC$3='Bonding Program'!$H$28),'Bonding Program'!$T$28-'Bonding Program'!$U$28-'Bonding Program'!$Z$28,0)-IF(AND('Bonding Program'!$S$28=1,'Bonding Program'!$H$28&lt;='Bonding Program'!$C$8,DC$3=IF('Bonding Program'!$P$28&lt;&gt;"",'Bonding Program'!$P$28,'Bonding Program'!$C$8)),'Bonding Program'!$Z$28,0)+IF(AND('Bonding Program'!$P$28&lt;&gt;"",DC$3='Bonding Program'!$P$28,DC$3&lt;='Bonding Program'!$C$8),N('Bonding Program'!$O$28),0)</f>
        <v>0</v>
      </c>
      <c r="DD169" s="19" t="n">
        <f aca="false">IF(AND('Bonding Program'!$S$28=1,'Bonding Program'!$H$28&gt;'Bonding Program'!$C$8,DD$3='Bonding Program'!$H$28),'Bonding Program'!$T$28-'Bonding Program'!$U$28-'Bonding Program'!$Z$28,0)-IF(AND('Bonding Program'!$S$28=1,'Bonding Program'!$H$28&lt;='Bonding Program'!$C$8,DD$3=IF('Bonding Program'!$P$28&lt;&gt;"",'Bonding Program'!$P$28,'Bonding Program'!$C$8)),'Bonding Program'!$Z$28,0)+IF(AND('Bonding Program'!$P$28&lt;&gt;"",DD$3='Bonding Program'!$P$28,DD$3&lt;='Bonding Program'!$C$8),N('Bonding Program'!$O$28),0)</f>
        <v>0</v>
      </c>
      <c r="DE169" s="19" t="n">
        <f aca="false">IF(AND('Bonding Program'!$S$28=1,'Bonding Program'!$H$28&gt;'Bonding Program'!$C$8,DE$3='Bonding Program'!$H$28),'Bonding Program'!$T$28-'Bonding Program'!$U$28-'Bonding Program'!$Z$28,0)-IF(AND('Bonding Program'!$S$28=1,'Bonding Program'!$H$28&lt;='Bonding Program'!$C$8,DE$3=IF('Bonding Program'!$P$28&lt;&gt;"",'Bonding Program'!$P$28,'Bonding Program'!$C$8)),'Bonding Program'!$Z$28,0)+IF(AND('Bonding Program'!$P$28&lt;&gt;"",DE$3='Bonding Program'!$P$28,DE$3&lt;='Bonding Program'!$C$8),N('Bonding Program'!$O$28),0)</f>
        <v>0</v>
      </c>
    </row>
    <row r="170" customFormat="false" ht="15" hidden="false" customHeight="true" outlineLevel="1" collapsed="false">
      <c r="A170" s="28" t="s">
        <v>25</v>
      </c>
      <c r="B170" s="19" t="n">
        <f aca="false">IF(AND('Bonding Program'!$S$29=1,'Bonding Program'!$H$29&gt;'Bonding Program'!$C$8,B$3='Bonding Program'!$H$29),'Bonding Program'!$T$29-'Bonding Program'!$U$29-'Bonding Program'!$Z$29,0)-IF(AND('Bonding Program'!$S$29=1,'Bonding Program'!$H$29&lt;='Bonding Program'!$C$8,B$3=IF('Bonding Program'!$P$29&lt;&gt;"",'Bonding Program'!$P$29,'Bonding Program'!$C$8)),'Bonding Program'!$Z$29,0)+IF(AND('Bonding Program'!$P$29&lt;&gt;"",B$3='Bonding Program'!$P$29,B$3&lt;='Bonding Program'!$C$8),N('Bonding Program'!$O$29),0)</f>
        <v>0</v>
      </c>
      <c r="C170" s="19" t="n">
        <f aca="false">IF(AND('Bonding Program'!$S$29=1,'Bonding Program'!$H$29&gt;'Bonding Program'!$C$8,C$3='Bonding Program'!$H$29),'Bonding Program'!$T$29-'Bonding Program'!$U$29-'Bonding Program'!$Z$29,0)-IF(AND('Bonding Program'!$S$29=1,'Bonding Program'!$H$29&lt;='Bonding Program'!$C$8,C$3=IF('Bonding Program'!$P$29&lt;&gt;"",'Bonding Program'!$P$29,'Bonding Program'!$C$8)),'Bonding Program'!$Z$29,0)+IF(AND('Bonding Program'!$P$29&lt;&gt;"",C$3='Bonding Program'!$P$29,C$3&lt;='Bonding Program'!$C$8),N('Bonding Program'!$O$29),0)</f>
        <v>0</v>
      </c>
      <c r="D170" s="19" t="n">
        <f aca="false">IF(AND('Bonding Program'!$S$29=1,'Bonding Program'!$H$29&gt;'Bonding Program'!$C$8,D$3='Bonding Program'!$H$29),'Bonding Program'!$T$29-'Bonding Program'!$U$29-'Bonding Program'!$Z$29,0)-IF(AND('Bonding Program'!$S$29=1,'Bonding Program'!$H$29&lt;='Bonding Program'!$C$8,D$3=IF('Bonding Program'!$P$29&lt;&gt;"",'Bonding Program'!$P$29,'Bonding Program'!$C$8)),'Bonding Program'!$Z$29,0)+IF(AND('Bonding Program'!$P$29&lt;&gt;"",D$3='Bonding Program'!$P$29,D$3&lt;='Bonding Program'!$C$8),N('Bonding Program'!$O$29),0)</f>
        <v>0</v>
      </c>
      <c r="E170" s="19" t="n">
        <f aca="false">IF(AND('Bonding Program'!$S$29=1,'Bonding Program'!$H$29&gt;'Bonding Program'!$C$8,E$3='Bonding Program'!$H$29),'Bonding Program'!$T$29-'Bonding Program'!$U$29-'Bonding Program'!$Z$29,0)-IF(AND('Bonding Program'!$S$29=1,'Bonding Program'!$H$29&lt;='Bonding Program'!$C$8,E$3=IF('Bonding Program'!$P$29&lt;&gt;"",'Bonding Program'!$P$29,'Bonding Program'!$C$8)),'Bonding Program'!$Z$29,0)+IF(AND('Bonding Program'!$P$29&lt;&gt;"",E$3='Bonding Program'!$P$29,E$3&lt;='Bonding Program'!$C$8),N('Bonding Program'!$O$29),0)</f>
        <v>0</v>
      </c>
      <c r="F170" s="19" t="n">
        <f aca="false">IF(AND('Bonding Program'!$S$29=1,'Bonding Program'!$H$29&gt;'Bonding Program'!$C$8,F$3='Bonding Program'!$H$29),'Bonding Program'!$T$29-'Bonding Program'!$U$29-'Bonding Program'!$Z$29,0)-IF(AND('Bonding Program'!$S$29=1,'Bonding Program'!$H$29&lt;='Bonding Program'!$C$8,F$3=IF('Bonding Program'!$P$29&lt;&gt;"",'Bonding Program'!$P$29,'Bonding Program'!$C$8)),'Bonding Program'!$Z$29,0)+IF(AND('Bonding Program'!$P$29&lt;&gt;"",F$3='Bonding Program'!$P$29,F$3&lt;='Bonding Program'!$C$8),N('Bonding Program'!$O$29),0)</f>
        <v>0</v>
      </c>
      <c r="G170" s="19" t="n">
        <f aca="false">IF(AND('Bonding Program'!$S$29=1,'Bonding Program'!$H$29&gt;'Bonding Program'!$C$8,G$3='Bonding Program'!$H$29),'Bonding Program'!$T$29-'Bonding Program'!$U$29-'Bonding Program'!$Z$29,0)-IF(AND('Bonding Program'!$S$29=1,'Bonding Program'!$H$29&lt;='Bonding Program'!$C$8,G$3=IF('Bonding Program'!$P$29&lt;&gt;"",'Bonding Program'!$P$29,'Bonding Program'!$C$8)),'Bonding Program'!$Z$29,0)+IF(AND('Bonding Program'!$P$29&lt;&gt;"",G$3='Bonding Program'!$P$29,G$3&lt;='Bonding Program'!$C$8),N('Bonding Program'!$O$29),0)</f>
        <v>0</v>
      </c>
      <c r="H170" s="19" t="n">
        <f aca="false">IF(AND('Bonding Program'!$S$29=1,'Bonding Program'!$H$29&gt;'Bonding Program'!$C$8,H$3='Bonding Program'!$H$29),'Bonding Program'!$T$29-'Bonding Program'!$U$29-'Bonding Program'!$Z$29,0)-IF(AND('Bonding Program'!$S$29=1,'Bonding Program'!$H$29&lt;='Bonding Program'!$C$8,H$3=IF('Bonding Program'!$P$29&lt;&gt;"",'Bonding Program'!$P$29,'Bonding Program'!$C$8)),'Bonding Program'!$Z$29,0)+IF(AND('Bonding Program'!$P$29&lt;&gt;"",H$3='Bonding Program'!$P$29,H$3&lt;='Bonding Program'!$C$8),N('Bonding Program'!$O$29),0)</f>
        <v>0</v>
      </c>
      <c r="I170" s="19" t="n">
        <f aca="false">IF(AND('Bonding Program'!$S$29=1,'Bonding Program'!$H$29&gt;'Bonding Program'!$C$8,I$3='Bonding Program'!$H$29),'Bonding Program'!$T$29-'Bonding Program'!$U$29-'Bonding Program'!$Z$29,0)-IF(AND('Bonding Program'!$S$29=1,'Bonding Program'!$H$29&lt;='Bonding Program'!$C$8,I$3=IF('Bonding Program'!$P$29&lt;&gt;"",'Bonding Program'!$P$29,'Bonding Program'!$C$8)),'Bonding Program'!$Z$29,0)+IF(AND('Bonding Program'!$P$29&lt;&gt;"",I$3='Bonding Program'!$P$29,I$3&lt;='Bonding Program'!$C$8),N('Bonding Program'!$O$29),0)</f>
        <v>0</v>
      </c>
      <c r="J170" s="19" t="n">
        <f aca="false">IF(AND('Bonding Program'!$S$29=1,'Bonding Program'!$H$29&gt;'Bonding Program'!$C$8,J$3='Bonding Program'!$H$29),'Bonding Program'!$T$29-'Bonding Program'!$U$29-'Bonding Program'!$Z$29,0)-IF(AND('Bonding Program'!$S$29=1,'Bonding Program'!$H$29&lt;='Bonding Program'!$C$8,J$3=IF('Bonding Program'!$P$29&lt;&gt;"",'Bonding Program'!$P$29,'Bonding Program'!$C$8)),'Bonding Program'!$Z$29,0)+IF(AND('Bonding Program'!$P$29&lt;&gt;"",J$3='Bonding Program'!$P$29,J$3&lt;='Bonding Program'!$C$8),N('Bonding Program'!$O$29),0)</f>
        <v>0</v>
      </c>
      <c r="K170" s="19" t="n">
        <f aca="false">IF(AND('Bonding Program'!$S$29=1,'Bonding Program'!$H$29&gt;'Bonding Program'!$C$8,K$3='Bonding Program'!$H$29),'Bonding Program'!$T$29-'Bonding Program'!$U$29-'Bonding Program'!$Z$29,0)-IF(AND('Bonding Program'!$S$29=1,'Bonding Program'!$H$29&lt;='Bonding Program'!$C$8,K$3=IF('Bonding Program'!$P$29&lt;&gt;"",'Bonding Program'!$P$29,'Bonding Program'!$C$8)),'Bonding Program'!$Z$29,0)+IF(AND('Bonding Program'!$P$29&lt;&gt;"",K$3='Bonding Program'!$P$29,K$3&lt;='Bonding Program'!$C$8),N('Bonding Program'!$O$29),0)</f>
        <v>0</v>
      </c>
      <c r="L170" s="19" t="n">
        <f aca="false">IF(AND('Bonding Program'!$S$29=1,'Bonding Program'!$H$29&gt;'Bonding Program'!$C$8,L$3='Bonding Program'!$H$29),'Bonding Program'!$T$29-'Bonding Program'!$U$29-'Bonding Program'!$Z$29,0)-IF(AND('Bonding Program'!$S$29=1,'Bonding Program'!$H$29&lt;='Bonding Program'!$C$8,L$3=IF('Bonding Program'!$P$29&lt;&gt;"",'Bonding Program'!$P$29,'Bonding Program'!$C$8)),'Bonding Program'!$Z$29,0)+IF(AND('Bonding Program'!$P$29&lt;&gt;"",L$3='Bonding Program'!$P$29,L$3&lt;='Bonding Program'!$C$8),N('Bonding Program'!$O$29),0)</f>
        <v>0</v>
      </c>
      <c r="M170" s="19" t="n">
        <f aca="false">IF(AND('Bonding Program'!$S$29=1,'Bonding Program'!$H$29&gt;'Bonding Program'!$C$8,M$3='Bonding Program'!$H$29),'Bonding Program'!$T$29-'Bonding Program'!$U$29-'Bonding Program'!$Z$29,0)-IF(AND('Bonding Program'!$S$29=1,'Bonding Program'!$H$29&lt;='Bonding Program'!$C$8,M$3=IF('Bonding Program'!$P$29&lt;&gt;"",'Bonding Program'!$P$29,'Bonding Program'!$C$8)),'Bonding Program'!$Z$29,0)+IF(AND('Bonding Program'!$P$29&lt;&gt;"",M$3='Bonding Program'!$P$29,M$3&lt;='Bonding Program'!$C$8),N('Bonding Program'!$O$29),0)</f>
        <v>0</v>
      </c>
      <c r="N170" s="19" t="n">
        <f aca="false">IF(AND('Bonding Program'!$S$29=1,'Bonding Program'!$H$29&gt;'Bonding Program'!$C$8,N$3='Bonding Program'!$H$29),'Bonding Program'!$T$29-'Bonding Program'!$U$29-'Bonding Program'!$Z$29,0)-IF(AND('Bonding Program'!$S$29=1,'Bonding Program'!$H$29&lt;='Bonding Program'!$C$8,N$3=IF('Bonding Program'!$P$29&lt;&gt;"",'Bonding Program'!$P$29,'Bonding Program'!$C$8)),'Bonding Program'!$Z$29,0)+IF(AND('Bonding Program'!$P$29&lt;&gt;"",N$3='Bonding Program'!$P$29,N$3&lt;='Bonding Program'!$C$8),N('Bonding Program'!$O$29),0)</f>
        <v>0</v>
      </c>
      <c r="O170" s="19" t="n">
        <f aca="false">IF(AND('Bonding Program'!$S$29=1,'Bonding Program'!$H$29&gt;'Bonding Program'!$C$8,O$3='Bonding Program'!$H$29),'Bonding Program'!$T$29-'Bonding Program'!$U$29-'Bonding Program'!$Z$29,0)-IF(AND('Bonding Program'!$S$29=1,'Bonding Program'!$H$29&lt;='Bonding Program'!$C$8,O$3=IF('Bonding Program'!$P$29&lt;&gt;"",'Bonding Program'!$P$29,'Bonding Program'!$C$8)),'Bonding Program'!$Z$29,0)+IF(AND('Bonding Program'!$P$29&lt;&gt;"",O$3='Bonding Program'!$P$29,O$3&lt;='Bonding Program'!$C$8),N('Bonding Program'!$O$29),0)</f>
        <v>0</v>
      </c>
      <c r="P170" s="19" t="n">
        <f aca="false">IF(AND('Bonding Program'!$S$29=1,'Bonding Program'!$H$29&gt;'Bonding Program'!$C$8,P$3='Bonding Program'!$H$29),'Bonding Program'!$T$29-'Bonding Program'!$U$29-'Bonding Program'!$Z$29,0)-IF(AND('Bonding Program'!$S$29=1,'Bonding Program'!$H$29&lt;='Bonding Program'!$C$8,P$3=IF('Bonding Program'!$P$29&lt;&gt;"",'Bonding Program'!$P$29,'Bonding Program'!$C$8)),'Bonding Program'!$Z$29,0)+IF(AND('Bonding Program'!$P$29&lt;&gt;"",P$3='Bonding Program'!$P$29,P$3&lt;='Bonding Program'!$C$8),N('Bonding Program'!$O$29),0)</f>
        <v>0</v>
      </c>
      <c r="Q170" s="19" t="n">
        <f aca="false">IF(AND('Bonding Program'!$S$29=1,'Bonding Program'!$H$29&gt;'Bonding Program'!$C$8,Q$3='Bonding Program'!$H$29),'Bonding Program'!$T$29-'Bonding Program'!$U$29-'Bonding Program'!$Z$29,0)-IF(AND('Bonding Program'!$S$29=1,'Bonding Program'!$H$29&lt;='Bonding Program'!$C$8,Q$3=IF('Bonding Program'!$P$29&lt;&gt;"",'Bonding Program'!$P$29,'Bonding Program'!$C$8)),'Bonding Program'!$Z$29,0)+IF(AND('Bonding Program'!$P$29&lt;&gt;"",Q$3='Bonding Program'!$P$29,Q$3&lt;='Bonding Program'!$C$8),N('Bonding Program'!$O$29),0)</f>
        <v>0</v>
      </c>
      <c r="R170" s="19" t="n">
        <f aca="false">IF(AND('Bonding Program'!$S$29=1,'Bonding Program'!$H$29&gt;'Bonding Program'!$C$8,R$3='Bonding Program'!$H$29),'Bonding Program'!$T$29-'Bonding Program'!$U$29-'Bonding Program'!$Z$29,0)-IF(AND('Bonding Program'!$S$29=1,'Bonding Program'!$H$29&lt;='Bonding Program'!$C$8,R$3=IF('Bonding Program'!$P$29&lt;&gt;"",'Bonding Program'!$P$29,'Bonding Program'!$C$8)),'Bonding Program'!$Z$29,0)+IF(AND('Bonding Program'!$P$29&lt;&gt;"",R$3='Bonding Program'!$P$29,R$3&lt;='Bonding Program'!$C$8),N('Bonding Program'!$O$29),0)</f>
        <v>0</v>
      </c>
      <c r="S170" s="19" t="n">
        <f aca="false">IF(AND('Bonding Program'!$S$29=1,'Bonding Program'!$H$29&gt;'Bonding Program'!$C$8,S$3='Bonding Program'!$H$29),'Bonding Program'!$T$29-'Bonding Program'!$U$29-'Bonding Program'!$Z$29,0)-IF(AND('Bonding Program'!$S$29=1,'Bonding Program'!$H$29&lt;='Bonding Program'!$C$8,S$3=IF('Bonding Program'!$P$29&lt;&gt;"",'Bonding Program'!$P$29,'Bonding Program'!$C$8)),'Bonding Program'!$Z$29,0)+IF(AND('Bonding Program'!$P$29&lt;&gt;"",S$3='Bonding Program'!$P$29,S$3&lt;='Bonding Program'!$C$8),N('Bonding Program'!$O$29),0)</f>
        <v>0</v>
      </c>
      <c r="T170" s="19" t="n">
        <f aca="false">IF(AND('Bonding Program'!$S$29=1,'Bonding Program'!$H$29&gt;'Bonding Program'!$C$8,T$3='Bonding Program'!$H$29),'Bonding Program'!$T$29-'Bonding Program'!$U$29-'Bonding Program'!$Z$29,0)-IF(AND('Bonding Program'!$S$29=1,'Bonding Program'!$H$29&lt;='Bonding Program'!$C$8,T$3=IF('Bonding Program'!$P$29&lt;&gt;"",'Bonding Program'!$P$29,'Bonding Program'!$C$8)),'Bonding Program'!$Z$29,0)+IF(AND('Bonding Program'!$P$29&lt;&gt;"",T$3='Bonding Program'!$P$29,T$3&lt;='Bonding Program'!$C$8),N('Bonding Program'!$O$29),0)</f>
        <v>0</v>
      </c>
      <c r="U170" s="19" t="n">
        <f aca="false">IF(AND('Bonding Program'!$S$29=1,'Bonding Program'!$H$29&gt;'Bonding Program'!$C$8,U$3='Bonding Program'!$H$29),'Bonding Program'!$T$29-'Bonding Program'!$U$29-'Bonding Program'!$Z$29,0)-IF(AND('Bonding Program'!$S$29=1,'Bonding Program'!$H$29&lt;='Bonding Program'!$C$8,U$3=IF('Bonding Program'!$P$29&lt;&gt;"",'Bonding Program'!$P$29,'Bonding Program'!$C$8)),'Bonding Program'!$Z$29,0)+IF(AND('Bonding Program'!$P$29&lt;&gt;"",U$3='Bonding Program'!$P$29,U$3&lt;='Bonding Program'!$C$8),N('Bonding Program'!$O$29),0)</f>
        <v>0</v>
      </c>
      <c r="V170" s="19" t="n">
        <f aca="false">IF(AND('Bonding Program'!$S$29=1,'Bonding Program'!$H$29&gt;'Bonding Program'!$C$8,V$3='Bonding Program'!$H$29),'Bonding Program'!$T$29-'Bonding Program'!$U$29-'Bonding Program'!$Z$29,0)-IF(AND('Bonding Program'!$S$29=1,'Bonding Program'!$H$29&lt;='Bonding Program'!$C$8,V$3=IF('Bonding Program'!$P$29&lt;&gt;"",'Bonding Program'!$P$29,'Bonding Program'!$C$8)),'Bonding Program'!$Z$29,0)+IF(AND('Bonding Program'!$P$29&lt;&gt;"",V$3='Bonding Program'!$P$29,V$3&lt;='Bonding Program'!$C$8),N('Bonding Program'!$O$29),0)</f>
        <v>0</v>
      </c>
      <c r="W170" s="19" t="n">
        <f aca="false">IF(AND('Bonding Program'!$S$29=1,'Bonding Program'!$H$29&gt;'Bonding Program'!$C$8,W$3='Bonding Program'!$H$29),'Bonding Program'!$T$29-'Bonding Program'!$U$29-'Bonding Program'!$Z$29,0)-IF(AND('Bonding Program'!$S$29=1,'Bonding Program'!$H$29&lt;='Bonding Program'!$C$8,W$3=IF('Bonding Program'!$P$29&lt;&gt;"",'Bonding Program'!$P$29,'Bonding Program'!$C$8)),'Bonding Program'!$Z$29,0)+IF(AND('Bonding Program'!$P$29&lt;&gt;"",W$3='Bonding Program'!$P$29,W$3&lt;='Bonding Program'!$C$8),N('Bonding Program'!$O$29),0)</f>
        <v>-242893.275862069</v>
      </c>
      <c r="X170" s="19" t="n">
        <f aca="false">IF(AND('Bonding Program'!$S$29=1,'Bonding Program'!$H$29&gt;'Bonding Program'!$C$8,X$3='Bonding Program'!$H$29),'Bonding Program'!$T$29-'Bonding Program'!$U$29-'Bonding Program'!$Z$29,0)-IF(AND('Bonding Program'!$S$29=1,'Bonding Program'!$H$29&lt;='Bonding Program'!$C$8,X$3=IF('Bonding Program'!$P$29&lt;&gt;"",'Bonding Program'!$P$29,'Bonding Program'!$C$8)),'Bonding Program'!$Z$29,0)+IF(AND('Bonding Program'!$P$29&lt;&gt;"",X$3='Bonding Program'!$P$29,X$3&lt;='Bonding Program'!$C$8),N('Bonding Program'!$O$29),0)</f>
        <v>0</v>
      </c>
      <c r="Y170" s="19" t="n">
        <f aca="false">IF(AND('Bonding Program'!$S$29=1,'Bonding Program'!$H$29&gt;'Bonding Program'!$C$8,Y$3='Bonding Program'!$H$29),'Bonding Program'!$T$29-'Bonding Program'!$U$29-'Bonding Program'!$Z$29,0)-IF(AND('Bonding Program'!$S$29=1,'Bonding Program'!$H$29&lt;='Bonding Program'!$C$8,Y$3=IF('Bonding Program'!$P$29&lt;&gt;"",'Bonding Program'!$P$29,'Bonding Program'!$C$8)),'Bonding Program'!$Z$29,0)+IF(AND('Bonding Program'!$P$29&lt;&gt;"",Y$3='Bonding Program'!$P$29,Y$3&lt;='Bonding Program'!$C$8),N('Bonding Program'!$O$29),0)</f>
        <v>0</v>
      </c>
      <c r="Z170" s="19" t="n">
        <f aca="false">IF(AND('Bonding Program'!$S$29=1,'Bonding Program'!$H$29&gt;'Bonding Program'!$C$8,Z$3='Bonding Program'!$H$29),'Bonding Program'!$T$29-'Bonding Program'!$U$29-'Bonding Program'!$Z$29,0)-IF(AND('Bonding Program'!$S$29=1,'Bonding Program'!$H$29&lt;='Bonding Program'!$C$8,Z$3=IF('Bonding Program'!$P$29&lt;&gt;"",'Bonding Program'!$P$29,'Bonding Program'!$C$8)),'Bonding Program'!$Z$29,0)+IF(AND('Bonding Program'!$P$29&lt;&gt;"",Z$3='Bonding Program'!$P$29,Z$3&lt;='Bonding Program'!$C$8),N('Bonding Program'!$O$29),0)</f>
        <v>0</v>
      </c>
      <c r="AA170" s="19" t="n">
        <f aca="false">IF(AND('Bonding Program'!$S$29=1,'Bonding Program'!$H$29&gt;'Bonding Program'!$C$8,AA$3='Bonding Program'!$H$29),'Bonding Program'!$T$29-'Bonding Program'!$U$29-'Bonding Program'!$Z$29,0)-IF(AND('Bonding Program'!$S$29=1,'Bonding Program'!$H$29&lt;='Bonding Program'!$C$8,AA$3=IF('Bonding Program'!$P$29&lt;&gt;"",'Bonding Program'!$P$29,'Bonding Program'!$C$8)),'Bonding Program'!$Z$29,0)+IF(AND('Bonding Program'!$P$29&lt;&gt;"",AA$3='Bonding Program'!$P$29,AA$3&lt;='Bonding Program'!$C$8),N('Bonding Program'!$O$29),0)</f>
        <v>0</v>
      </c>
      <c r="AB170" s="19" t="n">
        <f aca="false">IF(AND('Bonding Program'!$S$29=1,'Bonding Program'!$H$29&gt;'Bonding Program'!$C$8,AB$3='Bonding Program'!$H$29),'Bonding Program'!$T$29-'Bonding Program'!$U$29-'Bonding Program'!$Z$29,0)-IF(AND('Bonding Program'!$S$29=1,'Bonding Program'!$H$29&lt;='Bonding Program'!$C$8,AB$3=IF('Bonding Program'!$P$29&lt;&gt;"",'Bonding Program'!$P$29,'Bonding Program'!$C$8)),'Bonding Program'!$Z$29,0)+IF(AND('Bonding Program'!$P$29&lt;&gt;"",AB$3='Bonding Program'!$P$29,AB$3&lt;='Bonding Program'!$C$8),N('Bonding Program'!$O$29),0)</f>
        <v>0</v>
      </c>
      <c r="AC170" s="19" t="n">
        <f aca="false">IF(AND('Bonding Program'!$S$29=1,'Bonding Program'!$H$29&gt;'Bonding Program'!$C$8,AC$3='Bonding Program'!$H$29),'Bonding Program'!$T$29-'Bonding Program'!$U$29-'Bonding Program'!$Z$29,0)-IF(AND('Bonding Program'!$S$29=1,'Bonding Program'!$H$29&lt;='Bonding Program'!$C$8,AC$3=IF('Bonding Program'!$P$29&lt;&gt;"",'Bonding Program'!$P$29,'Bonding Program'!$C$8)),'Bonding Program'!$Z$29,0)+IF(AND('Bonding Program'!$P$29&lt;&gt;"",AC$3='Bonding Program'!$P$29,AC$3&lt;='Bonding Program'!$C$8),N('Bonding Program'!$O$29),0)</f>
        <v>0</v>
      </c>
      <c r="AD170" s="19" t="n">
        <f aca="false">IF(AND('Bonding Program'!$S$29=1,'Bonding Program'!$H$29&gt;'Bonding Program'!$C$8,AD$3='Bonding Program'!$H$29),'Bonding Program'!$T$29-'Bonding Program'!$U$29-'Bonding Program'!$Z$29,0)-IF(AND('Bonding Program'!$S$29=1,'Bonding Program'!$H$29&lt;='Bonding Program'!$C$8,AD$3=IF('Bonding Program'!$P$29&lt;&gt;"",'Bonding Program'!$P$29,'Bonding Program'!$C$8)),'Bonding Program'!$Z$29,0)+IF(AND('Bonding Program'!$P$29&lt;&gt;"",AD$3='Bonding Program'!$P$29,AD$3&lt;='Bonding Program'!$C$8),N('Bonding Program'!$O$29),0)</f>
        <v>0</v>
      </c>
      <c r="AE170" s="19" t="n">
        <f aca="false">IF(AND('Bonding Program'!$S$29=1,'Bonding Program'!$H$29&gt;'Bonding Program'!$C$8,AE$3='Bonding Program'!$H$29),'Bonding Program'!$T$29-'Bonding Program'!$U$29-'Bonding Program'!$Z$29,0)-IF(AND('Bonding Program'!$S$29=1,'Bonding Program'!$H$29&lt;='Bonding Program'!$C$8,AE$3=IF('Bonding Program'!$P$29&lt;&gt;"",'Bonding Program'!$P$29,'Bonding Program'!$C$8)),'Bonding Program'!$Z$29,0)+IF(AND('Bonding Program'!$P$29&lt;&gt;"",AE$3='Bonding Program'!$P$29,AE$3&lt;='Bonding Program'!$C$8),N('Bonding Program'!$O$29),0)</f>
        <v>0</v>
      </c>
      <c r="AF170" s="19" t="n">
        <f aca="false">IF(AND('Bonding Program'!$S$29=1,'Bonding Program'!$H$29&gt;'Bonding Program'!$C$8,AF$3='Bonding Program'!$H$29),'Bonding Program'!$T$29-'Bonding Program'!$U$29-'Bonding Program'!$Z$29,0)-IF(AND('Bonding Program'!$S$29=1,'Bonding Program'!$H$29&lt;='Bonding Program'!$C$8,AF$3=IF('Bonding Program'!$P$29&lt;&gt;"",'Bonding Program'!$P$29,'Bonding Program'!$C$8)),'Bonding Program'!$Z$29,0)+IF(AND('Bonding Program'!$P$29&lt;&gt;"",AF$3='Bonding Program'!$P$29,AF$3&lt;='Bonding Program'!$C$8),N('Bonding Program'!$O$29),0)</f>
        <v>0</v>
      </c>
      <c r="AG170" s="19" t="n">
        <f aca="false">IF(AND('Bonding Program'!$S$29=1,'Bonding Program'!$H$29&gt;'Bonding Program'!$C$8,AG$3='Bonding Program'!$H$29),'Bonding Program'!$T$29-'Bonding Program'!$U$29-'Bonding Program'!$Z$29,0)-IF(AND('Bonding Program'!$S$29=1,'Bonding Program'!$H$29&lt;='Bonding Program'!$C$8,AG$3=IF('Bonding Program'!$P$29&lt;&gt;"",'Bonding Program'!$P$29,'Bonding Program'!$C$8)),'Bonding Program'!$Z$29,0)+IF(AND('Bonding Program'!$P$29&lt;&gt;"",AG$3='Bonding Program'!$P$29,AG$3&lt;='Bonding Program'!$C$8),N('Bonding Program'!$O$29),0)</f>
        <v>0</v>
      </c>
      <c r="AH170" s="19" t="n">
        <f aca="false">IF(AND('Bonding Program'!$S$29=1,'Bonding Program'!$H$29&gt;'Bonding Program'!$C$8,AH$3='Bonding Program'!$H$29),'Bonding Program'!$T$29-'Bonding Program'!$U$29-'Bonding Program'!$Z$29,0)-IF(AND('Bonding Program'!$S$29=1,'Bonding Program'!$H$29&lt;='Bonding Program'!$C$8,AH$3=IF('Bonding Program'!$P$29&lt;&gt;"",'Bonding Program'!$P$29,'Bonding Program'!$C$8)),'Bonding Program'!$Z$29,0)+IF(AND('Bonding Program'!$P$29&lt;&gt;"",AH$3='Bonding Program'!$P$29,AH$3&lt;='Bonding Program'!$C$8),N('Bonding Program'!$O$29),0)</f>
        <v>0</v>
      </c>
      <c r="AI170" s="19" t="n">
        <f aca="false">IF(AND('Bonding Program'!$S$29=1,'Bonding Program'!$H$29&gt;'Bonding Program'!$C$8,AI$3='Bonding Program'!$H$29),'Bonding Program'!$T$29-'Bonding Program'!$U$29-'Bonding Program'!$Z$29,0)-IF(AND('Bonding Program'!$S$29=1,'Bonding Program'!$H$29&lt;='Bonding Program'!$C$8,AI$3=IF('Bonding Program'!$P$29&lt;&gt;"",'Bonding Program'!$P$29,'Bonding Program'!$C$8)),'Bonding Program'!$Z$29,0)+IF(AND('Bonding Program'!$P$29&lt;&gt;"",AI$3='Bonding Program'!$P$29,AI$3&lt;='Bonding Program'!$C$8),N('Bonding Program'!$O$29),0)</f>
        <v>0</v>
      </c>
      <c r="AJ170" s="19" t="n">
        <f aca="false">IF(AND('Bonding Program'!$S$29=1,'Bonding Program'!$H$29&gt;'Bonding Program'!$C$8,AJ$3='Bonding Program'!$H$29),'Bonding Program'!$T$29-'Bonding Program'!$U$29-'Bonding Program'!$Z$29,0)-IF(AND('Bonding Program'!$S$29=1,'Bonding Program'!$H$29&lt;='Bonding Program'!$C$8,AJ$3=IF('Bonding Program'!$P$29&lt;&gt;"",'Bonding Program'!$P$29,'Bonding Program'!$C$8)),'Bonding Program'!$Z$29,0)+IF(AND('Bonding Program'!$P$29&lt;&gt;"",AJ$3='Bonding Program'!$P$29,AJ$3&lt;='Bonding Program'!$C$8),N('Bonding Program'!$O$29),0)</f>
        <v>0</v>
      </c>
      <c r="AK170" s="19" t="n">
        <f aca="false">IF(AND('Bonding Program'!$S$29=1,'Bonding Program'!$H$29&gt;'Bonding Program'!$C$8,AK$3='Bonding Program'!$H$29),'Bonding Program'!$T$29-'Bonding Program'!$U$29-'Bonding Program'!$Z$29,0)-IF(AND('Bonding Program'!$S$29=1,'Bonding Program'!$H$29&lt;='Bonding Program'!$C$8,AK$3=IF('Bonding Program'!$P$29&lt;&gt;"",'Bonding Program'!$P$29,'Bonding Program'!$C$8)),'Bonding Program'!$Z$29,0)+IF(AND('Bonding Program'!$P$29&lt;&gt;"",AK$3='Bonding Program'!$P$29,AK$3&lt;='Bonding Program'!$C$8),N('Bonding Program'!$O$29),0)</f>
        <v>0</v>
      </c>
      <c r="AL170" s="19" t="n">
        <f aca="false">IF(AND('Bonding Program'!$S$29=1,'Bonding Program'!$H$29&gt;'Bonding Program'!$C$8,AL$3='Bonding Program'!$H$29),'Bonding Program'!$T$29-'Bonding Program'!$U$29-'Bonding Program'!$Z$29,0)-IF(AND('Bonding Program'!$S$29=1,'Bonding Program'!$H$29&lt;='Bonding Program'!$C$8,AL$3=IF('Bonding Program'!$P$29&lt;&gt;"",'Bonding Program'!$P$29,'Bonding Program'!$C$8)),'Bonding Program'!$Z$29,0)+IF(AND('Bonding Program'!$P$29&lt;&gt;"",AL$3='Bonding Program'!$P$29,AL$3&lt;='Bonding Program'!$C$8),N('Bonding Program'!$O$29),0)</f>
        <v>0</v>
      </c>
      <c r="AM170" s="19" t="n">
        <f aca="false">IF(AND('Bonding Program'!$S$29=1,'Bonding Program'!$H$29&gt;'Bonding Program'!$C$8,AM$3='Bonding Program'!$H$29),'Bonding Program'!$T$29-'Bonding Program'!$U$29-'Bonding Program'!$Z$29,0)-IF(AND('Bonding Program'!$S$29=1,'Bonding Program'!$H$29&lt;='Bonding Program'!$C$8,AM$3=IF('Bonding Program'!$P$29&lt;&gt;"",'Bonding Program'!$P$29,'Bonding Program'!$C$8)),'Bonding Program'!$Z$29,0)+IF(AND('Bonding Program'!$P$29&lt;&gt;"",AM$3='Bonding Program'!$P$29,AM$3&lt;='Bonding Program'!$C$8),N('Bonding Program'!$O$29),0)</f>
        <v>0</v>
      </c>
      <c r="AN170" s="19" t="n">
        <f aca="false">IF(AND('Bonding Program'!$S$29=1,'Bonding Program'!$H$29&gt;'Bonding Program'!$C$8,AN$3='Bonding Program'!$H$29),'Bonding Program'!$T$29-'Bonding Program'!$U$29-'Bonding Program'!$Z$29,0)-IF(AND('Bonding Program'!$S$29=1,'Bonding Program'!$H$29&lt;='Bonding Program'!$C$8,AN$3=IF('Bonding Program'!$P$29&lt;&gt;"",'Bonding Program'!$P$29,'Bonding Program'!$C$8)),'Bonding Program'!$Z$29,0)+IF(AND('Bonding Program'!$P$29&lt;&gt;"",AN$3='Bonding Program'!$P$29,AN$3&lt;='Bonding Program'!$C$8),N('Bonding Program'!$O$29),0)</f>
        <v>0</v>
      </c>
      <c r="AO170" s="19" t="n">
        <f aca="false">IF(AND('Bonding Program'!$S$29=1,'Bonding Program'!$H$29&gt;'Bonding Program'!$C$8,AO$3='Bonding Program'!$H$29),'Bonding Program'!$T$29-'Bonding Program'!$U$29-'Bonding Program'!$Z$29,0)-IF(AND('Bonding Program'!$S$29=1,'Bonding Program'!$H$29&lt;='Bonding Program'!$C$8,AO$3=IF('Bonding Program'!$P$29&lt;&gt;"",'Bonding Program'!$P$29,'Bonding Program'!$C$8)),'Bonding Program'!$Z$29,0)+IF(AND('Bonding Program'!$P$29&lt;&gt;"",AO$3='Bonding Program'!$P$29,AO$3&lt;='Bonding Program'!$C$8),N('Bonding Program'!$O$29),0)</f>
        <v>0</v>
      </c>
      <c r="AP170" s="19" t="n">
        <f aca="false">IF(AND('Bonding Program'!$S$29=1,'Bonding Program'!$H$29&gt;'Bonding Program'!$C$8,AP$3='Bonding Program'!$H$29),'Bonding Program'!$T$29-'Bonding Program'!$U$29-'Bonding Program'!$Z$29,0)-IF(AND('Bonding Program'!$S$29=1,'Bonding Program'!$H$29&lt;='Bonding Program'!$C$8,AP$3=IF('Bonding Program'!$P$29&lt;&gt;"",'Bonding Program'!$P$29,'Bonding Program'!$C$8)),'Bonding Program'!$Z$29,0)+IF(AND('Bonding Program'!$P$29&lt;&gt;"",AP$3='Bonding Program'!$P$29,AP$3&lt;='Bonding Program'!$C$8),N('Bonding Program'!$O$29),0)</f>
        <v>0</v>
      </c>
      <c r="AQ170" s="19" t="n">
        <f aca="false">IF(AND('Bonding Program'!$S$29=1,'Bonding Program'!$H$29&gt;'Bonding Program'!$C$8,AQ$3='Bonding Program'!$H$29),'Bonding Program'!$T$29-'Bonding Program'!$U$29-'Bonding Program'!$Z$29,0)-IF(AND('Bonding Program'!$S$29=1,'Bonding Program'!$H$29&lt;='Bonding Program'!$C$8,AQ$3=IF('Bonding Program'!$P$29&lt;&gt;"",'Bonding Program'!$P$29,'Bonding Program'!$C$8)),'Bonding Program'!$Z$29,0)+IF(AND('Bonding Program'!$P$29&lt;&gt;"",AQ$3='Bonding Program'!$P$29,AQ$3&lt;='Bonding Program'!$C$8),N('Bonding Program'!$O$29),0)</f>
        <v>0</v>
      </c>
      <c r="AR170" s="19" t="n">
        <f aca="false">IF(AND('Bonding Program'!$S$29=1,'Bonding Program'!$H$29&gt;'Bonding Program'!$C$8,AR$3='Bonding Program'!$H$29),'Bonding Program'!$T$29-'Bonding Program'!$U$29-'Bonding Program'!$Z$29,0)-IF(AND('Bonding Program'!$S$29=1,'Bonding Program'!$H$29&lt;='Bonding Program'!$C$8,AR$3=IF('Bonding Program'!$P$29&lt;&gt;"",'Bonding Program'!$P$29,'Bonding Program'!$C$8)),'Bonding Program'!$Z$29,0)+IF(AND('Bonding Program'!$P$29&lt;&gt;"",AR$3='Bonding Program'!$P$29,AR$3&lt;='Bonding Program'!$C$8),N('Bonding Program'!$O$29),0)</f>
        <v>0</v>
      </c>
      <c r="AS170" s="19" t="n">
        <f aca="false">IF(AND('Bonding Program'!$S$29=1,'Bonding Program'!$H$29&gt;'Bonding Program'!$C$8,AS$3='Bonding Program'!$H$29),'Bonding Program'!$T$29-'Bonding Program'!$U$29-'Bonding Program'!$Z$29,0)-IF(AND('Bonding Program'!$S$29=1,'Bonding Program'!$H$29&lt;='Bonding Program'!$C$8,AS$3=IF('Bonding Program'!$P$29&lt;&gt;"",'Bonding Program'!$P$29,'Bonding Program'!$C$8)),'Bonding Program'!$Z$29,0)+IF(AND('Bonding Program'!$P$29&lt;&gt;"",AS$3='Bonding Program'!$P$29,AS$3&lt;='Bonding Program'!$C$8),N('Bonding Program'!$O$29),0)</f>
        <v>0</v>
      </c>
      <c r="AT170" s="19" t="n">
        <f aca="false">IF(AND('Bonding Program'!$S$29=1,'Bonding Program'!$H$29&gt;'Bonding Program'!$C$8,AT$3='Bonding Program'!$H$29),'Bonding Program'!$T$29-'Bonding Program'!$U$29-'Bonding Program'!$Z$29,0)-IF(AND('Bonding Program'!$S$29=1,'Bonding Program'!$H$29&lt;='Bonding Program'!$C$8,AT$3=IF('Bonding Program'!$P$29&lt;&gt;"",'Bonding Program'!$P$29,'Bonding Program'!$C$8)),'Bonding Program'!$Z$29,0)+IF(AND('Bonding Program'!$P$29&lt;&gt;"",AT$3='Bonding Program'!$P$29,AT$3&lt;='Bonding Program'!$C$8),N('Bonding Program'!$O$29),0)</f>
        <v>0</v>
      </c>
      <c r="AU170" s="19" t="n">
        <f aca="false">IF(AND('Bonding Program'!$S$29=1,'Bonding Program'!$H$29&gt;'Bonding Program'!$C$8,AU$3='Bonding Program'!$H$29),'Bonding Program'!$T$29-'Bonding Program'!$U$29-'Bonding Program'!$Z$29,0)-IF(AND('Bonding Program'!$S$29=1,'Bonding Program'!$H$29&lt;='Bonding Program'!$C$8,AU$3=IF('Bonding Program'!$P$29&lt;&gt;"",'Bonding Program'!$P$29,'Bonding Program'!$C$8)),'Bonding Program'!$Z$29,0)+IF(AND('Bonding Program'!$P$29&lt;&gt;"",AU$3='Bonding Program'!$P$29,AU$3&lt;='Bonding Program'!$C$8),N('Bonding Program'!$O$29),0)</f>
        <v>0</v>
      </c>
      <c r="AV170" s="19" t="n">
        <f aca="false">IF(AND('Bonding Program'!$S$29=1,'Bonding Program'!$H$29&gt;'Bonding Program'!$C$8,AV$3='Bonding Program'!$H$29),'Bonding Program'!$T$29-'Bonding Program'!$U$29-'Bonding Program'!$Z$29,0)-IF(AND('Bonding Program'!$S$29=1,'Bonding Program'!$H$29&lt;='Bonding Program'!$C$8,AV$3=IF('Bonding Program'!$P$29&lt;&gt;"",'Bonding Program'!$P$29,'Bonding Program'!$C$8)),'Bonding Program'!$Z$29,0)+IF(AND('Bonding Program'!$P$29&lt;&gt;"",AV$3='Bonding Program'!$P$29,AV$3&lt;='Bonding Program'!$C$8),N('Bonding Program'!$O$29),0)</f>
        <v>0</v>
      </c>
      <c r="AW170" s="19" t="n">
        <f aca="false">IF(AND('Bonding Program'!$S$29=1,'Bonding Program'!$H$29&gt;'Bonding Program'!$C$8,AW$3='Bonding Program'!$H$29),'Bonding Program'!$T$29-'Bonding Program'!$U$29-'Bonding Program'!$Z$29,0)-IF(AND('Bonding Program'!$S$29=1,'Bonding Program'!$H$29&lt;='Bonding Program'!$C$8,AW$3=IF('Bonding Program'!$P$29&lt;&gt;"",'Bonding Program'!$P$29,'Bonding Program'!$C$8)),'Bonding Program'!$Z$29,0)+IF(AND('Bonding Program'!$P$29&lt;&gt;"",AW$3='Bonding Program'!$P$29,AW$3&lt;='Bonding Program'!$C$8),N('Bonding Program'!$O$29),0)</f>
        <v>0</v>
      </c>
      <c r="AX170" s="19" t="n">
        <f aca="false">IF(AND('Bonding Program'!$S$29=1,'Bonding Program'!$H$29&gt;'Bonding Program'!$C$8,AX$3='Bonding Program'!$H$29),'Bonding Program'!$T$29-'Bonding Program'!$U$29-'Bonding Program'!$Z$29,0)-IF(AND('Bonding Program'!$S$29=1,'Bonding Program'!$H$29&lt;='Bonding Program'!$C$8,AX$3=IF('Bonding Program'!$P$29&lt;&gt;"",'Bonding Program'!$P$29,'Bonding Program'!$C$8)),'Bonding Program'!$Z$29,0)+IF(AND('Bonding Program'!$P$29&lt;&gt;"",AX$3='Bonding Program'!$P$29,AX$3&lt;='Bonding Program'!$C$8),N('Bonding Program'!$O$29),0)</f>
        <v>0</v>
      </c>
      <c r="AY170" s="19" t="n">
        <f aca="false">IF(AND('Bonding Program'!$S$29=1,'Bonding Program'!$H$29&gt;'Bonding Program'!$C$8,AY$3='Bonding Program'!$H$29),'Bonding Program'!$T$29-'Bonding Program'!$U$29-'Bonding Program'!$Z$29,0)-IF(AND('Bonding Program'!$S$29=1,'Bonding Program'!$H$29&lt;='Bonding Program'!$C$8,AY$3=IF('Bonding Program'!$P$29&lt;&gt;"",'Bonding Program'!$P$29,'Bonding Program'!$C$8)),'Bonding Program'!$Z$29,0)+IF(AND('Bonding Program'!$P$29&lt;&gt;"",AY$3='Bonding Program'!$P$29,AY$3&lt;='Bonding Program'!$C$8),N('Bonding Program'!$O$29),0)</f>
        <v>0</v>
      </c>
      <c r="AZ170" s="19" t="n">
        <f aca="false">IF(AND('Bonding Program'!$S$29=1,'Bonding Program'!$H$29&gt;'Bonding Program'!$C$8,AZ$3='Bonding Program'!$H$29),'Bonding Program'!$T$29-'Bonding Program'!$U$29-'Bonding Program'!$Z$29,0)-IF(AND('Bonding Program'!$S$29=1,'Bonding Program'!$H$29&lt;='Bonding Program'!$C$8,AZ$3=IF('Bonding Program'!$P$29&lt;&gt;"",'Bonding Program'!$P$29,'Bonding Program'!$C$8)),'Bonding Program'!$Z$29,0)+IF(AND('Bonding Program'!$P$29&lt;&gt;"",AZ$3='Bonding Program'!$P$29,AZ$3&lt;='Bonding Program'!$C$8),N('Bonding Program'!$O$29),0)</f>
        <v>0</v>
      </c>
      <c r="BA170" s="19" t="n">
        <f aca="false">IF(AND('Bonding Program'!$S$29=1,'Bonding Program'!$H$29&gt;'Bonding Program'!$C$8,BA$3='Bonding Program'!$H$29),'Bonding Program'!$T$29-'Bonding Program'!$U$29-'Bonding Program'!$Z$29,0)-IF(AND('Bonding Program'!$S$29=1,'Bonding Program'!$H$29&lt;='Bonding Program'!$C$8,BA$3=IF('Bonding Program'!$P$29&lt;&gt;"",'Bonding Program'!$P$29,'Bonding Program'!$C$8)),'Bonding Program'!$Z$29,0)+IF(AND('Bonding Program'!$P$29&lt;&gt;"",BA$3='Bonding Program'!$P$29,BA$3&lt;='Bonding Program'!$C$8),N('Bonding Program'!$O$29),0)</f>
        <v>0</v>
      </c>
      <c r="BB170" s="19" t="n">
        <f aca="false">IF(AND('Bonding Program'!$S$29=1,'Bonding Program'!$H$29&gt;'Bonding Program'!$C$8,BB$3='Bonding Program'!$H$29),'Bonding Program'!$T$29-'Bonding Program'!$U$29-'Bonding Program'!$Z$29,0)-IF(AND('Bonding Program'!$S$29=1,'Bonding Program'!$H$29&lt;='Bonding Program'!$C$8,BB$3=IF('Bonding Program'!$P$29&lt;&gt;"",'Bonding Program'!$P$29,'Bonding Program'!$C$8)),'Bonding Program'!$Z$29,0)+IF(AND('Bonding Program'!$P$29&lt;&gt;"",BB$3='Bonding Program'!$P$29,BB$3&lt;='Bonding Program'!$C$8),N('Bonding Program'!$O$29),0)</f>
        <v>0</v>
      </c>
      <c r="BC170" s="19" t="n">
        <f aca="false">IF(AND('Bonding Program'!$S$29=1,'Bonding Program'!$H$29&gt;'Bonding Program'!$C$8,BC$3='Bonding Program'!$H$29),'Bonding Program'!$T$29-'Bonding Program'!$U$29-'Bonding Program'!$Z$29,0)-IF(AND('Bonding Program'!$S$29=1,'Bonding Program'!$H$29&lt;='Bonding Program'!$C$8,BC$3=IF('Bonding Program'!$P$29&lt;&gt;"",'Bonding Program'!$P$29,'Bonding Program'!$C$8)),'Bonding Program'!$Z$29,0)+IF(AND('Bonding Program'!$P$29&lt;&gt;"",BC$3='Bonding Program'!$P$29,BC$3&lt;='Bonding Program'!$C$8),N('Bonding Program'!$O$29),0)</f>
        <v>0</v>
      </c>
      <c r="BD170" s="19" t="n">
        <f aca="false">IF(AND('Bonding Program'!$S$29=1,'Bonding Program'!$H$29&gt;'Bonding Program'!$C$8,BD$3='Bonding Program'!$H$29),'Bonding Program'!$T$29-'Bonding Program'!$U$29-'Bonding Program'!$Z$29,0)-IF(AND('Bonding Program'!$S$29=1,'Bonding Program'!$H$29&lt;='Bonding Program'!$C$8,BD$3=IF('Bonding Program'!$P$29&lt;&gt;"",'Bonding Program'!$P$29,'Bonding Program'!$C$8)),'Bonding Program'!$Z$29,0)+IF(AND('Bonding Program'!$P$29&lt;&gt;"",BD$3='Bonding Program'!$P$29,BD$3&lt;='Bonding Program'!$C$8),N('Bonding Program'!$O$29),0)</f>
        <v>0</v>
      </c>
      <c r="BE170" s="19" t="n">
        <f aca="false">IF(AND('Bonding Program'!$S$29=1,'Bonding Program'!$H$29&gt;'Bonding Program'!$C$8,BE$3='Bonding Program'!$H$29),'Bonding Program'!$T$29-'Bonding Program'!$U$29-'Bonding Program'!$Z$29,0)-IF(AND('Bonding Program'!$S$29=1,'Bonding Program'!$H$29&lt;='Bonding Program'!$C$8,BE$3=IF('Bonding Program'!$P$29&lt;&gt;"",'Bonding Program'!$P$29,'Bonding Program'!$C$8)),'Bonding Program'!$Z$29,0)+IF(AND('Bonding Program'!$P$29&lt;&gt;"",BE$3='Bonding Program'!$P$29,BE$3&lt;='Bonding Program'!$C$8),N('Bonding Program'!$O$29),0)</f>
        <v>0</v>
      </c>
      <c r="BF170" s="19" t="n">
        <f aca="false">IF(AND('Bonding Program'!$S$29=1,'Bonding Program'!$H$29&gt;'Bonding Program'!$C$8,BF$3='Bonding Program'!$H$29),'Bonding Program'!$T$29-'Bonding Program'!$U$29-'Bonding Program'!$Z$29,0)-IF(AND('Bonding Program'!$S$29=1,'Bonding Program'!$H$29&lt;='Bonding Program'!$C$8,BF$3=IF('Bonding Program'!$P$29&lt;&gt;"",'Bonding Program'!$P$29,'Bonding Program'!$C$8)),'Bonding Program'!$Z$29,0)+IF(AND('Bonding Program'!$P$29&lt;&gt;"",BF$3='Bonding Program'!$P$29,BF$3&lt;='Bonding Program'!$C$8),N('Bonding Program'!$O$29),0)</f>
        <v>0</v>
      </c>
      <c r="BG170" s="19" t="n">
        <f aca="false">IF(AND('Bonding Program'!$S$29=1,'Bonding Program'!$H$29&gt;'Bonding Program'!$C$8,BG$3='Bonding Program'!$H$29),'Bonding Program'!$T$29-'Bonding Program'!$U$29-'Bonding Program'!$Z$29,0)-IF(AND('Bonding Program'!$S$29=1,'Bonding Program'!$H$29&lt;='Bonding Program'!$C$8,BG$3=IF('Bonding Program'!$P$29&lt;&gt;"",'Bonding Program'!$P$29,'Bonding Program'!$C$8)),'Bonding Program'!$Z$29,0)+IF(AND('Bonding Program'!$P$29&lt;&gt;"",BG$3='Bonding Program'!$P$29,BG$3&lt;='Bonding Program'!$C$8),N('Bonding Program'!$O$29),0)</f>
        <v>0</v>
      </c>
      <c r="BH170" s="19" t="n">
        <f aca="false">IF(AND('Bonding Program'!$S$29=1,'Bonding Program'!$H$29&gt;'Bonding Program'!$C$8,BH$3='Bonding Program'!$H$29),'Bonding Program'!$T$29-'Bonding Program'!$U$29-'Bonding Program'!$Z$29,0)-IF(AND('Bonding Program'!$S$29=1,'Bonding Program'!$H$29&lt;='Bonding Program'!$C$8,BH$3=IF('Bonding Program'!$P$29&lt;&gt;"",'Bonding Program'!$P$29,'Bonding Program'!$C$8)),'Bonding Program'!$Z$29,0)+IF(AND('Bonding Program'!$P$29&lt;&gt;"",BH$3='Bonding Program'!$P$29,BH$3&lt;='Bonding Program'!$C$8),N('Bonding Program'!$O$29),0)</f>
        <v>0</v>
      </c>
      <c r="BI170" s="19" t="n">
        <f aca="false">IF(AND('Bonding Program'!$S$29=1,'Bonding Program'!$H$29&gt;'Bonding Program'!$C$8,BI$3='Bonding Program'!$H$29),'Bonding Program'!$T$29-'Bonding Program'!$U$29-'Bonding Program'!$Z$29,0)-IF(AND('Bonding Program'!$S$29=1,'Bonding Program'!$H$29&lt;='Bonding Program'!$C$8,BI$3=IF('Bonding Program'!$P$29&lt;&gt;"",'Bonding Program'!$P$29,'Bonding Program'!$C$8)),'Bonding Program'!$Z$29,0)+IF(AND('Bonding Program'!$P$29&lt;&gt;"",BI$3='Bonding Program'!$P$29,BI$3&lt;='Bonding Program'!$C$8),N('Bonding Program'!$O$29),0)</f>
        <v>0</v>
      </c>
      <c r="BJ170" s="19" t="n">
        <f aca="false">IF(AND('Bonding Program'!$S$29=1,'Bonding Program'!$H$29&gt;'Bonding Program'!$C$8,BJ$3='Bonding Program'!$H$29),'Bonding Program'!$T$29-'Bonding Program'!$U$29-'Bonding Program'!$Z$29,0)-IF(AND('Bonding Program'!$S$29=1,'Bonding Program'!$H$29&lt;='Bonding Program'!$C$8,BJ$3=IF('Bonding Program'!$P$29&lt;&gt;"",'Bonding Program'!$P$29,'Bonding Program'!$C$8)),'Bonding Program'!$Z$29,0)+IF(AND('Bonding Program'!$P$29&lt;&gt;"",BJ$3='Bonding Program'!$P$29,BJ$3&lt;='Bonding Program'!$C$8),N('Bonding Program'!$O$29),0)</f>
        <v>0</v>
      </c>
      <c r="BK170" s="19" t="n">
        <f aca="false">IF(AND('Bonding Program'!$S$29=1,'Bonding Program'!$H$29&gt;'Bonding Program'!$C$8,BK$3='Bonding Program'!$H$29),'Bonding Program'!$T$29-'Bonding Program'!$U$29-'Bonding Program'!$Z$29,0)-IF(AND('Bonding Program'!$S$29=1,'Bonding Program'!$H$29&lt;='Bonding Program'!$C$8,BK$3=IF('Bonding Program'!$P$29&lt;&gt;"",'Bonding Program'!$P$29,'Bonding Program'!$C$8)),'Bonding Program'!$Z$29,0)+IF(AND('Bonding Program'!$P$29&lt;&gt;"",BK$3='Bonding Program'!$P$29,BK$3&lt;='Bonding Program'!$C$8),N('Bonding Program'!$O$29),0)</f>
        <v>0</v>
      </c>
      <c r="BL170" s="19" t="n">
        <f aca="false">IF(AND('Bonding Program'!$S$29=1,'Bonding Program'!$H$29&gt;'Bonding Program'!$C$8,BL$3='Bonding Program'!$H$29),'Bonding Program'!$T$29-'Bonding Program'!$U$29-'Bonding Program'!$Z$29,0)-IF(AND('Bonding Program'!$S$29=1,'Bonding Program'!$H$29&lt;='Bonding Program'!$C$8,BL$3=IF('Bonding Program'!$P$29&lt;&gt;"",'Bonding Program'!$P$29,'Bonding Program'!$C$8)),'Bonding Program'!$Z$29,0)+IF(AND('Bonding Program'!$P$29&lt;&gt;"",BL$3='Bonding Program'!$P$29,BL$3&lt;='Bonding Program'!$C$8),N('Bonding Program'!$O$29),0)</f>
        <v>0</v>
      </c>
      <c r="BM170" s="19" t="n">
        <f aca="false">IF(AND('Bonding Program'!$S$29=1,'Bonding Program'!$H$29&gt;'Bonding Program'!$C$8,BM$3='Bonding Program'!$H$29),'Bonding Program'!$T$29-'Bonding Program'!$U$29-'Bonding Program'!$Z$29,0)-IF(AND('Bonding Program'!$S$29=1,'Bonding Program'!$H$29&lt;='Bonding Program'!$C$8,BM$3=IF('Bonding Program'!$P$29&lt;&gt;"",'Bonding Program'!$P$29,'Bonding Program'!$C$8)),'Bonding Program'!$Z$29,0)+IF(AND('Bonding Program'!$P$29&lt;&gt;"",BM$3='Bonding Program'!$P$29,BM$3&lt;='Bonding Program'!$C$8),N('Bonding Program'!$O$29),0)</f>
        <v>0</v>
      </c>
      <c r="BN170" s="19" t="n">
        <f aca="false">IF(AND('Bonding Program'!$S$29=1,'Bonding Program'!$H$29&gt;'Bonding Program'!$C$8,BN$3='Bonding Program'!$H$29),'Bonding Program'!$T$29-'Bonding Program'!$U$29-'Bonding Program'!$Z$29,0)-IF(AND('Bonding Program'!$S$29=1,'Bonding Program'!$H$29&lt;='Bonding Program'!$C$8,BN$3=IF('Bonding Program'!$P$29&lt;&gt;"",'Bonding Program'!$P$29,'Bonding Program'!$C$8)),'Bonding Program'!$Z$29,0)+IF(AND('Bonding Program'!$P$29&lt;&gt;"",BN$3='Bonding Program'!$P$29,BN$3&lt;='Bonding Program'!$C$8),N('Bonding Program'!$O$29),0)</f>
        <v>0</v>
      </c>
      <c r="BO170" s="19" t="n">
        <f aca="false">IF(AND('Bonding Program'!$S$29=1,'Bonding Program'!$H$29&gt;'Bonding Program'!$C$8,BO$3='Bonding Program'!$H$29),'Bonding Program'!$T$29-'Bonding Program'!$U$29-'Bonding Program'!$Z$29,0)-IF(AND('Bonding Program'!$S$29=1,'Bonding Program'!$H$29&lt;='Bonding Program'!$C$8,BO$3=IF('Bonding Program'!$P$29&lt;&gt;"",'Bonding Program'!$P$29,'Bonding Program'!$C$8)),'Bonding Program'!$Z$29,0)+IF(AND('Bonding Program'!$P$29&lt;&gt;"",BO$3='Bonding Program'!$P$29,BO$3&lt;='Bonding Program'!$C$8),N('Bonding Program'!$O$29),0)</f>
        <v>0</v>
      </c>
      <c r="BP170" s="19" t="n">
        <f aca="false">IF(AND('Bonding Program'!$S$29=1,'Bonding Program'!$H$29&gt;'Bonding Program'!$C$8,BP$3='Bonding Program'!$H$29),'Bonding Program'!$T$29-'Bonding Program'!$U$29-'Bonding Program'!$Z$29,0)-IF(AND('Bonding Program'!$S$29=1,'Bonding Program'!$H$29&lt;='Bonding Program'!$C$8,BP$3=IF('Bonding Program'!$P$29&lt;&gt;"",'Bonding Program'!$P$29,'Bonding Program'!$C$8)),'Bonding Program'!$Z$29,0)+IF(AND('Bonding Program'!$P$29&lt;&gt;"",BP$3='Bonding Program'!$P$29,BP$3&lt;='Bonding Program'!$C$8),N('Bonding Program'!$O$29),0)</f>
        <v>0</v>
      </c>
      <c r="BQ170" s="19" t="n">
        <f aca="false">IF(AND('Bonding Program'!$S$29=1,'Bonding Program'!$H$29&gt;'Bonding Program'!$C$8,BQ$3='Bonding Program'!$H$29),'Bonding Program'!$T$29-'Bonding Program'!$U$29-'Bonding Program'!$Z$29,0)-IF(AND('Bonding Program'!$S$29=1,'Bonding Program'!$H$29&lt;='Bonding Program'!$C$8,BQ$3=IF('Bonding Program'!$P$29&lt;&gt;"",'Bonding Program'!$P$29,'Bonding Program'!$C$8)),'Bonding Program'!$Z$29,0)+IF(AND('Bonding Program'!$P$29&lt;&gt;"",BQ$3='Bonding Program'!$P$29,BQ$3&lt;='Bonding Program'!$C$8),N('Bonding Program'!$O$29),0)</f>
        <v>0</v>
      </c>
      <c r="BR170" s="19" t="n">
        <f aca="false">IF(AND('Bonding Program'!$S$29=1,'Bonding Program'!$H$29&gt;'Bonding Program'!$C$8,BR$3='Bonding Program'!$H$29),'Bonding Program'!$T$29-'Bonding Program'!$U$29-'Bonding Program'!$Z$29,0)-IF(AND('Bonding Program'!$S$29=1,'Bonding Program'!$H$29&lt;='Bonding Program'!$C$8,BR$3=IF('Bonding Program'!$P$29&lt;&gt;"",'Bonding Program'!$P$29,'Bonding Program'!$C$8)),'Bonding Program'!$Z$29,0)+IF(AND('Bonding Program'!$P$29&lt;&gt;"",BR$3='Bonding Program'!$P$29,BR$3&lt;='Bonding Program'!$C$8),N('Bonding Program'!$O$29),0)</f>
        <v>0</v>
      </c>
      <c r="BS170" s="19" t="n">
        <f aca="false">IF(AND('Bonding Program'!$S$29=1,'Bonding Program'!$H$29&gt;'Bonding Program'!$C$8,BS$3='Bonding Program'!$H$29),'Bonding Program'!$T$29-'Bonding Program'!$U$29-'Bonding Program'!$Z$29,0)-IF(AND('Bonding Program'!$S$29=1,'Bonding Program'!$H$29&lt;='Bonding Program'!$C$8,BS$3=IF('Bonding Program'!$P$29&lt;&gt;"",'Bonding Program'!$P$29,'Bonding Program'!$C$8)),'Bonding Program'!$Z$29,0)+IF(AND('Bonding Program'!$P$29&lt;&gt;"",BS$3='Bonding Program'!$P$29,BS$3&lt;='Bonding Program'!$C$8),N('Bonding Program'!$O$29),0)</f>
        <v>0</v>
      </c>
      <c r="BT170" s="19" t="n">
        <f aca="false">IF(AND('Bonding Program'!$S$29=1,'Bonding Program'!$H$29&gt;'Bonding Program'!$C$8,BT$3='Bonding Program'!$H$29),'Bonding Program'!$T$29-'Bonding Program'!$U$29-'Bonding Program'!$Z$29,0)-IF(AND('Bonding Program'!$S$29=1,'Bonding Program'!$H$29&lt;='Bonding Program'!$C$8,BT$3=IF('Bonding Program'!$P$29&lt;&gt;"",'Bonding Program'!$P$29,'Bonding Program'!$C$8)),'Bonding Program'!$Z$29,0)+IF(AND('Bonding Program'!$P$29&lt;&gt;"",BT$3='Bonding Program'!$P$29,BT$3&lt;='Bonding Program'!$C$8),N('Bonding Program'!$O$29),0)</f>
        <v>0</v>
      </c>
      <c r="BU170" s="19" t="n">
        <f aca="false">IF(AND('Bonding Program'!$S$29=1,'Bonding Program'!$H$29&gt;'Bonding Program'!$C$8,BU$3='Bonding Program'!$H$29),'Bonding Program'!$T$29-'Bonding Program'!$U$29-'Bonding Program'!$Z$29,0)-IF(AND('Bonding Program'!$S$29=1,'Bonding Program'!$H$29&lt;='Bonding Program'!$C$8,BU$3=IF('Bonding Program'!$P$29&lt;&gt;"",'Bonding Program'!$P$29,'Bonding Program'!$C$8)),'Bonding Program'!$Z$29,0)+IF(AND('Bonding Program'!$P$29&lt;&gt;"",BU$3='Bonding Program'!$P$29,BU$3&lt;='Bonding Program'!$C$8),N('Bonding Program'!$O$29),0)</f>
        <v>0</v>
      </c>
      <c r="BV170" s="19" t="n">
        <f aca="false">IF(AND('Bonding Program'!$S$29=1,'Bonding Program'!$H$29&gt;'Bonding Program'!$C$8,BV$3='Bonding Program'!$H$29),'Bonding Program'!$T$29-'Bonding Program'!$U$29-'Bonding Program'!$Z$29,0)-IF(AND('Bonding Program'!$S$29=1,'Bonding Program'!$H$29&lt;='Bonding Program'!$C$8,BV$3=IF('Bonding Program'!$P$29&lt;&gt;"",'Bonding Program'!$P$29,'Bonding Program'!$C$8)),'Bonding Program'!$Z$29,0)+IF(AND('Bonding Program'!$P$29&lt;&gt;"",BV$3='Bonding Program'!$P$29,BV$3&lt;='Bonding Program'!$C$8),N('Bonding Program'!$O$29),0)</f>
        <v>0</v>
      </c>
      <c r="BW170" s="19" t="n">
        <f aca="false">IF(AND('Bonding Program'!$S$29=1,'Bonding Program'!$H$29&gt;'Bonding Program'!$C$8,BW$3='Bonding Program'!$H$29),'Bonding Program'!$T$29-'Bonding Program'!$U$29-'Bonding Program'!$Z$29,0)-IF(AND('Bonding Program'!$S$29=1,'Bonding Program'!$H$29&lt;='Bonding Program'!$C$8,BW$3=IF('Bonding Program'!$P$29&lt;&gt;"",'Bonding Program'!$P$29,'Bonding Program'!$C$8)),'Bonding Program'!$Z$29,0)+IF(AND('Bonding Program'!$P$29&lt;&gt;"",BW$3='Bonding Program'!$P$29,BW$3&lt;='Bonding Program'!$C$8),N('Bonding Program'!$O$29),0)</f>
        <v>0</v>
      </c>
      <c r="BX170" s="19" t="n">
        <f aca="false">IF(AND('Bonding Program'!$S$29=1,'Bonding Program'!$H$29&gt;'Bonding Program'!$C$8,BX$3='Bonding Program'!$H$29),'Bonding Program'!$T$29-'Bonding Program'!$U$29-'Bonding Program'!$Z$29,0)-IF(AND('Bonding Program'!$S$29=1,'Bonding Program'!$H$29&lt;='Bonding Program'!$C$8,BX$3=IF('Bonding Program'!$P$29&lt;&gt;"",'Bonding Program'!$P$29,'Bonding Program'!$C$8)),'Bonding Program'!$Z$29,0)+IF(AND('Bonding Program'!$P$29&lt;&gt;"",BX$3='Bonding Program'!$P$29,BX$3&lt;='Bonding Program'!$C$8),N('Bonding Program'!$O$29),0)</f>
        <v>0</v>
      </c>
      <c r="BY170" s="19" t="n">
        <f aca="false">IF(AND('Bonding Program'!$S$29=1,'Bonding Program'!$H$29&gt;'Bonding Program'!$C$8,BY$3='Bonding Program'!$H$29),'Bonding Program'!$T$29-'Bonding Program'!$U$29-'Bonding Program'!$Z$29,0)-IF(AND('Bonding Program'!$S$29=1,'Bonding Program'!$H$29&lt;='Bonding Program'!$C$8,BY$3=IF('Bonding Program'!$P$29&lt;&gt;"",'Bonding Program'!$P$29,'Bonding Program'!$C$8)),'Bonding Program'!$Z$29,0)+IF(AND('Bonding Program'!$P$29&lt;&gt;"",BY$3='Bonding Program'!$P$29,BY$3&lt;='Bonding Program'!$C$8),N('Bonding Program'!$O$29),0)</f>
        <v>0</v>
      </c>
      <c r="BZ170" s="19" t="n">
        <f aca="false">IF(AND('Bonding Program'!$S$29=1,'Bonding Program'!$H$29&gt;'Bonding Program'!$C$8,BZ$3='Bonding Program'!$H$29),'Bonding Program'!$T$29-'Bonding Program'!$U$29-'Bonding Program'!$Z$29,0)-IF(AND('Bonding Program'!$S$29=1,'Bonding Program'!$H$29&lt;='Bonding Program'!$C$8,BZ$3=IF('Bonding Program'!$P$29&lt;&gt;"",'Bonding Program'!$P$29,'Bonding Program'!$C$8)),'Bonding Program'!$Z$29,0)+IF(AND('Bonding Program'!$P$29&lt;&gt;"",BZ$3='Bonding Program'!$P$29,BZ$3&lt;='Bonding Program'!$C$8),N('Bonding Program'!$O$29),0)</f>
        <v>0</v>
      </c>
      <c r="CA170" s="19" t="n">
        <f aca="false">IF(AND('Bonding Program'!$S$29=1,'Bonding Program'!$H$29&gt;'Bonding Program'!$C$8,CA$3='Bonding Program'!$H$29),'Bonding Program'!$T$29-'Bonding Program'!$U$29-'Bonding Program'!$Z$29,0)-IF(AND('Bonding Program'!$S$29=1,'Bonding Program'!$H$29&lt;='Bonding Program'!$C$8,CA$3=IF('Bonding Program'!$P$29&lt;&gt;"",'Bonding Program'!$P$29,'Bonding Program'!$C$8)),'Bonding Program'!$Z$29,0)+IF(AND('Bonding Program'!$P$29&lt;&gt;"",CA$3='Bonding Program'!$P$29,CA$3&lt;='Bonding Program'!$C$8),N('Bonding Program'!$O$29),0)</f>
        <v>0</v>
      </c>
      <c r="CB170" s="19" t="n">
        <f aca="false">IF(AND('Bonding Program'!$S$29=1,'Bonding Program'!$H$29&gt;'Bonding Program'!$C$8,CB$3='Bonding Program'!$H$29),'Bonding Program'!$T$29-'Bonding Program'!$U$29-'Bonding Program'!$Z$29,0)-IF(AND('Bonding Program'!$S$29=1,'Bonding Program'!$H$29&lt;='Bonding Program'!$C$8,CB$3=IF('Bonding Program'!$P$29&lt;&gt;"",'Bonding Program'!$P$29,'Bonding Program'!$C$8)),'Bonding Program'!$Z$29,0)+IF(AND('Bonding Program'!$P$29&lt;&gt;"",CB$3='Bonding Program'!$P$29,CB$3&lt;='Bonding Program'!$C$8),N('Bonding Program'!$O$29),0)</f>
        <v>0</v>
      </c>
      <c r="CC170" s="19" t="n">
        <f aca="false">IF(AND('Bonding Program'!$S$29=1,'Bonding Program'!$H$29&gt;'Bonding Program'!$C$8,CC$3='Bonding Program'!$H$29),'Bonding Program'!$T$29-'Bonding Program'!$U$29-'Bonding Program'!$Z$29,0)-IF(AND('Bonding Program'!$S$29=1,'Bonding Program'!$H$29&lt;='Bonding Program'!$C$8,CC$3=IF('Bonding Program'!$P$29&lt;&gt;"",'Bonding Program'!$P$29,'Bonding Program'!$C$8)),'Bonding Program'!$Z$29,0)+IF(AND('Bonding Program'!$P$29&lt;&gt;"",CC$3='Bonding Program'!$P$29,CC$3&lt;='Bonding Program'!$C$8),N('Bonding Program'!$O$29),0)</f>
        <v>0</v>
      </c>
      <c r="CD170" s="19" t="n">
        <f aca="false">IF(AND('Bonding Program'!$S$29=1,'Bonding Program'!$H$29&gt;'Bonding Program'!$C$8,CD$3='Bonding Program'!$H$29),'Bonding Program'!$T$29-'Bonding Program'!$U$29-'Bonding Program'!$Z$29,0)-IF(AND('Bonding Program'!$S$29=1,'Bonding Program'!$H$29&lt;='Bonding Program'!$C$8,CD$3=IF('Bonding Program'!$P$29&lt;&gt;"",'Bonding Program'!$P$29,'Bonding Program'!$C$8)),'Bonding Program'!$Z$29,0)+IF(AND('Bonding Program'!$P$29&lt;&gt;"",CD$3='Bonding Program'!$P$29,CD$3&lt;='Bonding Program'!$C$8),N('Bonding Program'!$O$29),0)</f>
        <v>0</v>
      </c>
      <c r="CE170" s="19" t="n">
        <f aca="false">IF(AND('Bonding Program'!$S$29=1,'Bonding Program'!$H$29&gt;'Bonding Program'!$C$8,CE$3='Bonding Program'!$H$29),'Bonding Program'!$T$29-'Bonding Program'!$U$29-'Bonding Program'!$Z$29,0)-IF(AND('Bonding Program'!$S$29=1,'Bonding Program'!$H$29&lt;='Bonding Program'!$C$8,CE$3=IF('Bonding Program'!$P$29&lt;&gt;"",'Bonding Program'!$P$29,'Bonding Program'!$C$8)),'Bonding Program'!$Z$29,0)+IF(AND('Bonding Program'!$P$29&lt;&gt;"",CE$3='Bonding Program'!$P$29,CE$3&lt;='Bonding Program'!$C$8),N('Bonding Program'!$O$29),0)</f>
        <v>0</v>
      </c>
      <c r="CF170" s="19" t="n">
        <f aca="false">IF(AND('Bonding Program'!$S$29=1,'Bonding Program'!$H$29&gt;'Bonding Program'!$C$8,CF$3='Bonding Program'!$H$29),'Bonding Program'!$T$29-'Bonding Program'!$U$29-'Bonding Program'!$Z$29,0)-IF(AND('Bonding Program'!$S$29=1,'Bonding Program'!$H$29&lt;='Bonding Program'!$C$8,CF$3=IF('Bonding Program'!$P$29&lt;&gt;"",'Bonding Program'!$P$29,'Bonding Program'!$C$8)),'Bonding Program'!$Z$29,0)+IF(AND('Bonding Program'!$P$29&lt;&gt;"",CF$3='Bonding Program'!$P$29,CF$3&lt;='Bonding Program'!$C$8),N('Bonding Program'!$O$29),0)</f>
        <v>0</v>
      </c>
      <c r="CG170" s="19" t="n">
        <f aca="false">IF(AND('Bonding Program'!$S$29=1,'Bonding Program'!$H$29&gt;'Bonding Program'!$C$8,CG$3='Bonding Program'!$H$29),'Bonding Program'!$T$29-'Bonding Program'!$U$29-'Bonding Program'!$Z$29,0)-IF(AND('Bonding Program'!$S$29=1,'Bonding Program'!$H$29&lt;='Bonding Program'!$C$8,CG$3=IF('Bonding Program'!$P$29&lt;&gt;"",'Bonding Program'!$P$29,'Bonding Program'!$C$8)),'Bonding Program'!$Z$29,0)+IF(AND('Bonding Program'!$P$29&lt;&gt;"",CG$3='Bonding Program'!$P$29,CG$3&lt;='Bonding Program'!$C$8),N('Bonding Program'!$O$29),0)</f>
        <v>0</v>
      </c>
      <c r="CH170" s="19" t="n">
        <f aca="false">IF(AND('Bonding Program'!$S$29=1,'Bonding Program'!$H$29&gt;'Bonding Program'!$C$8,CH$3='Bonding Program'!$H$29),'Bonding Program'!$T$29-'Bonding Program'!$U$29-'Bonding Program'!$Z$29,0)-IF(AND('Bonding Program'!$S$29=1,'Bonding Program'!$H$29&lt;='Bonding Program'!$C$8,CH$3=IF('Bonding Program'!$P$29&lt;&gt;"",'Bonding Program'!$P$29,'Bonding Program'!$C$8)),'Bonding Program'!$Z$29,0)+IF(AND('Bonding Program'!$P$29&lt;&gt;"",CH$3='Bonding Program'!$P$29,CH$3&lt;='Bonding Program'!$C$8),N('Bonding Program'!$O$29),0)</f>
        <v>0</v>
      </c>
      <c r="CI170" s="19" t="n">
        <f aca="false">IF(AND('Bonding Program'!$S$29=1,'Bonding Program'!$H$29&gt;'Bonding Program'!$C$8,CI$3='Bonding Program'!$H$29),'Bonding Program'!$T$29-'Bonding Program'!$U$29-'Bonding Program'!$Z$29,0)-IF(AND('Bonding Program'!$S$29=1,'Bonding Program'!$H$29&lt;='Bonding Program'!$C$8,CI$3=IF('Bonding Program'!$P$29&lt;&gt;"",'Bonding Program'!$P$29,'Bonding Program'!$C$8)),'Bonding Program'!$Z$29,0)+IF(AND('Bonding Program'!$P$29&lt;&gt;"",CI$3='Bonding Program'!$P$29,CI$3&lt;='Bonding Program'!$C$8),N('Bonding Program'!$O$29),0)</f>
        <v>0</v>
      </c>
      <c r="CJ170" s="19" t="n">
        <f aca="false">IF(AND('Bonding Program'!$S$29=1,'Bonding Program'!$H$29&gt;'Bonding Program'!$C$8,CJ$3='Bonding Program'!$H$29),'Bonding Program'!$T$29-'Bonding Program'!$U$29-'Bonding Program'!$Z$29,0)-IF(AND('Bonding Program'!$S$29=1,'Bonding Program'!$H$29&lt;='Bonding Program'!$C$8,CJ$3=IF('Bonding Program'!$P$29&lt;&gt;"",'Bonding Program'!$P$29,'Bonding Program'!$C$8)),'Bonding Program'!$Z$29,0)+IF(AND('Bonding Program'!$P$29&lt;&gt;"",CJ$3='Bonding Program'!$P$29,CJ$3&lt;='Bonding Program'!$C$8),N('Bonding Program'!$O$29),0)</f>
        <v>0</v>
      </c>
      <c r="CK170" s="19" t="n">
        <f aca="false">IF(AND('Bonding Program'!$S$29=1,'Bonding Program'!$H$29&gt;'Bonding Program'!$C$8,CK$3='Bonding Program'!$H$29),'Bonding Program'!$T$29-'Bonding Program'!$U$29-'Bonding Program'!$Z$29,0)-IF(AND('Bonding Program'!$S$29=1,'Bonding Program'!$H$29&lt;='Bonding Program'!$C$8,CK$3=IF('Bonding Program'!$P$29&lt;&gt;"",'Bonding Program'!$P$29,'Bonding Program'!$C$8)),'Bonding Program'!$Z$29,0)+IF(AND('Bonding Program'!$P$29&lt;&gt;"",CK$3='Bonding Program'!$P$29,CK$3&lt;='Bonding Program'!$C$8),N('Bonding Program'!$O$29),0)</f>
        <v>0</v>
      </c>
      <c r="CL170" s="19" t="n">
        <f aca="false">IF(AND('Bonding Program'!$S$29=1,'Bonding Program'!$H$29&gt;'Bonding Program'!$C$8,CL$3='Bonding Program'!$H$29),'Bonding Program'!$T$29-'Bonding Program'!$U$29-'Bonding Program'!$Z$29,0)-IF(AND('Bonding Program'!$S$29=1,'Bonding Program'!$H$29&lt;='Bonding Program'!$C$8,CL$3=IF('Bonding Program'!$P$29&lt;&gt;"",'Bonding Program'!$P$29,'Bonding Program'!$C$8)),'Bonding Program'!$Z$29,0)+IF(AND('Bonding Program'!$P$29&lt;&gt;"",CL$3='Bonding Program'!$P$29,CL$3&lt;='Bonding Program'!$C$8),N('Bonding Program'!$O$29),0)</f>
        <v>0</v>
      </c>
      <c r="CM170" s="19" t="n">
        <f aca="false">IF(AND('Bonding Program'!$S$29=1,'Bonding Program'!$H$29&gt;'Bonding Program'!$C$8,CM$3='Bonding Program'!$H$29),'Bonding Program'!$T$29-'Bonding Program'!$U$29-'Bonding Program'!$Z$29,0)-IF(AND('Bonding Program'!$S$29=1,'Bonding Program'!$H$29&lt;='Bonding Program'!$C$8,CM$3=IF('Bonding Program'!$P$29&lt;&gt;"",'Bonding Program'!$P$29,'Bonding Program'!$C$8)),'Bonding Program'!$Z$29,0)+IF(AND('Bonding Program'!$P$29&lt;&gt;"",CM$3='Bonding Program'!$P$29,CM$3&lt;='Bonding Program'!$C$8),N('Bonding Program'!$O$29),0)</f>
        <v>0</v>
      </c>
      <c r="CN170" s="19" t="n">
        <f aca="false">IF(AND('Bonding Program'!$S$29=1,'Bonding Program'!$H$29&gt;'Bonding Program'!$C$8,CN$3='Bonding Program'!$H$29),'Bonding Program'!$T$29-'Bonding Program'!$U$29-'Bonding Program'!$Z$29,0)-IF(AND('Bonding Program'!$S$29=1,'Bonding Program'!$H$29&lt;='Bonding Program'!$C$8,CN$3=IF('Bonding Program'!$P$29&lt;&gt;"",'Bonding Program'!$P$29,'Bonding Program'!$C$8)),'Bonding Program'!$Z$29,0)+IF(AND('Bonding Program'!$P$29&lt;&gt;"",CN$3='Bonding Program'!$P$29,CN$3&lt;='Bonding Program'!$C$8),N('Bonding Program'!$O$29),0)</f>
        <v>0</v>
      </c>
      <c r="CO170" s="19" t="n">
        <f aca="false">IF(AND('Bonding Program'!$S$29=1,'Bonding Program'!$H$29&gt;'Bonding Program'!$C$8,CO$3='Bonding Program'!$H$29),'Bonding Program'!$T$29-'Bonding Program'!$U$29-'Bonding Program'!$Z$29,0)-IF(AND('Bonding Program'!$S$29=1,'Bonding Program'!$H$29&lt;='Bonding Program'!$C$8,CO$3=IF('Bonding Program'!$P$29&lt;&gt;"",'Bonding Program'!$P$29,'Bonding Program'!$C$8)),'Bonding Program'!$Z$29,0)+IF(AND('Bonding Program'!$P$29&lt;&gt;"",CO$3='Bonding Program'!$P$29,CO$3&lt;='Bonding Program'!$C$8),N('Bonding Program'!$O$29),0)</f>
        <v>0</v>
      </c>
      <c r="CP170" s="19" t="n">
        <f aca="false">IF(AND('Bonding Program'!$S$29=1,'Bonding Program'!$H$29&gt;'Bonding Program'!$C$8,CP$3='Bonding Program'!$H$29),'Bonding Program'!$T$29-'Bonding Program'!$U$29-'Bonding Program'!$Z$29,0)-IF(AND('Bonding Program'!$S$29=1,'Bonding Program'!$H$29&lt;='Bonding Program'!$C$8,CP$3=IF('Bonding Program'!$P$29&lt;&gt;"",'Bonding Program'!$P$29,'Bonding Program'!$C$8)),'Bonding Program'!$Z$29,0)+IF(AND('Bonding Program'!$P$29&lt;&gt;"",CP$3='Bonding Program'!$P$29,CP$3&lt;='Bonding Program'!$C$8),N('Bonding Program'!$O$29),0)</f>
        <v>0</v>
      </c>
      <c r="CQ170" s="19" t="n">
        <f aca="false">IF(AND('Bonding Program'!$S$29=1,'Bonding Program'!$H$29&gt;'Bonding Program'!$C$8,CQ$3='Bonding Program'!$H$29),'Bonding Program'!$T$29-'Bonding Program'!$U$29-'Bonding Program'!$Z$29,0)-IF(AND('Bonding Program'!$S$29=1,'Bonding Program'!$H$29&lt;='Bonding Program'!$C$8,CQ$3=IF('Bonding Program'!$P$29&lt;&gt;"",'Bonding Program'!$P$29,'Bonding Program'!$C$8)),'Bonding Program'!$Z$29,0)+IF(AND('Bonding Program'!$P$29&lt;&gt;"",CQ$3='Bonding Program'!$P$29,CQ$3&lt;='Bonding Program'!$C$8),N('Bonding Program'!$O$29),0)</f>
        <v>0</v>
      </c>
      <c r="CR170" s="19" t="n">
        <f aca="false">IF(AND('Bonding Program'!$S$29=1,'Bonding Program'!$H$29&gt;'Bonding Program'!$C$8,CR$3='Bonding Program'!$H$29),'Bonding Program'!$T$29-'Bonding Program'!$U$29-'Bonding Program'!$Z$29,0)-IF(AND('Bonding Program'!$S$29=1,'Bonding Program'!$H$29&lt;='Bonding Program'!$C$8,CR$3=IF('Bonding Program'!$P$29&lt;&gt;"",'Bonding Program'!$P$29,'Bonding Program'!$C$8)),'Bonding Program'!$Z$29,0)+IF(AND('Bonding Program'!$P$29&lt;&gt;"",CR$3='Bonding Program'!$P$29,CR$3&lt;='Bonding Program'!$C$8),N('Bonding Program'!$O$29),0)</f>
        <v>0</v>
      </c>
      <c r="CS170" s="19" t="n">
        <f aca="false">IF(AND('Bonding Program'!$S$29=1,'Bonding Program'!$H$29&gt;'Bonding Program'!$C$8,CS$3='Bonding Program'!$H$29),'Bonding Program'!$T$29-'Bonding Program'!$U$29-'Bonding Program'!$Z$29,0)-IF(AND('Bonding Program'!$S$29=1,'Bonding Program'!$H$29&lt;='Bonding Program'!$C$8,CS$3=IF('Bonding Program'!$P$29&lt;&gt;"",'Bonding Program'!$P$29,'Bonding Program'!$C$8)),'Bonding Program'!$Z$29,0)+IF(AND('Bonding Program'!$P$29&lt;&gt;"",CS$3='Bonding Program'!$P$29,CS$3&lt;='Bonding Program'!$C$8),N('Bonding Program'!$O$29),0)</f>
        <v>0</v>
      </c>
      <c r="CT170" s="19" t="n">
        <f aca="false">IF(AND('Bonding Program'!$S$29=1,'Bonding Program'!$H$29&gt;'Bonding Program'!$C$8,CT$3='Bonding Program'!$H$29),'Bonding Program'!$T$29-'Bonding Program'!$U$29-'Bonding Program'!$Z$29,0)-IF(AND('Bonding Program'!$S$29=1,'Bonding Program'!$H$29&lt;='Bonding Program'!$C$8,CT$3=IF('Bonding Program'!$P$29&lt;&gt;"",'Bonding Program'!$P$29,'Bonding Program'!$C$8)),'Bonding Program'!$Z$29,0)+IF(AND('Bonding Program'!$P$29&lt;&gt;"",CT$3='Bonding Program'!$P$29,CT$3&lt;='Bonding Program'!$C$8),N('Bonding Program'!$O$29),0)</f>
        <v>0</v>
      </c>
      <c r="CU170" s="19" t="n">
        <f aca="false">IF(AND('Bonding Program'!$S$29=1,'Bonding Program'!$H$29&gt;'Bonding Program'!$C$8,CU$3='Bonding Program'!$H$29),'Bonding Program'!$T$29-'Bonding Program'!$U$29-'Bonding Program'!$Z$29,0)-IF(AND('Bonding Program'!$S$29=1,'Bonding Program'!$H$29&lt;='Bonding Program'!$C$8,CU$3=IF('Bonding Program'!$P$29&lt;&gt;"",'Bonding Program'!$P$29,'Bonding Program'!$C$8)),'Bonding Program'!$Z$29,0)+IF(AND('Bonding Program'!$P$29&lt;&gt;"",CU$3='Bonding Program'!$P$29,CU$3&lt;='Bonding Program'!$C$8),N('Bonding Program'!$O$29),0)</f>
        <v>0</v>
      </c>
      <c r="CV170" s="19" t="n">
        <f aca="false">IF(AND('Bonding Program'!$S$29=1,'Bonding Program'!$H$29&gt;'Bonding Program'!$C$8,CV$3='Bonding Program'!$H$29),'Bonding Program'!$T$29-'Bonding Program'!$U$29-'Bonding Program'!$Z$29,0)-IF(AND('Bonding Program'!$S$29=1,'Bonding Program'!$H$29&lt;='Bonding Program'!$C$8,CV$3=IF('Bonding Program'!$P$29&lt;&gt;"",'Bonding Program'!$P$29,'Bonding Program'!$C$8)),'Bonding Program'!$Z$29,0)+IF(AND('Bonding Program'!$P$29&lt;&gt;"",CV$3='Bonding Program'!$P$29,CV$3&lt;='Bonding Program'!$C$8),N('Bonding Program'!$O$29),0)</f>
        <v>0</v>
      </c>
      <c r="CW170" s="19" t="n">
        <f aca="false">IF(AND('Bonding Program'!$S$29=1,'Bonding Program'!$H$29&gt;'Bonding Program'!$C$8,CW$3='Bonding Program'!$H$29),'Bonding Program'!$T$29-'Bonding Program'!$U$29-'Bonding Program'!$Z$29,0)-IF(AND('Bonding Program'!$S$29=1,'Bonding Program'!$H$29&lt;='Bonding Program'!$C$8,CW$3=IF('Bonding Program'!$P$29&lt;&gt;"",'Bonding Program'!$P$29,'Bonding Program'!$C$8)),'Bonding Program'!$Z$29,0)+IF(AND('Bonding Program'!$P$29&lt;&gt;"",CW$3='Bonding Program'!$P$29,CW$3&lt;='Bonding Program'!$C$8),N('Bonding Program'!$O$29),0)</f>
        <v>0</v>
      </c>
      <c r="CX170" s="19" t="n">
        <f aca="false">IF(AND('Bonding Program'!$S$29=1,'Bonding Program'!$H$29&gt;'Bonding Program'!$C$8,CX$3='Bonding Program'!$H$29),'Bonding Program'!$T$29-'Bonding Program'!$U$29-'Bonding Program'!$Z$29,0)-IF(AND('Bonding Program'!$S$29=1,'Bonding Program'!$H$29&lt;='Bonding Program'!$C$8,CX$3=IF('Bonding Program'!$P$29&lt;&gt;"",'Bonding Program'!$P$29,'Bonding Program'!$C$8)),'Bonding Program'!$Z$29,0)+IF(AND('Bonding Program'!$P$29&lt;&gt;"",CX$3='Bonding Program'!$P$29,CX$3&lt;='Bonding Program'!$C$8),N('Bonding Program'!$O$29),0)</f>
        <v>0</v>
      </c>
      <c r="CY170" s="19" t="n">
        <f aca="false">IF(AND('Bonding Program'!$S$29=1,'Bonding Program'!$H$29&gt;'Bonding Program'!$C$8,CY$3='Bonding Program'!$H$29),'Bonding Program'!$T$29-'Bonding Program'!$U$29-'Bonding Program'!$Z$29,0)-IF(AND('Bonding Program'!$S$29=1,'Bonding Program'!$H$29&lt;='Bonding Program'!$C$8,CY$3=IF('Bonding Program'!$P$29&lt;&gt;"",'Bonding Program'!$P$29,'Bonding Program'!$C$8)),'Bonding Program'!$Z$29,0)+IF(AND('Bonding Program'!$P$29&lt;&gt;"",CY$3='Bonding Program'!$P$29,CY$3&lt;='Bonding Program'!$C$8),N('Bonding Program'!$O$29),0)</f>
        <v>0</v>
      </c>
      <c r="CZ170" s="19" t="n">
        <f aca="false">IF(AND('Bonding Program'!$S$29=1,'Bonding Program'!$H$29&gt;'Bonding Program'!$C$8,CZ$3='Bonding Program'!$H$29),'Bonding Program'!$T$29-'Bonding Program'!$U$29-'Bonding Program'!$Z$29,0)-IF(AND('Bonding Program'!$S$29=1,'Bonding Program'!$H$29&lt;='Bonding Program'!$C$8,CZ$3=IF('Bonding Program'!$P$29&lt;&gt;"",'Bonding Program'!$P$29,'Bonding Program'!$C$8)),'Bonding Program'!$Z$29,0)+IF(AND('Bonding Program'!$P$29&lt;&gt;"",CZ$3='Bonding Program'!$P$29,CZ$3&lt;='Bonding Program'!$C$8),N('Bonding Program'!$O$29),0)</f>
        <v>0</v>
      </c>
      <c r="DA170" s="19" t="n">
        <f aca="false">IF(AND('Bonding Program'!$S$29=1,'Bonding Program'!$H$29&gt;'Bonding Program'!$C$8,DA$3='Bonding Program'!$H$29),'Bonding Program'!$T$29-'Bonding Program'!$U$29-'Bonding Program'!$Z$29,0)-IF(AND('Bonding Program'!$S$29=1,'Bonding Program'!$H$29&lt;='Bonding Program'!$C$8,DA$3=IF('Bonding Program'!$P$29&lt;&gt;"",'Bonding Program'!$P$29,'Bonding Program'!$C$8)),'Bonding Program'!$Z$29,0)+IF(AND('Bonding Program'!$P$29&lt;&gt;"",DA$3='Bonding Program'!$P$29,DA$3&lt;='Bonding Program'!$C$8),N('Bonding Program'!$O$29),0)</f>
        <v>0</v>
      </c>
      <c r="DB170" s="19" t="n">
        <f aca="false">IF(AND('Bonding Program'!$S$29=1,'Bonding Program'!$H$29&gt;'Bonding Program'!$C$8,DB$3='Bonding Program'!$H$29),'Bonding Program'!$T$29-'Bonding Program'!$U$29-'Bonding Program'!$Z$29,0)-IF(AND('Bonding Program'!$S$29=1,'Bonding Program'!$H$29&lt;='Bonding Program'!$C$8,DB$3=IF('Bonding Program'!$P$29&lt;&gt;"",'Bonding Program'!$P$29,'Bonding Program'!$C$8)),'Bonding Program'!$Z$29,0)+IF(AND('Bonding Program'!$P$29&lt;&gt;"",DB$3='Bonding Program'!$P$29,DB$3&lt;='Bonding Program'!$C$8),N('Bonding Program'!$O$29),0)</f>
        <v>0</v>
      </c>
      <c r="DC170" s="19" t="n">
        <f aca="false">IF(AND('Bonding Program'!$S$29=1,'Bonding Program'!$H$29&gt;'Bonding Program'!$C$8,DC$3='Bonding Program'!$H$29),'Bonding Program'!$T$29-'Bonding Program'!$U$29-'Bonding Program'!$Z$29,0)-IF(AND('Bonding Program'!$S$29=1,'Bonding Program'!$H$29&lt;='Bonding Program'!$C$8,DC$3=IF('Bonding Program'!$P$29&lt;&gt;"",'Bonding Program'!$P$29,'Bonding Program'!$C$8)),'Bonding Program'!$Z$29,0)+IF(AND('Bonding Program'!$P$29&lt;&gt;"",DC$3='Bonding Program'!$P$29,DC$3&lt;='Bonding Program'!$C$8),N('Bonding Program'!$O$29),0)</f>
        <v>0</v>
      </c>
      <c r="DD170" s="19" t="n">
        <f aca="false">IF(AND('Bonding Program'!$S$29=1,'Bonding Program'!$H$29&gt;'Bonding Program'!$C$8,DD$3='Bonding Program'!$H$29),'Bonding Program'!$T$29-'Bonding Program'!$U$29-'Bonding Program'!$Z$29,0)-IF(AND('Bonding Program'!$S$29=1,'Bonding Program'!$H$29&lt;='Bonding Program'!$C$8,DD$3=IF('Bonding Program'!$P$29&lt;&gt;"",'Bonding Program'!$P$29,'Bonding Program'!$C$8)),'Bonding Program'!$Z$29,0)+IF(AND('Bonding Program'!$P$29&lt;&gt;"",DD$3='Bonding Program'!$P$29,DD$3&lt;='Bonding Program'!$C$8),N('Bonding Program'!$O$29),0)</f>
        <v>0</v>
      </c>
      <c r="DE170" s="19" t="n">
        <f aca="false">IF(AND('Bonding Program'!$S$29=1,'Bonding Program'!$H$29&gt;'Bonding Program'!$C$8,DE$3='Bonding Program'!$H$29),'Bonding Program'!$T$29-'Bonding Program'!$U$29-'Bonding Program'!$Z$29,0)-IF(AND('Bonding Program'!$S$29=1,'Bonding Program'!$H$29&lt;='Bonding Program'!$C$8,DE$3=IF('Bonding Program'!$P$29&lt;&gt;"",'Bonding Program'!$P$29,'Bonding Program'!$C$8)),'Bonding Program'!$Z$29,0)+IF(AND('Bonding Program'!$P$29&lt;&gt;"",DE$3='Bonding Program'!$P$29,DE$3&lt;='Bonding Program'!$C$8),N('Bonding Program'!$O$29),0)</f>
        <v>0</v>
      </c>
    </row>
    <row r="171" customFormat="false" ht="15" hidden="false" customHeight="true" outlineLevel="1" collapsed="false">
      <c r="A171" s="28" t="s">
        <v>26</v>
      </c>
      <c r="B171" s="19" t="n">
        <f aca="false">IF(AND('Bonding Program'!$S$30=1,'Bonding Program'!$H$30&gt;'Bonding Program'!$C$8,B$3='Bonding Program'!$H$30),'Bonding Program'!$T$30-'Bonding Program'!$U$30-'Bonding Program'!$Z$30,0)-IF(AND('Bonding Program'!$S$30=1,'Bonding Program'!$H$30&lt;='Bonding Program'!$C$8,B$3=IF('Bonding Program'!$P$30&lt;&gt;"",'Bonding Program'!$P$30,'Bonding Program'!$C$8)),'Bonding Program'!$Z$30,0)+IF(AND('Bonding Program'!$P$30&lt;&gt;"",B$3='Bonding Program'!$P$30,B$3&lt;='Bonding Program'!$C$8),N('Bonding Program'!$O$30),0)</f>
        <v>0</v>
      </c>
      <c r="C171" s="19" t="n">
        <f aca="false">IF(AND('Bonding Program'!$S$30=1,'Bonding Program'!$H$30&gt;'Bonding Program'!$C$8,C$3='Bonding Program'!$H$30),'Bonding Program'!$T$30-'Bonding Program'!$U$30-'Bonding Program'!$Z$30,0)-IF(AND('Bonding Program'!$S$30=1,'Bonding Program'!$H$30&lt;='Bonding Program'!$C$8,C$3=IF('Bonding Program'!$P$30&lt;&gt;"",'Bonding Program'!$P$30,'Bonding Program'!$C$8)),'Bonding Program'!$Z$30,0)+IF(AND('Bonding Program'!$P$30&lt;&gt;"",C$3='Bonding Program'!$P$30,C$3&lt;='Bonding Program'!$C$8),N('Bonding Program'!$O$30),0)</f>
        <v>0</v>
      </c>
      <c r="D171" s="19" t="n">
        <f aca="false">IF(AND('Bonding Program'!$S$30=1,'Bonding Program'!$H$30&gt;'Bonding Program'!$C$8,D$3='Bonding Program'!$H$30),'Bonding Program'!$T$30-'Bonding Program'!$U$30-'Bonding Program'!$Z$30,0)-IF(AND('Bonding Program'!$S$30=1,'Bonding Program'!$H$30&lt;='Bonding Program'!$C$8,D$3=IF('Bonding Program'!$P$30&lt;&gt;"",'Bonding Program'!$P$30,'Bonding Program'!$C$8)),'Bonding Program'!$Z$30,0)+IF(AND('Bonding Program'!$P$30&lt;&gt;"",D$3='Bonding Program'!$P$30,D$3&lt;='Bonding Program'!$C$8),N('Bonding Program'!$O$30),0)</f>
        <v>0</v>
      </c>
      <c r="E171" s="19" t="n">
        <f aca="false">IF(AND('Bonding Program'!$S$30=1,'Bonding Program'!$H$30&gt;'Bonding Program'!$C$8,E$3='Bonding Program'!$H$30),'Bonding Program'!$T$30-'Bonding Program'!$U$30-'Bonding Program'!$Z$30,0)-IF(AND('Bonding Program'!$S$30=1,'Bonding Program'!$H$30&lt;='Bonding Program'!$C$8,E$3=IF('Bonding Program'!$P$30&lt;&gt;"",'Bonding Program'!$P$30,'Bonding Program'!$C$8)),'Bonding Program'!$Z$30,0)+IF(AND('Bonding Program'!$P$30&lt;&gt;"",E$3='Bonding Program'!$P$30,E$3&lt;='Bonding Program'!$C$8),N('Bonding Program'!$O$30),0)</f>
        <v>0</v>
      </c>
      <c r="F171" s="19" t="n">
        <f aca="false">IF(AND('Bonding Program'!$S$30=1,'Bonding Program'!$H$30&gt;'Bonding Program'!$C$8,F$3='Bonding Program'!$H$30),'Bonding Program'!$T$30-'Bonding Program'!$U$30-'Bonding Program'!$Z$30,0)-IF(AND('Bonding Program'!$S$30=1,'Bonding Program'!$H$30&lt;='Bonding Program'!$C$8,F$3=IF('Bonding Program'!$P$30&lt;&gt;"",'Bonding Program'!$P$30,'Bonding Program'!$C$8)),'Bonding Program'!$Z$30,0)+IF(AND('Bonding Program'!$P$30&lt;&gt;"",F$3='Bonding Program'!$P$30,F$3&lt;='Bonding Program'!$C$8),N('Bonding Program'!$O$30),0)</f>
        <v>0</v>
      </c>
      <c r="G171" s="19" t="n">
        <f aca="false">IF(AND('Bonding Program'!$S$30=1,'Bonding Program'!$H$30&gt;'Bonding Program'!$C$8,G$3='Bonding Program'!$H$30),'Bonding Program'!$T$30-'Bonding Program'!$U$30-'Bonding Program'!$Z$30,0)-IF(AND('Bonding Program'!$S$30=1,'Bonding Program'!$H$30&lt;='Bonding Program'!$C$8,G$3=IF('Bonding Program'!$P$30&lt;&gt;"",'Bonding Program'!$P$30,'Bonding Program'!$C$8)),'Bonding Program'!$Z$30,0)+IF(AND('Bonding Program'!$P$30&lt;&gt;"",G$3='Bonding Program'!$P$30,G$3&lt;='Bonding Program'!$C$8),N('Bonding Program'!$O$30),0)</f>
        <v>0</v>
      </c>
      <c r="H171" s="19" t="n">
        <f aca="false">IF(AND('Bonding Program'!$S$30=1,'Bonding Program'!$H$30&gt;'Bonding Program'!$C$8,H$3='Bonding Program'!$H$30),'Bonding Program'!$T$30-'Bonding Program'!$U$30-'Bonding Program'!$Z$30,0)-IF(AND('Bonding Program'!$S$30=1,'Bonding Program'!$H$30&lt;='Bonding Program'!$C$8,H$3=IF('Bonding Program'!$P$30&lt;&gt;"",'Bonding Program'!$P$30,'Bonding Program'!$C$8)),'Bonding Program'!$Z$30,0)+IF(AND('Bonding Program'!$P$30&lt;&gt;"",H$3='Bonding Program'!$P$30,H$3&lt;='Bonding Program'!$C$8),N('Bonding Program'!$O$30),0)</f>
        <v>0</v>
      </c>
      <c r="I171" s="19" t="n">
        <f aca="false">IF(AND('Bonding Program'!$S$30=1,'Bonding Program'!$H$30&gt;'Bonding Program'!$C$8,I$3='Bonding Program'!$H$30),'Bonding Program'!$T$30-'Bonding Program'!$U$30-'Bonding Program'!$Z$30,0)-IF(AND('Bonding Program'!$S$30=1,'Bonding Program'!$H$30&lt;='Bonding Program'!$C$8,I$3=IF('Bonding Program'!$P$30&lt;&gt;"",'Bonding Program'!$P$30,'Bonding Program'!$C$8)),'Bonding Program'!$Z$30,0)+IF(AND('Bonding Program'!$P$30&lt;&gt;"",I$3='Bonding Program'!$P$30,I$3&lt;='Bonding Program'!$C$8),N('Bonding Program'!$O$30),0)</f>
        <v>0</v>
      </c>
      <c r="J171" s="19" t="n">
        <f aca="false">IF(AND('Bonding Program'!$S$30=1,'Bonding Program'!$H$30&gt;'Bonding Program'!$C$8,J$3='Bonding Program'!$H$30),'Bonding Program'!$T$30-'Bonding Program'!$U$30-'Bonding Program'!$Z$30,0)-IF(AND('Bonding Program'!$S$30=1,'Bonding Program'!$H$30&lt;='Bonding Program'!$C$8,J$3=IF('Bonding Program'!$P$30&lt;&gt;"",'Bonding Program'!$P$30,'Bonding Program'!$C$8)),'Bonding Program'!$Z$30,0)+IF(AND('Bonding Program'!$P$30&lt;&gt;"",J$3='Bonding Program'!$P$30,J$3&lt;='Bonding Program'!$C$8),N('Bonding Program'!$O$30),0)</f>
        <v>0</v>
      </c>
      <c r="K171" s="19" t="n">
        <f aca="false">IF(AND('Bonding Program'!$S$30=1,'Bonding Program'!$H$30&gt;'Bonding Program'!$C$8,K$3='Bonding Program'!$H$30),'Bonding Program'!$T$30-'Bonding Program'!$U$30-'Bonding Program'!$Z$30,0)-IF(AND('Bonding Program'!$S$30=1,'Bonding Program'!$H$30&lt;='Bonding Program'!$C$8,K$3=IF('Bonding Program'!$P$30&lt;&gt;"",'Bonding Program'!$P$30,'Bonding Program'!$C$8)),'Bonding Program'!$Z$30,0)+IF(AND('Bonding Program'!$P$30&lt;&gt;"",K$3='Bonding Program'!$P$30,K$3&lt;='Bonding Program'!$C$8),N('Bonding Program'!$O$30),0)</f>
        <v>0</v>
      </c>
      <c r="L171" s="19" t="n">
        <f aca="false">IF(AND('Bonding Program'!$S$30=1,'Bonding Program'!$H$30&gt;'Bonding Program'!$C$8,L$3='Bonding Program'!$H$30),'Bonding Program'!$T$30-'Bonding Program'!$U$30-'Bonding Program'!$Z$30,0)-IF(AND('Bonding Program'!$S$30=1,'Bonding Program'!$H$30&lt;='Bonding Program'!$C$8,L$3=IF('Bonding Program'!$P$30&lt;&gt;"",'Bonding Program'!$P$30,'Bonding Program'!$C$8)),'Bonding Program'!$Z$30,0)+IF(AND('Bonding Program'!$P$30&lt;&gt;"",L$3='Bonding Program'!$P$30,L$3&lt;='Bonding Program'!$C$8),N('Bonding Program'!$O$30),0)</f>
        <v>0</v>
      </c>
      <c r="M171" s="19" t="n">
        <f aca="false">IF(AND('Bonding Program'!$S$30=1,'Bonding Program'!$H$30&gt;'Bonding Program'!$C$8,M$3='Bonding Program'!$H$30),'Bonding Program'!$T$30-'Bonding Program'!$U$30-'Bonding Program'!$Z$30,0)-IF(AND('Bonding Program'!$S$30=1,'Bonding Program'!$H$30&lt;='Bonding Program'!$C$8,M$3=IF('Bonding Program'!$P$30&lt;&gt;"",'Bonding Program'!$P$30,'Bonding Program'!$C$8)),'Bonding Program'!$Z$30,0)+IF(AND('Bonding Program'!$P$30&lt;&gt;"",M$3='Bonding Program'!$P$30,M$3&lt;='Bonding Program'!$C$8),N('Bonding Program'!$O$30),0)</f>
        <v>0</v>
      </c>
      <c r="N171" s="19" t="n">
        <f aca="false">IF(AND('Bonding Program'!$S$30=1,'Bonding Program'!$H$30&gt;'Bonding Program'!$C$8,N$3='Bonding Program'!$H$30),'Bonding Program'!$T$30-'Bonding Program'!$U$30-'Bonding Program'!$Z$30,0)-IF(AND('Bonding Program'!$S$30=1,'Bonding Program'!$H$30&lt;='Bonding Program'!$C$8,N$3=IF('Bonding Program'!$P$30&lt;&gt;"",'Bonding Program'!$P$30,'Bonding Program'!$C$8)),'Bonding Program'!$Z$30,0)+IF(AND('Bonding Program'!$P$30&lt;&gt;"",N$3='Bonding Program'!$P$30,N$3&lt;='Bonding Program'!$C$8),N('Bonding Program'!$O$30),0)</f>
        <v>0</v>
      </c>
      <c r="O171" s="19" t="n">
        <f aca="false">IF(AND('Bonding Program'!$S$30=1,'Bonding Program'!$H$30&gt;'Bonding Program'!$C$8,O$3='Bonding Program'!$H$30),'Bonding Program'!$T$30-'Bonding Program'!$U$30-'Bonding Program'!$Z$30,0)-IF(AND('Bonding Program'!$S$30=1,'Bonding Program'!$H$30&lt;='Bonding Program'!$C$8,O$3=IF('Bonding Program'!$P$30&lt;&gt;"",'Bonding Program'!$P$30,'Bonding Program'!$C$8)),'Bonding Program'!$Z$30,0)+IF(AND('Bonding Program'!$P$30&lt;&gt;"",O$3='Bonding Program'!$P$30,O$3&lt;='Bonding Program'!$C$8),N('Bonding Program'!$O$30),0)</f>
        <v>0</v>
      </c>
      <c r="P171" s="19" t="n">
        <f aca="false">IF(AND('Bonding Program'!$S$30=1,'Bonding Program'!$H$30&gt;'Bonding Program'!$C$8,P$3='Bonding Program'!$H$30),'Bonding Program'!$T$30-'Bonding Program'!$U$30-'Bonding Program'!$Z$30,0)-IF(AND('Bonding Program'!$S$30=1,'Bonding Program'!$H$30&lt;='Bonding Program'!$C$8,P$3=IF('Bonding Program'!$P$30&lt;&gt;"",'Bonding Program'!$P$30,'Bonding Program'!$C$8)),'Bonding Program'!$Z$30,0)+IF(AND('Bonding Program'!$P$30&lt;&gt;"",P$3='Bonding Program'!$P$30,P$3&lt;='Bonding Program'!$C$8),N('Bonding Program'!$O$30),0)</f>
        <v>0</v>
      </c>
      <c r="Q171" s="19" t="n">
        <f aca="false">IF(AND('Bonding Program'!$S$30=1,'Bonding Program'!$H$30&gt;'Bonding Program'!$C$8,Q$3='Bonding Program'!$H$30),'Bonding Program'!$T$30-'Bonding Program'!$U$30-'Bonding Program'!$Z$30,0)-IF(AND('Bonding Program'!$S$30=1,'Bonding Program'!$H$30&lt;='Bonding Program'!$C$8,Q$3=IF('Bonding Program'!$P$30&lt;&gt;"",'Bonding Program'!$P$30,'Bonding Program'!$C$8)),'Bonding Program'!$Z$30,0)+IF(AND('Bonding Program'!$P$30&lt;&gt;"",Q$3='Bonding Program'!$P$30,Q$3&lt;='Bonding Program'!$C$8),N('Bonding Program'!$O$30),0)</f>
        <v>0</v>
      </c>
      <c r="R171" s="19" t="n">
        <f aca="false">IF(AND('Bonding Program'!$S$30=1,'Bonding Program'!$H$30&gt;'Bonding Program'!$C$8,R$3='Bonding Program'!$H$30),'Bonding Program'!$T$30-'Bonding Program'!$U$30-'Bonding Program'!$Z$30,0)-IF(AND('Bonding Program'!$S$30=1,'Bonding Program'!$H$30&lt;='Bonding Program'!$C$8,R$3=IF('Bonding Program'!$P$30&lt;&gt;"",'Bonding Program'!$P$30,'Bonding Program'!$C$8)),'Bonding Program'!$Z$30,0)+IF(AND('Bonding Program'!$P$30&lt;&gt;"",R$3='Bonding Program'!$P$30,R$3&lt;='Bonding Program'!$C$8),N('Bonding Program'!$O$30),0)</f>
        <v>0</v>
      </c>
      <c r="S171" s="19" t="n">
        <f aca="false">IF(AND('Bonding Program'!$S$30=1,'Bonding Program'!$H$30&gt;'Bonding Program'!$C$8,S$3='Bonding Program'!$H$30),'Bonding Program'!$T$30-'Bonding Program'!$U$30-'Bonding Program'!$Z$30,0)-IF(AND('Bonding Program'!$S$30=1,'Bonding Program'!$H$30&lt;='Bonding Program'!$C$8,S$3=IF('Bonding Program'!$P$30&lt;&gt;"",'Bonding Program'!$P$30,'Bonding Program'!$C$8)),'Bonding Program'!$Z$30,0)+IF(AND('Bonding Program'!$P$30&lt;&gt;"",S$3='Bonding Program'!$P$30,S$3&lt;='Bonding Program'!$C$8),N('Bonding Program'!$O$30),0)</f>
        <v>0</v>
      </c>
      <c r="T171" s="19" t="n">
        <f aca="false">IF(AND('Bonding Program'!$S$30=1,'Bonding Program'!$H$30&gt;'Bonding Program'!$C$8,T$3='Bonding Program'!$H$30),'Bonding Program'!$T$30-'Bonding Program'!$U$30-'Bonding Program'!$Z$30,0)-IF(AND('Bonding Program'!$S$30=1,'Bonding Program'!$H$30&lt;='Bonding Program'!$C$8,T$3=IF('Bonding Program'!$P$30&lt;&gt;"",'Bonding Program'!$P$30,'Bonding Program'!$C$8)),'Bonding Program'!$Z$30,0)+IF(AND('Bonding Program'!$P$30&lt;&gt;"",T$3='Bonding Program'!$P$30,T$3&lt;='Bonding Program'!$C$8),N('Bonding Program'!$O$30),0)</f>
        <v>0</v>
      </c>
      <c r="U171" s="19" t="n">
        <f aca="false">IF(AND('Bonding Program'!$S$30=1,'Bonding Program'!$H$30&gt;'Bonding Program'!$C$8,U$3='Bonding Program'!$H$30),'Bonding Program'!$T$30-'Bonding Program'!$U$30-'Bonding Program'!$Z$30,0)-IF(AND('Bonding Program'!$S$30=1,'Bonding Program'!$H$30&lt;='Bonding Program'!$C$8,U$3=IF('Bonding Program'!$P$30&lt;&gt;"",'Bonding Program'!$P$30,'Bonding Program'!$C$8)),'Bonding Program'!$Z$30,0)+IF(AND('Bonding Program'!$P$30&lt;&gt;"",U$3='Bonding Program'!$P$30,U$3&lt;='Bonding Program'!$C$8),N('Bonding Program'!$O$30),0)</f>
        <v>0</v>
      </c>
      <c r="V171" s="19" t="n">
        <f aca="false">IF(AND('Bonding Program'!$S$30=1,'Bonding Program'!$H$30&gt;'Bonding Program'!$C$8,V$3='Bonding Program'!$H$30),'Bonding Program'!$T$30-'Bonding Program'!$U$30-'Bonding Program'!$Z$30,0)-IF(AND('Bonding Program'!$S$30=1,'Bonding Program'!$H$30&lt;='Bonding Program'!$C$8,V$3=IF('Bonding Program'!$P$30&lt;&gt;"",'Bonding Program'!$P$30,'Bonding Program'!$C$8)),'Bonding Program'!$Z$30,0)+IF(AND('Bonding Program'!$P$30&lt;&gt;"",V$3='Bonding Program'!$P$30,V$3&lt;='Bonding Program'!$C$8),N('Bonding Program'!$O$30),0)</f>
        <v>0</v>
      </c>
      <c r="W171" s="19" t="n">
        <f aca="false">IF(AND('Bonding Program'!$S$30=1,'Bonding Program'!$H$30&gt;'Bonding Program'!$C$8,W$3='Bonding Program'!$H$30),'Bonding Program'!$T$30-'Bonding Program'!$U$30-'Bonding Program'!$Z$30,0)-IF(AND('Bonding Program'!$S$30=1,'Bonding Program'!$H$30&lt;='Bonding Program'!$C$8,W$3=IF('Bonding Program'!$P$30&lt;&gt;"",'Bonding Program'!$P$30,'Bonding Program'!$C$8)),'Bonding Program'!$Z$30,0)+IF(AND('Bonding Program'!$P$30&lt;&gt;"",W$3='Bonding Program'!$P$30,W$3&lt;='Bonding Program'!$C$8),N('Bonding Program'!$O$30),0)</f>
        <v>0</v>
      </c>
      <c r="X171" s="19" t="n">
        <f aca="false">IF(AND('Bonding Program'!$S$30=1,'Bonding Program'!$H$30&gt;'Bonding Program'!$C$8,X$3='Bonding Program'!$H$30),'Bonding Program'!$T$30-'Bonding Program'!$U$30-'Bonding Program'!$Z$30,0)-IF(AND('Bonding Program'!$S$30=1,'Bonding Program'!$H$30&lt;='Bonding Program'!$C$8,X$3=IF('Bonding Program'!$P$30&lt;&gt;"",'Bonding Program'!$P$30,'Bonding Program'!$C$8)),'Bonding Program'!$Z$30,0)+IF(AND('Bonding Program'!$P$30&lt;&gt;"",X$3='Bonding Program'!$P$30,X$3&lt;='Bonding Program'!$C$8),N('Bonding Program'!$O$30),0)</f>
        <v>0</v>
      </c>
      <c r="Y171" s="19" t="n">
        <f aca="false">IF(AND('Bonding Program'!$S$30=1,'Bonding Program'!$H$30&gt;'Bonding Program'!$C$8,Y$3='Bonding Program'!$H$30),'Bonding Program'!$T$30-'Bonding Program'!$U$30-'Bonding Program'!$Z$30,0)-IF(AND('Bonding Program'!$S$30=1,'Bonding Program'!$H$30&lt;='Bonding Program'!$C$8,Y$3=IF('Bonding Program'!$P$30&lt;&gt;"",'Bonding Program'!$P$30,'Bonding Program'!$C$8)),'Bonding Program'!$Z$30,0)+IF(AND('Bonding Program'!$P$30&lt;&gt;"",Y$3='Bonding Program'!$P$30,Y$3&lt;='Bonding Program'!$C$8),N('Bonding Program'!$O$30),0)</f>
        <v>0</v>
      </c>
      <c r="Z171" s="19" t="n">
        <f aca="false">IF(AND('Bonding Program'!$S$30=1,'Bonding Program'!$H$30&gt;'Bonding Program'!$C$8,Z$3='Bonding Program'!$H$30),'Bonding Program'!$T$30-'Bonding Program'!$U$30-'Bonding Program'!$Z$30,0)-IF(AND('Bonding Program'!$S$30=1,'Bonding Program'!$H$30&lt;='Bonding Program'!$C$8,Z$3=IF('Bonding Program'!$P$30&lt;&gt;"",'Bonding Program'!$P$30,'Bonding Program'!$C$8)),'Bonding Program'!$Z$30,0)+IF(AND('Bonding Program'!$P$30&lt;&gt;"",Z$3='Bonding Program'!$P$30,Z$3&lt;='Bonding Program'!$C$8),N('Bonding Program'!$O$30),0)</f>
        <v>0</v>
      </c>
      <c r="AA171" s="19" t="n">
        <f aca="false">IF(AND('Bonding Program'!$S$30=1,'Bonding Program'!$H$30&gt;'Bonding Program'!$C$8,AA$3='Bonding Program'!$H$30),'Bonding Program'!$T$30-'Bonding Program'!$U$30-'Bonding Program'!$Z$30,0)-IF(AND('Bonding Program'!$S$30=1,'Bonding Program'!$H$30&lt;='Bonding Program'!$C$8,AA$3=IF('Bonding Program'!$P$30&lt;&gt;"",'Bonding Program'!$P$30,'Bonding Program'!$C$8)),'Bonding Program'!$Z$30,0)+IF(AND('Bonding Program'!$P$30&lt;&gt;"",AA$3='Bonding Program'!$P$30,AA$3&lt;='Bonding Program'!$C$8),N('Bonding Program'!$O$30),0)</f>
        <v>0</v>
      </c>
      <c r="AB171" s="19" t="n">
        <f aca="false">IF(AND('Bonding Program'!$S$30=1,'Bonding Program'!$H$30&gt;'Bonding Program'!$C$8,AB$3='Bonding Program'!$H$30),'Bonding Program'!$T$30-'Bonding Program'!$U$30-'Bonding Program'!$Z$30,0)-IF(AND('Bonding Program'!$S$30=1,'Bonding Program'!$H$30&lt;='Bonding Program'!$C$8,AB$3=IF('Bonding Program'!$P$30&lt;&gt;"",'Bonding Program'!$P$30,'Bonding Program'!$C$8)),'Bonding Program'!$Z$30,0)+IF(AND('Bonding Program'!$P$30&lt;&gt;"",AB$3='Bonding Program'!$P$30,AB$3&lt;='Bonding Program'!$C$8),N('Bonding Program'!$O$30),0)</f>
        <v>0</v>
      </c>
      <c r="AC171" s="19" t="n">
        <f aca="false">IF(AND('Bonding Program'!$S$30=1,'Bonding Program'!$H$30&gt;'Bonding Program'!$C$8,AC$3='Bonding Program'!$H$30),'Bonding Program'!$T$30-'Bonding Program'!$U$30-'Bonding Program'!$Z$30,0)-IF(AND('Bonding Program'!$S$30=1,'Bonding Program'!$H$30&lt;='Bonding Program'!$C$8,AC$3=IF('Bonding Program'!$P$30&lt;&gt;"",'Bonding Program'!$P$30,'Bonding Program'!$C$8)),'Bonding Program'!$Z$30,0)+IF(AND('Bonding Program'!$P$30&lt;&gt;"",AC$3='Bonding Program'!$P$30,AC$3&lt;='Bonding Program'!$C$8),N('Bonding Program'!$O$30),0)</f>
        <v>0</v>
      </c>
      <c r="AD171" s="19" t="n">
        <f aca="false">IF(AND('Bonding Program'!$S$30=1,'Bonding Program'!$H$30&gt;'Bonding Program'!$C$8,AD$3='Bonding Program'!$H$30),'Bonding Program'!$T$30-'Bonding Program'!$U$30-'Bonding Program'!$Z$30,0)-IF(AND('Bonding Program'!$S$30=1,'Bonding Program'!$H$30&lt;='Bonding Program'!$C$8,AD$3=IF('Bonding Program'!$P$30&lt;&gt;"",'Bonding Program'!$P$30,'Bonding Program'!$C$8)),'Bonding Program'!$Z$30,0)+IF(AND('Bonding Program'!$P$30&lt;&gt;"",AD$3='Bonding Program'!$P$30,AD$3&lt;='Bonding Program'!$C$8),N('Bonding Program'!$O$30),0)</f>
        <v>0</v>
      </c>
      <c r="AE171" s="19" t="n">
        <f aca="false">IF(AND('Bonding Program'!$S$30=1,'Bonding Program'!$H$30&gt;'Bonding Program'!$C$8,AE$3='Bonding Program'!$H$30),'Bonding Program'!$T$30-'Bonding Program'!$U$30-'Bonding Program'!$Z$30,0)-IF(AND('Bonding Program'!$S$30=1,'Bonding Program'!$H$30&lt;='Bonding Program'!$C$8,AE$3=IF('Bonding Program'!$P$30&lt;&gt;"",'Bonding Program'!$P$30,'Bonding Program'!$C$8)),'Bonding Program'!$Z$30,0)+IF(AND('Bonding Program'!$P$30&lt;&gt;"",AE$3='Bonding Program'!$P$30,AE$3&lt;='Bonding Program'!$C$8),N('Bonding Program'!$O$30),0)</f>
        <v>0</v>
      </c>
      <c r="AF171" s="19" t="n">
        <f aca="false">IF(AND('Bonding Program'!$S$30=1,'Bonding Program'!$H$30&gt;'Bonding Program'!$C$8,AF$3='Bonding Program'!$H$30),'Bonding Program'!$T$30-'Bonding Program'!$U$30-'Bonding Program'!$Z$30,0)-IF(AND('Bonding Program'!$S$30=1,'Bonding Program'!$H$30&lt;='Bonding Program'!$C$8,AF$3=IF('Bonding Program'!$P$30&lt;&gt;"",'Bonding Program'!$P$30,'Bonding Program'!$C$8)),'Bonding Program'!$Z$30,0)+IF(AND('Bonding Program'!$P$30&lt;&gt;"",AF$3='Bonding Program'!$P$30,AF$3&lt;='Bonding Program'!$C$8),N('Bonding Program'!$O$30),0)</f>
        <v>0</v>
      </c>
      <c r="AG171" s="19" t="n">
        <f aca="false">IF(AND('Bonding Program'!$S$30=1,'Bonding Program'!$H$30&gt;'Bonding Program'!$C$8,AG$3='Bonding Program'!$H$30),'Bonding Program'!$T$30-'Bonding Program'!$U$30-'Bonding Program'!$Z$30,0)-IF(AND('Bonding Program'!$S$30=1,'Bonding Program'!$H$30&lt;='Bonding Program'!$C$8,AG$3=IF('Bonding Program'!$P$30&lt;&gt;"",'Bonding Program'!$P$30,'Bonding Program'!$C$8)),'Bonding Program'!$Z$30,0)+IF(AND('Bonding Program'!$P$30&lt;&gt;"",AG$3='Bonding Program'!$P$30,AG$3&lt;='Bonding Program'!$C$8),N('Bonding Program'!$O$30),0)</f>
        <v>0</v>
      </c>
      <c r="AH171" s="19" t="n">
        <f aca="false">IF(AND('Bonding Program'!$S$30=1,'Bonding Program'!$H$30&gt;'Bonding Program'!$C$8,AH$3='Bonding Program'!$H$30),'Bonding Program'!$T$30-'Bonding Program'!$U$30-'Bonding Program'!$Z$30,0)-IF(AND('Bonding Program'!$S$30=1,'Bonding Program'!$H$30&lt;='Bonding Program'!$C$8,AH$3=IF('Bonding Program'!$P$30&lt;&gt;"",'Bonding Program'!$P$30,'Bonding Program'!$C$8)),'Bonding Program'!$Z$30,0)+IF(AND('Bonding Program'!$P$30&lt;&gt;"",AH$3='Bonding Program'!$P$30,AH$3&lt;='Bonding Program'!$C$8),N('Bonding Program'!$O$30),0)</f>
        <v>0</v>
      </c>
      <c r="AI171" s="19" t="n">
        <f aca="false">IF(AND('Bonding Program'!$S$30=1,'Bonding Program'!$H$30&gt;'Bonding Program'!$C$8,AI$3='Bonding Program'!$H$30),'Bonding Program'!$T$30-'Bonding Program'!$U$30-'Bonding Program'!$Z$30,0)-IF(AND('Bonding Program'!$S$30=1,'Bonding Program'!$H$30&lt;='Bonding Program'!$C$8,AI$3=IF('Bonding Program'!$P$30&lt;&gt;"",'Bonding Program'!$P$30,'Bonding Program'!$C$8)),'Bonding Program'!$Z$30,0)+IF(AND('Bonding Program'!$P$30&lt;&gt;"",AI$3='Bonding Program'!$P$30,AI$3&lt;='Bonding Program'!$C$8),N('Bonding Program'!$O$30),0)</f>
        <v>0</v>
      </c>
      <c r="AJ171" s="19" t="n">
        <f aca="false">IF(AND('Bonding Program'!$S$30=1,'Bonding Program'!$H$30&gt;'Bonding Program'!$C$8,AJ$3='Bonding Program'!$H$30),'Bonding Program'!$T$30-'Bonding Program'!$U$30-'Bonding Program'!$Z$30,0)-IF(AND('Bonding Program'!$S$30=1,'Bonding Program'!$H$30&lt;='Bonding Program'!$C$8,AJ$3=IF('Bonding Program'!$P$30&lt;&gt;"",'Bonding Program'!$P$30,'Bonding Program'!$C$8)),'Bonding Program'!$Z$30,0)+IF(AND('Bonding Program'!$P$30&lt;&gt;"",AJ$3='Bonding Program'!$P$30,AJ$3&lt;='Bonding Program'!$C$8),N('Bonding Program'!$O$30),0)</f>
        <v>0</v>
      </c>
      <c r="AK171" s="19" t="n">
        <f aca="false">IF(AND('Bonding Program'!$S$30=1,'Bonding Program'!$H$30&gt;'Bonding Program'!$C$8,AK$3='Bonding Program'!$H$30),'Bonding Program'!$T$30-'Bonding Program'!$U$30-'Bonding Program'!$Z$30,0)-IF(AND('Bonding Program'!$S$30=1,'Bonding Program'!$H$30&lt;='Bonding Program'!$C$8,AK$3=IF('Bonding Program'!$P$30&lt;&gt;"",'Bonding Program'!$P$30,'Bonding Program'!$C$8)),'Bonding Program'!$Z$30,0)+IF(AND('Bonding Program'!$P$30&lt;&gt;"",AK$3='Bonding Program'!$P$30,AK$3&lt;='Bonding Program'!$C$8),N('Bonding Program'!$O$30),0)</f>
        <v>0</v>
      </c>
      <c r="AL171" s="19" t="n">
        <f aca="false">IF(AND('Bonding Program'!$S$30=1,'Bonding Program'!$H$30&gt;'Bonding Program'!$C$8,AL$3='Bonding Program'!$H$30),'Bonding Program'!$T$30-'Bonding Program'!$U$30-'Bonding Program'!$Z$30,0)-IF(AND('Bonding Program'!$S$30=1,'Bonding Program'!$H$30&lt;='Bonding Program'!$C$8,AL$3=IF('Bonding Program'!$P$30&lt;&gt;"",'Bonding Program'!$P$30,'Bonding Program'!$C$8)),'Bonding Program'!$Z$30,0)+IF(AND('Bonding Program'!$P$30&lt;&gt;"",AL$3='Bonding Program'!$P$30,AL$3&lt;='Bonding Program'!$C$8),N('Bonding Program'!$O$30),0)</f>
        <v>0</v>
      </c>
      <c r="AM171" s="19" t="n">
        <f aca="false">IF(AND('Bonding Program'!$S$30=1,'Bonding Program'!$H$30&gt;'Bonding Program'!$C$8,AM$3='Bonding Program'!$H$30),'Bonding Program'!$T$30-'Bonding Program'!$U$30-'Bonding Program'!$Z$30,0)-IF(AND('Bonding Program'!$S$30=1,'Bonding Program'!$H$30&lt;='Bonding Program'!$C$8,AM$3=IF('Bonding Program'!$P$30&lt;&gt;"",'Bonding Program'!$P$30,'Bonding Program'!$C$8)),'Bonding Program'!$Z$30,0)+IF(AND('Bonding Program'!$P$30&lt;&gt;"",AM$3='Bonding Program'!$P$30,AM$3&lt;='Bonding Program'!$C$8),N('Bonding Program'!$O$30),0)</f>
        <v>0</v>
      </c>
      <c r="AN171" s="19" t="n">
        <f aca="false">IF(AND('Bonding Program'!$S$30=1,'Bonding Program'!$H$30&gt;'Bonding Program'!$C$8,AN$3='Bonding Program'!$H$30),'Bonding Program'!$T$30-'Bonding Program'!$U$30-'Bonding Program'!$Z$30,0)-IF(AND('Bonding Program'!$S$30=1,'Bonding Program'!$H$30&lt;='Bonding Program'!$C$8,AN$3=IF('Bonding Program'!$P$30&lt;&gt;"",'Bonding Program'!$P$30,'Bonding Program'!$C$8)),'Bonding Program'!$Z$30,0)+IF(AND('Bonding Program'!$P$30&lt;&gt;"",AN$3='Bonding Program'!$P$30,AN$3&lt;='Bonding Program'!$C$8),N('Bonding Program'!$O$30),0)</f>
        <v>0</v>
      </c>
      <c r="AO171" s="19" t="n">
        <f aca="false">IF(AND('Bonding Program'!$S$30=1,'Bonding Program'!$H$30&gt;'Bonding Program'!$C$8,AO$3='Bonding Program'!$H$30),'Bonding Program'!$T$30-'Bonding Program'!$U$30-'Bonding Program'!$Z$30,0)-IF(AND('Bonding Program'!$S$30=1,'Bonding Program'!$H$30&lt;='Bonding Program'!$C$8,AO$3=IF('Bonding Program'!$P$30&lt;&gt;"",'Bonding Program'!$P$30,'Bonding Program'!$C$8)),'Bonding Program'!$Z$30,0)+IF(AND('Bonding Program'!$P$30&lt;&gt;"",AO$3='Bonding Program'!$P$30,AO$3&lt;='Bonding Program'!$C$8),N('Bonding Program'!$O$30),0)</f>
        <v>0</v>
      </c>
      <c r="AP171" s="19" t="n">
        <f aca="false">IF(AND('Bonding Program'!$S$30=1,'Bonding Program'!$H$30&gt;'Bonding Program'!$C$8,AP$3='Bonding Program'!$H$30),'Bonding Program'!$T$30-'Bonding Program'!$U$30-'Bonding Program'!$Z$30,0)-IF(AND('Bonding Program'!$S$30=1,'Bonding Program'!$H$30&lt;='Bonding Program'!$C$8,AP$3=IF('Bonding Program'!$P$30&lt;&gt;"",'Bonding Program'!$P$30,'Bonding Program'!$C$8)),'Bonding Program'!$Z$30,0)+IF(AND('Bonding Program'!$P$30&lt;&gt;"",AP$3='Bonding Program'!$P$30,AP$3&lt;='Bonding Program'!$C$8),N('Bonding Program'!$O$30),0)</f>
        <v>0</v>
      </c>
      <c r="AQ171" s="19" t="n">
        <f aca="false">IF(AND('Bonding Program'!$S$30=1,'Bonding Program'!$H$30&gt;'Bonding Program'!$C$8,AQ$3='Bonding Program'!$H$30),'Bonding Program'!$T$30-'Bonding Program'!$U$30-'Bonding Program'!$Z$30,0)-IF(AND('Bonding Program'!$S$30=1,'Bonding Program'!$H$30&lt;='Bonding Program'!$C$8,AQ$3=IF('Bonding Program'!$P$30&lt;&gt;"",'Bonding Program'!$P$30,'Bonding Program'!$C$8)),'Bonding Program'!$Z$30,0)+IF(AND('Bonding Program'!$P$30&lt;&gt;"",AQ$3='Bonding Program'!$P$30,AQ$3&lt;='Bonding Program'!$C$8),N('Bonding Program'!$O$30),0)</f>
        <v>0</v>
      </c>
      <c r="AR171" s="19" t="n">
        <f aca="false">IF(AND('Bonding Program'!$S$30=1,'Bonding Program'!$H$30&gt;'Bonding Program'!$C$8,AR$3='Bonding Program'!$H$30),'Bonding Program'!$T$30-'Bonding Program'!$U$30-'Bonding Program'!$Z$30,0)-IF(AND('Bonding Program'!$S$30=1,'Bonding Program'!$H$30&lt;='Bonding Program'!$C$8,AR$3=IF('Bonding Program'!$P$30&lt;&gt;"",'Bonding Program'!$P$30,'Bonding Program'!$C$8)),'Bonding Program'!$Z$30,0)+IF(AND('Bonding Program'!$P$30&lt;&gt;"",AR$3='Bonding Program'!$P$30,AR$3&lt;='Bonding Program'!$C$8),N('Bonding Program'!$O$30),0)</f>
        <v>0</v>
      </c>
      <c r="AS171" s="19" t="n">
        <f aca="false">IF(AND('Bonding Program'!$S$30=1,'Bonding Program'!$H$30&gt;'Bonding Program'!$C$8,AS$3='Bonding Program'!$H$30),'Bonding Program'!$T$30-'Bonding Program'!$U$30-'Bonding Program'!$Z$30,0)-IF(AND('Bonding Program'!$S$30=1,'Bonding Program'!$H$30&lt;='Bonding Program'!$C$8,AS$3=IF('Bonding Program'!$P$30&lt;&gt;"",'Bonding Program'!$P$30,'Bonding Program'!$C$8)),'Bonding Program'!$Z$30,0)+IF(AND('Bonding Program'!$P$30&lt;&gt;"",AS$3='Bonding Program'!$P$30,AS$3&lt;='Bonding Program'!$C$8),N('Bonding Program'!$O$30),0)</f>
        <v>0</v>
      </c>
      <c r="AT171" s="19" t="n">
        <f aca="false">IF(AND('Bonding Program'!$S$30=1,'Bonding Program'!$H$30&gt;'Bonding Program'!$C$8,AT$3='Bonding Program'!$H$30),'Bonding Program'!$T$30-'Bonding Program'!$U$30-'Bonding Program'!$Z$30,0)-IF(AND('Bonding Program'!$S$30=1,'Bonding Program'!$H$30&lt;='Bonding Program'!$C$8,AT$3=IF('Bonding Program'!$P$30&lt;&gt;"",'Bonding Program'!$P$30,'Bonding Program'!$C$8)),'Bonding Program'!$Z$30,0)+IF(AND('Bonding Program'!$P$30&lt;&gt;"",AT$3='Bonding Program'!$P$30,AT$3&lt;='Bonding Program'!$C$8),N('Bonding Program'!$O$30),0)</f>
        <v>0</v>
      </c>
      <c r="AU171" s="19" t="n">
        <f aca="false">IF(AND('Bonding Program'!$S$30=1,'Bonding Program'!$H$30&gt;'Bonding Program'!$C$8,AU$3='Bonding Program'!$H$30),'Bonding Program'!$T$30-'Bonding Program'!$U$30-'Bonding Program'!$Z$30,0)-IF(AND('Bonding Program'!$S$30=1,'Bonding Program'!$H$30&lt;='Bonding Program'!$C$8,AU$3=IF('Bonding Program'!$P$30&lt;&gt;"",'Bonding Program'!$P$30,'Bonding Program'!$C$8)),'Bonding Program'!$Z$30,0)+IF(AND('Bonding Program'!$P$30&lt;&gt;"",AU$3='Bonding Program'!$P$30,AU$3&lt;='Bonding Program'!$C$8),N('Bonding Program'!$O$30),0)</f>
        <v>0</v>
      </c>
      <c r="AV171" s="19" t="n">
        <f aca="false">IF(AND('Bonding Program'!$S$30=1,'Bonding Program'!$H$30&gt;'Bonding Program'!$C$8,AV$3='Bonding Program'!$H$30),'Bonding Program'!$T$30-'Bonding Program'!$U$30-'Bonding Program'!$Z$30,0)-IF(AND('Bonding Program'!$S$30=1,'Bonding Program'!$H$30&lt;='Bonding Program'!$C$8,AV$3=IF('Bonding Program'!$P$30&lt;&gt;"",'Bonding Program'!$P$30,'Bonding Program'!$C$8)),'Bonding Program'!$Z$30,0)+IF(AND('Bonding Program'!$P$30&lt;&gt;"",AV$3='Bonding Program'!$P$30,AV$3&lt;='Bonding Program'!$C$8),N('Bonding Program'!$O$30),0)</f>
        <v>0</v>
      </c>
      <c r="AW171" s="19" t="n">
        <f aca="false">IF(AND('Bonding Program'!$S$30=1,'Bonding Program'!$H$30&gt;'Bonding Program'!$C$8,AW$3='Bonding Program'!$H$30),'Bonding Program'!$T$30-'Bonding Program'!$U$30-'Bonding Program'!$Z$30,0)-IF(AND('Bonding Program'!$S$30=1,'Bonding Program'!$H$30&lt;='Bonding Program'!$C$8,AW$3=IF('Bonding Program'!$P$30&lt;&gt;"",'Bonding Program'!$P$30,'Bonding Program'!$C$8)),'Bonding Program'!$Z$30,0)+IF(AND('Bonding Program'!$P$30&lt;&gt;"",AW$3='Bonding Program'!$P$30,AW$3&lt;='Bonding Program'!$C$8),N('Bonding Program'!$O$30),0)</f>
        <v>0</v>
      </c>
      <c r="AX171" s="19" t="n">
        <f aca="false">IF(AND('Bonding Program'!$S$30=1,'Bonding Program'!$H$30&gt;'Bonding Program'!$C$8,AX$3='Bonding Program'!$H$30),'Bonding Program'!$T$30-'Bonding Program'!$U$30-'Bonding Program'!$Z$30,0)-IF(AND('Bonding Program'!$S$30=1,'Bonding Program'!$H$30&lt;='Bonding Program'!$C$8,AX$3=IF('Bonding Program'!$P$30&lt;&gt;"",'Bonding Program'!$P$30,'Bonding Program'!$C$8)),'Bonding Program'!$Z$30,0)+IF(AND('Bonding Program'!$P$30&lt;&gt;"",AX$3='Bonding Program'!$P$30,AX$3&lt;='Bonding Program'!$C$8),N('Bonding Program'!$O$30),0)</f>
        <v>0</v>
      </c>
      <c r="AY171" s="19" t="n">
        <f aca="false">IF(AND('Bonding Program'!$S$30=1,'Bonding Program'!$H$30&gt;'Bonding Program'!$C$8,AY$3='Bonding Program'!$H$30),'Bonding Program'!$T$30-'Bonding Program'!$U$30-'Bonding Program'!$Z$30,0)-IF(AND('Bonding Program'!$S$30=1,'Bonding Program'!$H$30&lt;='Bonding Program'!$C$8,AY$3=IF('Bonding Program'!$P$30&lt;&gt;"",'Bonding Program'!$P$30,'Bonding Program'!$C$8)),'Bonding Program'!$Z$30,0)+IF(AND('Bonding Program'!$P$30&lt;&gt;"",AY$3='Bonding Program'!$P$30,AY$3&lt;='Bonding Program'!$C$8),N('Bonding Program'!$O$30),0)</f>
        <v>0</v>
      </c>
      <c r="AZ171" s="19" t="n">
        <f aca="false">IF(AND('Bonding Program'!$S$30=1,'Bonding Program'!$H$30&gt;'Bonding Program'!$C$8,AZ$3='Bonding Program'!$H$30),'Bonding Program'!$T$30-'Bonding Program'!$U$30-'Bonding Program'!$Z$30,0)-IF(AND('Bonding Program'!$S$30=1,'Bonding Program'!$H$30&lt;='Bonding Program'!$C$8,AZ$3=IF('Bonding Program'!$P$30&lt;&gt;"",'Bonding Program'!$P$30,'Bonding Program'!$C$8)),'Bonding Program'!$Z$30,0)+IF(AND('Bonding Program'!$P$30&lt;&gt;"",AZ$3='Bonding Program'!$P$30,AZ$3&lt;='Bonding Program'!$C$8),N('Bonding Program'!$O$30),0)</f>
        <v>0</v>
      </c>
      <c r="BA171" s="19" t="n">
        <f aca="false">IF(AND('Bonding Program'!$S$30=1,'Bonding Program'!$H$30&gt;'Bonding Program'!$C$8,BA$3='Bonding Program'!$H$30),'Bonding Program'!$T$30-'Bonding Program'!$U$30-'Bonding Program'!$Z$30,0)-IF(AND('Bonding Program'!$S$30=1,'Bonding Program'!$H$30&lt;='Bonding Program'!$C$8,BA$3=IF('Bonding Program'!$P$30&lt;&gt;"",'Bonding Program'!$P$30,'Bonding Program'!$C$8)),'Bonding Program'!$Z$30,0)+IF(AND('Bonding Program'!$P$30&lt;&gt;"",BA$3='Bonding Program'!$P$30,BA$3&lt;='Bonding Program'!$C$8),N('Bonding Program'!$O$30),0)</f>
        <v>0</v>
      </c>
      <c r="BB171" s="19" t="n">
        <f aca="false">IF(AND('Bonding Program'!$S$30=1,'Bonding Program'!$H$30&gt;'Bonding Program'!$C$8,BB$3='Bonding Program'!$H$30),'Bonding Program'!$T$30-'Bonding Program'!$U$30-'Bonding Program'!$Z$30,0)-IF(AND('Bonding Program'!$S$30=1,'Bonding Program'!$H$30&lt;='Bonding Program'!$C$8,BB$3=IF('Bonding Program'!$P$30&lt;&gt;"",'Bonding Program'!$P$30,'Bonding Program'!$C$8)),'Bonding Program'!$Z$30,0)+IF(AND('Bonding Program'!$P$30&lt;&gt;"",BB$3='Bonding Program'!$P$30,BB$3&lt;='Bonding Program'!$C$8),N('Bonding Program'!$O$30),0)</f>
        <v>0</v>
      </c>
      <c r="BC171" s="19" t="n">
        <f aca="false">IF(AND('Bonding Program'!$S$30=1,'Bonding Program'!$H$30&gt;'Bonding Program'!$C$8,BC$3='Bonding Program'!$H$30),'Bonding Program'!$T$30-'Bonding Program'!$U$30-'Bonding Program'!$Z$30,0)-IF(AND('Bonding Program'!$S$30=1,'Bonding Program'!$H$30&lt;='Bonding Program'!$C$8,BC$3=IF('Bonding Program'!$P$30&lt;&gt;"",'Bonding Program'!$P$30,'Bonding Program'!$C$8)),'Bonding Program'!$Z$30,0)+IF(AND('Bonding Program'!$P$30&lt;&gt;"",BC$3='Bonding Program'!$P$30,BC$3&lt;='Bonding Program'!$C$8),N('Bonding Program'!$O$30),0)</f>
        <v>0</v>
      </c>
      <c r="BD171" s="19" t="n">
        <f aca="false">IF(AND('Bonding Program'!$S$30=1,'Bonding Program'!$H$30&gt;'Bonding Program'!$C$8,BD$3='Bonding Program'!$H$30),'Bonding Program'!$T$30-'Bonding Program'!$U$30-'Bonding Program'!$Z$30,0)-IF(AND('Bonding Program'!$S$30=1,'Bonding Program'!$H$30&lt;='Bonding Program'!$C$8,BD$3=IF('Bonding Program'!$P$30&lt;&gt;"",'Bonding Program'!$P$30,'Bonding Program'!$C$8)),'Bonding Program'!$Z$30,0)+IF(AND('Bonding Program'!$P$30&lt;&gt;"",BD$3='Bonding Program'!$P$30,BD$3&lt;='Bonding Program'!$C$8),N('Bonding Program'!$O$30),0)</f>
        <v>0</v>
      </c>
      <c r="BE171" s="19" t="n">
        <f aca="false">IF(AND('Bonding Program'!$S$30=1,'Bonding Program'!$H$30&gt;'Bonding Program'!$C$8,BE$3='Bonding Program'!$H$30),'Bonding Program'!$T$30-'Bonding Program'!$U$30-'Bonding Program'!$Z$30,0)-IF(AND('Bonding Program'!$S$30=1,'Bonding Program'!$H$30&lt;='Bonding Program'!$C$8,BE$3=IF('Bonding Program'!$P$30&lt;&gt;"",'Bonding Program'!$P$30,'Bonding Program'!$C$8)),'Bonding Program'!$Z$30,0)+IF(AND('Bonding Program'!$P$30&lt;&gt;"",BE$3='Bonding Program'!$P$30,BE$3&lt;='Bonding Program'!$C$8),N('Bonding Program'!$O$30),0)</f>
        <v>0</v>
      </c>
      <c r="BF171" s="19" t="n">
        <f aca="false">IF(AND('Bonding Program'!$S$30=1,'Bonding Program'!$H$30&gt;'Bonding Program'!$C$8,BF$3='Bonding Program'!$H$30),'Bonding Program'!$T$30-'Bonding Program'!$U$30-'Bonding Program'!$Z$30,0)-IF(AND('Bonding Program'!$S$30=1,'Bonding Program'!$H$30&lt;='Bonding Program'!$C$8,BF$3=IF('Bonding Program'!$P$30&lt;&gt;"",'Bonding Program'!$P$30,'Bonding Program'!$C$8)),'Bonding Program'!$Z$30,0)+IF(AND('Bonding Program'!$P$30&lt;&gt;"",BF$3='Bonding Program'!$P$30,BF$3&lt;='Bonding Program'!$C$8),N('Bonding Program'!$O$30),0)</f>
        <v>0</v>
      </c>
      <c r="BG171" s="19" t="n">
        <f aca="false">IF(AND('Bonding Program'!$S$30=1,'Bonding Program'!$H$30&gt;'Bonding Program'!$C$8,BG$3='Bonding Program'!$H$30),'Bonding Program'!$T$30-'Bonding Program'!$U$30-'Bonding Program'!$Z$30,0)-IF(AND('Bonding Program'!$S$30=1,'Bonding Program'!$H$30&lt;='Bonding Program'!$C$8,BG$3=IF('Bonding Program'!$P$30&lt;&gt;"",'Bonding Program'!$P$30,'Bonding Program'!$C$8)),'Bonding Program'!$Z$30,0)+IF(AND('Bonding Program'!$P$30&lt;&gt;"",BG$3='Bonding Program'!$P$30,BG$3&lt;='Bonding Program'!$C$8),N('Bonding Program'!$O$30),0)</f>
        <v>0</v>
      </c>
      <c r="BH171" s="19" t="n">
        <f aca="false">IF(AND('Bonding Program'!$S$30=1,'Bonding Program'!$H$30&gt;'Bonding Program'!$C$8,BH$3='Bonding Program'!$H$30),'Bonding Program'!$T$30-'Bonding Program'!$U$30-'Bonding Program'!$Z$30,0)-IF(AND('Bonding Program'!$S$30=1,'Bonding Program'!$H$30&lt;='Bonding Program'!$C$8,BH$3=IF('Bonding Program'!$P$30&lt;&gt;"",'Bonding Program'!$P$30,'Bonding Program'!$C$8)),'Bonding Program'!$Z$30,0)+IF(AND('Bonding Program'!$P$30&lt;&gt;"",BH$3='Bonding Program'!$P$30,BH$3&lt;='Bonding Program'!$C$8),N('Bonding Program'!$O$30),0)</f>
        <v>0</v>
      </c>
      <c r="BI171" s="19" t="n">
        <f aca="false">IF(AND('Bonding Program'!$S$30=1,'Bonding Program'!$H$30&gt;'Bonding Program'!$C$8,BI$3='Bonding Program'!$H$30),'Bonding Program'!$T$30-'Bonding Program'!$U$30-'Bonding Program'!$Z$30,0)-IF(AND('Bonding Program'!$S$30=1,'Bonding Program'!$H$30&lt;='Bonding Program'!$C$8,BI$3=IF('Bonding Program'!$P$30&lt;&gt;"",'Bonding Program'!$P$30,'Bonding Program'!$C$8)),'Bonding Program'!$Z$30,0)+IF(AND('Bonding Program'!$P$30&lt;&gt;"",BI$3='Bonding Program'!$P$30,BI$3&lt;='Bonding Program'!$C$8),N('Bonding Program'!$O$30),0)</f>
        <v>0</v>
      </c>
      <c r="BJ171" s="19" t="n">
        <f aca="false">IF(AND('Bonding Program'!$S$30=1,'Bonding Program'!$H$30&gt;'Bonding Program'!$C$8,BJ$3='Bonding Program'!$H$30),'Bonding Program'!$T$30-'Bonding Program'!$U$30-'Bonding Program'!$Z$30,0)-IF(AND('Bonding Program'!$S$30=1,'Bonding Program'!$H$30&lt;='Bonding Program'!$C$8,BJ$3=IF('Bonding Program'!$P$30&lt;&gt;"",'Bonding Program'!$P$30,'Bonding Program'!$C$8)),'Bonding Program'!$Z$30,0)+IF(AND('Bonding Program'!$P$30&lt;&gt;"",BJ$3='Bonding Program'!$P$30,BJ$3&lt;='Bonding Program'!$C$8),N('Bonding Program'!$O$30),0)</f>
        <v>0</v>
      </c>
      <c r="BK171" s="19" t="n">
        <f aca="false">IF(AND('Bonding Program'!$S$30=1,'Bonding Program'!$H$30&gt;'Bonding Program'!$C$8,BK$3='Bonding Program'!$H$30),'Bonding Program'!$T$30-'Bonding Program'!$U$30-'Bonding Program'!$Z$30,0)-IF(AND('Bonding Program'!$S$30=1,'Bonding Program'!$H$30&lt;='Bonding Program'!$C$8,BK$3=IF('Bonding Program'!$P$30&lt;&gt;"",'Bonding Program'!$P$30,'Bonding Program'!$C$8)),'Bonding Program'!$Z$30,0)+IF(AND('Bonding Program'!$P$30&lt;&gt;"",BK$3='Bonding Program'!$P$30,BK$3&lt;='Bonding Program'!$C$8),N('Bonding Program'!$O$30),0)</f>
        <v>0</v>
      </c>
      <c r="BL171" s="19" t="n">
        <f aca="false">IF(AND('Bonding Program'!$S$30=1,'Bonding Program'!$H$30&gt;'Bonding Program'!$C$8,BL$3='Bonding Program'!$H$30),'Bonding Program'!$T$30-'Bonding Program'!$U$30-'Bonding Program'!$Z$30,0)-IF(AND('Bonding Program'!$S$30=1,'Bonding Program'!$H$30&lt;='Bonding Program'!$C$8,BL$3=IF('Bonding Program'!$P$30&lt;&gt;"",'Bonding Program'!$P$30,'Bonding Program'!$C$8)),'Bonding Program'!$Z$30,0)+IF(AND('Bonding Program'!$P$30&lt;&gt;"",BL$3='Bonding Program'!$P$30,BL$3&lt;='Bonding Program'!$C$8),N('Bonding Program'!$O$30),0)</f>
        <v>0</v>
      </c>
      <c r="BM171" s="19" t="n">
        <f aca="false">IF(AND('Bonding Program'!$S$30=1,'Bonding Program'!$H$30&gt;'Bonding Program'!$C$8,BM$3='Bonding Program'!$H$30),'Bonding Program'!$T$30-'Bonding Program'!$U$30-'Bonding Program'!$Z$30,0)-IF(AND('Bonding Program'!$S$30=1,'Bonding Program'!$H$30&lt;='Bonding Program'!$C$8,BM$3=IF('Bonding Program'!$P$30&lt;&gt;"",'Bonding Program'!$P$30,'Bonding Program'!$C$8)),'Bonding Program'!$Z$30,0)+IF(AND('Bonding Program'!$P$30&lt;&gt;"",BM$3='Bonding Program'!$P$30,BM$3&lt;='Bonding Program'!$C$8),N('Bonding Program'!$O$30),0)</f>
        <v>0</v>
      </c>
      <c r="BN171" s="19" t="n">
        <f aca="false">IF(AND('Bonding Program'!$S$30=1,'Bonding Program'!$H$30&gt;'Bonding Program'!$C$8,BN$3='Bonding Program'!$H$30),'Bonding Program'!$T$30-'Bonding Program'!$U$30-'Bonding Program'!$Z$30,0)-IF(AND('Bonding Program'!$S$30=1,'Bonding Program'!$H$30&lt;='Bonding Program'!$C$8,BN$3=IF('Bonding Program'!$P$30&lt;&gt;"",'Bonding Program'!$P$30,'Bonding Program'!$C$8)),'Bonding Program'!$Z$30,0)+IF(AND('Bonding Program'!$P$30&lt;&gt;"",BN$3='Bonding Program'!$P$30,BN$3&lt;='Bonding Program'!$C$8),N('Bonding Program'!$O$30),0)</f>
        <v>0</v>
      </c>
      <c r="BO171" s="19" t="n">
        <f aca="false">IF(AND('Bonding Program'!$S$30=1,'Bonding Program'!$H$30&gt;'Bonding Program'!$C$8,BO$3='Bonding Program'!$H$30),'Bonding Program'!$T$30-'Bonding Program'!$U$30-'Bonding Program'!$Z$30,0)-IF(AND('Bonding Program'!$S$30=1,'Bonding Program'!$H$30&lt;='Bonding Program'!$C$8,BO$3=IF('Bonding Program'!$P$30&lt;&gt;"",'Bonding Program'!$P$30,'Bonding Program'!$C$8)),'Bonding Program'!$Z$30,0)+IF(AND('Bonding Program'!$P$30&lt;&gt;"",BO$3='Bonding Program'!$P$30,BO$3&lt;='Bonding Program'!$C$8),N('Bonding Program'!$O$30),0)</f>
        <v>0</v>
      </c>
      <c r="BP171" s="19" t="n">
        <f aca="false">IF(AND('Bonding Program'!$S$30=1,'Bonding Program'!$H$30&gt;'Bonding Program'!$C$8,BP$3='Bonding Program'!$H$30),'Bonding Program'!$T$30-'Bonding Program'!$U$30-'Bonding Program'!$Z$30,0)-IF(AND('Bonding Program'!$S$30=1,'Bonding Program'!$H$30&lt;='Bonding Program'!$C$8,BP$3=IF('Bonding Program'!$P$30&lt;&gt;"",'Bonding Program'!$P$30,'Bonding Program'!$C$8)),'Bonding Program'!$Z$30,0)+IF(AND('Bonding Program'!$P$30&lt;&gt;"",BP$3='Bonding Program'!$P$30,BP$3&lt;='Bonding Program'!$C$8),N('Bonding Program'!$O$30),0)</f>
        <v>0</v>
      </c>
      <c r="BQ171" s="19" t="n">
        <f aca="false">IF(AND('Bonding Program'!$S$30=1,'Bonding Program'!$H$30&gt;'Bonding Program'!$C$8,BQ$3='Bonding Program'!$H$30),'Bonding Program'!$T$30-'Bonding Program'!$U$30-'Bonding Program'!$Z$30,0)-IF(AND('Bonding Program'!$S$30=1,'Bonding Program'!$H$30&lt;='Bonding Program'!$C$8,BQ$3=IF('Bonding Program'!$P$30&lt;&gt;"",'Bonding Program'!$P$30,'Bonding Program'!$C$8)),'Bonding Program'!$Z$30,0)+IF(AND('Bonding Program'!$P$30&lt;&gt;"",BQ$3='Bonding Program'!$P$30,BQ$3&lt;='Bonding Program'!$C$8),N('Bonding Program'!$O$30),0)</f>
        <v>0</v>
      </c>
      <c r="BR171" s="19" t="n">
        <f aca="false">IF(AND('Bonding Program'!$S$30=1,'Bonding Program'!$H$30&gt;'Bonding Program'!$C$8,BR$3='Bonding Program'!$H$30),'Bonding Program'!$T$30-'Bonding Program'!$U$30-'Bonding Program'!$Z$30,0)-IF(AND('Bonding Program'!$S$30=1,'Bonding Program'!$H$30&lt;='Bonding Program'!$C$8,BR$3=IF('Bonding Program'!$P$30&lt;&gt;"",'Bonding Program'!$P$30,'Bonding Program'!$C$8)),'Bonding Program'!$Z$30,0)+IF(AND('Bonding Program'!$P$30&lt;&gt;"",BR$3='Bonding Program'!$P$30,BR$3&lt;='Bonding Program'!$C$8),N('Bonding Program'!$O$30),0)</f>
        <v>0</v>
      </c>
      <c r="BS171" s="19" t="n">
        <f aca="false">IF(AND('Bonding Program'!$S$30=1,'Bonding Program'!$H$30&gt;'Bonding Program'!$C$8,BS$3='Bonding Program'!$H$30),'Bonding Program'!$T$30-'Bonding Program'!$U$30-'Bonding Program'!$Z$30,0)-IF(AND('Bonding Program'!$S$30=1,'Bonding Program'!$H$30&lt;='Bonding Program'!$C$8,BS$3=IF('Bonding Program'!$P$30&lt;&gt;"",'Bonding Program'!$P$30,'Bonding Program'!$C$8)),'Bonding Program'!$Z$30,0)+IF(AND('Bonding Program'!$P$30&lt;&gt;"",BS$3='Bonding Program'!$P$30,BS$3&lt;='Bonding Program'!$C$8),N('Bonding Program'!$O$30),0)</f>
        <v>0</v>
      </c>
      <c r="BT171" s="19" t="n">
        <f aca="false">IF(AND('Bonding Program'!$S$30=1,'Bonding Program'!$H$30&gt;'Bonding Program'!$C$8,BT$3='Bonding Program'!$H$30),'Bonding Program'!$T$30-'Bonding Program'!$U$30-'Bonding Program'!$Z$30,0)-IF(AND('Bonding Program'!$S$30=1,'Bonding Program'!$H$30&lt;='Bonding Program'!$C$8,BT$3=IF('Bonding Program'!$P$30&lt;&gt;"",'Bonding Program'!$P$30,'Bonding Program'!$C$8)),'Bonding Program'!$Z$30,0)+IF(AND('Bonding Program'!$P$30&lt;&gt;"",BT$3='Bonding Program'!$P$30,BT$3&lt;='Bonding Program'!$C$8),N('Bonding Program'!$O$30),0)</f>
        <v>0</v>
      </c>
      <c r="BU171" s="19" t="n">
        <f aca="false">IF(AND('Bonding Program'!$S$30=1,'Bonding Program'!$H$30&gt;'Bonding Program'!$C$8,BU$3='Bonding Program'!$H$30),'Bonding Program'!$T$30-'Bonding Program'!$U$30-'Bonding Program'!$Z$30,0)-IF(AND('Bonding Program'!$S$30=1,'Bonding Program'!$H$30&lt;='Bonding Program'!$C$8,BU$3=IF('Bonding Program'!$P$30&lt;&gt;"",'Bonding Program'!$P$30,'Bonding Program'!$C$8)),'Bonding Program'!$Z$30,0)+IF(AND('Bonding Program'!$P$30&lt;&gt;"",BU$3='Bonding Program'!$P$30,BU$3&lt;='Bonding Program'!$C$8),N('Bonding Program'!$O$30),0)</f>
        <v>0</v>
      </c>
      <c r="BV171" s="19" t="n">
        <f aca="false">IF(AND('Bonding Program'!$S$30=1,'Bonding Program'!$H$30&gt;'Bonding Program'!$C$8,BV$3='Bonding Program'!$H$30),'Bonding Program'!$T$30-'Bonding Program'!$U$30-'Bonding Program'!$Z$30,0)-IF(AND('Bonding Program'!$S$30=1,'Bonding Program'!$H$30&lt;='Bonding Program'!$C$8,BV$3=IF('Bonding Program'!$P$30&lt;&gt;"",'Bonding Program'!$P$30,'Bonding Program'!$C$8)),'Bonding Program'!$Z$30,0)+IF(AND('Bonding Program'!$P$30&lt;&gt;"",BV$3='Bonding Program'!$P$30,BV$3&lt;='Bonding Program'!$C$8),N('Bonding Program'!$O$30),0)</f>
        <v>0</v>
      </c>
      <c r="BW171" s="19" t="n">
        <f aca="false">IF(AND('Bonding Program'!$S$30=1,'Bonding Program'!$H$30&gt;'Bonding Program'!$C$8,BW$3='Bonding Program'!$H$30),'Bonding Program'!$T$30-'Bonding Program'!$U$30-'Bonding Program'!$Z$30,0)-IF(AND('Bonding Program'!$S$30=1,'Bonding Program'!$H$30&lt;='Bonding Program'!$C$8,BW$3=IF('Bonding Program'!$P$30&lt;&gt;"",'Bonding Program'!$P$30,'Bonding Program'!$C$8)),'Bonding Program'!$Z$30,0)+IF(AND('Bonding Program'!$P$30&lt;&gt;"",BW$3='Bonding Program'!$P$30,BW$3&lt;='Bonding Program'!$C$8),N('Bonding Program'!$O$30),0)</f>
        <v>0</v>
      </c>
      <c r="BX171" s="19" t="n">
        <f aca="false">IF(AND('Bonding Program'!$S$30=1,'Bonding Program'!$H$30&gt;'Bonding Program'!$C$8,BX$3='Bonding Program'!$H$30),'Bonding Program'!$T$30-'Bonding Program'!$U$30-'Bonding Program'!$Z$30,0)-IF(AND('Bonding Program'!$S$30=1,'Bonding Program'!$H$30&lt;='Bonding Program'!$C$8,BX$3=IF('Bonding Program'!$P$30&lt;&gt;"",'Bonding Program'!$P$30,'Bonding Program'!$C$8)),'Bonding Program'!$Z$30,0)+IF(AND('Bonding Program'!$P$30&lt;&gt;"",BX$3='Bonding Program'!$P$30,BX$3&lt;='Bonding Program'!$C$8),N('Bonding Program'!$O$30),0)</f>
        <v>0</v>
      </c>
      <c r="BY171" s="19" t="n">
        <f aca="false">IF(AND('Bonding Program'!$S$30=1,'Bonding Program'!$H$30&gt;'Bonding Program'!$C$8,BY$3='Bonding Program'!$H$30),'Bonding Program'!$T$30-'Bonding Program'!$U$30-'Bonding Program'!$Z$30,0)-IF(AND('Bonding Program'!$S$30=1,'Bonding Program'!$H$30&lt;='Bonding Program'!$C$8,BY$3=IF('Bonding Program'!$P$30&lt;&gt;"",'Bonding Program'!$P$30,'Bonding Program'!$C$8)),'Bonding Program'!$Z$30,0)+IF(AND('Bonding Program'!$P$30&lt;&gt;"",BY$3='Bonding Program'!$P$30,BY$3&lt;='Bonding Program'!$C$8),N('Bonding Program'!$O$30),0)</f>
        <v>0</v>
      </c>
      <c r="BZ171" s="19" t="n">
        <f aca="false">IF(AND('Bonding Program'!$S$30=1,'Bonding Program'!$H$30&gt;'Bonding Program'!$C$8,BZ$3='Bonding Program'!$H$30),'Bonding Program'!$T$30-'Bonding Program'!$U$30-'Bonding Program'!$Z$30,0)-IF(AND('Bonding Program'!$S$30=1,'Bonding Program'!$H$30&lt;='Bonding Program'!$C$8,BZ$3=IF('Bonding Program'!$P$30&lt;&gt;"",'Bonding Program'!$P$30,'Bonding Program'!$C$8)),'Bonding Program'!$Z$30,0)+IF(AND('Bonding Program'!$P$30&lt;&gt;"",BZ$3='Bonding Program'!$P$30,BZ$3&lt;='Bonding Program'!$C$8),N('Bonding Program'!$O$30),0)</f>
        <v>0</v>
      </c>
      <c r="CA171" s="19" t="n">
        <f aca="false">IF(AND('Bonding Program'!$S$30=1,'Bonding Program'!$H$30&gt;'Bonding Program'!$C$8,CA$3='Bonding Program'!$H$30),'Bonding Program'!$T$30-'Bonding Program'!$U$30-'Bonding Program'!$Z$30,0)-IF(AND('Bonding Program'!$S$30=1,'Bonding Program'!$H$30&lt;='Bonding Program'!$C$8,CA$3=IF('Bonding Program'!$P$30&lt;&gt;"",'Bonding Program'!$P$30,'Bonding Program'!$C$8)),'Bonding Program'!$Z$30,0)+IF(AND('Bonding Program'!$P$30&lt;&gt;"",CA$3='Bonding Program'!$P$30,CA$3&lt;='Bonding Program'!$C$8),N('Bonding Program'!$O$30),0)</f>
        <v>0</v>
      </c>
      <c r="CB171" s="19" t="n">
        <f aca="false">IF(AND('Bonding Program'!$S$30=1,'Bonding Program'!$H$30&gt;'Bonding Program'!$C$8,CB$3='Bonding Program'!$H$30),'Bonding Program'!$T$30-'Bonding Program'!$U$30-'Bonding Program'!$Z$30,0)-IF(AND('Bonding Program'!$S$30=1,'Bonding Program'!$H$30&lt;='Bonding Program'!$C$8,CB$3=IF('Bonding Program'!$P$30&lt;&gt;"",'Bonding Program'!$P$30,'Bonding Program'!$C$8)),'Bonding Program'!$Z$30,0)+IF(AND('Bonding Program'!$P$30&lt;&gt;"",CB$3='Bonding Program'!$P$30,CB$3&lt;='Bonding Program'!$C$8),N('Bonding Program'!$O$30),0)</f>
        <v>0</v>
      </c>
      <c r="CC171" s="19" t="n">
        <f aca="false">IF(AND('Bonding Program'!$S$30=1,'Bonding Program'!$H$30&gt;'Bonding Program'!$C$8,CC$3='Bonding Program'!$H$30),'Bonding Program'!$T$30-'Bonding Program'!$U$30-'Bonding Program'!$Z$30,0)-IF(AND('Bonding Program'!$S$30=1,'Bonding Program'!$H$30&lt;='Bonding Program'!$C$8,CC$3=IF('Bonding Program'!$P$30&lt;&gt;"",'Bonding Program'!$P$30,'Bonding Program'!$C$8)),'Bonding Program'!$Z$30,0)+IF(AND('Bonding Program'!$P$30&lt;&gt;"",CC$3='Bonding Program'!$P$30,CC$3&lt;='Bonding Program'!$C$8),N('Bonding Program'!$O$30),0)</f>
        <v>0</v>
      </c>
      <c r="CD171" s="19" t="n">
        <f aca="false">IF(AND('Bonding Program'!$S$30=1,'Bonding Program'!$H$30&gt;'Bonding Program'!$C$8,CD$3='Bonding Program'!$H$30),'Bonding Program'!$T$30-'Bonding Program'!$U$30-'Bonding Program'!$Z$30,0)-IF(AND('Bonding Program'!$S$30=1,'Bonding Program'!$H$30&lt;='Bonding Program'!$C$8,CD$3=IF('Bonding Program'!$P$30&lt;&gt;"",'Bonding Program'!$P$30,'Bonding Program'!$C$8)),'Bonding Program'!$Z$30,0)+IF(AND('Bonding Program'!$P$30&lt;&gt;"",CD$3='Bonding Program'!$P$30,CD$3&lt;='Bonding Program'!$C$8),N('Bonding Program'!$O$30),0)</f>
        <v>0</v>
      </c>
      <c r="CE171" s="19" t="n">
        <f aca="false">IF(AND('Bonding Program'!$S$30=1,'Bonding Program'!$H$30&gt;'Bonding Program'!$C$8,CE$3='Bonding Program'!$H$30),'Bonding Program'!$T$30-'Bonding Program'!$U$30-'Bonding Program'!$Z$30,0)-IF(AND('Bonding Program'!$S$30=1,'Bonding Program'!$H$30&lt;='Bonding Program'!$C$8,CE$3=IF('Bonding Program'!$P$30&lt;&gt;"",'Bonding Program'!$P$30,'Bonding Program'!$C$8)),'Bonding Program'!$Z$30,0)+IF(AND('Bonding Program'!$P$30&lt;&gt;"",CE$3='Bonding Program'!$P$30,CE$3&lt;='Bonding Program'!$C$8),N('Bonding Program'!$O$30),0)</f>
        <v>0</v>
      </c>
      <c r="CF171" s="19" t="n">
        <f aca="false">IF(AND('Bonding Program'!$S$30=1,'Bonding Program'!$H$30&gt;'Bonding Program'!$C$8,CF$3='Bonding Program'!$H$30),'Bonding Program'!$T$30-'Bonding Program'!$U$30-'Bonding Program'!$Z$30,0)-IF(AND('Bonding Program'!$S$30=1,'Bonding Program'!$H$30&lt;='Bonding Program'!$C$8,CF$3=IF('Bonding Program'!$P$30&lt;&gt;"",'Bonding Program'!$P$30,'Bonding Program'!$C$8)),'Bonding Program'!$Z$30,0)+IF(AND('Bonding Program'!$P$30&lt;&gt;"",CF$3='Bonding Program'!$P$30,CF$3&lt;='Bonding Program'!$C$8),N('Bonding Program'!$O$30),0)</f>
        <v>0</v>
      </c>
      <c r="CG171" s="19" t="n">
        <f aca="false">IF(AND('Bonding Program'!$S$30=1,'Bonding Program'!$H$30&gt;'Bonding Program'!$C$8,CG$3='Bonding Program'!$H$30),'Bonding Program'!$T$30-'Bonding Program'!$U$30-'Bonding Program'!$Z$30,0)-IF(AND('Bonding Program'!$S$30=1,'Bonding Program'!$H$30&lt;='Bonding Program'!$C$8,CG$3=IF('Bonding Program'!$P$30&lt;&gt;"",'Bonding Program'!$P$30,'Bonding Program'!$C$8)),'Bonding Program'!$Z$30,0)+IF(AND('Bonding Program'!$P$30&lt;&gt;"",CG$3='Bonding Program'!$P$30,CG$3&lt;='Bonding Program'!$C$8),N('Bonding Program'!$O$30),0)</f>
        <v>0</v>
      </c>
      <c r="CH171" s="19" t="n">
        <f aca="false">IF(AND('Bonding Program'!$S$30=1,'Bonding Program'!$H$30&gt;'Bonding Program'!$C$8,CH$3='Bonding Program'!$H$30),'Bonding Program'!$T$30-'Bonding Program'!$U$30-'Bonding Program'!$Z$30,0)-IF(AND('Bonding Program'!$S$30=1,'Bonding Program'!$H$30&lt;='Bonding Program'!$C$8,CH$3=IF('Bonding Program'!$P$30&lt;&gt;"",'Bonding Program'!$P$30,'Bonding Program'!$C$8)),'Bonding Program'!$Z$30,0)+IF(AND('Bonding Program'!$P$30&lt;&gt;"",CH$3='Bonding Program'!$P$30,CH$3&lt;='Bonding Program'!$C$8),N('Bonding Program'!$O$30),0)</f>
        <v>0</v>
      </c>
      <c r="CI171" s="19" t="n">
        <f aca="false">IF(AND('Bonding Program'!$S$30=1,'Bonding Program'!$H$30&gt;'Bonding Program'!$C$8,CI$3='Bonding Program'!$H$30),'Bonding Program'!$T$30-'Bonding Program'!$U$30-'Bonding Program'!$Z$30,0)-IF(AND('Bonding Program'!$S$30=1,'Bonding Program'!$H$30&lt;='Bonding Program'!$C$8,CI$3=IF('Bonding Program'!$P$30&lt;&gt;"",'Bonding Program'!$P$30,'Bonding Program'!$C$8)),'Bonding Program'!$Z$30,0)+IF(AND('Bonding Program'!$P$30&lt;&gt;"",CI$3='Bonding Program'!$P$30,CI$3&lt;='Bonding Program'!$C$8),N('Bonding Program'!$O$30),0)</f>
        <v>0</v>
      </c>
      <c r="CJ171" s="19" t="n">
        <f aca="false">IF(AND('Bonding Program'!$S$30=1,'Bonding Program'!$H$30&gt;'Bonding Program'!$C$8,CJ$3='Bonding Program'!$H$30),'Bonding Program'!$T$30-'Bonding Program'!$U$30-'Bonding Program'!$Z$30,0)-IF(AND('Bonding Program'!$S$30=1,'Bonding Program'!$H$30&lt;='Bonding Program'!$C$8,CJ$3=IF('Bonding Program'!$P$30&lt;&gt;"",'Bonding Program'!$P$30,'Bonding Program'!$C$8)),'Bonding Program'!$Z$30,0)+IF(AND('Bonding Program'!$P$30&lt;&gt;"",CJ$3='Bonding Program'!$P$30,CJ$3&lt;='Bonding Program'!$C$8),N('Bonding Program'!$O$30),0)</f>
        <v>0</v>
      </c>
      <c r="CK171" s="19" t="n">
        <f aca="false">IF(AND('Bonding Program'!$S$30=1,'Bonding Program'!$H$30&gt;'Bonding Program'!$C$8,CK$3='Bonding Program'!$H$30),'Bonding Program'!$T$30-'Bonding Program'!$U$30-'Bonding Program'!$Z$30,0)-IF(AND('Bonding Program'!$S$30=1,'Bonding Program'!$H$30&lt;='Bonding Program'!$C$8,CK$3=IF('Bonding Program'!$P$30&lt;&gt;"",'Bonding Program'!$P$30,'Bonding Program'!$C$8)),'Bonding Program'!$Z$30,0)+IF(AND('Bonding Program'!$P$30&lt;&gt;"",CK$3='Bonding Program'!$P$30,CK$3&lt;='Bonding Program'!$C$8),N('Bonding Program'!$O$30),0)</f>
        <v>0</v>
      </c>
      <c r="CL171" s="19" t="n">
        <f aca="false">IF(AND('Bonding Program'!$S$30=1,'Bonding Program'!$H$30&gt;'Bonding Program'!$C$8,CL$3='Bonding Program'!$H$30),'Bonding Program'!$T$30-'Bonding Program'!$U$30-'Bonding Program'!$Z$30,0)-IF(AND('Bonding Program'!$S$30=1,'Bonding Program'!$H$30&lt;='Bonding Program'!$C$8,CL$3=IF('Bonding Program'!$P$30&lt;&gt;"",'Bonding Program'!$P$30,'Bonding Program'!$C$8)),'Bonding Program'!$Z$30,0)+IF(AND('Bonding Program'!$P$30&lt;&gt;"",CL$3='Bonding Program'!$P$30,CL$3&lt;='Bonding Program'!$C$8),N('Bonding Program'!$O$30),0)</f>
        <v>0</v>
      </c>
      <c r="CM171" s="19" t="n">
        <f aca="false">IF(AND('Bonding Program'!$S$30=1,'Bonding Program'!$H$30&gt;'Bonding Program'!$C$8,CM$3='Bonding Program'!$H$30),'Bonding Program'!$T$30-'Bonding Program'!$U$30-'Bonding Program'!$Z$30,0)-IF(AND('Bonding Program'!$S$30=1,'Bonding Program'!$H$30&lt;='Bonding Program'!$C$8,CM$3=IF('Bonding Program'!$P$30&lt;&gt;"",'Bonding Program'!$P$30,'Bonding Program'!$C$8)),'Bonding Program'!$Z$30,0)+IF(AND('Bonding Program'!$P$30&lt;&gt;"",CM$3='Bonding Program'!$P$30,CM$3&lt;='Bonding Program'!$C$8),N('Bonding Program'!$O$30),0)</f>
        <v>0</v>
      </c>
      <c r="CN171" s="19" t="n">
        <f aca="false">IF(AND('Bonding Program'!$S$30=1,'Bonding Program'!$H$30&gt;'Bonding Program'!$C$8,CN$3='Bonding Program'!$H$30),'Bonding Program'!$T$30-'Bonding Program'!$U$30-'Bonding Program'!$Z$30,0)-IF(AND('Bonding Program'!$S$30=1,'Bonding Program'!$H$30&lt;='Bonding Program'!$C$8,CN$3=IF('Bonding Program'!$P$30&lt;&gt;"",'Bonding Program'!$P$30,'Bonding Program'!$C$8)),'Bonding Program'!$Z$30,0)+IF(AND('Bonding Program'!$P$30&lt;&gt;"",CN$3='Bonding Program'!$P$30,CN$3&lt;='Bonding Program'!$C$8),N('Bonding Program'!$O$30),0)</f>
        <v>0</v>
      </c>
      <c r="CO171" s="19" t="n">
        <f aca="false">IF(AND('Bonding Program'!$S$30=1,'Bonding Program'!$H$30&gt;'Bonding Program'!$C$8,CO$3='Bonding Program'!$H$30),'Bonding Program'!$T$30-'Bonding Program'!$U$30-'Bonding Program'!$Z$30,0)-IF(AND('Bonding Program'!$S$30=1,'Bonding Program'!$H$30&lt;='Bonding Program'!$C$8,CO$3=IF('Bonding Program'!$P$30&lt;&gt;"",'Bonding Program'!$P$30,'Bonding Program'!$C$8)),'Bonding Program'!$Z$30,0)+IF(AND('Bonding Program'!$P$30&lt;&gt;"",CO$3='Bonding Program'!$P$30,CO$3&lt;='Bonding Program'!$C$8),N('Bonding Program'!$O$30),0)</f>
        <v>0</v>
      </c>
      <c r="CP171" s="19" t="n">
        <f aca="false">IF(AND('Bonding Program'!$S$30=1,'Bonding Program'!$H$30&gt;'Bonding Program'!$C$8,CP$3='Bonding Program'!$H$30),'Bonding Program'!$T$30-'Bonding Program'!$U$30-'Bonding Program'!$Z$30,0)-IF(AND('Bonding Program'!$S$30=1,'Bonding Program'!$H$30&lt;='Bonding Program'!$C$8,CP$3=IF('Bonding Program'!$P$30&lt;&gt;"",'Bonding Program'!$P$30,'Bonding Program'!$C$8)),'Bonding Program'!$Z$30,0)+IF(AND('Bonding Program'!$P$30&lt;&gt;"",CP$3='Bonding Program'!$P$30,CP$3&lt;='Bonding Program'!$C$8),N('Bonding Program'!$O$30),0)</f>
        <v>0</v>
      </c>
      <c r="CQ171" s="19" t="n">
        <f aca="false">IF(AND('Bonding Program'!$S$30=1,'Bonding Program'!$H$30&gt;'Bonding Program'!$C$8,CQ$3='Bonding Program'!$H$30),'Bonding Program'!$T$30-'Bonding Program'!$U$30-'Bonding Program'!$Z$30,0)-IF(AND('Bonding Program'!$S$30=1,'Bonding Program'!$H$30&lt;='Bonding Program'!$C$8,CQ$3=IF('Bonding Program'!$P$30&lt;&gt;"",'Bonding Program'!$P$30,'Bonding Program'!$C$8)),'Bonding Program'!$Z$30,0)+IF(AND('Bonding Program'!$P$30&lt;&gt;"",CQ$3='Bonding Program'!$P$30,CQ$3&lt;='Bonding Program'!$C$8),N('Bonding Program'!$O$30),0)</f>
        <v>0</v>
      </c>
      <c r="CR171" s="19" t="n">
        <f aca="false">IF(AND('Bonding Program'!$S$30=1,'Bonding Program'!$H$30&gt;'Bonding Program'!$C$8,CR$3='Bonding Program'!$H$30),'Bonding Program'!$T$30-'Bonding Program'!$U$30-'Bonding Program'!$Z$30,0)-IF(AND('Bonding Program'!$S$30=1,'Bonding Program'!$H$30&lt;='Bonding Program'!$C$8,CR$3=IF('Bonding Program'!$P$30&lt;&gt;"",'Bonding Program'!$P$30,'Bonding Program'!$C$8)),'Bonding Program'!$Z$30,0)+IF(AND('Bonding Program'!$P$30&lt;&gt;"",CR$3='Bonding Program'!$P$30,CR$3&lt;='Bonding Program'!$C$8),N('Bonding Program'!$O$30),0)</f>
        <v>0</v>
      </c>
      <c r="CS171" s="19" t="n">
        <f aca="false">IF(AND('Bonding Program'!$S$30=1,'Bonding Program'!$H$30&gt;'Bonding Program'!$C$8,CS$3='Bonding Program'!$H$30),'Bonding Program'!$T$30-'Bonding Program'!$U$30-'Bonding Program'!$Z$30,0)-IF(AND('Bonding Program'!$S$30=1,'Bonding Program'!$H$30&lt;='Bonding Program'!$C$8,CS$3=IF('Bonding Program'!$P$30&lt;&gt;"",'Bonding Program'!$P$30,'Bonding Program'!$C$8)),'Bonding Program'!$Z$30,0)+IF(AND('Bonding Program'!$P$30&lt;&gt;"",CS$3='Bonding Program'!$P$30,CS$3&lt;='Bonding Program'!$C$8),N('Bonding Program'!$O$30),0)</f>
        <v>0</v>
      </c>
      <c r="CT171" s="19" t="n">
        <f aca="false">IF(AND('Bonding Program'!$S$30=1,'Bonding Program'!$H$30&gt;'Bonding Program'!$C$8,CT$3='Bonding Program'!$H$30),'Bonding Program'!$T$30-'Bonding Program'!$U$30-'Bonding Program'!$Z$30,0)-IF(AND('Bonding Program'!$S$30=1,'Bonding Program'!$H$30&lt;='Bonding Program'!$C$8,CT$3=IF('Bonding Program'!$P$30&lt;&gt;"",'Bonding Program'!$P$30,'Bonding Program'!$C$8)),'Bonding Program'!$Z$30,0)+IF(AND('Bonding Program'!$P$30&lt;&gt;"",CT$3='Bonding Program'!$P$30,CT$3&lt;='Bonding Program'!$C$8),N('Bonding Program'!$O$30),0)</f>
        <v>0</v>
      </c>
      <c r="CU171" s="19" t="n">
        <f aca="false">IF(AND('Bonding Program'!$S$30=1,'Bonding Program'!$H$30&gt;'Bonding Program'!$C$8,CU$3='Bonding Program'!$H$30),'Bonding Program'!$T$30-'Bonding Program'!$U$30-'Bonding Program'!$Z$30,0)-IF(AND('Bonding Program'!$S$30=1,'Bonding Program'!$H$30&lt;='Bonding Program'!$C$8,CU$3=IF('Bonding Program'!$P$30&lt;&gt;"",'Bonding Program'!$P$30,'Bonding Program'!$C$8)),'Bonding Program'!$Z$30,0)+IF(AND('Bonding Program'!$P$30&lt;&gt;"",CU$3='Bonding Program'!$P$30,CU$3&lt;='Bonding Program'!$C$8),N('Bonding Program'!$O$30),0)</f>
        <v>0</v>
      </c>
      <c r="CV171" s="19" t="n">
        <f aca="false">IF(AND('Bonding Program'!$S$30=1,'Bonding Program'!$H$30&gt;'Bonding Program'!$C$8,CV$3='Bonding Program'!$H$30),'Bonding Program'!$T$30-'Bonding Program'!$U$30-'Bonding Program'!$Z$30,0)-IF(AND('Bonding Program'!$S$30=1,'Bonding Program'!$H$30&lt;='Bonding Program'!$C$8,CV$3=IF('Bonding Program'!$P$30&lt;&gt;"",'Bonding Program'!$P$30,'Bonding Program'!$C$8)),'Bonding Program'!$Z$30,0)+IF(AND('Bonding Program'!$P$30&lt;&gt;"",CV$3='Bonding Program'!$P$30,CV$3&lt;='Bonding Program'!$C$8),N('Bonding Program'!$O$30),0)</f>
        <v>0</v>
      </c>
      <c r="CW171" s="19" t="n">
        <f aca="false">IF(AND('Bonding Program'!$S$30=1,'Bonding Program'!$H$30&gt;'Bonding Program'!$C$8,CW$3='Bonding Program'!$H$30),'Bonding Program'!$T$30-'Bonding Program'!$U$30-'Bonding Program'!$Z$30,0)-IF(AND('Bonding Program'!$S$30=1,'Bonding Program'!$H$30&lt;='Bonding Program'!$C$8,CW$3=IF('Bonding Program'!$P$30&lt;&gt;"",'Bonding Program'!$P$30,'Bonding Program'!$C$8)),'Bonding Program'!$Z$30,0)+IF(AND('Bonding Program'!$P$30&lt;&gt;"",CW$3='Bonding Program'!$P$30,CW$3&lt;='Bonding Program'!$C$8),N('Bonding Program'!$O$30),0)</f>
        <v>0</v>
      </c>
      <c r="CX171" s="19" t="n">
        <f aca="false">IF(AND('Bonding Program'!$S$30=1,'Bonding Program'!$H$30&gt;'Bonding Program'!$C$8,CX$3='Bonding Program'!$H$30),'Bonding Program'!$T$30-'Bonding Program'!$U$30-'Bonding Program'!$Z$30,0)-IF(AND('Bonding Program'!$S$30=1,'Bonding Program'!$H$30&lt;='Bonding Program'!$C$8,CX$3=IF('Bonding Program'!$P$30&lt;&gt;"",'Bonding Program'!$P$30,'Bonding Program'!$C$8)),'Bonding Program'!$Z$30,0)+IF(AND('Bonding Program'!$P$30&lt;&gt;"",CX$3='Bonding Program'!$P$30,CX$3&lt;='Bonding Program'!$C$8),N('Bonding Program'!$O$30),0)</f>
        <v>0</v>
      </c>
      <c r="CY171" s="19" t="n">
        <f aca="false">IF(AND('Bonding Program'!$S$30=1,'Bonding Program'!$H$30&gt;'Bonding Program'!$C$8,CY$3='Bonding Program'!$H$30),'Bonding Program'!$T$30-'Bonding Program'!$U$30-'Bonding Program'!$Z$30,0)-IF(AND('Bonding Program'!$S$30=1,'Bonding Program'!$H$30&lt;='Bonding Program'!$C$8,CY$3=IF('Bonding Program'!$P$30&lt;&gt;"",'Bonding Program'!$P$30,'Bonding Program'!$C$8)),'Bonding Program'!$Z$30,0)+IF(AND('Bonding Program'!$P$30&lt;&gt;"",CY$3='Bonding Program'!$P$30,CY$3&lt;='Bonding Program'!$C$8),N('Bonding Program'!$O$30),0)</f>
        <v>0</v>
      </c>
      <c r="CZ171" s="19" t="n">
        <f aca="false">IF(AND('Bonding Program'!$S$30=1,'Bonding Program'!$H$30&gt;'Bonding Program'!$C$8,CZ$3='Bonding Program'!$H$30),'Bonding Program'!$T$30-'Bonding Program'!$U$30-'Bonding Program'!$Z$30,0)-IF(AND('Bonding Program'!$S$30=1,'Bonding Program'!$H$30&lt;='Bonding Program'!$C$8,CZ$3=IF('Bonding Program'!$P$30&lt;&gt;"",'Bonding Program'!$P$30,'Bonding Program'!$C$8)),'Bonding Program'!$Z$30,0)+IF(AND('Bonding Program'!$P$30&lt;&gt;"",CZ$3='Bonding Program'!$P$30,CZ$3&lt;='Bonding Program'!$C$8),N('Bonding Program'!$O$30),0)</f>
        <v>0</v>
      </c>
      <c r="DA171" s="19" t="n">
        <f aca="false">IF(AND('Bonding Program'!$S$30=1,'Bonding Program'!$H$30&gt;'Bonding Program'!$C$8,DA$3='Bonding Program'!$H$30),'Bonding Program'!$T$30-'Bonding Program'!$U$30-'Bonding Program'!$Z$30,0)-IF(AND('Bonding Program'!$S$30=1,'Bonding Program'!$H$30&lt;='Bonding Program'!$C$8,DA$3=IF('Bonding Program'!$P$30&lt;&gt;"",'Bonding Program'!$P$30,'Bonding Program'!$C$8)),'Bonding Program'!$Z$30,0)+IF(AND('Bonding Program'!$P$30&lt;&gt;"",DA$3='Bonding Program'!$P$30,DA$3&lt;='Bonding Program'!$C$8),N('Bonding Program'!$O$30),0)</f>
        <v>0</v>
      </c>
      <c r="DB171" s="19" t="n">
        <f aca="false">IF(AND('Bonding Program'!$S$30=1,'Bonding Program'!$H$30&gt;'Bonding Program'!$C$8,DB$3='Bonding Program'!$H$30),'Bonding Program'!$T$30-'Bonding Program'!$U$30-'Bonding Program'!$Z$30,0)-IF(AND('Bonding Program'!$S$30=1,'Bonding Program'!$H$30&lt;='Bonding Program'!$C$8,DB$3=IF('Bonding Program'!$P$30&lt;&gt;"",'Bonding Program'!$P$30,'Bonding Program'!$C$8)),'Bonding Program'!$Z$30,0)+IF(AND('Bonding Program'!$P$30&lt;&gt;"",DB$3='Bonding Program'!$P$30,DB$3&lt;='Bonding Program'!$C$8),N('Bonding Program'!$O$30),0)</f>
        <v>0</v>
      </c>
      <c r="DC171" s="19" t="n">
        <f aca="false">IF(AND('Bonding Program'!$S$30=1,'Bonding Program'!$H$30&gt;'Bonding Program'!$C$8,DC$3='Bonding Program'!$H$30),'Bonding Program'!$T$30-'Bonding Program'!$U$30-'Bonding Program'!$Z$30,0)-IF(AND('Bonding Program'!$S$30=1,'Bonding Program'!$H$30&lt;='Bonding Program'!$C$8,DC$3=IF('Bonding Program'!$P$30&lt;&gt;"",'Bonding Program'!$P$30,'Bonding Program'!$C$8)),'Bonding Program'!$Z$30,0)+IF(AND('Bonding Program'!$P$30&lt;&gt;"",DC$3='Bonding Program'!$P$30,DC$3&lt;='Bonding Program'!$C$8),N('Bonding Program'!$O$30),0)</f>
        <v>0</v>
      </c>
      <c r="DD171" s="19" t="n">
        <f aca="false">IF(AND('Bonding Program'!$S$30=1,'Bonding Program'!$H$30&gt;'Bonding Program'!$C$8,DD$3='Bonding Program'!$H$30),'Bonding Program'!$T$30-'Bonding Program'!$U$30-'Bonding Program'!$Z$30,0)-IF(AND('Bonding Program'!$S$30=1,'Bonding Program'!$H$30&lt;='Bonding Program'!$C$8,DD$3=IF('Bonding Program'!$P$30&lt;&gt;"",'Bonding Program'!$P$30,'Bonding Program'!$C$8)),'Bonding Program'!$Z$30,0)+IF(AND('Bonding Program'!$P$30&lt;&gt;"",DD$3='Bonding Program'!$P$30,DD$3&lt;='Bonding Program'!$C$8),N('Bonding Program'!$O$30),0)</f>
        <v>0</v>
      </c>
      <c r="DE171" s="19" t="n">
        <f aca="false">IF(AND('Bonding Program'!$S$30=1,'Bonding Program'!$H$30&gt;'Bonding Program'!$C$8,DE$3='Bonding Program'!$H$30),'Bonding Program'!$T$30-'Bonding Program'!$U$30-'Bonding Program'!$Z$30,0)-IF(AND('Bonding Program'!$S$30=1,'Bonding Program'!$H$30&lt;='Bonding Program'!$C$8,DE$3=IF('Bonding Program'!$P$30&lt;&gt;"",'Bonding Program'!$P$30,'Bonding Program'!$C$8)),'Bonding Program'!$Z$30,0)+IF(AND('Bonding Program'!$P$30&lt;&gt;"",DE$3='Bonding Program'!$P$30,DE$3&lt;='Bonding Program'!$C$8),N('Bonding Program'!$O$30),0)</f>
        <v>0</v>
      </c>
    </row>
    <row r="172" customFormat="false" ht="15" hidden="false" customHeight="true" outlineLevel="1" collapsed="false">
      <c r="A172" s="28" t="s">
        <v>27</v>
      </c>
      <c r="B172" s="19" t="n">
        <f aca="false">IF(AND('Bonding Program'!$S$31=1,'Bonding Program'!$H$31&gt;'Bonding Program'!$C$8,B$3='Bonding Program'!$H$31),'Bonding Program'!$T$31-'Bonding Program'!$U$31-'Bonding Program'!$Z$31,0)-IF(AND('Bonding Program'!$S$31=1,'Bonding Program'!$H$31&lt;='Bonding Program'!$C$8,B$3=IF('Bonding Program'!$P$31&lt;&gt;"",'Bonding Program'!$P$31,'Bonding Program'!$C$8)),'Bonding Program'!$Z$31,0)+IF(AND('Bonding Program'!$P$31&lt;&gt;"",B$3='Bonding Program'!$P$31,B$3&lt;='Bonding Program'!$C$8),N('Bonding Program'!$O$31),0)</f>
        <v>0</v>
      </c>
      <c r="C172" s="19" t="n">
        <f aca="false">IF(AND('Bonding Program'!$S$31=1,'Bonding Program'!$H$31&gt;'Bonding Program'!$C$8,C$3='Bonding Program'!$H$31),'Bonding Program'!$T$31-'Bonding Program'!$U$31-'Bonding Program'!$Z$31,0)-IF(AND('Bonding Program'!$S$31=1,'Bonding Program'!$H$31&lt;='Bonding Program'!$C$8,C$3=IF('Bonding Program'!$P$31&lt;&gt;"",'Bonding Program'!$P$31,'Bonding Program'!$C$8)),'Bonding Program'!$Z$31,0)+IF(AND('Bonding Program'!$P$31&lt;&gt;"",C$3='Bonding Program'!$P$31,C$3&lt;='Bonding Program'!$C$8),N('Bonding Program'!$O$31),0)</f>
        <v>0</v>
      </c>
      <c r="D172" s="19" t="n">
        <f aca="false">IF(AND('Bonding Program'!$S$31=1,'Bonding Program'!$H$31&gt;'Bonding Program'!$C$8,D$3='Bonding Program'!$H$31),'Bonding Program'!$T$31-'Bonding Program'!$U$31-'Bonding Program'!$Z$31,0)-IF(AND('Bonding Program'!$S$31=1,'Bonding Program'!$H$31&lt;='Bonding Program'!$C$8,D$3=IF('Bonding Program'!$P$31&lt;&gt;"",'Bonding Program'!$P$31,'Bonding Program'!$C$8)),'Bonding Program'!$Z$31,0)+IF(AND('Bonding Program'!$P$31&lt;&gt;"",D$3='Bonding Program'!$P$31,D$3&lt;='Bonding Program'!$C$8),N('Bonding Program'!$O$31),0)</f>
        <v>0</v>
      </c>
      <c r="E172" s="19" t="n">
        <f aca="false">IF(AND('Bonding Program'!$S$31=1,'Bonding Program'!$H$31&gt;'Bonding Program'!$C$8,E$3='Bonding Program'!$H$31),'Bonding Program'!$T$31-'Bonding Program'!$U$31-'Bonding Program'!$Z$31,0)-IF(AND('Bonding Program'!$S$31=1,'Bonding Program'!$H$31&lt;='Bonding Program'!$C$8,E$3=IF('Bonding Program'!$P$31&lt;&gt;"",'Bonding Program'!$P$31,'Bonding Program'!$C$8)),'Bonding Program'!$Z$31,0)+IF(AND('Bonding Program'!$P$31&lt;&gt;"",E$3='Bonding Program'!$P$31,E$3&lt;='Bonding Program'!$C$8),N('Bonding Program'!$O$31),0)</f>
        <v>0</v>
      </c>
      <c r="F172" s="19" t="n">
        <f aca="false">IF(AND('Bonding Program'!$S$31=1,'Bonding Program'!$H$31&gt;'Bonding Program'!$C$8,F$3='Bonding Program'!$H$31),'Bonding Program'!$T$31-'Bonding Program'!$U$31-'Bonding Program'!$Z$31,0)-IF(AND('Bonding Program'!$S$31=1,'Bonding Program'!$H$31&lt;='Bonding Program'!$C$8,F$3=IF('Bonding Program'!$P$31&lt;&gt;"",'Bonding Program'!$P$31,'Bonding Program'!$C$8)),'Bonding Program'!$Z$31,0)+IF(AND('Bonding Program'!$P$31&lt;&gt;"",F$3='Bonding Program'!$P$31,F$3&lt;='Bonding Program'!$C$8),N('Bonding Program'!$O$31),0)</f>
        <v>0</v>
      </c>
      <c r="G172" s="19" t="n">
        <f aca="false">IF(AND('Bonding Program'!$S$31=1,'Bonding Program'!$H$31&gt;'Bonding Program'!$C$8,G$3='Bonding Program'!$H$31),'Bonding Program'!$T$31-'Bonding Program'!$U$31-'Bonding Program'!$Z$31,0)-IF(AND('Bonding Program'!$S$31=1,'Bonding Program'!$H$31&lt;='Bonding Program'!$C$8,G$3=IF('Bonding Program'!$P$31&lt;&gt;"",'Bonding Program'!$P$31,'Bonding Program'!$C$8)),'Bonding Program'!$Z$31,0)+IF(AND('Bonding Program'!$P$31&lt;&gt;"",G$3='Bonding Program'!$P$31,G$3&lt;='Bonding Program'!$C$8),N('Bonding Program'!$O$31),0)</f>
        <v>0</v>
      </c>
      <c r="H172" s="19" t="n">
        <f aca="false">IF(AND('Bonding Program'!$S$31=1,'Bonding Program'!$H$31&gt;'Bonding Program'!$C$8,H$3='Bonding Program'!$H$31),'Bonding Program'!$T$31-'Bonding Program'!$U$31-'Bonding Program'!$Z$31,0)-IF(AND('Bonding Program'!$S$31=1,'Bonding Program'!$H$31&lt;='Bonding Program'!$C$8,H$3=IF('Bonding Program'!$P$31&lt;&gt;"",'Bonding Program'!$P$31,'Bonding Program'!$C$8)),'Bonding Program'!$Z$31,0)+IF(AND('Bonding Program'!$P$31&lt;&gt;"",H$3='Bonding Program'!$P$31,H$3&lt;='Bonding Program'!$C$8),N('Bonding Program'!$O$31),0)</f>
        <v>0</v>
      </c>
      <c r="I172" s="19" t="n">
        <f aca="false">IF(AND('Bonding Program'!$S$31=1,'Bonding Program'!$H$31&gt;'Bonding Program'!$C$8,I$3='Bonding Program'!$H$31),'Bonding Program'!$T$31-'Bonding Program'!$U$31-'Bonding Program'!$Z$31,0)-IF(AND('Bonding Program'!$S$31=1,'Bonding Program'!$H$31&lt;='Bonding Program'!$C$8,I$3=IF('Bonding Program'!$P$31&lt;&gt;"",'Bonding Program'!$P$31,'Bonding Program'!$C$8)),'Bonding Program'!$Z$31,0)+IF(AND('Bonding Program'!$P$31&lt;&gt;"",I$3='Bonding Program'!$P$31,I$3&lt;='Bonding Program'!$C$8),N('Bonding Program'!$O$31),0)</f>
        <v>0</v>
      </c>
      <c r="J172" s="19" t="n">
        <f aca="false">IF(AND('Bonding Program'!$S$31=1,'Bonding Program'!$H$31&gt;'Bonding Program'!$C$8,J$3='Bonding Program'!$H$31),'Bonding Program'!$T$31-'Bonding Program'!$U$31-'Bonding Program'!$Z$31,0)-IF(AND('Bonding Program'!$S$31=1,'Bonding Program'!$H$31&lt;='Bonding Program'!$C$8,J$3=IF('Bonding Program'!$P$31&lt;&gt;"",'Bonding Program'!$P$31,'Bonding Program'!$C$8)),'Bonding Program'!$Z$31,0)+IF(AND('Bonding Program'!$P$31&lt;&gt;"",J$3='Bonding Program'!$P$31,J$3&lt;='Bonding Program'!$C$8),N('Bonding Program'!$O$31),0)</f>
        <v>0</v>
      </c>
      <c r="K172" s="19" t="n">
        <f aca="false">IF(AND('Bonding Program'!$S$31=1,'Bonding Program'!$H$31&gt;'Bonding Program'!$C$8,K$3='Bonding Program'!$H$31),'Bonding Program'!$T$31-'Bonding Program'!$U$31-'Bonding Program'!$Z$31,0)-IF(AND('Bonding Program'!$S$31=1,'Bonding Program'!$H$31&lt;='Bonding Program'!$C$8,K$3=IF('Bonding Program'!$P$31&lt;&gt;"",'Bonding Program'!$P$31,'Bonding Program'!$C$8)),'Bonding Program'!$Z$31,0)+IF(AND('Bonding Program'!$P$31&lt;&gt;"",K$3='Bonding Program'!$P$31,K$3&lt;='Bonding Program'!$C$8),N('Bonding Program'!$O$31),0)</f>
        <v>0</v>
      </c>
      <c r="L172" s="19" t="n">
        <f aca="false">IF(AND('Bonding Program'!$S$31=1,'Bonding Program'!$H$31&gt;'Bonding Program'!$C$8,L$3='Bonding Program'!$H$31),'Bonding Program'!$T$31-'Bonding Program'!$U$31-'Bonding Program'!$Z$31,0)-IF(AND('Bonding Program'!$S$31=1,'Bonding Program'!$H$31&lt;='Bonding Program'!$C$8,L$3=IF('Bonding Program'!$P$31&lt;&gt;"",'Bonding Program'!$P$31,'Bonding Program'!$C$8)),'Bonding Program'!$Z$31,0)+IF(AND('Bonding Program'!$P$31&lt;&gt;"",L$3='Bonding Program'!$P$31,L$3&lt;='Bonding Program'!$C$8),N('Bonding Program'!$O$31),0)</f>
        <v>0</v>
      </c>
      <c r="M172" s="19" t="n">
        <f aca="false">IF(AND('Bonding Program'!$S$31=1,'Bonding Program'!$H$31&gt;'Bonding Program'!$C$8,M$3='Bonding Program'!$H$31),'Bonding Program'!$T$31-'Bonding Program'!$U$31-'Bonding Program'!$Z$31,0)-IF(AND('Bonding Program'!$S$31=1,'Bonding Program'!$H$31&lt;='Bonding Program'!$C$8,M$3=IF('Bonding Program'!$P$31&lt;&gt;"",'Bonding Program'!$P$31,'Bonding Program'!$C$8)),'Bonding Program'!$Z$31,0)+IF(AND('Bonding Program'!$P$31&lt;&gt;"",M$3='Bonding Program'!$P$31,M$3&lt;='Bonding Program'!$C$8),N('Bonding Program'!$O$31),0)</f>
        <v>0</v>
      </c>
      <c r="N172" s="19" t="n">
        <f aca="false">IF(AND('Bonding Program'!$S$31=1,'Bonding Program'!$H$31&gt;'Bonding Program'!$C$8,N$3='Bonding Program'!$H$31),'Bonding Program'!$T$31-'Bonding Program'!$U$31-'Bonding Program'!$Z$31,0)-IF(AND('Bonding Program'!$S$31=1,'Bonding Program'!$H$31&lt;='Bonding Program'!$C$8,N$3=IF('Bonding Program'!$P$31&lt;&gt;"",'Bonding Program'!$P$31,'Bonding Program'!$C$8)),'Bonding Program'!$Z$31,0)+IF(AND('Bonding Program'!$P$31&lt;&gt;"",N$3='Bonding Program'!$P$31,N$3&lt;='Bonding Program'!$C$8),N('Bonding Program'!$O$31),0)</f>
        <v>0</v>
      </c>
      <c r="O172" s="19" t="n">
        <f aca="false">IF(AND('Bonding Program'!$S$31=1,'Bonding Program'!$H$31&gt;'Bonding Program'!$C$8,O$3='Bonding Program'!$H$31),'Bonding Program'!$T$31-'Bonding Program'!$U$31-'Bonding Program'!$Z$31,0)-IF(AND('Bonding Program'!$S$31=1,'Bonding Program'!$H$31&lt;='Bonding Program'!$C$8,O$3=IF('Bonding Program'!$P$31&lt;&gt;"",'Bonding Program'!$P$31,'Bonding Program'!$C$8)),'Bonding Program'!$Z$31,0)+IF(AND('Bonding Program'!$P$31&lt;&gt;"",O$3='Bonding Program'!$P$31,O$3&lt;='Bonding Program'!$C$8),N('Bonding Program'!$O$31),0)</f>
        <v>0</v>
      </c>
      <c r="P172" s="19" t="n">
        <f aca="false">IF(AND('Bonding Program'!$S$31=1,'Bonding Program'!$H$31&gt;'Bonding Program'!$C$8,P$3='Bonding Program'!$H$31),'Bonding Program'!$T$31-'Bonding Program'!$U$31-'Bonding Program'!$Z$31,0)-IF(AND('Bonding Program'!$S$31=1,'Bonding Program'!$H$31&lt;='Bonding Program'!$C$8,P$3=IF('Bonding Program'!$P$31&lt;&gt;"",'Bonding Program'!$P$31,'Bonding Program'!$C$8)),'Bonding Program'!$Z$31,0)+IF(AND('Bonding Program'!$P$31&lt;&gt;"",P$3='Bonding Program'!$P$31,P$3&lt;='Bonding Program'!$C$8),N('Bonding Program'!$O$31),0)</f>
        <v>0</v>
      </c>
      <c r="Q172" s="19" t="n">
        <f aca="false">IF(AND('Bonding Program'!$S$31=1,'Bonding Program'!$H$31&gt;'Bonding Program'!$C$8,Q$3='Bonding Program'!$H$31),'Bonding Program'!$T$31-'Bonding Program'!$U$31-'Bonding Program'!$Z$31,0)-IF(AND('Bonding Program'!$S$31=1,'Bonding Program'!$H$31&lt;='Bonding Program'!$C$8,Q$3=IF('Bonding Program'!$P$31&lt;&gt;"",'Bonding Program'!$P$31,'Bonding Program'!$C$8)),'Bonding Program'!$Z$31,0)+IF(AND('Bonding Program'!$P$31&lt;&gt;"",Q$3='Bonding Program'!$P$31,Q$3&lt;='Bonding Program'!$C$8),N('Bonding Program'!$O$31),0)</f>
        <v>0</v>
      </c>
      <c r="R172" s="19" t="n">
        <f aca="false">IF(AND('Bonding Program'!$S$31=1,'Bonding Program'!$H$31&gt;'Bonding Program'!$C$8,R$3='Bonding Program'!$H$31),'Bonding Program'!$T$31-'Bonding Program'!$U$31-'Bonding Program'!$Z$31,0)-IF(AND('Bonding Program'!$S$31=1,'Bonding Program'!$H$31&lt;='Bonding Program'!$C$8,R$3=IF('Bonding Program'!$P$31&lt;&gt;"",'Bonding Program'!$P$31,'Bonding Program'!$C$8)),'Bonding Program'!$Z$31,0)+IF(AND('Bonding Program'!$P$31&lt;&gt;"",R$3='Bonding Program'!$P$31,R$3&lt;='Bonding Program'!$C$8),N('Bonding Program'!$O$31),0)</f>
        <v>0</v>
      </c>
      <c r="S172" s="19" t="n">
        <f aca="false">IF(AND('Bonding Program'!$S$31=1,'Bonding Program'!$H$31&gt;'Bonding Program'!$C$8,S$3='Bonding Program'!$H$31),'Bonding Program'!$T$31-'Bonding Program'!$U$31-'Bonding Program'!$Z$31,0)-IF(AND('Bonding Program'!$S$31=1,'Bonding Program'!$H$31&lt;='Bonding Program'!$C$8,S$3=IF('Bonding Program'!$P$31&lt;&gt;"",'Bonding Program'!$P$31,'Bonding Program'!$C$8)),'Bonding Program'!$Z$31,0)+IF(AND('Bonding Program'!$P$31&lt;&gt;"",S$3='Bonding Program'!$P$31,S$3&lt;='Bonding Program'!$C$8),N('Bonding Program'!$O$31),0)</f>
        <v>0</v>
      </c>
      <c r="T172" s="19" t="n">
        <f aca="false">IF(AND('Bonding Program'!$S$31=1,'Bonding Program'!$H$31&gt;'Bonding Program'!$C$8,T$3='Bonding Program'!$H$31),'Bonding Program'!$T$31-'Bonding Program'!$U$31-'Bonding Program'!$Z$31,0)-IF(AND('Bonding Program'!$S$31=1,'Bonding Program'!$H$31&lt;='Bonding Program'!$C$8,T$3=IF('Bonding Program'!$P$31&lt;&gt;"",'Bonding Program'!$P$31,'Bonding Program'!$C$8)),'Bonding Program'!$Z$31,0)+IF(AND('Bonding Program'!$P$31&lt;&gt;"",T$3='Bonding Program'!$P$31,T$3&lt;='Bonding Program'!$C$8),N('Bonding Program'!$O$31),0)</f>
        <v>0</v>
      </c>
      <c r="U172" s="19" t="n">
        <f aca="false">IF(AND('Bonding Program'!$S$31=1,'Bonding Program'!$H$31&gt;'Bonding Program'!$C$8,U$3='Bonding Program'!$H$31),'Bonding Program'!$T$31-'Bonding Program'!$U$31-'Bonding Program'!$Z$31,0)-IF(AND('Bonding Program'!$S$31=1,'Bonding Program'!$H$31&lt;='Bonding Program'!$C$8,U$3=IF('Bonding Program'!$P$31&lt;&gt;"",'Bonding Program'!$P$31,'Bonding Program'!$C$8)),'Bonding Program'!$Z$31,0)+IF(AND('Bonding Program'!$P$31&lt;&gt;"",U$3='Bonding Program'!$P$31,U$3&lt;='Bonding Program'!$C$8),N('Bonding Program'!$O$31),0)</f>
        <v>0</v>
      </c>
      <c r="V172" s="19" t="n">
        <f aca="false">IF(AND('Bonding Program'!$S$31=1,'Bonding Program'!$H$31&gt;'Bonding Program'!$C$8,V$3='Bonding Program'!$H$31),'Bonding Program'!$T$31-'Bonding Program'!$U$31-'Bonding Program'!$Z$31,0)-IF(AND('Bonding Program'!$S$31=1,'Bonding Program'!$H$31&lt;='Bonding Program'!$C$8,V$3=IF('Bonding Program'!$P$31&lt;&gt;"",'Bonding Program'!$P$31,'Bonding Program'!$C$8)),'Bonding Program'!$Z$31,0)+IF(AND('Bonding Program'!$P$31&lt;&gt;"",V$3='Bonding Program'!$P$31,V$3&lt;='Bonding Program'!$C$8),N('Bonding Program'!$O$31),0)</f>
        <v>0</v>
      </c>
      <c r="W172" s="19" t="n">
        <f aca="false">IF(AND('Bonding Program'!$S$31=1,'Bonding Program'!$H$31&gt;'Bonding Program'!$C$8,W$3='Bonding Program'!$H$31),'Bonding Program'!$T$31-'Bonding Program'!$U$31-'Bonding Program'!$Z$31,0)-IF(AND('Bonding Program'!$S$31=1,'Bonding Program'!$H$31&lt;='Bonding Program'!$C$8,W$3=IF('Bonding Program'!$P$31&lt;&gt;"",'Bonding Program'!$P$31,'Bonding Program'!$C$8)),'Bonding Program'!$Z$31,0)+IF(AND('Bonding Program'!$P$31&lt;&gt;"",W$3='Bonding Program'!$P$31,W$3&lt;='Bonding Program'!$C$8),N('Bonding Program'!$O$31),0)</f>
        <v>0</v>
      </c>
      <c r="X172" s="19" t="n">
        <f aca="false">IF(AND('Bonding Program'!$S$31=1,'Bonding Program'!$H$31&gt;'Bonding Program'!$C$8,X$3='Bonding Program'!$H$31),'Bonding Program'!$T$31-'Bonding Program'!$U$31-'Bonding Program'!$Z$31,0)-IF(AND('Bonding Program'!$S$31=1,'Bonding Program'!$H$31&lt;='Bonding Program'!$C$8,X$3=IF('Bonding Program'!$P$31&lt;&gt;"",'Bonding Program'!$P$31,'Bonding Program'!$C$8)),'Bonding Program'!$Z$31,0)+IF(AND('Bonding Program'!$P$31&lt;&gt;"",X$3='Bonding Program'!$P$31,X$3&lt;='Bonding Program'!$C$8),N('Bonding Program'!$O$31),0)</f>
        <v>0</v>
      </c>
      <c r="Y172" s="19" t="n">
        <f aca="false">IF(AND('Bonding Program'!$S$31=1,'Bonding Program'!$H$31&gt;'Bonding Program'!$C$8,Y$3='Bonding Program'!$H$31),'Bonding Program'!$T$31-'Bonding Program'!$U$31-'Bonding Program'!$Z$31,0)-IF(AND('Bonding Program'!$S$31=1,'Bonding Program'!$H$31&lt;='Bonding Program'!$C$8,Y$3=IF('Bonding Program'!$P$31&lt;&gt;"",'Bonding Program'!$P$31,'Bonding Program'!$C$8)),'Bonding Program'!$Z$31,0)+IF(AND('Bonding Program'!$P$31&lt;&gt;"",Y$3='Bonding Program'!$P$31,Y$3&lt;='Bonding Program'!$C$8),N('Bonding Program'!$O$31),0)</f>
        <v>0</v>
      </c>
      <c r="Z172" s="19" t="n">
        <f aca="false">IF(AND('Bonding Program'!$S$31=1,'Bonding Program'!$H$31&gt;'Bonding Program'!$C$8,Z$3='Bonding Program'!$H$31),'Bonding Program'!$T$31-'Bonding Program'!$U$31-'Bonding Program'!$Z$31,0)-IF(AND('Bonding Program'!$S$31=1,'Bonding Program'!$H$31&lt;='Bonding Program'!$C$8,Z$3=IF('Bonding Program'!$P$31&lt;&gt;"",'Bonding Program'!$P$31,'Bonding Program'!$C$8)),'Bonding Program'!$Z$31,0)+IF(AND('Bonding Program'!$P$31&lt;&gt;"",Z$3='Bonding Program'!$P$31,Z$3&lt;='Bonding Program'!$C$8),N('Bonding Program'!$O$31),0)</f>
        <v>0</v>
      </c>
      <c r="AA172" s="19" t="n">
        <f aca="false">IF(AND('Bonding Program'!$S$31=1,'Bonding Program'!$H$31&gt;'Bonding Program'!$C$8,AA$3='Bonding Program'!$H$31),'Bonding Program'!$T$31-'Bonding Program'!$U$31-'Bonding Program'!$Z$31,0)-IF(AND('Bonding Program'!$S$31=1,'Bonding Program'!$H$31&lt;='Bonding Program'!$C$8,AA$3=IF('Bonding Program'!$P$31&lt;&gt;"",'Bonding Program'!$P$31,'Bonding Program'!$C$8)),'Bonding Program'!$Z$31,0)+IF(AND('Bonding Program'!$P$31&lt;&gt;"",AA$3='Bonding Program'!$P$31,AA$3&lt;='Bonding Program'!$C$8),N('Bonding Program'!$O$31),0)</f>
        <v>0</v>
      </c>
      <c r="AB172" s="19" t="n">
        <f aca="false">IF(AND('Bonding Program'!$S$31=1,'Bonding Program'!$H$31&gt;'Bonding Program'!$C$8,AB$3='Bonding Program'!$H$31),'Bonding Program'!$T$31-'Bonding Program'!$U$31-'Bonding Program'!$Z$31,0)-IF(AND('Bonding Program'!$S$31=1,'Bonding Program'!$H$31&lt;='Bonding Program'!$C$8,AB$3=IF('Bonding Program'!$P$31&lt;&gt;"",'Bonding Program'!$P$31,'Bonding Program'!$C$8)),'Bonding Program'!$Z$31,0)+IF(AND('Bonding Program'!$P$31&lt;&gt;"",AB$3='Bonding Program'!$P$31,AB$3&lt;='Bonding Program'!$C$8),N('Bonding Program'!$O$31),0)</f>
        <v>0</v>
      </c>
      <c r="AC172" s="19" t="n">
        <f aca="false">IF(AND('Bonding Program'!$S$31=1,'Bonding Program'!$H$31&gt;'Bonding Program'!$C$8,AC$3='Bonding Program'!$H$31),'Bonding Program'!$T$31-'Bonding Program'!$U$31-'Bonding Program'!$Z$31,0)-IF(AND('Bonding Program'!$S$31=1,'Bonding Program'!$H$31&lt;='Bonding Program'!$C$8,AC$3=IF('Bonding Program'!$P$31&lt;&gt;"",'Bonding Program'!$P$31,'Bonding Program'!$C$8)),'Bonding Program'!$Z$31,0)+IF(AND('Bonding Program'!$P$31&lt;&gt;"",AC$3='Bonding Program'!$P$31,AC$3&lt;='Bonding Program'!$C$8),N('Bonding Program'!$O$31),0)</f>
        <v>0</v>
      </c>
      <c r="AD172" s="19" t="n">
        <f aca="false">IF(AND('Bonding Program'!$S$31=1,'Bonding Program'!$H$31&gt;'Bonding Program'!$C$8,AD$3='Bonding Program'!$H$31),'Bonding Program'!$T$31-'Bonding Program'!$U$31-'Bonding Program'!$Z$31,0)-IF(AND('Bonding Program'!$S$31=1,'Bonding Program'!$H$31&lt;='Bonding Program'!$C$8,AD$3=IF('Bonding Program'!$P$31&lt;&gt;"",'Bonding Program'!$P$31,'Bonding Program'!$C$8)),'Bonding Program'!$Z$31,0)+IF(AND('Bonding Program'!$P$31&lt;&gt;"",AD$3='Bonding Program'!$P$31,AD$3&lt;='Bonding Program'!$C$8),N('Bonding Program'!$O$31),0)</f>
        <v>0</v>
      </c>
      <c r="AE172" s="19" t="n">
        <f aca="false">IF(AND('Bonding Program'!$S$31=1,'Bonding Program'!$H$31&gt;'Bonding Program'!$C$8,AE$3='Bonding Program'!$H$31),'Bonding Program'!$T$31-'Bonding Program'!$U$31-'Bonding Program'!$Z$31,0)-IF(AND('Bonding Program'!$S$31=1,'Bonding Program'!$H$31&lt;='Bonding Program'!$C$8,AE$3=IF('Bonding Program'!$P$31&lt;&gt;"",'Bonding Program'!$P$31,'Bonding Program'!$C$8)),'Bonding Program'!$Z$31,0)+IF(AND('Bonding Program'!$P$31&lt;&gt;"",AE$3='Bonding Program'!$P$31,AE$3&lt;='Bonding Program'!$C$8),N('Bonding Program'!$O$31),0)</f>
        <v>0</v>
      </c>
      <c r="AF172" s="19" t="n">
        <f aca="false">IF(AND('Bonding Program'!$S$31=1,'Bonding Program'!$H$31&gt;'Bonding Program'!$C$8,AF$3='Bonding Program'!$H$31),'Bonding Program'!$T$31-'Bonding Program'!$U$31-'Bonding Program'!$Z$31,0)-IF(AND('Bonding Program'!$S$31=1,'Bonding Program'!$H$31&lt;='Bonding Program'!$C$8,AF$3=IF('Bonding Program'!$P$31&lt;&gt;"",'Bonding Program'!$P$31,'Bonding Program'!$C$8)),'Bonding Program'!$Z$31,0)+IF(AND('Bonding Program'!$P$31&lt;&gt;"",AF$3='Bonding Program'!$P$31,AF$3&lt;='Bonding Program'!$C$8),N('Bonding Program'!$O$31),0)</f>
        <v>0</v>
      </c>
      <c r="AG172" s="19" t="n">
        <f aca="false">IF(AND('Bonding Program'!$S$31=1,'Bonding Program'!$H$31&gt;'Bonding Program'!$C$8,AG$3='Bonding Program'!$H$31),'Bonding Program'!$T$31-'Bonding Program'!$U$31-'Bonding Program'!$Z$31,0)-IF(AND('Bonding Program'!$S$31=1,'Bonding Program'!$H$31&lt;='Bonding Program'!$C$8,AG$3=IF('Bonding Program'!$P$31&lt;&gt;"",'Bonding Program'!$P$31,'Bonding Program'!$C$8)),'Bonding Program'!$Z$31,0)+IF(AND('Bonding Program'!$P$31&lt;&gt;"",AG$3='Bonding Program'!$P$31,AG$3&lt;='Bonding Program'!$C$8),N('Bonding Program'!$O$31),0)</f>
        <v>0</v>
      </c>
      <c r="AH172" s="19" t="n">
        <f aca="false">IF(AND('Bonding Program'!$S$31=1,'Bonding Program'!$H$31&gt;'Bonding Program'!$C$8,AH$3='Bonding Program'!$H$31),'Bonding Program'!$T$31-'Bonding Program'!$U$31-'Bonding Program'!$Z$31,0)-IF(AND('Bonding Program'!$S$31=1,'Bonding Program'!$H$31&lt;='Bonding Program'!$C$8,AH$3=IF('Bonding Program'!$P$31&lt;&gt;"",'Bonding Program'!$P$31,'Bonding Program'!$C$8)),'Bonding Program'!$Z$31,0)+IF(AND('Bonding Program'!$P$31&lt;&gt;"",AH$3='Bonding Program'!$P$31,AH$3&lt;='Bonding Program'!$C$8),N('Bonding Program'!$O$31),0)</f>
        <v>0</v>
      </c>
      <c r="AI172" s="19" t="n">
        <f aca="false">IF(AND('Bonding Program'!$S$31=1,'Bonding Program'!$H$31&gt;'Bonding Program'!$C$8,AI$3='Bonding Program'!$H$31),'Bonding Program'!$T$31-'Bonding Program'!$U$31-'Bonding Program'!$Z$31,0)-IF(AND('Bonding Program'!$S$31=1,'Bonding Program'!$H$31&lt;='Bonding Program'!$C$8,AI$3=IF('Bonding Program'!$P$31&lt;&gt;"",'Bonding Program'!$P$31,'Bonding Program'!$C$8)),'Bonding Program'!$Z$31,0)+IF(AND('Bonding Program'!$P$31&lt;&gt;"",AI$3='Bonding Program'!$P$31,AI$3&lt;='Bonding Program'!$C$8),N('Bonding Program'!$O$31),0)</f>
        <v>0</v>
      </c>
      <c r="AJ172" s="19" t="n">
        <f aca="false">IF(AND('Bonding Program'!$S$31=1,'Bonding Program'!$H$31&gt;'Bonding Program'!$C$8,AJ$3='Bonding Program'!$H$31),'Bonding Program'!$T$31-'Bonding Program'!$U$31-'Bonding Program'!$Z$31,0)-IF(AND('Bonding Program'!$S$31=1,'Bonding Program'!$H$31&lt;='Bonding Program'!$C$8,AJ$3=IF('Bonding Program'!$P$31&lt;&gt;"",'Bonding Program'!$P$31,'Bonding Program'!$C$8)),'Bonding Program'!$Z$31,0)+IF(AND('Bonding Program'!$P$31&lt;&gt;"",AJ$3='Bonding Program'!$P$31,AJ$3&lt;='Bonding Program'!$C$8),N('Bonding Program'!$O$31),0)</f>
        <v>0</v>
      </c>
      <c r="AK172" s="19" t="n">
        <f aca="false">IF(AND('Bonding Program'!$S$31=1,'Bonding Program'!$H$31&gt;'Bonding Program'!$C$8,AK$3='Bonding Program'!$H$31),'Bonding Program'!$T$31-'Bonding Program'!$U$31-'Bonding Program'!$Z$31,0)-IF(AND('Bonding Program'!$S$31=1,'Bonding Program'!$H$31&lt;='Bonding Program'!$C$8,AK$3=IF('Bonding Program'!$P$31&lt;&gt;"",'Bonding Program'!$P$31,'Bonding Program'!$C$8)),'Bonding Program'!$Z$31,0)+IF(AND('Bonding Program'!$P$31&lt;&gt;"",AK$3='Bonding Program'!$P$31,AK$3&lt;='Bonding Program'!$C$8),N('Bonding Program'!$O$31),0)</f>
        <v>0</v>
      </c>
      <c r="AL172" s="19" t="n">
        <f aca="false">IF(AND('Bonding Program'!$S$31=1,'Bonding Program'!$H$31&gt;'Bonding Program'!$C$8,AL$3='Bonding Program'!$H$31),'Bonding Program'!$T$31-'Bonding Program'!$U$31-'Bonding Program'!$Z$31,0)-IF(AND('Bonding Program'!$S$31=1,'Bonding Program'!$H$31&lt;='Bonding Program'!$C$8,AL$3=IF('Bonding Program'!$P$31&lt;&gt;"",'Bonding Program'!$P$31,'Bonding Program'!$C$8)),'Bonding Program'!$Z$31,0)+IF(AND('Bonding Program'!$P$31&lt;&gt;"",AL$3='Bonding Program'!$P$31,AL$3&lt;='Bonding Program'!$C$8),N('Bonding Program'!$O$31),0)</f>
        <v>0</v>
      </c>
      <c r="AM172" s="19" t="n">
        <f aca="false">IF(AND('Bonding Program'!$S$31=1,'Bonding Program'!$H$31&gt;'Bonding Program'!$C$8,AM$3='Bonding Program'!$H$31),'Bonding Program'!$T$31-'Bonding Program'!$U$31-'Bonding Program'!$Z$31,0)-IF(AND('Bonding Program'!$S$31=1,'Bonding Program'!$H$31&lt;='Bonding Program'!$C$8,AM$3=IF('Bonding Program'!$P$31&lt;&gt;"",'Bonding Program'!$P$31,'Bonding Program'!$C$8)),'Bonding Program'!$Z$31,0)+IF(AND('Bonding Program'!$P$31&lt;&gt;"",AM$3='Bonding Program'!$P$31,AM$3&lt;='Bonding Program'!$C$8),N('Bonding Program'!$O$31),0)</f>
        <v>0</v>
      </c>
      <c r="AN172" s="19" t="n">
        <f aca="false">IF(AND('Bonding Program'!$S$31=1,'Bonding Program'!$H$31&gt;'Bonding Program'!$C$8,AN$3='Bonding Program'!$H$31),'Bonding Program'!$T$31-'Bonding Program'!$U$31-'Bonding Program'!$Z$31,0)-IF(AND('Bonding Program'!$S$31=1,'Bonding Program'!$H$31&lt;='Bonding Program'!$C$8,AN$3=IF('Bonding Program'!$P$31&lt;&gt;"",'Bonding Program'!$P$31,'Bonding Program'!$C$8)),'Bonding Program'!$Z$31,0)+IF(AND('Bonding Program'!$P$31&lt;&gt;"",AN$3='Bonding Program'!$P$31,AN$3&lt;='Bonding Program'!$C$8),N('Bonding Program'!$O$31),0)</f>
        <v>0</v>
      </c>
      <c r="AO172" s="19" t="n">
        <f aca="false">IF(AND('Bonding Program'!$S$31=1,'Bonding Program'!$H$31&gt;'Bonding Program'!$C$8,AO$3='Bonding Program'!$H$31),'Bonding Program'!$T$31-'Bonding Program'!$U$31-'Bonding Program'!$Z$31,0)-IF(AND('Bonding Program'!$S$31=1,'Bonding Program'!$H$31&lt;='Bonding Program'!$C$8,AO$3=IF('Bonding Program'!$P$31&lt;&gt;"",'Bonding Program'!$P$31,'Bonding Program'!$C$8)),'Bonding Program'!$Z$31,0)+IF(AND('Bonding Program'!$P$31&lt;&gt;"",AO$3='Bonding Program'!$P$31,AO$3&lt;='Bonding Program'!$C$8),N('Bonding Program'!$O$31),0)</f>
        <v>0</v>
      </c>
      <c r="AP172" s="19" t="n">
        <f aca="false">IF(AND('Bonding Program'!$S$31=1,'Bonding Program'!$H$31&gt;'Bonding Program'!$C$8,AP$3='Bonding Program'!$H$31),'Bonding Program'!$T$31-'Bonding Program'!$U$31-'Bonding Program'!$Z$31,0)-IF(AND('Bonding Program'!$S$31=1,'Bonding Program'!$H$31&lt;='Bonding Program'!$C$8,AP$3=IF('Bonding Program'!$P$31&lt;&gt;"",'Bonding Program'!$P$31,'Bonding Program'!$C$8)),'Bonding Program'!$Z$31,0)+IF(AND('Bonding Program'!$P$31&lt;&gt;"",AP$3='Bonding Program'!$P$31,AP$3&lt;='Bonding Program'!$C$8),N('Bonding Program'!$O$31),0)</f>
        <v>0</v>
      </c>
      <c r="AQ172" s="19" t="n">
        <f aca="false">IF(AND('Bonding Program'!$S$31=1,'Bonding Program'!$H$31&gt;'Bonding Program'!$C$8,AQ$3='Bonding Program'!$H$31),'Bonding Program'!$T$31-'Bonding Program'!$U$31-'Bonding Program'!$Z$31,0)-IF(AND('Bonding Program'!$S$31=1,'Bonding Program'!$H$31&lt;='Bonding Program'!$C$8,AQ$3=IF('Bonding Program'!$P$31&lt;&gt;"",'Bonding Program'!$P$31,'Bonding Program'!$C$8)),'Bonding Program'!$Z$31,0)+IF(AND('Bonding Program'!$P$31&lt;&gt;"",AQ$3='Bonding Program'!$P$31,AQ$3&lt;='Bonding Program'!$C$8),N('Bonding Program'!$O$31),0)</f>
        <v>0</v>
      </c>
      <c r="AR172" s="19" t="n">
        <f aca="false">IF(AND('Bonding Program'!$S$31=1,'Bonding Program'!$H$31&gt;'Bonding Program'!$C$8,AR$3='Bonding Program'!$H$31),'Bonding Program'!$T$31-'Bonding Program'!$U$31-'Bonding Program'!$Z$31,0)-IF(AND('Bonding Program'!$S$31=1,'Bonding Program'!$H$31&lt;='Bonding Program'!$C$8,AR$3=IF('Bonding Program'!$P$31&lt;&gt;"",'Bonding Program'!$P$31,'Bonding Program'!$C$8)),'Bonding Program'!$Z$31,0)+IF(AND('Bonding Program'!$P$31&lt;&gt;"",AR$3='Bonding Program'!$P$31,AR$3&lt;='Bonding Program'!$C$8),N('Bonding Program'!$O$31),0)</f>
        <v>0</v>
      </c>
      <c r="AS172" s="19" t="n">
        <f aca="false">IF(AND('Bonding Program'!$S$31=1,'Bonding Program'!$H$31&gt;'Bonding Program'!$C$8,AS$3='Bonding Program'!$H$31),'Bonding Program'!$T$31-'Bonding Program'!$U$31-'Bonding Program'!$Z$31,0)-IF(AND('Bonding Program'!$S$31=1,'Bonding Program'!$H$31&lt;='Bonding Program'!$C$8,AS$3=IF('Bonding Program'!$P$31&lt;&gt;"",'Bonding Program'!$P$31,'Bonding Program'!$C$8)),'Bonding Program'!$Z$31,0)+IF(AND('Bonding Program'!$P$31&lt;&gt;"",AS$3='Bonding Program'!$P$31,AS$3&lt;='Bonding Program'!$C$8),N('Bonding Program'!$O$31),0)</f>
        <v>0</v>
      </c>
      <c r="AT172" s="19" t="n">
        <f aca="false">IF(AND('Bonding Program'!$S$31=1,'Bonding Program'!$H$31&gt;'Bonding Program'!$C$8,AT$3='Bonding Program'!$H$31),'Bonding Program'!$T$31-'Bonding Program'!$U$31-'Bonding Program'!$Z$31,0)-IF(AND('Bonding Program'!$S$31=1,'Bonding Program'!$H$31&lt;='Bonding Program'!$C$8,AT$3=IF('Bonding Program'!$P$31&lt;&gt;"",'Bonding Program'!$P$31,'Bonding Program'!$C$8)),'Bonding Program'!$Z$31,0)+IF(AND('Bonding Program'!$P$31&lt;&gt;"",AT$3='Bonding Program'!$P$31,AT$3&lt;='Bonding Program'!$C$8),N('Bonding Program'!$O$31),0)</f>
        <v>0</v>
      </c>
      <c r="AU172" s="19" t="n">
        <f aca="false">IF(AND('Bonding Program'!$S$31=1,'Bonding Program'!$H$31&gt;'Bonding Program'!$C$8,AU$3='Bonding Program'!$H$31),'Bonding Program'!$T$31-'Bonding Program'!$U$31-'Bonding Program'!$Z$31,0)-IF(AND('Bonding Program'!$S$31=1,'Bonding Program'!$H$31&lt;='Bonding Program'!$C$8,AU$3=IF('Bonding Program'!$P$31&lt;&gt;"",'Bonding Program'!$P$31,'Bonding Program'!$C$8)),'Bonding Program'!$Z$31,0)+IF(AND('Bonding Program'!$P$31&lt;&gt;"",AU$3='Bonding Program'!$P$31,AU$3&lt;='Bonding Program'!$C$8),N('Bonding Program'!$O$31),0)</f>
        <v>0</v>
      </c>
      <c r="AV172" s="19" t="n">
        <f aca="false">IF(AND('Bonding Program'!$S$31=1,'Bonding Program'!$H$31&gt;'Bonding Program'!$C$8,AV$3='Bonding Program'!$H$31),'Bonding Program'!$T$31-'Bonding Program'!$U$31-'Bonding Program'!$Z$31,0)-IF(AND('Bonding Program'!$S$31=1,'Bonding Program'!$H$31&lt;='Bonding Program'!$C$8,AV$3=IF('Bonding Program'!$P$31&lt;&gt;"",'Bonding Program'!$P$31,'Bonding Program'!$C$8)),'Bonding Program'!$Z$31,0)+IF(AND('Bonding Program'!$P$31&lt;&gt;"",AV$3='Bonding Program'!$P$31,AV$3&lt;='Bonding Program'!$C$8),N('Bonding Program'!$O$31),0)</f>
        <v>0</v>
      </c>
      <c r="AW172" s="19" t="n">
        <f aca="false">IF(AND('Bonding Program'!$S$31=1,'Bonding Program'!$H$31&gt;'Bonding Program'!$C$8,AW$3='Bonding Program'!$H$31),'Bonding Program'!$T$31-'Bonding Program'!$U$31-'Bonding Program'!$Z$31,0)-IF(AND('Bonding Program'!$S$31=1,'Bonding Program'!$H$31&lt;='Bonding Program'!$C$8,AW$3=IF('Bonding Program'!$P$31&lt;&gt;"",'Bonding Program'!$P$31,'Bonding Program'!$C$8)),'Bonding Program'!$Z$31,0)+IF(AND('Bonding Program'!$P$31&lt;&gt;"",AW$3='Bonding Program'!$P$31,AW$3&lt;='Bonding Program'!$C$8),N('Bonding Program'!$O$31),0)</f>
        <v>0</v>
      </c>
      <c r="AX172" s="19" t="n">
        <f aca="false">IF(AND('Bonding Program'!$S$31=1,'Bonding Program'!$H$31&gt;'Bonding Program'!$C$8,AX$3='Bonding Program'!$H$31),'Bonding Program'!$T$31-'Bonding Program'!$U$31-'Bonding Program'!$Z$31,0)-IF(AND('Bonding Program'!$S$31=1,'Bonding Program'!$H$31&lt;='Bonding Program'!$C$8,AX$3=IF('Bonding Program'!$P$31&lt;&gt;"",'Bonding Program'!$P$31,'Bonding Program'!$C$8)),'Bonding Program'!$Z$31,0)+IF(AND('Bonding Program'!$P$31&lt;&gt;"",AX$3='Bonding Program'!$P$31,AX$3&lt;='Bonding Program'!$C$8),N('Bonding Program'!$O$31),0)</f>
        <v>0</v>
      </c>
      <c r="AY172" s="19" t="n">
        <f aca="false">IF(AND('Bonding Program'!$S$31=1,'Bonding Program'!$H$31&gt;'Bonding Program'!$C$8,AY$3='Bonding Program'!$H$31),'Bonding Program'!$T$31-'Bonding Program'!$U$31-'Bonding Program'!$Z$31,0)-IF(AND('Bonding Program'!$S$31=1,'Bonding Program'!$H$31&lt;='Bonding Program'!$C$8,AY$3=IF('Bonding Program'!$P$31&lt;&gt;"",'Bonding Program'!$P$31,'Bonding Program'!$C$8)),'Bonding Program'!$Z$31,0)+IF(AND('Bonding Program'!$P$31&lt;&gt;"",AY$3='Bonding Program'!$P$31,AY$3&lt;='Bonding Program'!$C$8),N('Bonding Program'!$O$31),0)</f>
        <v>0</v>
      </c>
      <c r="AZ172" s="19" t="n">
        <f aca="false">IF(AND('Bonding Program'!$S$31=1,'Bonding Program'!$H$31&gt;'Bonding Program'!$C$8,AZ$3='Bonding Program'!$H$31),'Bonding Program'!$T$31-'Bonding Program'!$U$31-'Bonding Program'!$Z$31,0)-IF(AND('Bonding Program'!$S$31=1,'Bonding Program'!$H$31&lt;='Bonding Program'!$C$8,AZ$3=IF('Bonding Program'!$P$31&lt;&gt;"",'Bonding Program'!$P$31,'Bonding Program'!$C$8)),'Bonding Program'!$Z$31,0)+IF(AND('Bonding Program'!$P$31&lt;&gt;"",AZ$3='Bonding Program'!$P$31,AZ$3&lt;='Bonding Program'!$C$8),N('Bonding Program'!$O$31),0)</f>
        <v>0</v>
      </c>
      <c r="BA172" s="19" t="n">
        <f aca="false">IF(AND('Bonding Program'!$S$31=1,'Bonding Program'!$H$31&gt;'Bonding Program'!$C$8,BA$3='Bonding Program'!$H$31),'Bonding Program'!$T$31-'Bonding Program'!$U$31-'Bonding Program'!$Z$31,0)-IF(AND('Bonding Program'!$S$31=1,'Bonding Program'!$H$31&lt;='Bonding Program'!$C$8,BA$3=IF('Bonding Program'!$P$31&lt;&gt;"",'Bonding Program'!$P$31,'Bonding Program'!$C$8)),'Bonding Program'!$Z$31,0)+IF(AND('Bonding Program'!$P$31&lt;&gt;"",BA$3='Bonding Program'!$P$31,BA$3&lt;='Bonding Program'!$C$8),N('Bonding Program'!$O$31),0)</f>
        <v>0</v>
      </c>
      <c r="BB172" s="19" t="n">
        <f aca="false">IF(AND('Bonding Program'!$S$31=1,'Bonding Program'!$H$31&gt;'Bonding Program'!$C$8,BB$3='Bonding Program'!$H$31),'Bonding Program'!$T$31-'Bonding Program'!$U$31-'Bonding Program'!$Z$31,0)-IF(AND('Bonding Program'!$S$31=1,'Bonding Program'!$H$31&lt;='Bonding Program'!$C$8,BB$3=IF('Bonding Program'!$P$31&lt;&gt;"",'Bonding Program'!$P$31,'Bonding Program'!$C$8)),'Bonding Program'!$Z$31,0)+IF(AND('Bonding Program'!$P$31&lt;&gt;"",BB$3='Bonding Program'!$P$31,BB$3&lt;='Bonding Program'!$C$8),N('Bonding Program'!$O$31),0)</f>
        <v>0</v>
      </c>
      <c r="BC172" s="19" t="n">
        <f aca="false">IF(AND('Bonding Program'!$S$31=1,'Bonding Program'!$H$31&gt;'Bonding Program'!$C$8,BC$3='Bonding Program'!$H$31),'Bonding Program'!$T$31-'Bonding Program'!$U$31-'Bonding Program'!$Z$31,0)-IF(AND('Bonding Program'!$S$31=1,'Bonding Program'!$H$31&lt;='Bonding Program'!$C$8,BC$3=IF('Bonding Program'!$P$31&lt;&gt;"",'Bonding Program'!$P$31,'Bonding Program'!$C$8)),'Bonding Program'!$Z$31,0)+IF(AND('Bonding Program'!$P$31&lt;&gt;"",BC$3='Bonding Program'!$P$31,BC$3&lt;='Bonding Program'!$C$8),N('Bonding Program'!$O$31),0)</f>
        <v>0</v>
      </c>
      <c r="BD172" s="19" t="n">
        <f aca="false">IF(AND('Bonding Program'!$S$31=1,'Bonding Program'!$H$31&gt;'Bonding Program'!$C$8,BD$3='Bonding Program'!$H$31),'Bonding Program'!$T$31-'Bonding Program'!$U$31-'Bonding Program'!$Z$31,0)-IF(AND('Bonding Program'!$S$31=1,'Bonding Program'!$H$31&lt;='Bonding Program'!$C$8,BD$3=IF('Bonding Program'!$P$31&lt;&gt;"",'Bonding Program'!$P$31,'Bonding Program'!$C$8)),'Bonding Program'!$Z$31,0)+IF(AND('Bonding Program'!$P$31&lt;&gt;"",BD$3='Bonding Program'!$P$31,BD$3&lt;='Bonding Program'!$C$8),N('Bonding Program'!$O$31),0)</f>
        <v>0</v>
      </c>
      <c r="BE172" s="19" t="n">
        <f aca="false">IF(AND('Bonding Program'!$S$31=1,'Bonding Program'!$H$31&gt;'Bonding Program'!$C$8,BE$3='Bonding Program'!$H$31),'Bonding Program'!$T$31-'Bonding Program'!$U$31-'Bonding Program'!$Z$31,0)-IF(AND('Bonding Program'!$S$31=1,'Bonding Program'!$H$31&lt;='Bonding Program'!$C$8,BE$3=IF('Bonding Program'!$P$31&lt;&gt;"",'Bonding Program'!$P$31,'Bonding Program'!$C$8)),'Bonding Program'!$Z$31,0)+IF(AND('Bonding Program'!$P$31&lt;&gt;"",BE$3='Bonding Program'!$P$31,BE$3&lt;='Bonding Program'!$C$8),N('Bonding Program'!$O$31),0)</f>
        <v>0</v>
      </c>
      <c r="BF172" s="19" t="n">
        <f aca="false">IF(AND('Bonding Program'!$S$31=1,'Bonding Program'!$H$31&gt;'Bonding Program'!$C$8,BF$3='Bonding Program'!$H$31),'Bonding Program'!$T$31-'Bonding Program'!$U$31-'Bonding Program'!$Z$31,0)-IF(AND('Bonding Program'!$S$31=1,'Bonding Program'!$H$31&lt;='Bonding Program'!$C$8,BF$3=IF('Bonding Program'!$P$31&lt;&gt;"",'Bonding Program'!$P$31,'Bonding Program'!$C$8)),'Bonding Program'!$Z$31,0)+IF(AND('Bonding Program'!$P$31&lt;&gt;"",BF$3='Bonding Program'!$P$31,BF$3&lt;='Bonding Program'!$C$8),N('Bonding Program'!$O$31),0)</f>
        <v>0</v>
      </c>
      <c r="BG172" s="19" t="n">
        <f aca="false">IF(AND('Bonding Program'!$S$31=1,'Bonding Program'!$H$31&gt;'Bonding Program'!$C$8,BG$3='Bonding Program'!$H$31),'Bonding Program'!$T$31-'Bonding Program'!$U$31-'Bonding Program'!$Z$31,0)-IF(AND('Bonding Program'!$S$31=1,'Bonding Program'!$H$31&lt;='Bonding Program'!$C$8,BG$3=IF('Bonding Program'!$P$31&lt;&gt;"",'Bonding Program'!$P$31,'Bonding Program'!$C$8)),'Bonding Program'!$Z$31,0)+IF(AND('Bonding Program'!$P$31&lt;&gt;"",BG$3='Bonding Program'!$P$31,BG$3&lt;='Bonding Program'!$C$8),N('Bonding Program'!$O$31),0)</f>
        <v>0</v>
      </c>
      <c r="BH172" s="19" t="n">
        <f aca="false">IF(AND('Bonding Program'!$S$31=1,'Bonding Program'!$H$31&gt;'Bonding Program'!$C$8,BH$3='Bonding Program'!$H$31),'Bonding Program'!$T$31-'Bonding Program'!$U$31-'Bonding Program'!$Z$31,0)-IF(AND('Bonding Program'!$S$31=1,'Bonding Program'!$H$31&lt;='Bonding Program'!$C$8,BH$3=IF('Bonding Program'!$P$31&lt;&gt;"",'Bonding Program'!$P$31,'Bonding Program'!$C$8)),'Bonding Program'!$Z$31,0)+IF(AND('Bonding Program'!$P$31&lt;&gt;"",BH$3='Bonding Program'!$P$31,BH$3&lt;='Bonding Program'!$C$8),N('Bonding Program'!$O$31),0)</f>
        <v>0</v>
      </c>
      <c r="BI172" s="19" t="n">
        <f aca="false">IF(AND('Bonding Program'!$S$31=1,'Bonding Program'!$H$31&gt;'Bonding Program'!$C$8,BI$3='Bonding Program'!$H$31),'Bonding Program'!$T$31-'Bonding Program'!$U$31-'Bonding Program'!$Z$31,0)-IF(AND('Bonding Program'!$S$31=1,'Bonding Program'!$H$31&lt;='Bonding Program'!$C$8,BI$3=IF('Bonding Program'!$P$31&lt;&gt;"",'Bonding Program'!$P$31,'Bonding Program'!$C$8)),'Bonding Program'!$Z$31,0)+IF(AND('Bonding Program'!$P$31&lt;&gt;"",BI$3='Bonding Program'!$P$31,BI$3&lt;='Bonding Program'!$C$8),N('Bonding Program'!$O$31),0)</f>
        <v>0</v>
      </c>
      <c r="BJ172" s="19" t="n">
        <f aca="false">IF(AND('Bonding Program'!$S$31=1,'Bonding Program'!$H$31&gt;'Bonding Program'!$C$8,BJ$3='Bonding Program'!$H$31),'Bonding Program'!$T$31-'Bonding Program'!$U$31-'Bonding Program'!$Z$31,0)-IF(AND('Bonding Program'!$S$31=1,'Bonding Program'!$H$31&lt;='Bonding Program'!$C$8,BJ$3=IF('Bonding Program'!$P$31&lt;&gt;"",'Bonding Program'!$P$31,'Bonding Program'!$C$8)),'Bonding Program'!$Z$31,0)+IF(AND('Bonding Program'!$P$31&lt;&gt;"",BJ$3='Bonding Program'!$P$31,BJ$3&lt;='Bonding Program'!$C$8),N('Bonding Program'!$O$31),0)</f>
        <v>0</v>
      </c>
      <c r="BK172" s="19" t="n">
        <f aca="false">IF(AND('Bonding Program'!$S$31=1,'Bonding Program'!$H$31&gt;'Bonding Program'!$C$8,BK$3='Bonding Program'!$H$31),'Bonding Program'!$T$31-'Bonding Program'!$U$31-'Bonding Program'!$Z$31,0)-IF(AND('Bonding Program'!$S$31=1,'Bonding Program'!$H$31&lt;='Bonding Program'!$C$8,BK$3=IF('Bonding Program'!$P$31&lt;&gt;"",'Bonding Program'!$P$31,'Bonding Program'!$C$8)),'Bonding Program'!$Z$31,0)+IF(AND('Bonding Program'!$P$31&lt;&gt;"",BK$3='Bonding Program'!$P$31,BK$3&lt;='Bonding Program'!$C$8),N('Bonding Program'!$O$31),0)</f>
        <v>0</v>
      </c>
      <c r="BL172" s="19" t="n">
        <f aca="false">IF(AND('Bonding Program'!$S$31=1,'Bonding Program'!$H$31&gt;'Bonding Program'!$C$8,BL$3='Bonding Program'!$H$31),'Bonding Program'!$T$31-'Bonding Program'!$U$31-'Bonding Program'!$Z$31,0)-IF(AND('Bonding Program'!$S$31=1,'Bonding Program'!$H$31&lt;='Bonding Program'!$C$8,BL$3=IF('Bonding Program'!$P$31&lt;&gt;"",'Bonding Program'!$P$31,'Bonding Program'!$C$8)),'Bonding Program'!$Z$31,0)+IF(AND('Bonding Program'!$P$31&lt;&gt;"",BL$3='Bonding Program'!$P$31,BL$3&lt;='Bonding Program'!$C$8),N('Bonding Program'!$O$31),0)</f>
        <v>0</v>
      </c>
      <c r="BM172" s="19" t="n">
        <f aca="false">IF(AND('Bonding Program'!$S$31=1,'Bonding Program'!$H$31&gt;'Bonding Program'!$C$8,BM$3='Bonding Program'!$H$31),'Bonding Program'!$T$31-'Bonding Program'!$U$31-'Bonding Program'!$Z$31,0)-IF(AND('Bonding Program'!$S$31=1,'Bonding Program'!$H$31&lt;='Bonding Program'!$C$8,BM$3=IF('Bonding Program'!$P$31&lt;&gt;"",'Bonding Program'!$P$31,'Bonding Program'!$C$8)),'Bonding Program'!$Z$31,0)+IF(AND('Bonding Program'!$P$31&lt;&gt;"",BM$3='Bonding Program'!$P$31,BM$3&lt;='Bonding Program'!$C$8),N('Bonding Program'!$O$31),0)</f>
        <v>0</v>
      </c>
      <c r="BN172" s="19" t="n">
        <f aca="false">IF(AND('Bonding Program'!$S$31=1,'Bonding Program'!$H$31&gt;'Bonding Program'!$C$8,BN$3='Bonding Program'!$H$31),'Bonding Program'!$T$31-'Bonding Program'!$U$31-'Bonding Program'!$Z$31,0)-IF(AND('Bonding Program'!$S$31=1,'Bonding Program'!$H$31&lt;='Bonding Program'!$C$8,BN$3=IF('Bonding Program'!$P$31&lt;&gt;"",'Bonding Program'!$P$31,'Bonding Program'!$C$8)),'Bonding Program'!$Z$31,0)+IF(AND('Bonding Program'!$P$31&lt;&gt;"",BN$3='Bonding Program'!$P$31,BN$3&lt;='Bonding Program'!$C$8),N('Bonding Program'!$O$31),0)</f>
        <v>0</v>
      </c>
      <c r="BO172" s="19" t="n">
        <f aca="false">IF(AND('Bonding Program'!$S$31=1,'Bonding Program'!$H$31&gt;'Bonding Program'!$C$8,BO$3='Bonding Program'!$H$31),'Bonding Program'!$T$31-'Bonding Program'!$U$31-'Bonding Program'!$Z$31,0)-IF(AND('Bonding Program'!$S$31=1,'Bonding Program'!$H$31&lt;='Bonding Program'!$C$8,BO$3=IF('Bonding Program'!$P$31&lt;&gt;"",'Bonding Program'!$P$31,'Bonding Program'!$C$8)),'Bonding Program'!$Z$31,0)+IF(AND('Bonding Program'!$P$31&lt;&gt;"",BO$3='Bonding Program'!$P$31,BO$3&lt;='Bonding Program'!$C$8),N('Bonding Program'!$O$31),0)</f>
        <v>0</v>
      </c>
      <c r="BP172" s="19" t="n">
        <f aca="false">IF(AND('Bonding Program'!$S$31=1,'Bonding Program'!$H$31&gt;'Bonding Program'!$C$8,BP$3='Bonding Program'!$H$31),'Bonding Program'!$T$31-'Bonding Program'!$U$31-'Bonding Program'!$Z$31,0)-IF(AND('Bonding Program'!$S$31=1,'Bonding Program'!$H$31&lt;='Bonding Program'!$C$8,BP$3=IF('Bonding Program'!$P$31&lt;&gt;"",'Bonding Program'!$P$31,'Bonding Program'!$C$8)),'Bonding Program'!$Z$31,0)+IF(AND('Bonding Program'!$P$31&lt;&gt;"",BP$3='Bonding Program'!$P$31,BP$3&lt;='Bonding Program'!$C$8),N('Bonding Program'!$O$31),0)</f>
        <v>0</v>
      </c>
      <c r="BQ172" s="19" t="n">
        <f aca="false">IF(AND('Bonding Program'!$S$31=1,'Bonding Program'!$H$31&gt;'Bonding Program'!$C$8,BQ$3='Bonding Program'!$H$31),'Bonding Program'!$T$31-'Bonding Program'!$U$31-'Bonding Program'!$Z$31,0)-IF(AND('Bonding Program'!$S$31=1,'Bonding Program'!$H$31&lt;='Bonding Program'!$C$8,BQ$3=IF('Bonding Program'!$P$31&lt;&gt;"",'Bonding Program'!$P$31,'Bonding Program'!$C$8)),'Bonding Program'!$Z$31,0)+IF(AND('Bonding Program'!$P$31&lt;&gt;"",BQ$3='Bonding Program'!$P$31,BQ$3&lt;='Bonding Program'!$C$8),N('Bonding Program'!$O$31),0)</f>
        <v>0</v>
      </c>
      <c r="BR172" s="19" t="n">
        <f aca="false">IF(AND('Bonding Program'!$S$31=1,'Bonding Program'!$H$31&gt;'Bonding Program'!$C$8,BR$3='Bonding Program'!$H$31),'Bonding Program'!$T$31-'Bonding Program'!$U$31-'Bonding Program'!$Z$31,0)-IF(AND('Bonding Program'!$S$31=1,'Bonding Program'!$H$31&lt;='Bonding Program'!$C$8,BR$3=IF('Bonding Program'!$P$31&lt;&gt;"",'Bonding Program'!$P$31,'Bonding Program'!$C$8)),'Bonding Program'!$Z$31,0)+IF(AND('Bonding Program'!$P$31&lt;&gt;"",BR$3='Bonding Program'!$P$31,BR$3&lt;='Bonding Program'!$C$8),N('Bonding Program'!$O$31),0)</f>
        <v>0</v>
      </c>
      <c r="BS172" s="19" t="n">
        <f aca="false">IF(AND('Bonding Program'!$S$31=1,'Bonding Program'!$H$31&gt;'Bonding Program'!$C$8,BS$3='Bonding Program'!$H$31),'Bonding Program'!$T$31-'Bonding Program'!$U$31-'Bonding Program'!$Z$31,0)-IF(AND('Bonding Program'!$S$31=1,'Bonding Program'!$H$31&lt;='Bonding Program'!$C$8,BS$3=IF('Bonding Program'!$P$31&lt;&gt;"",'Bonding Program'!$P$31,'Bonding Program'!$C$8)),'Bonding Program'!$Z$31,0)+IF(AND('Bonding Program'!$P$31&lt;&gt;"",BS$3='Bonding Program'!$P$31,BS$3&lt;='Bonding Program'!$C$8),N('Bonding Program'!$O$31),0)</f>
        <v>0</v>
      </c>
      <c r="BT172" s="19" t="n">
        <f aca="false">IF(AND('Bonding Program'!$S$31=1,'Bonding Program'!$H$31&gt;'Bonding Program'!$C$8,BT$3='Bonding Program'!$H$31),'Bonding Program'!$T$31-'Bonding Program'!$U$31-'Bonding Program'!$Z$31,0)-IF(AND('Bonding Program'!$S$31=1,'Bonding Program'!$H$31&lt;='Bonding Program'!$C$8,BT$3=IF('Bonding Program'!$P$31&lt;&gt;"",'Bonding Program'!$P$31,'Bonding Program'!$C$8)),'Bonding Program'!$Z$31,0)+IF(AND('Bonding Program'!$P$31&lt;&gt;"",BT$3='Bonding Program'!$P$31,BT$3&lt;='Bonding Program'!$C$8),N('Bonding Program'!$O$31),0)</f>
        <v>0</v>
      </c>
      <c r="BU172" s="19" t="n">
        <f aca="false">IF(AND('Bonding Program'!$S$31=1,'Bonding Program'!$H$31&gt;'Bonding Program'!$C$8,BU$3='Bonding Program'!$H$31),'Bonding Program'!$T$31-'Bonding Program'!$U$31-'Bonding Program'!$Z$31,0)-IF(AND('Bonding Program'!$S$31=1,'Bonding Program'!$H$31&lt;='Bonding Program'!$C$8,BU$3=IF('Bonding Program'!$P$31&lt;&gt;"",'Bonding Program'!$P$31,'Bonding Program'!$C$8)),'Bonding Program'!$Z$31,0)+IF(AND('Bonding Program'!$P$31&lt;&gt;"",BU$3='Bonding Program'!$P$31,BU$3&lt;='Bonding Program'!$C$8),N('Bonding Program'!$O$31),0)</f>
        <v>0</v>
      </c>
      <c r="BV172" s="19" t="n">
        <f aca="false">IF(AND('Bonding Program'!$S$31=1,'Bonding Program'!$H$31&gt;'Bonding Program'!$C$8,BV$3='Bonding Program'!$H$31),'Bonding Program'!$T$31-'Bonding Program'!$U$31-'Bonding Program'!$Z$31,0)-IF(AND('Bonding Program'!$S$31=1,'Bonding Program'!$H$31&lt;='Bonding Program'!$C$8,BV$3=IF('Bonding Program'!$P$31&lt;&gt;"",'Bonding Program'!$P$31,'Bonding Program'!$C$8)),'Bonding Program'!$Z$31,0)+IF(AND('Bonding Program'!$P$31&lt;&gt;"",BV$3='Bonding Program'!$P$31,BV$3&lt;='Bonding Program'!$C$8),N('Bonding Program'!$O$31),0)</f>
        <v>0</v>
      </c>
      <c r="BW172" s="19" t="n">
        <f aca="false">IF(AND('Bonding Program'!$S$31=1,'Bonding Program'!$H$31&gt;'Bonding Program'!$C$8,BW$3='Bonding Program'!$H$31),'Bonding Program'!$T$31-'Bonding Program'!$U$31-'Bonding Program'!$Z$31,0)-IF(AND('Bonding Program'!$S$31=1,'Bonding Program'!$H$31&lt;='Bonding Program'!$C$8,BW$3=IF('Bonding Program'!$P$31&lt;&gt;"",'Bonding Program'!$P$31,'Bonding Program'!$C$8)),'Bonding Program'!$Z$31,0)+IF(AND('Bonding Program'!$P$31&lt;&gt;"",BW$3='Bonding Program'!$P$31,BW$3&lt;='Bonding Program'!$C$8),N('Bonding Program'!$O$31),0)</f>
        <v>0</v>
      </c>
      <c r="BX172" s="19" t="n">
        <f aca="false">IF(AND('Bonding Program'!$S$31=1,'Bonding Program'!$H$31&gt;'Bonding Program'!$C$8,BX$3='Bonding Program'!$H$31),'Bonding Program'!$T$31-'Bonding Program'!$U$31-'Bonding Program'!$Z$31,0)-IF(AND('Bonding Program'!$S$31=1,'Bonding Program'!$H$31&lt;='Bonding Program'!$C$8,BX$3=IF('Bonding Program'!$P$31&lt;&gt;"",'Bonding Program'!$P$31,'Bonding Program'!$C$8)),'Bonding Program'!$Z$31,0)+IF(AND('Bonding Program'!$P$31&lt;&gt;"",BX$3='Bonding Program'!$P$31,BX$3&lt;='Bonding Program'!$C$8),N('Bonding Program'!$O$31),0)</f>
        <v>0</v>
      </c>
      <c r="BY172" s="19" t="n">
        <f aca="false">IF(AND('Bonding Program'!$S$31=1,'Bonding Program'!$H$31&gt;'Bonding Program'!$C$8,BY$3='Bonding Program'!$H$31),'Bonding Program'!$T$31-'Bonding Program'!$U$31-'Bonding Program'!$Z$31,0)-IF(AND('Bonding Program'!$S$31=1,'Bonding Program'!$H$31&lt;='Bonding Program'!$C$8,BY$3=IF('Bonding Program'!$P$31&lt;&gt;"",'Bonding Program'!$P$31,'Bonding Program'!$C$8)),'Bonding Program'!$Z$31,0)+IF(AND('Bonding Program'!$P$31&lt;&gt;"",BY$3='Bonding Program'!$P$31,BY$3&lt;='Bonding Program'!$C$8),N('Bonding Program'!$O$31),0)</f>
        <v>0</v>
      </c>
      <c r="BZ172" s="19" t="n">
        <f aca="false">IF(AND('Bonding Program'!$S$31=1,'Bonding Program'!$H$31&gt;'Bonding Program'!$C$8,BZ$3='Bonding Program'!$H$31),'Bonding Program'!$T$31-'Bonding Program'!$U$31-'Bonding Program'!$Z$31,0)-IF(AND('Bonding Program'!$S$31=1,'Bonding Program'!$H$31&lt;='Bonding Program'!$C$8,BZ$3=IF('Bonding Program'!$P$31&lt;&gt;"",'Bonding Program'!$P$31,'Bonding Program'!$C$8)),'Bonding Program'!$Z$31,0)+IF(AND('Bonding Program'!$P$31&lt;&gt;"",BZ$3='Bonding Program'!$P$31,BZ$3&lt;='Bonding Program'!$C$8),N('Bonding Program'!$O$31),0)</f>
        <v>0</v>
      </c>
      <c r="CA172" s="19" t="n">
        <f aca="false">IF(AND('Bonding Program'!$S$31=1,'Bonding Program'!$H$31&gt;'Bonding Program'!$C$8,CA$3='Bonding Program'!$H$31),'Bonding Program'!$T$31-'Bonding Program'!$U$31-'Bonding Program'!$Z$31,0)-IF(AND('Bonding Program'!$S$31=1,'Bonding Program'!$H$31&lt;='Bonding Program'!$C$8,CA$3=IF('Bonding Program'!$P$31&lt;&gt;"",'Bonding Program'!$P$31,'Bonding Program'!$C$8)),'Bonding Program'!$Z$31,0)+IF(AND('Bonding Program'!$P$31&lt;&gt;"",CA$3='Bonding Program'!$P$31,CA$3&lt;='Bonding Program'!$C$8),N('Bonding Program'!$O$31),0)</f>
        <v>0</v>
      </c>
      <c r="CB172" s="19" t="n">
        <f aca="false">IF(AND('Bonding Program'!$S$31=1,'Bonding Program'!$H$31&gt;'Bonding Program'!$C$8,CB$3='Bonding Program'!$H$31),'Bonding Program'!$T$31-'Bonding Program'!$U$31-'Bonding Program'!$Z$31,0)-IF(AND('Bonding Program'!$S$31=1,'Bonding Program'!$H$31&lt;='Bonding Program'!$C$8,CB$3=IF('Bonding Program'!$P$31&lt;&gt;"",'Bonding Program'!$P$31,'Bonding Program'!$C$8)),'Bonding Program'!$Z$31,0)+IF(AND('Bonding Program'!$P$31&lt;&gt;"",CB$3='Bonding Program'!$P$31,CB$3&lt;='Bonding Program'!$C$8),N('Bonding Program'!$O$31),0)</f>
        <v>0</v>
      </c>
      <c r="CC172" s="19" t="n">
        <f aca="false">IF(AND('Bonding Program'!$S$31=1,'Bonding Program'!$H$31&gt;'Bonding Program'!$C$8,CC$3='Bonding Program'!$H$31),'Bonding Program'!$T$31-'Bonding Program'!$U$31-'Bonding Program'!$Z$31,0)-IF(AND('Bonding Program'!$S$31=1,'Bonding Program'!$H$31&lt;='Bonding Program'!$C$8,CC$3=IF('Bonding Program'!$P$31&lt;&gt;"",'Bonding Program'!$P$31,'Bonding Program'!$C$8)),'Bonding Program'!$Z$31,0)+IF(AND('Bonding Program'!$P$31&lt;&gt;"",CC$3='Bonding Program'!$P$31,CC$3&lt;='Bonding Program'!$C$8),N('Bonding Program'!$O$31),0)</f>
        <v>0</v>
      </c>
      <c r="CD172" s="19" t="n">
        <f aca="false">IF(AND('Bonding Program'!$S$31=1,'Bonding Program'!$H$31&gt;'Bonding Program'!$C$8,CD$3='Bonding Program'!$H$31),'Bonding Program'!$T$31-'Bonding Program'!$U$31-'Bonding Program'!$Z$31,0)-IF(AND('Bonding Program'!$S$31=1,'Bonding Program'!$H$31&lt;='Bonding Program'!$C$8,CD$3=IF('Bonding Program'!$P$31&lt;&gt;"",'Bonding Program'!$P$31,'Bonding Program'!$C$8)),'Bonding Program'!$Z$31,0)+IF(AND('Bonding Program'!$P$31&lt;&gt;"",CD$3='Bonding Program'!$P$31,CD$3&lt;='Bonding Program'!$C$8),N('Bonding Program'!$O$31),0)</f>
        <v>0</v>
      </c>
      <c r="CE172" s="19" t="n">
        <f aca="false">IF(AND('Bonding Program'!$S$31=1,'Bonding Program'!$H$31&gt;'Bonding Program'!$C$8,CE$3='Bonding Program'!$H$31),'Bonding Program'!$T$31-'Bonding Program'!$U$31-'Bonding Program'!$Z$31,0)-IF(AND('Bonding Program'!$S$31=1,'Bonding Program'!$H$31&lt;='Bonding Program'!$C$8,CE$3=IF('Bonding Program'!$P$31&lt;&gt;"",'Bonding Program'!$P$31,'Bonding Program'!$C$8)),'Bonding Program'!$Z$31,0)+IF(AND('Bonding Program'!$P$31&lt;&gt;"",CE$3='Bonding Program'!$P$31,CE$3&lt;='Bonding Program'!$C$8),N('Bonding Program'!$O$31),0)</f>
        <v>0</v>
      </c>
      <c r="CF172" s="19" t="n">
        <f aca="false">IF(AND('Bonding Program'!$S$31=1,'Bonding Program'!$H$31&gt;'Bonding Program'!$C$8,CF$3='Bonding Program'!$H$31),'Bonding Program'!$T$31-'Bonding Program'!$U$31-'Bonding Program'!$Z$31,0)-IF(AND('Bonding Program'!$S$31=1,'Bonding Program'!$H$31&lt;='Bonding Program'!$C$8,CF$3=IF('Bonding Program'!$P$31&lt;&gt;"",'Bonding Program'!$P$31,'Bonding Program'!$C$8)),'Bonding Program'!$Z$31,0)+IF(AND('Bonding Program'!$P$31&lt;&gt;"",CF$3='Bonding Program'!$P$31,CF$3&lt;='Bonding Program'!$C$8),N('Bonding Program'!$O$31),0)</f>
        <v>0</v>
      </c>
      <c r="CG172" s="19" t="n">
        <f aca="false">IF(AND('Bonding Program'!$S$31=1,'Bonding Program'!$H$31&gt;'Bonding Program'!$C$8,CG$3='Bonding Program'!$H$31),'Bonding Program'!$T$31-'Bonding Program'!$U$31-'Bonding Program'!$Z$31,0)-IF(AND('Bonding Program'!$S$31=1,'Bonding Program'!$H$31&lt;='Bonding Program'!$C$8,CG$3=IF('Bonding Program'!$P$31&lt;&gt;"",'Bonding Program'!$P$31,'Bonding Program'!$C$8)),'Bonding Program'!$Z$31,0)+IF(AND('Bonding Program'!$P$31&lt;&gt;"",CG$3='Bonding Program'!$P$31,CG$3&lt;='Bonding Program'!$C$8),N('Bonding Program'!$O$31),0)</f>
        <v>0</v>
      </c>
      <c r="CH172" s="19" t="n">
        <f aca="false">IF(AND('Bonding Program'!$S$31=1,'Bonding Program'!$H$31&gt;'Bonding Program'!$C$8,CH$3='Bonding Program'!$H$31),'Bonding Program'!$T$31-'Bonding Program'!$U$31-'Bonding Program'!$Z$31,0)-IF(AND('Bonding Program'!$S$31=1,'Bonding Program'!$H$31&lt;='Bonding Program'!$C$8,CH$3=IF('Bonding Program'!$P$31&lt;&gt;"",'Bonding Program'!$P$31,'Bonding Program'!$C$8)),'Bonding Program'!$Z$31,0)+IF(AND('Bonding Program'!$P$31&lt;&gt;"",CH$3='Bonding Program'!$P$31,CH$3&lt;='Bonding Program'!$C$8),N('Bonding Program'!$O$31),0)</f>
        <v>0</v>
      </c>
      <c r="CI172" s="19" t="n">
        <f aca="false">IF(AND('Bonding Program'!$S$31=1,'Bonding Program'!$H$31&gt;'Bonding Program'!$C$8,CI$3='Bonding Program'!$H$31),'Bonding Program'!$T$31-'Bonding Program'!$U$31-'Bonding Program'!$Z$31,0)-IF(AND('Bonding Program'!$S$31=1,'Bonding Program'!$H$31&lt;='Bonding Program'!$C$8,CI$3=IF('Bonding Program'!$P$31&lt;&gt;"",'Bonding Program'!$P$31,'Bonding Program'!$C$8)),'Bonding Program'!$Z$31,0)+IF(AND('Bonding Program'!$P$31&lt;&gt;"",CI$3='Bonding Program'!$P$31,CI$3&lt;='Bonding Program'!$C$8),N('Bonding Program'!$O$31),0)</f>
        <v>0</v>
      </c>
      <c r="CJ172" s="19" t="n">
        <f aca="false">IF(AND('Bonding Program'!$S$31=1,'Bonding Program'!$H$31&gt;'Bonding Program'!$C$8,CJ$3='Bonding Program'!$H$31),'Bonding Program'!$T$31-'Bonding Program'!$U$31-'Bonding Program'!$Z$31,0)-IF(AND('Bonding Program'!$S$31=1,'Bonding Program'!$H$31&lt;='Bonding Program'!$C$8,CJ$3=IF('Bonding Program'!$P$31&lt;&gt;"",'Bonding Program'!$P$31,'Bonding Program'!$C$8)),'Bonding Program'!$Z$31,0)+IF(AND('Bonding Program'!$P$31&lt;&gt;"",CJ$3='Bonding Program'!$P$31,CJ$3&lt;='Bonding Program'!$C$8),N('Bonding Program'!$O$31),0)</f>
        <v>0</v>
      </c>
      <c r="CK172" s="19" t="n">
        <f aca="false">IF(AND('Bonding Program'!$S$31=1,'Bonding Program'!$H$31&gt;'Bonding Program'!$C$8,CK$3='Bonding Program'!$H$31),'Bonding Program'!$T$31-'Bonding Program'!$U$31-'Bonding Program'!$Z$31,0)-IF(AND('Bonding Program'!$S$31=1,'Bonding Program'!$H$31&lt;='Bonding Program'!$C$8,CK$3=IF('Bonding Program'!$P$31&lt;&gt;"",'Bonding Program'!$P$31,'Bonding Program'!$C$8)),'Bonding Program'!$Z$31,0)+IF(AND('Bonding Program'!$P$31&lt;&gt;"",CK$3='Bonding Program'!$P$31,CK$3&lt;='Bonding Program'!$C$8),N('Bonding Program'!$O$31),0)</f>
        <v>0</v>
      </c>
      <c r="CL172" s="19" t="n">
        <f aca="false">IF(AND('Bonding Program'!$S$31=1,'Bonding Program'!$H$31&gt;'Bonding Program'!$C$8,CL$3='Bonding Program'!$H$31),'Bonding Program'!$T$31-'Bonding Program'!$U$31-'Bonding Program'!$Z$31,0)-IF(AND('Bonding Program'!$S$31=1,'Bonding Program'!$H$31&lt;='Bonding Program'!$C$8,CL$3=IF('Bonding Program'!$P$31&lt;&gt;"",'Bonding Program'!$P$31,'Bonding Program'!$C$8)),'Bonding Program'!$Z$31,0)+IF(AND('Bonding Program'!$P$31&lt;&gt;"",CL$3='Bonding Program'!$P$31,CL$3&lt;='Bonding Program'!$C$8),N('Bonding Program'!$O$31),0)</f>
        <v>0</v>
      </c>
      <c r="CM172" s="19" t="n">
        <f aca="false">IF(AND('Bonding Program'!$S$31=1,'Bonding Program'!$H$31&gt;'Bonding Program'!$C$8,CM$3='Bonding Program'!$H$31),'Bonding Program'!$T$31-'Bonding Program'!$U$31-'Bonding Program'!$Z$31,0)-IF(AND('Bonding Program'!$S$31=1,'Bonding Program'!$H$31&lt;='Bonding Program'!$C$8,CM$3=IF('Bonding Program'!$P$31&lt;&gt;"",'Bonding Program'!$P$31,'Bonding Program'!$C$8)),'Bonding Program'!$Z$31,0)+IF(AND('Bonding Program'!$P$31&lt;&gt;"",CM$3='Bonding Program'!$P$31,CM$3&lt;='Bonding Program'!$C$8),N('Bonding Program'!$O$31),0)</f>
        <v>0</v>
      </c>
      <c r="CN172" s="19" t="n">
        <f aca="false">IF(AND('Bonding Program'!$S$31=1,'Bonding Program'!$H$31&gt;'Bonding Program'!$C$8,CN$3='Bonding Program'!$H$31),'Bonding Program'!$T$31-'Bonding Program'!$U$31-'Bonding Program'!$Z$31,0)-IF(AND('Bonding Program'!$S$31=1,'Bonding Program'!$H$31&lt;='Bonding Program'!$C$8,CN$3=IF('Bonding Program'!$P$31&lt;&gt;"",'Bonding Program'!$P$31,'Bonding Program'!$C$8)),'Bonding Program'!$Z$31,0)+IF(AND('Bonding Program'!$P$31&lt;&gt;"",CN$3='Bonding Program'!$P$31,CN$3&lt;='Bonding Program'!$C$8),N('Bonding Program'!$O$31),0)</f>
        <v>0</v>
      </c>
      <c r="CO172" s="19" t="n">
        <f aca="false">IF(AND('Bonding Program'!$S$31=1,'Bonding Program'!$H$31&gt;'Bonding Program'!$C$8,CO$3='Bonding Program'!$H$31),'Bonding Program'!$T$31-'Bonding Program'!$U$31-'Bonding Program'!$Z$31,0)-IF(AND('Bonding Program'!$S$31=1,'Bonding Program'!$H$31&lt;='Bonding Program'!$C$8,CO$3=IF('Bonding Program'!$P$31&lt;&gt;"",'Bonding Program'!$P$31,'Bonding Program'!$C$8)),'Bonding Program'!$Z$31,0)+IF(AND('Bonding Program'!$P$31&lt;&gt;"",CO$3='Bonding Program'!$P$31,CO$3&lt;='Bonding Program'!$C$8),N('Bonding Program'!$O$31),0)</f>
        <v>0</v>
      </c>
      <c r="CP172" s="19" t="n">
        <f aca="false">IF(AND('Bonding Program'!$S$31=1,'Bonding Program'!$H$31&gt;'Bonding Program'!$C$8,CP$3='Bonding Program'!$H$31),'Bonding Program'!$T$31-'Bonding Program'!$U$31-'Bonding Program'!$Z$31,0)-IF(AND('Bonding Program'!$S$31=1,'Bonding Program'!$H$31&lt;='Bonding Program'!$C$8,CP$3=IF('Bonding Program'!$P$31&lt;&gt;"",'Bonding Program'!$P$31,'Bonding Program'!$C$8)),'Bonding Program'!$Z$31,0)+IF(AND('Bonding Program'!$P$31&lt;&gt;"",CP$3='Bonding Program'!$P$31,CP$3&lt;='Bonding Program'!$C$8),N('Bonding Program'!$O$31),0)</f>
        <v>0</v>
      </c>
      <c r="CQ172" s="19" t="n">
        <f aca="false">IF(AND('Bonding Program'!$S$31=1,'Bonding Program'!$H$31&gt;'Bonding Program'!$C$8,CQ$3='Bonding Program'!$H$31),'Bonding Program'!$T$31-'Bonding Program'!$U$31-'Bonding Program'!$Z$31,0)-IF(AND('Bonding Program'!$S$31=1,'Bonding Program'!$H$31&lt;='Bonding Program'!$C$8,CQ$3=IF('Bonding Program'!$P$31&lt;&gt;"",'Bonding Program'!$P$31,'Bonding Program'!$C$8)),'Bonding Program'!$Z$31,0)+IF(AND('Bonding Program'!$P$31&lt;&gt;"",CQ$3='Bonding Program'!$P$31,CQ$3&lt;='Bonding Program'!$C$8),N('Bonding Program'!$O$31),0)</f>
        <v>0</v>
      </c>
      <c r="CR172" s="19" t="n">
        <f aca="false">IF(AND('Bonding Program'!$S$31=1,'Bonding Program'!$H$31&gt;'Bonding Program'!$C$8,CR$3='Bonding Program'!$H$31),'Bonding Program'!$T$31-'Bonding Program'!$U$31-'Bonding Program'!$Z$31,0)-IF(AND('Bonding Program'!$S$31=1,'Bonding Program'!$H$31&lt;='Bonding Program'!$C$8,CR$3=IF('Bonding Program'!$P$31&lt;&gt;"",'Bonding Program'!$P$31,'Bonding Program'!$C$8)),'Bonding Program'!$Z$31,0)+IF(AND('Bonding Program'!$P$31&lt;&gt;"",CR$3='Bonding Program'!$P$31,CR$3&lt;='Bonding Program'!$C$8),N('Bonding Program'!$O$31),0)</f>
        <v>0</v>
      </c>
      <c r="CS172" s="19" t="n">
        <f aca="false">IF(AND('Bonding Program'!$S$31=1,'Bonding Program'!$H$31&gt;'Bonding Program'!$C$8,CS$3='Bonding Program'!$H$31),'Bonding Program'!$T$31-'Bonding Program'!$U$31-'Bonding Program'!$Z$31,0)-IF(AND('Bonding Program'!$S$31=1,'Bonding Program'!$H$31&lt;='Bonding Program'!$C$8,CS$3=IF('Bonding Program'!$P$31&lt;&gt;"",'Bonding Program'!$P$31,'Bonding Program'!$C$8)),'Bonding Program'!$Z$31,0)+IF(AND('Bonding Program'!$P$31&lt;&gt;"",CS$3='Bonding Program'!$P$31,CS$3&lt;='Bonding Program'!$C$8),N('Bonding Program'!$O$31),0)</f>
        <v>0</v>
      </c>
      <c r="CT172" s="19" t="n">
        <f aca="false">IF(AND('Bonding Program'!$S$31=1,'Bonding Program'!$H$31&gt;'Bonding Program'!$C$8,CT$3='Bonding Program'!$H$31),'Bonding Program'!$T$31-'Bonding Program'!$U$31-'Bonding Program'!$Z$31,0)-IF(AND('Bonding Program'!$S$31=1,'Bonding Program'!$H$31&lt;='Bonding Program'!$C$8,CT$3=IF('Bonding Program'!$P$31&lt;&gt;"",'Bonding Program'!$P$31,'Bonding Program'!$C$8)),'Bonding Program'!$Z$31,0)+IF(AND('Bonding Program'!$P$31&lt;&gt;"",CT$3='Bonding Program'!$P$31,CT$3&lt;='Bonding Program'!$C$8),N('Bonding Program'!$O$31),0)</f>
        <v>0</v>
      </c>
      <c r="CU172" s="19" t="n">
        <f aca="false">IF(AND('Bonding Program'!$S$31=1,'Bonding Program'!$H$31&gt;'Bonding Program'!$C$8,CU$3='Bonding Program'!$H$31),'Bonding Program'!$T$31-'Bonding Program'!$U$31-'Bonding Program'!$Z$31,0)-IF(AND('Bonding Program'!$S$31=1,'Bonding Program'!$H$31&lt;='Bonding Program'!$C$8,CU$3=IF('Bonding Program'!$P$31&lt;&gt;"",'Bonding Program'!$P$31,'Bonding Program'!$C$8)),'Bonding Program'!$Z$31,0)+IF(AND('Bonding Program'!$P$31&lt;&gt;"",CU$3='Bonding Program'!$P$31,CU$3&lt;='Bonding Program'!$C$8),N('Bonding Program'!$O$31),0)</f>
        <v>0</v>
      </c>
      <c r="CV172" s="19" t="n">
        <f aca="false">IF(AND('Bonding Program'!$S$31=1,'Bonding Program'!$H$31&gt;'Bonding Program'!$C$8,CV$3='Bonding Program'!$H$31),'Bonding Program'!$T$31-'Bonding Program'!$U$31-'Bonding Program'!$Z$31,0)-IF(AND('Bonding Program'!$S$31=1,'Bonding Program'!$H$31&lt;='Bonding Program'!$C$8,CV$3=IF('Bonding Program'!$P$31&lt;&gt;"",'Bonding Program'!$P$31,'Bonding Program'!$C$8)),'Bonding Program'!$Z$31,0)+IF(AND('Bonding Program'!$P$31&lt;&gt;"",CV$3='Bonding Program'!$P$31,CV$3&lt;='Bonding Program'!$C$8),N('Bonding Program'!$O$31),0)</f>
        <v>0</v>
      </c>
      <c r="CW172" s="19" t="n">
        <f aca="false">IF(AND('Bonding Program'!$S$31=1,'Bonding Program'!$H$31&gt;'Bonding Program'!$C$8,CW$3='Bonding Program'!$H$31),'Bonding Program'!$T$31-'Bonding Program'!$U$31-'Bonding Program'!$Z$31,0)-IF(AND('Bonding Program'!$S$31=1,'Bonding Program'!$H$31&lt;='Bonding Program'!$C$8,CW$3=IF('Bonding Program'!$P$31&lt;&gt;"",'Bonding Program'!$P$31,'Bonding Program'!$C$8)),'Bonding Program'!$Z$31,0)+IF(AND('Bonding Program'!$P$31&lt;&gt;"",CW$3='Bonding Program'!$P$31,CW$3&lt;='Bonding Program'!$C$8),N('Bonding Program'!$O$31),0)</f>
        <v>0</v>
      </c>
      <c r="CX172" s="19" t="n">
        <f aca="false">IF(AND('Bonding Program'!$S$31=1,'Bonding Program'!$H$31&gt;'Bonding Program'!$C$8,CX$3='Bonding Program'!$H$31),'Bonding Program'!$T$31-'Bonding Program'!$U$31-'Bonding Program'!$Z$31,0)-IF(AND('Bonding Program'!$S$31=1,'Bonding Program'!$H$31&lt;='Bonding Program'!$C$8,CX$3=IF('Bonding Program'!$P$31&lt;&gt;"",'Bonding Program'!$P$31,'Bonding Program'!$C$8)),'Bonding Program'!$Z$31,0)+IF(AND('Bonding Program'!$P$31&lt;&gt;"",CX$3='Bonding Program'!$P$31,CX$3&lt;='Bonding Program'!$C$8),N('Bonding Program'!$O$31),0)</f>
        <v>0</v>
      </c>
      <c r="CY172" s="19" t="n">
        <f aca="false">IF(AND('Bonding Program'!$S$31=1,'Bonding Program'!$H$31&gt;'Bonding Program'!$C$8,CY$3='Bonding Program'!$H$31),'Bonding Program'!$T$31-'Bonding Program'!$U$31-'Bonding Program'!$Z$31,0)-IF(AND('Bonding Program'!$S$31=1,'Bonding Program'!$H$31&lt;='Bonding Program'!$C$8,CY$3=IF('Bonding Program'!$P$31&lt;&gt;"",'Bonding Program'!$P$31,'Bonding Program'!$C$8)),'Bonding Program'!$Z$31,0)+IF(AND('Bonding Program'!$P$31&lt;&gt;"",CY$3='Bonding Program'!$P$31,CY$3&lt;='Bonding Program'!$C$8),N('Bonding Program'!$O$31),0)</f>
        <v>0</v>
      </c>
      <c r="CZ172" s="19" t="n">
        <f aca="false">IF(AND('Bonding Program'!$S$31=1,'Bonding Program'!$H$31&gt;'Bonding Program'!$C$8,CZ$3='Bonding Program'!$H$31),'Bonding Program'!$T$31-'Bonding Program'!$U$31-'Bonding Program'!$Z$31,0)-IF(AND('Bonding Program'!$S$31=1,'Bonding Program'!$H$31&lt;='Bonding Program'!$C$8,CZ$3=IF('Bonding Program'!$P$31&lt;&gt;"",'Bonding Program'!$P$31,'Bonding Program'!$C$8)),'Bonding Program'!$Z$31,0)+IF(AND('Bonding Program'!$P$31&lt;&gt;"",CZ$3='Bonding Program'!$P$31,CZ$3&lt;='Bonding Program'!$C$8),N('Bonding Program'!$O$31),0)</f>
        <v>0</v>
      </c>
      <c r="DA172" s="19" t="n">
        <f aca="false">IF(AND('Bonding Program'!$S$31=1,'Bonding Program'!$H$31&gt;'Bonding Program'!$C$8,DA$3='Bonding Program'!$H$31),'Bonding Program'!$T$31-'Bonding Program'!$U$31-'Bonding Program'!$Z$31,0)-IF(AND('Bonding Program'!$S$31=1,'Bonding Program'!$H$31&lt;='Bonding Program'!$C$8,DA$3=IF('Bonding Program'!$P$31&lt;&gt;"",'Bonding Program'!$P$31,'Bonding Program'!$C$8)),'Bonding Program'!$Z$31,0)+IF(AND('Bonding Program'!$P$31&lt;&gt;"",DA$3='Bonding Program'!$P$31,DA$3&lt;='Bonding Program'!$C$8),N('Bonding Program'!$O$31),0)</f>
        <v>0</v>
      </c>
      <c r="DB172" s="19" t="n">
        <f aca="false">IF(AND('Bonding Program'!$S$31=1,'Bonding Program'!$H$31&gt;'Bonding Program'!$C$8,DB$3='Bonding Program'!$H$31),'Bonding Program'!$T$31-'Bonding Program'!$U$31-'Bonding Program'!$Z$31,0)-IF(AND('Bonding Program'!$S$31=1,'Bonding Program'!$H$31&lt;='Bonding Program'!$C$8,DB$3=IF('Bonding Program'!$P$31&lt;&gt;"",'Bonding Program'!$P$31,'Bonding Program'!$C$8)),'Bonding Program'!$Z$31,0)+IF(AND('Bonding Program'!$P$31&lt;&gt;"",DB$3='Bonding Program'!$P$31,DB$3&lt;='Bonding Program'!$C$8),N('Bonding Program'!$O$31),0)</f>
        <v>0</v>
      </c>
      <c r="DC172" s="19" t="n">
        <f aca="false">IF(AND('Bonding Program'!$S$31=1,'Bonding Program'!$H$31&gt;'Bonding Program'!$C$8,DC$3='Bonding Program'!$H$31),'Bonding Program'!$T$31-'Bonding Program'!$U$31-'Bonding Program'!$Z$31,0)-IF(AND('Bonding Program'!$S$31=1,'Bonding Program'!$H$31&lt;='Bonding Program'!$C$8,DC$3=IF('Bonding Program'!$P$31&lt;&gt;"",'Bonding Program'!$P$31,'Bonding Program'!$C$8)),'Bonding Program'!$Z$31,0)+IF(AND('Bonding Program'!$P$31&lt;&gt;"",DC$3='Bonding Program'!$P$31,DC$3&lt;='Bonding Program'!$C$8),N('Bonding Program'!$O$31),0)</f>
        <v>0</v>
      </c>
      <c r="DD172" s="19" t="n">
        <f aca="false">IF(AND('Bonding Program'!$S$31=1,'Bonding Program'!$H$31&gt;'Bonding Program'!$C$8,DD$3='Bonding Program'!$H$31),'Bonding Program'!$T$31-'Bonding Program'!$U$31-'Bonding Program'!$Z$31,0)-IF(AND('Bonding Program'!$S$31=1,'Bonding Program'!$H$31&lt;='Bonding Program'!$C$8,DD$3=IF('Bonding Program'!$P$31&lt;&gt;"",'Bonding Program'!$P$31,'Bonding Program'!$C$8)),'Bonding Program'!$Z$31,0)+IF(AND('Bonding Program'!$P$31&lt;&gt;"",DD$3='Bonding Program'!$P$31,DD$3&lt;='Bonding Program'!$C$8),N('Bonding Program'!$O$31),0)</f>
        <v>0</v>
      </c>
      <c r="DE172" s="19" t="n">
        <f aca="false">IF(AND('Bonding Program'!$S$31=1,'Bonding Program'!$H$31&gt;'Bonding Program'!$C$8,DE$3='Bonding Program'!$H$31),'Bonding Program'!$T$31-'Bonding Program'!$U$31-'Bonding Program'!$Z$31,0)-IF(AND('Bonding Program'!$S$31=1,'Bonding Program'!$H$31&lt;='Bonding Program'!$C$8,DE$3=IF('Bonding Program'!$P$31&lt;&gt;"",'Bonding Program'!$P$31,'Bonding Program'!$C$8)),'Bonding Program'!$Z$31,0)+IF(AND('Bonding Program'!$P$31&lt;&gt;"",DE$3='Bonding Program'!$P$31,DE$3&lt;='Bonding Program'!$C$8),N('Bonding Program'!$O$31),0)</f>
        <v>0</v>
      </c>
    </row>
    <row r="173" customFormat="false" ht="15" hidden="false" customHeight="true" outlineLevel="1" collapsed="false">
      <c r="A173" s="28" t="s">
        <v>28</v>
      </c>
      <c r="B173" s="19" t="n">
        <f aca="false">IF(AND('Bonding Program'!$S$32=1,'Bonding Program'!$H$32&gt;'Bonding Program'!$C$8,B$3='Bonding Program'!$H$32),'Bonding Program'!$T$32-'Bonding Program'!$U$32-'Bonding Program'!$Z$32,0)-IF(AND('Bonding Program'!$S$32=1,'Bonding Program'!$H$32&lt;='Bonding Program'!$C$8,B$3=IF('Bonding Program'!$P$32&lt;&gt;"",'Bonding Program'!$P$32,'Bonding Program'!$C$8)),'Bonding Program'!$Z$32,0)+IF(AND('Bonding Program'!$P$32&lt;&gt;"",B$3='Bonding Program'!$P$32,B$3&lt;='Bonding Program'!$C$8),N('Bonding Program'!$O$32),0)</f>
        <v>0</v>
      </c>
      <c r="C173" s="19" t="n">
        <f aca="false">IF(AND('Bonding Program'!$S$32=1,'Bonding Program'!$H$32&gt;'Bonding Program'!$C$8,C$3='Bonding Program'!$H$32),'Bonding Program'!$T$32-'Bonding Program'!$U$32-'Bonding Program'!$Z$32,0)-IF(AND('Bonding Program'!$S$32=1,'Bonding Program'!$H$32&lt;='Bonding Program'!$C$8,C$3=IF('Bonding Program'!$P$32&lt;&gt;"",'Bonding Program'!$P$32,'Bonding Program'!$C$8)),'Bonding Program'!$Z$32,0)+IF(AND('Bonding Program'!$P$32&lt;&gt;"",C$3='Bonding Program'!$P$32,C$3&lt;='Bonding Program'!$C$8),N('Bonding Program'!$O$32),0)</f>
        <v>0</v>
      </c>
      <c r="D173" s="19" t="n">
        <f aca="false">IF(AND('Bonding Program'!$S$32=1,'Bonding Program'!$H$32&gt;'Bonding Program'!$C$8,D$3='Bonding Program'!$H$32),'Bonding Program'!$T$32-'Bonding Program'!$U$32-'Bonding Program'!$Z$32,0)-IF(AND('Bonding Program'!$S$32=1,'Bonding Program'!$H$32&lt;='Bonding Program'!$C$8,D$3=IF('Bonding Program'!$P$32&lt;&gt;"",'Bonding Program'!$P$32,'Bonding Program'!$C$8)),'Bonding Program'!$Z$32,0)+IF(AND('Bonding Program'!$P$32&lt;&gt;"",D$3='Bonding Program'!$P$32,D$3&lt;='Bonding Program'!$C$8),N('Bonding Program'!$O$32),0)</f>
        <v>0</v>
      </c>
      <c r="E173" s="19" t="n">
        <f aca="false">IF(AND('Bonding Program'!$S$32=1,'Bonding Program'!$H$32&gt;'Bonding Program'!$C$8,E$3='Bonding Program'!$H$32),'Bonding Program'!$T$32-'Bonding Program'!$U$32-'Bonding Program'!$Z$32,0)-IF(AND('Bonding Program'!$S$32=1,'Bonding Program'!$H$32&lt;='Bonding Program'!$C$8,E$3=IF('Bonding Program'!$P$32&lt;&gt;"",'Bonding Program'!$P$32,'Bonding Program'!$C$8)),'Bonding Program'!$Z$32,0)+IF(AND('Bonding Program'!$P$32&lt;&gt;"",E$3='Bonding Program'!$P$32,E$3&lt;='Bonding Program'!$C$8),N('Bonding Program'!$O$32),0)</f>
        <v>0</v>
      </c>
      <c r="F173" s="19" t="n">
        <f aca="false">IF(AND('Bonding Program'!$S$32=1,'Bonding Program'!$H$32&gt;'Bonding Program'!$C$8,F$3='Bonding Program'!$H$32),'Bonding Program'!$T$32-'Bonding Program'!$U$32-'Bonding Program'!$Z$32,0)-IF(AND('Bonding Program'!$S$32=1,'Bonding Program'!$H$32&lt;='Bonding Program'!$C$8,F$3=IF('Bonding Program'!$P$32&lt;&gt;"",'Bonding Program'!$P$32,'Bonding Program'!$C$8)),'Bonding Program'!$Z$32,0)+IF(AND('Bonding Program'!$P$32&lt;&gt;"",F$3='Bonding Program'!$P$32,F$3&lt;='Bonding Program'!$C$8),N('Bonding Program'!$O$32),0)</f>
        <v>0</v>
      </c>
      <c r="G173" s="19" t="n">
        <f aca="false">IF(AND('Bonding Program'!$S$32=1,'Bonding Program'!$H$32&gt;'Bonding Program'!$C$8,G$3='Bonding Program'!$H$32),'Bonding Program'!$T$32-'Bonding Program'!$U$32-'Bonding Program'!$Z$32,0)-IF(AND('Bonding Program'!$S$32=1,'Bonding Program'!$H$32&lt;='Bonding Program'!$C$8,G$3=IF('Bonding Program'!$P$32&lt;&gt;"",'Bonding Program'!$P$32,'Bonding Program'!$C$8)),'Bonding Program'!$Z$32,0)+IF(AND('Bonding Program'!$P$32&lt;&gt;"",G$3='Bonding Program'!$P$32,G$3&lt;='Bonding Program'!$C$8),N('Bonding Program'!$O$32),0)</f>
        <v>0</v>
      </c>
      <c r="H173" s="19" t="n">
        <f aca="false">IF(AND('Bonding Program'!$S$32=1,'Bonding Program'!$H$32&gt;'Bonding Program'!$C$8,H$3='Bonding Program'!$H$32),'Bonding Program'!$T$32-'Bonding Program'!$U$32-'Bonding Program'!$Z$32,0)-IF(AND('Bonding Program'!$S$32=1,'Bonding Program'!$H$32&lt;='Bonding Program'!$C$8,H$3=IF('Bonding Program'!$P$32&lt;&gt;"",'Bonding Program'!$P$32,'Bonding Program'!$C$8)),'Bonding Program'!$Z$32,0)+IF(AND('Bonding Program'!$P$32&lt;&gt;"",H$3='Bonding Program'!$P$32,H$3&lt;='Bonding Program'!$C$8),N('Bonding Program'!$O$32),0)</f>
        <v>0</v>
      </c>
      <c r="I173" s="19" t="n">
        <f aca="false">IF(AND('Bonding Program'!$S$32=1,'Bonding Program'!$H$32&gt;'Bonding Program'!$C$8,I$3='Bonding Program'!$H$32),'Bonding Program'!$T$32-'Bonding Program'!$U$32-'Bonding Program'!$Z$32,0)-IF(AND('Bonding Program'!$S$32=1,'Bonding Program'!$H$32&lt;='Bonding Program'!$C$8,I$3=IF('Bonding Program'!$P$32&lt;&gt;"",'Bonding Program'!$P$32,'Bonding Program'!$C$8)),'Bonding Program'!$Z$32,0)+IF(AND('Bonding Program'!$P$32&lt;&gt;"",I$3='Bonding Program'!$P$32,I$3&lt;='Bonding Program'!$C$8),N('Bonding Program'!$O$32),0)</f>
        <v>0</v>
      </c>
      <c r="J173" s="19" t="n">
        <f aca="false">IF(AND('Bonding Program'!$S$32=1,'Bonding Program'!$H$32&gt;'Bonding Program'!$C$8,J$3='Bonding Program'!$H$32),'Bonding Program'!$T$32-'Bonding Program'!$U$32-'Bonding Program'!$Z$32,0)-IF(AND('Bonding Program'!$S$32=1,'Bonding Program'!$H$32&lt;='Bonding Program'!$C$8,J$3=IF('Bonding Program'!$P$32&lt;&gt;"",'Bonding Program'!$P$32,'Bonding Program'!$C$8)),'Bonding Program'!$Z$32,0)+IF(AND('Bonding Program'!$P$32&lt;&gt;"",J$3='Bonding Program'!$P$32,J$3&lt;='Bonding Program'!$C$8),N('Bonding Program'!$O$32),0)</f>
        <v>0</v>
      </c>
      <c r="K173" s="19" t="n">
        <f aca="false">IF(AND('Bonding Program'!$S$32=1,'Bonding Program'!$H$32&gt;'Bonding Program'!$C$8,K$3='Bonding Program'!$H$32),'Bonding Program'!$T$32-'Bonding Program'!$U$32-'Bonding Program'!$Z$32,0)-IF(AND('Bonding Program'!$S$32=1,'Bonding Program'!$H$32&lt;='Bonding Program'!$C$8,K$3=IF('Bonding Program'!$P$32&lt;&gt;"",'Bonding Program'!$P$32,'Bonding Program'!$C$8)),'Bonding Program'!$Z$32,0)+IF(AND('Bonding Program'!$P$32&lt;&gt;"",K$3='Bonding Program'!$P$32,K$3&lt;='Bonding Program'!$C$8),N('Bonding Program'!$O$32),0)</f>
        <v>0</v>
      </c>
      <c r="L173" s="19" t="n">
        <f aca="false">IF(AND('Bonding Program'!$S$32=1,'Bonding Program'!$H$32&gt;'Bonding Program'!$C$8,L$3='Bonding Program'!$H$32),'Bonding Program'!$T$32-'Bonding Program'!$U$32-'Bonding Program'!$Z$32,0)-IF(AND('Bonding Program'!$S$32=1,'Bonding Program'!$H$32&lt;='Bonding Program'!$C$8,L$3=IF('Bonding Program'!$P$32&lt;&gt;"",'Bonding Program'!$P$32,'Bonding Program'!$C$8)),'Bonding Program'!$Z$32,0)+IF(AND('Bonding Program'!$P$32&lt;&gt;"",L$3='Bonding Program'!$P$32,L$3&lt;='Bonding Program'!$C$8),N('Bonding Program'!$O$32),0)</f>
        <v>0</v>
      </c>
      <c r="M173" s="19" t="n">
        <f aca="false">IF(AND('Bonding Program'!$S$32=1,'Bonding Program'!$H$32&gt;'Bonding Program'!$C$8,M$3='Bonding Program'!$H$32),'Bonding Program'!$T$32-'Bonding Program'!$U$32-'Bonding Program'!$Z$32,0)-IF(AND('Bonding Program'!$S$32=1,'Bonding Program'!$H$32&lt;='Bonding Program'!$C$8,M$3=IF('Bonding Program'!$P$32&lt;&gt;"",'Bonding Program'!$P$32,'Bonding Program'!$C$8)),'Bonding Program'!$Z$32,0)+IF(AND('Bonding Program'!$P$32&lt;&gt;"",M$3='Bonding Program'!$P$32,M$3&lt;='Bonding Program'!$C$8),N('Bonding Program'!$O$32),0)</f>
        <v>0</v>
      </c>
      <c r="N173" s="19" t="n">
        <f aca="false">IF(AND('Bonding Program'!$S$32=1,'Bonding Program'!$H$32&gt;'Bonding Program'!$C$8,N$3='Bonding Program'!$H$32),'Bonding Program'!$T$32-'Bonding Program'!$U$32-'Bonding Program'!$Z$32,0)-IF(AND('Bonding Program'!$S$32=1,'Bonding Program'!$H$32&lt;='Bonding Program'!$C$8,N$3=IF('Bonding Program'!$P$32&lt;&gt;"",'Bonding Program'!$P$32,'Bonding Program'!$C$8)),'Bonding Program'!$Z$32,0)+IF(AND('Bonding Program'!$P$32&lt;&gt;"",N$3='Bonding Program'!$P$32,N$3&lt;='Bonding Program'!$C$8),N('Bonding Program'!$O$32),0)</f>
        <v>0</v>
      </c>
      <c r="O173" s="19" t="n">
        <f aca="false">IF(AND('Bonding Program'!$S$32=1,'Bonding Program'!$H$32&gt;'Bonding Program'!$C$8,O$3='Bonding Program'!$H$32),'Bonding Program'!$T$32-'Bonding Program'!$U$32-'Bonding Program'!$Z$32,0)-IF(AND('Bonding Program'!$S$32=1,'Bonding Program'!$H$32&lt;='Bonding Program'!$C$8,O$3=IF('Bonding Program'!$P$32&lt;&gt;"",'Bonding Program'!$P$32,'Bonding Program'!$C$8)),'Bonding Program'!$Z$32,0)+IF(AND('Bonding Program'!$P$32&lt;&gt;"",O$3='Bonding Program'!$P$32,O$3&lt;='Bonding Program'!$C$8),N('Bonding Program'!$O$32),0)</f>
        <v>0</v>
      </c>
      <c r="P173" s="19" t="n">
        <f aca="false">IF(AND('Bonding Program'!$S$32=1,'Bonding Program'!$H$32&gt;'Bonding Program'!$C$8,P$3='Bonding Program'!$H$32),'Bonding Program'!$T$32-'Bonding Program'!$U$32-'Bonding Program'!$Z$32,0)-IF(AND('Bonding Program'!$S$32=1,'Bonding Program'!$H$32&lt;='Bonding Program'!$C$8,P$3=IF('Bonding Program'!$P$32&lt;&gt;"",'Bonding Program'!$P$32,'Bonding Program'!$C$8)),'Bonding Program'!$Z$32,0)+IF(AND('Bonding Program'!$P$32&lt;&gt;"",P$3='Bonding Program'!$P$32,P$3&lt;='Bonding Program'!$C$8),N('Bonding Program'!$O$32),0)</f>
        <v>0</v>
      </c>
      <c r="Q173" s="19" t="n">
        <f aca="false">IF(AND('Bonding Program'!$S$32=1,'Bonding Program'!$H$32&gt;'Bonding Program'!$C$8,Q$3='Bonding Program'!$H$32),'Bonding Program'!$T$32-'Bonding Program'!$U$32-'Bonding Program'!$Z$32,0)-IF(AND('Bonding Program'!$S$32=1,'Bonding Program'!$H$32&lt;='Bonding Program'!$C$8,Q$3=IF('Bonding Program'!$P$32&lt;&gt;"",'Bonding Program'!$P$32,'Bonding Program'!$C$8)),'Bonding Program'!$Z$32,0)+IF(AND('Bonding Program'!$P$32&lt;&gt;"",Q$3='Bonding Program'!$P$32,Q$3&lt;='Bonding Program'!$C$8),N('Bonding Program'!$O$32),0)</f>
        <v>0</v>
      </c>
      <c r="R173" s="19" t="n">
        <f aca="false">IF(AND('Bonding Program'!$S$32=1,'Bonding Program'!$H$32&gt;'Bonding Program'!$C$8,R$3='Bonding Program'!$H$32),'Bonding Program'!$T$32-'Bonding Program'!$U$32-'Bonding Program'!$Z$32,0)-IF(AND('Bonding Program'!$S$32=1,'Bonding Program'!$H$32&lt;='Bonding Program'!$C$8,R$3=IF('Bonding Program'!$P$32&lt;&gt;"",'Bonding Program'!$P$32,'Bonding Program'!$C$8)),'Bonding Program'!$Z$32,0)+IF(AND('Bonding Program'!$P$32&lt;&gt;"",R$3='Bonding Program'!$P$32,R$3&lt;='Bonding Program'!$C$8),N('Bonding Program'!$O$32),0)</f>
        <v>0</v>
      </c>
      <c r="S173" s="19" t="n">
        <f aca="false">IF(AND('Bonding Program'!$S$32=1,'Bonding Program'!$H$32&gt;'Bonding Program'!$C$8,S$3='Bonding Program'!$H$32),'Bonding Program'!$T$32-'Bonding Program'!$U$32-'Bonding Program'!$Z$32,0)-IF(AND('Bonding Program'!$S$32=1,'Bonding Program'!$H$32&lt;='Bonding Program'!$C$8,S$3=IF('Bonding Program'!$P$32&lt;&gt;"",'Bonding Program'!$P$32,'Bonding Program'!$C$8)),'Bonding Program'!$Z$32,0)+IF(AND('Bonding Program'!$P$32&lt;&gt;"",S$3='Bonding Program'!$P$32,S$3&lt;='Bonding Program'!$C$8),N('Bonding Program'!$O$32),0)</f>
        <v>0</v>
      </c>
      <c r="T173" s="19" t="n">
        <f aca="false">IF(AND('Bonding Program'!$S$32=1,'Bonding Program'!$H$32&gt;'Bonding Program'!$C$8,T$3='Bonding Program'!$H$32),'Bonding Program'!$T$32-'Bonding Program'!$U$32-'Bonding Program'!$Z$32,0)-IF(AND('Bonding Program'!$S$32=1,'Bonding Program'!$H$32&lt;='Bonding Program'!$C$8,T$3=IF('Bonding Program'!$P$32&lt;&gt;"",'Bonding Program'!$P$32,'Bonding Program'!$C$8)),'Bonding Program'!$Z$32,0)+IF(AND('Bonding Program'!$P$32&lt;&gt;"",T$3='Bonding Program'!$P$32,T$3&lt;='Bonding Program'!$C$8),N('Bonding Program'!$O$32),0)</f>
        <v>0</v>
      </c>
      <c r="U173" s="19" t="n">
        <f aca="false">IF(AND('Bonding Program'!$S$32=1,'Bonding Program'!$H$32&gt;'Bonding Program'!$C$8,U$3='Bonding Program'!$H$32),'Bonding Program'!$T$32-'Bonding Program'!$U$32-'Bonding Program'!$Z$32,0)-IF(AND('Bonding Program'!$S$32=1,'Bonding Program'!$H$32&lt;='Bonding Program'!$C$8,U$3=IF('Bonding Program'!$P$32&lt;&gt;"",'Bonding Program'!$P$32,'Bonding Program'!$C$8)),'Bonding Program'!$Z$32,0)+IF(AND('Bonding Program'!$P$32&lt;&gt;"",U$3='Bonding Program'!$P$32,U$3&lt;='Bonding Program'!$C$8),N('Bonding Program'!$O$32),0)</f>
        <v>0</v>
      </c>
      <c r="V173" s="19" t="n">
        <f aca="false">IF(AND('Bonding Program'!$S$32=1,'Bonding Program'!$H$32&gt;'Bonding Program'!$C$8,V$3='Bonding Program'!$H$32),'Bonding Program'!$T$32-'Bonding Program'!$U$32-'Bonding Program'!$Z$32,0)-IF(AND('Bonding Program'!$S$32=1,'Bonding Program'!$H$32&lt;='Bonding Program'!$C$8,V$3=IF('Bonding Program'!$P$32&lt;&gt;"",'Bonding Program'!$P$32,'Bonding Program'!$C$8)),'Bonding Program'!$Z$32,0)+IF(AND('Bonding Program'!$P$32&lt;&gt;"",V$3='Bonding Program'!$P$32,V$3&lt;='Bonding Program'!$C$8),N('Bonding Program'!$O$32),0)</f>
        <v>0</v>
      </c>
      <c r="W173" s="19" t="n">
        <f aca="false">IF(AND('Bonding Program'!$S$32=1,'Bonding Program'!$H$32&gt;'Bonding Program'!$C$8,W$3='Bonding Program'!$H$32),'Bonding Program'!$T$32-'Bonding Program'!$U$32-'Bonding Program'!$Z$32,0)-IF(AND('Bonding Program'!$S$32=1,'Bonding Program'!$H$32&lt;='Bonding Program'!$C$8,W$3=IF('Bonding Program'!$P$32&lt;&gt;"",'Bonding Program'!$P$32,'Bonding Program'!$C$8)),'Bonding Program'!$Z$32,0)+IF(AND('Bonding Program'!$P$32&lt;&gt;"",W$3='Bonding Program'!$P$32,W$3&lt;='Bonding Program'!$C$8),N('Bonding Program'!$O$32),0)</f>
        <v>0</v>
      </c>
      <c r="X173" s="19" t="n">
        <f aca="false">IF(AND('Bonding Program'!$S$32=1,'Bonding Program'!$H$32&gt;'Bonding Program'!$C$8,X$3='Bonding Program'!$H$32),'Bonding Program'!$T$32-'Bonding Program'!$U$32-'Bonding Program'!$Z$32,0)-IF(AND('Bonding Program'!$S$32=1,'Bonding Program'!$H$32&lt;='Bonding Program'!$C$8,X$3=IF('Bonding Program'!$P$32&lt;&gt;"",'Bonding Program'!$P$32,'Bonding Program'!$C$8)),'Bonding Program'!$Z$32,0)+IF(AND('Bonding Program'!$P$32&lt;&gt;"",X$3='Bonding Program'!$P$32,X$3&lt;='Bonding Program'!$C$8),N('Bonding Program'!$O$32),0)</f>
        <v>0</v>
      </c>
      <c r="Y173" s="19" t="n">
        <f aca="false">IF(AND('Bonding Program'!$S$32=1,'Bonding Program'!$H$32&gt;'Bonding Program'!$C$8,Y$3='Bonding Program'!$H$32),'Bonding Program'!$T$32-'Bonding Program'!$U$32-'Bonding Program'!$Z$32,0)-IF(AND('Bonding Program'!$S$32=1,'Bonding Program'!$H$32&lt;='Bonding Program'!$C$8,Y$3=IF('Bonding Program'!$P$32&lt;&gt;"",'Bonding Program'!$P$32,'Bonding Program'!$C$8)),'Bonding Program'!$Z$32,0)+IF(AND('Bonding Program'!$P$32&lt;&gt;"",Y$3='Bonding Program'!$P$32,Y$3&lt;='Bonding Program'!$C$8),N('Bonding Program'!$O$32),0)</f>
        <v>0</v>
      </c>
      <c r="Z173" s="19" t="n">
        <f aca="false">IF(AND('Bonding Program'!$S$32=1,'Bonding Program'!$H$32&gt;'Bonding Program'!$C$8,Z$3='Bonding Program'!$H$32),'Bonding Program'!$T$32-'Bonding Program'!$U$32-'Bonding Program'!$Z$32,0)-IF(AND('Bonding Program'!$S$32=1,'Bonding Program'!$H$32&lt;='Bonding Program'!$C$8,Z$3=IF('Bonding Program'!$P$32&lt;&gt;"",'Bonding Program'!$P$32,'Bonding Program'!$C$8)),'Bonding Program'!$Z$32,0)+IF(AND('Bonding Program'!$P$32&lt;&gt;"",Z$3='Bonding Program'!$P$32,Z$3&lt;='Bonding Program'!$C$8),N('Bonding Program'!$O$32),0)</f>
        <v>0</v>
      </c>
      <c r="AA173" s="19" t="n">
        <f aca="false">IF(AND('Bonding Program'!$S$32=1,'Bonding Program'!$H$32&gt;'Bonding Program'!$C$8,AA$3='Bonding Program'!$H$32),'Bonding Program'!$T$32-'Bonding Program'!$U$32-'Bonding Program'!$Z$32,0)-IF(AND('Bonding Program'!$S$32=1,'Bonding Program'!$H$32&lt;='Bonding Program'!$C$8,AA$3=IF('Bonding Program'!$P$32&lt;&gt;"",'Bonding Program'!$P$32,'Bonding Program'!$C$8)),'Bonding Program'!$Z$32,0)+IF(AND('Bonding Program'!$P$32&lt;&gt;"",AA$3='Bonding Program'!$P$32,AA$3&lt;='Bonding Program'!$C$8),N('Bonding Program'!$O$32),0)</f>
        <v>0</v>
      </c>
      <c r="AB173" s="19" t="n">
        <f aca="false">IF(AND('Bonding Program'!$S$32=1,'Bonding Program'!$H$32&gt;'Bonding Program'!$C$8,AB$3='Bonding Program'!$H$32),'Bonding Program'!$T$32-'Bonding Program'!$U$32-'Bonding Program'!$Z$32,0)-IF(AND('Bonding Program'!$S$32=1,'Bonding Program'!$H$32&lt;='Bonding Program'!$C$8,AB$3=IF('Bonding Program'!$P$32&lt;&gt;"",'Bonding Program'!$P$32,'Bonding Program'!$C$8)),'Bonding Program'!$Z$32,0)+IF(AND('Bonding Program'!$P$32&lt;&gt;"",AB$3='Bonding Program'!$P$32,AB$3&lt;='Bonding Program'!$C$8),N('Bonding Program'!$O$32),0)</f>
        <v>0</v>
      </c>
      <c r="AC173" s="19" t="n">
        <f aca="false">IF(AND('Bonding Program'!$S$32=1,'Bonding Program'!$H$32&gt;'Bonding Program'!$C$8,AC$3='Bonding Program'!$H$32),'Bonding Program'!$T$32-'Bonding Program'!$U$32-'Bonding Program'!$Z$32,0)-IF(AND('Bonding Program'!$S$32=1,'Bonding Program'!$H$32&lt;='Bonding Program'!$C$8,AC$3=IF('Bonding Program'!$P$32&lt;&gt;"",'Bonding Program'!$P$32,'Bonding Program'!$C$8)),'Bonding Program'!$Z$32,0)+IF(AND('Bonding Program'!$P$32&lt;&gt;"",AC$3='Bonding Program'!$P$32,AC$3&lt;='Bonding Program'!$C$8),N('Bonding Program'!$O$32),0)</f>
        <v>0</v>
      </c>
      <c r="AD173" s="19" t="n">
        <f aca="false">IF(AND('Bonding Program'!$S$32=1,'Bonding Program'!$H$32&gt;'Bonding Program'!$C$8,AD$3='Bonding Program'!$H$32),'Bonding Program'!$T$32-'Bonding Program'!$U$32-'Bonding Program'!$Z$32,0)-IF(AND('Bonding Program'!$S$32=1,'Bonding Program'!$H$32&lt;='Bonding Program'!$C$8,AD$3=IF('Bonding Program'!$P$32&lt;&gt;"",'Bonding Program'!$P$32,'Bonding Program'!$C$8)),'Bonding Program'!$Z$32,0)+IF(AND('Bonding Program'!$P$32&lt;&gt;"",AD$3='Bonding Program'!$P$32,AD$3&lt;='Bonding Program'!$C$8),N('Bonding Program'!$O$32),0)</f>
        <v>0</v>
      </c>
      <c r="AE173" s="19" t="n">
        <f aca="false">IF(AND('Bonding Program'!$S$32=1,'Bonding Program'!$H$32&gt;'Bonding Program'!$C$8,AE$3='Bonding Program'!$H$32),'Bonding Program'!$T$32-'Bonding Program'!$U$32-'Bonding Program'!$Z$32,0)-IF(AND('Bonding Program'!$S$32=1,'Bonding Program'!$H$32&lt;='Bonding Program'!$C$8,AE$3=IF('Bonding Program'!$P$32&lt;&gt;"",'Bonding Program'!$P$32,'Bonding Program'!$C$8)),'Bonding Program'!$Z$32,0)+IF(AND('Bonding Program'!$P$32&lt;&gt;"",AE$3='Bonding Program'!$P$32,AE$3&lt;='Bonding Program'!$C$8),N('Bonding Program'!$O$32),0)</f>
        <v>0</v>
      </c>
      <c r="AF173" s="19" t="n">
        <f aca="false">IF(AND('Bonding Program'!$S$32=1,'Bonding Program'!$H$32&gt;'Bonding Program'!$C$8,AF$3='Bonding Program'!$H$32),'Bonding Program'!$T$32-'Bonding Program'!$U$32-'Bonding Program'!$Z$32,0)-IF(AND('Bonding Program'!$S$32=1,'Bonding Program'!$H$32&lt;='Bonding Program'!$C$8,AF$3=IF('Bonding Program'!$P$32&lt;&gt;"",'Bonding Program'!$P$32,'Bonding Program'!$C$8)),'Bonding Program'!$Z$32,0)+IF(AND('Bonding Program'!$P$32&lt;&gt;"",AF$3='Bonding Program'!$P$32,AF$3&lt;='Bonding Program'!$C$8),N('Bonding Program'!$O$32),0)</f>
        <v>0</v>
      </c>
      <c r="AG173" s="19" t="n">
        <f aca="false">IF(AND('Bonding Program'!$S$32=1,'Bonding Program'!$H$32&gt;'Bonding Program'!$C$8,AG$3='Bonding Program'!$H$32),'Bonding Program'!$T$32-'Bonding Program'!$U$32-'Bonding Program'!$Z$32,0)-IF(AND('Bonding Program'!$S$32=1,'Bonding Program'!$H$32&lt;='Bonding Program'!$C$8,AG$3=IF('Bonding Program'!$P$32&lt;&gt;"",'Bonding Program'!$P$32,'Bonding Program'!$C$8)),'Bonding Program'!$Z$32,0)+IF(AND('Bonding Program'!$P$32&lt;&gt;"",AG$3='Bonding Program'!$P$32,AG$3&lt;='Bonding Program'!$C$8),N('Bonding Program'!$O$32),0)</f>
        <v>0</v>
      </c>
      <c r="AH173" s="19" t="n">
        <f aca="false">IF(AND('Bonding Program'!$S$32=1,'Bonding Program'!$H$32&gt;'Bonding Program'!$C$8,AH$3='Bonding Program'!$H$32),'Bonding Program'!$T$32-'Bonding Program'!$U$32-'Bonding Program'!$Z$32,0)-IF(AND('Bonding Program'!$S$32=1,'Bonding Program'!$H$32&lt;='Bonding Program'!$C$8,AH$3=IF('Bonding Program'!$P$32&lt;&gt;"",'Bonding Program'!$P$32,'Bonding Program'!$C$8)),'Bonding Program'!$Z$32,0)+IF(AND('Bonding Program'!$P$32&lt;&gt;"",AH$3='Bonding Program'!$P$32,AH$3&lt;='Bonding Program'!$C$8),N('Bonding Program'!$O$32),0)</f>
        <v>0</v>
      </c>
      <c r="AI173" s="19" t="n">
        <f aca="false">IF(AND('Bonding Program'!$S$32=1,'Bonding Program'!$H$32&gt;'Bonding Program'!$C$8,AI$3='Bonding Program'!$H$32),'Bonding Program'!$T$32-'Bonding Program'!$U$32-'Bonding Program'!$Z$32,0)-IF(AND('Bonding Program'!$S$32=1,'Bonding Program'!$H$32&lt;='Bonding Program'!$C$8,AI$3=IF('Bonding Program'!$P$32&lt;&gt;"",'Bonding Program'!$P$32,'Bonding Program'!$C$8)),'Bonding Program'!$Z$32,0)+IF(AND('Bonding Program'!$P$32&lt;&gt;"",AI$3='Bonding Program'!$P$32,AI$3&lt;='Bonding Program'!$C$8),N('Bonding Program'!$O$32),0)</f>
        <v>0</v>
      </c>
      <c r="AJ173" s="19" t="n">
        <f aca="false">IF(AND('Bonding Program'!$S$32=1,'Bonding Program'!$H$32&gt;'Bonding Program'!$C$8,AJ$3='Bonding Program'!$H$32),'Bonding Program'!$T$32-'Bonding Program'!$U$32-'Bonding Program'!$Z$32,0)-IF(AND('Bonding Program'!$S$32=1,'Bonding Program'!$H$32&lt;='Bonding Program'!$C$8,AJ$3=IF('Bonding Program'!$P$32&lt;&gt;"",'Bonding Program'!$P$32,'Bonding Program'!$C$8)),'Bonding Program'!$Z$32,0)+IF(AND('Bonding Program'!$P$32&lt;&gt;"",AJ$3='Bonding Program'!$P$32,AJ$3&lt;='Bonding Program'!$C$8),N('Bonding Program'!$O$32),0)</f>
        <v>0</v>
      </c>
      <c r="AK173" s="19" t="n">
        <f aca="false">IF(AND('Bonding Program'!$S$32=1,'Bonding Program'!$H$32&gt;'Bonding Program'!$C$8,AK$3='Bonding Program'!$H$32),'Bonding Program'!$T$32-'Bonding Program'!$U$32-'Bonding Program'!$Z$32,0)-IF(AND('Bonding Program'!$S$32=1,'Bonding Program'!$H$32&lt;='Bonding Program'!$C$8,AK$3=IF('Bonding Program'!$P$32&lt;&gt;"",'Bonding Program'!$P$32,'Bonding Program'!$C$8)),'Bonding Program'!$Z$32,0)+IF(AND('Bonding Program'!$P$32&lt;&gt;"",AK$3='Bonding Program'!$P$32,AK$3&lt;='Bonding Program'!$C$8),N('Bonding Program'!$O$32),0)</f>
        <v>0</v>
      </c>
      <c r="AL173" s="19" t="n">
        <f aca="false">IF(AND('Bonding Program'!$S$32=1,'Bonding Program'!$H$32&gt;'Bonding Program'!$C$8,AL$3='Bonding Program'!$H$32),'Bonding Program'!$T$32-'Bonding Program'!$U$32-'Bonding Program'!$Z$32,0)-IF(AND('Bonding Program'!$S$32=1,'Bonding Program'!$H$32&lt;='Bonding Program'!$C$8,AL$3=IF('Bonding Program'!$P$32&lt;&gt;"",'Bonding Program'!$P$32,'Bonding Program'!$C$8)),'Bonding Program'!$Z$32,0)+IF(AND('Bonding Program'!$P$32&lt;&gt;"",AL$3='Bonding Program'!$P$32,AL$3&lt;='Bonding Program'!$C$8),N('Bonding Program'!$O$32),0)</f>
        <v>0</v>
      </c>
      <c r="AM173" s="19" t="n">
        <f aca="false">IF(AND('Bonding Program'!$S$32=1,'Bonding Program'!$H$32&gt;'Bonding Program'!$C$8,AM$3='Bonding Program'!$H$32),'Bonding Program'!$T$32-'Bonding Program'!$U$32-'Bonding Program'!$Z$32,0)-IF(AND('Bonding Program'!$S$32=1,'Bonding Program'!$H$32&lt;='Bonding Program'!$C$8,AM$3=IF('Bonding Program'!$P$32&lt;&gt;"",'Bonding Program'!$P$32,'Bonding Program'!$C$8)),'Bonding Program'!$Z$32,0)+IF(AND('Bonding Program'!$P$32&lt;&gt;"",AM$3='Bonding Program'!$P$32,AM$3&lt;='Bonding Program'!$C$8),N('Bonding Program'!$O$32),0)</f>
        <v>0</v>
      </c>
      <c r="AN173" s="19" t="n">
        <f aca="false">IF(AND('Bonding Program'!$S$32=1,'Bonding Program'!$H$32&gt;'Bonding Program'!$C$8,AN$3='Bonding Program'!$H$32),'Bonding Program'!$T$32-'Bonding Program'!$U$32-'Bonding Program'!$Z$32,0)-IF(AND('Bonding Program'!$S$32=1,'Bonding Program'!$H$32&lt;='Bonding Program'!$C$8,AN$3=IF('Bonding Program'!$P$32&lt;&gt;"",'Bonding Program'!$P$32,'Bonding Program'!$C$8)),'Bonding Program'!$Z$32,0)+IF(AND('Bonding Program'!$P$32&lt;&gt;"",AN$3='Bonding Program'!$P$32,AN$3&lt;='Bonding Program'!$C$8),N('Bonding Program'!$O$32),0)</f>
        <v>0</v>
      </c>
      <c r="AO173" s="19" t="n">
        <f aca="false">IF(AND('Bonding Program'!$S$32=1,'Bonding Program'!$H$32&gt;'Bonding Program'!$C$8,AO$3='Bonding Program'!$H$32),'Bonding Program'!$T$32-'Bonding Program'!$U$32-'Bonding Program'!$Z$32,0)-IF(AND('Bonding Program'!$S$32=1,'Bonding Program'!$H$32&lt;='Bonding Program'!$C$8,AO$3=IF('Bonding Program'!$P$32&lt;&gt;"",'Bonding Program'!$P$32,'Bonding Program'!$C$8)),'Bonding Program'!$Z$32,0)+IF(AND('Bonding Program'!$P$32&lt;&gt;"",AO$3='Bonding Program'!$P$32,AO$3&lt;='Bonding Program'!$C$8),N('Bonding Program'!$O$32),0)</f>
        <v>0</v>
      </c>
      <c r="AP173" s="19" t="n">
        <f aca="false">IF(AND('Bonding Program'!$S$32=1,'Bonding Program'!$H$32&gt;'Bonding Program'!$C$8,AP$3='Bonding Program'!$H$32),'Bonding Program'!$T$32-'Bonding Program'!$U$32-'Bonding Program'!$Z$32,0)-IF(AND('Bonding Program'!$S$32=1,'Bonding Program'!$H$32&lt;='Bonding Program'!$C$8,AP$3=IF('Bonding Program'!$P$32&lt;&gt;"",'Bonding Program'!$P$32,'Bonding Program'!$C$8)),'Bonding Program'!$Z$32,0)+IF(AND('Bonding Program'!$P$32&lt;&gt;"",AP$3='Bonding Program'!$P$32,AP$3&lt;='Bonding Program'!$C$8),N('Bonding Program'!$O$32),0)</f>
        <v>0</v>
      </c>
      <c r="AQ173" s="19" t="n">
        <f aca="false">IF(AND('Bonding Program'!$S$32=1,'Bonding Program'!$H$32&gt;'Bonding Program'!$C$8,AQ$3='Bonding Program'!$H$32),'Bonding Program'!$T$32-'Bonding Program'!$U$32-'Bonding Program'!$Z$32,0)-IF(AND('Bonding Program'!$S$32=1,'Bonding Program'!$H$32&lt;='Bonding Program'!$C$8,AQ$3=IF('Bonding Program'!$P$32&lt;&gt;"",'Bonding Program'!$P$32,'Bonding Program'!$C$8)),'Bonding Program'!$Z$32,0)+IF(AND('Bonding Program'!$P$32&lt;&gt;"",AQ$3='Bonding Program'!$P$32,AQ$3&lt;='Bonding Program'!$C$8),N('Bonding Program'!$O$32),0)</f>
        <v>0</v>
      </c>
      <c r="AR173" s="19" t="n">
        <f aca="false">IF(AND('Bonding Program'!$S$32=1,'Bonding Program'!$H$32&gt;'Bonding Program'!$C$8,AR$3='Bonding Program'!$H$32),'Bonding Program'!$T$32-'Bonding Program'!$U$32-'Bonding Program'!$Z$32,0)-IF(AND('Bonding Program'!$S$32=1,'Bonding Program'!$H$32&lt;='Bonding Program'!$C$8,AR$3=IF('Bonding Program'!$P$32&lt;&gt;"",'Bonding Program'!$P$32,'Bonding Program'!$C$8)),'Bonding Program'!$Z$32,0)+IF(AND('Bonding Program'!$P$32&lt;&gt;"",AR$3='Bonding Program'!$P$32,AR$3&lt;='Bonding Program'!$C$8),N('Bonding Program'!$O$32),0)</f>
        <v>0</v>
      </c>
      <c r="AS173" s="19" t="n">
        <f aca="false">IF(AND('Bonding Program'!$S$32=1,'Bonding Program'!$H$32&gt;'Bonding Program'!$C$8,AS$3='Bonding Program'!$H$32),'Bonding Program'!$T$32-'Bonding Program'!$U$32-'Bonding Program'!$Z$32,0)-IF(AND('Bonding Program'!$S$32=1,'Bonding Program'!$H$32&lt;='Bonding Program'!$C$8,AS$3=IF('Bonding Program'!$P$32&lt;&gt;"",'Bonding Program'!$P$32,'Bonding Program'!$C$8)),'Bonding Program'!$Z$32,0)+IF(AND('Bonding Program'!$P$32&lt;&gt;"",AS$3='Bonding Program'!$P$32,AS$3&lt;='Bonding Program'!$C$8),N('Bonding Program'!$O$32),0)</f>
        <v>0</v>
      </c>
      <c r="AT173" s="19" t="n">
        <f aca="false">IF(AND('Bonding Program'!$S$32=1,'Bonding Program'!$H$32&gt;'Bonding Program'!$C$8,AT$3='Bonding Program'!$H$32),'Bonding Program'!$T$32-'Bonding Program'!$U$32-'Bonding Program'!$Z$32,0)-IF(AND('Bonding Program'!$S$32=1,'Bonding Program'!$H$32&lt;='Bonding Program'!$C$8,AT$3=IF('Bonding Program'!$P$32&lt;&gt;"",'Bonding Program'!$P$32,'Bonding Program'!$C$8)),'Bonding Program'!$Z$32,0)+IF(AND('Bonding Program'!$P$32&lt;&gt;"",AT$3='Bonding Program'!$P$32,AT$3&lt;='Bonding Program'!$C$8),N('Bonding Program'!$O$32),0)</f>
        <v>0</v>
      </c>
      <c r="AU173" s="19" t="n">
        <f aca="false">IF(AND('Bonding Program'!$S$32=1,'Bonding Program'!$H$32&gt;'Bonding Program'!$C$8,AU$3='Bonding Program'!$H$32),'Bonding Program'!$T$32-'Bonding Program'!$U$32-'Bonding Program'!$Z$32,0)-IF(AND('Bonding Program'!$S$32=1,'Bonding Program'!$H$32&lt;='Bonding Program'!$C$8,AU$3=IF('Bonding Program'!$P$32&lt;&gt;"",'Bonding Program'!$P$32,'Bonding Program'!$C$8)),'Bonding Program'!$Z$32,0)+IF(AND('Bonding Program'!$P$32&lt;&gt;"",AU$3='Bonding Program'!$P$32,AU$3&lt;='Bonding Program'!$C$8),N('Bonding Program'!$O$32),0)</f>
        <v>0</v>
      </c>
      <c r="AV173" s="19" t="n">
        <f aca="false">IF(AND('Bonding Program'!$S$32=1,'Bonding Program'!$H$32&gt;'Bonding Program'!$C$8,AV$3='Bonding Program'!$H$32),'Bonding Program'!$T$32-'Bonding Program'!$U$32-'Bonding Program'!$Z$32,0)-IF(AND('Bonding Program'!$S$32=1,'Bonding Program'!$H$32&lt;='Bonding Program'!$C$8,AV$3=IF('Bonding Program'!$P$32&lt;&gt;"",'Bonding Program'!$P$32,'Bonding Program'!$C$8)),'Bonding Program'!$Z$32,0)+IF(AND('Bonding Program'!$P$32&lt;&gt;"",AV$3='Bonding Program'!$P$32,AV$3&lt;='Bonding Program'!$C$8),N('Bonding Program'!$O$32),0)</f>
        <v>0</v>
      </c>
      <c r="AW173" s="19" t="n">
        <f aca="false">IF(AND('Bonding Program'!$S$32=1,'Bonding Program'!$H$32&gt;'Bonding Program'!$C$8,AW$3='Bonding Program'!$H$32),'Bonding Program'!$T$32-'Bonding Program'!$U$32-'Bonding Program'!$Z$32,0)-IF(AND('Bonding Program'!$S$32=1,'Bonding Program'!$H$32&lt;='Bonding Program'!$C$8,AW$3=IF('Bonding Program'!$P$32&lt;&gt;"",'Bonding Program'!$P$32,'Bonding Program'!$C$8)),'Bonding Program'!$Z$32,0)+IF(AND('Bonding Program'!$P$32&lt;&gt;"",AW$3='Bonding Program'!$P$32,AW$3&lt;='Bonding Program'!$C$8),N('Bonding Program'!$O$32),0)</f>
        <v>0</v>
      </c>
      <c r="AX173" s="19" t="n">
        <f aca="false">IF(AND('Bonding Program'!$S$32=1,'Bonding Program'!$H$32&gt;'Bonding Program'!$C$8,AX$3='Bonding Program'!$H$32),'Bonding Program'!$T$32-'Bonding Program'!$U$32-'Bonding Program'!$Z$32,0)-IF(AND('Bonding Program'!$S$32=1,'Bonding Program'!$H$32&lt;='Bonding Program'!$C$8,AX$3=IF('Bonding Program'!$P$32&lt;&gt;"",'Bonding Program'!$P$32,'Bonding Program'!$C$8)),'Bonding Program'!$Z$32,0)+IF(AND('Bonding Program'!$P$32&lt;&gt;"",AX$3='Bonding Program'!$P$32,AX$3&lt;='Bonding Program'!$C$8),N('Bonding Program'!$O$32),0)</f>
        <v>0</v>
      </c>
      <c r="AY173" s="19" t="n">
        <f aca="false">IF(AND('Bonding Program'!$S$32=1,'Bonding Program'!$H$32&gt;'Bonding Program'!$C$8,AY$3='Bonding Program'!$H$32),'Bonding Program'!$T$32-'Bonding Program'!$U$32-'Bonding Program'!$Z$32,0)-IF(AND('Bonding Program'!$S$32=1,'Bonding Program'!$H$32&lt;='Bonding Program'!$C$8,AY$3=IF('Bonding Program'!$P$32&lt;&gt;"",'Bonding Program'!$P$32,'Bonding Program'!$C$8)),'Bonding Program'!$Z$32,0)+IF(AND('Bonding Program'!$P$32&lt;&gt;"",AY$3='Bonding Program'!$P$32,AY$3&lt;='Bonding Program'!$C$8),N('Bonding Program'!$O$32),0)</f>
        <v>0</v>
      </c>
      <c r="AZ173" s="19" t="n">
        <f aca="false">IF(AND('Bonding Program'!$S$32=1,'Bonding Program'!$H$32&gt;'Bonding Program'!$C$8,AZ$3='Bonding Program'!$H$32),'Bonding Program'!$T$32-'Bonding Program'!$U$32-'Bonding Program'!$Z$32,0)-IF(AND('Bonding Program'!$S$32=1,'Bonding Program'!$H$32&lt;='Bonding Program'!$C$8,AZ$3=IF('Bonding Program'!$P$32&lt;&gt;"",'Bonding Program'!$P$32,'Bonding Program'!$C$8)),'Bonding Program'!$Z$32,0)+IF(AND('Bonding Program'!$P$32&lt;&gt;"",AZ$3='Bonding Program'!$P$32,AZ$3&lt;='Bonding Program'!$C$8),N('Bonding Program'!$O$32),0)</f>
        <v>0</v>
      </c>
      <c r="BA173" s="19" t="n">
        <f aca="false">IF(AND('Bonding Program'!$S$32=1,'Bonding Program'!$H$32&gt;'Bonding Program'!$C$8,BA$3='Bonding Program'!$H$32),'Bonding Program'!$T$32-'Bonding Program'!$U$32-'Bonding Program'!$Z$32,0)-IF(AND('Bonding Program'!$S$32=1,'Bonding Program'!$H$32&lt;='Bonding Program'!$C$8,BA$3=IF('Bonding Program'!$P$32&lt;&gt;"",'Bonding Program'!$P$32,'Bonding Program'!$C$8)),'Bonding Program'!$Z$32,0)+IF(AND('Bonding Program'!$P$32&lt;&gt;"",BA$3='Bonding Program'!$P$32,BA$3&lt;='Bonding Program'!$C$8),N('Bonding Program'!$O$32),0)</f>
        <v>0</v>
      </c>
      <c r="BB173" s="19" t="n">
        <f aca="false">IF(AND('Bonding Program'!$S$32=1,'Bonding Program'!$H$32&gt;'Bonding Program'!$C$8,BB$3='Bonding Program'!$H$32),'Bonding Program'!$T$32-'Bonding Program'!$U$32-'Bonding Program'!$Z$32,0)-IF(AND('Bonding Program'!$S$32=1,'Bonding Program'!$H$32&lt;='Bonding Program'!$C$8,BB$3=IF('Bonding Program'!$P$32&lt;&gt;"",'Bonding Program'!$P$32,'Bonding Program'!$C$8)),'Bonding Program'!$Z$32,0)+IF(AND('Bonding Program'!$P$32&lt;&gt;"",BB$3='Bonding Program'!$P$32,BB$3&lt;='Bonding Program'!$C$8),N('Bonding Program'!$O$32),0)</f>
        <v>0</v>
      </c>
      <c r="BC173" s="19" t="n">
        <f aca="false">IF(AND('Bonding Program'!$S$32=1,'Bonding Program'!$H$32&gt;'Bonding Program'!$C$8,BC$3='Bonding Program'!$H$32),'Bonding Program'!$T$32-'Bonding Program'!$U$32-'Bonding Program'!$Z$32,0)-IF(AND('Bonding Program'!$S$32=1,'Bonding Program'!$H$32&lt;='Bonding Program'!$C$8,BC$3=IF('Bonding Program'!$P$32&lt;&gt;"",'Bonding Program'!$P$32,'Bonding Program'!$C$8)),'Bonding Program'!$Z$32,0)+IF(AND('Bonding Program'!$P$32&lt;&gt;"",BC$3='Bonding Program'!$P$32,BC$3&lt;='Bonding Program'!$C$8),N('Bonding Program'!$O$32),0)</f>
        <v>0</v>
      </c>
      <c r="BD173" s="19" t="n">
        <f aca="false">IF(AND('Bonding Program'!$S$32=1,'Bonding Program'!$H$32&gt;'Bonding Program'!$C$8,BD$3='Bonding Program'!$H$32),'Bonding Program'!$T$32-'Bonding Program'!$U$32-'Bonding Program'!$Z$32,0)-IF(AND('Bonding Program'!$S$32=1,'Bonding Program'!$H$32&lt;='Bonding Program'!$C$8,BD$3=IF('Bonding Program'!$P$32&lt;&gt;"",'Bonding Program'!$P$32,'Bonding Program'!$C$8)),'Bonding Program'!$Z$32,0)+IF(AND('Bonding Program'!$P$32&lt;&gt;"",BD$3='Bonding Program'!$P$32,BD$3&lt;='Bonding Program'!$C$8),N('Bonding Program'!$O$32),0)</f>
        <v>0</v>
      </c>
      <c r="BE173" s="19" t="n">
        <f aca="false">IF(AND('Bonding Program'!$S$32=1,'Bonding Program'!$H$32&gt;'Bonding Program'!$C$8,BE$3='Bonding Program'!$H$32),'Bonding Program'!$T$32-'Bonding Program'!$U$32-'Bonding Program'!$Z$32,0)-IF(AND('Bonding Program'!$S$32=1,'Bonding Program'!$H$32&lt;='Bonding Program'!$C$8,BE$3=IF('Bonding Program'!$P$32&lt;&gt;"",'Bonding Program'!$P$32,'Bonding Program'!$C$8)),'Bonding Program'!$Z$32,0)+IF(AND('Bonding Program'!$P$32&lt;&gt;"",BE$3='Bonding Program'!$P$32,BE$3&lt;='Bonding Program'!$C$8),N('Bonding Program'!$O$32),0)</f>
        <v>0</v>
      </c>
      <c r="BF173" s="19" t="n">
        <f aca="false">IF(AND('Bonding Program'!$S$32=1,'Bonding Program'!$H$32&gt;'Bonding Program'!$C$8,BF$3='Bonding Program'!$H$32),'Bonding Program'!$T$32-'Bonding Program'!$U$32-'Bonding Program'!$Z$32,0)-IF(AND('Bonding Program'!$S$32=1,'Bonding Program'!$H$32&lt;='Bonding Program'!$C$8,BF$3=IF('Bonding Program'!$P$32&lt;&gt;"",'Bonding Program'!$P$32,'Bonding Program'!$C$8)),'Bonding Program'!$Z$32,0)+IF(AND('Bonding Program'!$P$32&lt;&gt;"",BF$3='Bonding Program'!$P$32,BF$3&lt;='Bonding Program'!$C$8),N('Bonding Program'!$O$32),0)</f>
        <v>0</v>
      </c>
      <c r="BG173" s="19" t="n">
        <f aca="false">IF(AND('Bonding Program'!$S$32=1,'Bonding Program'!$H$32&gt;'Bonding Program'!$C$8,BG$3='Bonding Program'!$H$32),'Bonding Program'!$T$32-'Bonding Program'!$U$32-'Bonding Program'!$Z$32,0)-IF(AND('Bonding Program'!$S$32=1,'Bonding Program'!$H$32&lt;='Bonding Program'!$C$8,BG$3=IF('Bonding Program'!$P$32&lt;&gt;"",'Bonding Program'!$P$32,'Bonding Program'!$C$8)),'Bonding Program'!$Z$32,0)+IF(AND('Bonding Program'!$P$32&lt;&gt;"",BG$3='Bonding Program'!$P$32,BG$3&lt;='Bonding Program'!$C$8),N('Bonding Program'!$O$32),0)</f>
        <v>0</v>
      </c>
      <c r="BH173" s="19" t="n">
        <f aca="false">IF(AND('Bonding Program'!$S$32=1,'Bonding Program'!$H$32&gt;'Bonding Program'!$C$8,BH$3='Bonding Program'!$H$32),'Bonding Program'!$T$32-'Bonding Program'!$U$32-'Bonding Program'!$Z$32,0)-IF(AND('Bonding Program'!$S$32=1,'Bonding Program'!$H$32&lt;='Bonding Program'!$C$8,BH$3=IF('Bonding Program'!$P$32&lt;&gt;"",'Bonding Program'!$P$32,'Bonding Program'!$C$8)),'Bonding Program'!$Z$32,0)+IF(AND('Bonding Program'!$P$32&lt;&gt;"",BH$3='Bonding Program'!$P$32,BH$3&lt;='Bonding Program'!$C$8),N('Bonding Program'!$O$32),0)</f>
        <v>0</v>
      </c>
      <c r="BI173" s="19" t="n">
        <f aca="false">IF(AND('Bonding Program'!$S$32=1,'Bonding Program'!$H$32&gt;'Bonding Program'!$C$8,BI$3='Bonding Program'!$H$32),'Bonding Program'!$T$32-'Bonding Program'!$U$32-'Bonding Program'!$Z$32,0)-IF(AND('Bonding Program'!$S$32=1,'Bonding Program'!$H$32&lt;='Bonding Program'!$C$8,BI$3=IF('Bonding Program'!$P$32&lt;&gt;"",'Bonding Program'!$P$32,'Bonding Program'!$C$8)),'Bonding Program'!$Z$32,0)+IF(AND('Bonding Program'!$P$32&lt;&gt;"",BI$3='Bonding Program'!$P$32,BI$3&lt;='Bonding Program'!$C$8),N('Bonding Program'!$O$32),0)</f>
        <v>0</v>
      </c>
      <c r="BJ173" s="19" t="n">
        <f aca="false">IF(AND('Bonding Program'!$S$32=1,'Bonding Program'!$H$32&gt;'Bonding Program'!$C$8,BJ$3='Bonding Program'!$H$32),'Bonding Program'!$T$32-'Bonding Program'!$U$32-'Bonding Program'!$Z$32,0)-IF(AND('Bonding Program'!$S$32=1,'Bonding Program'!$H$32&lt;='Bonding Program'!$C$8,BJ$3=IF('Bonding Program'!$P$32&lt;&gt;"",'Bonding Program'!$P$32,'Bonding Program'!$C$8)),'Bonding Program'!$Z$32,0)+IF(AND('Bonding Program'!$P$32&lt;&gt;"",BJ$3='Bonding Program'!$P$32,BJ$3&lt;='Bonding Program'!$C$8),N('Bonding Program'!$O$32),0)</f>
        <v>0</v>
      </c>
      <c r="BK173" s="19" t="n">
        <f aca="false">IF(AND('Bonding Program'!$S$32=1,'Bonding Program'!$H$32&gt;'Bonding Program'!$C$8,BK$3='Bonding Program'!$H$32),'Bonding Program'!$T$32-'Bonding Program'!$U$32-'Bonding Program'!$Z$32,0)-IF(AND('Bonding Program'!$S$32=1,'Bonding Program'!$H$32&lt;='Bonding Program'!$C$8,BK$3=IF('Bonding Program'!$P$32&lt;&gt;"",'Bonding Program'!$P$32,'Bonding Program'!$C$8)),'Bonding Program'!$Z$32,0)+IF(AND('Bonding Program'!$P$32&lt;&gt;"",BK$3='Bonding Program'!$P$32,BK$3&lt;='Bonding Program'!$C$8),N('Bonding Program'!$O$32),0)</f>
        <v>0</v>
      </c>
      <c r="BL173" s="19" t="n">
        <f aca="false">IF(AND('Bonding Program'!$S$32=1,'Bonding Program'!$H$32&gt;'Bonding Program'!$C$8,BL$3='Bonding Program'!$H$32),'Bonding Program'!$T$32-'Bonding Program'!$U$32-'Bonding Program'!$Z$32,0)-IF(AND('Bonding Program'!$S$32=1,'Bonding Program'!$H$32&lt;='Bonding Program'!$C$8,BL$3=IF('Bonding Program'!$P$32&lt;&gt;"",'Bonding Program'!$P$32,'Bonding Program'!$C$8)),'Bonding Program'!$Z$32,0)+IF(AND('Bonding Program'!$P$32&lt;&gt;"",BL$3='Bonding Program'!$P$32,BL$3&lt;='Bonding Program'!$C$8),N('Bonding Program'!$O$32),0)</f>
        <v>0</v>
      </c>
      <c r="BM173" s="19" t="n">
        <f aca="false">IF(AND('Bonding Program'!$S$32=1,'Bonding Program'!$H$32&gt;'Bonding Program'!$C$8,BM$3='Bonding Program'!$H$32),'Bonding Program'!$T$32-'Bonding Program'!$U$32-'Bonding Program'!$Z$32,0)-IF(AND('Bonding Program'!$S$32=1,'Bonding Program'!$H$32&lt;='Bonding Program'!$C$8,BM$3=IF('Bonding Program'!$P$32&lt;&gt;"",'Bonding Program'!$P$32,'Bonding Program'!$C$8)),'Bonding Program'!$Z$32,0)+IF(AND('Bonding Program'!$P$32&lt;&gt;"",BM$3='Bonding Program'!$P$32,BM$3&lt;='Bonding Program'!$C$8),N('Bonding Program'!$O$32),0)</f>
        <v>0</v>
      </c>
      <c r="BN173" s="19" t="n">
        <f aca="false">IF(AND('Bonding Program'!$S$32=1,'Bonding Program'!$H$32&gt;'Bonding Program'!$C$8,BN$3='Bonding Program'!$H$32),'Bonding Program'!$T$32-'Bonding Program'!$U$32-'Bonding Program'!$Z$32,0)-IF(AND('Bonding Program'!$S$32=1,'Bonding Program'!$H$32&lt;='Bonding Program'!$C$8,BN$3=IF('Bonding Program'!$P$32&lt;&gt;"",'Bonding Program'!$P$32,'Bonding Program'!$C$8)),'Bonding Program'!$Z$32,0)+IF(AND('Bonding Program'!$P$32&lt;&gt;"",BN$3='Bonding Program'!$P$32,BN$3&lt;='Bonding Program'!$C$8),N('Bonding Program'!$O$32),0)</f>
        <v>0</v>
      </c>
      <c r="BO173" s="19" t="n">
        <f aca="false">IF(AND('Bonding Program'!$S$32=1,'Bonding Program'!$H$32&gt;'Bonding Program'!$C$8,BO$3='Bonding Program'!$H$32),'Bonding Program'!$T$32-'Bonding Program'!$U$32-'Bonding Program'!$Z$32,0)-IF(AND('Bonding Program'!$S$32=1,'Bonding Program'!$H$32&lt;='Bonding Program'!$C$8,BO$3=IF('Bonding Program'!$P$32&lt;&gt;"",'Bonding Program'!$P$32,'Bonding Program'!$C$8)),'Bonding Program'!$Z$32,0)+IF(AND('Bonding Program'!$P$32&lt;&gt;"",BO$3='Bonding Program'!$P$32,BO$3&lt;='Bonding Program'!$C$8),N('Bonding Program'!$O$32),0)</f>
        <v>0</v>
      </c>
      <c r="BP173" s="19" t="n">
        <f aca="false">IF(AND('Bonding Program'!$S$32=1,'Bonding Program'!$H$32&gt;'Bonding Program'!$C$8,BP$3='Bonding Program'!$H$32),'Bonding Program'!$T$32-'Bonding Program'!$U$32-'Bonding Program'!$Z$32,0)-IF(AND('Bonding Program'!$S$32=1,'Bonding Program'!$H$32&lt;='Bonding Program'!$C$8,BP$3=IF('Bonding Program'!$P$32&lt;&gt;"",'Bonding Program'!$P$32,'Bonding Program'!$C$8)),'Bonding Program'!$Z$32,0)+IF(AND('Bonding Program'!$P$32&lt;&gt;"",BP$3='Bonding Program'!$P$32,BP$3&lt;='Bonding Program'!$C$8),N('Bonding Program'!$O$32),0)</f>
        <v>0</v>
      </c>
      <c r="BQ173" s="19" t="n">
        <f aca="false">IF(AND('Bonding Program'!$S$32=1,'Bonding Program'!$H$32&gt;'Bonding Program'!$C$8,BQ$3='Bonding Program'!$H$32),'Bonding Program'!$T$32-'Bonding Program'!$U$32-'Bonding Program'!$Z$32,0)-IF(AND('Bonding Program'!$S$32=1,'Bonding Program'!$H$32&lt;='Bonding Program'!$C$8,BQ$3=IF('Bonding Program'!$P$32&lt;&gt;"",'Bonding Program'!$P$32,'Bonding Program'!$C$8)),'Bonding Program'!$Z$32,0)+IF(AND('Bonding Program'!$P$32&lt;&gt;"",BQ$3='Bonding Program'!$P$32,BQ$3&lt;='Bonding Program'!$C$8),N('Bonding Program'!$O$32),0)</f>
        <v>0</v>
      </c>
      <c r="BR173" s="19" t="n">
        <f aca="false">IF(AND('Bonding Program'!$S$32=1,'Bonding Program'!$H$32&gt;'Bonding Program'!$C$8,BR$3='Bonding Program'!$H$32),'Bonding Program'!$T$32-'Bonding Program'!$U$32-'Bonding Program'!$Z$32,0)-IF(AND('Bonding Program'!$S$32=1,'Bonding Program'!$H$32&lt;='Bonding Program'!$C$8,BR$3=IF('Bonding Program'!$P$32&lt;&gt;"",'Bonding Program'!$P$32,'Bonding Program'!$C$8)),'Bonding Program'!$Z$32,0)+IF(AND('Bonding Program'!$P$32&lt;&gt;"",BR$3='Bonding Program'!$P$32,BR$3&lt;='Bonding Program'!$C$8),N('Bonding Program'!$O$32),0)</f>
        <v>0</v>
      </c>
      <c r="BS173" s="19" t="n">
        <f aca="false">IF(AND('Bonding Program'!$S$32=1,'Bonding Program'!$H$32&gt;'Bonding Program'!$C$8,BS$3='Bonding Program'!$H$32),'Bonding Program'!$T$32-'Bonding Program'!$U$32-'Bonding Program'!$Z$32,0)-IF(AND('Bonding Program'!$S$32=1,'Bonding Program'!$H$32&lt;='Bonding Program'!$C$8,BS$3=IF('Bonding Program'!$P$32&lt;&gt;"",'Bonding Program'!$P$32,'Bonding Program'!$C$8)),'Bonding Program'!$Z$32,0)+IF(AND('Bonding Program'!$P$32&lt;&gt;"",BS$3='Bonding Program'!$P$32,BS$3&lt;='Bonding Program'!$C$8),N('Bonding Program'!$O$32),0)</f>
        <v>0</v>
      </c>
      <c r="BT173" s="19" t="n">
        <f aca="false">IF(AND('Bonding Program'!$S$32=1,'Bonding Program'!$H$32&gt;'Bonding Program'!$C$8,BT$3='Bonding Program'!$H$32),'Bonding Program'!$T$32-'Bonding Program'!$U$32-'Bonding Program'!$Z$32,0)-IF(AND('Bonding Program'!$S$32=1,'Bonding Program'!$H$32&lt;='Bonding Program'!$C$8,BT$3=IF('Bonding Program'!$P$32&lt;&gt;"",'Bonding Program'!$P$32,'Bonding Program'!$C$8)),'Bonding Program'!$Z$32,0)+IF(AND('Bonding Program'!$P$32&lt;&gt;"",BT$3='Bonding Program'!$P$32,BT$3&lt;='Bonding Program'!$C$8),N('Bonding Program'!$O$32),0)</f>
        <v>0</v>
      </c>
      <c r="BU173" s="19" t="n">
        <f aca="false">IF(AND('Bonding Program'!$S$32=1,'Bonding Program'!$H$32&gt;'Bonding Program'!$C$8,BU$3='Bonding Program'!$H$32),'Bonding Program'!$T$32-'Bonding Program'!$U$32-'Bonding Program'!$Z$32,0)-IF(AND('Bonding Program'!$S$32=1,'Bonding Program'!$H$32&lt;='Bonding Program'!$C$8,BU$3=IF('Bonding Program'!$P$32&lt;&gt;"",'Bonding Program'!$P$32,'Bonding Program'!$C$8)),'Bonding Program'!$Z$32,0)+IF(AND('Bonding Program'!$P$32&lt;&gt;"",BU$3='Bonding Program'!$P$32,BU$3&lt;='Bonding Program'!$C$8),N('Bonding Program'!$O$32),0)</f>
        <v>0</v>
      </c>
      <c r="BV173" s="19" t="n">
        <f aca="false">IF(AND('Bonding Program'!$S$32=1,'Bonding Program'!$H$32&gt;'Bonding Program'!$C$8,BV$3='Bonding Program'!$H$32),'Bonding Program'!$T$32-'Bonding Program'!$U$32-'Bonding Program'!$Z$32,0)-IF(AND('Bonding Program'!$S$32=1,'Bonding Program'!$H$32&lt;='Bonding Program'!$C$8,BV$3=IF('Bonding Program'!$P$32&lt;&gt;"",'Bonding Program'!$P$32,'Bonding Program'!$C$8)),'Bonding Program'!$Z$32,0)+IF(AND('Bonding Program'!$P$32&lt;&gt;"",BV$3='Bonding Program'!$P$32,BV$3&lt;='Bonding Program'!$C$8),N('Bonding Program'!$O$32),0)</f>
        <v>0</v>
      </c>
      <c r="BW173" s="19" t="n">
        <f aca="false">IF(AND('Bonding Program'!$S$32=1,'Bonding Program'!$H$32&gt;'Bonding Program'!$C$8,BW$3='Bonding Program'!$H$32),'Bonding Program'!$T$32-'Bonding Program'!$U$32-'Bonding Program'!$Z$32,0)-IF(AND('Bonding Program'!$S$32=1,'Bonding Program'!$H$32&lt;='Bonding Program'!$C$8,BW$3=IF('Bonding Program'!$P$32&lt;&gt;"",'Bonding Program'!$P$32,'Bonding Program'!$C$8)),'Bonding Program'!$Z$32,0)+IF(AND('Bonding Program'!$P$32&lt;&gt;"",BW$3='Bonding Program'!$P$32,BW$3&lt;='Bonding Program'!$C$8),N('Bonding Program'!$O$32),0)</f>
        <v>0</v>
      </c>
      <c r="BX173" s="19" t="n">
        <f aca="false">IF(AND('Bonding Program'!$S$32=1,'Bonding Program'!$H$32&gt;'Bonding Program'!$C$8,BX$3='Bonding Program'!$H$32),'Bonding Program'!$T$32-'Bonding Program'!$U$32-'Bonding Program'!$Z$32,0)-IF(AND('Bonding Program'!$S$32=1,'Bonding Program'!$H$32&lt;='Bonding Program'!$C$8,BX$3=IF('Bonding Program'!$P$32&lt;&gt;"",'Bonding Program'!$P$32,'Bonding Program'!$C$8)),'Bonding Program'!$Z$32,0)+IF(AND('Bonding Program'!$P$32&lt;&gt;"",BX$3='Bonding Program'!$P$32,BX$3&lt;='Bonding Program'!$C$8),N('Bonding Program'!$O$32),0)</f>
        <v>0</v>
      </c>
      <c r="BY173" s="19" t="n">
        <f aca="false">IF(AND('Bonding Program'!$S$32=1,'Bonding Program'!$H$32&gt;'Bonding Program'!$C$8,BY$3='Bonding Program'!$H$32),'Bonding Program'!$T$32-'Bonding Program'!$U$32-'Bonding Program'!$Z$32,0)-IF(AND('Bonding Program'!$S$32=1,'Bonding Program'!$H$32&lt;='Bonding Program'!$C$8,BY$3=IF('Bonding Program'!$P$32&lt;&gt;"",'Bonding Program'!$P$32,'Bonding Program'!$C$8)),'Bonding Program'!$Z$32,0)+IF(AND('Bonding Program'!$P$32&lt;&gt;"",BY$3='Bonding Program'!$P$32,BY$3&lt;='Bonding Program'!$C$8),N('Bonding Program'!$O$32),0)</f>
        <v>0</v>
      </c>
      <c r="BZ173" s="19" t="n">
        <f aca="false">IF(AND('Bonding Program'!$S$32=1,'Bonding Program'!$H$32&gt;'Bonding Program'!$C$8,BZ$3='Bonding Program'!$H$32),'Bonding Program'!$T$32-'Bonding Program'!$U$32-'Bonding Program'!$Z$32,0)-IF(AND('Bonding Program'!$S$32=1,'Bonding Program'!$H$32&lt;='Bonding Program'!$C$8,BZ$3=IF('Bonding Program'!$P$32&lt;&gt;"",'Bonding Program'!$P$32,'Bonding Program'!$C$8)),'Bonding Program'!$Z$32,0)+IF(AND('Bonding Program'!$P$32&lt;&gt;"",BZ$3='Bonding Program'!$P$32,BZ$3&lt;='Bonding Program'!$C$8),N('Bonding Program'!$O$32),0)</f>
        <v>0</v>
      </c>
      <c r="CA173" s="19" t="n">
        <f aca="false">IF(AND('Bonding Program'!$S$32=1,'Bonding Program'!$H$32&gt;'Bonding Program'!$C$8,CA$3='Bonding Program'!$H$32),'Bonding Program'!$T$32-'Bonding Program'!$U$32-'Bonding Program'!$Z$32,0)-IF(AND('Bonding Program'!$S$32=1,'Bonding Program'!$H$32&lt;='Bonding Program'!$C$8,CA$3=IF('Bonding Program'!$P$32&lt;&gt;"",'Bonding Program'!$P$32,'Bonding Program'!$C$8)),'Bonding Program'!$Z$32,0)+IF(AND('Bonding Program'!$P$32&lt;&gt;"",CA$3='Bonding Program'!$P$32,CA$3&lt;='Bonding Program'!$C$8),N('Bonding Program'!$O$32),0)</f>
        <v>0</v>
      </c>
      <c r="CB173" s="19" t="n">
        <f aca="false">IF(AND('Bonding Program'!$S$32=1,'Bonding Program'!$H$32&gt;'Bonding Program'!$C$8,CB$3='Bonding Program'!$H$32),'Bonding Program'!$T$32-'Bonding Program'!$U$32-'Bonding Program'!$Z$32,0)-IF(AND('Bonding Program'!$S$32=1,'Bonding Program'!$H$32&lt;='Bonding Program'!$C$8,CB$3=IF('Bonding Program'!$P$32&lt;&gt;"",'Bonding Program'!$P$32,'Bonding Program'!$C$8)),'Bonding Program'!$Z$32,0)+IF(AND('Bonding Program'!$P$32&lt;&gt;"",CB$3='Bonding Program'!$P$32,CB$3&lt;='Bonding Program'!$C$8),N('Bonding Program'!$O$32),0)</f>
        <v>0</v>
      </c>
      <c r="CC173" s="19" t="n">
        <f aca="false">IF(AND('Bonding Program'!$S$32=1,'Bonding Program'!$H$32&gt;'Bonding Program'!$C$8,CC$3='Bonding Program'!$H$32),'Bonding Program'!$T$32-'Bonding Program'!$U$32-'Bonding Program'!$Z$32,0)-IF(AND('Bonding Program'!$S$32=1,'Bonding Program'!$H$32&lt;='Bonding Program'!$C$8,CC$3=IF('Bonding Program'!$P$32&lt;&gt;"",'Bonding Program'!$P$32,'Bonding Program'!$C$8)),'Bonding Program'!$Z$32,0)+IF(AND('Bonding Program'!$P$32&lt;&gt;"",CC$3='Bonding Program'!$P$32,CC$3&lt;='Bonding Program'!$C$8),N('Bonding Program'!$O$32),0)</f>
        <v>0</v>
      </c>
      <c r="CD173" s="19" t="n">
        <f aca="false">IF(AND('Bonding Program'!$S$32=1,'Bonding Program'!$H$32&gt;'Bonding Program'!$C$8,CD$3='Bonding Program'!$H$32),'Bonding Program'!$T$32-'Bonding Program'!$U$32-'Bonding Program'!$Z$32,0)-IF(AND('Bonding Program'!$S$32=1,'Bonding Program'!$H$32&lt;='Bonding Program'!$C$8,CD$3=IF('Bonding Program'!$P$32&lt;&gt;"",'Bonding Program'!$P$32,'Bonding Program'!$C$8)),'Bonding Program'!$Z$32,0)+IF(AND('Bonding Program'!$P$32&lt;&gt;"",CD$3='Bonding Program'!$P$32,CD$3&lt;='Bonding Program'!$C$8),N('Bonding Program'!$O$32),0)</f>
        <v>0</v>
      </c>
      <c r="CE173" s="19" t="n">
        <f aca="false">IF(AND('Bonding Program'!$S$32=1,'Bonding Program'!$H$32&gt;'Bonding Program'!$C$8,CE$3='Bonding Program'!$H$32),'Bonding Program'!$T$32-'Bonding Program'!$U$32-'Bonding Program'!$Z$32,0)-IF(AND('Bonding Program'!$S$32=1,'Bonding Program'!$H$32&lt;='Bonding Program'!$C$8,CE$3=IF('Bonding Program'!$P$32&lt;&gt;"",'Bonding Program'!$P$32,'Bonding Program'!$C$8)),'Bonding Program'!$Z$32,0)+IF(AND('Bonding Program'!$P$32&lt;&gt;"",CE$3='Bonding Program'!$P$32,CE$3&lt;='Bonding Program'!$C$8),N('Bonding Program'!$O$32),0)</f>
        <v>0</v>
      </c>
      <c r="CF173" s="19" t="n">
        <f aca="false">IF(AND('Bonding Program'!$S$32=1,'Bonding Program'!$H$32&gt;'Bonding Program'!$C$8,CF$3='Bonding Program'!$H$32),'Bonding Program'!$T$32-'Bonding Program'!$U$32-'Bonding Program'!$Z$32,0)-IF(AND('Bonding Program'!$S$32=1,'Bonding Program'!$H$32&lt;='Bonding Program'!$C$8,CF$3=IF('Bonding Program'!$P$32&lt;&gt;"",'Bonding Program'!$P$32,'Bonding Program'!$C$8)),'Bonding Program'!$Z$32,0)+IF(AND('Bonding Program'!$P$32&lt;&gt;"",CF$3='Bonding Program'!$P$32,CF$3&lt;='Bonding Program'!$C$8),N('Bonding Program'!$O$32),0)</f>
        <v>0</v>
      </c>
      <c r="CG173" s="19" t="n">
        <f aca="false">IF(AND('Bonding Program'!$S$32=1,'Bonding Program'!$H$32&gt;'Bonding Program'!$C$8,CG$3='Bonding Program'!$H$32),'Bonding Program'!$T$32-'Bonding Program'!$U$32-'Bonding Program'!$Z$32,0)-IF(AND('Bonding Program'!$S$32=1,'Bonding Program'!$H$32&lt;='Bonding Program'!$C$8,CG$3=IF('Bonding Program'!$P$32&lt;&gt;"",'Bonding Program'!$P$32,'Bonding Program'!$C$8)),'Bonding Program'!$Z$32,0)+IF(AND('Bonding Program'!$P$32&lt;&gt;"",CG$3='Bonding Program'!$P$32,CG$3&lt;='Bonding Program'!$C$8),N('Bonding Program'!$O$32),0)</f>
        <v>0</v>
      </c>
      <c r="CH173" s="19" t="n">
        <f aca="false">IF(AND('Bonding Program'!$S$32=1,'Bonding Program'!$H$32&gt;'Bonding Program'!$C$8,CH$3='Bonding Program'!$H$32),'Bonding Program'!$T$32-'Bonding Program'!$U$32-'Bonding Program'!$Z$32,0)-IF(AND('Bonding Program'!$S$32=1,'Bonding Program'!$H$32&lt;='Bonding Program'!$C$8,CH$3=IF('Bonding Program'!$P$32&lt;&gt;"",'Bonding Program'!$P$32,'Bonding Program'!$C$8)),'Bonding Program'!$Z$32,0)+IF(AND('Bonding Program'!$P$32&lt;&gt;"",CH$3='Bonding Program'!$P$32,CH$3&lt;='Bonding Program'!$C$8),N('Bonding Program'!$O$32),0)</f>
        <v>0</v>
      </c>
      <c r="CI173" s="19" t="n">
        <f aca="false">IF(AND('Bonding Program'!$S$32=1,'Bonding Program'!$H$32&gt;'Bonding Program'!$C$8,CI$3='Bonding Program'!$H$32),'Bonding Program'!$T$32-'Bonding Program'!$U$32-'Bonding Program'!$Z$32,0)-IF(AND('Bonding Program'!$S$32=1,'Bonding Program'!$H$32&lt;='Bonding Program'!$C$8,CI$3=IF('Bonding Program'!$P$32&lt;&gt;"",'Bonding Program'!$P$32,'Bonding Program'!$C$8)),'Bonding Program'!$Z$32,0)+IF(AND('Bonding Program'!$P$32&lt;&gt;"",CI$3='Bonding Program'!$P$32,CI$3&lt;='Bonding Program'!$C$8),N('Bonding Program'!$O$32),0)</f>
        <v>0</v>
      </c>
      <c r="CJ173" s="19" t="n">
        <f aca="false">IF(AND('Bonding Program'!$S$32=1,'Bonding Program'!$H$32&gt;'Bonding Program'!$C$8,CJ$3='Bonding Program'!$H$32),'Bonding Program'!$T$32-'Bonding Program'!$U$32-'Bonding Program'!$Z$32,0)-IF(AND('Bonding Program'!$S$32=1,'Bonding Program'!$H$32&lt;='Bonding Program'!$C$8,CJ$3=IF('Bonding Program'!$P$32&lt;&gt;"",'Bonding Program'!$P$32,'Bonding Program'!$C$8)),'Bonding Program'!$Z$32,0)+IF(AND('Bonding Program'!$P$32&lt;&gt;"",CJ$3='Bonding Program'!$P$32,CJ$3&lt;='Bonding Program'!$C$8),N('Bonding Program'!$O$32),0)</f>
        <v>0</v>
      </c>
      <c r="CK173" s="19" t="n">
        <f aca="false">IF(AND('Bonding Program'!$S$32=1,'Bonding Program'!$H$32&gt;'Bonding Program'!$C$8,CK$3='Bonding Program'!$H$32),'Bonding Program'!$T$32-'Bonding Program'!$U$32-'Bonding Program'!$Z$32,0)-IF(AND('Bonding Program'!$S$32=1,'Bonding Program'!$H$32&lt;='Bonding Program'!$C$8,CK$3=IF('Bonding Program'!$P$32&lt;&gt;"",'Bonding Program'!$P$32,'Bonding Program'!$C$8)),'Bonding Program'!$Z$32,0)+IF(AND('Bonding Program'!$P$32&lt;&gt;"",CK$3='Bonding Program'!$P$32,CK$3&lt;='Bonding Program'!$C$8),N('Bonding Program'!$O$32),0)</f>
        <v>0</v>
      </c>
      <c r="CL173" s="19" t="n">
        <f aca="false">IF(AND('Bonding Program'!$S$32=1,'Bonding Program'!$H$32&gt;'Bonding Program'!$C$8,CL$3='Bonding Program'!$H$32),'Bonding Program'!$T$32-'Bonding Program'!$U$32-'Bonding Program'!$Z$32,0)-IF(AND('Bonding Program'!$S$32=1,'Bonding Program'!$H$32&lt;='Bonding Program'!$C$8,CL$3=IF('Bonding Program'!$P$32&lt;&gt;"",'Bonding Program'!$P$32,'Bonding Program'!$C$8)),'Bonding Program'!$Z$32,0)+IF(AND('Bonding Program'!$P$32&lt;&gt;"",CL$3='Bonding Program'!$P$32,CL$3&lt;='Bonding Program'!$C$8),N('Bonding Program'!$O$32),0)</f>
        <v>0</v>
      </c>
      <c r="CM173" s="19" t="n">
        <f aca="false">IF(AND('Bonding Program'!$S$32=1,'Bonding Program'!$H$32&gt;'Bonding Program'!$C$8,CM$3='Bonding Program'!$H$32),'Bonding Program'!$T$32-'Bonding Program'!$U$32-'Bonding Program'!$Z$32,0)-IF(AND('Bonding Program'!$S$32=1,'Bonding Program'!$H$32&lt;='Bonding Program'!$C$8,CM$3=IF('Bonding Program'!$P$32&lt;&gt;"",'Bonding Program'!$P$32,'Bonding Program'!$C$8)),'Bonding Program'!$Z$32,0)+IF(AND('Bonding Program'!$P$32&lt;&gt;"",CM$3='Bonding Program'!$P$32,CM$3&lt;='Bonding Program'!$C$8),N('Bonding Program'!$O$32),0)</f>
        <v>0</v>
      </c>
      <c r="CN173" s="19" t="n">
        <f aca="false">IF(AND('Bonding Program'!$S$32=1,'Bonding Program'!$H$32&gt;'Bonding Program'!$C$8,CN$3='Bonding Program'!$H$32),'Bonding Program'!$T$32-'Bonding Program'!$U$32-'Bonding Program'!$Z$32,0)-IF(AND('Bonding Program'!$S$32=1,'Bonding Program'!$H$32&lt;='Bonding Program'!$C$8,CN$3=IF('Bonding Program'!$P$32&lt;&gt;"",'Bonding Program'!$P$32,'Bonding Program'!$C$8)),'Bonding Program'!$Z$32,0)+IF(AND('Bonding Program'!$P$32&lt;&gt;"",CN$3='Bonding Program'!$P$32,CN$3&lt;='Bonding Program'!$C$8),N('Bonding Program'!$O$32),0)</f>
        <v>0</v>
      </c>
      <c r="CO173" s="19" t="n">
        <f aca="false">IF(AND('Bonding Program'!$S$32=1,'Bonding Program'!$H$32&gt;'Bonding Program'!$C$8,CO$3='Bonding Program'!$H$32),'Bonding Program'!$T$32-'Bonding Program'!$U$32-'Bonding Program'!$Z$32,0)-IF(AND('Bonding Program'!$S$32=1,'Bonding Program'!$H$32&lt;='Bonding Program'!$C$8,CO$3=IF('Bonding Program'!$P$32&lt;&gt;"",'Bonding Program'!$P$32,'Bonding Program'!$C$8)),'Bonding Program'!$Z$32,0)+IF(AND('Bonding Program'!$P$32&lt;&gt;"",CO$3='Bonding Program'!$P$32,CO$3&lt;='Bonding Program'!$C$8),N('Bonding Program'!$O$32),0)</f>
        <v>0</v>
      </c>
      <c r="CP173" s="19" t="n">
        <f aca="false">IF(AND('Bonding Program'!$S$32=1,'Bonding Program'!$H$32&gt;'Bonding Program'!$C$8,CP$3='Bonding Program'!$H$32),'Bonding Program'!$T$32-'Bonding Program'!$U$32-'Bonding Program'!$Z$32,0)-IF(AND('Bonding Program'!$S$32=1,'Bonding Program'!$H$32&lt;='Bonding Program'!$C$8,CP$3=IF('Bonding Program'!$P$32&lt;&gt;"",'Bonding Program'!$P$32,'Bonding Program'!$C$8)),'Bonding Program'!$Z$32,0)+IF(AND('Bonding Program'!$P$32&lt;&gt;"",CP$3='Bonding Program'!$P$32,CP$3&lt;='Bonding Program'!$C$8),N('Bonding Program'!$O$32),0)</f>
        <v>0</v>
      </c>
      <c r="CQ173" s="19" t="n">
        <f aca="false">IF(AND('Bonding Program'!$S$32=1,'Bonding Program'!$H$32&gt;'Bonding Program'!$C$8,CQ$3='Bonding Program'!$H$32),'Bonding Program'!$T$32-'Bonding Program'!$U$32-'Bonding Program'!$Z$32,0)-IF(AND('Bonding Program'!$S$32=1,'Bonding Program'!$H$32&lt;='Bonding Program'!$C$8,CQ$3=IF('Bonding Program'!$P$32&lt;&gt;"",'Bonding Program'!$P$32,'Bonding Program'!$C$8)),'Bonding Program'!$Z$32,0)+IF(AND('Bonding Program'!$P$32&lt;&gt;"",CQ$3='Bonding Program'!$P$32,CQ$3&lt;='Bonding Program'!$C$8),N('Bonding Program'!$O$32),0)</f>
        <v>0</v>
      </c>
      <c r="CR173" s="19" t="n">
        <f aca="false">IF(AND('Bonding Program'!$S$32=1,'Bonding Program'!$H$32&gt;'Bonding Program'!$C$8,CR$3='Bonding Program'!$H$32),'Bonding Program'!$T$32-'Bonding Program'!$U$32-'Bonding Program'!$Z$32,0)-IF(AND('Bonding Program'!$S$32=1,'Bonding Program'!$H$32&lt;='Bonding Program'!$C$8,CR$3=IF('Bonding Program'!$P$32&lt;&gt;"",'Bonding Program'!$P$32,'Bonding Program'!$C$8)),'Bonding Program'!$Z$32,0)+IF(AND('Bonding Program'!$P$32&lt;&gt;"",CR$3='Bonding Program'!$P$32,CR$3&lt;='Bonding Program'!$C$8),N('Bonding Program'!$O$32),0)</f>
        <v>0</v>
      </c>
      <c r="CS173" s="19" t="n">
        <f aca="false">IF(AND('Bonding Program'!$S$32=1,'Bonding Program'!$H$32&gt;'Bonding Program'!$C$8,CS$3='Bonding Program'!$H$32),'Bonding Program'!$T$32-'Bonding Program'!$U$32-'Bonding Program'!$Z$32,0)-IF(AND('Bonding Program'!$S$32=1,'Bonding Program'!$H$32&lt;='Bonding Program'!$C$8,CS$3=IF('Bonding Program'!$P$32&lt;&gt;"",'Bonding Program'!$P$32,'Bonding Program'!$C$8)),'Bonding Program'!$Z$32,0)+IF(AND('Bonding Program'!$P$32&lt;&gt;"",CS$3='Bonding Program'!$P$32,CS$3&lt;='Bonding Program'!$C$8),N('Bonding Program'!$O$32),0)</f>
        <v>0</v>
      </c>
      <c r="CT173" s="19" t="n">
        <f aca="false">IF(AND('Bonding Program'!$S$32=1,'Bonding Program'!$H$32&gt;'Bonding Program'!$C$8,CT$3='Bonding Program'!$H$32),'Bonding Program'!$T$32-'Bonding Program'!$U$32-'Bonding Program'!$Z$32,0)-IF(AND('Bonding Program'!$S$32=1,'Bonding Program'!$H$32&lt;='Bonding Program'!$C$8,CT$3=IF('Bonding Program'!$P$32&lt;&gt;"",'Bonding Program'!$P$32,'Bonding Program'!$C$8)),'Bonding Program'!$Z$32,0)+IF(AND('Bonding Program'!$P$32&lt;&gt;"",CT$3='Bonding Program'!$P$32,CT$3&lt;='Bonding Program'!$C$8),N('Bonding Program'!$O$32),0)</f>
        <v>0</v>
      </c>
      <c r="CU173" s="19" t="n">
        <f aca="false">IF(AND('Bonding Program'!$S$32=1,'Bonding Program'!$H$32&gt;'Bonding Program'!$C$8,CU$3='Bonding Program'!$H$32),'Bonding Program'!$T$32-'Bonding Program'!$U$32-'Bonding Program'!$Z$32,0)-IF(AND('Bonding Program'!$S$32=1,'Bonding Program'!$H$32&lt;='Bonding Program'!$C$8,CU$3=IF('Bonding Program'!$P$32&lt;&gt;"",'Bonding Program'!$P$32,'Bonding Program'!$C$8)),'Bonding Program'!$Z$32,0)+IF(AND('Bonding Program'!$P$32&lt;&gt;"",CU$3='Bonding Program'!$P$32,CU$3&lt;='Bonding Program'!$C$8),N('Bonding Program'!$O$32),0)</f>
        <v>0</v>
      </c>
      <c r="CV173" s="19" t="n">
        <f aca="false">IF(AND('Bonding Program'!$S$32=1,'Bonding Program'!$H$32&gt;'Bonding Program'!$C$8,CV$3='Bonding Program'!$H$32),'Bonding Program'!$T$32-'Bonding Program'!$U$32-'Bonding Program'!$Z$32,0)-IF(AND('Bonding Program'!$S$32=1,'Bonding Program'!$H$32&lt;='Bonding Program'!$C$8,CV$3=IF('Bonding Program'!$P$32&lt;&gt;"",'Bonding Program'!$P$32,'Bonding Program'!$C$8)),'Bonding Program'!$Z$32,0)+IF(AND('Bonding Program'!$P$32&lt;&gt;"",CV$3='Bonding Program'!$P$32,CV$3&lt;='Bonding Program'!$C$8),N('Bonding Program'!$O$32),0)</f>
        <v>0</v>
      </c>
      <c r="CW173" s="19" t="n">
        <f aca="false">IF(AND('Bonding Program'!$S$32=1,'Bonding Program'!$H$32&gt;'Bonding Program'!$C$8,CW$3='Bonding Program'!$H$32),'Bonding Program'!$T$32-'Bonding Program'!$U$32-'Bonding Program'!$Z$32,0)-IF(AND('Bonding Program'!$S$32=1,'Bonding Program'!$H$32&lt;='Bonding Program'!$C$8,CW$3=IF('Bonding Program'!$P$32&lt;&gt;"",'Bonding Program'!$P$32,'Bonding Program'!$C$8)),'Bonding Program'!$Z$32,0)+IF(AND('Bonding Program'!$P$32&lt;&gt;"",CW$3='Bonding Program'!$P$32,CW$3&lt;='Bonding Program'!$C$8),N('Bonding Program'!$O$32),0)</f>
        <v>0</v>
      </c>
      <c r="CX173" s="19" t="n">
        <f aca="false">IF(AND('Bonding Program'!$S$32=1,'Bonding Program'!$H$32&gt;'Bonding Program'!$C$8,CX$3='Bonding Program'!$H$32),'Bonding Program'!$T$32-'Bonding Program'!$U$32-'Bonding Program'!$Z$32,0)-IF(AND('Bonding Program'!$S$32=1,'Bonding Program'!$H$32&lt;='Bonding Program'!$C$8,CX$3=IF('Bonding Program'!$P$32&lt;&gt;"",'Bonding Program'!$P$32,'Bonding Program'!$C$8)),'Bonding Program'!$Z$32,0)+IF(AND('Bonding Program'!$P$32&lt;&gt;"",CX$3='Bonding Program'!$P$32,CX$3&lt;='Bonding Program'!$C$8),N('Bonding Program'!$O$32),0)</f>
        <v>0</v>
      </c>
      <c r="CY173" s="19" t="n">
        <f aca="false">IF(AND('Bonding Program'!$S$32=1,'Bonding Program'!$H$32&gt;'Bonding Program'!$C$8,CY$3='Bonding Program'!$H$32),'Bonding Program'!$T$32-'Bonding Program'!$U$32-'Bonding Program'!$Z$32,0)-IF(AND('Bonding Program'!$S$32=1,'Bonding Program'!$H$32&lt;='Bonding Program'!$C$8,CY$3=IF('Bonding Program'!$P$32&lt;&gt;"",'Bonding Program'!$P$32,'Bonding Program'!$C$8)),'Bonding Program'!$Z$32,0)+IF(AND('Bonding Program'!$P$32&lt;&gt;"",CY$3='Bonding Program'!$P$32,CY$3&lt;='Bonding Program'!$C$8),N('Bonding Program'!$O$32),0)</f>
        <v>0</v>
      </c>
      <c r="CZ173" s="19" t="n">
        <f aca="false">IF(AND('Bonding Program'!$S$32=1,'Bonding Program'!$H$32&gt;'Bonding Program'!$C$8,CZ$3='Bonding Program'!$H$32),'Bonding Program'!$T$32-'Bonding Program'!$U$32-'Bonding Program'!$Z$32,0)-IF(AND('Bonding Program'!$S$32=1,'Bonding Program'!$H$32&lt;='Bonding Program'!$C$8,CZ$3=IF('Bonding Program'!$P$32&lt;&gt;"",'Bonding Program'!$P$32,'Bonding Program'!$C$8)),'Bonding Program'!$Z$32,0)+IF(AND('Bonding Program'!$P$32&lt;&gt;"",CZ$3='Bonding Program'!$P$32,CZ$3&lt;='Bonding Program'!$C$8),N('Bonding Program'!$O$32),0)</f>
        <v>0</v>
      </c>
      <c r="DA173" s="19" t="n">
        <f aca="false">IF(AND('Bonding Program'!$S$32=1,'Bonding Program'!$H$32&gt;'Bonding Program'!$C$8,DA$3='Bonding Program'!$H$32),'Bonding Program'!$T$32-'Bonding Program'!$U$32-'Bonding Program'!$Z$32,0)-IF(AND('Bonding Program'!$S$32=1,'Bonding Program'!$H$32&lt;='Bonding Program'!$C$8,DA$3=IF('Bonding Program'!$P$32&lt;&gt;"",'Bonding Program'!$P$32,'Bonding Program'!$C$8)),'Bonding Program'!$Z$32,0)+IF(AND('Bonding Program'!$P$32&lt;&gt;"",DA$3='Bonding Program'!$P$32,DA$3&lt;='Bonding Program'!$C$8),N('Bonding Program'!$O$32),0)</f>
        <v>0</v>
      </c>
      <c r="DB173" s="19" t="n">
        <f aca="false">IF(AND('Bonding Program'!$S$32=1,'Bonding Program'!$H$32&gt;'Bonding Program'!$C$8,DB$3='Bonding Program'!$H$32),'Bonding Program'!$T$32-'Bonding Program'!$U$32-'Bonding Program'!$Z$32,0)-IF(AND('Bonding Program'!$S$32=1,'Bonding Program'!$H$32&lt;='Bonding Program'!$C$8,DB$3=IF('Bonding Program'!$P$32&lt;&gt;"",'Bonding Program'!$P$32,'Bonding Program'!$C$8)),'Bonding Program'!$Z$32,0)+IF(AND('Bonding Program'!$P$32&lt;&gt;"",DB$3='Bonding Program'!$P$32,DB$3&lt;='Bonding Program'!$C$8),N('Bonding Program'!$O$32),0)</f>
        <v>0</v>
      </c>
      <c r="DC173" s="19" t="n">
        <f aca="false">IF(AND('Bonding Program'!$S$32=1,'Bonding Program'!$H$32&gt;'Bonding Program'!$C$8,DC$3='Bonding Program'!$H$32),'Bonding Program'!$T$32-'Bonding Program'!$U$32-'Bonding Program'!$Z$32,0)-IF(AND('Bonding Program'!$S$32=1,'Bonding Program'!$H$32&lt;='Bonding Program'!$C$8,DC$3=IF('Bonding Program'!$P$32&lt;&gt;"",'Bonding Program'!$P$32,'Bonding Program'!$C$8)),'Bonding Program'!$Z$32,0)+IF(AND('Bonding Program'!$P$32&lt;&gt;"",DC$3='Bonding Program'!$P$32,DC$3&lt;='Bonding Program'!$C$8),N('Bonding Program'!$O$32),0)</f>
        <v>0</v>
      </c>
      <c r="DD173" s="19" t="n">
        <f aca="false">IF(AND('Bonding Program'!$S$32=1,'Bonding Program'!$H$32&gt;'Bonding Program'!$C$8,DD$3='Bonding Program'!$H$32),'Bonding Program'!$T$32-'Bonding Program'!$U$32-'Bonding Program'!$Z$32,0)-IF(AND('Bonding Program'!$S$32=1,'Bonding Program'!$H$32&lt;='Bonding Program'!$C$8,DD$3=IF('Bonding Program'!$P$32&lt;&gt;"",'Bonding Program'!$P$32,'Bonding Program'!$C$8)),'Bonding Program'!$Z$32,0)+IF(AND('Bonding Program'!$P$32&lt;&gt;"",DD$3='Bonding Program'!$P$32,DD$3&lt;='Bonding Program'!$C$8),N('Bonding Program'!$O$32),0)</f>
        <v>0</v>
      </c>
      <c r="DE173" s="19" t="n">
        <f aca="false">IF(AND('Bonding Program'!$S$32=1,'Bonding Program'!$H$32&gt;'Bonding Program'!$C$8,DE$3='Bonding Program'!$H$32),'Bonding Program'!$T$32-'Bonding Program'!$U$32-'Bonding Program'!$Z$32,0)-IF(AND('Bonding Program'!$S$32=1,'Bonding Program'!$H$32&lt;='Bonding Program'!$C$8,DE$3=IF('Bonding Program'!$P$32&lt;&gt;"",'Bonding Program'!$P$32,'Bonding Program'!$C$8)),'Bonding Program'!$Z$32,0)+IF(AND('Bonding Program'!$P$32&lt;&gt;"",DE$3='Bonding Program'!$P$32,DE$3&lt;='Bonding Program'!$C$8),N('Bonding Program'!$O$32),0)</f>
        <v>0</v>
      </c>
    </row>
    <row r="174" customFormat="false" ht="15" hidden="false" customHeight="true" outlineLevel="1" collapsed="false">
      <c r="A174" s="28" t="s">
        <v>29</v>
      </c>
      <c r="B174" s="19" t="n">
        <f aca="false">IF(AND('Bonding Program'!$S$33=1,'Bonding Program'!$H$33&gt;'Bonding Program'!$C$8,B$3='Bonding Program'!$H$33),'Bonding Program'!$T$33-'Bonding Program'!$U$33-'Bonding Program'!$Z$33,0)-IF(AND('Bonding Program'!$S$33=1,'Bonding Program'!$H$33&lt;='Bonding Program'!$C$8,B$3=IF('Bonding Program'!$P$33&lt;&gt;"",'Bonding Program'!$P$33,'Bonding Program'!$C$8)),'Bonding Program'!$Z$33,0)+IF(AND('Bonding Program'!$P$33&lt;&gt;"",B$3='Bonding Program'!$P$33,B$3&lt;='Bonding Program'!$C$8),N('Bonding Program'!$O$33),0)</f>
        <v>0</v>
      </c>
      <c r="C174" s="19" t="n">
        <f aca="false">IF(AND('Bonding Program'!$S$33=1,'Bonding Program'!$H$33&gt;'Bonding Program'!$C$8,C$3='Bonding Program'!$H$33),'Bonding Program'!$T$33-'Bonding Program'!$U$33-'Bonding Program'!$Z$33,0)-IF(AND('Bonding Program'!$S$33=1,'Bonding Program'!$H$33&lt;='Bonding Program'!$C$8,C$3=IF('Bonding Program'!$P$33&lt;&gt;"",'Bonding Program'!$P$33,'Bonding Program'!$C$8)),'Bonding Program'!$Z$33,0)+IF(AND('Bonding Program'!$P$33&lt;&gt;"",C$3='Bonding Program'!$P$33,C$3&lt;='Bonding Program'!$C$8),N('Bonding Program'!$O$33),0)</f>
        <v>0</v>
      </c>
      <c r="D174" s="19" t="n">
        <f aca="false">IF(AND('Bonding Program'!$S$33=1,'Bonding Program'!$H$33&gt;'Bonding Program'!$C$8,D$3='Bonding Program'!$H$33),'Bonding Program'!$T$33-'Bonding Program'!$U$33-'Bonding Program'!$Z$33,0)-IF(AND('Bonding Program'!$S$33=1,'Bonding Program'!$H$33&lt;='Bonding Program'!$C$8,D$3=IF('Bonding Program'!$P$33&lt;&gt;"",'Bonding Program'!$P$33,'Bonding Program'!$C$8)),'Bonding Program'!$Z$33,0)+IF(AND('Bonding Program'!$P$33&lt;&gt;"",D$3='Bonding Program'!$P$33,D$3&lt;='Bonding Program'!$C$8),N('Bonding Program'!$O$33),0)</f>
        <v>0</v>
      </c>
      <c r="E174" s="19" t="n">
        <f aca="false">IF(AND('Bonding Program'!$S$33=1,'Bonding Program'!$H$33&gt;'Bonding Program'!$C$8,E$3='Bonding Program'!$H$33),'Bonding Program'!$T$33-'Bonding Program'!$U$33-'Bonding Program'!$Z$33,0)-IF(AND('Bonding Program'!$S$33=1,'Bonding Program'!$H$33&lt;='Bonding Program'!$C$8,E$3=IF('Bonding Program'!$P$33&lt;&gt;"",'Bonding Program'!$P$33,'Bonding Program'!$C$8)),'Bonding Program'!$Z$33,0)+IF(AND('Bonding Program'!$P$33&lt;&gt;"",E$3='Bonding Program'!$P$33,E$3&lt;='Bonding Program'!$C$8),N('Bonding Program'!$O$33),0)</f>
        <v>0</v>
      </c>
      <c r="F174" s="19" t="n">
        <f aca="false">IF(AND('Bonding Program'!$S$33=1,'Bonding Program'!$H$33&gt;'Bonding Program'!$C$8,F$3='Bonding Program'!$H$33),'Bonding Program'!$T$33-'Bonding Program'!$U$33-'Bonding Program'!$Z$33,0)-IF(AND('Bonding Program'!$S$33=1,'Bonding Program'!$H$33&lt;='Bonding Program'!$C$8,F$3=IF('Bonding Program'!$P$33&lt;&gt;"",'Bonding Program'!$P$33,'Bonding Program'!$C$8)),'Bonding Program'!$Z$33,0)+IF(AND('Bonding Program'!$P$33&lt;&gt;"",F$3='Bonding Program'!$P$33,F$3&lt;='Bonding Program'!$C$8),N('Bonding Program'!$O$33),0)</f>
        <v>0</v>
      </c>
      <c r="G174" s="19" t="n">
        <f aca="false">IF(AND('Bonding Program'!$S$33=1,'Bonding Program'!$H$33&gt;'Bonding Program'!$C$8,G$3='Bonding Program'!$H$33),'Bonding Program'!$T$33-'Bonding Program'!$U$33-'Bonding Program'!$Z$33,0)-IF(AND('Bonding Program'!$S$33=1,'Bonding Program'!$H$33&lt;='Bonding Program'!$C$8,G$3=IF('Bonding Program'!$P$33&lt;&gt;"",'Bonding Program'!$P$33,'Bonding Program'!$C$8)),'Bonding Program'!$Z$33,0)+IF(AND('Bonding Program'!$P$33&lt;&gt;"",G$3='Bonding Program'!$P$33,G$3&lt;='Bonding Program'!$C$8),N('Bonding Program'!$O$33),0)</f>
        <v>0</v>
      </c>
      <c r="H174" s="19" t="n">
        <f aca="false">IF(AND('Bonding Program'!$S$33=1,'Bonding Program'!$H$33&gt;'Bonding Program'!$C$8,H$3='Bonding Program'!$H$33),'Bonding Program'!$T$33-'Bonding Program'!$U$33-'Bonding Program'!$Z$33,0)-IF(AND('Bonding Program'!$S$33=1,'Bonding Program'!$H$33&lt;='Bonding Program'!$C$8,H$3=IF('Bonding Program'!$P$33&lt;&gt;"",'Bonding Program'!$P$33,'Bonding Program'!$C$8)),'Bonding Program'!$Z$33,0)+IF(AND('Bonding Program'!$P$33&lt;&gt;"",H$3='Bonding Program'!$P$33,H$3&lt;='Bonding Program'!$C$8),N('Bonding Program'!$O$33),0)</f>
        <v>0</v>
      </c>
      <c r="I174" s="19" t="n">
        <f aca="false">IF(AND('Bonding Program'!$S$33=1,'Bonding Program'!$H$33&gt;'Bonding Program'!$C$8,I$3='Bonding Program'!$H$33),'Bonding Program'!$T$33-'Bonding Program'!$U$33-'Bonding Program'!$Z$33,0)-IF(AND('Bonding Program'!$S$33=1,'Bonding Program'!$H$33&lt;='Bonding Program'!$C$8,I$3=IF('Bonding Program'!$P$33&lt;&gt;"",'Bonding Program'!$P$33,'Bonding Program'!$C$8)),'Bonding Program'!$Z$33,0)+IF(AND('Bonding Program'!$P$33&lt;&gt;"",I$3='Bonding Program'!$P$33,I$3&lt;='Bonding Program'!$C$8),N('Bonding Program'!$O$33),0)</f>
        <v>0</v>
      </c>
      <c r="J174" s="19" t="n">
        <f aca="false">IF(AND('Bonding Program'!$S$33=1,'Bonding Program'!$H$33&gt;'Bonding Program'!$C$8,J$3='Bonding Program'!$H$33),'Bonding Program'!$T$33-'Bonding Program'!$U$33-'Bonding Program'!$Z$33,0)-IF(AND('Bonding Program'!$S$33=1,'Bonding Program'!$H$33&lt;='Bonding Program'!$C$8,J$3=IF('Bonding Program'!$P$33&lt;&gt;"",'Bonding Program'!$P$33,'Bonding Program'!$C$8)),'Bonding Program'!$Z$33,0)+IF(AND('Bonding Program'!$P$33&lt;&gt;"",J$3='Bonding Program'!$P$33,J$3&lt;='Bonding Program'!$C$8),N('Bonding Program'!$O$33),0)</f>
        <v>0</v>
      </c>
      <c r="K174" s="19" t="n">
        <f aca="false">IF(AND('Bonding Program'!$S$33=1,'Bonding Program'!$H$33&gt;'Bonding Program'!$C$8,K$3='Bonding Program'!$H$33),'Bonding Program'!$T$33-'Bonding Program'!$U$33-'Bonding Program'!$Z$33,0)-IF(AND('Bonding Program'!$S$33=1,'Bonding Program'!$H$33&lt;='Bonding Program'!$C$8,K$3=IF('Bonding Program'!$P$33&lt;&gt;"",'Bonding Program'!$P$33,'Bonding Program'!$C$8)),'Bonding Program'!$Z$33,0)+IF(AND('Bonding Program'!$P$33&lt;&gt;"",K$3='Bonding Program'!$P$33,K$3&lt;='Bonding Program'!$C$8),N('Bonding Program'!$O$33),0)</f>
        <v>0</v>
      </c>
      <c r="L174" s="19" t="n">
        <f aca="false">IF(AND('Bonding Program'!$S$33=1,'Bonding Program'!$H$33&gt;'Bonding Program'!$C$8,L$3='Bonding Program'!$H$33),'Bonding Program'!$T$33-'Bonding Program'!$U$33-'Bonding Program'!$Z$33,0)-IF(AND('Bonding Program'!$S$33=1,'Bonding Program'!$H$33&lt;='Bonding Program'!$C$8,L$3=IF('Bonding Program'!$P$33&lt;&gt;"",'Bonding Program'!$P$33,'Bonding Program'!$C$8)),'Bonding Program'!$Z$33,0)+IF(AND('Bonding Program'!$P$33&lt;&gt;"",L$3='Bonding Program'!$P$33,L$3&lt;='Bonding Program'!$C$8),N('Bonding Program'!$O$33),0)</f>
        <v>0</v>
      </c>
      <c r="M174" s="19" t="n">
        <f aca="false">IF(AND('Bonding Program'!$S$33=1,'Bonding Program'!$H$33&gt;'Bonding Program'!$C$8,M$3='Bonding Program'!$H$33),'Bonding Program'!$T$33-'Bonding Program'!$U$33-'Bonding Program'!$Z$33,0)-IF(AND('Bonding Program'!$S$33=1,'Bonding Program'!$H$33&lt;='Bonding Program'!$C$8,M$3=IF('Bonding Program'!$P$33&lt;&gt;"",'Bonding Program'!$P$33,'Bonding Program'!$C$8)),'Bonding Program'!$Z$33,0)+IF(AND('Bonding Program'!$P$33&lt;&gt;"",M$3='Bonding Program'!$P$33,M$3&lt;='Bonding Program'!$C$8),N('Bonding Program'!$O$33),0)</f>
        <v>0</v>
      </c>
      <c r="N174" s="19" t="n">
        <f aca="false">IF(AND('Bonding Program'!$S$33=1,'Bonding Program'!$H$33&gt;'Bonding Program'!$C$8,N$3='Bonding Program'!$H$33),'Bonding Program'!$T$33-'Bonding Program'!$U$33-'Bonding Program'!$Z$33,0)-IF(AND('Bonding Program'!$S$33=1,'Bonding Program'!$H$33&lt;='Bonding Program'!$C$8,N$3=IF('Bonding Program'!$P$33&lt;&gt;"",'Bonding Program'!$P$33,'Bonding Program'!$C$8)),'Bonding Program'!$Z$33,0)+IF(AND('Bonding Program'!$P$33&lt;&gt;"",N$3='Bonding Program'!$P$33,N$3&lt;='Bonding Program'!$C$8),N('Bonding Program'!$O$33),0)</f>
        <v>0</v>
      </c>
      <c r="O174" s="19" t="n">
        <f aca="false">IF(AND('Bonding Program'!$S$33=1,'Bonding Program'!$H$33&gt;'Bonding Program'!$C$8,O$3='Bonding Program'!$H$33),'Bonding Program'!$T$33-'Bonding Program'!$U$33-'Bonding Program'!$Z$33,0)-IF(AND('Bonding Program'!$S$33=1,'Bonding Program'!$H$33&lt;='Bonding Program'!$C$8,O$3=IF('Bonding Program'!$P$33&lt;&gt;"",'Bonding Program'!$P$33,'Bonding Program'!$C$8)),'Bonding Program'!$Z$33,0)+IF(AND('Bonding Program'!$P$33&lt;&gt;"",O$3='Bonding Program'!$P$33,O$3&lt;='Bonding Program'!$C$8),N('Bonding Program'!$O$33),0)</f>
        <v>0</v>
      </c>
      <c r="P174" s="19" t="n">
        <f aca="false">IF(AND('Bonding Program'!$S$33=1,'Bonding Program'!$H$33&gt;'Bonding Program'!$C$8,P$3='Bonding Program'!$H$33),'Bonding Program'!$T$33-'Bonding Program'!$U$33-'Bonding Program'!$Z$33,0)-IF(AND('Bonding Program'!$S$33=1,'Bonding Program'!$H$33&lt;='Bonding Program'!$C$8,P$3=IF('Bonding Program'!$P$33&lt;&gt;"",'Bonding Program'!$P$33,'Bonding Program'!$C$8)),'Bonding Program'!$Z$33,0)+IF(AND('Bonding Program'!$P$33&lt;&gt;"",P$3='Bonding Program'!$P$33,P$3&lt;='Bonding Program'!$C$8),N('Bonding Program'!$O$33),0)</f>
        <v>0</v>
      </c>
      <c r="Q174" s="19" t="n">
        <f aca="false">IF(AND('Bonding Program'!$S$33=1,'Bonding Program'!$H$33&gt;'Bonding Program'!$C$8,Q$3='Bonding Program'!$H$33),'Bonding Program'!$T$33-'Bonding Program'!$U$33-'Bonding Program'!$Z$33,0)-IF(AND('Bonding Program'!$S$33=1,'Bonding Program'!$H$33&lt;='Bonding Program'!$C$8,Q$3=IF('Bonding Program'!$P$33&lt;&gt;"",'Bonding Program'!$P$33,'Bonding Program'!$C$8)),'Bonding Program'!$Z$33,0)+IF(AND('Bonding Program'!$P$33&lt;&gt;"",Q$3='Bonding Program'!$P$33,Q$3&lt;='Bonding Program'!$C$8),N('Bonding Program'!$O$33),0)</f>
        <v>0</v>
      </c>
      <c r="R174" s="19" t="n">
        <f aca="false">IF(AND('Bonding Program'!$S$33=1,'Bonding Program'!$H$33&gt;'Bonding Program'!$C$8,R$3='Bonding Program'!$H$33),'Bonding Program'!$T$33-'Bonding Program'!$U$33-'Bonding Program'!$Z$33,0)-IF(AND('Bonding Program'!$S$33=1,'Bonding Program'!$H$33&lt;='Bonding Program'!$C$8,R$3=IF('Bonding Program'!$P$33&lt;&gt;"",'Bonding Program'!$P$33,'Bonding Program'!$C$8)),'Bonding Program'!$Z$33,0)+IF(AND('Bonding Program'!$P$33&lt;&gt;"",R$3='Bonding Program'!$P$33,R$3&lt;='Bonding Program'!$C$8),N('Bonding Program'!$O$33),0)</f>
        <v>0</v>
      </c>
      <c r="S174" s="19" t="n">
        <f aca="false">IF(AND('Bonding Program'!$S$33=1,'Bonding Program'!$H$33&gt;'Bonding Program'!$C$8,S$3='Bonding Program'!$H$33),'Bonding Program'!$T$33-'Bonding Program'!$U$33-'Bonding Program'!$Z$33,0)-IF(AND('Bonding Program'!$S$33=1,'Bonding Program'!$H$33&lt;='Bonding Program'!$C$8,S$3=IF('Bonding Program'!$P$33&lt;&gt;"",'Bonding Program'!$P$33,'Bonding Program'!$C$8)),'Bonding Program'!$Z$33,0)+IF(AND('Bonding Program'!$P$33&lt;&gt;"",S$3='Bonding Program'!$P$33,S$3&lt;='Bonding Program'!$C$8),N('Bonding Program'!$O$33),0)</f>
        <v>0</v>
      </c>
      <c r="T174" s="19" t="n">
        <f aca="false">IF(AND('Bonding Program'!$S$33=1,'Bonding Program'!$H$33&gt;'Bonding Program'!$C$8,T$3='Bonding Program'!$H$33),'Bonding Program'!$T$33-'Bonding Program'!$U$33-'Bonding Program'!$Z$33,0)-IF(AND('Bonding Program'!$S$33=1,'Bonding Program'!$H$33&lt;='Bonding Program'!$C$8,T$3=IF('Bonding Program'!$P$33&lt;&gt;"",'Bonding Program'!$P$33,'Bonding Program'!$C$8)),'Bonding Program'!$Z$33,0)+IF(AND('Bonding Program'!$P$33&lt;&gt;"",T$3='Bonding Program'!$P$33,T$3&lt;='Bonding Program'!$C$8),N('Bonding Program'!$O$33),0)</f>
        <v>0</v>
      </c>
      <c r="U174" s="19" t="n">
        <f aca="false">IF(AND('Bonding Program'!$S$33=1,'Bonding Program'!$H$33&gt;'Bonding Program'!$C$8,U$3='Bonding Program'!$H$33),'Bonding Program'!$T$33-'Bonding Program'!$U$33-'Bonding Program'!$Z$33,0)-IF(AND('Bonding Program'!$S$33=1,'Bonding Program'!$H$33&lt;='Bonding Program'!$C$8,U$3=IF('Bonding Program'!$P$33&lt;&gt;"",'Bonding Program'!$P$33,'Bonding Program'!$C$8)),'Bonding Program'!$Z$33,0)+IF(AND('Bonding Program'!$P$33&lt;&gt;"",U$3='Bonding Program'!$P$33,U$3&lt;='Bonding Program'!$C$8),N('Bonding Program'!$O$33),0)</f>
        <v>0</v>
      </c>
      <c r="V174" s="19" t="n">
        <f aca="false">IF(AND('Bonding Program'!$S$33=1,'Bonding Program'!$H$33&gt;'Bonding Program'!$C$8,V$3='Bonding Program'!$H$33),'Bonding Program'!$T$33-'Bonding Program'!$U$33-'Bonding Program'!$Z$33,0)-IF(AND('Bonding Program'!$S$33=1,'Bonding Program'!$H$33&lt;='Bonding Program'!$C$8,V$3=IF('Bonding Program'!$P$33&lt;&gt;"",'Bonding Program'!$P$33,'Bonding Program'!$C$8)),'Bonding Program'!$Z$33,0)+IF(AND('Bonding Program'!$P$33&lt;&gt;"",V$3='Bonding Program'!$P$33,V$3&lt;='Bonding Program'!$C$8),N('Bonding Program'!$O$33),0)</f>
        <v>0</v>
      </c>
      <c r="W174" s="19" t="n">
        <f aca="false">IF(AND('Bonding Program'!$S$33=1,'Bonding Program'!$H$33&gt;'Bonding Program'!$C$8,W$3='Bonding Program'!$H$33),'Bonding Program'!$T$33-'Bonding Program'!$U$33-'Bonding Program'!$Z$33,0)-IF(AND('Bonding Program'!$S$33=1,'Bonding Program'!$H$33&lt;='Bonding Program'!$C$8,W$3=IF('Bonding Program'!$P$33&lt;&gt;"",'Bonding Program'!$P$33,'Bonding Program'!$C$8)),'Bonding Program'!$Z$33,0)+IF(AND('Bonding Program'!$P$33&lt;&gt;"",W$3='Bonding Program'!$P$33,W$3&lt;='Bonding Program'!$C$8),N('Bonding Program'!$O$33),0)</f>
        <v>0</v>
      </c>
      <c r="X174" s="19" t="n">
        <f aca="false">IF(AND('Bonding Program'!$S$33=1,'Bonding Program'!$H$33&gt;'Bonding Program'!$C$8,X$3='Bonding Program'!$H$33),'Bonding Program'!$T$33-'Bonding Program'!$U$33-'Bonding Program'!$Z$33,0)-IF(AND('Bonding Program'!$S$33=1,'Bonding Program'!$H$33&lt;='Bonding Program'!$C$8,X$3=IF('Bonding Program'!$P$33&lt;&gt;"",'Bonding Program'!$P$33,'Bonding Program'!$C$8)),'Bonding Program'!$Z$33,0)+IF(AND('Bonding Program'!$P$33&lt;&gt;"",X$3='Bonding Program'!$P$33,X$3&lt;='Bonding Program'!$C$8),N('Bonding Program'!$O$33),0)</f>
        <v>0</v>
      </c>
      <c r="Y174" s="19" t="n">
        <f aca="false">IF(AND('Bonding Program'!$S$33=1,'Bonding Program'!$H$33&gt;'Bonding Program'!$C$8,Y$3='Bonding Program'!$H$33),'Bonding Program'!$T$33-'Bonding Program'!$U$33-'Bonding Program'!$Z$33,0)-IF(AND('Bonding Program'!$S$33=1,'Bonding Program'!$H$33&lt;='Bonding Program'!$C$8,Y$3=IF('Bonding Program'!$P$33&lt;&gt;"",'Bonding Program'!$P$33,'Bonding Program'!$C$8)),'Bonding Program'!$Z$33,0)+IF(AND('Bonding Program'!$P$33&lt;&gt;"",Y$3='Bonding Program'!$P$33,Y$3&lt;='Bonding Program'!$C$8),N('Bonding Program'!$O$33),0)</f>
        <v>0</v>
      </c>
      <c r="Z174" s="19" t="n">
        <f aca="false">IF(AND('Bonding Program'!$S$33=1,'Bonding Program'!$H$33&gt;'Bonding Program'!$C$8,Z$3='Bonding Program'!$H$33),'Bonding Program'!$T$33-'Bonding Program'!$U$33-'Bonding Program'!$Z$33,0)-IF(AND('Bonding Program'!$S$33=1,'Bonding Program'!$H$33&lt;='Bonding Program'!$C$8,Z$3=IF('Bonding Program'!$P$33&lt;&gt;"",'Bonding Program'!$P$33,'Bonding Program'!$C$8)),'Bonding Program'!$Z$33,0)+IF(AND('Bonding Program'!$P$33&lt;&gt;"",Z$3='Bonding Program'!$P$33,Z$3&lt;='Bonding Program'!$C$8),N('Bonding Program'!$O$33),0)</f>
        <v>0</v>
      </c>
      <c r="AA174" s="19" t="n">
        <f aca="false">IF(AND('Bonding Program'!$S$33=1,'Bonding Program'!$H$33&gt;'Bonding Program'!$C$8,AA$3='Bonding Program'!$H$33),'Bonding Program'!$T$33-'Bonding Program'!$U$33-'Bonding Program'!$Z$33,0)-IF(AND('Bonding Program'!$S$33=1,'Bonding Program'!$H$33&lt;='Bonding Program'!$C$8,AA$3=IF('Bonding Program'!$P$33&lt;&gt;"",'Bonding Program'!$P$33,'Bonding Program'!$C$8)),'Bonding Program'!$Z$33,0)+IF(AND('Bonding Program'!$P$33&lt;&gt;"",AA$3='Bonding Program'!$P$33,AA$3&lt;='Bonding Program'!$C$8),N('Bonding Program'!$O$33),0)</f>
        <v>0</v>
      </c>
      <c r="AB174" s="19" t="n">
        <f aca="false">IF(AND('Bonding Program'!$S$33=1,'Bonding Program'!$H$33&gt;'Bonding Program'!$C$8,AB$3='Bonding Program'!$H$33),'Bonding Program'!$T$33-'Bonding Program'!$U$33-'Bonding Program'!$Z$33,0)-IF(AND('Bonding Program'!$S$33=1,'Bonding Program'!$H$33&lt;='Bonding Program'!$C$8,AB$3=IF('Bonding Program'!$P$33&lt;&gt;"",'Bonding Program'!$P$33,'Bonding Program'!$C$8)),'Bonding Program'!$Z$33,0)+IF(AND('Bonding Program'!$P$33&lt;&gt;"",AB$3='Bonding Program'!$P$33,AB$3&lt;='Bonding Program'!$C$8),N('Bonding Program'!$O$33),0)</f>
        <v>0</v>
      </c>
      <c r="AC174" s="19" t="n">
        <f aca="false">IF(AND('Bonding Program'!$S$33=1,'Bonding Program'!$H$33&gt;'Bonding Program'!$C$8,AC$3='Bonding Program'!$H$33),'Bonding Program'!$T$33-'Bonding Program'!$U$33-'Bonding Program'!$Z$33,0)-IF(AND('Bonding Program'!$S$33=1,'Bonding Program'!$H$33&lt;='Bonding Program'!$C$8,AC$3=IF('Bonding Program'!$P$33&lt;&gt;"",'Bonding Program'!$P$33,'Bonding Program'!$C$8)),'Bonding Program'!$Z$33,0)+IF(AND('Bonding Program'!$P$33&lt;&gt;"",AC$3='Bonding Program'!$P$33,AC$3&lt;='Bonding Program'!$C$8),N('Bonding Program'!$O$33),0)</f>
        <v>0</v>
      </c>
      <c r="AD174" s="19" t="n">
        <f aca="false">IF(AND('Bonding Program'!$S$33=1,'Bonding Program'!$H$33&gt;'Bonding Program'!$C$8,AD$3='Bonding Program'!$H$33),'Bonding Program'!$T$33-'Bonding Program'!$U$33-'Bonding Program'!$Z$33,0)-IF(AND('Bonding Program'!$S$33=1,'Bonding Program'!$H$33&lt;='Bonding Program'!$C$8,AD$3=IF('Bonding Program'!$P$33&lt;&gt;"",'Bonding Program'!$P$33,'Bonding Program'!$C$8)),'Bonding Program'!$Z$33,0)+IF(AND('Bonding Program'!$P$33&lt;&gt;"",AD$3='Bonding Program'!$P$33,AD$3&lt;='Bonding Program'!$C$8),N('Bonding Program'!$O$33),0)</f>
        <v>0</v>
      </c>
      <c r="AE174" s="19" t="n">
        <f aca="false">IF(AND('Bonding Program'!$S$33=1,'Bonding Program'!$H$33&gt;'Bonding Program'!$C$8,AE$3='Bonding Program'!$H$33),'Bonding Program'!$T$33-'Bonding Program'!$U$33-'Bonding Program'!$Z$33,0)-IF(AND('Bonding Program'!$S$33=1,'Bonding Program'!$H$33&lt;='Bonding Program'!$C$8,AE$3=IF('Bonding Program'!$P$33&lt;&gt;"",'Bonding Program'!$P$33,'Bonding Program'!$C$8)),'Bonding Program'!$Z$33,0)+IF(AND('Bonding Program'!$P$33&lt;&gt;"",AE$3='Bonding Program'!$P$33,AE$3&lt;='Bonding Program'!$C$8),N('Bonding Program'!$O$33),0)</f>
        <v>0</v>
      </c>
      <c r="AF174" s="19" t="n">
        <f aca="false">IF(AND('Bonding Program'!$S$33=1,'Bonding Program'!$H$33&gt;'Bonding Program'!$C$8,AF$3='Bonding Program'!$H$33),'Bonding Program'!$T$33-'Bonding Program'!$U$33-'Bonding Program'!$Z$33,0)-IF(AND('Bonding Program'!$S$33=1,'Bonding Program'!$H$33&lt;='Bonding Program'!$C$8,AF$3=IF('Bonding Program'!$P$33&lt;&gt;"",'Bonding Program'!$P$33,'Bonding Program'!$C$8)),'Bonding Program'!$Z$33,0)+IF(AND('Bonding Program'!$P$33&lt;&gt;"",AF$3='Bonding Program'!$P$33,AF$3&lt;='Bonding Program'!$C$8),N('Bonding Program'!$O$33),0)</f>
        <v>0</v>
      </c>
      <c r="AG174" s="19" t="n">
        <f aca="false">IF(AND('Bonding Program'!$S$33=1,'Bonding Program'!$H$33&gt;'Bonding Program'!$C$8,AG$3='Bonding Program'!$H$33),'Bonding Program'!$T$33-'Bonding Program'!$U$33-'Bonding Program'!$Z$33,0)-IF(AND('Bonding Program'!$S$33=1,'Bonding Program'!$H$33&lt;='Bonding Program'!$C$8,AG$3=IF('Bonding Program'!$P$33&lt;&gt;"",'Bonding Program'!$P$33,'Bonding Program'!$C$8)),'Bonding Program'!$Z$33,0)+IF(AND('Bonding Program'!$P$33&lt;&gt;"",AG$3='Bonding Program'!$P$33,AG$3&lt;='Bonding Program'!$C$8),N('Bonding Program'!$O$33),0)</f>
        <v>0</v>
      </c>
      <c r="AH174" s="19" t="n">
        <f aca="false">IF(AND('Bonding Program'!$S$33=1,'Bonding Program'!$H$33&gt;'Bonding Program'!$C$8,AH$3='Bonding Program'!$H$33),'Bonding Program'!$T$33-'Bonding Program'!$U$33-'Bonding Program'!$Z$33,0)-IF(AND('Bonding Program'!$S$33=1,'Bonding Program'!$H$33&lt;='Bonding Program'!$C$8,AH$3=IF('Bonding Program'!$P$33&lt;&gt;"",'Bonding Program'!$P$33,'Bonding Program'!$C$8)),'Bonding Program'!$Z$33,0)+IF(AND('Bonding Program'!$P$33&lt;&gt;"",AH$3='Bonding Program'!$P$33,AH$3&lt;='Bonding Program'!$C$8),N('Bonding Program'!$O$33),0)</f>
        <v>0</v>
      </c>
      <c r="AI174" s="19" t="n">
        <f aca="false">IF(AND('Bonding Program'!$S$33=1,'Bonding Program'!$H$33&gt;'Bonding Program'!$C$8,AI$3='Bonding Program'!$H$33),'Bonding Program'!$T$33-'Bonding Program'!$U$33-'Bonding Program'!$Z$33,0)-IF(AND('Bonding Program'!$S$33=1,'Bonding Program'!$H$33&lt;='Bonding Program'!$C$8,AI$3=IF('Bonding Program'!$P$33&lt;&gt;"",'Bonding Program'!$P$33,'Bonding Program'!$C$8)),'Bonding Program'!$Z$33,0)+IF(AND('Bonding Program'!$P$33&lt;&gt;"",AI$3='Bonding Program'!$P$33,AI$3&lt;='Bonding Program'!$C$8),N('Bonding Program'!$O$33),0)</f>
        <v>0</v>
      </c>
      <c r="AJ174" s="19" t="n">
        <f aca="false">IF(AND('Bonding Program'!$S$33=1,'Bonding Program'!$H$33&gt;'Bonding Program'!$C$8,AJ$3='Bonding Program'!$H$33),'Bonding Program'!$T$33-'Bonding Program'!$U$33-'Bonding Program'!$Z$33,0)-IF(AND('Bonding Program'!$S$33=1,'Bonding Program'!$H$33&lt;='Bonding Program'!$C$8,AJ$3=IF('Bonding Program'!$P$33&lt;&gt;"",'Bonding Program'!$P$33,'Bonding Program'!$C$8)),'Bonding Program'!$Z$33,0)+IF(AND('Bonding Program'!$P$33&lt;&gt;"",AJ$3='Bonding Program'!$P$33,AJ$3&lt;='Bonding Program'!$C$8),N('Bonding Program'!$O$33),0)</f>
        <v>0</v>
      </c>
      <c r="AK174" s="19" t="n">
        <f aca="false">IF(AND('Bonding Program'!$S$33=1,'Bonding Program'!$H$33&gt;'Bonding Program'!$C$8,AK$3='Bonding Program'!$H$33),'Bonding Program'!$T$33-'Bonding Program'!$U$33-'Bonding Program'!$Z$33,0)-IF(AND('Bonding Program'!$S$33=1,'Bonding Program'!$H$33&lt;='Bonding Program'!$C$8,AK$3=IF('Bonding Program'!$P$33&lt;&gt;"",'Bonding Program'!$P$33,'Bonding Program'!$C$8)),'Bonding Program'!$Z$33,0)+IF(AND('Bonding Program'!$P$33&lt;&gt;"",AK$3='Bonding Program'!$P$33,AK$3&lt;='Bonding Program'!$C$8),N('Bonding Program'!$O$33),0)</f>
        <v>0</v>
      </c>
      <c r="AL174" s="19" t="n">
        <f aca="false">IF(AND('Bonding Program'!$S$33=1,'Bonding Program'!$H$33&gt;'Bonding Program'!$C$8,AL$3='Bonding Program'!$H$33),'Bonding Program'!$T$33-'Bonding Program'!$U$33-'Bonding Program'!$Z$33,0)-IF(AND('Bonding Program'!$S$33=1,'Bonding Program'!$H$33&lt;='Bonding Program'!$C$8,AL$3=IF('Bonding Program'!$P$33&lt;&gt;"",'Bonding Program'!$P$33,'Bonding Program'!$C$8)),'Bonding Program'!$Z$33,0)+IF(AND('Bonding Program'!$P$33&lt;&gt;"",AL$3='Bonding Program'!$P$33,AL$3&lt;='Bonding Program'!$C$8),N('Bonding Program'!$O$33),0)</f>
        <v>0</v>
      </c>
      <c r="AM174" s="19" t="n">
        <f aca="false">IF(AND('Bonding Program'!$S$33=1,'Bonding Program'!$H$33&gt;'Bonding Program'!$C$8,AM$3='Bonding Program'!$H$33),'Bonding Program'!$T$33-'Bonding Program'!$U$33-'Bonding Program'!$Z$33,0)-IF(AND('Bonding Program'!$S$33=1,'Bonding Program'!$H$33&lt;='Bonding Program'!$C$8,AM$3=IF('Bonding Program'!$P$33&lt;&gt;"",'Bonding Program'!$P$33,'Bonding Program'!$C$8)),'Bonding Program'!$Z$33,0)+IF(AND('Bonding Program'!$P$33&lt;&gt;"",AM$3='Bonding Program'!$P$33,AM$3&lt;='Bonding Program'!$C$8),N('Bonding Program'!$O$33),0)</f>
        <v>0</v>
      </c>
      <c r="AN174" s="19" t="n">
        <f aca="false">IF(AND('Bonding Program'!$S$33=1,'Bonding Program'!$H$33&gt;'Bonding Program'!$C$8,AN$3='Bonding Program'!$H$33),'Bonding Program'!$T$33-'Bonding Program'!$U$33-'Bonding Program'!$Z$33,0)-IF(AND('Bonding Program'!$S$33=1,'Bonding Program'!$H$33&lt;='Bonding Program'!$C$8,AN$3=IF('Bonding Program'!$P$33&lt;&gt;"",'Bonding Program'!$P$33,'Bonding Program'!$C$8)),'Bonding Program'!$Z$33,0)+IF(AND('Bonding Program'!$P$33&lt;&gt;"",AN$3='Bonding Program'!$P$33,AN$3&lt;='Bonding Program'!$C$8),N('Bonding Program'!$O$33),0)</f>
        <v>0</v>
      </c>
      <c r="AO174" s="19" t="n">
        <f aca="false">IF(AND('Bonding Program'!$S$33=1,'Bonding Program'!$H$33&gt;'Bonding Program'!$C$8,AO$3='Bonding Program'!$H$33),'Bonding Program'!$T$33-'Bonding Program'!$U$33-'Bonding Program'!$Z$33,0)-IF(AND('Bonding Program'!$S$33=1,'Bonding Program'!$H$33&lt;='Bonding Program'!$C$8,AO$3=IF('Bonding Program'!$P$33&lt;&gt;"",'Bonding Program'!$P$33,'Bonding Program'!$C$8)),'Bonding Program'!$Z$33,0)+IF(AND('Bonding Program'!$P$33&lt;&gt;"",AO$3='Bonding Program'!$P$33,AO$3&lt;='Bonding Program'!$C$8),N('Bonding Program'!$O$33),0)</f>
        <v>0</v>
      </c>
      <c r="AP174" s="19" t="n">
        <f aca="false">IF(AND('Bonding Program'!$S$33=1,'Bonding Program'!$H$33&gt;'Bonding Program'!$C$8,AP$3='Bonding Program'!$H$33),'Bonding Program'!$T$33-'Bonding Program'!$U$33-'Bonding Program'!$Z$33,0)-IF(AND('Bonding Program'!$S$33=1,'Bonding Program'!$H$33&lt;='Bonding Program'!$C$8,AP$3=IF('Bonding Program'!$P$33&lt;&gt;"",'Bonding Program'!$P$33,'Bonding Program'!$C$8)),'Bonding Program'!$Z$33,0)+IF(AND('Bonding Program'!$P$33&lt;&gt;"",AP$3='Bonding Program'!$P$33,AP$3&lt;='Bonding Program'!$C$8),N('Bonding Program'!$O$33),0)</f>
        <v>0</v>
      </c>
      <c r="AQ174" s="19" t="n">
        <f aca="false">IF(AND('Bonding Program'!$S$33=1,'Bonding Program'!$H$33&gt;'Bonding Program'!$C$8,AQ$3='Bonding Program'!$H$33),'Bonding Program'!$T$33-'Bonding Program'!$U$33-'Bonding Program'!$Z$33,0)-IF(AND('Bonding Program'!$S$33=1,'Bonding Program'!$H$33&lt;='Bonding Program'!$C$8,AQ$3=IF('Bonding Program'!$P$33&lt;&gt;"",'Bonding Program'!$P$33,'Bonding Program'!$C$8)),'Bonding Program'!$Z$33,0)+IF(AND('Bonding Program'!$P$33&lt;&gt;"",AQ$3='Bonding Program'!$P$33,AQ$3&lt;='Bonding Program'!$C$8),N('Bonding Program'!$O$33),0)</f>
        <v>0</v>
      </c>
      <c r="AR174" s="19" t="n">
        <f aca="false">IF(AND('Bonding Program'!$S$33=1,'Bonding Program'!$H$33&gt;'Bonding Program'!$C$8,AR$3='Bonding Program'!$H$33),'Bonding Program'!$T$33-'Bonding Program'!$U$33-'Bonding Program'!$Z$33,0)-IF(AND('Bonding Program'!$S$33=1,'Bonding Program'!$H$33&lt;='Bonding Program'!$C$8,AR$3=IF('Bonding Program'!$P$33&lt;&gt;"",'Bonding Program'!$P$33,'Bonding Program'!$C$8)),'Bonding Program'!$Z$33,0)+IF(AND('Bonding Program'!$P$33&lt;&gt;"",AR$3='Bonding Program'!$P$33,AR$3&lt;='Bonding Program'!$C$8),N('Bonding Program'!$O$33),0)</f>
        <v>0</v>
      </c>
      <c r="AS174" s="19" t="n">
        <f aca="false">IF(AND('Bonding Program'!$S$33=1,'Bonding Program'!$H$33&gt;'Bonding Program'!$C$8,AS$3='Bonding Program'!$H$33),'Bonding Program'!$T$33-'Bonding Program'!$U$33-'Bonding Program'!$Z$33,0)-IF(AND('Bonding Program'!$S$33=1,'Bonding Program'!$H$33&lt;='Bonding Program'!$C$8,AS$3=IF('Bonding Program'!$P$33&lt;&gt;"",'Bonding Program'!$P$33,'Bonding Program'!$C$8)),'Bonding Program'!$Z$33,0)+IF(AND('Bonding Program'!$P$33&lt;&gt;"",AS$3='Bonding Program'!$P$33,AS$3&lt;='Bonding Program'!$C$8),N('Bonding Program'!$O$33),0)</f>
        <v>0</v>
      </c>
      <c r="AT174" s="19" t="n">
        <f aca="false">IF(AND('Bonding Program'!$S$33=1,'Bonding Program'!$H$33&gt;'Bonding Program'!$C$8,AT$3='Bonding Program'!$H$33),'Bonding Program'!$T$33-'Bonding Program'!$U$33-'Bonding Program'!$Z$33,0)-IF(AND('Bonding Program'!$S$33=1,'Bonding Program'!$H$33&lt;='Bonding Program'!$C$8,AT$3=IF('Bonding Program'!$P$33&lt;&gt;"",'Bonding Program'!$P$33,'Bonding Program'!$C$8)),'Bonding Program'!$Z$33,0)+IF(AND('Bonding Program'!$P$33&lt;&gt;"",AT$3='Bonding Program'!$P$33,AT$3&lt;='Bonding Program'!$C$8),N('Bonding Program'!$O$33),0)</f>
        <v>0</v>
      </c>
      <c r="AU174" s="19" t="n">
        <f aca="false">IF(AND('Bonding Program'!$S$33=1,'Bonding Program'!$H$33&gt;'Bonding Program'!$C$8,AU$3='Bonding Program'!$H$33),'Bonding Program'!$T$33-'Bonding Program'!$U$33-'Bonding Program'!$Z$33,0)-IF(AND('Bonding Program'!$S$33=1,'Bonding Program'!$H$33&lt;='Bonding Program'!$C$8,AU$3=IF('Bonding Program'!$P$33&lt;&gt;"",'Bonding Program'!$P$33,'Bonding Program'!$C$8)),'Bonding Program'!$Z$33,0)+IF(AND('Bonding Program'!$P$33&lt;&gt;"",AU$3='Bonding Program'!$P$33,AU$3&lt;='Bonding Program'!$C$8),N('Bonding Program'!$O$33),0)</f>
        <v>0</v>
      </c>
      <c r="AV174" s="19" t="n">
        <f aca="false">IF(AND('Bonding Program'!$S$33=1,'Bonding Program'!$H$33&gt;'Bonding Program'!$C$8,AV$3='Bonding Program'!$H$33),'Bonding Program'!$T$33-'Bonding Program'!$U$33-'Bonding Program'!$Z$33,0)-IF(AND('Bonding Program'!$S$33=1,'Bonding Program'!$H$33&lt;='Bonding Program'!$C$8,AV$3=IF('Bonding Program'!$P$33&lt;&gt;"",'Bonding Program'!$P$33,'Bonding Program'!$C$8)),'Bonding Program'!$Z$33,0)+IF(AND('Bonding Program'!$P$33&lt;&gt;"",AV$3='Bonding Program'!$P$33,AV$3&lt;='Bonding Program'!$C$8),N('Bonding Program'!$O$33),0)</f>
        <v>0</v>
      </c>
      <c r="AW174" s="19" t="n">
        <f aca="false">IF(AND('Bonding Program'!$S$33=1,'Bonding Program'!$H$33&gt;'Bonding Program'!$C$8,AW$3='Bonding Program'!$H$33),'Bonding Program'!$T$33-'Bonding Program'!$U$33-'Bonding Program'!$Z$33,0)-IF(AND('Bonding Program'!$S$33=1,'Bonding Program'!$H$33&lt;='Bonding Program'!$C$8,AW$3=IF('Bonding Program'!$P$33&lt;&gt;"",'Bonding Program'!$P$33,'Bonding Program'!$C$8)),'Bonding Program'!$Z$33,0)+IF(AND('Bonding Program'!$P$33&lt;&gt;"",AW$3='Bonding Program'!$P$33,AW$3&lt;='Bonding Program'!$C$8),N('Bonding Program'!$O$33),0)</f>
        <v>0</v>
      </c>
      <c r="AX174" s="19" t="n">
        <f aca="false">IF(AND('Bonding Program'!$S$33=1,'Bonding Program'!$H$33&gt;'Bonding Program'!$C$8,AX$3='Bonding Program'!$H$33),'Bonding Program'!$T$33-'Bonding Program'!$U$33-'Bonding Program'!$Z$33,0)-IF(AND('Bonding Program'!$S$33=1,'Bonding Program'!$H$33&lt;='Bonding Program'!$C$8,AX$3=IF('Bonding Program'!$P$33&lt;&gt;"",'Bonding Program'!$P$33,'Bonding Program'!$C$8)),'Bonding Program'!$Z$33,0)+IF(AND('Bonding Program'!$P$33&lt;&gt;"",AX$3='Bonding Program'!$P$33,AX$3&lt;='Bonding Program'!$C$8),N('Bonding Program'!$O$33),0)</f>
        <v>0</v>
      </c>
      <c r="AY174" s="19" t="n">
        <f aca="false">IF(AND('Bonding Program'!$S$33=1,'Bonding Program'!$H$33&gt;'Bonding Program'!$C$8,AY$3='Bonding Program'!$H$33),'Bonding Program'!$T$33-'Bonding Program'!$U$33-'Bonding Program'!$Z$33,0)-IF(AND('Bonding Program'!$S$33=1,'Bonding Program'!$H$33&lt;='Bonding Program'!$C$8,AY$3=IF('Bonding Program'!$P$33&lt;&gt;"",'Bonding Program'!$P$33,'Bonding Program'!$C$8)),'Bonding Program'!$Z$33,0)+IF(AND('Bonding Program'!$P$33&lt;&gt;"",AY$3='Bonding Program'!$P$33,AY$3&lt;='Bonding Program'!$C$8),N('Bonding Program'!$O$33),0)</f>
        <v>0</v>
      </c>
      <c r="AZ174" s="19" t="n">
        <f aca="false">IF(AND('Bonding Program'!$S$33=1,'Bonding Program'!$H$33&gt;'Bonding Program'!$C$8,AZ$3='Bonding Program'!$H$33),'Bonding Program'!$T$33-'Bonding Program'!$U$33-'Bonding Program'!$Z$33,0)-IF(AND('Bonding Program'!$S$33=1,'Bonding Program'!$H$33&lt;='Bonding Program'!$C$8,AZ$3=IF('Bonding Program'!$P$33&lt;&gt;"",'Bonding Program'!$P$33,'Bonding Program'!$C$8)),'Bonding Program'!$Z$33,0)+IF(AND('Bonding Program'!$P$33&lt;&gt;"",AZ$3='Bonding Program'!$P$33,AZ$3&lt;='Bonding Program'!$C$8),N('Bonding Program'!$O$33),0)</f>
        <v>0</v>
      </c>
      <c r="BA174" s="19" t="n">
        <f aca="false">IF(AND('Bonding Program'!$S$33=1,'Bonding Program'!$H$33&gt;'Bonding Program'!$C$8,BA$3='Bonding Program'!$H$33),'Bonding Program'!$T$33-'Bonding Program'!$U$33-'Bonding Program'!$Z$33,0)-IF(AND('Bonding Program'!$S$33=1,'Bonding Program'!$H$33&lt;='Bonding Program'!$C$8,BA$3=IF('Bonding Program'!$P$33&lt;&gt;"",'Bonding Program'!$P$33,'Bonding Program'!$C$8)),'Bonding Program'!$Z$33,0)+IF(AND('Bonding Program'!$P$33&lt;&gt;"",BA$3='Bonding Program'!$P$33,BA$3&lt;='Bonding Program'!$C$8),N('Bonding Program'!$O$33),0)</f>
        <v>0</v>
      </c>
      <c r="BB174" s="19" t="n">
        <f aca="false">IF(AND('Bonding Program'!$S$33=1,'Bonding Program'!$H$33&gt;'Bonding Program'!$C$8,BB$3='Bonding Program'!$H$33),'Bonding Program'!$T$33-'Bonding Program'!$U$33-'Bonding Program'!$Z$33,0)-IF(AND('Bonding Program'!$S$33=1,'Bonding Program'!$H$33&lt;='Bonding Program'!$C$8,BB$3=IF('Bonding Program'!$P$33&lt;&gt;"",'Bonding Program'!$P$33,'Bonding Program'!$C$8)),'Bonding Program'!$Z$33,0)+IF(AND('Bonding Program'!$P$33&lt;&gt;"",BB$3='Bonding Program'!$P$33,BB$3&lt;='Bonding Program'!$C$8),N('Bonding Program'!$O$33),0)</f>
        <v>0</v>
      </c>
      <c r="BC174" s="19" t="n">
        <f aca="false">IF(AND('Bonding Program'!$S$33=1,'Bonding Program'!$H$33&gt;'Bonding Program'!$C$8,BC$3='Bonding Program'!$H$33),'Bonding Program'!$T$33-'Bonding Program'!$U$33-'Bonding Program'!$Z$33,0)-IF(AND('Bonding Program'!$S$33=1,'Bonding Program'!$H$33&lt;='Bonding Program'!$C$8,BC$3=IF('Bonding Program'!$P$33&lt;&gt;"",'Bonding Program'!$P$33,'Bonding Program'!$C$8)),'Bonding Program'!$Z$33,0)+IF(AND('Bonding Program'!$P$33&lt;&gt;"",BC$3='Bonding Program'!$P$33,BC$3&lt;='Bonding Program'!$C$8),N('Bonding Program'!$O$33),0)</f>
        <v>0</v>
      </c>
      <c r="BD174" s="19" t="n">
        <f aca="false">IF(AND('Bonding Program'!$S$33=1,'Bonding Program'!$H$33&gt;'Bonding Program'!$C$8,BD$3='Bonding Program'!$H$33),'Bonding Program'!$T$33-'Bonding Program'!$U$33-'Bonding Program'!$Z$33,0)-IF(AND('Bonding Program'!$S$33=1,'Bonding Program'!$H$33&lt;='Bonding Program'!$C$8,BD$3=IF('Bonding Program'!$P$33&lt;&gt;"",'Bonding Program'!$P$33,'Bonding Program'!$C$8)),'Bonding Program'!$Z$33,0)+IF(AND('Bonding Program'!$P$33&lt;&gt;"",BD$3='Bonding Program'!$P$33,BD$3&lt;='Bonding Program'!$C$8),N('Bonding Program'!$O$33),0)</f>
        <v>0</v>
      </c>
      <c r="BE174" s="19" t="n">
        <f aca="false">IF(AND('Bonding Program'!$S$33=1,'Bonding Program'!$H$33&gt;'Bonding Program'!$C$8,BE$3='Bonding Program'!$H$33),'Bonding Program'!$T$33-'Bonding Program'!$U$33-'Bonding Program'!$Z$33,0)-IF(AND('Bonding Program'!$S$33=1,'Bonding Program'!$H$33&lt;='Bonding Program'!$C$8,BE$3=IF('Bonding Program'!$P$33&lt;&gt;"",'Bonding Program'!$P$33,'Bonding Program'!$C$8)),'Bonding Program'!$Z$33,0)+IF(AND('Bonding Program'!$P$33&lt;&gt;"",BE$3='Bonding Program'!$P$33,BE$3&lt;='Bonding Program'!$C$8),N('Bonding Program'!$O$33),0)</f>
        <v>0</v>
      </c>
      <c r="BF174" s="19" t="n">
        <f aca="false">IF(AND('Bonding Program'!$S$33=1,'Bonding Program'!$H$33&gt;'Bonding Program'!$C$8,BF$3='Bonding Program'!$H$33),'Bonding Program'!$T$33-'Bonding Program'!$U$33-'Bonding Program'!$Z$33,0)-IF(AND('Bonding Program'!$S$33=1,'Bonding Program'!$H$33&lt;='Bonding Program'!$C$8,BF$3=IF('Bonding Program'!$P$33&lt;&gt;"",'Bonding Program'!$P$33,'Bonding Program'!$C$8)),'Bonding Program'!$Z$33,0)+IF(AND('Bonding Program'!$P$33&lt;&gt;"",BF$3='Bonding Program'!$P$33,BF$3&lt;='Bonding Program'!$C$8),N('Bonding Program'!$O$33),0)</f>
        <v>0</v>
      </c>
      <c r="BG174" s="19" t="n">
        <f aca="false">IF(AND('Bonding Program'!$S$33=1,'Bonding Program'!$H$33&gt;'Bonding Program'!$C$8,BG$3='Bonding Program'!$H$33),'Bonding Program'!$T$33-'Bonding Program'!$U$33-'Bonding Program'!$Z$33,0)-IF(AND('Bonding Program'!$S$33=1,'Bonding Program'!$H$33&lt;='Bonding Program'!$C$8,BG$3=IF('Bonding Program'!$P$33&lt;&gt;"",'Bonding Program'!$P$33,'Bonding Program'!$C$8)),'Bonding Program'!$Z$33,0)+IF(AND('Bonding Program'!$P$33&lt;&gt;"",BG$3='Bonding Program'!$P$33,BG$3&lt;='Bonding Program'!$C$8),N('Bonding Program'!$O$33),0)</f>
        <v>0</v>
      </c>
      <c r="BH174" s="19" t="n">
        <f aca="false">IF(AND('Bonding Program'!$S$33=1,'Bonding Program'!$H$33&gt;'Bonding Program'!$C$8,BH$3='Bonding Program'!$H$33),'Bonding Program'!$T$33-'Bonding Program'!$U$33-'Bonding Program'!$Z$33,0)-IF(AND('Bonding Program'!$S$33=1,'Bonding Program'!$H$33&lt;='Bonding Program'!$C$8,BH$3=IF('Bonding Program'!$P$33&lt;&gt;"",'Bonding Program'!$P$33,'Bonding Program'!$C$8)),'Bonding Program'!$Z$33,0)+IF(AND('Bonding Program'!$P$33&lt;&gt;"",BH$3='Bonding Program'!$P$33,BH$3&lt;='Bonding Program'!$C$8),N('Bonding Program'!$O$33),0)</f>
        <v>0</v>
      </c>
      <c r="BI174" s="19" t="n">
        <f aca="false">IF(AND('Bonding Program'!$S$33=1,'Bonding Program'!$H$33&gt;'Bonding Program'!$C$8,BI$3='Bonding Program'!$H$33),'Bonding Program'!$T$33-'Bonding Program'!$U$33-'Bonding Program'!$Z$33,0)-IF(AND('Bonding Program'!$S$33=1,'Bonding Program'!$H$33&lt;='Bonding Program'!$C$8,BI$3=IF('Bonding Program'!$P$33&lt;&gt;"",'Bonding Program'!$P$33,'Bonding Program'!$C$8)),'Bonding Program'!$Z$33,0)+IF(AND('Bonding Program'!$P$33&lt;&gt;"",BI$3='Bonding Program'!$P$33,BI$3&lt;='Bonding Program'!$C$8),N('Bonding Program'!$O$33),0)</f>
        <v>0</v>
      </c>
      <c r="BJ174" s="19" t="n">
        <f aca="false">IF(AND('Bonding Program'!$S$33=1,'Bonding Program'!$H$33&gt;'Bonding Program'!$C$8,BJ$3='Bonding Program'!$H$33),'Bonding Program'!$T$33-'Bonding Program'!$U$33-'Bonding Program'!$Z$33,0)-IF(AND('Bonding Program'!$S$33=1,'Bonding Program'!$H$33&lt;='Bonding Program'!$C$8,BJ$3=IF('Bonding Program'!$P$33&lt;&gt;"",'Bonding Program'!$P$33,'Bonding Program'!$C$8)),'Bonding Program'!$Z$33,0)+IF(AND('Bonding Program'!$P$33&lt;&gt;"",BJ$3='Bonding Program'!$P$33,BJ$3&lt;='Bonding Program'!$C$8),N('Bonding Program'!$O$33),0)</f>
        <v>0</v>
      </c>
      <c r="BK174" s="19" t="n">
        <f aca="false">IF(AND('Bonding Program'!$S$33=1,'Bonding Program'!$H$33&gt;'Bonding Program'!$C$8,BK$3='Bonding Program'!$H$33),'Bonding Program'!$T$33-'Bonding Program'!$U$33-'Bonding Program'!$Z$33,0)-IF(AND('Bonding Program'!$S$33=1,'Bonding Program'!$H$33&lt;='Bonding Program'!$C$8,BK$3=IF('Bonding Program'!$P$33&lt;&gt;"",'Bonding Program'!$P$33,'Bonding Program'!$C$8)),'Bonding Program'!$Z$33,0)+IF(AND('Bonding Program'!$P$33&lt;&gt;"",BK$3='Bonding Program'!$P$33,BK$3&lt;='Bonding Program'!$C$8),N('Bonding Program'!$O$33),0)</f>
        <v>0</v>
      </c>
      <c r="BL174" s="19" t="n">
        <f aca="false">IF(AND('Bonding Program'!$S$33=1,'Bonding Program'!$H$33&gt;'Bonding Program'!$C$8,BL$3='Bonding Program'!$H$33),'Bonding Program'!$T$33-'Bonding Program'!$U$33-'Bonding Program'!$Z$33,0)-IF(AND('Bonding Program'!$S$33=1,'Bonding Program'!$H$33&lt;='Bonding Program'!$C$8,BL$3=IF('Bonding Program'!$P$33&lt;&gt;"",'Bonding Program'!$P$33,'Bonding Program'!$C$8)),'Bonding Program'!$Z$33,0)+IF(AND('Bonding Program'!$P$33&lt;&gt;"",BL$3='Bonding Program'!$P$33,BL$3&lt;='Bonding Program'!$C$8),N('Bonding Program'!$O$33),0)</f>
        <v>0</v>
      </c>
      <c r="BM174" s="19" t="n">
        <f aca="false">IF(AND('Bonding Program'!$S$33=1,'Bonding Program'!$H$33&gt;'Bonding Program'!$C$8,BM$3='Bonding Program'!$H$33),'Bonding Program'!$T$33-'Bonding Program'!$U$33-'Bonding Program'!$Z$33,0)-IF(AND('Bonding Program'!$S$33=1,'Bonding Program'!$H$33&lt;='Bonding Program'!$C$8,BM$3=IF('Bonding Program'!$P$33&lt;&gt;"",'Bonding Program'!$P$33,'Bonding Program'!$C$8)),'Bonding Program'!$Z$33,0)+IF(AND('Bonding Program'!$P$33&lt;&gt;"",BM$3='Bonding Program'!$P$33,BM$3&lt;='Bonding Program'!$C$8),N('Bonding Program'!$O$33),0)</f>
        <v>0</v>
      </c>
      <c r="BN174" s="19" t="n">
        <f aca="false">IF(AND('Bonding Program'!$S$33=1,'Bonding Program'!$H$33&gt;'Bonding Program'!$C$8,BN$3='Bonding Program'!$H$33),'Bonding Program'!$T$33-'Bonding Program'!$U$33-'Bonding Program'!$Z$33,0)-IF(AND('Bonding Program'!$S$33=1,'Bonding Program'!$H$33&lt;='Bonding Program'!$C$8,BN$3=IF('Bonding Program'!$P$33&lt;&gt;"",'Bonding Program'!$P$33,'Bonding Program'!$C$8)),'Bonding Program'!$Z$33,0)+IF(AND('Bonding Program'!$P$33&lt;&gt;"",BN$3='Bonding Program'!$P$33,BN$3&lt;='Bonding Program'!$C$8),N('Bonding Program'!$O$33),0)</f>
        <v>0</v>
      </c>
      <c r="BO174" s="19" t="n">
        <f aca="false">IF(AND('Bonding Program'!$S$33=1,'Bonding Program'!$H$33&gt;'Bonding Program'!$C$8,BO$3='Bonding Program'!$H$33),'Bonding Program'!$T$33-'Bonding Program'!$U$33-'Bonding Program'!$Z$33,0)-IF(AND('Bonding Program'!$S$33=1,'Bonding Program'!$H$33&lt;='Bonding Program'!$C$8,BO$3=IF('Bonding Program'!$P$33&lt;&gt;"",'Bonding Program'!$P$33,'Bonding Program'!$C$8)),'Bonding Program'!$Z$33,0)+IF(AND('Bonding Program'!$P$33&lt;&gt;"",BO$3='Bonding Program'!$P$33,BO$3&lt;='Bonding Program'!$C$8),N('Bonding Program'!$O$33),0)</f>
        <v>0</v>
      </c>
      <c r="BP174" s="19" t="n">
        <f aca="false">IF(AND('Bonding Program'!$S$33=1,'Bonding Program'!$H$33&gt;'Bonding Program'!$C$8,BP$3='Bonding Program'!$H$33),'Bonding Program'!$T$33-'Bonding Program'!$U$33-'Bonding Program'!$Z$33,0)-IF(AND('Bonding Program'!$S$33=1,'Bonding Program'!$H$33&lt;='Bonding Program'!$C$8,BP$3=IF('Bonding Program'!$P$33&lt;&gt;"",'Bonding Program'!$P$33,'Bonding Program'!$C$8)),'Bonding Program'!$Z$33,0)+IF(AND('Bonding Program'!$P$33&lt;&gt;"",BP$3='Bonding Program'!$P$33,BP$3&lt;='Bonding Program'!$C$8),N('Bonding Program'!$O$33),0)</f>
        <v>0</v>
      </c>
      <c r="BQ174" s="19" t="n">
        <f aca="false">IF(AND('Bonding Program'!$S$33=1,'Bonding Program'!$H$33&gt;'Bonding Program'!$C$8,BQ$3='Bonding Program'!$H$33),'Bonding Program'!$T$33-'Bonding Program'!$U$33-'Bonding Program'!$Z$33,0)-IF(AND('Bonding Program'!$S$33=1,'Bonding Program'!$H$33&lt;='Bonding Program'!$C$8,BQ$3=IF('Bonding Program'!$P$33&lt;&gt;"",'Bonding Program'!$P$33,'Bonding Program'!$C$8)),'Bonding Program'!$Z$33,0)+IF(AND('Bonding Program'!$P$33&lt;&gt;"",BQ$3='Bonding Program'!$P$33,BQ$3&lt;='Bonding Program'!$C$8),N('Bonding Program'!$O$33),0)</f>
        <v>0</v>
      </c>
      <c r="BR174" s="19" t="n">
        <f aca="false">IF(AND('Bonding Program'!$S$33=1,'Bonding Program'!$H$33&gt;'Bonding Program'!$C$8,BR$3='Bonding Program'!$H$33),'Bonding Program'!$T$33-'Bonding Program'!$U$33-'Bonding Program'!$Z$33,0)-IF(AND('Bonding Program'!$S$33=1,'Bonding Program'!$H$33&lt;='Bonding Program'!$C$8,BR$3=IF('Bonding Program'!$P$33&lt;&gt;"",'Bonding Program'!$P$33,'Bonding Program'!$C$8)),'Bonding Program'!$Z$33,0)+IF(AND('Bonding Program'!$P$33&lt;&gt;"",BR$3='Bonding Program'!$P$33,BR$3&lt;='Bonding Program'!$C$8),N('Bonding Program'!$O$33),0)</f>
        <v>0</v>
      </c>
      <c r="BS174" s="19" t="n">
        <f aca="false">IF(AND('Bonding Program'!$S$33=1,'Bonding Program'!$H$33&gt;'Bonding Program'!$C$8,BS$3='Bonding Program'!$H$33),'Bonding Program'!$T$33-'Bonding Program'!$U$33-'Bonding Program'!$Z$33,0)-IF(AND('Bonding Program'!$S$33=1,'Bonding Program'!$H$33&lt;='Bonding Program'!$C$8,BS$3=IF('Bonding Program'!$P$33&lt;&gt;"",'Bonding Program'!$P$33,'Bonding Program'!$C$8)),'Bonding Program'!$Z$33,0)+IF(AND('Bonding Program'!$P$33&lt;&gt;"",BS$3='Bonding Program'!$P$33,BS$3&lt;='Bonding Program'!$C$8),N('Bonding Program'!$O$33),0)</f>
        <v>0</v>
      </c>
      <c r="BT174" s="19" t="n">
        <f aca="false">IF(AND('Bonding Program'!$S$33=1,'Bonding Program'!$H$33&gt;'Bonding Program'!$C$8,BT$3='Bonding Program'!$H$33),'Bonding Program'!$T$33-'Bonding Program'!$U$33-'Bonding Program'!$Z$33,0)-IF(AND('Bonding Program'!$S$33=1,'Bonding Program'!$H$33&lt;='Bonding Program'!$C$8,BT$3=IF('Bonding Program'!$P$33&lt;&gt;"",'Bonding Program'!$P$33,'Bonding Program'!$C$8)),'Bonding Program'!$Z$33,0)+IF(AND('Bonding Program'!$P$33&lt;&gt;"",BT$3='Bonding Program'!$P$33,BT$3&lt;='Bonding Program'!$C$8),N('Bonding Program'!$O$33),0)</f>
        <v>0</v>
      </c>
      <c r="BU174" s="19" t="n">
        <f aca="false">IF(AND('Bonding Program'!$S$33=1,'Bonding Program'!$H$33&gt;'Bonding Program'!$C$8,BU$3='Bonding Program'!$H$33),'Bonding Program'!$T$33-'Bonding Program'!$U$33-'Bonding Program'!$Z$33,0)-IF(AND('Bonding Program'!$S$33=1,'Bonding Program'!$H$33&lt;='Bonding Program'!$C$8,BU$3=IF('Bonding Program'!$P$33&lt;&gt;"",'Bonding Program'!$P$33,'Bonding Program'!$C$8)),'Bonding Program'!$Z$33,0)+IF(AND('Bonding Program'!$P$33&lt;&gt;"",BU$3='Bonding Program'!$P$33,BU$3&lt;='Bonding Program'!$C$8),N('Bonding Program'!$O$33),0)</f>
        <v>0</v>
      </c>
      <c r="BV174" s="19" t="n">
        <f aca="false">IF(AND('Bonding Program'!$S$33=1,'Bonding Program'!$H$33&gt;'Bonding Program'!$C$8,BV$3='Bonding Program'!$H$33),'Bonding Program'!$T$33-'Bonding Program'!$U$33-'Bonding Program'!$Z$33,0)-IF(AND('Bonding Program'!$S$33=1,'Bonding Program'!$H$33&lt;='Bonding Program'!$C$8,BV$3=IF('Bonding Program'!$P$33&lt;&gt;"",'Bonding Program'!$P$33,'Bonding Program'!$C$8)),'Bonding Program'!$Z$33,0)+IF(AND('Bonding Program'!$P$33&lt;&gt;"",BV$3='Bonding Program'!$P$33,BV$3&lt;='Bonding Program'!$C$8),N('Bonding Program'!$O$33),0)</f>
        <v>0</v>
      </c>
      <c r="BW174" s="19" t="n">
        <f aca="false">IF(AND('Bonding Program'!$S$33=1,'Bonding Program'!$H$33&gt;'Bonding Program'!$C$8,BW$3='Bonding Program'!$H$33),'Bonding Program'!$T$33-'Bonding Program'!$U$33-'Bonding Program'!$Z$33,0)-IF(AND('Bonding Program'!$S$33=1,'Bonding Program'!$H$33&lt;='Bonding Program'!$C$8,BW$3=IF('Bonding Program'!$P$33&lt;&gt;"",'Bonding Program'!$P$33,'Bonding Program'!$C$8)),'Bonding Program'!$Z$33,0)+IF(AND('Bonding Program'!$P$33&lt;&gt;"",BW$3='Bonding Program'!$P$33,BW$3&lt;='Bonding Program'!$C$8),N('Bonding Program'!$O$33),0)</f>
        <v>0</v>
      </c>
      <c r="BX174" s="19" t="n">
        <f aca="false">IF(AND('Bonding Program'!$S$33=1,'Bonding Program'!$H$33&gt;'Bonding Program'!$C$8,BX$3='Bonding Program'!$H$33),'Bonding Program'!$T$33-'Bonding Program'!$U$33-'Bonding Program'!$Z$33,0)-IF(AND('Bonding Program'!$S$33=1,'Bonding Program'!$H$33&lt;='Bonding Program'!$C$8,BX$3=IF('Bonding Program'!$P$33&lt;&gt;"",'Bonding Program'!$P$33,'Bonding Program'!$C$8)),'Bonding Program'!$Z$33,0)+IF(AND('Bonding Program'!$P$33&lt;&gt;"",BX$3='Bonding Program'!$P$33,BX$3&lt;='Bonding Program'!$C$8),N('Bonding Program'!$O$33),0)</f>
        <v>0</v>
      </c>
      <c r="BY174" s="19" t="n">
        <f aca="false">IF(AND('Bonding Program'!$S$33=1,'Bonding Program'!$H$33&gt;'Bonding Program'!$C$8,BY$3='Bonding Program'!$H$33),'Bonding Program'!$T$33-'Bonding Program'!$U$33-'Bonding Program'!$Z$33,0)-IF(AND('Bonding Program'!$S$33=1,'Bonding Program'!$H$33&lt;='Bonding Program'!$C$8,BY$3=IF('Bonding Program'!$P$33&lt;&gt;"",'Bonding Program'!$P$33,'Bonding Program'!$C$8)),'Bonding Program'!$Z$33,0)+IF(AND('Bonding Program'!$P$33&lt;&gt;"",BY$3='Bonding Program'!$P$33,BY$3&lt;='Bonding Program'!$C$8),N('Bonding Program'!$O$33),0)</f>
        <v>0</v>
      </c>
      <c r="BZ174" s="19" t="n">
        <f aca="false">IF(AND('Bonding Program'!$S$33=1,'Bonding Program'!$H$33&gt;'Bonding Program'!$C$8,BZ$3='Bonding Program'!$H$33),'Bonding Program'!$T$33-'Bonding Program'!$U$33-'Bonding Program'!$Z$33,0)-IF(AND('Bonding Program'!$S$33=1,'Bonding Program'!$H$33&lt;='Bonding Program'!$C$8,BZ$3=IF('Bonding Program'!$P$33&lt;&gt;"",'Bonding Program'!$P$33,'Bonding Program'!$C$8)),'Bonding Program'!$Z$33,0)+IF(AND('Bonding Program'!$P$33&lt;&gt;"",BZ$3='Bonding Program'!$P$33,BZ$3&lt;='Bonding Program'!$C$8),N('Bonding Program'!$O$33),0)</f>
        <v>0</v>
      </c>
      <c r="CA174" s="19" t="n">
        <f aca="false">IF(AND('Bonding Program'!$S$33=1,'Bonding Program'!$H$33&gt;'Bonding Program'!$C$8,CA$3='Bonding Program'!$H$33),'Bonding Program'!$T$33-'Bonding Program'!$U$33-'Bonding Program'!$Z$33,0)-IF(AND('Bonding Program'!$S$33=1,'Bonding Program'!$H$33&lt;='Bonding Program'!$C$8,CA$3=IF('Bonding Program'!$P$33&lt;&gt;"",'Bonding Program'!$P$33,'Bonding Program'!$C$8)),'Bonding Program'!$Z$33,0)+IF(AND('Bonding Program'!$P$33&lt;&gt;"",CA$3='Bonding Program'!$P$33,CA$3&lt;='Bonding Program'!$C$8),N('Bonding Program'!$O$33),0)</f>
        <v>0</v>
      </c>
      <c r="CB174" s="19" t="n">
        <f aca="false">IF(AND('Bonding Program'!$S$33=1,'Bonding Program'!$H$33&gt;'Bonding Program'!$C$8,CB$3='Bonding Program'!$H$33),'Bonding Program'!$T$33-'Bonding Program'!$U$33-'Bonding Program'!$Z$33,0)-IF(AND('Bonding Program'!$S$33=1,'Bonding Program'!$H$33&lt;='Bonding Program'!$C$8,CB$3=IF('Bonding Program'!$P$33&lt;&gt;"",'Bonding Program'!$P$33,'Bonding Program'!$C$8)),'Bonding Program'!$Z$33,0)+IF(AND('Bonding Program'!$P$33&lt;&gt;"",CB$3='Bonding Program'!$P$33,CB$3&lt;='Bonding Program'!$C$8),N('Bonding Program'!$O$33),0)</f>
        <v>0</v>
      </c>
      <c r="CC174" s="19" t="n">
        <f aca="false">IF(AND('Bonding Program'!$S$33=1,'Bonding Program'!$H$33&gt;'Bonding Program'!$C$8,CC$3='Bonding Program'!$H$33),'Bonding Program'!$T$33-'Bonding Program'!$U$33-'Bonding Program'!$Z$33,0)-IF(AND('Bonding Program'!$S$33=1,'Bonding Program'!$H$33&lt;='Bonding Program'!$C$8,CC$3=IF('Bonding Program'!$P$33&lt;&gt;"",'Bonding Program'!$P$33,'Bonding Program'!$C$8)),'Bonding Program'!$Z$33,0)+IF(AND('Bonding Program'!$P$33&lt;&gt;"",CC$3='Bonding Program'!$P$33,CC$3&lt;='Bonding Program'!$C$8),N('Bonding Program'!$O$33),0)</f>
        <v>0</v>
      </c>
      <c r="CD174" s="19" t="n">
        <f aca="false">IF(AND('Bonding Program'!$S$33=1,'Bonding Program'!$H$33&gt;'Bonding Program'!$C$8,CD$3='Bonding Program'!$H$33),'Bonding Program'!$T$33-'Bonding Program'!$U$33-'Bonding Program'!$Z$33,0)-IF(AND('Bonding Program'!$S$33=1,'Bonding Program'!$H$33&lt;='Bonding Program'!$C$8,CD$3=IF('Bonding Program'!$P$33&lt;&gt;"",'Bonding Program'!$P$33,'Bonding Program'!$C$8)),'Bonding Program'!$Z$33,0)+IF(AND('Bonding Program'!$P$33&lt;&gt;"",CD$3='Bonding Program'!$P$33,CD$3&lt;='Bonding Program'!$C$8),N('Bonding Program'!$O$33),0)</f>
        <v>0</v>
      </c>
      <c r="CE174" s="19" t="n">
        <f aca="false">IF(AND('Bonding Program'!$S$33=1,'Bonding Program'!$H$33&gt;'Bonding Program'!$C$8,CE$3='Bonding Program'!$H$33),'Bonding Program'!$T$33-'Bonding Program'!$U$33-'Bonding Program'!$Z$33,0)-IF(AND('Bonding Program'!$S$33=1,'Bonding Program'!$H$33&lt;='Bonding Program'!$C$8,CE$3=IF('Bonding Program'!$P$33&lt;&gt;"",'Bonding Program'!$P$33,'Bonding Program'!$C$8)),'Bonding Program'!$Z$33,0)+IF(AND('Bonding Program'!$P$33&lt;&gt;"",CE$3='Bonding Program'!$P$33,CE$3&lt;='Bonding Program'!$C$8),N('Bonding Program'!$O$33),0)</f>
        <v>0</v>
      </c>
      <c r="CF174" s="19" t="n">
        <f aca="false">IF(AND('Bonding Program'!$S$33=1,'Bonding Program'!$H$33&gt;'Bonding Program'!$C$8,CF$3='Bonding Program'!$H$33),'Bonding Program'!$T$33-'Bonding Program'!$U$33-'Bonding Program'!$Z$33,0)-IF(AND('Bonding Program'!$S$33=1,'Bonding Program'!$H$33&lt;='Bonding Program'!$C$8,CF$3=IF('Bonding Program'!$P$33&lt;&gt;"",'Bonding Program'!$P$33,'Bonding Program'!$C$8)),'Bonding Program'!$Z$33,0)+IF(AND('Bonding Program'!$P$33&lt;&gt;"",CF$3='Bonding Program'!$P$33,CF$3&lt;='Bonding Program'!$C$8),N('Bonding Program'!$O$33),0)</f>
        <v>0</v>
      </c>
      <c r="CG174" s="19" t="n">
        <f aca="false">IF(AND('Bonding Program'!$S$33=1,'Bonding Program'!$H$33&gt;'Bonding Program'!$C$8,CG$3='Bonding Program'!$H$33),'Bonding Program'!$T$33-'Bonding Program'!$U$33-'Bonding Program'!$Z$33,0)-IF(AND('Bonding Program'!$S$33=1,'Bonding Program'!$H$33&lt;='Bonding Program'!$C$8,CG$3=IF('Bonding Program'!$P$33&lt;&gt;"",'Bonding Program'!$P$33,'Bonding Program'!$C$8)),'Bonding Program'!$Z$33,0)+IF(AND('Bonding Program'!$P$33&lt;&gt;"",CG$3='Bonding Program'!$P$33,CG$3&lt;='Bonding Program'!$C$8),N('Bonding Program'!$O$33),0)</f>
        <v>0</v>
      </c>
      <c r="CH174" s="19" t="n">
        <f aca="false">IF(AND('Bonding Program'!$S$33=1,'Bonding Program'!$H$33&gt;'Bonding Program'!$C$8,CH$3='Bonding Program'!$H$33),'Bonding Program'!$T$33-'Bonding Program'!$U$33-'Bonding Program'!$Z$33,0)-IF(AND('Bonding Program'!$S$33=1,'Bonding Program'!$H$33&lt;='Bonding Program'!$C$8,CH$3=IF('Bonding Program'!$P$33&lt;&gt;"",'Bonding Program'!$P$33,'Bonding Program'!$C$8)),'Bonding Program'!$Z$33,0)+IF(AND('Bonding Program'!$P$33&lt;&gt;"",CH$3='Bonding Program'!$P$33,CH$3&lt;='Bonding Program'!$C$8),N('Bonding Program'!$O$33),0)</f>
        <v>0</v>
      </c>
      <c r="CI174" s="19" t="n">
        <f aca="false">IF(AND('Bonding Program'!$S$33=1,'Bonding Program'!$H$33&gt;'Bonding Program'!$C$8,CI$3='Bonding Program'!$H$33),'Bonding Program'!$T$33-'Bonding Program'!$U$33-'Bonding Program'!$Z$33,0)-IF(AND('Bonding Program'!$S$33=1,'Bonding Program'!$H$33&lt;='Bonding Program'!$C$8,CI$3=IF('Bonding Program'!$P$33&lt;&gt;"",'Bonding Program'!$P$33,'Bonding Program'!$C$8)),'Bonding Program'!$Z$33,0)+IF(AND('Bonding Program'!$P$33&lt;&gt;"",CI$3='Bonding Program'!$P$33,CI$3&lt;='Bonding Program'!$C$8),N('Bonding Program'!$O$33),0)</f>
        <v>0</v>
      </c>
      <c r="CJ174" s="19" t="n">
        <f aca="false">IF(AND('Bonding Program'!$S$33=1,'Bonding Program'!$H$33&gt;'Bonding Program'!$C$8,CJ$3='Bonding Program'!$H$33),'Bonding Program'!$T$33-'Bonding Program'!$U$33-'Bonding Program'!$Z$33,0)-IF(AND('Bonding Program'!$S$33=1,'Bonding Program'!$H$33&lt;='Bonding Program'!$C$8,CJ$3=IF('Bonding Program'!$P$33&lt;&gt;"",'Bonding Program'!$P$33,'Bonding Program'!$C$8)),'Bonding Program'!$Z$33,0)+IF(AND('Bonding Program'!$P$33&lt;&gt;"",CJ$3='Bonding Program'!$P$33,CJ$3&lt;='Bonding Program'!$C$8),N('Bonding Program'!$O$33),0)</f>
        <v>0</v>
      </c>
      <c r="CK174" s="19" t="n">
        <f aca="false">IF(AND('Bonding Program'!$S$33=1,'Bonding Program'!$H$33&gt;'Bonding Program'!$C$8,CK$3='Bonding Program'!$H$33),'Bonding Program'!$T$33-'Bonding Program'!$U$33-'Bonding Program'!$Z$33,0)-IF(AND('Bonding Program'!$S$33=1,'Bonding Program'!$H$33&lt;='Bonding Program'!$C$8,CK$3=IF('Bonding Program'!$P$33&lt;&gt;"",'Bonding Program'!$P$33,'Bonding Program'!$C$8)),'Bonding Program'!$Z$33,0)+IF(AND('Bonding Program'!$P$33&lt;&gt;"",CK$3='Bonding Program'!$P$33,CK$3&lt;='Bonding Program'!$C$8),N('Bonding Program'!$O$33),0)</f>
        <v>0</v>
      </c>
      <c r="CL174" s="19" t="n">
        <f aca="false">IF(AND('Bonding Program'!$S$33=1,'Bonding Program'!$H$33&gt;'Bonding Program'!$C$8,CL$3='Bonding Program'!$H$33),'Bonding Program'!$T$33-'Bonding Program'!$U$33-'Bonding Program'!$Z$33,0)-IF(AND('Bonding Program'!$S$33=1,'Bonding Program'!$H$33&lt;='Bonding Program'!$C$8,CL$3=IF('Bonding Program'!$P$33&lt;&gt;"",'Bonding Program'!$P$33,'Bonding Program'!$C$8)),'Bonding Program'!$Z$33,0)+IF(AND('Bonding Program'!$P$33&lt;&gt;"",CL$3='Bonding Program'!$P$33,CL$3&lt;='Bonding Program'!$C$8),N('Bonding Program'!$O$33),0)</f>
        <v>0</v>
      </c>
      <c r="CM174" s="19" t="n">
        <f aca="false">IF(AND('Bonding Program'!$S$33=1,'Bonding Program'!$H$33&gt;'Bonding Program'!$C$8,CM$3='Bonding Program'!$H$33),'Bonding Program'!$T$33-'Bonding Program'!$U$33-'Bonding Program'!$Z$33,0)-IF(AND('Bonding Program'!$S$33=1,'Bonding Program'!$H$33&lt;='Bonding Program'!$C$8,CM$3=IF('Bonding Program'!$P$33&lt;&gt;"",'Bonding Program'!$P$33,'Bonding Program'!$C$8)),'Bonding Program'!$Z$33,0)+IF(AND('Bonding Program'!$P$33&lt;&gt;"",CM$3='Bonding Program'!$P$33,CM$3&lt;='Bonding Program'!$C$8),N('Bonding Program'!$O$33),0)</f>
        <v>0</v>
      </c>
      <c r="CN174" s="19" t="n">
        <f aca="false">IF(AND('Bonding Program'!$S$33=1,'Bonding Program'!$H$33&gt;'Bonding Program'!$C$8,CN$3='Bonding Program'!$H$33),'Bonding Program'!$T$33-'Bonding Program'!$U$33-'Bonding Program'!$Z$33,0)-IF(AND('Bonding Program'!$S$33=1,'Bonding Program'!$H$33&lt;='Bonding Program'!$C$8,CN$3=IF('Bonding Program'!$P$33&lt;&gt;"",'Bonding Program'!$P$33,'Bonding Program'!$C$8)),'Bonding Program'!$Z$33,0)+IF(AND('Bonding Program'!$P$33&lt;&gt;"",CN$3='Bonding Program'!$P$33,CN$3&lt;='Bonding Program'!$C$8),N('Bonding Program'!$O$33),0)</f>
        <v>0</v>
      </c>
      <c r="CO174" s="19" t="n">
        <f aca="false">IF(AND('Bonding Program'!$S$33=1,'Bonding Program'!$H$33&gt;'Bonding Program'!$C$8,CO$3='Bonding Program'!$H$33),'Bonding Program'!$T$33-'Bonding Program'!$U$33-'Bonding Program'!$Z$33,0)-IF(AND('Bonding Program'!$S$33=1,'Bonding Program'!$H$33&lt;='Bonding Program'!$C$8,CO$3=IF('Bonding Program'!$P$33&lt;&gt;"",'Bonding Program'!$P$33,'Bonding Program'!$C$8)),'Bonding Program'!$Z$33,0)+IF(AND('Bonding Program'!$P$33&lt;&gt;"",CO$3='Bonding Program'!$P$33,CO$3&lt;='Bonding Program'!$C$8),N('Bonding Program'!$O$33),0)</f>
        <v>0</v>
      </c>
      <c r="CP174" s="19" t="n">
        <f aca="false">IF(AND('Bonding Program'!$S$33=1,'Bonding Program'!$H$33&gt;'Bonding Program'!$C$8,CP$3='Bonding Program'!$H$33),'Bonding Program'!$T$33-'Bonding Program'!$U$33-'Bonding Program'!$Z$33,0)-IF(AND('Bonding Program'!$S$33=1,'Bonding Program'!$H$33&lt;='Bonding Program'!$C$8,CP$3=IF('Bonding Program'!$P$33&lt;&gt;"",'Bonding Program'!$P$33,'Bonding Program'!$C$8)),'Bonding Program'!$Z$33,0)+IF(AND('Bonding Program'!$P$33&lt;&gt;"",CP$3='Bonding Program'!$P$33,CP$3&lt;='Bonding Program'!$C$8),N('Bonding Program'!$O$33),0)</f>
        <v>0</v>
      </c>
      <c r="CQ174" s="19" t="n">
        <f aca="false">IF(AND('Bonding Program'!$S$33=1,'Bonding Program'!$H$33&gt;'Bonding Program'!$C$8,CQ$3='Bonding Program'!$H$33),'Bonding Program'!$T$33-'Bonding Program'!$U$33-'Bonding Program'!$Z$33,0)-IF(AND('Bonding Program'!$S$33=1,'Bonding Program'!$H$33&lt;='Bonding Program'!$C$8,CQ$3=IF('Bonding Program'!$P$33&lt;&gt;"",'Bonding Program'!$P$33,'Bonding Program'!$C$8)),'Bonding Program'!$Z$33,0)+IF(AND('Bonding Program'!$P$33&lt;&gt;"",CQ$3='Bonding Program'!$P$33,CQ$3&lt;='Bonding Program'!$C$8),N('Bonding Program'!$O$33),0)</f>
        <v>0</v>
      </c>
      <c r="CR174" s="19" t="n">
        <f aca="false">IF(AND('Bonding Program'!$S$33=1,'Bonding Program'!$H$33&gt;'Bonding Program'!$C$8,CR$3='Bonding Program'!$H$33),'Bonding Program'!$T$33-'Bonding Program'!$U$33-'Bonding Program'!$Z$33,0)-IF(AND('Bonding Program'!$S$33=1,'Bonding Program'!$H$33&lt;='Bonding Program'!$C$8,CR$3=IF('Bonding Program'!$P$33&lt;&gt;"",'Bonding Program'!$P$33,'Bonding Program'!$C$8)),'Bonding Program'!$Z$33,0)+IF(AND('Bonding Program'!$P$33&lt;&gt;"",CR$3='Bonding Program'!$P$33,CR$3&lt;='Bonding Program'!$C$8),N('Bonding Program'!$O$33),0)</f>
        <v>0</v>
      </c>
      <c r="CS174" s="19" t="n">
        <f aca="false">IF(AND('Bonding Program'!$S$33=1,'Bonding Program'!$H$33&gt;'Bonding Program'!$C$8,CS$3='Bonding Program'!$H$33),'Bonding Program'!$T$33-'Bonding Program'!$U$33-'Bonding Program'!$Z$33,0)-IF(AND('Bonding Program'!$S$33=1,'Bonding Program'!$H$33&lt;='Bonding Program'!$C$8,CS$3=IF('Bonding Program'!$P$33&lt;&gt;"",'Bonding Program'!$P$33,'Bonding Program'!$C$8)),'Bonding Program'!$Z$33,0)+IF(AND('Bonding Program'!$P$33&lt;&gt;"",CS$3='Bonding Program'!$P$33,CS$3&lt;='Bonding Program'!$C$8),N('Bonding Program'!$O$33),0)</f>
        <v>0</v>
      </c>
      <c r="CT174" s="19" t="n">
        <f aca="false">IF(AND('Bonding Program'!$S$33=1,'Bonding Program'!$H$33&gt;'Bonding Program'!$C$8,CT$3='Bonding Program'!$H$33),'Bonding Program'!$T$33-'Bonding Program'!$U$33-'Bonding Program'!$Z$33,0)-IF(AND('Bonding Program'!$S$33=1,'Bonding Program'!$H$33&lt;='Bonding Program'!$C$8,CT$3=IF('Bonding Program'!$P$33&lt;&gt;"",'Bonding Program'!$P$33,'Bonding Program'!$C$8)),'Bonding Program'!$Z$33,0)+IF(AND('Bonding Program'!$P$33&lt;&gt;"",CT$3='Bonding Program'!$P$33,CT$3&lt;='Bonding Program'!$C$8),N('Bonding Program'!$O$33),0)</f>
        <v>0</v>
      </c>
      <c r="CU174" s="19" t="n">
        <f aca="false">IF(AND('Bonding Program'!$S$33=1,'Bonding Program'!$H$33&gt;'Bonding Program'!$C$8,CU$3='Bonding Program'!$H$33),'Bonding Program'!$T$33-'Bonding Program'!$U$33-'Bonding Program'!$Z$33,0)-IF(AND('Bonding Program'!$S$33=1,'Bonding Program'!$H$33&lt;='Bonding Program'!$C$8,CU$3=IF('Bonding Program'!$P$33&lt;&gt;"",'Bonding Program'!$P$33,'Bonding Program'!$C$8)),'Bonding Program'!$Z$33,0)+IF(AND('Bonding Program'!$P$33&lt;&gt;"",CU$3='Bonding Program'!$P$33,CU$3&lt;='Bonding Program'!$C$8),N('Bonding Program'!$O$33),0)</f>
        <v>0</v>
      </c>
      <c r="CV174" s="19" t="n">
        <f aca="false">IF(AND('Bonding Program'!$S$33=1,'Bonding Program'!$H$33&gt;'Bonding Program'!$C$8,CV$3='Bonding Program'!$H$33),'Bonding Program'!$T$33-'Bonding Program'!$U$33-'Bonding Program'!$Z$33,0)-IF(AND('Bonding Program'!$S$33=1,'Bonding Program'!$H$33&lt;='Bonding Program'!$C$8,CV$3=IF('Bonding Program'!$P$33&lt;&gt;"",'Bonding Program'!$P$33,'Bonding Program'!$C$8)),'Bonding Program'!$Z$33,0)+IF(AND('Bonding Program'!$P$33&lt;&gt;"",CV$3='Bonding Program'!$P$33,CV$3&lt;='Bonding Program'!$C$8),N('Bonding Program'!$O$33),0)</f>
        <v>0</v>
      </c>
      <c r="CW174" s="19" t="n">
        <f aca="false">IF(AND('Bonding Program'!$S$33=1,'Bonding Program'!$H$33&gt;'Bonding Program'!$C$8,CW$3='Bonding Program'!$H$33),'Bonding Program'!$T$33-'Bonding Program'!$U$33-'Bonding Program'!$Z$33,0)-IF(AND('Bonding Program'!$S$33=1,'Bonding Program'!$H$33&lt;='Bonding Program'!$C$8,CW$3=IF('Bonding Program'!$P$33&lt;&gt;"",'Bonding Program'!$P$33,'Bonding Program'!$C$8)),'Bonding Program'!$Z$33,0)+IF(AND('Bonding Program'!$P$33&lt;&gt;"",CW$3='Bonding Program'!$P$33,CW$3&lt;='Bonding Program'!$C$8),N('Bonding Program'!$O$33),0)</f>
        <v>0</v>
      </c>
      <c r="CX174" s="19" t="n">
        <f aca="false">IF(AND('Bonding Program'!$S$33=1,'Bonding Program'!$H$33&gt;'Bonding Program'!$C$8,CX$3='Bonding Program'!$H$33),'Bonding Program'!$T$33-'Bonding Program'!$U$33-'Bonding Program'!$Z$33,0)-IF(AND('Bonding Program'!$S$33=1,'Bonding Program'!$H$33&lt;='Bonding Program'!$C$8,CX$3=IF('Bonding Program'!$P$33&lt;&gt;"",'Bonding Program'!$P$33,'Bonding Program'!$C$8)),'Bonding Program'!$Z$33,0)+IF(AND('Bonding Program'!$P$33&lt;&gt;"",CX$3='Bonding Program'!$P$33,CX$3&lt;='Bonding Program'!$C$8),N('Bonding Program'!$O$33),0)</f>
        <v>0</v>
      </c>
      <c r="CY174" s="19" t="n">
        <f aca="false">IF(AND('Bonding Program'!$S$33=1,'Bonding Program'!$H$33&gt;'Bonding Program'!$C$8,CY$3='Bonding Program'!$H$33),'Bonding Program'!$T$33-'Bonding Program'!$U$33-'Bonding Program'!$Z$33,0)-IF(AND('Bonding Program'!$S$33=1,'Bonding Program'!$H$33&lt;='Bonding Program'!$C$8,CY$3=IF('Bonding Program'!$P$33&lt;&gt;"",'Bonding Program'!$P$33,'Bonding Program'!$C$8)),'Bonding Program'!$Z$33,0)+IF(AND('Bonding Program'!$P$33&lt;&gt;"",CY$3='Bonding Program'!$P$33,CY$3&lt;='Bonding Program'!$C$8),N('Bonding Program'!$O$33),0)</f>
        <v>0</v>
      </c>
      <c r="CZ174" s="19" t="n">
        <f aca="false">IF(AND('Bonding Program'!$S$33=1,'Bonding Program'!$H$33&gt;'Bonding Program'!$C$8,CZ$3='Bonding Program'!$H$33),'Bonding Program'!$T$33-'Bonding Program'!$U$33-'Bonding Program'!$Z$33,0)-IF(AND('Bonding Program'!$S$33=1,'Bonding Program'!$H$33&lt;='Bonding Program'!$C$8,CZ$3=IF('Bonding Program'!$P$33&lt;&gt;"",'Bonding Program'!$P$33,'Bonding Program'!$C$8)),'Bonding Program'!$Z$33,0)+IF(AND('Bonding Program'!$P$33&lt;&gt;"",CZ$3='Bonding Program'!$P$33,CZ$3&lt;='Bonding Program'!$C$8),N('Bonding Program'!$O$33),0)</f>
        <v>0</v>
      </c>
      <c r="DA174" s="19" t="n">
        <f aca="false">IF(AND('Bonding Program'!$S$33=1,'Bonding Program'!$H$33&gt;'Bonding Program'!$C$8,DA$3='Bonding Program'!$H$33),'Bonding Program'!$T$33-'Bonding Program'!$U$33-'Bonding Program'!$Z$33,0)-IF(AND('Bonding Program'!$S$33=1,'Bonding Program'!$H$33&lt;='Bonding Program'!$C$8,DA$3=IF('Bonding Program'!$P$33&lt;&gt;"",'Bonding Program'!$P$33,'Bonding Program'!$C$8)),'Bonding Program'!$Z$33,0)+IF(AND('Bonding Program'!$P$33&lt;&gt;"",DA$3='Bonding Program'!$P$33,DA$3&lt;='Bonding Program'!$C$8),N('Bonding Program'!$O$33),0)</f>
        <v>0</v>
      </c>
      <c r="DB174" s="19" t="n">
        <f aca="false">IF(AND('Bonding Program'!$S$33=1,'Bonding Program'!$H$33&gt;'Bonding Program'!$C$8,DB$3='Bonding Program'!$H$33),'Bonding Program'!$T$33-'Bonding Program'!$U$33-'Bonding Program'!$Z$33,0)-IF(AND('Bonding Program'!$S$33=1,'Bonding Program'!$H$33&lt;='Bonding Program'!$C$8,DB$3=IF('Bonding Program'!$P$33&lt;&gt;"",'Bonding Program'!$P$33,'Bonding Program'!$C$8)),'Bonding Program'!$Z$33,0)+IF(AND('Bonding Program'!$P$33&lt;&gt;"",DB$3='Bonding Program'!$P$33,DB$3&lt;='Bonding Program'!$C$8),N('Bonding Program'!$O$33),0)</f>
        <v>0</v>
      </c>
      <c r="DC174" s="19" t="n">
        <f aca="false">IF(AND('Bonding Program'!$S$33=1,'Bonding Program'!$H$33&gt;'Bonding Program'!$C$8,DC$3='Bonding Program'!$H$33),'Bonding Program'!$T$33-'Bonding Program'!$U$33-'Bonding Program'!$Z$33,0)-IF(AND('Bonding Program'!$S$33=1,'Bonding Program'!$H$33&lt;='Bonding Program'!$C$8,DC$3=IF('Bonding Program'!$P$33&lt;&gt;"",'Bonding Program'!$P$33,'Bonding Program'!$C$8)),'Bonding Program'!$Z$33,0)+IF(AND('Bonding Program'!$P$33&lt;&gt;"",DC$3='Bonding Program'!$P$33,DC$3&lt;='Bonding Program'!$C$8),N('Bonding Program'!$O$33),0)</f>
        <v>0</v>
      </c>
      <c r="DD174" s="19" t="n">
        <f aca="false">IF(AND('Bonding Program'!$S$33=1,'Bonding Program'!$H$33&gt;'Bonding Program'!$C$8,DD$3='Bonding Program'!$H$33),'Bonding Program'!$T$33-'Bonding Program'!$U$33-'Bonding Program'!$Z$33,0)-IF(AND('Bonding Program'!$S$33=1,'Bonding Program'!$H$33&lt;='Bonding Program'!$C$8,DD$3=IF('Bonding Program'!$P$33&lt;&gt;"",'Bonding Program'!$P$33,'Bonding Program'!$C$8)),'Bonding Program'!$Z$33,0)+IF(AND('Bonding Program'!$P$33&lt;&gt;"",DD$3='Bonding Program'!$P$33,DD$3&lt;='Bonding Program'!$C$8),N('Bonding Program'!$O$33),0)</f>
        <v>0</v>
      </c>
      <c r="DE174" s="19" t="n">
        <f aca="false">IF(AND('Bonding Program'!$S$33=1,'Bonding Program'!$H$33&gt;'Bonding Program'!$C$8,DE$3='Bonding Program'!$H$33),'Bonding Program'!$T$33-'Bonding Program'!$U$33-'Bonding Program'!$Z$33,0)-IF(AND('Bonding Program'!$S$33=1,'Bonding Program'!$H$33&lt;='Bonding Program'!$C$8,DE$3=IF('Bonding Program'!$P$33&lt;&gt;"",'Bonding Program'!$P$33,'Bonding Program'!$C$8)),'Bonding Program'!$Z$33,0)+IF(AND('Bonding Program'!$P$33&lt;&gt;"",DE$3='Bonding Program'!$P$33,DE$3&lt;='Bonding Program'!$C$8),N('Bonding Program'!$O$33),0)</f>
        <v>0</v>
      </c>
    </row>
    <row r="175" customFormat="false" ht="15" hidden="false" customHeight="true" outlineLevel="1" collapsed="false">
      <c r="A175" s="28" t="s">
        <v>30</v>
      </c>
      <c r="B175" s="19" t="n">
        <f aca="false">IF(AND('Bonding Program'!$S$34=1,'Bonding Program'!$H$34&gt;'Bonding Program'!$C$8,B$3='Bonding Program'!$H$34),'Bonding Program'!$T$34-'Bonding Program'!$U$34-'Bonding Program'!$Z$34,0)-IF(AND('Bonding Program'!$S$34=1,'Bonding Program'!$H$34&lt;='Bonding Program'!$C$8,B$3=IF('Bonding Program'!$P$34&lt;&gt;"",'Bonding Program'!$P$34,'Bonding Program'!$C$8)),'Bonding Program'!$Z$34,0)+IF(AND('Bonding Program'!$P$34&lt;&gt;"",B$3='Bonding Program'!$P$34,B$3&lt;='Bonding Program'!$C$8),N('Bonding Program'!$O$34),0)</f>
        <v>0</v>
      </c>
      <c r="C175" s="19" t="n">
        <f aca="false">IF(AND('Bonding Program'!$S$34=1,'Bonding Program'!$H$34&gt;'Bonding Program'!$C$8,C$3='Bonding Program'!$H$34),'Bonding Program'!$T$34-'Bonding Program'!$U$34-'Bonding Program'!$Z$34,0)-IF(AND('Bonding Program'!$S$34=1,'Bonding Program'!$H$34&lt;='Bonding Program'!$C$8,C$3=IF('Bonding Program'!$P$34&lt;&gt;"",'Bonding Program'!$P$34,'Bonding Program'!$C$8)),'Bonding Program'!$Z$34,0)+IF(AND('Bonding Program'!$P$34&lt;&gt;"",C$3='Bonding Program'!$P$34,C$3&lt;='Bonding Program'!$C$8),N('Bonding Program'!$O$34),0)</f>
        <v>0</v>
      </c>
      <c r="D175" s="19" t="n">
        <f aca="false">IF(AND('Bonding Program'!$S$34=1,'Bonding Program'!$H$34&gt;'Bonding Program'!$C$8,D$3='Bonding Program'!$H$34),'Bonding Program'!$T$34-'Bonding Program'!$U$34-'Bonding Program'!$Z$34,0)-IF(AND('Bonding Program'!$S$34=1,'Bonding Program'!$H$34&lt;='Bonding Program'!$C$8,D$3=IF('Bonding Program'!$P$34&lt;&gt;"",'Bonding Program'!$P$34,'Bonding Program'!$C$8)),'Bonding Program'!$Z$34,0)+IF(AND('Bonding Program'!$P$34&lt;&gt;"",D$3='Bonding Program'!$P$34,D$3&lt;='Bonding Program'!$C$8),N('Bonding Program'!$O$34),0)</f>
        <v>0</v>
      </c>
      <c r="E175" s="19" t="n">
        <f aca="false">IF(AND('Bonding Program'!$S$34=1,'Bonding Program'!$H$34&gt;'Bonding Program'!$C$8,E$3='Bonding Program'!$H$34),'Bonding Program'!$T$34-'Bonding Program'!$U$34-'Bonding Program'!$Z$34,0)-IF(AND('Bonding Program'!$S$34=1,'Bonding Program'!$H$34&lt;='Bonding Program'!$C$8,E$3=IF('Bonding Program'!$P$34&lt;&gt;"",'Bonding Program'!$P$34,'Bonding Program'!$C$8)),'Bonding Program'!$Z$34,0)+IF(AND('Bonding Program'!$P$34&lt;&gt;"",E$3='Bonding Program'!$P$34,E$3&lt;='Bonding Program'!$C$8),N('Bonding Program'!$O$34),0)</f>
        <v>0</v>
      </c>
      <c r="F175" s="19" t="n">
        <f aca="false">IF(AND('Bonding Program'!$S$34=1,'Bonding Program'!$H$34&gt;'Bonding Program'!$C$8,F$3='Bonding Program'!$H$34),'Bonding Program'!$T$34-'Bonding Program'!$U$34-'Bonding Program'!$Z$34,0)-IF(AND('Bonding Program'!$S$34=1,'Bonding Program'!$H$34&lt;='Bonding Program'!$C$8,F$3=IF('Bonding Program'!$P$34&lt;&gt;"",'Bonding Program'!$P$34,'Bonding Program'!$C$8)),'Bonding Program'!$Z$34,0)+IF(AND('Bonding Program'!$P$34&lt;&gt;"",F$3='Bonding Program'!$P$34,F$3&lt;='Bonding Program'!$C$8),N('Bonding Program'!$O$34),0)</f>
        <v>0</v>
      </c>
      <c r="G175" s="19" t="n">
        <f aca="false">IF(AND('Bonding Program'!$S$34=1,'Bonding Program'!$H$34&gt;'Bonding Program'!$C$8,G$3='Bonding Program'!$H$34),'Bonding Program'!$T$34-'Bonding Program'!$U$34-'Bonding Program'!$Z$34,0)-IF(AND('Bonding Program'!$S$34=1,'Bonding Program'!$H$34&lt;='Bonding Program'!$C$8,G$3=IF('Bonding Program'!$P$34&lt;&gt;"",'Bonding Program'!$P$34,'Bonding Program'!$C$8)),'Bonding Program'!$Z$34,0)+IF(AND('Bonding Program'!$P$34&lt;&gt;"",G$3='Bonding Program'!$P$34,G$3&lt;='Bonding Program'!$C$8),N('Bonding Program'!$O$34),0)</f>
        <v>0</v>
      </c>
      <c r="H175" s="19" t="n">
        <f aca="false">IF(AND('Bonding Program'!$S$34=1,'Bonding Program'!$H$34&gt;'Bonding Program'!$C$8,H$3='Bonding Program'!$H$34),'Bonding Program'!$T$34-'Bonding Program'!$U$34-'Bonding Program'!$Z$34,0)-IF(AND('Bonding Program'!$S$34=1,'Bonding Program'!$H$34&lt;='Bonding Program'!$C$8,H$3=IF('Bonding Program'!$P$34&lt;&gt;"",'Bonding Program'!$P$34,'Bonding Program'!$C$8)),'Bonding Program'!$Z$34,0)+IF(AND('Bonding Program'!$P$34&lt;&gt;"",H$3='Bonding Program'!$P$34,H$3&lt;='Bonding Program'!$C$8),N('Bonding Program'!$O$34),0)</f>
        <v>0</v>
      </c>
      <c r="I175" s="19" t="n">
        <f aca="false">IF(AND('Bonding Program'!$S$34=1,'Bonding Program'!$H$34&gt;'Bonding Program'!$C$8,I$3='Bonding Program'!$H$34),'Bonding Program'!$T$34-'Bonding Program'!$U$34-'Bonding Program'!$Z$34,0)-IF(AND('Bonding Program'!$S$34=1,'Bonding Program'!$H$34&lt;='Bonding Program'!$C$8,I$3=IF('Bonding Program'!$P$34&lt;&gt;"",'Bonding Program'!$P$34,'Bonding Program'!$C$8)),'Bonding Program'!$Z$34,0)+IF(AND('Bonding Program'!$P$34&lt;&gt;"",I$3='Bonding Program'!$P$34,I$3&lt;='Bonding Program'!$C$8),N('Bonding Program'!$O$34),0)</f>
        <v>0</v>
      </c>
      <c r="J175" s="19" t="n">
        <f aca="false">IF(AND('Bonding Program'!$S$34=1,'Bonding Program'!$H$34&gt;'Bonding Program'!$C$8,J$3='Bonding Program'!$H$34),'Bonding Program'!$T$34-'Bonding Program'!$U$34-'Bonding Program'!$Z$34,0)-IF(AND('Bonding Program'!$S$34=1,'Bonding Program'!$H$34&lt;='Bonding Program'!$C$8,J$3=IF('Bonding Program'!$P$34&lt;&gt;"",'Bonding Program'!$P$34,'Bonding Program'!$C$8)),'Bonding Program'!$Z$34,0)+IF(AND('Bonding Program'!$P$34&lt;&gt;"",J$3='Bonding Program'!$P$34,J$3&lt;='Bonding Program'!$C$8),N('Bonding Program'!$O$34),0)</f>
        <v>0</v>
      </c>
      <c r="K175" s="19" t="n">
        <f aca="false">IF(AND('Bonding Program'!$S$34=1,'Bonding Program'!$H$34&gt;'Bonding Program'!$C$8,K$3='Bonding Program'!$H$34),'Bonding Program'!$T$34-'Bonding Program'!$U$34-'Bonding Program'!$Z$34,0)-IF(AND('Bonding Program'!$S$34=1,'Bonding Program'!$H$34&lt;='Bonding Program'!$C$8,K$3=IF('Bonding Program'!$P$34&lt;&gt;"",'Bonding Program'!$P$34,'Bonding Program'!$C$8)),'Bonding Program'!$Z$34,0)+IF(AND('Bonding Program'!$P$34&lt;&gt;"",K$3='Bonding Program'!$P$34,K$3&lt;='Bonding Program'!$C$8),N('Bonding Program'!$O$34),0)</f>
        <v>0</v>
      </c>
      <c r="L175" s="19" t="n">
        <f aca="false">IF(AND('Bonding Program'!$S$34=1,'Bonding Program'!$H$34&gt;'Bonding Program'!$C$8,L$3='Bonding Program'!$H$34),'Bonding Program'!$T$34-'Bonding Program'!$U$34-'Bonding Program'!$Z$34,0)-IF(AND('Bonding Program'!$S$34=1,'Bonding Program'!$H$34&lt;='Bonding Program'!$C$8,L$3=IF('Bonding Program'!$P$34&lt;&gt;"",'Bonding Program'!$P$34,'Bonding Program'!$C$8)),'Bonding Program'!$Z$34,0)+IF(AND('Bonding Program'!$P$34&lt;&gt;"",L$3='Bonding Program'!$P$34,L$3&lt;='Bonding Program'!$C$8),N('Bonding Program'!$O$34),0)</f>
        <v>0</v>
      </c>
      <c r="M175" s="19" t="n">
        <f aca="false">IF(AND('Bonding Program'!$S$34=1,'Bonding Program'!$H$34&gt;'Bonding Program'!$C$8,M$3='Bonding Program'!$H$34),'Bonding Program'!$T$34-'Bonding Program'!$U$34-'Bonding Program'!$Z$34,0)-IF(AND('Bonding Program'!$S$34=1,'Bonding Program'!$H$34&lt;='Bonding Program'!$C$8,M$3=IF('Bonding Program'!$P$34&lt;&gt;"",'Bonding Program'!$P$34,'Bonding Program'!$C$8)),'Bonding Program'!$Z$34,0)+IF(AND('Bonding Program'!$P$34&lt;&gt;"",M$3='Bonding Program'!$P$34,M$3&lt;='Bonding Program'!$C$8),N('Bonding Program'!$O$34),0)</f>
        <v>0</v>
      </c>
      <c r="N175" s="19" t="n">
        <f aca="false">IF(AND('Bonding Program'!$S$34=1,'Bonding Program'!$H$34&gt;'Bonding Program'!$C$8,N$3='Bonding Program'!$H$34),'Bonding Program'!$T$34-'Bonding Program'!$U$34-'Bonding Program'!$Z$34,0)-IF(AND('Bonding Program'!$S$34=1,'Bonding Program'!$H$34&lt;='Bonding Program'!$C$8,N$3=IF('Bonding Program'!$P$34&lt;&gt;"",'Bonding Program'!$P$34,'Bonding Program'!$C$8)),'Bonding Program'!$Z$34,0)+IF(AND('Bonding Program'!$P$34&lt;&gt;"",N$3='Bonding Program'!$P$34,N$3&lt;='Bonding Program'!$C$8),N('Bonding Program'!$O$34),0)</f>
        <v>0</v>
      </c>
      <c r="O175" s="19" t="n">
        <f aca="false">IF(AND('Bonding Program'!$S$34=1,'Bonding Program'!$H$34&gt;'Bonding Program'!$C$8,O$3='Bonding Program'!$H$34),'Bonding Program'!$T$34-'Bonding Program'!$U$34-'Bonding Program'!$Z$34,0)-IF(AND('Bonding Program'!$S$34=1,'Bonding Program'!$H$34&lt;='Bonding Program'!$C$8,O$3=IF('Bonding Program'!$P$34&lt;&gt;"",'Bonding Program'!$P$34,'Bonding Program'!$C$8)),'Bonding Program'!$Z$34,0)+IF(AND('Bonding Program'!$P$34&lt;&gt;"",O$3='Bonding Program'!$P$34,O$3&lt;='Bonding Program'!$C$8),N('Bonding Program'!$O$34),0)</f>
        <v>0</v>
      </c>
      <c r="P175" s="19" t="n">
        <f aca="false">IF(AND('Bonding Program'!$S$34=1,'Bonding Program'!$H$34&gt;'Bonding Program'!$C$8,P$3='Bonding Program'!$H$34),'Bonding Program'!$T$34-'Bonding Program'!$U$34-'Bonding Program'!$Z$34,0)-IF(AND('Bonding Program'!$S$34=1,'Bonding Program'!$H$34&lt;='Bonding Program'!$C$8,P$3=IF('Bonding Program'!$P$34&lt;&gt;"",'Bonding Program'!$P$34,'Bonding Program'!$C$8)),'Bonding Program'!$Z$34,0)+IF(AND('Bonding Program'!$P$34&lt;&gt;"",P$3='Bonding Program'!$P$34,P$3&lt;='Bonding Program'!$C$8),N('Bonding Program'!$O$34),0)</f>
        <v>0</v>
      </c>
      <c r="Q175" s="19" t="n">
        <f aca="false">IF(AND('Bonding Program'!$S$34=1,'Bonding Program'!$H$34&gt;'Bonding Program'!$C$8,Q$3='Bonding Program'!$H$34),'Bonding Program'!$T$34-'Bonding Program'!$U$34-'Bonding Program'!$Z$34,0)-IF(AND('Bonding Program'!$S$34=1,'Bonding Program'!$H$34&lt;='Bonding Program'!$C$8,Q$3=IF('Bonding Program'!$P$34&lt;&gt;"",'Bonding Program'!$P$34,'Bonding Program'!$C$8)),'Bonding Program'!$Z$34,0)+IF(AND('Bonding Program'!$P$34&lt;&gt;"",Q$3='Bonding Program'!$P$34,Q$3&lt;='Bonding Program'!$C$8),N('Bonding Program'!$O$34),0)</f>
        <v>0</v>
      </c>
      <c r="R175" s="19" t="n">
        <f aca="false">IF(AND('Bonding Program'!$S$34=1,'Bonding Program'!$H$34&gt;'Bonding Program'!$C$8,R$3='Bonding Program'!$H$34),'Bonding Program'!$T$34-'Bonding Program'!$U$34-'Bonding Program'!$Z$34,0)-IF(AND('Bonding Program'!$S$34=1,'Bonding Program'!$H$34&lt;='Bonding Program'!$C$8,R$3=IF('Bonding Program'!$P$34&lt;&gt;"",'Bonding Program'!$P$34,'Bonding Program'!$C$8)),'Bonding Program'!$Z$34,0)+IF(AND('Bonding Program'!$P$34&lt;&gt;"",R$3='Bonding Program'!$P$34,R$3&lt;='Bonding Program'!$C$8),N('Bonding Program'!$O$34),0)</f>
        <v>0</v>
      </c>
      <c r="S175" s="19" t="n">
        <f aca="false">IF(AND('Bonding Program'!$S$34=1,'Bonding Program'!$H$34&gt;'Bonding Program'!$C$8,S$3='Bonding Program'!$H$34),'Bonding Program'!$T$34-'Bonding Program'!$U$34-'Bonding Program'!$Z$34,0)-IF(AND('Bonding Program'!$S$34=1,'Bonding Program'!$H$34&lt;='Bonding Program'!$C$8,S$3=IF('Bonding Program'!$P$34&lt;&gt;"",'Bonding Program'!$P$34,'Bonding Program'!$C$8)),'Bonding Program'!$Z$34,0)+IF(AND('Bonding Program'!$P$34&lt;&gt;"",S$3='Bonding Program'!$P$34,S$3&lt;='Bonding Program'!$C$8),N('Bonding Program'!$O$34),0)</f>
        <v>0</v>
      </c>
      <c r="T175" s="19" t="n">
        <f aca="false">IF(AND('Bonding Program'!$S$34=1,'Bonding Program'!$H$34&gt;'Bonding Program'!$C$8,T$3='Bonding Program'!$H$34),'Bonding Program'!$T$34-'Bonding Program'!$U$34-'Bonding Program'!$Z$34,0)-IF(AND('Bonding Program'!$S$34=1,'Bonding Program'!$H$34&lt;='Bonding Program'!$C$8,T$3=IF('Bonding Program'!$P$34&lt;&gt;"",'Bonding Program'!$P$34,'Bonding Program'!$C$8)),'Bonding Program'!$Z$34,0)+IF(AND('Bonding Program'!$P$34&lt;&gt;"",T$3='Bonding Program'!$P$34,T$3&lt;='Bonding Program'!$C$8),N('Bonding Program'!$O$34),0)</f>
        <v>0</v>
      </c>
      <c r="U175" s="19" t="n">
        <f aca="false">IF(AND('Bonding Program'!$S$34=1,'Bonding Program'!$H$34&gt;'Bonding Program'!$C$8,U$3='Bonding Program'!$H$34),'Bonding Program'!$T$34-'Bonding Program'!$U$34-'Bonding Program'!$Z$34,0)-IF(AND('Bonding Program'!$S$34=1,'Bonding Program'!$H$34&lt;='Bonding Program'!$C$8,U$3=IF('Bonding Program'!$P$34&lt;&gt;"",'Bonding Program'!$P$34,'Bonding Program'!$C$8)),'Bonding Program'!$Z$34,0)+IF(AND('Bonding Program'!$P$34&lt;&gt;"",U$3='Bonding Program'!$P$34,U$3&lt;='Bonding Program'!$C$8),N('Bonding Program'!$O$34),0)</f>
        <v>0</v>
      </c>
      <c r="V175" s="19" t="n">
        <f aca="false">IF(AND('Bonding Program'!$S$34=1,'Bonding Program'!$H$34&gt;'Bonding Program'!$C$8,V$3='Bonding Program'!$H$34),'Bonding Program'!$T$34-'Bonding Program'!$U$34-'Bonding Program'!$Z$34,0)-IF(AND('Bonding Program'!$S$34=1,'Bonding Program'!$H$34&lt;='Bonding Program'!$C$8,V$3=IF('Bonding Program'!$P$34&lt;&gt;"",'Bonding Program'!$P$34,'Bonding Program'!$C$8)),'Bonding Program'!$Z$34,0)+IF(AND('Bonding Program'!$P$34&lt;&gt;"",V$3='Bonding Program'!$P$34,V$3&lt;='Bonding Program'!$C$8),N('Bonding Program'!$O$34),0)</f>
        <v>0</v>
      </c>
      <c r="W175" s="19" t="n">
        <f aca="false">IF(AND('Bonding Program'!$S$34=1,'Bonding Program'!$H$34&gt;'Bonding Program'!$C$8,W$3='Bonding Program'!$H$34),'Bonding Program'!$T$34-'Bonding Program'!$U$34-'Bonding Program'!$Z$34,0)-IF(AND('Bonding Program'!$S$34=1,'Bonding Program'!$H$34&lt;='Bonding Program'!$C$8,W$3=IF('Bonding Program'!$P$34&lt;&gt;"",'Bonding Program'!$P$34,'Bonding Program'!$C$8)),'Bonding Program'!$Z$34,0)+IF(AND('Bonding Program'!$P$34&lt;&gt;"",W$3='Bonding Program'!$P$34,W$3&lt;='Bonding Program'!$C$8),N('Bonding Program'!$O$34),0)</f>
        <v>0</v>
      </c>
      <c r="X175" s="19" t="n">
        <f aca="false">IF(AND('Bonding Program'!$S$34=1,'Bonding Program'!$H$34&gt;'Bonding Program'!$C$8,X$3='Bonding Program'!$H$34),'Bonding Program'!$T$34-'Bonding Program'!$U$34-'Bonding Program'!$Z$34,0)-IF(AND('Bonding Program'!$S$34=1,'Bonding Program'!$H$34&lt;='Bonding Program'!$C$8,X$3=IF('Bonding Program'!$P$34&lt;&gt;"",'Bonding Program'!$P$34,'Bonding Program'!$C$8)),'Bonding Program'!$Z$34,0)+IF(AND('Bonding Program'!$P$34&lt;&gt;"",X$3='Bonding Program'!$P$34,X$3&lt;='Bonding Program'!$C$8),N('Bonding Program'!$O$34),0)</f>
        <v>0</v>
      </c>
      <c r="Y175" s="19" t="n">
        <f aca="false">IF(AND('Bonding Program'!$S$34=1,'Bonding Program'!$H$34&gt;'Bonding Program'!$C$8,Y$3='Bonding Program'!$H$34),'Bonding Program'!$T$34-'Bonding Program'!$U$34-'Bonding Program'!$Z$34,0)-IF(AND('Bonding Program'!$S$34=1,'Bonding Program'!$H$34&lt;='Bonding Program'!$C$8,Y$3=IF('Bonding Program'!$P$34&lt;&gt;"",'Bonding Program'!$P$34,'Bonding Program'!$C$8)),'Bonding Program'!$Z$34,0)+IF(AND('Bonding Program'!$P$34&lt;&gt;"",Y$3='Bonding Program'!$P$34,Y$3&lt;='Bonding Program'!$C$8),N('Bonding Program'!$O$34),0)</f>
        <v>0</v>
      </c>
      <c r="Z175" s="19" t="n">
        <f aca="false">IF(AND('Bonding Program'!$S$34=1,'Bonding Program'!$H$34&gt;'Bonding Program'!$C$8,Z$3='Bonding Program'!$H$34),'Bonding Program'!$T$34-'Bonding Program'!$U$34-'Bonding Program'!$Z$34,0)-IF(AND('Bonding Program'!$S$34=1,'Bonding Program'!$H$34&lt;='Bonding Program'!$C$8,Z$3=IF('Bonding Program'!$P$34&lt;&gt;"",'Bonding Program'!$P$34,'Bonding Program'!$C$8)),'Bonding Program'!$Z$34,0)+IF(AND('Bonding Program'!$P$34&lt;&gt;"",Z$3='Bonding Program'!$P$34,Z$3&lt;='Bonding Program'!$C$8),N('Bonding Program'!$O$34),0)</f>
        <v>0</v>
      </c>
      <c r="AA175" s="19" t="n">
        <f aca="false">IF(AND('Bonding Program'!$S$34=1,'Bonding Program'!$H$34&gt;'Bonding Program'!$C$8,AA$3='Bonding Program'!$H$34),'Bonding Program'!$T$34-'Bonding Program'!$U$34-'Bonding Program'!$Z$34,0)-IF(AND('Bonding Program'!$S$34=1,'Bonding Program'!$H$34&lt;='Bonding Program'!$C$8,AA$3=IF('Bonding Program'!$P$34&lt;&gt;"",'Bonding Program'!$P$34,'Bonding Program'!$C$8)),'Bonding Program'!$Z$34,0)+IF(AND('Bonding Program'!$P$34&lt;&gt;"",AA$3='Bonding Program'!$P$34,AA$3&lt;='Bonding Program'!$C$8),N('Bonding Program'!$O$34),0)</f>
        <v>0</v>
      </c>
      <c r="AB175" s="19" t="n">
        <f aca="false">IF(AND('Bonding Program'!$S$34=1,'Bonding Program'!$H$34&gt;'Bonding Program'!$C$8,AB$3='Bonding Program'!$H$34),'Bonding Program'!$T$34-'Bonding Program'!$U$34-'Bonding Program'!$Z$34,0)-IF(AND('Bonding Program'!$S$34=1,'Bonding Program'!$H$34&lt;='Bonding Program'!$C$8,AB$3=IF('Bonding Program'!$P$34&lt;&gt;"",'Bonding Program'!$P$34,'Bonding Program'!$C$8)),'Bonding Program'!$Z$34,0)+IF(AND('Bonding Program'!$P$34&lt;&gt;"",AB$3='Bonding Program'!$P$34,AB$3&lt;='Bonding Program'!$C$8),N('Bonding Program'!$O$34),0)</f>
        <v>0</v>
      </c>
      <c r="AC175" s="19" t="n">
        <f aca="false">IF(AND('Bonding Program'!$S$34=1,'Bonding Program'!$H$34&gt;'Bonding Program'!$C$8,AC$3='Bonding Program'!$H$34),'Bonding Program'!$T$34-'Bonding Program'!$U$34-'Bonding Program'!$Z$34,0)-IF(AND('Bonding Program'!$S$34=1,'Bonding Program'!$H$34&lt;='Bonding Program'!$C$8,AC$3=IF('Bonding Program'!$P$34&lt;&gt;"",'Bonding Program'!$P$34,'Bonding Program'!$C$8)),'Bonding Program'!$Z$34,0)+IF(AND('Bonding Program'!$P$34&lt;&gt;"",AC$3='Bonding Program'!$P$34,AC$3&lt;='Bonding Program'!$C$8),N('Bonding Program'!$O$34),0)</f>
        <v>0</v>
      </c>
      <c r="AD175" s="19" t="n">
        <f aca="false">IF(AND('Bonding Program'!$S$34=1,'Bonding Program'!$H$34&gt;'Bonding Program'!$C$8,AD$3='Bonding Program'!$H$34),'Bonding Program'!$T$34-'Bonding Program'!$U$34-'Bonding Program'!$Z$34,0)-IF(AND('Bonding Program'!$S$34=1,'Bonding Program'!$H$34&lt;='Bonding Program'!$C$8,AD$3=IF('Bonding Program'!$P$34&lt;&gt;"",'Bonding Program'!$P$34,'Bonding Program'!$C$8)),'Bonding Program'!$Z$34,0)+IF(AND('Bonding Program'!$P$34&lt;&gt;"",AD$3='Bonding Program'!$P$34,AD$3&lt;='Bonding Program'!$C$8),N('Bonding Program'!$O$34),0)</f>
        <v>0</v>
      </c>
      <c r="AE175" s="19" t="n">
        <f aca="false">IF(AND('Bonding Program'!$S$34=1,'Bonding Program'!$H$34&gt;'Bonding Program'!$C$8,AE$3='Bonding Program'!$H$34),'Bonding Program'!$T$34-'Bonding Program'!$U$34-'Bonding Program'!$Z$34,0)-IF(AND('Bonding Program'!$S$34=1,'Bonding Program'!$H$34&lt;='Bonding Program'!$C$8,AE$3=IF('Bonding Program'!$P$34&lt;&gt;"",'Bonding Program'!$P$34,'Bonding Program'!$C$8)),'Bonding Program'!$Z$34,0)+IF(AND('Bonding Program'!$P$34&lt;&gt;"",AE$3='Bonding Program'!$P$34,AE$3&lt;='Bonding Program'!$C$8),N('Bonding Program'!$O$34),0)</f>
        <v>0</v>
      </c>
      <c r="AF175" s="19" t="n">
        <f aca="false">IF(AND('Bonding Program'!$S$34=1,'Bonding Program'!$H$34&gt;'Bonding Program'!$C$8,AF$3='Bonding Program'!$H$34),'Bonding Program'!$T$34-'Bonding Program'!$U$34-'Bonding Program'!$Z$34,0)-IF(AND('Bonding Program'!$S$34=1,'Bonding Program'!$H$34&lt;='Bonding Program'!$C$8,AF$3=IF('Bonding Program'!$P$34&lt;&gt;"",'Bonding Program'!$P$34,'Bonding Program'!$C$8)),'Bonding Program'!$Z$34,0)+IF(AND('Bonding Program'!$P$34&lt;&gt;"",AF$3='Bonding Program'!$P$34,AF$3&lt;='Bonding Program'!$C$8),N('Bonding Program'!$O$34),0)</f>
        <v>0</v>
      </c>
      <c r="AG175" s="19" t="n">
        <f aca="false">IF(AND('Bonding Program'!$S$34=1,'Bonding Program'!$H$34&gt;'Bonding Program'!$C$8,AG$3='Bonding Program'!$H$34),'Bonding Program'!$T$34-'Bonding Program'!$U$34-'Bonding Program'!$Z$34,0)-IF(AND('Bonding Program'!$S$34=1,'Bonding Program'!$H$34&lt;='Bonding Program'!$C$8,AG$3=IF('Bonding Program'!$P$34&lt;&gt;"",'Bonding Program'!$P$34,'Bonding Program'!$C$8)),'Bonding Program'!$Z$34,0)+IF(AND('Bonding Program'!$P$34&lt;&gt;"",AG$3='Bonding Program'!$P$34,AG$3&lt;='Bonding Program'!$C$8),N('Bonding Program'!$O$34),0)</f>
        <v>0</v>
      </c>
      <c r="AH175" s="19" t="n">
        <f aca="false">IF(AND('Bonding Program'!$S$34=1,'Bonding Program'!$H$34&gt;'Bonding Program'!$C$8,AH$3='Bonding Program'!$H$34),'Bonding Program'!$T$34-'Bonding Program'!$U$34-'Bonding Program'!$Z$34,0)-IF(AND('Bonding Program'!$S$34=1,'Bonding Program'!$H$34&lt;='Bonding Program'!$C$8,AH$3=IF('Bonding Program'!$P$34&lt;&gt;"",'Bonding Program'!$P$34,'Bonding Program'!$C$8)),'Bonding Program'!$Z$34,0)+IF(AND('Bonding Program'!$P$34&lt;&gt;"",AH$3='Bonding Program'!$P$34,AH$3&lt;='Bonding Program'!$C$8),N('Bonding Program'!$O$34),0)</f>
        <v>0</v>
      </c>
      <c r="AI175" s="19" t="n">
        <f aca="false">IF(AND('Bonding Program'!$S$34=1,'Bonding Program'!$H$34&gt;'Bonding Program'!$C$8,AI$3='Bonding Program'!$H$34),'Bonding Program'!$T$34-'Bonding Program'!$U$34-'Bonding Program'!$Z$34,0)-IF(AND('Bonding Program'!$S$34=1,'Bonding Program'!$H$34&lt;='Bonding Program'!$C$8,AI$3=IF('Bonding Program'!$P$34&lt;&gt;"",'Bonding Program'!$P$34,'Bonding Program'!$C$8)),'Bonding Program'!$Z$34,0)+IF(AND('Bonding Program'!$P$34&lt;&gt;"",AI$3='Bonding Program'!$P$34,AI$3&lt;='Bonding Program'!$C$8),N('Bonding Program'!$O$34),0)</f>
        <v>0</v>
      </c>
      <c r="AJ175" s="19" t="n">
        <f aca="false">IF(AND('Bonding Program'!$S$34=1,'Bonding Program'!$H$34&gt;'Bonding Program'!$C$8,AJ$3='Bonding Program'!$H$34),'Bonding Program'!$T$34-'Bonding Program'!$U$34-'Bonding Program'!$Z$34,0)-IF(AND('Bonding Program'!$S$34=1,'Bonding Program'!$H$34&lt;='Bonding Program'!$C$8,AJ$3=IF('Bonding Program'!$P$34&lt;&gt;"",'Bonding Program'!$P$34,'Bonding Program'!$C$8)),'Bonding Program'!$Z$34,0)+IF(AND('Bonding Program'!$P$34&lt;&gt;"",AJ$3='Bonding Program'!$P$34,AJ$3&lt;='Bonding Program'!$C$8),N('Bonding Program'!$O$34),0)</f>
        <v>0</v>
      </c>
      <c r="AK175" s="19" t="n">
        <f aca="false">IF(AND('Bonding Program'!$S$34=1,'Bonding Program'!$H$34&gt;'Bonding Program'!$C$8,AK$3='Bonding Program'!$H$34),'Bonding Program'!$T$34-'Bonding Program'!$U$34-'Bonding Program'!$Z$34,0)-IF(AND('Bonding Program'!$S$34=1,'Bonding Program'!$H$34&lt;='Bonding Program'!$C$8,AK$3=IF('Bonding Program'!$P$34&lt;&gt;"",'Bonding Program'!$P$34,'Bonding Program'!$C$8)),'Bonding Program'!$Z$34,0)+IF(AND('Bonding Program'!$P$34&lt;&gt;"",AK$3='Bonding Program'!$P$34,AK$3&lt;='Bonding Program'!$C$8),N('Bonding Program'!$O$34),0)</f>
        <v>0</v>
      </c>
      <c r="AL175" s="19" t="n">
        <f aca="false">IF(AND('Bonding Program'!$S$34=1,'Bonding Program'!$H$34&gt;'Bonding Program'!$C$8,AL$3='Bonding Program'!$H$34),'Bonding Program'!$T$34-'Bonding Program'!$U$34-'Bonding Program'!$Z$34,0)-IF(AND('Bonding Program'!$S$34=1,'Bonding Program'!$H$34&lt;='Bonding Program'!$C$8,AL$3=IF('Bonding Program'!$P$34&lt;&gt;"",'Bonding Program'!$P$34,'Bonding Program'!$C$8)),'Bonding Program'!$Z$34,0)+IF(AND('Bonding Program'!$P$34&lt;&gt;"",AL$3='Bonding Program'!$P$34,AL$3&lt;='Bonding Program'!$C$8),N('Bonding Program'!$O$34),0)</f>
        <v>0</v>
      </c>
      <c r="AM175" s="19" t="n">
        <f aca="false">IF(AND('Bonding Program'!$S$34=1,'Bonding Program'!$H$34&gt;'Bonding Program'!$C$8,AM$3='Bonding Program'!$H$34),'Bonding Program'!$T$34-'Bonding Program'!$U$34-'Bonding Program'!$Z$34,0)-IF(AND('Bonding Program'!$S$34=1,'Bonding Program'!$H$34&lt;='Bonding Program'!$C$8,AM$3=IF('Bonding Program'!$P$34&lt;&gt;"",'Bonding Program'!$P$34,'Bonding Program'!$C$8)),'Bonding Program'!$Z$34,0)+IF(AND('Bonding Program'!$P$34&lt;&gt;"",AM$3='Bonding Program'!$P$34,AM$3&lt;='Bonding Program'!$C$8),N('Bonding Program'!$O$34),0)</f>
        <v>0</v>
      </c>
      <c r="AN175" s="19" t="n">
        <f aca="false">IF(AND('Bonding Program'!$S$34=1,'Bonding Program'!$H$34&gt;'Bonding Program'!$C$8,AN$3='Bonding Program'!$H$34),'Bonding Program'!$T$34-'Bonding Program'!$U$34-'Bonding Program'!$Z$34,0)-IF(AND('Bonding Program'!$S$34=1,'Bonding Program'!$H$34&lt;='Bonding Program'!$C$8,AN$3=IF('Bonding Program'!$P$34&lt;&gt;"",'Bonding Program'!$P$34,'Bonding Program'!$C$8)),'Bonding Program'!$Z$34,0)+IF(AND('Bonding Program'!$P$34&lt;&gt;"",AN$3='Bonding Program'!$P$34,AN$3&lt;='Bonding Program'!$C$8),N('Bonding Program'!$O$34),0)</f>
        <v>0</v>
      </c>
      <c r="AO175" s="19" t="n">
        <f aca="false">IF(AND('Bonding Program'!$S$34=1,'Bonding Program'!$H$34&gt;'Bonding Program'!$C$8,AO$3='Bonding Program'!$H$34),'Bonding Program'!$T$34-'Bonding Program'!$U$34-'Bonding Program'!$Z$34,0)-IF(AND('Bonding Program'!$S$34=1,'Bonding Program'!$H$34&lt;='Bonding Program'!$C$8,AO$3=IF('Bonding Program'!$P$34&lt;&gt;"",'Bonding Program'!$P$34,'Bonding Program'!$C$8)),'Bonding Program'!$Z$34,0)+IF(AND('Bonding Program'!$P$34&lt;&gt;"",AO$3='Bonding Program'!$P$34,AO$3&lt;='Bonding Program'!$C$8),N('Bonding Program'!$O$34),0)</f>
        <v>0</v>
      </c>
      <c r="AP175" s="19" t="n">
        <f aca="false">IF(AND('Bonding Program'!$S$34=1,'Bonding Program'!$H$34&gt;'Bonding Program'!$C$8,AP$3='Bonding Program'!$H$34),'Bonding Program'!$T$34-'Bonding Program'!$U$34-'Bonding Program'!$Z$34,0)-IF(AND('Bonding Program'!$S$34=1,'Bonding Program'!$H$34&lt;='Bonding Program'!$C$8,AP$3=IF('Bonding Program'!$P$34&lt;&gt;"",'Bonding Program'!$P$34,'Bonding Program'!$C$8)),'Bonding Program'!$Z$34,0)+IF(AND('Bonding Program'!$P$34&lt;&gt;"",AP$3='Bonding Program'!$P$34,AP$3&lt;='Bonding Program'!$C$8),N('Bonding Program'!$O$34),0)</f>
        <v>0</v>
      </c>
      <c r="AQ175" s="19" t="n">
        <f aca="false">IF(AND('Bonding Program'!$S$34=1,'Bonding Program'!$H$34&gt;'Bonding Program'!$C$8,AQ$3='Bonding Program'!$H$34),'Bonding Program'!$T$34-'Bonding Program'!$U$34-'Bonding Program'!$Z$34,0)-IF(AND('Bonding Program'!$S$34=1,'Bonding Program'!$H$34&lt;='Bonding Program'!$C$8,AQ$3=IF('Bonding Program'!$P$34&lt;&gt;"",'Bonding Program'!$P$34,'Bonding Program'!$C$8)),'Bonding Program'!$Z$34,0)+IF(AND('Bonding Program'!$P$34&lt;&gt;"",AQ$3='Bonding Program'!$P$34,AQ$3&lt;='Bonding Program'!$C$8),N('Bonding Program'!$O$34),0)</f>
        <v>0</v>
      </c>
      <c r="AR175" s="19" t="n">
        <f aca="false">IF(AND('Bonding Program'!$S$34=1,'Bonding Program'!$H$34&gt;'Bonding Program'!$C$8,AR$3='Bonding Program'!$H$34),'Bonding Program'!$T$34-'Bonding Program'!$U$34-'Bonding Program'!$Z$34,0)-IF(AND('Bonding Program'!$S$34=1,'Bonding Program'!$H$34&lt;='Bonding Program'!$C$8,AR$3=IF('Bonding Program'!$P$34&lt;&gt;"",'Bonding Program'!$P$34,'Bonding Program'!$C$8)),'Bonding Program'!$Z$34,0)+IF(AND('Bonding Program'!$P$34&lt;&gt;"",AR$3='Bonding Program'!$P$34,AR$3&lt;='Bonding Program'!$C$8),N('Bonding Program'!$O$34),0)</f>
        <v>0</v>
      </c>
      <c r="AS175" s="19" t="n">
        <f aca="false">IF(AND('Bonding Program'!$S$34=1,'Bonding Program'!$H$34&gt;'Bonding Program'!$C$8,AS$3='Bonding Program'!$H$34),'Bonding Program'!$T$34-'Bonding Program'!$U$34-'Bonding Program'!$Z$34,0)-IF(AND('Bonding Program'!$S$34=1,'Bonding Program'!$H$34&lt;='Bonding Program'!$C$8,AS$3=IF('Bonding Program'!$P$34&lt;&gt;"",'Bonding Program'!$P$34,'Bonding Program'!$C$8)),'Bonding Program'!$Z$34,0)+IF(AND('Bonding Program'!$P$34&lt;&gt;"",AS$3='Bonding Program'!$P$34,AS$3&lt;='Bonding Program'!$C$8),N('Bonding Program'!$O$34),0)</f>
        <v>0</v>
      </c>
      <c r="AT175" s="19" t="n">
        <f aca="false">IF(AND('Bonding Program'!$S$34=1,'Bonding Program'!$H$34&gt;'Bonding Program'!$C$8,AT$3='Bonding Program'!$H$34),'Bonding Program'!$T$34-'Bonding Program'!$U$34-'Bonding Program'!$Z$34,0)-IF(AND('Bonding Program'!$S$34=1,'Bonding Program'!$H$34&lt;='Bonding Program'!$C$8,AT$3=IF('Bonding Program'!$P$34&lt;&gt;"",'Bonding Program'!$P$34,'Bonding Program'!$C$8)),'Bonding Program'!$Z$34,0)+IF(AND('Bonding Program'!$P$34&lt;&gt;"",AT$3='Bonding Program'!$P$34,AT$3&lt;='Bonding Program'!$C$8),N('Bonding Program'!$O$34),0)</f>
        <v>0</v>
      </c>
      <c r="AU175" s="19" t="n">
        <f aca="false">IF(AND('Bonding Program'!$S$34=1,'Bonding Program'!$H$34&gt;'Bonding Program'!$C$8,AU$3='Bonding Program'!$H$34),'Bonding Program'!$T$34-'Bonding Program'!$U$34-'Bonding Program'!$Z$34,0)-IF(AND('Bonding Program'!$S$34=1,'Bonding Program'!$H$34&lt;='Bonding Program'!$C$8,AU$3=IF('Bonding Program'!$P$34&lt;&gt;"",'Bonding Program'!$P$34,'Bonding Program'!$C$8)),'Bonding Program'!$Z$34,0)+IF(AND('Bonding Program'!$P$34&lt;&gt;"",AU$3='Bonding Program'!$P$34,AU$3&lt;='Bonding Program'!$C$8),N('Bonding Program'!$O$34),0)</f>
        <v>0</v>
      </c>
      <c r="AV175" s="19" t="n">
        <f aca="false">IF(AND('Bonding Program'!$S$34=1,'Bonding Program'!$H$34&gt;'Bonding Program'!$C$8,AV$3='Bonding Program'!$H$34),'Bonding Program'!$T$34-'Bonding Program'!$U$34-'Bonding Program'!$Z$34,0)-IF(AND('Bonding Program'!$S$34=1,'Bonding Program'!$H$34&lt;='Bonding Program'!$C$8,AV$3=IF('Bonding Program'!$P$34&lt;&gt;"",'Bonding Program'!$P$34,'Bonding Program'!$C$8)),'Bonding Program'!$Z$34,0)+IF(AND('Bonding Program'!$P$34&lt;&gt;"",AV$3='Bonding Program'!$P$34,AV$3&lt;='Bonding Program'!$C$8),N('Bonding Program'!$O$34),0)</f>
        <v>0</v>
      </c>
      <c r="AW175" s="19" t="n">
        <f aca="false">IF(AND('Bonding Program'!$S$34=1,'Bonding Program'!$H$34&gt;'Bonding Program'!$C$8,AW$3='Bonding Program'!$H$34),'Bonding Program'!$T$34-'Bonding Program'!$U$34-'Bonding Program'!$Z$34,0)-IF(AND('Bonding Program'!$S$34=1,'Bonding Program'!$H$34&lt;='Bonding Program'!$C$8,AW$3=IF('Bonding Program'!$P$34&lt;&gt;"",'Bonding Program'!$P$34,'Bonding Program'!$C$8)),'Bonding Program'!$Z$34,0)+IF(AND('Bonding Program'!$P$34&lt;&gt;"",AW$3='Bonding Program'!$P$34,AW$3&lt;='Bonding Program'!$C$8),N('Bonding Program'!$O$34),0)</f>
        <v>0</v>
      </c>
      <c r="AX175" s="19" t="n">
        <f aca="false">IF(AND('Bonding Program'!$S$34=1,'Bonding Program'!$H$34&gt;'Bonding Program'!$C$8,AX$3='Bonding Program'!$H$34),'Bonding Program'!$T$34-'Bonding Program'!$U$34-'Bonding Program'!$Z$34,0)-IF(AND('Bonding Program'!$S$34=1,'Bonding Program'!$H$34&lt;='Bonding Program'!$C$8,AX$3=IF('Bonding Program'!$P$34&lt;&gt;"",'Bonding Program'!$P$34,'Bonding Program'!$C$8)),'Bonding Program'!$Z$34,0)+IF(AND('Bonding Program'!$P$34&lt;&gt;"",AX$3='Bonding Program'!$P$34,AX$3&lt;='Bonding Program'!$C$8),N('Bonding Program'!$O$34),0)</f>
        <v>0</v>
      </c>
      <c r="AY175" s="19" t="n">
        <f aca="false">IF(AND('Bonding Program'!$S$34=1,'Bonding Program'!$H$34&gt;'Bonding Program'!$C$8,AY$3='Bonding Program'!$H$34),'Bonding Program'!$T$34-'Bonding Program'!$U$34-'Bonding Program'!$Z$34,0)-IF(AND('Bonding Program'!$S$34=1,'Bonding Program'!$H$34&lt;='Bonding Program'!$C$8,AY$3=IF('Bonding Program'!$P$34&lt;&gt;"",'Bonding Program'!$P$34,'Bonding Program'!$C$8)),'Bonding Program'!$Z$34,0)+IF(AND('Bonding Program'!$P$34&lt;&gt;"",AY$3='Bonding Program'!$P$34,AY$3&lt;='Bonding Program'!$C$8),N('Bonding Program'!$O$34),0)</f>
        <v>0</v>
      </c>
      <c r="AZ175" s="19" t="n">
        <f aca="false">IF(AND('Bonding Program'!$S$34=1,'Bonding Program'!$H$34&gt;'Bonding Program'!$C$8,AZ$3='Bonding Program'!$H$34),'Bonding Program'!$T$34-'Bonding Program'!$U$34-'Bonding Program'!$Z$34,0)-IF(AND('Bonding Program'!$S$34=1,'Bonding Program'!$H$34&lt;='Bonding Program'!$C$8,AZ$3=IF('Bonding Program'!$P$34&lt;&gt;"",'Bonding Program'!$P$34,'Bonding Program'!$C$8)),'Bonding Program'!$Z$34,0)+IF(AND('Bonding Program'!$P$34&lt;&gt;"",AZ$3='Bonding Program'!$P$34,AZ$3&lt;='Bonding Program'!$C$8),N('Bonding Program'!$O$34),0)</f>
        <v>0</v>
      </c>
      <c r="BA175" s="19" t="n">
        <f aca="false">IF(AND('Bonding Program'!$S$34=1,'Bonding Program'!$H$34&gt;'Bonding Program'!$C$8,BA$3='Bonding Program'!$H$34),'Bonding Program'!$T$34-'Bonding Program'!$U$34-'Bonding Program'!$Z$34,0)-IF(AND('Bonding Program'!$S$34=1,'Bonding Program'!$H$34&lt;='Bonding Program'!$C$8,BA$3=IF('Bonding Program'!$P$34&lt;&gt;"",'Bonding Program'!$P$34,'Bonding Program'!$C$8)),'Bonding Program'!$Z$34,0)+IF(AND('Bonding Program'!$P$34&lt;&gt;"",BA$3='Bonding Program'!$P$34,BA$3&lt;='Bonding Program'!$C$8),N('Bonding Program'!$O$34),0)</f>
        <v>0</v>
      </c>
      <c r="BB175" s="19" t="n">
        <f aca="false">IF(AND('Bonding Program'!$S$34=1,'Bonding Program'!$H$34&gt;'Bonding Program'!$C$8,BB$3='Bonding Program'!$H$34),'Bonding Program'!$T$34-'Bonding Program'!$U$34-'Bonding Program'!$Z$34,0)-IF(AND('Bonding Program'!$S$34=1,'Bonding Program'!$H$34&lt;='Bonding Program'!$C$8,BB$3=IF('Bonding Program'!$P$34&lt;&gt;"",'Bonding Program'!$P$34,'Bonding Program'!$C$8)),'Bonding Program'!$Z$34,0)+IF(AND('Bonding Program'!$P$34&lt;&gt;"",BB$3='Bonding Program'!$P$34,BB$3&lt;='Bonding Program'!$C$8),N('Bonding Program'!$O$34),0)</f>
        <v>0</v>
      </c>
      <c r="BC175" s="19" t="n">
        <f aca="false">IF(AND('Bonding Program'!$S$34=1,'Bonding Program'!$H$34&gt;'Bonding Program'!$C$8,BC$3='Bonding Program'!$H$34),'Bonding Program'!$T$34-'Bonding Program'!$U$34-'Bonding Program'!$Z$34,0)-IF(AND('Bonding Program'!$S$34=1,'Bonding Program'!$H$34&lt;='Bonding Program'!$C$8,BC$3=IF('Bonding Program'!$P$34&lt;&gt;"",'Bonding Program'!$P$34,'Bonding Program'!$C$8)),'Bonding Program'!$Z$34,0)+IF(AND('Bonding Program'!$P$34&lt;&gt;"",BC$3='Bonding Program'!$P$34,BC$3&lt;='Bonding Program'!$C$8),N('Bonding Program'!$O$34),0)</f>
        <v>0</v>
      </c>
      <c r="BD175" s="19" t="n">
        <f aca="false">IF(AND('Bonding Program'!$S$34=1,'Bonding Program'!$H$34&gt;'Bonding Program'!$C$8,BD$3='Bonding Program'!$H$34),'Bonding Program'!$T$34-'Bonding Program'!$U$34-'Bonding Program'!$Z$34,0)-IF(AND('Bonding Program'!$S$34=1,'Bonding Program'!$H$34&lt;='Bonding Program'!$C$8,BD$3=IF('Bonding Program'!$P$34&lt;&gt;"",'Bonding Program'!$P$34,'Bonding Program'!$C$8)),'Bonding Program'!$Z$34,0)+IF(AND('Bonding Program'!$P$34&lt;&gt;"",BD$3='Bonding Program'!$P$34,BD$3&lt;='Bonding Program'!$C$8),N('Bonding Program'!$O$34),0)</f>
        <v>0</v>
      </c>
      <c r="BE175" s="19" t="n">
        <f aca="false">IF(AND('Bonding Program'!$S$34=1,'Bonding Program'!$H$34&gt;'Bonding Program'!$C$8,BE$3='Bonding Program'!$H$34),'Bonding Program'!$T$34-'Bonding Program'!$U$34-'Bonding Program'!$Z$34,0)-IF(AND('Bonding Program'!$S$34=1,'Bonding Program'!$H$34&lt;='Bonding Program'!$C$8,BE$3=IF('Bonding Program'!$P$34&lt;&gt;"",'Bonding Program'!$P$34,'Bonding Program'!$C$8)),'Bonding Program'!$Z$34,0)+IF(AND('Bonding Program'!$P$34&lt;&gt;"",BE$3='Bonding Program'!$P$34,BE$3&lt;='Bonding Program'!$C$8),N('Bonding Program'!$O$34),0)</f>
        <v>0</v>
      </c>
      <c r="BF175" s="19" t="n">
        <f aca="false">IF(AND('Bonding Program'!$S$34=1,'Bonding Program'!$H$34&gt;'Bonding Program'!$C$8,BF$3='Bonding Program'!$H$34),'Bonding Program'!$T$34-'Bonding Program'!$U$34-'Bonding Program'!$Z$34,0)-IF(AND('Bonding Program'!$S$34=1,'Bonding Program'!$H$34&lt;='Bonding Program'!$C$8,BF$3=IF('Bonding Program'!$P$34&lt;&gt;"",'Bonding Program'!$P$34,'Bonding Program'!$C$8)),'Bonding Program'!$Z$34,0)+IF(AND('Bonding Program'!$P$34&lt;&gt;"",BF$3='Bonding Program'!$P$34,BF$3&lt;='Bonding Program'!$C$8),N('Bonding Program'!$O$34),0)</f>
        <v>0</v>
      </c>
      <c r="BG175" s="19" t="n">
        <f aca="false">IF(AND('Bonding Program'!$S$34=1,'Bonding Program'!$H$34&gt;'Bonding Program'!$C$8,BG$3='Bonding Program'!$H$34),'Bonding Program'!$T$34-'Bonding Program'!$U$34-'Bonding Program'!$Z$34,0)-IF(AND('Bonding Program'!$S$34=1,'Bonding Program'!$H$34&lt;='Bonding Program'!$C$8,BG$3=IF('Bonding Program'!$P$34&lt;&gt;"",'Bonding Program'!$P$34,'Bonding Program'!$C$8)),'Bonding Program'!$Z$34,0)+IF(AND('Bonding Program'!$P$34&lt;&gt;"",BG$3='Bonding Program'!$P$34,BG$3&lt;='Bonding Program'!$C$8),N('Bonding Program'!$O$34),0)</f>
        <v>0</v>
      </c>
      <c r="BH175" s="19" t="n">
        <f aca="false">IF(AND('Bonding Program'!$S$34=1,'Bonding Program'!$H$34&gt;'Bonding Program'!$C$8,BH$3='Bonding Program'!$H$34),'Bonding Program'!$T$34-'Bonding Program'!$U$34-'Bonding Program'!$Z$34,0)-IF(AND('Bonding Program'!$S$34=1,'Bonding Program'!$H$34&lt;='Bonding Program'!$C$8,BH$3=IF('Bonding Program'!$P$34&lt;&gt;"",'Bonding Program'!$P$34,'Bonding Program'!$C$8)),'Bonding Program'!$Z$34,0)+IF(AND('Bonding Program'!$P$34&lt;&gt;"",BH$3='Bonding Program'!$P$34,BH$3&lt;='Bonding Program'!$C$8),N('Bonding Program'!$O$34),0)</f>
        <v>0</v>
      </c>
      <c r="BI175" s="19" t="n">
        <f aca="false">IF(AND('Bonding Program'!$S$34=1,'Bonding Program'!$H$34&gt;'Bonding Program'!$C$8,BI$3='Bonding Program'!$H$34),'Bonding Program'!$T$34-'Bonding Program'!$U$34-'Bonding Program'!$Z$34,0)-IF(AND('Bonding Program'!$S$34=1,'Bonding Program'!$H$34&lt;='Bonding Program'!$C$8,BI$3=IF('Bonding Program'!$P$34&lt;&gt;"",'Bonding Program'!$P$34,'Bonding Program'!$C$8)),'Bonding Program'!$Z$34,0)+IF(AND('Bonding Program'!$P$34&lt;&gt;"",BI$3='Bonding Program'!$P$34,BI$3&lt;='Bonding Program'!$C$8),N('Bonding Program'!$O$34),0)</f>
        <v>0</v>
      </c>
      <c r="BJ175" s="19" t="n">
        <f aca="false">IF(AND('Bonding Program'!$S$34=1,'Bonding Program'!$H$34&gt;'Bonding Program'!$C$8,BJ$3='Bonding Program'!$H$34),'Bonding Program'!$T$34-'Bonding Program'!$U$34-'Bonding Program'!$Z$34,0)-IF(AND('Bonding Program'!$S$34=1,'Bonding Program'!$H$34&lt;='Bonding Program'!$C$8,BJ$3=IF('Bonding Program'!$P$34&lt;&gt;"",'Bonding Program'!$P$34,'Bonding Program'!$C$8)),'Bonding Program'!$Z$34,0)+IF(AND('Bonding Program'!$P$34&lt;&gt;"",BJ$3='Bonding Program'!$P$34,BJ$3&lt;='Bonding Program'!$C$8),N('Bonding Program'!$O$34),0)</f>
        <v>0</v>
      </c>
      <c r="BK175" s="19" t="n">
        <f aca="false">IF(AND('Bonding Program'!$S$34=1,'Bonding Program'!$H$34&gt;'Bonding Program'!$C$8,BK$3='Bonding Program'!$H$34),'Bonding Program'!$T$34-'Bonding Program'!$U$34-'Bonding Program'!$Z$34,0)-IF(AND('Bonding Program'!$S$34=1,'Bonding Program'!$H$34&lt;='Bonding Program'!$C$8,BK$3=IF('Bonding Program'!$P$34&lt;&gt;"",'Bonding Program'!$P$34,'Bonding Program'!$C$8)),'Bonding Program'!$Z$34,0)+IF(AND('Bonding Program'!$P$34&lt;&gt;"",BK$3='Bonding Program'!$P$34,BK$3&lt;='Bonding Program'!$C$8),N('Bonding Program'!$O$34),0)</f>
        <v>0</v>
      </c>
      <c r="BL175" s="19" t="n">
        <f aca="false">IF(AND('Bonding Program'!$S$34=1,'Bonding Program'!$H$34&gt;'Bonding Program'!$C$8,BL$3='Bonding Program'!$H$34),'Bonding Program'!$T$34-'Bonding Program'!$U$34-'Bonding Program'!$Z$34,0)-IF(AND('Bonding Program'!$S$34=1,'Bonding Program'!$H$34&lt;='Bonding Program'!$C$8,BL$3=IF('Bonding Program'!$P$34&lt;&gt;"",'Bonding Program'!$P$34,'Bonding Program'!$C$8)),'Bonding Program'!$Z$34,0)+IF(AND('Bonding Program'!$P$34&lt;&gt;"",BL$3='Bonding Program'!$P$34,BL$3&lt;='Bonding Program'!$C$8),N('Bonding Program'!$O$34),0)</f>
        <v>0</v>
      </c>
      <c r="BM175" s="19" t="n">
        <f aca="false">IF(AND('Bonding Program'!$S$34=1,'Bonding Program'!$H$34&gt;'Bonding Program'!$C$8,BM$3='Bonding Program'!$H$34),'Bonding Program'!$T$34-'Bonding Program'!$U$34-'Bonding Program'!$Z$34,0)-IF(AND('Bonding Program'!$S$34=1,'Bonding Program'!$H$34&lt;='Bonding Program'!$C$8,BM$3=IF('Bonding Program'!$P$34&lt;&gt;"",'Bonding Program'!$P$34,'Bonding Program'!$C$8)),'Bonding Program'!$Z$34,0)+IF(AND('Bonding Program'!$P$34&lt;&gt;"",BM$3='Bonding Program'!$P$34,BM$3&lt;='Bonding Program'!$C$8),N('Bonding Program'!$O$34),0)</f>
        <v>0</v>
      </c>
      <c r="BN175" s="19" t="n">
        <f aca="false">IF(AND('Bonding Program'!$S$34=1,'Bonding Program'!$H$34&gt;'Bonding Program'!$C$8,BN$3='Bonding Program'!$H$34),'Bonding Program'!$T$34-'Bonding Program'!$U$34-'Bonding Program'!$Z$34,0)-IF(AND('Bonding Program'!$S$34=1,'Bonding Program'!$H$34&lt;='Bonding Program'!$C$8,BN$3=IF('Bonding Program'!$P$34&lt;&gt;"",'Bonding Program'!$P$34,'Bonding Program'!$C$8)),'Bonding Program'!$Z$34,0)+IF(AND('Bonding Program'!$P$34&lt;&gt;"",BN$3='Bonding Program'!$P$34,BN$3&lt;='Bonding Program'!$C$8),N('Bonding Program'!$O$34),0)</f>
        <v>0</v>
      </c>
      <c r="BO175" s="19" t="n">
        <f aca="false">IF(AND('Bonding Program'!$S$34=1,'Bonding Program'!$H$34&gt;'Bonding Program'!$C$8,BO$3='Bonding Program'!$H$34),'Bonding Program'!$T$34-'Bonding Program'!$U$34-'Bonding Program'!$Z$34,0)-IF(AND('Bonding Program'!$S$34=1,'Bonding Program'!$H$34&lt;='Bonding Program'!$C$8,BO$3=IF('Bonding Program'!$P$34&lt;&gt;"",'Bonding Program'!$P$34,'Bonding Program'!$C$8)),'Bonding Program'!$Z$34,0)+IF(AND('Bonding Program'!$P$34&lt;&gt;"",BO$3='Bonding Program'!$P$34,BO$3&lt;='Bonding Program'!$C$8),N('Bonding Program'!$O$34),0)</f>
        <v>0</v>
      </c>
      <c r="BP175" s="19" t="n">
        <f aca="false">IF(AND('Bonding Program'!$S$34=1,'Bonding Program'!$H$34&gt;'Bonding Program'!$C$8,BP$3='Bonding Program'!$H$34),'Bonding Program'!$T$34-'Bonding Program'!$U$34-'Bonding Program'!$Z$34,0)-IF(AND('Bonding Program'!$S$34=1,'Bonding Program'!$H$34&lt;='Bonding Program'!$C$8,BP$3=IF('Bonding Program'!$P$34&lt;&gt;"",'Bonding Program'!$P$34,'Bonding Program'!$C$8)),'Bonding Program'!$Z$34,0)+IF(AND('Bonding Program'!$P$34&lt;&gt;"",BP$3='Bonding Program'!$P$34,BP$3&lt;='Bonding Program'!$C$8),N('Bonding Program'!$O$34),0)</f>
        <v>0</v>
      </c>
      <c r="BQ175" s="19" t="n">
        <f aca="false">IF(AND('Bonding Program'!$S$34=1,'Bonding Program'!$H$34&gt;'Bonding Program'!$C$8,BQ$3='Bonding Program'!$H$34),'Bonding Program'!$T$34-'Bonding Program'!$U$34-'Bonding Program'!$Z$34,0)-IF(AND('Bonding Program'!$S$34=1,'Bonding Program'!$H$34&lt;='Bonding Program'!$C$8,BQ$3=IF('Bonding Program'!$P$34&lt;&gt;"",'Bonding Program'!$P$34,'Bonding Program'!$C$8)),'Bonding Program'!$Z$34,0)+IF(AND('Bonding Program'!$P$34&lt;&gt;"",BQ$3='Bonding Program'!$P$34,BQ$3&lt;='Bonding Program'!$C$8),N('Bonding Program'!$O$34),0)</f>
        <v>0</v>
      </c>
      <c r="BR175" s="19" t="n">
        <f aca="false">IF(AND('Bonding Program'!$S$34=1,'Bonding Program'!$H$34&gt;'Bonding Program'!$C$8,BR$3='Bonding Program'!$H$34),'Bonding Program'!$T$34-'Bonding Program'!$U$34-'Bonding Program'!$Z$34,0)-IF(AND('Bonding Program'!$S$34=1,'Bonding Program'!$H$34&lt;='Bonding Program'!$C$8,BR$3=IF('Bonding Program'!$P$34&lt;&gt;"",'Bonding Program'!$P$34,'Bonding Program'!$C$8)),'Bonding Program'!$Z$34,0)+IF(AND('Bonding Program'!$P$34&lt;&gt;"",BR$3='Bonding Program'!$P$34,BR$3&lt;='Bonding Program'!$C$8),N('Bonding Program'!$O$34),0)</f>
        <v>0</v>
      </c>
      <c r="BS175" s="19" t="n">
        <f aca="false">IF(AND('Bonding Program'!$S$34=1,'Bonding Program'!$H$34&gt;'Bonding Program'!$C$8,BS$3='Bonding Program'!$H$34),'Bonding Program'!$T$34-'Bonding Program'!$U$34-'Bonding Program'!$Z$34,0)-IF(AND('Bonding Program'!$S$34=1,'Bonding Program'!$H$34&lt;='Bonding Program'!$C$8,BS$3=IF('Bonding Program'!$P$34&lt;&gt;"",'Bonding Program'!$P$34,'Bonding Program'!$C$8)),'Bonding Program'!$Z$34,0)+IF(AND('Bonding Program'!$P$34&lt;&gt;"",BS$3='Bonding Program'!$P$34,BS$3&lt;='Bonding Program'!$C$8),N('Bonding Program'!$O$34),0)</f>
        <v>0</v>
      </c>
      <c r="BT175" s="19" t="n">
        <f aca="false">IF(AND('Bonding Program'!$S$34=1,'Bonding Program'!$H$34&gt;'Bonding Program'!$C$8,BT$3='Bonding Program'!$H$34),'Bonding Program'!$T$34-'Bonding Program'!$U$34-'Bonding Program'!$Z$34,0)-IF(AND('Bonding Program'!$S$34=1,'Bonding Program'!$H$34&lt;='Bonding Program'!$C$8,BT$3=IF('Bonding Program'!$P$34&lt;&gt;"",'Bonding Program'!$P$34,'Bonding Program'!$C$8)),'Bonding Program'!$Z$34,0)+IF(AND('Bonding Program'!$P$34&lt;&gt;"",BT$3='Bonding Program'!$P$34,BT$3&lt;='Bonding Program'!$C$8),N('Bonding Program'!$O$34),0)</f>
        <v>0</v>
      </c>
      <c r="BU175" s="19" t="n">
        <f aca="false">IF(AND('Bonding Program'!$S$34=1,'Bonding Program'!$H$34&gt;'Bonding Program'!$C$8,BU$3='Bonding Program'!$H$34),'Bonding Program'!$T$34-'Bonding Program'!$U$34-'Bonding Program'!$Z$34,0)-IF(AND('Bonding Program'!$S$34=1,'Bonding Program'!$H$34&lt;='Bonding Program'!$C$8,BU$3=IF('Bonding Program'!$P$34&lt;&gt;"",'Bonding Program'!$P$34,'Bonding Program'!$C$8)),'Bonding Program'!$Z$34,0)+IF(AND('Bonding Program'!$P$34&lt;&gt;"",BU$3='Bonding Program'!$P$34,BU$3&lt;='Bonding Program'!$C$8),N('Bonding Program'!$O$34),0)</f>
        <v>0</v>
      </c>
      <c r="BV175" s="19" t="n">
        <f aca="false">IF(AND('Bonding Program'!$S$34=1,'Bonding Program'!$H$34&gt;'Bonding Program'!$C$8,BV$3='Bonding Program'!$H$34),'Bonding Program'!$T$34-'Bonding Program'!$U$34-'Bonding Program'!$Z$34,0)-IF(AND('Bonding Program'!$S$34=1,'Bonding Program'!$H$34&lt;='Bonding Program'!$C$8,BV$3=IF('Bonding Program'!$P$34&lt;&gt;"",'Bonding Program'!$P$34,'Bonding Program'!$C$8)),'Bonding Program'!$Z$34,0)+IF(AND('Bonding Program'!$P$34&lt;&gt;"",BV$3='Bonding Program'!$P$34,BV$3&lt;='Bonding Program'!$C$8),N('Bonding Program'!$O$34),0)</f>
        <v>0</v>
      </c>
      <c r="BW175" s="19" t="n">
        <f aca="false">IF(AND('Bonding Program'!$S$34=1,'Bonding Program'!$H$34&gt;'Bonding Program'!$C$8,BW$3='Bonding Program'!$H$34),'Bonding Program'!$T$34-'Bonding Program'!$U$34-'Bonding Program'!$Z$34,0)-IF(AND('Bonding Program'!$S$34=1,'Bonding Program'!$H$34&lt;='Bonding Program'!$C$8,BW$3=IF('Bonding Program'!$P$34&lt;&gt;"",'Bonding Program'!$P$34,'Bonding Program'!$C$8)),'Bonding Program'!$Z$34,0)+IF(AND('Bonding Program'!$P$34&lt;&gt;"",BW$3='Bonding Program'!$P$34,BW$3&lt;='Bonding Program'!$C$8),N('Bonding Program'!$O$34),0)</f>
        <v>0</v>
      </c>
      <c r="BX175" s="19" t="n">
        <f aca="false">IF(AND('Bonding Program'!$S$34=1,'Bonding Program'!$H$34&gt;'Bonding Program'!$C$8,BX$3='Bonding Program'!$H$34),'Bonding Program'!$T$34-'Bonding Program'!$U$34-'Bonding Program'!$Z$34,0)-IF(AND('Bonding Program'!$S$34=1,'Bonding Program'!$H$34&lt;='Bonding Program'!$C$8,BX$3=IF('Bonding Program'!$P$34&lt;&gt;"",'Bonding Program'!$P$34,'Bonding Program'!$C$8)),'Bonding Program'!$Z$34,0)+IF(AND('Bonding Program'!$P$34&lt;&gt;"",BX$3='Bonding Program'!$P$34,BX$3&lt;='Bonding Program'!$C$8),N('Bonding Program'!$O$34),0)</f>
        <v>0</v>
      </c>
      <c r="BY175" s="19" t="n">
        <f aca="false">IF(AND('Bonding Program'!$S$34=1,'Bonding Program'!$H$34&gt;'Bonding Program'!$C$8,BY$3='Bonding Program'!$H$34),'Bonding Program'!$T$34-'Bonding Program'!$U$34-'Bonding Program'!$Z$34,0)-IF(AND('Bonding Program'!$S$34=1,'Bonding Program'!$H$34&lt;='Bonding Program'!$C$8,BY$3=IF('Bonding Program'!$P$34&lt;&gt;"",'Bonding Program'!$P$34,'Bonding Program'!$C$8)),'Bonding Program'!$Z$34,0)+IF(AND('Bonding Program'!$P$34&lt;&gt;"",BY$3='Bonding Program'!$P$34,BY$3&lt;='Bonding Program'!$C$8),N('Bonding Program'!$O$34),0)</f>
        <v>0</v>
      </c>
      <c r="BZ175" s="19" t="n">
        <f aca="false">IF(AND('Bonding Program'!$S$34=1,'Bonding Program'!$H$34&gt;'Bonding Program'!$C$8,BZ$3='Bonding Program'!$H$34),'Bonding Program'!$T$34-'Bonding Program'!$U$34-'Bonding Program'!$Z$34,0)-IF(AND('Bonding Program'!$S$34=1,'Bonding Program'!$H$34&lt;='Bonding Program'!$C$8,BZ$3=IF('Bonding Program'!$P$34&lt;&gt;"",'Bonding Program'!$P$34,'Bonding Program'!$C$8)),'Bonding Program'!$Z$34,0)+IF(AND('Bonding Program'!$P$34&lt;&gt;"",BZ$3='Bonding Program'!$P$34,BZ$3&lt;='Bonding Program'!$C$8),N('Bonding Program'!$O$34),0)</f>
        <v>0</v>
      </c>
      <c r="CA175" s="19" t="n">
        <f aca="false">IF(AND('Bonding Program'!$S$34=1,'Bonding Program'!$H$34&gt;'Bonding Program'!$C$8,CA$3='Bonding Program'!$H$34),'Bonding Program'!$T$34-'Bonding Program'!$U$34-'Bonding Program'!$Z$34,0)-IF(AND('Bonding Program'!$S$34=1,'Bonding Program'!$H$34&lt;='Bonding Program'!$C$8,CA$3=IF('Bonding Program'!$P$34&lt;&gt;"",'Bonding Program'!$P$34,'Bonding Program'!$C$8)),'Bonding Program'!$Z$34,0)+IF(AND('Bonding Program'!$P$34&lt;&gt;"",CA$3='Bonding Program'!$P$34,CA$3&lt;='Bonding Program'!$C$8),N('Bonding Program'!$O$34),0)</f>
        <v>0</v>
      </c>
      <c r="CB175" s="19" t="n">
        <f aca="false">IF(AND('Bonding Program'!$S$34=1,'Bonding Program'!$H$34&gt;'Bonding Program'!$C$8,CB$3='Bonding Program'!$H$34),'Bonding Program'!$T$34-'Bonding Program'!$U$34-'Bonding Program'!$Z$34,0)-IF(AND('Bonding Program'!$S$34=1,'Bonding Program'!$H$34&lt;='Bonding Program'!$C$8,CB$3=IF('Bonding Program'!$P$34&lt;&gt;"",'Bonding Program'!$P$34,'Bonding Program'!$C$8)),'Bonding Program'!$Z$34,0)+IF(AND('Bonding Program'!$P$34&lt;&gt;"",CB$3='Bonding Program'!$P$34,CB$3&lt;='Bonding Program'!$C$8),N('Bonding Program'!$O$34),0)</f>
        <v>0</v>
      </c>
      <c r="CC175" s="19" t="n">
        <f aca="false">IF(AND('Bonding Program'!$S$34=1,'Bonding Program'!$H$34&gt;'Bonding Program'!$C$8,CC$3='Bonding Program'!$H$34),'Bonding Program'!$T$34-'Bonding Program'!$U$34-'Bonding Program'!$Z$34,0)-IF(AND('Bonding Program'!$S$34=1,'Bonding Program'!$H$34&lt;='Bonding Program'!$C$8,CC$3=IF('Bonding Program'!$P$34&lt;&gt;"",'Bonding Program'!$P$34,'Bonding Program'!$C$8)),'Bonding Program'!$Z$34,0)+IF(AND('Bonding Program'!$P$34&lt;&gt;"",CC$3='Bonding Program'!$P$34,CC$3&lt;='Bonding Program'!$C$8),N('Bonding Program'!$O$34),0)</f>
        <v>0</v>
      </c>
      <c r="CD175" s="19" t="n">
        <f aca="false">IF(AND('Bonding Program'!$S$34=1,'Bonding Program'!$H$34&gt;'Bonding Program'!$C$8,CD$3='Bonding Program'!$H$34),'Bonding Program'!$T$34-'Bonding Program'!$U$34-'Bonding Program'!$Z$34,0)-IF(AND('Bonding Program'!$S$34=1,'Bonding Program'!$H$34&lt;='Bonding Program'!$C$8,CD$3=IF('Bonding Program'!$P$34&lt;&gt;"",'Bonding Program'!$P$34,'Bonding Program'!$C$8)),'Bonding Program'!$Z$34,0)+IF(AND('Bonding Program'!$P$34&lt;&gt;"",CD$3='Bonding Program'!$P$34,CD$3&lt;='Bonding Program'!$C$8),N('Bonding Program'!$O$34),0)</f>
        <v>0</v>
      </c>
      <c r="CE175" s="19" t="n">
        <f aca="false">IF(AND('Bonding Program'!$S$34=1,'Bonding Program'!$H$34&gt;'Bonding Program'!$C$8,CE$3='Bonding Program'!$H$34),'Bonding Program'!$T$34-'Bonding Program'!$U$34-'Bonding Program'!$Z$34,0)-IF(AND('Bonding Program'!$S$34=1,'Bonding Program'!$H$34&lt;='Bonding Program'!$C$8,CE$3=IF('Bonding Program'!$P$34&lt;&gt;"",'Bonding Program'!$P$34,'Bonding Program'!$C$8)),'Bonding Program'!$Z$34,0)+IF(AND('Bonding Program'!$P$34&lt;&gt;"",CE$3='Bonding Program'!$P$34,CE$3&lt;='Bonding Program'!$C$8),N('Bonding Program'!$O$34),0)</f>
        <v>0</v>
      </c>
      <c r="CF175" s="19" t="n">
        <f aca="false">IF(AND('Bonding Program'!$S$34=1,'Bonding Program'!$H$34&gt;'Bonding Program'!$C$8,CF$3='Bonding Program'!$H$34),'Bonding Program'!$T$34-'Bonding Program'!$U$34-'Bonding Program'!$Z$34,0)-IF(AND('Bonding Program'!$S$34=1,'Bonding Program'!$H$34&lt;='Bonding Program'!$C$8,CF$3=IF('Bonding Program'!$P$34&lt;&gt;"",'Bonding Program'!$P$34,'Bonding Program'!$C$8)),'Bonding Program'!$Z$34,0)+IF(AND('Bonding Program'!$P$34&lt;&gt;"",CF$3='Bonding Program'!$P$34,CF$3&lt;='Bonding Program'!$C$8),N('Bonding Program'!$O$34),0)</f>
        <v>0</v>
      </c>
      <c r="CG175" s="19" t="n">
        <f aca="false">IF(AND('Bonding Program'!$S$34=1,'Bonding Program'!$H$34&gt;'Bonding Program'!$C$8,CG$3='Bonding Program'!$H$34),'Bonding Program'!$T$34-'Bonding Program'!$U$34-'Bonding Program'!$Z$34,0)-IF(AND('Bonding Program'!$S$34=1,'Bonding Program'!$H$34&lt;='Bonding Program'!$C$8,CG$3=IF('Bonding Program'!$P$34&lt;&gt;"",'Bonding Program'!$P$34,'Bonding Program'!$C$8)),'Bonding Program'!$Z$34,0)+IF(AND('Bonding Program'!$P$34&lt;&gt;"",CG$3='Bonding Program'!$P$34,CG$3&lt;='Bonding Program'!$C$8),N('Bonding Program'!$O$34),0)</f>
        <v>0</v>
      </c>
      <c r="CH175" s="19" t="n">
        <f aca="false">IF(AND('Bonding Program'!$S$34=1,'Bonding Program'!$H$34&gt;'Bonding Program'!$C$8,CH$3='Bonding Program'!$H$34),'Bonding Program'!$T$34-'Bonding Program'!$U$34-'Bonding Program'!$Z$34,0)-IF(AND('Bonding Program'!$S$34=1,'Bonding Program'!$H$34&lt;='Bonding Program'!$C$8,CH$3=IF('Bonding Program'!$P$34&lt;&gt;"",'Bonding Program'!$P$34,'Bonding Program'!$C$8)),'Bonding Program'!$Z$34,0)+IF(AND('Bonding Program'!$P$34&lt;&gt;"",CH$3='Bonding Program'!$P$34,CH$3&lt;='Bonding Program'!$C$8),N('Bonding Program'!$O$34),0)</f>
        <v>0</v>
      </c>
      <c r="CI175" s="19" t="n">
        <f aca="false">IF(AND('Bonding Program'!$S$34=1,'Bonding Program'!$H$34&gt;'Bonding Program'!$C$8,CI$3='Bonding Program'!$H$34),'Bonding Program'!$T$34-'Bonding Program'!$U$34-'Bonding Program'!$Z$34,0)-IF(AND('Bonding Program'!$S$34=1,'Bonding Program'!$H$34&lt;='Bonding Program'!$C$8,CI$3=IF('Bonding Program'!$P$34&lt;&gt;"",'Bonding Program'!$P$34,'Bonding Program'!$C$8)),'Bonding Program'!$Z$34,0)+IF(AND('Bonding Program'!$P$34&lt;&gt;"",CI$3='Bonding Program'!$P$34,CI$3&lt;='Bonding Program'!$C$8),N('Bonding Program'!$O$34),0)</f>
        <v>0</v>
      </c>
      <c r="CJ175" s="19" t="n">
        <f aca="false">IF(AND('Bonding Program'!$S$34=1,'Bonding Program'!$H$34&gt;'Bonding Program'!$C$8,CJ$3='Bonding Program'!$H$34),'Bonding Program'!$T$34-'Bonding Program'!$U$34-'Bonding Program'!$Z$34,0)-IF(AND('Bonding Program'!$S$34=1,'Bonding Program'!$H$34&lt;='Bonding Program'!$C$8,CJ$3=IF('Bonding Program'!$P$34&lt;&gt;"",'Bonding Program'!$P$34,'Bonding Program'!$C$8)),'Bonding Program'!$Z$34,0)+IF(AND('Bonding Program'!$P$34&lt;&gt;"",CJ$3='Bonding Program'!$P$34,CJ$3&lt;='Bonding Program'!$C$8),N('Bonding Program'!$O$34),0)</f>
        <v>0</v>
      </c>
      <c r="CK175" s="19" t="n">
        <f aca="false">IF(AND('Bonding Program'!$S$34=1,'Bonding Program'!$H$34&gt;'Bonding Program'!$C$8,CK$3='Bonding Program'!$H$34),'Bonding Program'!$T$34-'Bonding Program'!$U$34-'Bonding Program'!$Z$34,0)-IF(AND('Bonding Program'!$S$34=1,'Bonding Program'!$H$34&lt;='Bonding Program'!$C$8,CK$3=IF('Bonding Program'!$P$34&lt;&gt;"",'Bonding Program'!$P$34,'Bonding Program'!$C$8)),'Bonding Program'!$Z$34,0)+IF(AND('Bonding Program'!$P$34&lt;&gt;"",CK$3='Bonding Program'!$P$34,CK$3&lt;='Bonding Program'!$C$8),N('Bonding Program'!$O$34),0)</f>
        <v>0</v>
      </c>
      <c r="CL175" s="19" t="n">
        <f aca="false">IF(AND('Bonding Program'!$S$34=1,'Bonding Program'!$H$34&gt;'Bonding Program'!$C$8,CL$3='Bonding Program'!$H$34),'Bonding Program'!$T$34-'Bonding Program'!$U$34-'Bonding Program'!$Z$34,0)-IF(AND('Bonding Program'!$S$34=1,'Bonding Program'!$H$34&lt;='Bonding Program'!$C$8,CL$3=IF('Bonding Program'!$P$34&lt;&gt;"",'Bonding Program'!$P$34,'Bonding Program'!$C$8)),'Bonding Program'!$Z$34,0)+IF(AND('Bonding Program'!$P$34&lt;&gt;"",CL$3='Bonding Program'!$P$34,CL$3&lt;='Bonding Program'!$C$8),N('Bonding Program'!$O$34),0)</f>
        <v>0</v>
      </c>
      <c r="CM175" s="19" t="n">
        <f aca="false">IF(AND('Bonding Program'!$S$34=1,'Bonding Program'!$H$34&gt;'Bonding Program'!$C$8,CM$3='Bonding Program'!$H$34),'Bonding Program'!$T$34-'Bonding Program'!$U$34-'Bonding Program'!$Z$34,0)-IF(AND('Bonding Program'!$S$34=1,'Bonding Program'!$H$34&lt;='Bonding Program'!$C$8,CM$3=IF('Bonding Program'!$P$34&lt;&gt;"",'Bonding Program'!$P$34,'Bonding Program'!$C$8)),'Bonding Program'!$Z$34,0)+IF(AND('Bonding Program'!$P$34&lt;&gt;"",CM$3='Bonding Program'!$P$34,CM$3&lt;='Bonding Program'!$C$8),N('Bonding Program'!$O$34),0)</f>
        <v>0</v>
      </c>
      <c r="CN175" s="19" t="n">
        <f aca="false">IF(AND('Bonding Program'!$S$34=1,'Bonding Program'!$H$34&gt;'Bonding Program'!$C$8,CN$3='Bonding Program'!$H$34),'Bonding Program'!$T$34-'Bonding Program'!$U$34-'Bonding Program'!$Z$34,0)-IF(AND('Bonding Program'!$S$34=1,'Bonding Program'!$H$34&lt;='Bonding Program'!$C$8,CN$3=IF('Bonding Program'!$P$34&lt;&gt;"",'Bonding Program'!$P$34,'Bonding Program'!$C$8)),'Bonding Program'!$Z$34,0)+IF(AND('Bonding Program'!$P$34&lt;&gt;"",CN$3='Bonding Program'!$P$34,CN$3&lt;='Bonding Program'!$C$8),N('Bonding Program'!$O$34),0)</f>
        <v>0</v>
      </c>
      <c r="CO175" s="19" t="n">
        <f aca="false">IF(AND('Bonding Program'!$S$34=1,'Bonding Program'!$H$34&gt;'Bonding Program'!$C$8,CO$3='Bonding Program'!$H$34),'Bonding Program'!$T$34-'Bonding Program'!$U$34-'Bonding Program'!$Z$34,0)-IF(AND('Bonding Program'!$S$34=1,'Bonding Program'!$H$34&lt;='Bonding Program'!$C$8,CO$3=IF('Bonding Program'!$P$34&lt;&gt;"",'Bonding Program'!$P$34,'Bonding Program'!$C$8)),'Bonding Program'!$Z$34,0)+IF(AND('Bonding Program'!$P$34&lt;&gt;"",CO$3='Bonding Program'!$P$34,CO$3&lt;='Bonding Program'!$C$8),N('Bonding Program'!$O$34),0)</f>
        <v>0</v>
      </c>
      <c r="CP175" s="19" t="n">
        <f aca="false">IF(AND('Bonding Program'!$S$34=1,'Bonding Program'!$H$34&gt;'Bonding Program'!$C$8,CP$3='Bonding Program'!$H$34),'Bonding Program'!$T$34-'Bonding Program'!$U$34-'Bonding Program'!$Z$34,0)-IF(AND('Bonding Program'!$S$34=1,'Bonding Program'!$H$34&lt;='Bonding Program'!$C$8,CP$3=IF('Bonding Program'!$P$34&lt;&gt;"",'Bonding Program'!$P$34,'Bonding Program'!$C$8)),'Bonding Program'!$Z$34,0)+IF(AND('Bonding Program'!$P$34&lt;&gt;"",CP$3='Bonding Program'!$P$34,CP$3&lt;='Bonding Program'!$C$8),N('Bonding Program'!$O$34),0)</f>
        <v>0</v>
      </c>
      <c r="CQ175" s="19" t="n">
        <f aca="false">IF(AND('Bonding Program'!$S$34=1,'Bonding Program'!$H$34&gt;'Bonding Program'!$C$8,CQ$3='Bonding Program'!$H$34),'Bonding Program'!$T$34-'Bonding Program'!$U$34-'Bonding Program'!$Z$34,0)-IF(AND('Bonding Program'!$S$34=1,'Bonding Program'!$H$34&lt;='Bonding Program'!$C$8,CQ$3=IF('Bonding Program'!$P$34&lt;&gt;"",'Bonding Program'!$P$34,'Bonding Program'!$C$8)),'Bonding Program'!$Z$34,0)+IF(AND('Bonding Program'!$P$34&lt;&gt;"",CQ$3='Bonding Program'!$P$34,CQ$3&lt;='Bonding Program'!$C$8),N('Bonding Program'!$O$34),0)</f>
        <v>0</v>
      </c>
      <c r="CR175" s="19" t="n">
        <f aca="false">IF(AND('Bonding Program'!$S$34=1,'Bonding Program'!$H$34&gt;'Bonding Program'!$C$8,CR$3='Bonding Program'!$H$34),'Bonding Program'!$T$34-'Bonding Program'!$U$34-'Bonding Program'!$Z$34,0)-IF(AND('Bonding Program'!$S$34=1,'Bonding Program'!$H$34&lt;='Bonding Program'!$C$8,CR$3=IF('Bonding Program'!$P$34&lt;&gt;"",'Bonding Program'!$P$34,'Bonding Program'!$C$8)),'Bonding Program'!$Z$34,0)+IF(AND('Bonding Program'!$P$34&lt;&gt;"",CR$3='Bonding Program'!$P$34,CR$3&lt;='Bonding Program'!$C$8),N('Bonding Program'!$O$34),0)</f>
        <v>0</v>
      </c>
      <c r="CS175" s="19" t="n">
        <f aca="false">IF(AND('Bonding Program'!$S$34=1,'Bonding Program'!$H$34&gt;'Bonding Program'!$C$8,CS$3='Bonding Program'!$H$34),'Bonding Program'!$T$34-'Bonding Program'!$U$34-'Bonding Program'!$Z$34,0)-IF(AND('Bonding Program'!$S$34=1,'Bonding Program'!$H$34&lt;='Bonding Program'!$C$8,CS$3=IF('Bonding Program'!$P$34&lt;&gt;"",'Bonding Program'!$P$34,'Bonding Program'!$C$8)),'Bonding Program'!$Z$34,0)+IF(AND('Bonding Program'!$P$34&lt;&gt;"",CS$3='Bonding Program'!$P$34,CS$3&lt;='Bonding Program'!$C$8),N('Bonding Program'!$O$34),0)</f>
        <v>0</v>
      </c>
      <c r="CT175" s="19" t="n">
        <f aca="false">IF(AND('Bonding Program'!$S$34=1,'Bonding Program'!$H$34&gt;'Bonding Program'!$C$8,CT$3='Bonding Program'!$H$34),'Bonding Program'!$T$34-'Bonding Program'!$U$34-'Bonding Program'!$Z$34,0)-IF(AND('Bonding Program'!$S$34=1,'Bonding Program'!$H$34&lt;='Bonding Program'!$C$8,CT$3=IF('Bonding Program'!$P$34&lt;&gt;"",'Bonding Program'!$P$34,'Bonding Program'!$C$8)),'Bonding Program'!$Z$34,0)+IF(AND('Bonding Program'!$P$34&lt;&gt;"",CT$3='Bonding Program'!$P$34,CT$3&lt;='Bonding Program'!$C$8),N('Bonding Program'!$O$34),0)</f>
        <v>0</v>
      </c>
      <c r="CU175" s="19" t="n">
        <f aca="false">IF(AND('Bonding Program'!$S$34=1,'Bonding Program'!$H$34&gt;'Bonding Program'!$C$8,CU$3='Bonding Program'!$H$34),'Bonding Program'!$T$34-'Bonding Program'!$U$34-'Bonding Program'!$Z$34,0)-IF(AND('Bonding Program'!$S$34=1,'Bonding Program'!$H$34&lt;='Bonding Program'!$C$8,CU$3=IF('Bonding Program'!$P$34&lt;&gt;"",'Bonding Program'!$P$34,'Bonding Program'!$C$8)),'Bonding Program'!$Z$34,0)+IF(AND('Bonding Program'!$P$34&lt;&gt;"",CU$3='Bonding Program'!$P$34,CU$3&lt;='Bonding Program'!$C$8),N('Bonding Program'!$O$34),0)</f>
        <v>0</v>
      </c>
      <c r="CV175" s="19" t="n">
        <f aca="false">IF(AND('Bonding Program'!$S$34=1,'Bonding Program'!$H$34&gt;'Bonding Program'!$C$8,CV$3='Bonding Program'!$H$34),'Bonding Program'!$T$34-'Bonding Program'!$U$34-'Bonding Program'!$Z$34,0)-IF(AND('Bonding Program'!$S$34=1,'Bonding Program'!$H$34&lt;='Bonding Program'!$C$8,CV$3=IF('Bonding Program'!$P$34&lt;&gt;"",'Bonding Program'!$P$34,'Bonding Program'!$C$8)),'Bonding Program'!$Z$34,0)+IF(AND('Bonding Program'!$P$34&lt;&gt;"",CV$3='Bonding Program'!$P$34,CV$3&lt;='Bonding Program'!$C$8),N('Bonding Program'!$O$34),0)</f>
        <v>0</v>
      </c>
      <c r="CW175" s="19" t="n">
        <f aca="false">IF(AND('Bonding Program'!$S$34=1,'Bonding Program'!$H$34&gt;'Bonding Program'!$C$8,CW$3='Bonding Program'!$H$34),'Bonding Program'!$T$34-'Bonding Program'!$U$34-'Bonding Program'!$Z$34,0)-IF(AND('Bonding Program'!$S$34=1,'Bonding Program'!$H$34&lt;='Bonding Program'!$C$8,CW$3=IF('Bonding Program'!$P$34&lt;&gt;"",'Bonding Program'!$P$34,'Bonding Program'!$C$8)),'Bonding Program'!$Z$34,0)+IF(AND('Bonding Program'!$P$34&lt;&gt;"",CW$3='Bonding Program'!$P$34,CW$3&lt;='Bonding Program'!$C$8),N('Bonding Program'!$O$34),0)</f>
        <v>0</v>
      </c>
      <c r="CX175" s="19" t="n">
        <f aca="false">IF(AND('Bonding Program'!$S$34=1,'Bonding Program'!$H$34&gt;'Bonding Program'!$C$8,CX$3='Bonding Program'!$H$34),'Bonding Program'!$T$34-'Bonding Program'!$U$34-'Bonding Program'!$Z$34,0)-IF(AND('Bonding Program'!$S$34=1,'Bonding Program'!$H$34&lt;='Bonding Program'!$C$8,CX$3=IF('Bonding Program'!$P$34&lt;&gt;"",'Bonding Program'!$P$34,'Bonding Program'!$C$8)),'Bonding Program'!$Z$34,0)+IF(AND('Bonding Program'!$P$34&lt;&gt;"",CX$3='Bonding Program'!$P$34,CX$3&lt;='Bonding Program'!$C$8),N('Bonding Program'!$O$34),0)</f>
        <v>0</v>
      </c>
      <c r="CY175" s="19" t="n">
        <f aca="false">IF(AND('Bonding Program'!$S$34=1,'Bonding Program'!$H$34&gt;'Bonding Program'!$C$8,CY$3='Bonding Program'!$H$34),'Bonding Program'!$T$34-'Bonding Program'!$U$34-'Bonding Program'!$Z$34,0)-IF(AND('Bonding Program'!$S$34=1,'Bonding Program'!$H$34&lt;='Bonding Program'!$C$8,CY$3=IF('Bonding Program'!$P$34&lt;&gt;"",'Bonding Program'!$P$34,'Bonding Program'!$C$8)),'Bonding Program'!$Z$34,0)+IF(AND('Bonding Program'!$P$34&lt;&gt;"",CY$3='Bonding Program'!$P$34,CY$3&lt;='Bonding Program'!$C$8),N('Bonding Program'!$O$34),0)</f>
        <v>0</v>
      </c>
      <c r="CZ175" s="19" t="n">
        <f aca="false">IF(AND('Bonding Program'!$S$34=1,'Bonding Program'!$H$34&gt;'Bonding Program'!$C$8,CZ$3='Bonding Program'!$H$34),'Bonding Program'!$T$34-'Bonding Program'!$U$34-'Bonding Program'!$Z$34,0)-IF(AND('Bonding Program'!$S$34=1,'Bonding Program'!$H$34&lt;='Bonding Program'!$C$8,CZ$3=IF('Bonding Program'!$P$34&lt;&gt;"",'Bonding Program'!$P$34,'Bonding Program'!$C$8)),'Bonding Program'!$Z$34,0)+IF(AND('Bonding Program'!$P$34&lt;&gt;"",CZ$3='Bonding Program'!$P$34,CZ$3&lt;='Bonding Program'!$C$8),N('Bonding Program'!$O$34),0)</f>
        <v>0</v>
      </c>
      <c r="DA175" s="19" t="n">
        <f aca="false">IF(AND('Bonding Program'!$S$34=1,'Bonding Program'!$H$34&gt;'Bonding Program'!$C$8,DA$3='Bonding Program'!$H$34),'Bonding Program'!$T$34-'Bonding Program'!$U$34-'Bonding Program'!$Z$34,0)-IF(AND('Bonding Program'!$S$34=1,'Bonding Program'!$H$34&lt;='Bonding Program'!$C$8,DA$3=IF('Bonding Program'!$P$34&lt;&gt;"",'Bonding Program'!$P$34,'Bonding Program'!$C$8)),'Bonding Program'!$Z$34,0)+IF(AND('Bonding Program'!$P$34&lt;&gt;"",DA$3='Bonding Program'!$P$34,DA$3&lt;='Bonding Program'!$C$8),N('Bonding Program'!$O$34),0)</f>
        <v>0</v>
      </c>
      <c r="DB175" s="19" t="n">
        <f aca="false">IF(AND('Bonding Program'!$S$34=1,'Bonding Program'!$H$34&gt;'Bonding Program'!$C$8,DB$3='Bonding Program'!$H$34),'Bonding Program'!$T$34-'Bonding Program'!$U$34-'Bonding Program'!$Z$34,0)-IF(AND('Bonding Program'!$S$34=1,'Bonding Program'!$H$34&lt;='Bonding Program'!$C$8,DB$3=IF('Bonding Program'!$P$34&lt;&gt;"",'Bonding Program'!$P$34,'Bonding Program'!$C$8)),'Bonding Program'!$Z$34,0)+IF(AND('Bonding Program'!$P$34&lt;&gt;"",DB$3='Bonding Program'!$P$34,DB$3&lt;='Bonding Program'!$C$8),N('Bonding Program'!$O$34),0)</f>
        <v>0</v>
      </c>
      <c r="DC175" s="19" t="n">
        <f aca="false">IF(AND('Bonding Program'!$S$34=1,'Bonding Program'!$H$34&gt;'Bonding Program'!$C$8,DC$3='Bonding Program'!$H$34),'Bonding Program'!$T$34-'Bonding Program'!$U$34-'Bonding Program'!$Z$34,0)-IF(AND('Bonding Program'!$S$34=1,'Bonding Program'!$H$34&lt;='Bonding Program'!$C$8,DC$3=IF('Bonding Program'!$P$34&lt;&gt;"",'Bonding Program'!$P$34,'Bonding Program'!$C$8)),'Bonding Program'!$Z$34,0)+IF(AND('Bonding Program'!$P$34&lt;&gt;"",DC$3='Bonding Program'!$P$34,DC$3&lt;='Bonding Program'!$C$8),N('Bonding Program'!$O$34),0)</f>
        <v>0</v>
      </c>
      <c r="DD175" s="19" t="n">
        <f aca="false">IF(AND('Bonding Program'!$S$34=1,'Bonding Program'!$H$34&gt;'Bonding Program'!$C$8,DD$3='Bonding Program'!$H$34),'Bonding Program'!$T$34-'Bonding Program'!$U$34-'Bonding Program'!$Z$34,0)-IF(AND('Bonding Program'!$S$34=1,'Bonding Program'!$H$34&lt;='Bonding Program'!$C$8,DD$3=IF('Bonding Program'!$P$34&lt;&gt;"",'Bonding Program'!$P$34,'Bonding Program'!$C$8)),'Bonding Program'!$Z$34,0)+IF(AND('Bonding Program'!$P$34&lt;&gt;"",DD$3='Bonding Program'!$P$34,DD$3&lt;='Bonding Program'!$C$8),N('Bonding Program'!$O$34),0)</f>
        <v>0</v>
      </c>
      <c r="DE175" s="19" t="n">
        <f aca="false">IF(AND('Bonding Program'!$S$34=1,'Bonding Program'!$H$34&gt;'Bonding Program'!$C$8,DE$3='Bonding Program'!$H$34),'Bonding Program'!$T$34-'Bonding Program'!$U$34-'Bonding Program'!$Z$34,0)-IF(AND('Bonding Program'!$S$34=1,'Bonding Program'!$H$34&lt;='Bonding Program'!$C$8,DE$3=IF('Bonding Program'!$P$34&lt;&gt;"",'Bonding Program'!$P$34,'Bonding Program'!$C$8)),'Bonding Program'!$Z$34,0)+IF(AND('Bonding Program'!$P$34&lt;&gt;"",DE$3='Bonding Program'!$P$34,DE$3&lt;='Bonding Program'!$C$8),N('Bonding Program'!$O$34),0)</f>
        <v>0</v>
      </c>
    </row>
    <row r="176" customFormat="false" ht="15" hidden="false" customHeight="true" outlineLevel="1" collapsed="false">
      <c r="A176" s="28" t="s">
        <v>31</v>
      </c>
      <c r="B176" s="19" t="n">
        <f aca="false">IF(AND('Bonding Program'!$S$35=1,'Bonding Program'!$H$35&gt;'Bonding Program'!$C$8,B$3='Bonding Program'!$H$35),'Bonding Program'!$T$35-'Bonding Program'!$U$35-'Bonding Program'!$Z$35,0)-IF(AND('Bonding Program'!$S$35=1,'Bonding Program'!$H$35&lt;='Bonding Program'!$C$8,B$3=IF('Bonding Program'!$P$35&lt;&gt;"",'Bonding Program'!$P$35,'Bonding Program'!$C$8)),'Bonding Program'!$Z$35,0)+IF(AND('Bonding Program'!$P$35&lt;&gt;"",B$3='Bonding Program'!$P$35,B$3&lt;='Bonding Program'!$C$8),N('Bonding Program'!$O$35),0)</f>
        <v>0</v>
      </c>
      <c r="C176" s="19" t="n">
        <f aca="false">IF(AND('Bonding Program'!$S$35=1,'Bonding Program'!$H$35&gt;'Bonding Program'!$C$8,C$3='Bonding Program'!$H$35),'Bonding Program'!$T$35-'Bonding Program'!$U$35-'Bonding Program'!$Z$35,0)-IF(AND('Bonding Program'!$S$35=1,'Bonding Program'!$H$35&lt;='Bonding Program'!$C$8,C$3=IF('Bonding Program'!$P$35&lt;&gt;"",'Bonding Program'!$P$35,'Bonding Program'!$C$8)),'Bonding Program'!$Z$35,0)+IF(AND('Bonding Program'!$P$35&lt;&gt;"",C$3='Bonding Program'!$P$35,C$3&lt;='Bonding Program'!$C$8),N('Bonding Program'!$O$35),0)</f>
        <v>0</v>
      </c>
      <c r="D176" s="19" t="n">
        <f aca="false">IF(AND('Bonding Program'!$S$35=1,'Bonding Program'!$H$35&gt;'Bonding Program'!$C$8,D$3='Bonding Program'!$H$35),'Bonding Program'!$T$35-'Bonding Program'!$U$35-'Bonding Program'!$Z$35,0)-IF(AND('Bonding Program'!$S$35=1,'Bonding Program'!$H$35&lt;='Bonding Program'!$C$8,D$3=IF('Bonding Program'!$P$35&lt;&gt;"",'Bonding Program'!$P$35,'Bonding Program'!$C$8)),'Bonding Program'!$Z$35,0)+IF(AND('Bonding Program'!$P$35&lt;&gt;"",D$3='Bonding Program'!$P$35,D$3&lt;='Bonding Program'!$C$8),N('Bonding Program'!$O$35),0)</f>
        <v>0</v>
      </c>
      <c r="E176" s="19" t="n">
        <f aca="false">IF(AND('Bonding Program'!$S$35=1,'Bonding Program'!$H$35&gt;'Bonding Program'!$C$8,E$3='Bonding Program'!$H$35),'Bonding Program'!$T$35-'Bonding Program'!$U$35-'Bonding Program'!$Z$35,0)-IF(AND('Bonding Program'!$S$35=1,'Bonding Program'!$H$35&lt;='Bonding Program'!$C$8,E$3=IF('Bonding Program'!$P$35&lt;&gt;"",'Bonding Program'!$P$35,'Bonding Program'!$C$8)),'Bonding Program'!$Z$35,0)+IF(AND('Bonding Program'!$P$35&lt;&gt;"",E$3='Bonding Program'!$P$35,E$3&lt;='Bonding Program'!$C$8),N('Bonding Program'!$O$35),0)</f>
        <v>0</v>
      </c>
      <c r="F176" s="19" t="n">
        <f aca="false">IF(AND('Bonding Program'!$S$35=1,'Bonding Program'!$H$35&gt;'Bonding Program'!$C$8,F$3='Bonding Program'!$H$35),'Bonding Program'!$T$35-'Bonding Program'!$U$35-'Bonding Program'!$Z$35,0)-IF(AND('Bonding Program'!$S$35=1,'Bonding Program'!$H$35&lt;='Bonding Program'!$C$8,F$3=IF('Bonding Program'!$P$35&lt;&gt;"",'Bonding Program'!$P$35,'Bonding Program'!$C$8)),'Bonding Program'!$Z$35,0)+IF(AND('Bonding Program'!$P$35&lt;&gt;"",F$3='Bonding Program'!$P$35,F$3&lt;='Bonding Program'!$C$8),N('Bonding Program'!$O$35),0)</f>
        <v>0</v>
      </c>
      <c r="G176" s="19" t="n">
        <f aca="false">IF(AND('Bonding Program'!$S$35=1,'Bonding Program'!$H$35&gt;'Bonding Program'!$C$8,G$3='Bonding Program'!$H$35),'Bonding Program'!$T$35-'Bonding Program'!$U$35-'Bonding Program'!$Z$35,0)-IF(AND('Bonding Program'!$S$35=1,'Bonding Program'!$H$35&lt;='Bonding Program'!$C$8,G$3=IF('Bonding Program'!$P$35&lt;&gt;"",'Bonding Program'!$P$35,'Bonding Program'!$C$8)),'Bonding Program'!$Z$35,0)+IF(AND('Bonding Program'!$P$35&lt;&gt;"",G$3='Bonding Program'!$P$35,G$3&lt;='Bonding Program'!$C$8),N('Bonding Program'!$O$35),0)</f>
        <v>0</v>
      </c>
      <c r="H176" s="19" t="n">
        <f aca="false">IF(AND('Bonding Program'!$S$35=1,'Bonding Program'!$H$35&gt;'Bonding Program'!$C$8,H$3='Bonding Program'!$H$35),'Bonding Program'!$T$35-'Bonding Program'!$U$35-'Bonding Program'!$Z$35,0)-IF(AND('Bonding Program'!$S$35=1,'Bonding Program'!$H$35&lt;='Bonding Program'!$C$8,H$3=IF('Bonding Program'!$P$35&lt;&gt;"",'Bonding Program'!$P$35,'Bonding Program'!$C$8)),'Bonding Program'!$Z$35,0)+IF(AND('Bonding Program'!$P$35&lt;&gt;"",H$3='Bonding Program'!$P$35,H$3&lt;='Bonding Program'!$C$8),N('Bonding Program'!$O$35),0)</f>
        <v>0</v>
      </c>
      <c r="I176" s="19" t="n">
        <f aca="false">IF(AND('Bonding Program'!$S$35=1,'Bonding Program'!$H$35&gt;'Bonding Program'!$C$8,I$3='Bonding Program'!$H$35),'Bonding Program'!$T$35-'Bonding Program'!$U$35-'Bonding Program'!$Z$35,0)-IF(AND('Bonding Program'!$S$35=1,'Bonding Program'!$H$35&lt;='Bonding Program'!$C$8,I$3=IF('Bonding Program'!$P$35&lt;&gt;"",'Bonding Program'!$P$35,'Bonding Program'!$C$8)),'Bonding Program'!$Z$35,0)+IF(AND('Bonding Program'!$P$35&lt;&gt;"",I$3='Bonding Program'!$P$35,I$3&lt;='Bonding Program'!$C$8),N('Bonding Program'!$O$35),0)</f>
        <v>0</v>
      </c>
      <c r="J176" s="19" t="n">
        <f aca="false">IF(AND('Bonding Program'!$S$35=1,'Bonding Program'!$H$35&gt;'Bonding Program'!$C$8,J$3='Bonding Program'!$H$35),'Bonding Program'!$T$35-'Bonding Program'!$U$35-'Bonding Program'!$Z$35,0)-IF(AND('Bonding Program'!$S$35=1,'Bonding Program'!$H$35&lt;='Bonding Program'!$C$8,J$3=IF('Bonding Program'!$P$35&lt;&gt;"",'Bonding Program'!$P$35,'Bonding Program'!$C$8)),'Bonding Program'!$Z$35,0)+IF(AND('Bonding Program'!$P$35&lt;&gt;"",J$3='Bonding Program'!$P$35,J$3&lt;='Bonding Program'!$C$8),N('Bonding Program'!$O$35),0)</f>
        <v>0</v>
      </c>
      <c r="K176" s="19" t="n">
        <f aca="false">IF(AND('Bonding Program'!$S$35=1,'Bonding Program'!$H$35&gt;'Bonding Program'!$C$8,K$3='Bonding Program'!$H$35),'Bonding Program'!$T$35-'Bonding Program'!$U$35-'Bonding Program'!$Z$35,0)-IF(AND('Bonding Program'!$S$35=1,'Bonding Program'!$H$35&lt;='Bonding Program'!$C$8,K$3=IF('Bonding Program'!$P$35&lt;&gt;"",'Bonding Program'!$P$35,'Bonding Program'!$C$8)),'Bonding Program'!$Z$35,0)+IF(AND('Bonding Program'!$P$35&lt;&gt;"",K$3='Bonding Program'!$P$35,K$3&lt;='Bonding Program'!$C$8),N('Bonding Program'!$O$35),0)</f>
        <v>0</v>
      </c>
      <c r="L176" s="19" t="n">
        <f aca="false">IF(AND('Bonding Program'!$S$35=1,'Bonding Program'!$H$35&gt;'Bonding Program'!$C$8,L$3='Bonding Program'!$H$35),'Bonding Program'!$T$35-'Bonding Program'!$U$35-'Bonding Program'!$Z$35,0)-IF(AND('Bonding Program'!$S$35=1,'Bonding Program'!$H$35&lt;='Bonding Program'!$C$8,L$3=IF('Bonding Program'!$P$35&lt;&gt;"",'Bonding Program'!$P$35,'Bonding Program'!$C$8)),'Bonding Program'!$Z$35,0)+IF(AND('Bonding Program'!$P$35&lt;&gt;"",L$3='Bonding Program'!$P$35,L$3&lt;='Bonding Program'!$C$8),N('Bonding Program'!$O$35),0)</f>
        <v>0</v>
      </c>
      <c r="M176" s="19" t="n">
        <f aca="false">IF(AND('Bonding Program'!$S$35=1,'Bonding Program'!$H$35&gt;'Bonding Program'!$C$8,M$3='Bonding Program'!$H$35),'Bonding Program'!$T$35-'Bonding Program'!$U$35-'Bonding Program'!$Z$35,0)-IF(AND('Bonding Program'!$S$35=1,'Bonding Program'!$H$35&lt;='Bonding Program'!$C$8,M$3=IF('Bonding Program'!$P$35&lt;&gt;"",'Bonding Program'!$P$35,'Bonding Program'!$C$8)),'Bonding Program'!$Z$35,0)+IF(AND('Bonding Program'!$P$35&lt;&gt;"",M$3='Bonding Program'!$P$35,M$3&lt;='Bonding Program'!$C$8),N('Bonding Program'!$O$35),0)</f>
        <v>0</v>
      </c>
      <c r="N176" s="19" t="n">
        <f aca="false">IF(AND('Bonding Program'!$S$35=1,'Bonding Program'!$H$35&gt;'Bonding Program'!$C$8,N$3='Bonding Program'!$H$35),'Bonding Program'!$T$35-'Bonding Program'!$U$35-'Bonding Program'!$Z$35,0)-IF(AND('Bonding Program'!$S$35=1,'Bonding Program'!$H$35&lt;='Bonding Program'!$C$8,N$3=IF('Bonding Program'!$P$35&lt;&gt;"",'Bonding Program'!$P$35,'Bonding Program'!$C$8)),'Bonding Program'!$Z$35,0)+IF(AND('Bonding Program'!$P$35&lt;&gt;"",N$3='Bonding Program'!$P$35,N$3&lt;='Bonding Program'!$C$8),N('Bonding Program'!$O$35),0)</f>
        <v>0</v>
      </c>
      <c r="O176" s="19" t="n">
        <f aca="false">IF(AND('Bonding Program'!$S$35=1,'Bonding Program'!$H$35&gt;'Bonding Program'!$C$8,O$3='Bonding Program'!$H$35),'Bonding Program'!$T$35-'Bonding Program'!$U$35-'Bonding Program'!$Z$35,0)-IF(AND('Bonding Program'!$S$35=1,'Bonding Program'!$H$35&lt;='Bonding Program'!$C$8,O$3=IF('Bonding Program'!$P$35&lt;&gt;"",'Bonding Program'!$P$35,'Bonding Program'!$C$8)),'Bonding Program'!$Z$35,0)+IF(AND('Bonding Program'!$P$35&lt;&gt;"",O$3='Bonding Program'!$P$35,O$3&lt;='Bonding Program'!$C$8),N('Bonding Program'!$O$35),0)</f>
        <v>0</v>
      </c>
      <c r="P176" s="19" t="n">
        <f aca="false">IF(AND('Bonding Program'!$S$35=1,'Bonding Program'!$H$35&gt;'Bonding Program'!$C$8,P$3='Bonding Program'!$H$35),'Bonding Program'!$T$35-'Bonding Program'!$U$35-'Bonding Program'!$Z$35,0)-IF(AND('Bonding Program'!$S$35=1,'Bonding Program'!$H$35&lt;='Bonding Program'!$C$8,P$3=IF('Bonding Program'!$P$35&lt;&gt;"",'Bonding Program'!$P$35,'Bonding Program'!$C$8)),'Bonding Program'!$Z$35,0)+IF(AND('Bonding Program'!$P$35&lt;&gt;"",P$3='Bonding Program'!$P$35,P$3&lt;='Bonding Program'!$C$8),N('Bonding Program'!$O$35),0)</f>
        <v>0</v>
      </c>
      <c r="Q176" s="19" t="n">
        <f aca="false">IF(AND('Bonding Program'!$S$35=1,'Bonding Program'!$H$35&gt;'Bonding Program'!$C$8,Q$3='Bonding Program'!$H$35),'Bonding Program'!$T$35-'Bonding Program'!$U$35-'Bonding Program'!$Z$35,0)-IF(AND('Bonding Program'!$S$35=1,'Bonding Program'!$H$35&lt;='Bonding Program'!$C$8,Q$3=IF('Bonding Program'!$P$35&lt;&gt;"",'Bonding Program'!$P$35,'Bonding Program'!$C$8)),'Bonding Program'!$Z$35,0)+IF(AND('Bonding Program'!$P$35&lt;&gt;"",Q$3='Bonding Program'!$P$35,Q$3&lt;='Bonding Program'!$C$8),N('Bonding Program'!$O$35),0)</f>
        <v>0</v>
      </c>
      <c r="R176" s="19" t="n">
        <f aca="false">IF(AND('Bonding Program'!$S$35=1,'Bonding Program'!$H$35&gt;'Bonding Program'!$C$8,R$3='Bonding Program'!$H$35),'Bonding Program'!$T$35-'Bonding Program'!$U$35-'Bonding Program'!$Z$35,0)-IF(AND('Bonding Program'!$S$35=1,'Bonding Program'!$H$35&lt;='Bonding Program'!$C$8,R$3=IF('Bonding Program'!$P$35&lt;&gt;"",'Bonding Program'!$P$35,'Bonding Program'!$C$8)),'Bonding Program'!$Z$35,0)+IF(AND('Bonding Program'!$P$35&lt;&gt;"",R$3='Bonding Program'!$P$35,R$3&lt;='Bonding Program'!$C$8),N('Bonding Program'!$O$35),0)</f>
        <v>0</v>
      </c>
      <c r="S176" s="19" t="n">
        <f aca="false">IF(AND('Bonding Program'!$S$35=1,'Bonding Program'!$H$35&gt;'Bonding Program'!$C$8,S$3='Bonding Program'!$H$35),'Bonding Program'!$T$35-'Bonding Program'!$U$35-'Bonding Program'!$Z$35,0)-IF(AND('Bonding Program'!$S$35=1,'Bonding Program'!$H$35&lt;='Bonding Program'!$C$8,S$3=IF('Bonding Program'!$P$35&lt;&gt;"",'Bonding Program'!$P$35,'Bonding Program'!$C$8)),'Bonding Program'!$Z$35,0)+IF(AND('Bonding Program'!$P$35&lt;&gt;"",S$3='Bonding Program'!$P$35,S$3&lt;='Bonding Program'!$C$8),N('Bonding Program'!$O$35),0)</f>
        <v>0</v>
      </c>
      <c r="T176" s="19" t="n">
        <f aca="false">IF(AND('Bonding Program'!$S$35=1,'Bonding Program'!$H$35&gt;'Bonding Program'!$C$8,T$3='Bonding Program'!$H$35),'Bonding Program'!$T$35-'Bonding Program'!$U$35-'Bonding Program'!$Z$35,0)-IF(AND('Bonding Program'!$S$35=1,'Bonding Program'!$H$35&lt;='Bonding Program'!$C$8,T$3=IF('Bonding Program'!$P$35&lt;&gt;"",'Bonding Program'!$P$35,'Bonding Program'!$C$8)),'Bonding Program'!$Z$35,0)+IF(AND('Bonding Program'!$P$35&lt;&gt;"",T$3='Bonding Program'!$P$35,T$3&lt;='Bonding Program'!$C$8),N('Bonding Program'!$O$35),0)</f>
        <v>0</v>
      </c>
      <c r="U176" s="19" t="n">
        <f aca="false">IF(AND('Bonding Program'!$S$35=1,'Bonding Program'!$H$35&gt;'Bonding Program'!$C$8,U$3='Bonding Program'!$H$35),'Bonding Program'!$T$35-'Bonding Program'!$U$35-'Bonding Program'!$Z$35,0)-IF(AND('Bonding Program'!$S$35=1,'Bonding Program'!$H$35&lt;='Bonding Program'!$C$8,U$3=IF('Bonding Program'!$P$35&lt;&gt;"",'Bonding Program'!$P$35,'Bonding Program'!$C$8)),'Bonding Program'!$Z$35,0)+IF(AND('Bonding Program'!$P$35&lt;&gt;"",U$3='Bonding Program'!$P$35,U$3&lt;='Bonding Program'!$C$8),N('Bonding Program'!$O$35),0)</f>
        <v>0</v>
      </c>
      <c r="V176" s="19" t="n">
        <f aca="false">IF(AND('Bonding Program'!$S$35=1,'Bonding Program'!$H$35&gt;'Bonding Program'!$C$8,V$3='Bonding Program'!$H$35),'Bonding Program'!$T$35-'Bonding Program'!$U$35-'Bonding Program'!$Z$35,0)-IF(AND('Bonding Program'!$S$35=1,'Bonding Program'!$H$35&lt;='Bonding Program'!$C$8,V$3=IF('Bonding Program'!$P$35&lt;&gt;"",'Bonding Program'!$P$35,'Bonding Program'!$C$8)),'Bonding Program'!$Z$35,0)+IF(AND('Bonding Program'!$P$35&lt;&gt;"",V$3='Bonding Program'!$P$35,V$3&lt;='Bonding Program'!$C$8),N('Bonding Program'!$O$35),0)</f>
        <v>0</v>
      </c>
      <c r="W176" s="19" t="n">
        <f aca="false">IF(AND('Bonding Program'!$S$35=1,'Bonding Program'!$H$35&gt;'Bonding Program'!$C$8,W$3='Bonding Program'!$H$35),'Bonding Program'!$T$35-'Bonding Program'!$U$35-'Bonding Program'!$Z$35,0)-IF(AND('Bonding Program'!$S$35=1,'Bonding Program'!$H$35&lt;='Bonding Program'!$C$8,W$3=IF('Bonding Program'!$P$35&lt;&gt;"",'Bonding Program'!$P$35,'Bonding Program'!$C$8)),'Bonding Program'!$Z$35,0)+IF(AND('Bonding Program'!$P$35&lt;&gt;"",W$3='Bonding Program'!$P$35,W$3&lt;='Bonding Program'!$C$8),N('Bonding Program'!$O$35),0)</f>
        <v>0</v>
      </c>
      <c r="X176" s="19" t="n">
        <f aca="false">IF(AND('Bonding Program'!$S$35=1,'Bonding Program'!$H$35&gt;'Bonding Program'!$C$8,X$3='Bonding Program'!$H$35),'Bonding Program'!$T$35-'Bonding Program'!$U$35-'Bonding Program'!$Z$35,0)-IF(AND('Bonding Program'!$S$35=1,'Bonding Program'!$H$35&lt;='Bonding Program'!$C$8,X$3=IF('Bonding Program'!$P$35&lt;&gt;"",'Bonding Program'!$P$35,'Bonding Program'!$C$8)),'Bonding Program'!$Z$35,0)+IF(AND('Bonding Program'!$P$35&lt;&gt;"",X$3='Bonding Program'!$P$35,X$3&lt;='Bonding Program'!$C$8),N('Bonding Program'!$O$35),0)</f>
        <v>0</v>
      </c>
      <c r="Y176" s="19" t="n">
        <f aca="false">IF(AND('Bonding Program'!$S$35=1,'Bonding Program'!$H$35&gt;'Bonding Program'!$C$8,Y$3='Bonding Program'!$H$35),'Bonding Program'!$T$35-'Bonding Program'!$U$35-'Bonding Program'!$Z$35,0)-IF(AND('Bonding Program'!$S$35=1,'Bonding Program'!$H$35&lt;='Bonding Program'!$C$8,Y$3=IF('Bonding Program'!$P$35&lt;&gt;"",'Bonding Program'!$P$35,'Bonding Program'!$C$8)),'Bonding Program'!$Z$35,0)+IF(AND('Bonding Program'!$P$35&lt;&gt;"",Y$3='Bonding Program'!$P$35,Y$3&lt;='Bonding Program'!$C$8),N('Bonding Program'!$O$35),0)</f>
        <v>0</v>
      </c>
      <c r="Z176" s="19" t="n">
        <f aca="false">IF(AND('Bonding Program'!$S$35=1,'Bonding Program'!$H$35&gt;'Bonding Program'!$C$8,Z$3='Bonding Program'!$H$35),'Bonding Program'!$T$35-'Bonding Program'!$U$35-'Bonding Program'!$Z$35,0)-IF(AND('Bonding Program'!$S$35=1,'Bonding Program'!$H$35&lt;='Bonding Program'!$C$8,Z$3=IF('Bonding Program'!$P$35&lt;&gt;"",'Bonding Program'!$P$35,'Bonding Program'!$C$8)),'Bonding Program'!$Z$35,0)+IF(AND('Bonding Program'!$P$35&lt;&gt;"",Z$3='Bonding Program'!$P$35,Z$3&lt;='Bonding Program'!$C$8),N('Bonding Program'!$O$35),0)</f>
        <v>0</v>
      </c>
      <c r="AA176" s="19" t="n">
        <f aca="false">IF(AND('Bonding Program'!$S$35=1,'Bonding Program'!$H$35&gt;'Bonding Program'!$C$8,AA$3='Bonding Program'!$H$35),'Bonding Program'!$T$35-'Bonding Program'!$U$35-'Bonding Program'!$Z$35,0)-IF(AND('Bonding Program'!$S$35=1,'Bonding Program'!$H$35&lt;='Bonding Program'!$C$8,AA$3=IF('Bonding Program'!$P$35&lt;&gt;"",'Bonding Program'!$P$35,'Bonding Program'!$C$8)),'Bonding Program'!$Z$35,0)+IF(AND('Bonding Program'!$P$35&lt;&gt;"",AA$3='Bonding Program'!$P$35,AA$3&lt;='Bonding Program'!$C$8),N('Bonding Program'!$O$35),0)</f>
        <v>0</v>
      </c>
      <c r="AB176" s="19" t="n">
        <f aca="false">IF(AND('Bonding Program'!$S$35=1,'Bonding Program'!$H$35&gt;'Bonding Program'!$C$8,AB$3='Bonding Program'!$H$35),'Bonding Program'!$T$35-'Bonding Program'!$U$35-'Bonding Program'!$Z$35,0)-IF(AND('Bonding Program'!$S$35=1,'Bonding Program'!$H$35&lt;='Bonding Program'!$C$8,AB$3=IF('Bonding Program'!$P$35&lt;&gt;"",'Bonding Program'!$P$35,'Bonding Program'!$C$8)),'Bonding Program'!$Z$35,0)+IF(AND('Bonding Program'!$P$35&lt;&gt;"",AB$3='Bonding Program'!$P$35,AB$3&lt;='Bonding Program'!$C$8),N('Bonding Program'!$O$35),0)</f>
        <v>0</v>
      </c>
      <c r="AC176" s="19" t="n">
        <f aca="false">IF(AND('Bonding Program'!$S$35=1,'Bonding Program'!$H$35&gt;'Bonding Program'!$C$8,AC$3='Bonding Program'!$H$35),'Bonding Program'!$T$35-'Bonding Program'!$U$35-'Bonding Program'!$Z$35,0)-IF(AND('Bonding Program'!$S$35=1,'Bonding Program'!$H$35&lt;='Bonding Program'!$C$8,AC$3=IF('Bonding Program'!$P$35&lt;&gt;"",'Bonding Program'!$P$35,'Bonding Program'!$C$8)),'Bonding Program'!$Z$35,0)+IF(AND('Bonding Program'!$P$35&lt;&gt;"",AC$3='Bonding Program'!$P$35,AC$3&lt;='Bonding Program'!$C$8),N('Bonding Program'!$O$35),0)</f>
        <v>0</v>
      </c>
      <c r="AD176" s="19" t="n">
        <f aca="false">IF(AND('Bonding Program'!$S$35=1,'Bonding Program'!$H$35&gt;'Bonding Program'!$C$8,AD$3='Bonding Program'!$H$35),'Bonding Program'!$T$35-'Bonding Program'!$U$35-'Bonding Program'!$Z$35,0)-IF(AND('Bonding Program'!$S$35=1,'Bonding Program'!$H$35&lt;='Bonding Program'!$C$8,AD$3=IF('Bonding Program'!$P$35&lt;&gt;"",'Bonding Program'!$P$35,'Bonding Program'!$C$8)),'Bonding Program'!$Z$35,0)+IF(AND('Bonding Program'!$P$35&lt;&gt;"",AD$3='Bonding Program'!$P$35,AD$3&lt;='Bonding Program'!$C$8),N('Bonding Program'!$O$35),0)</f>
        <v>0</v>
      </c>
      <c r="AE176" s="19" t="n">
        <f aca="false">IF(AND('Bonding Program'!$S$35=1,'Bonding Program'!$H$35&gt;'Bonding Program'!$C$8,AE$3='Bonding Program'!$H$35),'Bonding Program'!$T$35-'Bonding Program'!$U$35-'Bonding Program'!$Z$35,0)-IF(AND('Bonding Program'!$S$35=1,'Bonding Program'!$H$35&lt;='Bonding Program'!$C$8,AE$3=IF('Bonding Program'!$P$35&lt;&gt;"",'Bonding Program'!$P$35,'Bonding Program'!$C$8)),'Bonding Program'!$Z$35,0)+IF(AND('Bonding Program'!$P$35&lt;&gt;"",AE$3='Bonding Program'!$P$35,AE$3&lt;='Bonding Program'!$C$8),N('Bonding Program'!$O$35),0)</f>
        <v>0</v>
      </c>
      <c r="AF176" s="19" t="n">
        <f aca="false">IF(AND('Bonding Program'!$S$35=1,'Bonding Program'!$H$35&gt;'Bonding Program'!$C$8,AF$3='Bonding Program'!$H$35),'Bonding Program'!$T$35-'Bonding Program'!$U$35-'Bonding Program'!$Z$35,0)-IF(AND('Bonding Program'!$S$35=1,'Bonding Program'!$H$35&lt;='Bonding Program'!$C$8,AF$3=IF('Bonding Program'!$P$35&lt;&gt;"",'Bonding Program'!$P$35,'Bonding Program'!$C$8)),'Bonding Program'!$Z$35,0)+IF(AND('Bonding Program'!$P$35&lt;&gt;"",AF$3='Bonding Program'!$P$35,AF$3&lt;='Bonding Program'!$C$8),N('Bonding Program'!$O$35),0)</f>
        <v>0</v>
      </c>
      <c r="AG176" s="19" t="n">
        <f aca="false">IF(AND('Bonding Program'!$S$35=1,'Bonding Program'!$H$35&gt;'Bonding Program'!$C$8,AG$3='Bonding Program'!$H$35),'Bonding Program'!$T$35-'Bonding Program'!$U$35-'Bonding Program'!$Z$35,0)-IF(AND('Bonding Program'!$S$35=1,'Bonding Program'!$H$35&lt;='Bonding Program'!$C$8,AG$3=IF('Bonding Program'!$P$35&lt;&gt;"",'Bonding Program'!$P$35,'Bonding Program'!$C$8)),'Bonding Program'!$Z$35,0)+IF(AND('Bonding Program'!$P$35&lt;&gt;"",AG$3='Bonding Program'!$P$35,AG$3&lt;='Bonding Program'!$C$8),N('Bonding Program'!$O$35),0)</f>
        <v>0</v>
      </c>
      <c r="AH176" s="19" t="n">
        <f aca="false">IF(AND('Bonding Program'!$S$35=1,'Bonding Program'!$H$35&gt;'Bonding Program'!$C$8,AH$3='Bonding Program'!$H$35),'Bonding Program'!$T$35-'Bonding Program'!$U$35-'Bonding Program'!$Z$35,0)-IF(AND('Bonding Program'!$S$35=1,'Bonding Program'!$H$35&lt;='Bonding Program'!$C$8,AH$3=IF('Bonding Program'!$P$35&lt;&gt;"",'Bonding Program'!$P$35,'Bonding Program'!$C$8)),'Bonding Program'!$Z$35,0)+IF(AND('Bonding Program'!$P$35&lt;&gt;"",AH$3='Bonding Program'!$P$35,AH$3&lt;='Bonding Program'!$C$8),N('Bonding Program'!$O$35),0)</f>
        <v>0</v>
      </c>
      <c r="AI176" s="19" t="n">
        <f aca="false">IF(AND('Bonding Program'!$S$35=1,'Bonding Program'!$H$35&gt;'Bonding Program'!$C$8,AI$3='Bonding Program'!$H$35),'Bonding Program'!$T$35-'Bonding Program'!$U$35-'Bonding Program'!$Z$35,0)-IF(AND('Bonding Program'!$S$35=1,'Bonding Program'!$H$35&lt;='Bonding Program'!$C$8,AI$3=IF('Bonding Program'!$P$35&lt;&gt;"",'Bonding Program'!$P$35,'Bonding Program'!$C$8)),'Bonding Program'!$Z$35,0)+IF(AND('Bonding Program'!$P$35&lt;&gt;"",AI$3='Bonding Program'!$P$35,AI$3&lt;='Bonding Program'!$C$8),N('Bonding Program'!$O$35),0)</f>
        <v>0</v>
      </c>
      <c r="AJ176" s="19" t="n">
        <f aca="false">IF(AND('Bonding Program'!$S$35=1,'Bonding Program'!$H$35&gt;'Bonding Program'!$C$8,AJ$3='Bonding Program'!$H$35),'Bonding Program'!$T$35-'Bonding Program'!$U$35-'Bonding Program'!$Z$35,0)-IF(AND('Bonding Program'!$S$35=1,'Bonding Program'!$H$35&lt;='Bonding Program'!$C$8,AJ$3=IF('Bonding Program'!$P$35&lt;&gt;"",'Bonding Program'!$P$35,'Bonding Program'!$C$8)),'Bonding Program'!$Z$35,0)+IF(AND('Bonding Program'!$P$35&lt;&gt;"",AJ$3='Bonding Program'!$P$35,AJ$3&lt;='Bonding Program'!$C$8),N('Bonding Program'!$O$35),0)</f>
        <v>0</v>
      </c>
      <c r="AK176" s="19" t="n">
        <f aca="false">IF(AND('Bonding Program'!$S$35=1,'Bonding Program'!$H$35&gt;'Bonding Program'!$C$8,AK$3='Bonding Program'!$H$35),'Bonding Program'!$T$35-'Bonding Program'!$U$35-'Bonding Program'!$Z$35,0)-IF(AND('Bonding Program'!$S$35=1,'Bonding Program'!$H$35&lt;='Bonding Program'!$C$8,AK$3=IF('Bonding Program'!$P$35&lt;&gt;"",'Bonding Program'!$P$35,'Bonding Program'!$C$8)),'Bonding Program'!$Z$35,0)+IF(AND('Bonding Program'!$P$35&lt;&gt;"",AK$3='Bonding Program'!$P$35,AK$3&lt;='Bonding Program'!$C$8),N('Bonding Program'!$O$35),0)</f>
        <v>0</v>
      </c>
      <c r="AL176" s="19" t="n">
        <f aca="false">IF(AND('Bonding Program'!$S$35=1,'Bonding Program'!$H$35&gt;'Bonding Program'!$C$8,AL$3='Bonding Program'!$H$35),'Bonding Program'!$T$35-'Bonding Program'!$U$35-'Bonding Program'!$Z$35,0)-IF(AND('Bonding Program'!$S$35=1,'Bonding Program'!$H$35&lt;='Bonding Program'!$C$8,AL$3=IF('Bonding Program'!$P$35&lt;&gt;"",'Bonding Program'!$P$35,'Bonding Program'!$C$8)),'Bonding Program'!$Z$35,0)+IF(AND('Bonding Program'!$P$35&lt;&gt;"",AL$3='Bonding Program'!$P$35,AL$3&lt;='Bonding Program'!$C$8),N('Bonding Program'!$O$35),0)</f>
        <v>0</v>
      </c>
      <c r="AM176" s="19" t="n">
        <f aca="false">IF(AND('Bonding Program'!$S$35=1,'Bonding Program'!$H$35&gt;'Bonding Program'!$C$8,AM$3='Bonding Program'!$H$35),'Bonding Program'!$T$35-'Bonding Program'!$U$35-'Bonding Program'!$Z$35,0)-IF(AND('Bonding Program'!$S$35=1,'Bonding Program'!$H$35&lt;='Bonding Program'!$C$8,AM$3=IF('Bonding Program'!$P$35&lt;&gt;"",'Bonding Program'!$P$35,'Bonding Program'!$C$8)),'Bonding Program'!$Z$35,0)+IF(AND('Bonding Program'!$P$35&lt;&gt;"",AM$3='Bonding Program'!$P$35,AM$3&lt;='Bonding Program'!$C$8),N('Bonding Program'!$O$35),0)</f>
        <v>0</v>
      </c>
      <c r="AN176" s="19" t="n">
        <f aca="false">IF(AND('Bonding Program'!$S$35=1,'Bonding Program'!$H$35&gt;'Bonding Program'!$C$8,AN$3='Bonding Program'!$H$35),'Bonding Program'!$T$35-'Bonding Program'!$U$35-'Bonding Program'!$Z$35,0)-IF(AND('Bonding Program'!$S$35=1,'Bonding Program'!$H$35&lt;='Bonding Program'!$C$8,AN$3=IF('Bonding Program'!$P$35&lt;&gt;"",'Bonding Program'!$P$35,'Bonding Program'!$C$8)),'Bonding Program'!$Z$35,0)+IF(AND('Bonding Program'!$P$35&lt;&gt;"",AN$3='Bonding Program'!$P$35,AN$3&lt;='Bonding Program'!$C$8),N('Bonding Program'!$O$35),0)</f>
        <v>0</v>
      </c>
      <c r="AO176" s="19" t="n">
        <f aca="false">IF(AND('Bonding Program'!$S$35=1,'Bonding Program'!$H$35&gt;'Bonding Program'!$C$8,AO$3='Bonding Program'!$H$35),'Bonding Program'!$T$35-'Bonding Program'!$U$35-'Bonding Program'!$Z$35,0)-IF(AND('Bonding Program'!$S$35=1,'Bonding Program'!$H$35&lt;='Bonding Program'!$C$8,AO$3=IF('Bonding Program'!$P$35&lt;&gt;"",'Bonding Program'!$P$35,'Bonding Program'!$C$8)),'Bonding Program'!$Z$35,0)+IF(AND('Bonding Program'!$P$35&lt;&gt;"",AO$3='Bonding Program'!$P$35,AO$3&lt;='Bonding Program'!$C$8),N('Bonding Program'!$O$35),0)</f>
        <v>0</v>
      </c>
      <c r="AP176" s="19" t="n">
        <f aca="false">IF(AND('Bonding Program'!$S$35=1,'Bonding Program'!$H$35&gt;'Bonding Program'!$C$8,AP$3='Bonding Program'!$H$35),'Bonding Program'!$T$35-'Bonding Program'!$U$35-'Bonding Program'!$Z$35,0)-IF(AND('Bonding Program'!$S$35=1,'Bonding Program'!$H$35&lt;='Bonding Program'!$C$8,AP$3=IF('Bonding Program'!$P$35&lt;&gt;"",'Bonding Program'!$P$35,'Bonding Program'!$C$8)),'Bonding Program'!$Z$35,0)+IF(AND('Bonding Program'!$P$35&lt;&gt;"",AP$3='Bonding Program'!$P$35,AP$3&lt;='Bonding Program'!$C$8),N('Bonding Program'!$O$35),0)</f>
        <v>0</v>
      </c>
      <c r="AQ176" s="19" t="n">
        <f aca="false">IF(AND('Bonding Program'!$S$35=1,'Bonding Program'!$H$35&gt;'Bonding Program'!$C$8,AQ$3='Bonding Program'!$H$35),'Bonding Program'!$T$35-'Bonding Program'!$U$35-'Bonding Program'!$Z$35,0)-IF(AND('Bonding Program'!$S$35=1,'Bonding Program'!$H$35&lt;='Bonding Program'!$C$8,AQ$3=IF('Bonding Program'!$P$35&lt;&gt;"",'Bonding Program'!$P$35,'Bonding Program'!$C$8)),'Bonding Program'!$Z$35,0)+IF(AND('Bonding Program'!$P$35&lt;&gt;"",AQ$3='Bonding Program'!$P$35,AQ$3&lt;='Bonding Program'!$C$8),N('Bonding Program'!$O$35),0)</f>
        <v>0</v>
      </c>
      <c r="AR176" s="19" t="n">
        <f aca="false">IF(AND('Bonding Program'!$S$35=1,'Bonding Program'!$H$35&gt;'Bonding Program'!$C$8,AR$3='Bonding Program'!$H$35),'Bonding Program'!$T$35-'Bonding Program'!$U$35-'Bonding Program'!$Z$35,0)-IF(AND('Bonding Program'!$S$35=1,'Bonding Program'!$H$35&lt;='Bonding Program'!$C$8,AR$3=IF('Bonding Program'!$P$35&lt;&gt;"",'Bonding Program'!$P$35,'Bonding Program'!$C$8)),'Bonding Program'!$Z$35,0)+IF(AND('Bonding Program'!$P$35&lt;&gt;"",AR$3='Bonding Program'!$P$35,AR$3&lt;='Bonding Program'!$C$8),N('Bonding Program'!$O$35),0)</f>
        <v>0</v>
      </c>
      <c r="AS176" s="19" t="n">
        <f aca="false">IF(AND('Bonding Program'!$S$35=1,'Bonding Program'!$H$35&gt;'Bonding Program'!$C$8,AS$3='Bonding Program'!$H$35),'Bonding Program'!$T$35-'Bonding Program'!$U$35-'Bonding Program'!$Z$35,0)-IF(AND('Bonding Program'!$S$35=1,'Bonding Program'!$H$35&lt;='Bonding Program'!$C$8,AS$3=IF('Bonding Program'!$P$35&lt;&gt;"",'Bonding Program'!$P$35,'Bonding Program'!$C$8)),'Bonding Program'!$Z$35,0)+IF(AND('Bonding Program'!$P$35&lt;&gt;"",AS$3='Bonding Program'!$P$35,AS$3&lt;='Bonding Program'!$C$8),N('Bonding Program'!$O$35),0)</f>
        <v>0</v>
      </c>
      <c r="AT176" s="19" t="n">
        <f aca="false">IF(AND('Bonding Program'!$S$35=1,'Bonding Program'!$H$35&gt;'Bonding Program'!$C$8,AT$3='Bonding Program'!$H$35),'Bonding Program'!$T$35-'Bonding Program'!$U$35-'Bonding Program'!$Z$35,0)-IF(AND('Bonding Program'!$S$35=1,'Bonding Program'!$H$35&lt;='Bonding Program'!$C$8,AT$3=IF('Bonding Program'!$P$35&lt;&gt;"",'Bonding Program'!$P$35,'Bonding Program'!$C$8)),'Bonding Program'!$Z$35,0)+IF(AND('Bonding Program'!$P$35&lt;&gt;"",AT$3='Bonding Program'!$P$35,AT$3&lt;='Bonding Program'!$C$8),N('Bonding Program'!$O$35),0)</f>
        <v>0</v>
      </c>
      <c r="AU176" s="19" t="n">
        <f aca="false">IF(AND('Bonding Program'!$S$35=1,'Bonding Program'!$H$35&gt;'Bonding Program'!$C$8,AU$3='Bonding Program'!$H$35),'Bonding Program'!$T$35-'Bonding Program'!$U$35-'Bonding Program'!$Z$35,0)-IF(AND('Bonding Program'!$S$35=1,'Bonding Program'!$H$35&lt;='Bonding Program'!$C$8,AU$3=IF('Bonding Program'!$P$35&lt;&gt;"",'Bonding Program'!$P$35,'Bonding Program'!$C$8)),'Bonding Program'!$Z$35,0)+IF(AND('Bonding Program'!$P$35&lt;&gt;"",AU$3='Bonding Program'!$P$35,AU$3&lt;='Bonding Program'!$C$8),N('Bonding Program'!$O$35),0)</f>
        <v>0</v>
      </c>
      <c r="AV176" s="19" t="n">
        <f aca="false">IF(AND('Bonding Program'!$S$35=1,'Bonding Program'!$H$35&gt;'Bonding Program'!$C$8,AV$3='Bonding Program'!$H$35),'Bonding Program'!$T$35-'Bonding Program'!$U$35-'Bonding Program'!$Z$35,0)-IF(AND('Bonding Program'!$S$35=1,'Bonding Program'!$H$35&lt;='Bonding Program'!$C$8,AV$3=IF('Bonding Program'!$P$35&lt;&gt;"",'Bonding Program'!$P$35,'Bonding Program'!$C$8)),'Bonding Program'!$Z$35,0)+IF(AND('Bonding Program'!$P$35&lt;&gt;"",AV$3='Bonding Program'!$P$35,AV$3&lt;='Bonding Program'!$C$8),N('Bonding Program'!$O$35),0)</f>
        <v>0</v>
      </c>
      <c r="AW176" s="19" t="n">
        <f aca="false">IF(AND('Bonding Program'!$S$35=1,'Bonding Program'!$H$35&gt;'Bonding Program'!$C$8,AW$3='Bonding Program'!$H$35),'Bonding Program'!$T$35-'Bonding Program'!$U$35-'Bonding Program'!$Z$35,0)-IF(AND('Bonding Program'!$S$35=1,'Bonding Program'!$H$35&lt;='Bonding Program'!$C$8,AW$3=IF('Bonding Program'!$P$35&lt;&gt;"",'Bonding Program'!$P$35,'Bonding Program'!$C$8)),'Bonding Program'!$Z$35,0)+IF(AND('Bonding Program'!$P$35&lt;&gt;"",AW$3='Bonding Program'!$P$35,AW$3&lt;='Bonding Program'!$C$8),N('Bonding Program'!$O$35),0)</f>
        <v>0</v>
      </c>
      <c r="AX176" s="19" t="n">
        <f aca="false">IF(AND('Bonding Program'!$S$35=1,'Bonding Program'!$H$35&gt;'Bonding Program'!$C$8,AX$3='Bonding Program'!$H$35),'Bonding Program'!$T$35-'Bonding Program'!$U$35-'Bonding Program'!$Z$35,0)-IF(AND('Bonding Program'!$S$35=1,'Bonding Program'!$H$35&lt;='Bonding Program'!$C$8,AX$3=IF('Bonding Program'!$P$35&lt;&gt;"",'Bonding Program'!$P$35,'Bonding Program'!$C$8)),'Bonding Program'!$Z$35,0)+IF(AND('Bonding Program'!$P$35&lt;&gt;"",AX$3='Bonding Program'!$P$35,AX$3&lt;='Bonding Program'!$C$8),N('Bonding Program'!$O$35),0)</f>
        <v>0</v>
      </c>
      <c r="AY176" s="19" t="n">
        <f aca="false">IF(AND('Bonding Program'!$S$35=1,'Bonding Program'!$H$35&gt;'Bonding Program'!$C$8,AY$3='Bonding Program'!$H$35),'Bonding Program'!$T$35-'Bonding Program'!$U$35-'Bonding Program'!$Z$35,0)-IF(AND('Bonding Program'!$S$35=1,'Bonding Program'!$H$35&lt;='Bonding Program'!$C$8,AY$3=IF('Bonding Program'!$P$35&lt;&gt;"",'Bonding Program'!$P$35,'Bonding Program'!$C$8)),'Bonding Program'!$Z$35,0)+IF(AND('Bonding Program'!$P$35&lt;&gt;"",AY$3='Bonding Program'!$P$35,AY$3&lt;='Bonding Program'!$C$8),N('Bonding Program'!$O$35),0)</f>
        <v>0</v>
      </c>
      <c r="AZ176" s="19" t="n">
        <f aca="false">IF(AND('Bonding Program'!$S$35=1,'Bonding Program'!$H$35&gt;'Bonding Program'!$C$8,AZ$3='Bonding Program'!$H$35),'Bonding Program'!$T$35-'Bonding Program'!$U$35-'Bonding Program'!$Z$35,0)-IF(AND('Bonding Program'!$S$35=1,'Bonding Program'!$H$35&lt;='Bonding Program'!$C$8,AZ$3=IF('Bonding Program'!$P$35&lt;&gt;"",'Bonding Program'!$P$35,'Bonding Program'!$C$8)),'Bonding Program'!$Z$35,0)+IF(AND('Bonding Program'!$P$35&lt;&gt;"",AZ$3='Bonding Program'!$P$35,AZ$3&lt;='Bonding Program'!$C$8),N('Bonding Program'!$O$35),0)</f>
        <v>0</v>
      </c>
      <c r="BA176" s="19" t="n">
        <f aca="false">IF(AND('Bonding Program'!$S$35=1,'Bonding Program'!$H$35&gt;'Bonding Program'!$C$8,BA$3='Bonding Program'!$H$35),'Bonding Program'!$T$35-'Bonding Program'!$U$35-'Bonding Program'!$Z$35,0)-IF(AND('Bonding Program'!$S$35=1,'Bonding Program'!$H$35&lt;='Bonding Program'!$C$8,BA$3=IF('Bonding Program'!$P$35&lt;&gt;"",'Bonding Program'!$P$35,'Bonding Program'!$C$8)),'Bonding Program'!$Z$35,0)+IF(AND('Bonding Program'!$P$35&lt;&gt;"",BA$3='Bonding Program'!$P$35,BA$3&lt;='Bonding Program'!$C$8),N('Bonding Program'!$O$35),0)</f>
        <v>0</v>
      </c>
      <c r="BB176" s="19" t="n">
        <f aca="false">IF(AND('Bonding Program'!$S$35=1,'Bonding Program'!$H$35&gt;'Bonding Program'!$C$8,BB$3='Bonding Program'!$H$35),'Bonding Program'!$T$35-'Bonding Program'!$U$35-'Bonding Program'!$Z$35,0)-IF(AND('Bonding Program'!$S$35=1,'Bonding Program'!$H$35&lt;='Bonding Program'!$C$8,BB$3=IF('Bonding Program'!$P$35&lt;&gt;"",'Bonding Program'!$P$35,'Bonding Program'!$C$8)),'Bonding Program'!$Z$35,0)+IF(AND('Bonding Program'!$P$35&lt;&gt;"",BB$3='Bonding Program'!$P$35,BB$3&lt;='Bonding Program'!$C$8),N('Bonding Program'!$O$35),0)</f>
        <v>0</v>
      </c>
      <c r="BC176" s="19" t="n">
        <f aca="false">IF(AND('Bonding Program'!$S$35=1,'Bonding Program'!$H$35&gt;'Bonding Program'!$C$8,BC$3='Bonding Program'!$H$35),'Bonding Program'!$T$35-'Bonding Program'!$U$35-'Bonding Program'!$Z$35,0)-IF(AND('Bonding Program'!$S$35=1,'Bonding Program'!$H$35&lt;='Bonding Program'!$C$8,BC$3=IF('Bonding Program'!$P$35&lt;&gt;"",'Bonding Program'!$P$35,'Bonding Program'!$C$8)),'Bonding Program'!$Z$35,0)+IF(AND('Bonding Program'!$P$35&lt;&gt;"",BC$3='Bonding Program'!$P$35,BC$3&lt;='Bonding Program'!$C$8),N('Bonding Program'!$O$35),0)</f>
        <v>0</v>
      </c>
      <c r="BD176" s="19" t="n">
        <f aca="false">IF(AND('Bonding Program'!$S$35=1,'Bonding Program'!$H$35&gt;'Bonding Program'!$C$8,BD$3='Bonding Program'!$H$35),'Bonding Program'!$T$35-'Bonding Program'!$U$35-'Bonding Program'!$Z$35,0)-IF(AND('Bonding Program'!$S$35=1,'Bonding Program'!$H$35&lt;='Bonding Program'!$C$8,BD$3=IF('Bonding Program'!$P$35&lt;&gt;"",'Bonding Program'!$P$35,'Bonding Program'!$C$8)),'Bonding Program'!$Z$35,0)+IF(AND('Bonding Program'!$P$35&lt;&gt;"",BD$3='Bonding Program'!$P$35,BD$3&lt;='Bonding Program'!$C$8),N('Bonding Program'!$O$35),0)</f>
        <v>0</v>
      </c>
      <c r="BE176" s="19" t="n">
        <f aca="false">IF(AND('Bonding Program'!$S$35=1,'Bonding Program'!$H$35&gt;'Bonding Program'!$C$8,BE$3='Bonding Program'!$H$35),'Bonding Program'!$T$35-'Bonding Program'!$U$35-'Bonding Program'!$Z$35,0)-IF(AND('Bonding Program'!$S$35=1,'Bonding Program'!$H$35&lt;='Bonding Program'!$C$8,BE$3=IF('Bonding Program'!$P$35&lt;&gt;"",'Bonding Program'!$P$35,'Bonding Program'!$C$8)),'Bonding Program'!$Z$35,0)+IF(AND('Bonding Program'!$P$35&lt;&gt;"",BE$3='Bonding Program'!$P$35,BE$3&lt;='Bonding Program'!$C$8),N('Bonding Program'!$O$35),0)</f>
        <v>0</v>
      </c>
      <c r="BF176" s="19" t="n">
        <f aca="false">IF(AND('Bonding Program'!$S$35=1,'Bonding Program'!$H$35&gt;'Bonding Program'!$C$8,BF$3='Bonding Program'!$H$35),'Bonding Program'!$T$35-'Bonding Program'!$U$35-'Bonding Program'!$Z$35,0)-IF(AND('Bonding Program'!$S$35=1,'Bonding Program'!$H$35&lt;='Bonding Program'!$C$8,BF$3=IF('Bonding Program'!$P$35&lt;&gt;"",'Bonding Program'!$P$35,'Bonding Program'!$C$8)),'Bonding Program'!$Z$35,0)+IF(AND('Bonding Program'!$P$35&lt;&gt;"",BF$3='Bonding Program'!$P$35,BF$3&lt;='Bonding Program'!$C$8),N('Bonding Program'!$O$35),0)</f>
        <v>0</v>
      </c>
      <c r="BG176" s="19" t="n">
        <f aca="false">IF(AND('Bonding Program'!$S$35=1,'Bonding Program'!$H$35&gt;'Bonding Program'!$C$8,BG$3='Bonding Program'!$H$35),'Bonding Program'!$T$35-'Bonding Program'!$U$35-'Bonding Program'!$Z$35,0)-IF(AND('Bonding Program'!$S$35=1,'Bonding Program'!$H$35&lt;='Bonding Program'!$C$8,BG$3=IF('Bonding Program'!$P$35&lt;&gt;"",'Bonding Program'!$P$35,'Bonding Program'!$C$8)),'Bonding Program'!$Z$35,0)+IF(AND('Bonding Program'!$P$35&lt;&gt;"",BG$3='Bonding Program'!$P$35,BG$3&lt;='Bonding Program'!$C$8),N('Bonding Program'!$O$35),0)</f>
        <v>0</v>
      </c>
      <c r="BH176" s="19" t="n">
        <f aca="false">IF(AND('Bonding Program'!$S$35=1,'Bonding Program'!$H$35&gt;'Bonding Program'!$C$8,BH$3='Bonding Program'!$H$35),'Bonding Program'!$T$35-'Bonding Program'!$U$35-'Bonding Program'!$Z$35,0)-IF(AND('Bonding Program'!$S$35=1,'Bonding Program'!$H$35&lt;='Bonding Program'!$C$8,BH$3=IF('Bonding Program'!$P$35&lt;&gt;"",'Bonding Program'!$P$35,'Bonding Program'!$C$8)),'Bonding Program'!$Z$35,0)+IF(AND('Bonding Program'!$P$35&lt;&gt;"",BH$3='Bonding Program'!$P$35,BH$3&lt;='Bonding Program'!$C$8),N('Bonding Program'!$O$35),0)</f>
        <v>0</v>
      </c>
      <c r="BI176" s="19" t="n">
        <f aca="false">IF(AND('Bonding Program'!$S$35=1,'Bonding Program'!$H$35&gt;'Bonding Program'!$C$8,BI$3='Bonding Program'!$H$35),'Bonding Program'!$T$35-'Bonding Program'!$U$35-'Bonding Program'!$Z$35,0)-IF(AND('Bonding Program'!$S$35=1,'Bonding Program'!$H$35&lt;='Bonding Program'!$C$8,BI$3=IF('Bonding Program'!$P$35&lt;&gt;"",'Bonding Program'!$P$35,'Bonding Program'!$C$8)),'Bonding Program'!$Z$35,0)+IF(AND('Bonding Program'!$P$35&lt;&gt;"",BI$3='Bonding Program'!$P$35,BI$3&lt;='Bonding Program'!$C$8),N('Bonding Program'!$O$35),0)</f>
        <v>0</v>
      </c>
      <c r="BJ176" s="19" t="n">
        <f aca="false">IF(AND('Bonding Program'!$S$35=1,'Bonding Program'!$H$35&gt;'Bonding Program'!$C$8,BJ$3='Bonding Program'!$H$35),'Bonding Program'!$T$35-'Bonding Program'!$U$35-'Bonding Program'!$Z$35,0)-IF(AND('Bonding Program'!$S$35=1,'Bonding Program'!$H$35&lt;='Bonding Program'!$C$8,BJ$3=IF('Bonding Program'!$P$35&lt;&gt;"",'Bonding Program'!$P$35,'Bonding Program'!$C$8)),'Bonding Program'!$Z$35,0)+IF(AND('Bonding Program'!$P$35&lt;&gt;"",BJ$3='Bonding Program'!$P$35,BJ$3&lt;='Bonding Program'!$C$8),N('Bonding Program'!$O$35),0)</f>
        <v>0</v>
      </c>
      <c r="BK176" s="19" t="n">
        <f aca="false">IF(AND('Bonding Program'!$S$35=1,'Bonding Program'!$H$35&gt;'Bonding Program'!$C$8,BK$3='Bonding Program'!$H$35),'Bonding Program'!$T$35-'Bonding Program'!$U$35-'Bonding Program'!$Z$35,0)-IF(AND('Bonding Program'!$S$35=1,'Bonding Program'!$H$35&lt;='Bonding Program'!$C$8,BK$3=IF('Bonding Program'!$P$35&lt;&gt;"",'Bonding Program'!$P$35,'Bonding Program'!$C$8)),'Bonding Program'!$Z$35,0)+IF(AND('Bonding Program'!$P$35&lt;&gt;"",BK$3='Bonding Program'!$P$35,BK$3&lt;='Bonding Program'!$C$8),N('Bonding Program'!$O$35),0)</f>
        <v>0</v>
      </c>
      <c r="BL176" s="19" t="n">
        <f aca="false">IF(AND('Bonding Program'!$S$35=1,'Bonding Program'!$H$35&gt;'Bonding Program'!$C$8,BL$3='Bonding Program'!$H$35),'Bonding Program'!$T$35-'Bonding Program'!$U$35-'Bonding Program'!$Z$35,0)-IF(AND('Bonding Program'!$S$35=1,'Bonding Program'!$H$35&lt;='Bonding Program'!$C$8,BL$3=IF('Bonding Program'!$P$35&lt;&gt;"",'Bonding Program'!$P$35,'Bonding Program'!$C$8)),'Bonding Program'!$Z$35,0)+IF(AND('Bonding Program'!$P$35&lt;&gt;"",BL$3='Bonding Program'!$P$35,BL$3&lt;='Bonding Program'!$C$8),N('Bonding Program'!$O$35),0)</f>
        <v>0</v>
      </c>
      <c r="BM176" s="19" t="n">
        <f aca="false">IF(AND('Bonding Program'!$S$35=1,'Bonding Program'!$H$35&gt;'Bonding Program'!$C$8,BM$3='Bonding Program'!$H$35),'Bonding Program'!$T$35-'Bonding Program'!$U$35-'Bonding Program'!$Z$35,0)-IF(AND('Bonding Program'!$S$35=1,'Bonding Program'!$H$35&lt;='Bonding Program'!$C$8,BM$3=IF('Bonding Program'!$P$35&lt;&gt;"",'Bonding Program'!$P$35,'Bonding Program'!$C$8)),'Bonding Program'!$Z$35,0)+IF(AND('Bonding Program'!$P$35&lt;&gt;"",BM$3='Bonding Program'!$P$35,BM$3&lt;='Bonding Program'!$C$8),N('Bonding Program'!$O$35),0)</f>
        <v>0</v>
      </c>
      <c r="BN176" s="19" t="n">
        <f aca="false">IF(AND('Bonding Program'!$S$35=1,'Bonding Program'!$H$35&gt;'Bonding Program'!$C$8,BN$3='Bonding Program'!$H$35),'Bonding Program'!$T$35-'Bonding Program'!$U$35-'Bonding Program'!$Z$35,0)-IF(AND('Bonding Program'!$S$35=1,'Bonding Program'!$H$35&lt;='Bonding Program'!$C$8,BN$3=IF('Bonding Program'!$P$35&lt;&gt;"",'Bonding Program'!$P$35,'Bonding Program'!$C$8)),'Bonding Program'!$Z$35,0)+IF(AND('Bonding Program'!$P$35&lt;&gt;"",BN$3='Bonding Program'!$P$35,BN$3&lt;='Bonding Program'!$C$8),N('Bonding Program'!$O$35),0)</f>
        <v>0</v>
      </c>
      <c r="BO176" s="19" t="n">
        <f aca="false">IF(AND('Bonding Program'!$S$35=1,'Bonding Program'!$H$35&gt;'Bonding Program'!$C$8,BO$3='Bonding Program'!$H$35),'Bonding Program'!$T$35-'Bonding Program'!$U$35-'Bonding Program'!$Z$35,0)-IF(AND('Bonding Program'!$S$35=1,'Bonding Program'!$H$35&lt;='Bonding Program'!$C$8,BO$3=IF('Bonding Program'!$P$35&lt;&gt;"",'Bonding Program'!$P$35,'Bonding Program'!$C$8)),'Bonding Program'!$Z$35,0)+IF(AND('Bonding Program'!$P$35&lt;&gt;"",BO$3='Bonding Program'!$P$35,BO$3&lt;='Bonding Program'!$C$8),N('Bonding Program'!$O$35),0)</f>
        <v>0</v>
      </c>
      <c r="BP176" s="19" t="n">
        <f aca="false">IF(AND('Bonding Program'!$S$35=1,'Bonding Program'!$H$35&gt;'Bonding Program'!$C$8,BP$3='Bonding Program'!$H$35),'Bonding Program'!$T$35-'Bonding Program'!$U$35-'Bonding Program'!$Z$35,0)-IF(AND('Bonding Program'!$S$35=1,'Bonding Program'!$H$35&lt;='Bonding Program'!$C$8,BP$3=IF('Bonding Program'!$P$35&lt;&gt;"",'Bonding Program'!$P$35,'Bonding Program'!$C$8)),'Bonding Program'!$Z$35,0)+IF(AND('Bonding Program'!$P$35&lt;&gt;"",BP$3='Bonding Program'!$P$35,BP$3&lt;='Bonding Program'!$C$8),N('Bonding Program'!$O$35),0)</f>
        <v>0</v>
      </c>
      <c r="BQ176" s="19" t="n">
        <f aca="false">IF(AND('Bonding Program'!$S$35=1,'Bonding Program'!$H$35&gt;'Bonding Program'!$C$8,BQ$3='Bonding Program'!$H$35),'Bonding Program'!$T$35-'Bonding Program'!$U$35-'Bonding Program'!$Z$35,0)-IF(AND('Bonding Program'!$S$35=1,'Bonding Program'!$H$35&lt;='Bonding Program'!$C$8,BQ$3=IF('Bonding Program'!$P$35&lt;&gt;"",'Bonding Program'!$P$35,'Bonding Program'!$C$8)),'Bonding Program'!$Z$35,0)+IF(AND('Bonding Program'!$P$35&lt;&gt;"",BQ$3='Bonding Program'!$P$35,BQ$3&lt;='Bonding Program'!$C$8),N('Bonding Program'!$O$35),0)</f>
        <v>0</v>
      </c>
      <c r="BR176" s="19" t="n">
        <f aca="false">IF(AND('Bonding Program'!$S$35=1,'Bonding Program'!$H$35&gt;'Bonding Program'!$C$8,BR$3='Bonding Program'!$H$35),'Bonding Program'!$T$35-'Bonding Program'!$U$35-'Bonding Program'!$Z$35,0)-IF(AND('Bonding Program'!$S$35=1,'Bonding Program'!$H$35&lt;='Bonding Program'!$C$8,BR$3=IF('Bonding Program'!$P$35&lt;&gt;"",'Bonding Program'!$P$35,'Bonding Program'!$C$8)),'Bonding Program'!$Z$35,0)+IF(AND('Bonding Program'!$P$35&lt;&gt;"",BR$3='Bonding Program'!$P$35,BR$3&lt;='Bonding Program'!$C$8),N('Bonding Program'!$O$35),0)</f>
        <v>0</v>
      </c>
      <c r="BS176" s="19" t="n">
        <f aca="false">IF(AND('Bonding Program'!$S$35=1,'Bonding Program'!$H$35&gt;'Bonding Program'!$C$8,BS$3='Bonding Program'!$H$35),'Bonding Program'!$T$35-'Bonding Program'!$U$35-'Bonding Program'!$Z$35,0)-IF(AND('Bonding Program'!$S$35=1,'Bonding Program'!$H$35&lt;='Bonding Program'!$C$8,BS$3=IF('Bonding Program'!$P$35&lt;&gt;"",'Bonding Program'!$P$35,'Bonding Program'!$C$8)),'Bonding Program'!$Z$35,0)+IF(AND('Bonding Program'!$P$35&lt;&gt;"",BS$3='Bonding Program'!$P$35,BS$3&lt;='Bonding Program'!$C$8),N('Bonding Program'!$O$35),0)</f>
        <v>0</v>
      </c>
      <c r="BT176" s="19" t="n">
        <f aca="false">IF(AND('Bonding Program'!$S$35=1,'Bonding Program'!$H$35&gt;'Bonding Program'!$C$8,BT$3='Bonding Program'!$H$35),'Bonding Program'!$T$35-'Bonding Program'!$U$35-'Bonding Program'!$Z$35,0)-IF(AND('Bonding Program'!$S$35=1,'Bonding Program'!$H$35&lt;='Bonding Program'!$C$8,BT$3=IF('Bonding Program'!$P$35&lt;&gt;"",'Bonding Program'!$P$35,'Bonding Program'!$C$8)),'Bonding Program'!$Z$35,0)+IF(AND('Bonding Program'!$P$35&lt;&gt;"",BT$3='Bonding Program'!$P$35,BT$3&lt;='Bonding Program'!$C$8),N('Bonding Program'!$O$35),0)</f>
        <v>0</v>
      </c>
      <c r="BU176" s="19" t="n">
        <f aca="false">IF(AND('Bonding Program'!$S$35=1,'Bonding Program'!$H$35&gt;'Bonding Program'!$C$8,BU$3='Bonding Program'!$H$35),'Bonding Program'!$T$35-'Bonding Program'!$U$35-'Bonding Program'!$Z$35,0)-IF(AND('Bonding Program'!$S$35=1,'Bonding Program'!$H$35&lt;='Bonding Program'!$C$8,BU$3=IF('Bonding Program'!$P$35&lt;&gt;"",'Bonding Program'!$P$35,'Bonding Program'!$C$8)),'Bonding Program'!$Z$35,0)+IF(AND('Bonding Program'!$P$35&lt;&gt;"",BU$3='Bonding Program'!$P$35,BU$3&lt;='Bonding Program'!$C$8),N('Bonding Program'!$O$35),0)</f>
        <v>0</v>
      </c>
      <c r="BV176" s="19" t="n">
        <f aca="false">IF(AND('Bonding Program'!$S$35=1,'Bonding Program'!$H$35&gt;'Bonding Program'!$C$8,BV$3='Bonding Program'!$H$35),'Bonding Program'!$T$35-'Bonding Program'!$U$35-'Bonding Program'!$Z$35,0)-IF(AND('Bonding Program'!$S$35=1,'Bonding Program'!$H$35&lt;='Bonding Program'!$C$8,BV$3=IF('Bonding Program'!$P$35&lt;&gt;"",'Bonding Program'!$P$35,'Bonding Program'!$C$8)),'Bonding Program'!$Z$35,0)+IF(AND('Bonding Program'!$P$35&lt;&gt;"",BV$3='Bonding Program'!$P$35,BV$3&lt;='Bonding Program'!$C$8),N('Bonding Program'!$O$35),0)</f>
        <v>0</v>
      </c>
      <c r="BW176" s="19" t="n">
        <f aca="false">IF(AND('Bonding Program'!$S$35=1,'Bonding Program'!$H$35&gt;'Bonding Program'!$C$8,BW$3='Bonding Program'!$H$35),'Bonding Program'!$T$35-'Bonding Program'!$U$35-'Bonding Program'!$Z$35,0)-IF(AND('Bonding Program'!$S$35=1,'Bonding Program'!$H$35&lt;='Bonding Program'!$C$8,BW$3=IF('Bonding Program'!$P$35&lt;&gt;"",'Bonding Program'!$P$35,'Bonding Program'!$C$8)),'Bonding Program'!$Z$35,0)+IF(AND('Bonding Program'!$P$35&lt;&gt;"",BW$3='Bonding Program'!$P$35,BW$3&lt;='Bonding Program'!$C$8),N('Bonding Program'!$O$35),0)</f>
        <v>0</v>
      </c>
      <c r="BX176" s="19" t="n">
        <f aca="false">IF(AND('Bonding Program'!$S$35=1,'Bonding Program'!$H$35&gt;'Bonding Program'!$C$8,BX$3='Bonding Program'!$H$35),'Bonding Program'!$T$35-'Bonding Program'!$U$35-'Bonding Program'!$Z$35,0)-IF(AND('Bonding Program'!$S$35=1,'Bonding Program'!$H$35&lt;='Bonding Program'!$C$8,BX$3=IF('Bonding Program'!$P$35&lt;&gt;"",'Bonding Program'!$P$35,'Bonding Program'!$C$8)),'Bonding Program'!$Z$35,0)+IF(AND('Bonding Program'!$P$35&lt;&gt;"",BX$3='Bonding Program'!$P$35,BX$3&lt;='Bonding Program'!$C$8),N('Bonding Program'!$O$35),0)</f>
        <v>0</v>
      </c>
      <c r="BY176" s="19" t="n">
        <f aca="false">IF(AND('Bonding Program'!$S$35=1,'Bonding Program'!$H$35&gt;'Bonding Program'!$C$8,BY$3='Bonding Program'!$H$35),'Bonding Program'!$T$35-'Bonding Program'!$U$35-'Bonding Program'!$Z$35,0)-IF(AND('Bonding Program'!$S$35=1,'Bonding Program'!$H$35&lt;='Bonding Program'!$C$8,BY$3=IF('Bonding Program'!$P$35&lt;&gt;"",'Bonding Program'!$P$35,'Bonding Program'!$C$8)),'Bonding Program'!$Z$35,0)+IF(AND('Bonding Program'!$P$35&lt;&gt;"",BY$3='Bonding Program'!$P$35,BY$3&lt;='Bonding Program'!$C$8),N('Bonding Program'!$O$35),0)</f>
        <v>0</v>
      </c>
      <c r="BZ176" s="19" t="n">
        <f aca="false">IF(AND('Bonding Program'!$S$35=1,'Bonding Program'!$H$35&gt;'Bonding Program'!$C$8,BZ$3='Bonding Program'!$H$35),'Bonding Program'!$T$35-'Bonding Program'!$U$35-'Bonding Program'!$Z$35,0)-IF(AND('Bonding Program'!$S$35=1,'Bonding Program'!$H$35&lt;='Bonding Program'!$C$8,BZ$3=IF('Bonding Program'!$P$35&lt;&gt;"",'Bonding Program'!$P$35,'Bonding Program'!$C$8)),'Bonding Program'!$Z$35,0)+IF(AND('Bonding Program'!$P$35&lt;&gt;"",BZ$3='Bonding Program'!$P$35,BZ$3&lt;='Bonding Program'!$C$8),N('Bonding Program'!$O$35),0)</f>
        <v>0</v>
      </c>
      <c r="CA176" s="19" t="n">
        <f aca="false">IF(AND('Bonding Program'!$S$35=1,'Bonding Program'!$H$35&gt;'Bonding Program'!$C$8,CA$3='Bonding Program'!$H$35),'Bonding Program'!$T$35-'Bonding Program'!$U$35-'Bonding Program'!$Z$35,0)-IF(AND('Bonding Program'!$S$35=1,'Bonding Program'!$H$35&lt;='Bonding Program'!$C$8,CA$3=IF('Bonding Program'!$P$35&lt;&gt;"",'Bonding Program'!$P$35,'Bonding Program'!$C$8)),'Bonding Program'!$Z$35,0)+IF(AND('Bonding Program'!$P$35&lt;&gt;"",CA$3='Bonding Program'!$P$35,CA$3&lt;='Bonding Program'!$C$8),N('Bonding Program'!$O$35),0)</f>
        <v>0</v>
      </c>
      <c r="CB176" s="19" t="n">
        <f aca="false">IF(AND('Bonding Program'!$S$35=1,'Bonding Program'!$H$35&gt;'Bonding Program'!$C$8,CB$3='Bonding Program'!$H$35),'Bonding Program'!$T$35-'Bonding Program'!$U$35-'Bonding Program'!$Z$35,0)-IF(AND('Bonding Program'!$S$35=1,'Bonding Program'!$H$35&lt;='Bonding Program'!$C$8,CB$3=IF('Bonding Program'!$P$35&lt;&gt;"",'Bonding Program'!$P$35,'Bonding Program'!$C$8)),'Bonding Program'!$Z$35,0)+IF(AND('Bonding Program'!$P$35&lt;&gt;"",CB$3='Bonding Program'!$P$35,CB$3&lt;='Bonding Program'!$C$8),N('Bonding Program'!$O$35),0)</f>
        <v>0</v>
      </c>
      <c r="CC176" s="19" t="n">
        <f aca="false">IF(AND('Bonding Program'!$S$35=1,'Bonding Program'!$H$35&gt;'Bonding Program'!$C$8,CC$3='Bonding Program'!$H$35),'Bonding Program'!$T$35-'Bonding Program'!$U$35-'Bonding Program'!$Z$35,0)-IF(AND('Bonding Program'!$S$35=1,'Bonding Program'!$H$35&lt;='Bonding Program'!$C$8,CC$3=IF('Bonding Program'!$P$35&lt;&gt;"",'Bonding Program'!$P$35,'Bonding Program'!$C$8)),'Bonding Program'!$Z$35,0)+IF(AND('Bonding Program'!$P$35&lt;&gt;"",CC$3='Bonding Program'!$P$35,CC$3&lt;='Bonding Program'!$C$8),N('Bonding Program'!$O$35),0)</f>
        <v>0</v>
      </c>
      <c r="CD176" s="19" t="n">
        <f aca="false">IF(AND('Bonding Program'!$S$35=1,'Bonding Program'!$H$35&gt;'Bonding Program'!$C$8,CD$3='Bonding Program'!$H$35),'Bonding Program'!$T$35-'Bonding Program'!$U$35-'Bonding Program'!$Z$35,0)-IF(AND('Bonding Program'!$S$35=1,'Bonding Program'!$H$35&lt;='Bonding Program'!$C$8,CD$3=IF('Bonding Program'!$P$35&lt;&gt;"",'Bonding Program'!$P$35,'Bonding Program'!$C$8)),'Bonding Program'!$Z$35,0)+IF(AND('Bonding Program'!$P$35&lt;&gt;"",CD$3='Bonding Program'!$P$35,CD$3&lt;='Bonding Program'!$C$8),N('Bonding Program'!$O$35),0)</f>
        <v>0</v>
      </c>
      <c r="CE176" s="19" t="n">
        <f aca="false">IF(AND('Bonding Program'!$S$35=1,'Bonding Program'!$H$35&gt;'Bonding Program'!$C$8,CE$3='Bonding Program'!$H$35),'Bonding Program'!$T$35-'Bonding Program'!$U$35-'Bonding Program'!$Z$35,0)-IF(AND('Bonding Program'!$S$35=1,'Bonding Program'!$H$35&lt;='Bonding Program'!$C$8,CE$3=IF('Bonding Program'!$P$35&lt;&gt;"",'Bonding Program'!$P$35,'Bonding Program'!$C$8)),'Bonding Program'!$Z$35,0)+IF(AND('Bonding Program'!$P$35&lt;&gt;"",CE$3='Bonding Program'!$P$35,CE$3&lt;='Bonding Program'!$C$8),N('Bonding Program'!$O$35),0)</f>
        <v>0</v>
      </c>
      <c r="CF176" s="19" t="n">
        <f aca="false">IF(AND('Bonding Program'!$S$35=1,'Bonding Program'!$H$35&gt;'Bonding Program'!$C$8,CF$3='Bonding Program'!$H$35),'Bonding Program'!$T$35-'Bonding Program'!$U$35-'Bonding Program'!$Z$35,0)-IF(AND('Bonding Program'!$S$35=1,'Bonding Program'!$H$35&lt;='Bonding Program'!$C$8,CF$3=IF('Bonding Program'!$P$35&lt;&gt;"",'Bonding Program'!$P$35,'Bonding Program'!$C$8)),'Bonding Program'!$Z$35,0)+IF(AND('Bonding Program'!$P$35&lt;&gt;"",CF$3='Bonding Program'!$P$35,CF$3&lt;='Bonding Program'!$C$8),N('Bonding Program'!$O$35),0)</f>
        <v>0</v>
      </c>
      <c r="CG176" s="19" t="n">
        <f aca="false">IF(AND('Bonding Program'!$S$35=1,'Bonding Program'!$H$35&gt;'Bonding Program'!$C$8,CG$3='Bonding Program'!$H$35),'Bonding Program'!$T$35-'Bonding Program'!$U$35-'Bonding Program'!$Z$35,0)-IF(AND('Bonding Program'!$S$35=1,'Bonding Program'!$H$35&lt;='Bonding Program'!$C$8,CG$3=IF('Bonding Program'!$P$35&lt;&gt;"",'Bonding Program'!$P$35,'Bonding Program'!$C$8)),'Bonding Program'!$Z$35,0)+IF(AND('Bonding Program'!$P$35&lt;&gt;"",CG$3='Bonding Program'!$P$35,CG$3&lt;='Bonding Program'!$C$8),N('Bonding Program'!$O$35),0)</f>
        <v>0</v>
      </c>
      <c r="CH176" s="19" t="n">
        <f aca="false">IF(AND('Bonding Program'!$S$35=1,'Bonding Program'!$H$35&gt;'Bonding Program'!$C$8,CH$3='Bonding Program'!$H$35),'Bonding Program'!$T$35-'Bonding Program'!$U$35-'Bonding Program'!$Z$35,0)-IF(AND('Bonding Program'!$S$35=1,'Bonding Program'!$H$35&lt;='Bonding Program'!$C$8,CH$3=IF('Bonding Program'!$P$35&lt;&gt;"",'Bonding Program'!$P$35,'Bonding Program'!$C$8)),'Bonding Program'!$Z$35,0)+IF(AND('Bonding Program'!$P$35&lt;&gt;"",CH$3='Bonding Program'!$P$35,CH$3&lt;='Bonding Program'!$C$8),N('Bonding Program'!$O$35),0)</f>
        <v>0</v>
      </c>
      <c r="CI176" s="19" t="n">
        <f aca="false">IF(AND('Bonding Program'!$S$35=1,'Bonding Program'!$H$35&gt;'Bonding Program'!$C$8,CI$3='Bonding Program'!$H$35),'Bonding Program'!$T$35-'Bonding Program'!$U$35-'Bonding Program'!$Z$35,0)-IF(AND('Bonding Program'!$S$35=1,'Bonding Program'!$H$35&lt;='Bonding Program'!$C$8,CI$3=IF('Bonding Program'!$P$35&lt;&gt;"",'Bonding Program'!$P$35,'Bonding Program'!$C$8)),'Bonding Program'!$Z$35,0)+IF(AND('Bonding Program'!$P$35&lt;&gt;"",CI$3='Bonding Program'!$P$35,CI$3&lt;='Bonding Program'!$C$8),N('Bonding Program'!$O$35),0)</f>
        <v>0</v>
      </c>
      <c r="CJ176" s="19" t="n">
        <f aca="false">IF(AND('Bonding Program'!$S$35=1,'Bonding Program'!$H$35&gt;'Bonding Program'!$C$8,CJ$3='Bonding Program'!$H$35),'Bonding Program'!$T$35-'Bonding Program'!$U$35-'Bonding Program'!$Z$35,0)-IF(AND('Bonding Program'!$S$35=1,'Bonding Program'!$H$35&lt;='Bonding Program'!$C$8,CJ$3=IF('Bonding Program'!$P$35&lt;&gt;"",'Bonding Program'!$P$35,'Bonding Program'!$C$8)),'Bonding Program'!$Z$35,0)+IF(AND('Bonding Program'!$P$35&lt;&gt;"",CJ$3='Bonding Program'!$P$35,CJ$3&lt;='Bonding Program'!$C$8),N('Bonding Program'!$O$35),0)</f>
        <v>0</v>
      </c>
      <c r="CK176" s="19" t="n">
        <f aca="false">IF(AND('Bonding Program'!$S$35=1,'Bonding Program'!$H$35&gt;'Bonding Program'!$C$8,CK$3='Bonding Program'!$H$35),'Bonding Program'!$T$35-'Bonding Program'!$U$35-'Bonding Program'!$Z$35,0)-IF(AND('Bonding Program'!$S$35=1,'Bonding Program'!$H$35&lt;='Bonding Program'!$C$8,CK$3=IF('Bonding Program'!$P$35&lt;&gt;"",'Bonding Program'!$P$35,'Bonding Program'!$C$8)),'Bonding Program'!$Z$35,0)+IF(AND('Bonding Program'!$P$35&lt;&gt;"",CK$3='Bonding Program'!$P$35,CK$3&lt;='Bonding Program'!$C$8),N('Bonding Program'!$O$35),0)</f>
        <v>0</v>
      </c>
      <c r="CL176" s="19" t="n">
        <f aca="false">IF(AND('Bonding Program'!$S$35=1,'Bonding Program'!$H$35&gt;'Bonding Program'!$C$8,CL$3='Bonding Program'!$H$35),'Bonding Program'!$T$35-'Bonding Program'!$U$35-'Bonding Program'!$Z$35,0)-IF(AND('Bonding Program'!$S$35=1,'Bonding Program'!$H$35&lt;='Bonding Program'!$C$8,CL$3=IF('Bonding Program'!$P$35&lt;&gt;"",'Bonding Program'!$P$35,'Bonding Program'!$C$8)),'Bonding Program'!$Z$35,0)+IF(AND('Bonding Program'!$P$35&lt;&gt;"",CL$3='Bonding Program'!$P$35,CL$3&lt;='Bonding Program'!$C$8),N('Bonding Program'!$O$35),0)</f>
        <v>0</v>
      </c>
      <c r="CM176" s="19" t="n">
        <f aca="false">IF(AND('Bonding Program'!$S$35=1,'Bonding Program'!$H$35&gt;'Bonding Program'!$C$8,CM$3='Bonding Program'!$H$35),'Bonding Program'!$T$35-'Bonding Program'!$U$35-'Bonding Program'!$Z$35,0)-IF(AND('Bonding Program'!$S$35=1,'Bonding Program'!$H$35&lt;='Bonding Program'!$C$8,CM$3=IF('Bonding Program'!$P$35&lt;&gt;"",'Bonding Program'!$P$35,'Bonding Program'!$C$8)),'Bonding Program'!$Z$35,0)+IF(AND('Bonding Program'!$P$35&lt;&gt;"",CM$3='Bonding Program'!$P$35,CM$3&lt;='Bonding Program'!$C$8),N('Bonding Program'!$O$35),0)</f>
        <v>0</v>
      </c>
      <c r="CN176" s="19" t="n">
        <f aca="false">IF(AND('Bonding Program'!$S$35=1,'Bonding Program'!$H$35&gt;'Bonding Program'!$C$8,CN$3='Bonding Program'!$H$35),'Bonding Program'!$T$35-'Bonding Program'!$U$35-'Bonding Program'!$Z$35,0)-IF(AND('Bonding Program'!$S$35=1,'Bonding Program'!$H$35&lt;='Bonding Program'!$C$8,CN$3=IF('Bonding Program'!$P$35&lt;&gt;"",'Bonding Program'!$P$35,'Bonding Program'!$C$8)),'Bonding Program'!$Z$35,0)+IF(AND('Bonding Program'!$P$35&lt;&gt;"",CN$3='Bonding Program'!$P$35,CN$3&lt;='Bonding Program'!$C$8),N('Bonding Program'!$O$35),0)</f>
        <v>0</v>
      </c>
      <c r="CO176" s="19" t="n">
        <f aca="false">IF(AND('Bonding Program'!$S$35=1,'Bonding Program'!$H$35&gt;'Bonding Program'!$C$8,CO$3='Bonding Program'!$H$35),'Bonding Program'!$T$35-'Bonding Program'!$U$35-'Bonding Program'!$Z$35,0)-IF(AND('Bonding Program'!$S$35=1,'Bonding Program'!$H$35&lt;='Bonding Program'!$C$8,CO$3=IF('Bonding Program'!$P$35&lt;&gt;"",'Bonding Program'!$P$35,'Bonding Program'!$C$8)),'Bonding Program'!$Z$35,0)+IF(AND('Bonding Program'!$P$35&lt;&gt;"",CO$3='Bonding Program'!$P$35,CO$3&lt;='Bonding Program'!$C$8),N('Bonding Program'!$O$35),0)</f>
        <v>0</v>
      </c>
      <c r="CP176" s="19" t="n">
        <f aca="false">IF(AND('Bonding Program'!$S$35=1,'Bonding Program'!$H$35&gt;'Bonding Program'!$C$8,CP$3='Bonding Program'!$H$35),'Bonding Program'!$T$35-'Bonding Program'!$U$35-'Bonding Program'!$Z$35,0)-IF(AND('Bonding Program'!$S$35=1,'Bonding Program'!$H$35&lt;='Bonding Program'!$C$8,CP$3=IF('Bonding Program'!$P$35&lt;&gt;"",'Bonding Program'!$P$35,'Bonding Program'!$C$8)),'Bonding Program'!$Z$35,0)+IF(AND('Bonding Program'!$P$35&lt;&gt;"",CP$3='Bonding Program'!$P$35,CP$3&lt;='Bonding Program'!$C$8),N('Bonding Program'!$O$35),0)</f>
        <v>0</v>
      </c>
      <c r="CQ176" s="19" t="n">
        <f aca="false">IF(AND('Bonding Program'!$S$35=1,'Bonding Program'!$H$35&gt;'Bonding Program'!$C$8,CQ$3='Bonding Program'!$H$35),'Bonding Program'!$T$35-'Bonding Program'!$U$35-'Bonding Program'!$Z$35,0)-IF(AND('Bonding Program'!$S$35=1,'Bonding Program'!$H$35&lt;='Bonding Program'!$C$8,CQ$3=IF('Bonding Program'!$P$35&lt;&gt;"",'Bonding Program'!$P$35,'Bonding Program'!$C$8)),'Bonding Program'!$Z$35,0)+IF(AND('Bonding Program'!$P$35&lt;&gt;"",CQ$3='Bonding Program'!$P$35,CQ$3&lt;='Bonding Program'!$C$8),N('Bonding Program'!$O$35),0)</f>
        <v>0</v>
      </c>
      <c r="CR176" s="19" t="n">
        <f aca="false">IF(AND('Bonding Program'!$S$35=1,'Bonding Program'!$H$35&gt;'Bonding Program'!$C$8,CR$3='Bonding Program'!$H$35),'Bonding Program'!$T$35-'Bonding Program'!$U$35-'Bonding Program'!$Z$35,0)-IF(AND('Bonding Program'!$S$35=1,'Bonding Program'!$H$35&lt;='Bonding Program'!$C$8,CR$3=IF('Bonding Program'!$P$35&lt;&gt;"",'Bonding Program'!$P$35,'Bonding Program'!$C$8)),'Bonding Program'!$Z$35,0)+IF(AND('Bonding Program'!$P$35&lt;&gt;"",CR$3='Bonding Program'!$P$35,CR$3&lt;='Bonding Program'!$C$8),N('Bonding Program'!$O$35),0)</f>
        <v>0</v>
      </c>
      <c r="CS176" s="19" t="n">
        <f aca="false">IF(AND('Bonding Program'!$S$35=1,'Bonding Program'!$H$35&gt;'Bonding Program'!$C$8,CS$3='Bonding Program'!$H$35),'Bonding Program'!$T$35-'Bonding Program'!$U$35-'Bonding Program'!$Z$35,0)-IF(AND('Bonding Program'!$S$35=1,'Bonding Program'!$H$35&lt;='Bonding Program'!$C$8,CS$3=IF('Bonding Program'!$P$35&lt;&gt;"",'Bonding Program'!$P$35,'Bonding Program'!$C$8)),'Bonding Program'!$Z$35,0)+IF(AND('Bonding Program'!$P$35&lt;&gt;"",CS$3='Bonding Program'!$P$35,CS$3&lt;='Bonding Program'!$C$8),N('Bonding Program'!$O$35),0)</f>
        <v>0</v>
      </c>
      <c r="CT176" s="19" t="n">
        <f aca="false">IF(AND('Bonding Program'!$S$35=1,'Bonding Program'!$H$35&gt;'Bonding Program'!$C$8,CT$3='Bonding Program'!$H$35),'Bonding Program'!$T$35-'Bonding Program'!$U$35-'Bonding Program'!$Z$35,0)-IF(AND('Bonding Program'!$S$35=1,'Bonding Program'!$H$35&lt;='Bonding Program'!$C$8,CT$3=IF('Bonding Program'!$P$35&lt;&gt;"",'Bonding Program'!$P$35,'Bonding Program'!$C$8)),'Bonding Program'!$Z$35,0)+IF(AND('Bonding Program'!$P$35&lt;&gt;"",CT$3='Bonding Program'!$P$35,CT$3&lt;='Bonding Program'!$C$8),N('Bonding Program'!$O$35),0)</f>
        <v>0</v>
      </c>
      <c r="CU176" s="19" t="n">
        <f aca="false">IF(AND('Bonding Program'!$S$35=1,'Bonding Program'!$H$35&gt;'Bonding Program'!$C$8,CU$3='Bonding Program'!$H$35),'Bonding Program'!$T$35-'Bonding Program'!$U$35-'Bonding Program'!$Z$35,0)-IF(AND('Bonding Program'!$S$35=1,'Bonding Program'!$H$35&lt;='Bonding Program'!$C$8,CU$3=IF('Bonding Program'!$P$35&lt;&gt;"",'Bonding Program'!$P$35,'Bonding Program'!$C$8)),'Bonding Program'!$Z$35,0)+IF(AND('Bonding Program'!$P$35&lt;&gt;"",CU$3='Bonding Program'!$P$35,CU$3&lt;='Bonding Program'!$C$8),N('Bonding Program'!$O$35),0)</f>
        <v>0</v>
      </c>
      <c r="CV176" s="19" t="n">
        <f aca="false">IF(AND('Bonding Program'!$S$35=1,'Bonding Program'!$H$35&gt;'Bonding Program'!$C$8,CV$3='Bonding Program'!$H$35),'Bonding Program'!$T$35-'Bonding Program'!$U$35-'Bonding Program'!$Z$35,0)-IF(AND('Bonding Program'!$S$35=1,'Bonding Program'!$H$35&lt;='Bonding Program'!$C$8,CV$3=IF('Bonding Program'!$P$35&lt;&gt;"",'Bonding Program'!$P$35,'Bonding Program'!$C$8)),'Bonding Program'!$Z$35,0)+IF(AND('Bonding Program'!$P$35&lt;&gt;"",CV$3='Bonding Program'!$P$35,CV$3&lt;='Bonding Program'!$C$8),N('Bonding Program'!$O$35),0)</f>
        <v>0</v>
      </c>
      <c r="CW176" s="19" t="n">
        <f aca="false">IF(AND('Bonding Program'!$S$35=1,'Bonding Program'!$H$35&gt;'Bonding Program'!$C$8,CW$3='Bonding Program'!$H$35),'Bonding Program'!$T$35-'Bonding Program'!$U$35-'Bonding Program'!$Z$35,0)-IF(AND('Bonding Program'!$S$35=1,'Bonding Program'!$H$35&lt;='Bonding Program'!$C$8,CW$3=IF('Bonding Program'!$P$35&lt;&gt;"",'Bonding Program'!$P$35,'Bonding Program'!$C$8)),'Bonding Program'!$Z$35,0)+IF(AND('Bonding Program'!$P$35&lt;&gt;"",CW$3='Bonding Program'!$P$35,CW$3&lt;='Bonding Program'!$C$8),N('Bonding Program'!$O$35),0)</f>
        <v>0</v>
      </c>
      <c r="CX176" s="19" t="n">
        <f aca="false">IF(AND('Bonding Program'!$S$35=1,'Bonding Program'!$H$35&gt;'Bonding Program'!$C$8,CX$3='Bonding Program'!$H$35),'Bonding Program'!$T$35-'Bonding Program'!$U$35-'Bonding Program'!$Z$35,0)-IF(AND('Bonding Program'!$S$35=1,'Bonding Program'!$H$35&lt;='Bonding Program'!$C$8,CX$3=IF('Bonding Program'!$P$35&lt;&gt;"",'Bonding Program'!$P$35,'Bonding Program'!$C$8)),'Bonding Program'!$Z$35,0)+IF(AND('Bonding Program'!$P$35&lt;&gt;"",CX$3='Bonding Program'!$P$35,CX$3&lt;='Bonding Program'!$C$8),N('Bonding Program'!$O$35),0)</f>
        <v>0</v>
      </c>
      <c r="CY176" s="19" t="n">
        <f aca="false">IF(AND('Bonding Program'!$S$35=1,'Bonding Program'!$H$35&gt;'Bonding Program'!$C$8,CY$3='Bonding Program'!$H$35),'Bonding Program'!$T$35-'Bonding Program'!$U$35-'Bonding Program'!$Z$35,0)-IF(AND('Bonding Program'!$S$35=1,'Bonding Program'!$H$35&lt;='Bonding Program'!$C$8,CY$3=IF('Bonding Program'!$P$35&lt;&gt;"",'Bonding Program'!$P$35,'Bonding Program'!$C$8)),'Bonding Program'!$Z$35,0)+IF(AND('Bonding Program'!$P$35&lt;&gt;"",CY$3='Bonding Program'!$P$35,CY$3&lt;='Bonding Program'!$C$8),N('Bonding Program'!$O$35),0)</f>
        <v>0</v>
      </c>
      <c r="CZ176" s="19" t="n">
        <f aca="false">IF(AND('Bonding Program'!$S$35=1,'Bonding Program'!$H$35&gt;'Bonding Program'!$C$8,CZ$3='Bonding Program'!$H$35),'Bonding Program'!$T$35-'Bonding Program'!$U$35-'Bonding Program'!$Z$35,0)-IF(AND('Bonding Program'!$S$35=1,'Bonding Program'!$H$35&lt;='Bonding Program'!$C$8,CZ$3=IF('Bonding Program'!$P$35&lt;&gt;"",'Bonding Program'!$P$35,'Bonding Program'!$C$8)),'Bonding Program'!$Z$35,0)+IF(AND('Bonding Program'!$P$35&lt;&gt;"",CZ$3='Bonding Program'!$P$35,CZ$3&lt;='Bonding Program'!$C$8),N('Bonding Program'!$O$35),0)</f>
        <v>0</v>
      </c>
      <c r="DA176" s="19" t="n">
        <f aca="false">IF(AND('Bonding Program'!$S$35=1,'Bonding Program'!$H$35&gt;'Bonding Program'!$C$8,DA$3='Bonding Program'!$H$35),'Bonding Program'!$T$35-'Bonding Program'!$U$35-'Bonding Program'!$Z$35,0)-IF(AND('Bonding Program'!$S$35=1,'Bonding Program'!$H$35&lt;='Bonding Program'!$C$8,DA$3=IF('Bonding Program'!$P$35&lt;&gt;"",'Bonding Program'!$P$35,'Bonding Program'!$C$8)),'Bonding Program'!$Z$35,0)+IF(AND('Bonding Program'!$P$35&lt;&gt;"",DA$3='Bonding Program'!$P$35,DA$3&lt;='Bonding Program'!$C$8),N('Bonding Program'!$O$35),0)</f>
        <v>0</v>
      </c>
      <c r="DB176" s="19" t="n">
        <f aca="false">IF(AND('Bonding Program'!$S$35=1,'Bonding Program'!$H$35&gt;'Bonding Program'!$C$8,DB$3='Bonding Program'!$H$35),'Bonding Program'!$T$35-'Bonding Program'!$U$35-'Bonding Program'!$Z$35,0)-IF(AND('Bonding Program'!$S$35=1,'Bonding Program'!$H$35&lt;='Bonding Program'!$C$8,DB$3=IF('Bonding Program'!$P$35&lt;&gt;"",'Bonding Program'!$P$35,'Bonding Program'!$C$8)),'Bonding Program'!$Z$35,0)+IF(AND('Bonding Program'!$P$35&lt;&gt;"",DB$3='Bonding Program'!$P$35,DB$3&lt;='Bonding Program'!$C$8),N('Bonding Program'!$O$35),0)</f>
        <v>0</v>
      </c>
      <c r="DC176" s="19" t="n">
        <f aca="false">IF(AND('Bonding Program'!$S$35=1,'Bonding Program'!$H$35&gt;'Bonding Program'!$C$8,DC$3='Bonding Program'!$H$35),'Bonding Program'!$T$35-'Bonding Program'!$U$35-'Bonding Program'!$Z$35,0)-IF(AND('Bonding Program'!$S$35=1,'Bonding Program'!$H$35&lt;='Bonding Program'!$C$8,DC$3=IF('Bonding Program'!$P$35&lt;&gt;"",'Bonding Program'!$P$35,'Bonding Program'!$C$8)),'Bonding Program'!$Z$35,0)+IF(AND('Bonding Program'!$P$35&lt;&gt;"",DC$3='Bonding Program'!$P$35,DC$3&lt;='Bonding Program'!$C$8),N('Bonding Program'!$O$35),0)</f>
        <v>0</v>
      </c>
      <c r="DD176" s="19" t="n">
        <f aca="false">IF(AND('Bonding Program'!$S$35=1,'Bonding Program'!$H$35&gt;'Bonding Program'!$C$8,DD$3='Bonding Program'!$H$35),'Bonding Program'!$T$35-'Bonding Program'!$U$35-'Bonding Program'!$Z$35,0)-IF(AND('Bonding Program'!$S$35=1,'Bonding Program'!$H$35&lt;='Bonding Program'!$C$8,DD$3=IF('Bonding Program'!$P$35&lt;&gt;"",'Bonding Program'!$P$35,'Bonding Program'!$C$8)),'Bonding Program'!$Z$35,0)+IF(AND('Bonding Program'!$P$35&lt;&gt;"",DD$3='Bonding Program'!$P$35,DD$3&lt;='Bonding Program'!$C$8),N('Bonding Program'!$O$35),0)</f>
        <v>0</v>
      </c>
      <c r="DE176" s="19" t="n">
        <f aca="false">IF(AND('Bonding Program'!$S$35=1,'Bonding Program'!$H$35&gt;'Bonding Program'!$C$8,DE$3='Bonding Program'!$H$35),'Bonding Program'!$T$35-'Bonding Program'!$U$35-'Bonding Program'!$Z$35,0)-IF(AND('Bonding Program'!$S$35=1,'Bonding Program'!$H$35&lt;='Bonding Program'!$C$8,DE$3=IF('Bonding Program'!$P$35&lt;&gt;"",'Bonding Program'!$P$35,'Bonding Program'!$C$8)),'Bonding Program'!$Z$35,0)+IF(AND('Bonding Program'!$P$35&lt;&gt;"",DE$3='Bonding Program'!$P$35,DE$3&lt;='Bonding Program'!$C$8),N('Bonding Program'!$O$35),0)</f>
        <v>0</v>
      </c>
    </row>
    <row r="177" customFormat="false" ht="15" hidden="false" customHeight="true" outlineLevel="1" collapsed="false">
      <c r="A177" s="28" t="s">
        <v>32</v>
      </c>
      <c r="B177" s="19" t="n">
        <f aca="false">IF(AND('Bonding Program'!$S$36=1,'Bonding Program'!$H$36&gt;'Bonding Program'!$C$8,B$3='Bonding Program'!$H$36),'Bonding Program'!$T$36-'Bonding Program'!$U$36-'Bonding Program'!$Z$36,0)-IF(AND('Bonding Program'!$S$36=1,'Bonding Program'!$H$36&lt;='Bonding Program'!$C$8,B$3=IF('Bonding Program'!$P$36&lt;&gt;"",'Bonding Program'!$P$36,'Bonding Program'!$C$8)),'Bonding Program'!$Z$36,0)+IF(AND('Bonding Program'!$P$36&lt;&gt;"",B$3='Bonding Program'!$P$36,B$3&lt;='Bonding Program'!$C$8),N('Bonding Program'!$O$36),0)</f>
        <v>0</v>
      </c>
      <c r="C177" s="19" t="n">
        <f aca="false">IF(AND('Bonding Program'!$S$36=1,'Bonding Program'!$H$36&gt;'Bonding Program'!$C$8,C$3='Bonding Program'!$H$36),'Bonding Program'!$T$36-'Bonding Program'!$U$36-'Bonding Program'!$Z$36,0)-IF(AND('Bonding Program'!$S$36=1,'Bonding Program'!$H$36&lt;='Bonding Program'!$C$8,C$3=IF('Bonding Program'!$P$36&lt;&gt;"",'Bonding Program'!$P$36,'Bonding Program'!$C$8)),'Bonding Program'!$Z$36,0)+IF(AND('Bonding Program'!$P$36&lt;&gt;"",C$3='Bonding Program'!$P$36,C$3&lt;='Bonding Program'!$C$8),N('Bonding Program'!$O$36),0)</f>
        <v>0</v>
      </c>
      <c r="D177" s="19" t="n">
        <f aca="false">IF(AND('Bonding Program'!$S$36=1,'Bonding Program'!$H$36&gt;'Bonding Program'!$C$8,D$3='Bonding Program'!$H$36),'Bonding Program'!$T$36-'Bonding Program'!$U$36-'Bonding Program'!$Z$36,0)-IF(AND('Bonding Program'!$S$36=1,'Bonding Program'!$H$36&lt;='Bonding Program'!$C$8,D$3=IF('Bonding Program'!$P$36&lt;&gt;"",'Bonding Program'!$P$36,'Bonding Program'!$C$8)),'Bonding Program'!$Z$36,0)+IF(AND('Bonding Program'!$P$36&lt;&gt;"",D$3='Bonding Program'!$P$36,D$3&lt;='Bonding Program'!$C$8),N('Bonding Program'!$O$36),0)</f>
        <v>0</v>
      </c>
      <c r="E177" s="19" t="n">
        <f aca="false">IF(AND('Bonding Program'!$S$36=1,'Bonding Program'!$H$36&gt;'Bonding Program'!$C$8,E$3='Bonding Program'!$H$36),'Bonding Program'!$T$36-'Bonding Program'!$U$36-'Bonding Program'!$Z$36,0)-IF(AND('Bonding Program'!$S$36=1,'Bonding Program'!$H$36&lt;='Bonding Program'!$C$8,E$3=IF('Bonding Program'!$P$36&lt;&gt;"",'Bonding Program'!$P$36,'Bonding Program'!$C$8)),'Bonding Program'!$Z$36,0)+IF(AND('Bonding Program'!$P$36&lt;&gt;"",E$3='Bonding Program'!$P$36,E$3&lt;='Bonding Program'!$C$8),N('Bonding Program'!$O$36),0)</f>
        <v>0</v>
      </c>
      <c r="F177" s="19" t="n">
        <f aca="false">IF(AND('Bonding Program'!$S$36=1,'Bonding Program'!$H$36&gt;'Bonding Program'!$C$8,F$3='Bonding Program'!$H$36),'Bonding Program'!$T$36-'Bonding Program'!$U$36-'Bonding Program'!$Z$36,0)-IF(AND('Bonding Program'!$S$36=1,'Bonding Program'!$H$36&lt;='Bonding Program'!$C$8,F$3=IF('Bonding Program'!$P$36&lt;&gt;"",'Bonding Program'!$P$36,'Bonding Program'!$C$8)),'Bonding Program'!$Z$36,0)+IF(AND('Bonding Program'!$P$36&lt;&gt;"",F$3='Bonding Program'!$P$36,F$3&lt;='Bonding Program'!$C$8),N('Bonding Program'!$O$36),0)</f>
        <v>0</v>
      </c>
      <c r="G177" s="19" t="n">
        <f aca="false">IF(AND('Bonding Program'!$S$36=1,'Bonding Program'!$H$36&gt;'Bonding Program'!$C$8,G$3='Bonding Program'!$H$36),'Bonding Program'!$T$36-'Bonding Program'!$U$36-'Bonding Program'!$Z$36,0)-IF(AND('Bonding Program'!$S$36=1,'Bonding Program'!$H$36&lt;='Bonding Program'!$C$8,G$3=IF('Bonding Program'!$P$36&lt;&gt;"",'Bonding Program'!$P$36,'Bonding Program'!$C$8)),'Bonding Program'!$Z$36,0)+IF(AND('Bonding Program'!$P$36&lt;&gt;"",G$3='Bonding Program'!$P$36,G$3&lt;='Bonding Program'!$C$8),N('Bonding Program'!$O$36),0)</f>
        <v>0</v>
      </c>
      <c r="H177" s="19" t="n">
        <f aca="false">IF(AND('Bonding Program'!$S$36=1,'Bonding Program'!$H$36&gt;'Bonding Program'!$C$8,H$3='Bonding Program'!$H$36),'Bonding Program'!$T$36-'Bonding Program'!$U$36-'Bonding Program'!$Z$36,0)-IF(AND('Bonding Program'!$S$36=1,'Bonding Program'!$H$36&lt;='Bonding Program'!$C$8,H$3=IF('Bonding Program'!$P$36&lt;&gt;"",'Bonding Program'!$P$36,'Bonding Program'!$C$8)),'Bonding Program'!$Z$36,0)+IF(AND('Bonding Program'!$P$36&lt;&gt;"",H$3='Bonding Program'!$P$36,H$3&lt;='Bonding Program'!$C$8),N('Bonding Program'!$O$36),0)</f>
        <v>0</v>
      </c>
      <c r="I177" s="19" t="n">
        <f aca="false">IF(AND('Bonding Program'!$S$36=1,'Bonding Program'!$H$36&gt;'Bonding Program'!$C$8,I$3='Bonding Program'!$H$36),'Bonding Program'!$T$36-'Bonding Program'!$U$36-'Bonding Program'!$Z$36,0)-IF(AND('Bonding Program'!$S$36=1,'Bonding Program'!$H$36&lt;='Bonding Program'!$C$8,I$3=IF('Bonding Program'!$P$36&lt;&gt;"",'Bonding Program'!$P$36,'Bonding Program'!$C$8)),'Bonding Program'!$Z$36,0)+IF(AND('Bonding Program'!$P$36&lt;&gt;"",I$3='Bonding Program'!$P$36,I$3&lt;='Bonding Program'!$C$8),N('Bonding Program'!$O$36),0)</f>
        <v>0</v>
      </c>
      <c r="J177" s="19" t="n">
        <f aca="false">IF(AND('Bonding Program'!$S$36=1,'Bonding Program'!$H$36&gt;'Bonding Program'!$C$8,J$3='Bonding Program'!$H$36),'Bonding Program'!$T$36-'Bonding Program'!$U$36-'Bonding Program'!$Z$36,0)-IF(AND('Bonding Program'!$S$36=1,'Bonding Program'!$H$36&lt;='Bonding Program'!$C$8,J$3=IF('Bonding Program'!$P$36&lt;&gt;"",'Bonding Program'!$P$36,'Bonding Program'!$C$8)),'Bonding Program'!$Z$36,0)+IF(AND('Bonding Program'!$P$36&lt;&gt;"",J$3='Bonding Program'!$P$36,J$3&lt;='Bonding Program'!$C$8),N('Bonding Program'!$O$36),0)</f>
        <v>0</v>
      </c>
      <c r="K177" s="19" t="n">
        <f aca="false">IF(AND('Bonding Program'!$S$36=1,'Bonding Program'!$H$36&gt;'Bonding Program'!$C$8,K$3='Bonding Program'!$H$36),'Bonding Program'!$T$36-'Bonding Program'!$U$36-'Bonding Program'!$Z$36,0)-IF(AND('Bonding Program'!$S$36=1,'Bonding Program'!$H$36&lt;='Bonding Program'!$C$8,K$3=IF('Bonding Program'!$P$36&lt;&gt;"",'Bonding Program'!$P$36,'Bonding Program'!$C$8)),'Bonding Program'!$Z$36,0)+IF(AND('Bonding Program'!$P$36&lt;&gt;"",K$3='Bonding Program'!$P$36,K$3&lt;='Bonding Program'!$C$8),N('Bonding Program'!$O$36),0)</f>
        <v>0</v>
      </c>
      <c r="L177" s="19" t="n">
        <f aca="false">IF(AND('Bonding Program'!$S$36=1,'Bonding Program'!$H$36&gt;'Bonding Program'!$C$8,L$3='Bonding Program'!$H$36),'Bonding Program'!$T$36-'Bonding Program'!$U$36-'Bonding Program'!$Z$36,0)-IF(AND('Bonding Program'!$S$36=1,'Bonding Program'!$H$36&lt;='Bonding Program'!$C$8,L$3=IF('Bonding Program'!$P$36&lt;&gt;"",'Bonding Program'!$P$36,'Bonding Program'!$C$8)),'Bonding Program'!$Z$36,0)+IF(AND('Bonding Program'!$P$36&lt;&gt;"",L$3='Bonding Program'!$P$36,L$3&lt;='Bonding Program'!$C$8),N('Bonding Program'!$O$36),0)</f>
        <v>0</v>
      </c>
      <c r="M177" s="19" t="n">
        <f aca="false">IF(AND('Bonding Program'!$S$36=1,'Bonding Program'!$H$36&gt;'Bonding Program'!$C$8,M$3='Bonding Program'!$H$36),'Bonding Program'!$T$36-'Bonding Program'!$U$36-'Bonding Program'!$Z$36,0)-IF(AND('Bonding Program'!$S$36=1,'Bonding Program'!$H$36&lt;='Bonding Program'!$C$8,M$3=IF('Bonding Program'!$P$36&lt;&gt;"",'Bonding Program'!$P$36,'Bonding Program'!$C$8)),'Bonding Program'!$Z$36,0)+IF(AND('Bonding Program'!$P$36&lt;&gt;"",M$3='Bonding Program'!$P$36,M$3&lt;='Bonding Program'!$C$8),N('Bonding Program'!$O$36),0)</f>
        <v>0</v>
      </c>
      <c r="N177" s="19" t="n">
        <f aca="false">IF(AND('Bonding Program'!$S$36=1,'Bonding Program'!$H$36&gt;'Bonding Program'!$C$8,N$3='Bonding Program'!$H$36),'Bonding Program'!$T$36-'Bonding Program'!$U$36-'Bonding Program'!$Z$36,0)-IF(AND('Bonding Program'!$S$36=1,'Bonding Program'!$H$36&lt;='Bonding Program'!$C$8,N$3=IF('Bonding Program'!$P$36&lt;&gt;"",'Bonding Program'!$P$36,'Bonding Program'!$C$8)),'Bonding Program'!$Z$36,0)+IF(AND('Bonding Program'!$P$36&lt;&gt;"",N$3='Bonding Program'!$P$36,N$3&lt;='Bonding Program'!$C$8),N('Bonding Program'!$O$36),0)</f>
        <v>0</v>
      </c>
      <c r="O177" s="19" t="n">
        <f aca="false">IF(AND('Bonding Program'!$S$36=1,'Bonding Program'!$H$36&gt;'Bonding Program'!$C$8,O$3='Bonding Program'!$H$36),'Bonding Program'!$T$36-'Bonding Program'!$U$36-'Bonding Program'!$Z$36,0)-IF(AND('Bonding Program'!$S$36=1,'Bonding Program'!$H$36&lt;='Bonding Program'!$C$8,O$3=IF('Bonding Program'!$P$36&lt;&gt;"",'Bonding Program'!$P$36,'Bonding Program'!$C$8)),'Bonding Program'!$Z$36,0)+IF(AND('Bonding Program'!$P$36&lt;&gt;"",O$3='Bonding Program'!$P$36,O$3&lt;='Bonding Program'!$C$8),N('Bonding Program'!$O$36),0)</f>
        <v>0</v>
      </c>
      <c r="P177" s="19" t="n">
        <f aca="false">IF(AND('Bonding Program'!$S$36=1,'Bonding Program'!$H$36&gt;'Bonding Program'!$C$8,P$3='Bonding Program'!$H$36),'Bonding Program'!$T$36-'Bonding Program'!$U$36-'Bonding Program'!$Z$36,0)-IF(AND('Bonding Program'!$S$36=1,'Bonding Program'!$H$36&lt;='Bonding Program'!$C$8,P$3=IF('Bonding Program'!$P$36&lt;&gt;"",'Bonding Program'!$P$36,'Bonding Program'!$C$8)),'Bonding Program'!$Z$36,0)+IF(AND('Bonding Program'!$P$36&lt;&gt;"",P$3='Bonding Program'!$P$36,P$3&lt;='Bonding Program'!$C$8),N('Bonding Program'!$O$36),0)</f>
        <v>0</v>
      </c>
      <c r="Q177" s="19" t="n">
        <f aca="false">IF(AND('Bonding Program'!$S$36=1,'Bonding Program'!$H$36&gt;'Bonding Program'!$C$8,Q$3='Bonding Program'!$H$36),'Bonding Program'!$T$36-'Bonding Program'!$U$36-'Bonding Program'!$Z$36,0)-IF(AND('Bonding Program'!$S$36=1,'Bonding Program'!$H$36&lt;='Bonding Program'!$C$8,Q$3=IF('Bonding Program'!$P$36&lt;&gt;"",'Bonding Program'!$P$36,'Bonding Program'!$C$8)),'Bonding Program'!$Z$36,0)+IF(AND('Bonding Program'!$P$36&lt;&gt;"",Q$3='Bonding Program'!$P$36,Q$3&lt;='Bonding Program'!$C$8),N('Bonding Program'!$O$36),0)</f>
        <v>0</v>
      </c>
      <c r="R177" s="19" t="n">
        <f aca="false">IF(AND('Bonding Program'!$S$36=1,'Bonding Program'!$H$36&gt;'Bonding Program'!$C$8,R$3='Bonding Program'!$H$36),'Bonding Program'!$T$36-'Bonding Program'!$U$36-'Bonding Program'!$Z$36,0)-IF(AND('Bonding Program'!$S$36=1,'Bonding Program'!$H$36&lt;='Bonding Program'!$C$8,R$3=IF('Bonding Program'!$P$36&lt;&gt;"",'Bonding Program'!$P$36,'Bonding Program'!$C$8)),'Bonding Program'!$Z$36,0)+IF(AND('Bonding Program'!$P$36&lt;&gt;"",R$3='Bonding Program'!$P$36,R$3&lt;='Bonding Program'!$C$8),N('Bonding Program'!$O$36),0)</f>
        <v>0</v>
      </c>
      <c r="S177" s="19" t="n">
        <f aca="false">IF(AND('Bonding Program'!$S$36=1,'Bonding Program'!$H$36&gt;'Bonding Program'!$C$8,S$3='Bonding Program'!$H$36),'Bonding Program'!$T$36-'Bonding Program'!$U$36-'Bonding Program'!$Z$36,0)-IF(AND('Bonding Program'!$S$36=1,'Bonding Program'!$H$36&lt;='Bonding Program'!$C$8,S$3=IF('Bonding Program'!$P$36&lt;&gt;"",'Bonding Program'!$P$36,'Bonding Program'!$C$8)),'Bonding Program'!$Z$36,0)+IF(AND('Bonding Program'!$P$36&lt;&gt;"",S$3='Bonding Program'!$P$36,S$3&lt;='Bonding Program'!$C$8),N('Bonding Program'!$O$36),0)</f>
        <v>0</v>
      </c>
      <c r="T177" s="19" t="n">
        <f aca="false">IF(AND('Bonding Program'!$S$36=1,'Bonding Program'!$H$36&gt;'Bonding Program'!$C$8,T$3='Bonding Program'!$H$36),'Bonding Program'!$T$36-'Bonding Program'!$U$36-'Bonding Program'!$Z$36,0)-IF(AND('Bonding Program'!$S$36=1,'Bonding Program'!$H$36&lt;='Bonding Program'!$C$8,T$3=IF('Bonding Program'!$P$36&lt;&gt;"",'Bonding Program'!$P$36,'Bonding Program'!$C$8)),'Bonding Program'!$Z$36,0)+IF(AND('Bonding Program'!$P$36&lt;&gt;"",T$3='Bonding Program'!$P$36,T$3&lt;='Bonding Program'!$C$8),N('Bonding Program'!$O$36),0)</f>
        <v>0</v>
      </c>
      <c r="U177" s="19" t="n">
        <f aca="false">IF(AND('Bonding Program'!$S$36=1,'Bonding Program'!$H$36&gt;'Bonding Program'!$C$8,U$3='Bonding Program'!$H$36),'Bonding Program'!$T$36-'Bonding Program'!$U$36-'Bonding Program'!$Z$36,0)-IF(AND('Bonding Program'!$S$36=1,'Bonding Program'!$H$36&lt;='Bonding Program'!$C$8,U$3=IF('Bonding Program'!$P$36&lt;&gt;"",'Bonding Program'!$P$36,'Bonding Program'!$C$8)),'Bonding Program'!$Z$36,0)+IF(AND('Bonding Program'!$P$36&lt;&gt;"",U$3='Bonding Program'!$P$36,U$3&lt;='Bonding Program'!$C$8),N('Bonding Program'!$O$36),0)</f>
        <v>0</v>
      </c>
      <c r="V177" s="19" t="n">
        <f aca="false">IF(AND('Bonding Program'!$S$36=1,'Bonding Program'!$H$36&gt;'Bonding Program'!$C$8,V$3='Bonding Program'!$H$36),'Bonding Program'!$T$36-'Bonding Program'!$U$36-'Bonding Program'!$Z$36,0)-IF(AND('Bonding Program'!$S$36=1,'Bonding Program'!$H$36&lt;='Bonding Program'!$C$8,V$3=IF('Bonding Program'!$P$36&lt;&gt;"",'Bonding Program'!$P$36,'Bonding Program'!$C$8)),'Bonding Program'!$Z$36,0)+IF(AND('Bonding Program'!$P$36&lt;&gt;"",V$3='Bonding Program'!$P$36,V$3&lt;='Bonding Program'!$C$8),N('Bonding Program'!$O$36),0)</f>
        <v>0</v>
      </c>
      <c r="W177" s="19" t="n">
        <f aca="false">IF(AND('Bonding Program'!$S$36=1,'Bonding Program'!$H$36&gt;'Bonding Program'!$C$8,W$3='Bonding Program'!$H$36),'Bonding Program'!$T$36-'Bonding Program'!$U$36-'Bonding Program'!$Z$36,0)-IF(AND('Bonding Program'!$S$36=1,'Bonding Program'!$H$36&lt;='Bonding Program'!$C$8,W$3=IF('Bonding Program'!$P$36&lt;&gt;"",'Bonding Program'!$P$36,'Bonding Program'!$C$8)),'Bonding Program'!$Z$36,0)+IF(AND('Bonding Program'!$P$36&lt;&gt;"",W$3='Bonding Program'!$P$36,W$3&lt;='Bonding Program'!$C$8),N('Bonding Program'!$O$36),0)</f>
        <v>0</v>
      </c>
      <c r="X177" s="19" t="n">
        <f aca="false">IF(AND('Bonding Program'!$S$36=1,'Bonding Program'!$H$36&gt;'Bonding Program'!$C$8,X$3='Bonding Program'!$H$36),'Bonding Program'!$T$36-'Bonding Program'!$U$36-'Bonding Program'!$Z$36,0)-IF(AND('Bonding Program'!$S$36=1,'Bonding Program'!$H$36&lt;='Bonding Program'!$C$8,X$3=IF('Bonding Program'!$P$36&lt;&gt;"",'Bonding Program'!$P$36,'Bonding Program'!$C$8)),'Bonding Program'!$Z$36,0)+IF(AND('Bonding Program'!$P$36&lt;&gt;"",X$3='Bonding Program'!$P$36,X$3&lt;='Bonding Program'!$C$8),N('Bonding Program'!$O$36),0)</f>
        <v>0</v>
      </c>
      <c r="Y177" s="19" t="n">
        <f aca="false">IF(AND('Bonding Program'!$S$36=1,'Bonding Program'!$H$36&gt;'Bonding Program'!$C$8,Y$3='Bonding Program'!$H$36),'Bonding Program'!$T$36-'Bonding Program'!$U$36-'Bonding Program'!$Z$36,0)-IF(AND('Bonding Program'!$S$36=1,'Bonding Program'!$H$36&lt;='Bonding Program'!$C$8,Y$3=IF('Bonding Program'!$P$36&lt;&gt;"",'Bonding Program'!$P$36,'Bonding Program'!$C$8)),'Bonding Program'!$Z$36,0)+IF(AND('Bonding Program'!$P$36&lt;&gt;"",Y$3='Bonding Program'!$P$36,Y$3&lt;='Bonding Program'!$C$8),N('Bonding Program'!$O$36),0)</f>
        <v>0</v>
      </c>
      <c r="Z177" s="19" t="n">
        <f aca="false">IF(AND('Bonding Program'!$S$36=1,'Bonding Program'!$H$36&gt;'Bonding Program'!$C$8,Z$3='Bonding Program'!$H$36),'Bonding Program'!$T$36-'Bonding Program'!$U$36-'Bonding Program'!$Z$36,0)-IF(AND('Bonding Program'!$S$36=1,'Bonding Program'!$H$36&lt;='Bonding Program'!$C$8,Z$3=IF('Bonding Program'!$P$36&lt;&gt;"",'Bonding Program'!$P$36,'Bonding Program'!$C$8)),'Bonding Program'!$Z$36,0)+IF(AND('Bonding Program'!$P$36&lt;&gt;"",Z$3='Bonding Program'!$P$36,Z$3&lt;='Bonding Program'!$C$8),N('Bonding Program'!$O$36),0)</f>
        <v>0</v>
      </c>
      <c r="AA177" s="19" t="n">
        <f aca="false">IF(AND('Bonding Program'!$S$36=1,'Bonding Program'!$H$36&gt;'Bonding Program'!$C$8,AA$3='Bonding Program'!$H$36),'Bonding Program'!$T$36-'Bonding Program'!$U$36-'Bonding Program'!$Z$36,0)-IF(AND('Bonding Program'!$S$36=1,'Bonding Program'!$H$36&lt;='Bonding Program'!$C$8,AA$3=IF('Bonding Program'!$P$36&lt;&gt;"",'Bonding Program'!$P$36,'Bonding Program'!$C$8)),'Bonding Program'!$Z$36,0)+IF(AND('Bonding Program'!$P$36&lt;&gt;"",AA$3='Bonding Program'!$P$36,AA$3&lt;='Bonding Program'!$C$8),N('Bonding Program'!$O$36),0)</f>
        <v>0</v>
      </c>
      <c r="AB177" s="19" t="n">
        <f aca="false">IF(AND('Bonding Program'!$S$36=1,'Bonding Program'!$H$36&gt;'Bonding Program'!$C$8,AB$3='Bonding Program'!$H$36),'Bonding Program'!$T$36-'Bonding Program'!$U$36-'Bonding Program'!$Z$36,0)-IF(AND('Bonding Program'!$S$36=1,'Bonding Program'!$H$36&lt;='Bonding Program'!$C$8,AB$3=IF('Bonding Program'!$P$36&lt;&gt;"",'Bonding Program'!$P$36,'Bonding Program'!$C$8)),'Bonding Program'!$Z$36,0)+IF(AND('Bonding Program'!$P$36&lt;&gt;"",AB$3='Bonding Program'!$P$36,AB$3&lt;='Bonding Program'!$C$8),N('Bonding Program'!$O$36),0)</f>
        <v>0</v>
      </c>
      <c r="AC177" s="19" t="n">
        <f aca="false">IF(AND('Bonding Program'!$S$36=1,'Bonding Program'!$H$36&gt;'Bonding Program'!$C$8,AC$3='Bonding Program'!$H$36),'Bonding Program'!$T$36-'Bonding Program'!$U$36-'Bonding Program'!$Z$36,0)-IF(AND('Bonding Program'!$S$36=1,'Bonding Program'!$H$36&lt;='Bonding Program'!$C$8,AC$3=IF('Bonding Program'!$P$36&lt;&gt;"",'Bonding Program'!$P$36,'Bonding Program'!$C$8)),'Bonding Program'!$Z$36,0)+IF(AND('Bonding Program'!$P$36&lt;&gt;"",AC$3='Bonding Program'!$P$36,AC$3&lt;='Bonding Program'!$C$8),N('Bonding Program'!$O$36),0)</f>
        <v>0</v>
      </c>
      <c r="AD177" s="19" t="n">
        <f aca="false">IF(AND('Bonding Program'!$S$36=1,'Bonding Program'!$H$36&gt;'Bonding Program'!$C$8,AD$3='Bonding Program'!$H$36),'Bonding Program'!$T$36-'Bonding Program'!$U$36-'Bonding Program'!$Z$36,0)-IF(AND('Bonding Program'!$S$36=1,'Bonding Program'!$H$36&lt;='Bonding Program'!$C$8,AD$3=IF('Bonding Program'!$P$36&lt;&gt;"",'Bonding Program'!$P$36,'Bonding Program'!$C$8)),'Bonding Program'!$Z$36,0)+IF(AND('Bonding Program'!$P$36&lt;&gt;"",AD$3='Bonding Program'!$P$36,AD$3&lt;='Bonding Program'!$C$8),N('Bonding Program'!$O$36),0)</f>
        <v>0</v>
      </c>
      <c r="AE177" s="19" t="n">
        <f aca="false">IF(AND('Bonding Program'!$S$36=1,'Bonding Program'!$H$36&gt;'Bonding Program'!$C$8,AE$3='Bonding Program'!$H$36),'Bonding Program'!$T$36-'Bonding Program'!$U$36-'Bonding Program'!$Z$36,0)-IF(AND('Bonding Program'!$S$36=1,'Bonding Program'!$H$36&lt;='Bonding Program'!$C$8,AE$3=IF('Bonding Program'!$P$36&lt;&gt;"",'Bonding Program'!$P$36,'Bonding Program'!$C$8)),'Bonding Program'!$Z$36,0)+IF(AND('Bonding Program'!$P$36&lt;&gt;"",AE$3='Bonding Program'!$P$36,AE$3&lt;='Bonding Program'!$C$8),N('Bonding Program'!$O$36),0)</f>
        <v>0</v>
      </c>
      <c r="AF177" s="19" t="n">
        <f aca="false">IF(AND('Bonding Program'!$S$36=1,'Bonding Program'!$H$36&gt;'Bonding Program'!$C$8,AF$3='Bonding Program'!$H$36),'Bonding Program'!$T$36-'Bonding Program'!$U$36-'Bonding Program'!$Z$36,0)-IF(AND('Bonding Program'!$S$36=1,'Bonding Program'!$H$36&lt;='Bonding Program'!$C$8,AF$3=IF('Bonding Program'!$P$36&lt;&gt;"",'Bonding Program'!$P$36,'Bonding Program'!$C$8)),'Bonding Program'!$Z$36,0)+IF(AND('Bonding Program'!$P$36&lt;&gt;"",AF$3='Bonding Program'!$P$36,AF$3&lt;='Bonding Program'!$C$8),N('Bonding Program'!$O$36),0)</f>
        <v>0</v>
      </c>
      <c r="AG177" s="19" t="n">
        <f aca="false">IF(AND('Bonding Program'!$S$36=1,'Bonding Program'!$H$36&gt;'Bonding Program'!$C$8,AG$3='Bonding Program'!$H$36),'Bonding Program'!$T$36-'Bonding Program'!$U$36-'Bonding Program'!$Z$36,0)-IF(AND('Bonding Program'!$S$36=1,'Bonding Program'!$H$36&lt;='Bonding Program'!$C$8,AG$3=IF('Bonding Program'!$P$36&lt;&gt;"",'Bonding Program'!$P$36,'Bonding Program'!$C$8)),'Bonding Program'!$Z$36,0)+IF(AND('Bonding Program'!$P$36&lt;&gt;"",AG$3='Bonding Program'!$P$36,AG$3&lt;='Bonding Program'!$C$8),N('Bonding Program'!$O$36),0)</f>
        <v>0</v>
      </c>
      <c r="AH177" s="19" t="n">
        <f aca="false">IF(AND('Bonding Program'!$S$36=1,'Bonding Program'!$H$36&gt;'Bonding Program'!$C$8,AH$3='Bonding Program'!$H$36),'Bonding Program'!$T$36-'Bonding Program'!$U$36-'Bonding Program'!$Z$36,0)-IF(AND('Bonding Program'!$S$36=1,'Bonding Program'!$H$36&lt;='Bonding Program'!$C$8,AH$3=IF('Bonding Program'!$P$36&lt;&gt;"",'Bonding Program'!$P$36,'Bonding Program'!$C$8)),'Bonding Program'!$Z$36,0)+IF(AND('Bonding Program'!$P$36&lt;&gt;"",AH$3='Bonding Program'!$P$36,AH$3&lt;='Bonding Program'!$C$8),N('Bonding Program'!$O$36),0)</f>
        <v>0</v>
      </c>
      <c r="AI177" s="19" t="n">
        <f aca="false">IF(AND('Bonding Program'!$S$36=1,'Bonding Program'!$H$36&gt;'Bonding Program'!$C$8,AI$3='Bonding Program'!$H$36),'Bonding Program'!$T$36-'Bonding Program'!$U$36-'Bonding Program'!$Z$36,0)-IF(AND('Bonding Program'!$S$36=1,'Bonding Program'!$H$36&lt;='Bonding Program'!$C$8,AI$3=IF('Bonding Program'!$P$36&lt;&gt;"",'Bonding Program'!$P$36,'Bonding Program'!$C$8)),'Bonding Program'!$Z$36,0)+IF(AND('Bonding Program'!$P$36&lt;&gt;"",AI$3='Bonding Program'!$P$36,AI$3&lt;='Bonding Program'!$C$8),N('Bonding Program'!$O$36),0)</f>
        <v>0</v>
      </c>
      <c r="AJ177" s="19" t="n">
        <f aca="false">IF(AND('Bonding Program'!$S$36=1,'Bonding Program'!$H$36&gt;'Bonding Program'!$C$8,AJ$3='Bonding Program'!$H$36),'Bonding Program'!$T$36-'Bonding Program'!$U$36-'Bonding Program'!$Z$36,0)-IF(AND('Bonding Program'!$S$36=1,'Bonding Program'!$H$36&lt;='Bonding Program'!$C$8,AJ$3=IF('Bonding Program'!$P$36&lt;&gt;"",'Bonding Program'!$P$36,'Bonding Program'!$C$8)),'Bonding Program'!$Z$36,0)+IF(AND('Bonding Program'!$P$36&lt;&gt;"",AJ$3='Bonding Program'!$P$36,AJ$3&lt;='Bonding Program'!$C$8),N('Bonding Program'!$O$36),0)</f>
        <v>0</v>
      </c>
      <c r="AK177" s="19" t="n">
        <f aca="false">IF(AND('Bonding Program'!$S$36=1,'Bonding Program'!$H$36&gt;'Bonding Program'!$C$8,AK$3='Bonding Program'!$H$36),'Bonding Program'!$T$36-'Bonding Program'!$U$36-'Bonding Program'!$Z$36,0)-IF(AND('Bonding Program'!$S$36=1,'Bonding Program'!$H$36&lt;='Bonding Program'!$C$8,AK$3=IF('Bonding Program'!$P$36&lt;&gt;"",'Bonding Program'!$P$36,'Bonding Program'!$C$8)),'Bonding Program'!$Z$36,0)+IF(AND('Bonding Program'!$P$36&lt;&gt;"",AK$3='Bonding Program'!$P$36,AK$3&lt;='Bonding Program'!$C$8),N('Bonding Program'!$O$36),0)</f>
        <v>0</v>
      </c>
      <c r="AL177" s="19" t="n">
        <f aca="false">IF(AND('Bonding Program'!$S$36=1,'Bonding Program'!$H$36&gt;'Bonding Program'!$C$8,AL$3='Bonding Program'!$H$36),'Bonding Program'!$T$36-'Bonding Program'!$U$36-'Bonding Program'!$Z$36,0)-IF(AND('Bonding Program'!$S$36=1,'Bonding Program'!$H$36&lt;='Bonding Program'!$C$8,AL$3=IF('Bonding Program'!$P$36&lt;&gt;"",'Bonding Program'!$P$36,'Bonding Program'!$C$8)),'Bonding Program'!$Z$36,0)+IF(AND('Bonding Program'!$P$36&lt;&gt;"",AL$3='Bonding Program'!$P$36,AL$3&lt;='Bonding Program'!$C$8),N('Bonding Program'!$O$36),0)</f>
        <v>0</v>
      </c>
      <c r="AM177" s="19" t="n">
        <f aca="false">IF(AND('Bonding Program'!$S$36=1,'Bonding Program'!$H$36&gt;'Bonding Program'!$C$8,AM$3='Bonding Program'!$H$36),'Bonding Program'!$T$36-'Bonding Program'!$U$36-'Bonding Program'!$Z$36,0)-IF(AND('Bonding Program'!$S$36=1,'Bonding Program'!$H$36&lt;='Bonding Program'!$C$8,AM$3=IF('Bonding Program'!$P$36&lt;&gt;"",'Bonding Program'!$P$36,'Bonding Program'!$C$8)),'Bonding Program'!$Z$36,0)+IF(AND('Bonding Program'!$P$36&lt;&gt;"",AM$3='Bonding Program'!$P$36,AM$3&lt;='Bonding Program'!$C$8),N('Bonding Program'!$O$36),0)</f>
        <v>0</v>
      </c>
      <c r="AN177" s="19" t="n">
        <f aca="false">IF(AND('Bonding Program'!$S$36=1,'Bonding Program'!$H$36&gt;'Bonding Program'!$C$8,AN$3='Bonding Program'!$H$36),'Bonding Program'!$T$36-'Bonding Program'!$U$36-'Bonding Program'!$Z$36,0)-IF(AND('Bonding Program'!$S$36=1,'Bonding Program'!$H$36&lt;='Bonding Program'!$C$8,AN$3=IF('Bonding Program'!$P$36&lt;&gt;"",'Bonding Program'!$P$36,'Bonding Program'!$C$8)),'Bonding Program'!$Z$36,0)+IF(AND('Bonding Program'!$P$36&lt;&gt;"",AN$3='Bonding Program'!$P$36,AN$3&lt;='Bonding Program'!$C$8),N('Bonding Program'!$O$36),0)</f>
        <v>0</v>
      </c>
      <c r="AO177" s="19" t="n">
        <f aca="false">IF(AND('Bonding Program'!$S$36=1,'Bonding Program'!$H$36&gt;'Bonding Program'!$C$8,AO$3='Bonding Program'!$H$36),'Bonding Program'!$T$36-'Bonding Program'!$U$36-'Bonding Program'!$Z$36,0)-IF(AND('Bonding Program'!$S$36=1,'Bonding Program'!$H$36&lt;='Bonding Program'!$C$8,AO$3=IF('Bonding Program'!$P$36&lt;&gt;"",'Bonding Program'!$P$36,'Bonding Program'!$C$8)),'Bonding Program'!$Z$36,0)+IF(AND('Bonding Program'!$P$36&lt;&gt;"",AO$3='Bonding Program'!$P$36,AO$3&lt;='Bonding Program'!$C$8),N('Bonding Program'!$O$36),0)</f>
        <v>0</v>
      </c>
      <c r="AP177" s="19" t="n">
        <f aca="false">IF(AND('Bonding Program'!$S$36=1,'Bonding Program'!$H$36&gt;'Bonding Program'!$C$8,AP$3='Bonding Program'!$H$36),'Bonding Program'!$T$36-'Bonding Program'!$U$36-'Bonding Program'!$Z$36,0)-IF(AND('Bonding Program'!$S$36=1,'Bonding Program'!$H$36&lt;='Bonding Program'!$C$8,AP$3=IF('Bonding Program'!$P$36&lt;&gt;"",'Bonding Program'!$P$36,'Bonding Program'!$C$8)),'Bonding Program'!$Z$36,0)+IF(AND('Bonding Program'!$P$36&lt;&gt;"",AP$3='Bonding Program'!$P$36,AP$3&lt;='Bonding Program'!$C$8),N('Bonding Program'!$O$36),0)</f>
        <v>0</v>
      </c>
      <c r="AQ177" s="19" t="n">
        <f aca="false">IF(AND('Bonding Program'!$S$36=1,'Bonding Program'!$H$36&gt;'Bonding Program'!$C$8,AQ$3='Bonding Program'!$H$36),'Bonding Program'!$T$36-'Bonding Program'!$U$36-'Bonding Program'!$Z$36,0)-IF(AND('Bonding Program'!$S$36=1,'Bonding Program'!$H$36&lt;='Bonding Program'!$C$8,AQ$3=IF('Bonding Program'!$P$36&lt;&gt;"",'Bonding Program'!$P$36,'Bonding Program'!$C$8)),'Bonding Program'!$Z$36,0)+IF(AND('Bonding Program'!$P$36&lt;&gt;"",AQ$3='Bonding Program'!$P$36,AQ$3&lt;='Bonding Program'!$C$8),N('Bonding Program'!$O$36),0)</f>
        <v>0</v>
      </c>
      <c r="AR177" s="19" t="n">
        <f aca="false">IF(AND('Bonding Program'!$S$36=1,'Bonding Program'!$H$36&gt;'Bonding Program'!$C$8,AR$3='Bonding Program'!$H$36),'Bonding Program'!$T$36-'Bonding Program'!$U$36-'Bonding Program'!$Z$36,0)-IF(AND('Bonding Program'!$S$36=1,'Bonding Program'!$H$36&lt;='Bonding Program'!$C$8,AR$3=IF('Bonding Program'!$P$36&lt;&gt;"",'Bonding Program'!$P$36,'Bonding Program'!$C$8)),'Bonding Program'!$Z$36,0)+IF(AND('Bonding Program'!$P$36&lt;&gt;"",AR$3='Bonding Program'!$P$36,AR$3&lt;='Bonding Program'!$C$8),N('Bonding Program'!$O$36),0)</f>
        <v>0</v>
      </c>
      <c r="AS177" s="19" t="n">
        <f aca="false">IF(AND('Bonding Program'!$S$36=1,'Bonding Program'!$H$36&gt;'Bonding Program'!$C$8,AS$3='Bonding Program'!$H$36),'Bonding Program'!$T$36-'Bonding Program'!$U$36-'Bonding Program'!$Z$36,0)-IF(AND('Bonding Program'!$S$36=1,'Bonding Program'!$H$36&lt;='Bonding Program'!$C$8,AS$3=IF('Bonding Program'!$P$36&lt;&gt;"",'Bonding Program'!$P$36,'Bonding Program'!$C$8)),'Bonding Program'!$Z$36,0)+IF(AND('Bonding Program'!$P$36&lt;&gt;"",AS$3='Bonding Program'!$P$36,AS$3&lt;='Bonding Program'!$C$8),N('Bonding Program'!$O$36),0)</f>
        <v>0</v>
      </c>
      <c r="AT177" s="19" t="n">
        <f aca="false">IF(AND('Bonding Program'!$S$36=1,'Bonding Program'!$H$36&gt;'Bonding Program'!$C$8,AT$3='Bonding Program'!$H$36),'Bonding Program'!$T$36-'Bonding Program'!$U$36-'Bonding Program'!$Z$36,0)-IF(AND('Bonding Program'!$S$36=1,'Bonding Program'!$H$36&lt;='Bonding Program'!$C$8,AT$3=IF('Bonding Program'!$P$36&lt;&gt;"",'Bonding Program'!$P$36,'Bonding Program'!$C$8)),'Bonding Program'!$Z$36,0)+IF(AND('Bonding Program'!$P$36&lt;&gt;"",AT$3='Bonding Program'!$P$36,AT$3&lt;='Bonding Program'!$C$8),N('Bonding Program'!$O$36),0)</f>
        <v>0</v>
      </c>
      <c r="AU177" s="19" t="n">
        <f aca="false">IF(AND('Bonding Program'!$S$36=1,'Bonding Program'!$H$36&gt;'Bonding Program'!$C$8,AU$3='Bonding Program'!$H$36),'Bonding Program'!$T$36-'Bonding Program'!$U$36-'Bonding Program'!$Z$36,0)-IF(AND('Bonding Program'!$S$36=1,'Bonding Program'!$H$36&lt;='Bonding Program'!$C$8,AU$3=IF('Bonding Program'!$P$36&lt;&gt;"",'Bonding Program'!$P$36,'Bonding Program'!$C$8)),'Bonding Program'!$Z$36,0)+IF(AND('Bonding Program'!$P$36&lt;&gt;"",AU$3='Bonding Program'!$P$36,AU$3&lt;='Bonding Program'!$C$8),N('Bonding Program'!$O$36),0)</f>
        <v>0</v>
      </c>
      <c r="AV177" s="19" t="n">
        <f aca="false">IF(AND('Bonding Program'!$S$36=1,'Bonding Program'!$H$36&gt;'Bonding Program'!$C$8,AV$3='Bonding Program'!$H$36),'Bonding Program'!$T$36-'Bonding Program'!$U$36-'Bonding Program'!$Z$36,0)-IF(AND('Bonding Program'!$S$36=1,'Bonding Program'!$H$36&lt;='Bonding Program'!$C$8,AV$3=IF('Bonding Program'!$P$36&lt;&gt;"",'Bonding Program'!$P$36,'Bonding Program'!$C$8)),'Bonding Program'!$Z$36,0)+IF(AND('Bonding Program'!$P$36&lt;&gt;"",AV$3='Bonding Program'!$P$36,AV$3&lt;='Bonding Program'!$C$8),N('Bonding Program'!$O$36),0)</f>
        <v>0</v>
      </c>
      <c r="AW177" s="19" t="n">
        <f aca="false">IF(AND('Bonding Program'!$S$36=1,'Bonding Program'!$H$36&gt;'Bonding Program'!$C$8,AW$3='Bonding Program'!$H$36),'Bonding Program'!$T$36-'Bonding Program'!$U$36-'Bonding Program'!$Z$36,0)-IF(AND('Bonding Program'!$S$36=1,'Bonding Program'!$H$36&lt;='Bonding Program'!$C$8,AW$3=IF('Bonding Program'!$P$36&lt;&gt;"",'Bonding Program'!$P$36,'Bonding Program'!$C$8)),'Bonding Program'!$Z$36,0)+IF(AND('Bonding Program'!$P$36&lt;&gt;"",AW$3='Bonding Program'!$P$36,AW$3&lt;='Bonding Program'!$C$8),N('Bonding Program'!$O$36),0)</f>
        <v>0</v>
      </c>
      <c r="AX177" s="19" t="n">
        <f aca="false">IF(AND('Bonding Program'!$S$36=1,'Bonding Program'!$H$36&gt;'Bonding Program'!$C$8,AX$3='Bonding Program'!$H$36),'Bonding Program'!$T$36-'Bonding Program'!$U$36-'Bonding Program'!$Z$36,0)-IF(AND('Bonding Program'!$S$36=1,'Bonding Program'!$H$36&lt;='Bonding Program'!$C$8,AX$3=IF('Bonding Program'!$P$36&lt;&gt;"",'Bonding Program'!$P$36,'Bonding Program'!$C$8)),'Bonding Program'!$Z$36,0)+IF(AND('Bonding Program'!$P$36&lt;&gt;"",AX$3='Bonding Program'!$P$36,AX$3&lt;='Bonding Program'!$C$8),N('Bonding Program'!$O$36),0)</f>
        <v>0</v>
      </c>
      <c r="AY177" s="19" t="n">
        <f aca="false">IF(AND('Bonding Program'!$S$36=1,'Bonding Program'!$H$36&gt;'Bonding Program'!$C$8,AY$3='Bonding Program'!$H$36),'Bonding Program'!$T$36-'Bonding Program'!$U$36-'Bonding Program'!$Z$36,0)-IF(AND('Bonding Program'!$S$36=1,'Bonding Program'!$H$36&lt;='Bonding Program'!$C$8,AY$3=IF('Bonding Program'!$P$36&lt;&gt;"",'Bonding Program'!$P$36,'Bonding Program'!$C$8)),'Bonding Program'!$Z$36,0)+IF(AND('Bonding Program'!$P$36&lt;&gt;"",AY$3='Bonding Program'!$P$36,AY$3&lt;='Bonding Program'!$C$8),N('Bonding Program'!$O$36),0)</f>
        <v>0</v>
      </c>
      <c r="AZ177" s="19" t="n">
        <f aca="false">IF(AND('Bonding Program'!$S$36=1,'Bonding Program'!$H$36&gt;'Bonding Program'!$C$8,AZ$3='Bonding Program'!$H$36),'Bonding Program'!$T$36-'Bonding Program'!$U$36-'Bonding Program'!$Z$36,0)-IF(AND('Bonding Program'!$S$36=1,'Bonding Program'!$H$36&lt;='Bonding Program'!$C$8,AZ$3=IF('Bonding Program'!$P$36&lt;&gt;"",'Bonding Program'!$P$36,'Bonding Program'!$C$8)),'Bonding Program'!$Z$36,0)+IF(AND('Bonding Program'!$P$36&lt;&gt;"",AZ$3='Bonding Program'!$P$36,AZ$3&lt;='Bonding Program'!$C$8),N('Bonding Program'!$O$36),0)</f>
        <v>0</v>
      </c>
      <c r="BA177" s="19" t="n">
        <f aca="false">IF(AND('Bonding Program'!$S$36=1,'Bonding Program'!$H$36&gt;'Bonding Program'!$C$8,BA$3='Bonding Program'!$H$36),'Bonding Program'!$T$36-'Bonding Program'!$U$36-'Bonding Program'!$Z$36,0)-IF(AND('Bonding Program'!$S$36=1,'Bonding Program'!$H$36&lt;='Bonding Program'!$C$8,BA$3=IF('Bonding Program'!$P$36&lt;&gt;"",'Bonding Program'!$P$36,'Bonding Program'!$C$8)),'Bonding Program'!$Z$36,0)+IF(AND('Bonding Program'!$P$36&lt;&gt;"",BA$3='Bonding Program'!$P$36,BA$3&lt;='Bonding Program'!$C$8),N('Bonding Program'!$O$36),0)</f>
        <v>0</v>
      </c>
      <c r="BB177" s="19" t="n">
        <f aca="false">IF(AND('Bonding Program'!$S$36=1,'Bonding Program'!$H$36&gt;'Bonding Program'!$C$8,BB$3='Bonding Program'!$H$36),'Bonding Program'!$T$36-'Bonding Program'!$U$36-'Bonding Program'!$Z$36,0)-IF(AND('Bonding Program'!$S$36=1,'Bonding Program'!$H$36&lt;='Bonding Program'!$C$8,BB$3=IF('Bonding Program'!$P$36&lt;&gt;"",'Bonding Program'!$P$36,'Bonding Program'!$C$8)),'Bonding Program'!$Z$36,0)+IF(AND('Bonding Program'!$P$36&lt;&gt;"",BB$3='Bonding Program'!$P$36,BB$3&lt;='Bonding Program'!$C$8),N('Bonding Program'!$O$36),0)</f>
        <v>0</v>
      </c>
      <c r="BC177" s="19" t="n">
        <f aca="false">IF(AND('Bonding Program'!$S$36=1,'Bonding Program'!$H$36&gt;'Bonding Program'!$C$8,BC$3='Bonding Program'!$H$36),'Bonding Program'!$T$36-'Bonding Program'!$U$36-'Bonding Program'!$Z$36,0)-IF(AND('Bonding Program'!$S$36=1,'Bonding Program'!$H$36&lt;='Bonding Program'!$C$8,BC$3=IF('Bonding Program'!$P$36&lt;&gt;"",'Bonding Program'!$P$36,'Bonding Program'!$C$8)),'Bonding Program'!$Z$36,0)+IF(AND('Bonding Program'!$P$36&lt;&gt;"",BC$3='Bonding Program'!$P$36,BC$3&lt;='Bonding Program'!$C$8),N('Bonding Program'!$O$36),0)</f>
        <v>0</v>
      </c>
      <c r="BD177" s="19" t="n">
        <f aca="false">IF(AND('Bonding Program'!$S$36=1,'Bonding Program'!$H$36&gt;'Bonding Program'!$C$8,BD$3='Bonding Program'!$H$36),'Bonding Program'!$T$36-'Bonding Program'!$U$36-'Bonding Program'!$Z$36,0)-IF(AND('Bonding Program'!$S$36=1,'Bonding Program'!$H$36&lt;='Bonding Program'!$C$8,BD$3=IF('Bonding Program'!$P$36&lt;&gt;"",'Bonding Program'!$P$36,'Bonding Program'!$C$8)),'Bonding Program'!$Z$36,0)+IF(AND('Bonding Program'!$P$36&lt;&gt;"",BD$3='Bonding Program'!$P$36,BD$3&lt;='Bonding Program'!$C$8),N('Bonding Program'!$O$36),0)</f>
        <v>0</v>
      </c>
      <c r="BE177" s="19" t="n">
        <f aca="false">IF(AND('Bonding Program'!$S$36=1,'Bonding Program'!$H$36&gt;'Bonding Program'!$C$8,BE$3='Bonding Program'!$H$36),'Bonding Program'!$T$36-'Bonding Program'!$U$36-'Bonding Program'!$Z$36,0)-IF(AND('Bonding Program'!$S$36=1,'Bonding Program'!$H$36&lt;='Bonding Program'!$C$8,BE$3=IF('Bonding Program'!$P$36&lt;&gt;"",'Bonding Program'!$P$36,'Bonding Program'!$C$8)),'Bonding Program'!$Z$36,0)+IF(AND('Bonding Program'!$P$36&lt;&gt;"",BE$3='Bonding Program'!$P$36,BE$3&lt;='Bonding Program'!$C$8),N('Bonding Program'!$O$36),0)</f>
        <v>0</v>
      </c>
      <c r="BF177" s="19" t="n">
        <f aca="false">IF(AND('Bonding Program'!$S$36=1,'Bonding Program'!$H$36&gt;'Bonding Program'!$C$8,BF$3='Bonding Program'!$H$36),'Bonding Program'!$T$36-'Bonding Program'!$U$36-'Bonding Program'!$Z$36,0)-IF(AND('Bonding Program'!$S$36=1,'Bonding Program'!$H$36&lt;='Bonding Program'!$C$8,BF$3=IF('Bonding Program'!$P$36&lt;&gt;"",'Bonding Program'!$P$36,'Bonding Program'!$C$8)),'Bonding Program'!$Z$36,0)+IF(AND('Bonding Program'!$P$36&lt;&gt;"",BF$3='Bonding Program'!$P$36,BF$3&lt;='Bonding Program'!$C$8),N('Bonding Program'!$O$36),0)</f>
        <v>0</v>
      </c>
      <c r="BG177" s="19" t="n">
        <f aca="false">IF(AND('Bonding Program'!$S$36=1,'Bonding Program'!$H$36&gt;'Bonding Program'!$C$8,BG$3='Bonding Program'!$H$36),'Bonding Program'!$T$36-'Bonding Program'!$U$36-'Bonding Program'!$Z$36,0)-IF(AND('Bonding Program'!$S$36=1,'Bonding Program'!$H$36&lt;='Bonding Program'!$C$8,BG$3=IF('Bonding Program'!$P$36&lt;&gt;"",'Bonding Program'!$P$36,'Bonding Program'!$C$8)),'Bonding Program'!$Z$36,0)+IF(AND('Bonding Program'!$P$36&lt;&gt;"",BG$3='Bonding Program'!$P$36,BG$3&lt;='Bonding Program'!$C$8),N('Bonding Program'!$O$36),0)</f>
        <v>0</v>
      </c>
      <c r="BH177" s="19" t="n">
        <f aca="false">IF(AND('Bonding Program'!$S$36=1,'Bonding Program'!$H$36&gt;'Bonding Program'!$C$8,BH$3='Bonding Program'!$H$36),'Bonding Program'!$T$36-'Bonding Program'!$U$36-'Bonding Program'!$Z$36,0)-IF(AND('Bonding Program'!$S$36=1,'Bonding Program'!$H$36&lt;='Bonding Program'!$C$8,BH$3=IF('Bonding Program'!$P$36&lt;&gt;"",'Bonding Program'!$P$36,'Bonding Program'!$C$8)),'Bonding Program'!$Z$36,0)+IF(AND('Bonding Program'!$P$36&lt;&gt;"",BH$3='Bonding Program'!$P$36,BH$3&lt;='Bonding Program'!$C$8),N('Bonding Program'!$O$36),0)</f>
        <v>0</v>
      </c>
      <c r="BI177" s="19" t="n">
        <f aca="false">IF(AND('Bonding Program'!$S$36=1,'Bonding Program'!$H$36&gt;'Bonding Program'!$C$8,BI$3='Bonding Program'!$H$36),'Bonding Program'!$T$36-'Bonding Program'!$U$36-'Bonding Program'!$Z$36,0)-IF(AND('Bonding Program'!$S$36=1,'Bonding Program'!$H$36&lt;='Bonding Program'!$C$8,BI$3=IF('Bonding Program'!$P$36&lt;&gt;"",'Bonding Program'!$P$36,'Bonding Program'!$C$8)),'Bonding Program'!$Z$36,0)+IF(AND('Bonding Program'!$P$36&lt;&gt;"",BI$3='Bonding Program'!$P$36,BI$3&lt;='Bonding Program'!$C$8),N('Bonding Program'!$O$36),0)</f>
        <v>0</v>
      </c>
      <c r="BJ177" s="19" t="n">
        <f aca="false">IF(AND('Bonding Program'!$S$36=1,'Bonding Program'!$H$36&gt;'Bonding Program'!$C$8,BJ$3='Bonding Program'!$H$36),'Bonding Program'!$T$36-'Bonding Program'!$U$36-'Bonding Program'!$Z$36,0)-IF(AND('Bonding Program'!$S$36=1,'Bonding Program'!$H$36&lt;='Bonding Program'!$C$8,BJ$3=IF('Bonding Program'!$P$36&lt;&gt;"",'Bonding Program'!$P$36,'Bonding Program'!$C$8)),'Bonding Program'!$Z$36,0)+IF(AND('Bonding Program'!$P$36&lt;&gt;"",BJ$3='Bonding Program'!$P$36,BJ$3&lt;='Bonding Program'!$C$8),N('Bonding Program'!$O$36),0)</f>
        <v>0</v>
      </c>
      <c r="BK177" s="19" t="n">
        <f aca="false">IF(AND('Bonding Program'!$S$36=1,'Bonding Program'!$H$36&gt;'Bonding Program'!$C$8,BK$3='Bonding Program'!$H$36),'Bonding Program'!$T$36-'Bonding Program'!$U$36-'Bonding Program'!$Z$36,0)-IF(AND('Bonding Program'!$S$36=1,'Bonding Program'!$H$36&lt;='Bonding Program'!$C$8,BK$3=IF('Bonding Program'!$P$36&lt;&gt;"",'Bonding Program'!$P$36,'Bonding Program'!$C$8)),'Bonding Program'!$Z$36,0)+IF(AND('Bonding Program'!$P$36&lt;&gt;"",BK$3='Bonding Program'!$P$36,BK$3&lt;='Bonding Program'!$C$8),N('Bonding Program'!$O$36),0)</f>
        <v>0</v>
      </c>
      <c r="BL177" s="19" t="n">
        <f aca="false">IF(AND('Bonding Program'!$S$36=1,'Bonding Program'!$H$36&gt;'Bonding Program'!$C$8,BL$3='Bonding Program'!$H$36),'Bonding Program'!$T$36-'Bonding Program'!$U$36-'Bonding Program'!$Z$36,0)-IF(AND('Bonding Program'!$S$36=1,'Bonding Program'!$H$36&lt;='Bonding Program'!$C$8,BL$3=IF('Bonding Program'!$P$36&lt;&gt;"",'Bonding Program'!$P$36,'Bonding Program'!$C$8)),'Bonding Program'!$Z$36,0)+IF(AND('Bonding Program'!$P$36&lt;&gt;"",BL$3='Bonding Program'!$P$36,BL$3&lt;='Bonding Program'!$C$8),N('Bonding Program'!$O$36),0)</f>
        <v>0</v>
      </c>
      <c r="BM177" s="19" t="n">
        <f aca="false">IF(AND('Bonding Program'!$S$36=1,'Bonding Program'!$H$36&gt;'Bonding Program'!$C$8,BM$3='Bonding Program'!$H$36),'Bonding Program'!$T$36-'Bonding Program'!$U$36-'Bonding Program'!$Z$36,0)-IF(AND('Bonding Program'!$S$36=1,'Bonding Program'!$H$36&lt;='Bonding Program'!$C$8,BM$3=IF('Bonding Program'!$P$36&lt;&gt;"",'Bonding Program'!$P$36,'Bonding Program'!$C$8)),'Bonding Program'!$Z$36,0)+IF(AND('Bonding Program'!$P$36&lt;&gt;"",BM$3='Bonding Program'!$P$36,BM$3&lt;='Bonding Program'!$C$8),N('Bonding Program'!$O$36),0)</f>
        <v>0</v>
      </c>
      <c r="BN177" s="19" t="n">
        <f aca="false">IF(AND('Bonding Program'!$S$36=1,'Bonding Program'!$H$36&gt;'Bonding Program'!$C$8,BN$3='Bonding Program'!$H$36),'Bonding Program'!$T$36-'Bonding Program'!$U$36-'Bonding Program'!$Z$36,0)-IF(AND('Bonding Program'!$S$36=1,'Bonding Program'!$H$36&lt;='Bonding Program'!$C$8,BN$3=IF('Bonding Program'!$P$36&lt;&gt;"",'Bonding Program'!$P$36,'Bonding Program'!$C$8)),'Bonding Program'!$Z$36,0)+IF(AND('Bonding Program'!$P$36&lt;&gt;"",BN$3='Bonding Program'!$P$36,BN$3&lt;='Bonding Program'!$C$8),N('Bonding Program'!$O$36),0)</f>
        <v>0</v>
      </c>
      <c r="BO177" s="19" t="n">
        <f aca="false">IF(AND('Bonding Program'!$S$36=1,'Bonding Program'!$H$36&gt;'Bonding Program'!$C$8,BO$3='Bonding Program'!$H$36),'Bonding Program'!$T$36-'Bonding Program'!$U$36-'Bonding Program'!$Z$36,0)-IF(AND('Bonding Program'!$S$36=1,'Bonding Program'!$H$36&lt;='Bonding Program'!$C$8,BO$3=IF('Bonding Program'!$P$36&lt;&gt;"",'Bonding Program'!$P$36,'Bonding Program'!$C$8)),'Bonding Program'!$Z$36,0)+IF(AND('Bonding Program'!$P$36&lt;&gt;"",BO$3='Bonding Program'!$P$36,BO$3&lt;='Bonding Program'!$C$8),N('Bonding Program'!$O$36),0)</f>
        <v>0</v>
      </c>
      <c r="BP177" s="19" t="n">
        <f aca="false">IF(AND('Bonding Program'!$S$36=1,'Bonding Program'!$H$36&gt;'Bonding Program'!$C$8,BP$3='Bonding Program'!$H$36),'Bonding Program'!$T$36-'Bonding Program'!$U$36-'Bonding Program'!$Z$36,0)-IF(AND('Bonding Program'!$S$36=1,'Bonding Program'!$H$36&lt;='Bonding Program'!$C$8,BP$3=IF('Bonding Program'!$P$36&lt;&gt;"",'Bonding Program'!$P$36,'Bonding Program'!$C$8)),'Bonding Program'!$Z$36,0)+IF(AND('Bonding Program'!$P$36&lt;&gt;"",BP$3='Bonding Program'!$P$36,BP$3&lt;='Bonding Program'!$C$8),N('Bonding Program'!$O$36),0)</f>
        <v>0</v>
      </c>
      <c r="BQ177" s="19" t="n">
        <f aca="false">IF(AND('Bonding Program'!$S$36=1,'Bonding Program'!$H$36&gt;'Bonding Program'!$C$8,BQ$3='Bonding Program'!$H$36),'Bonding Program'!$T$36-'Bonding Program'!$U$36-'Bonding Program'!$Z$36,0)-IF(AND('Bonding Program'!$S$36=1,'Bonding Program'!$H$36&lt;='Bonding Program'!$C$8,BQ$3=IF('Bonding Program'!$P$36&lt;&gt;"",'Bonding Program'!$P$36,'Bonding Program'!$C$8)),'Bonding Program'!$Z$36,0)+IF(AND('Bonding Program'!$P$36&lt;&gt;"",BQ$3='Bonding Program'!$P$36,BQ$3&lt;='Bonding Program'!$C$8),N('Bonding Program'!$O$36),0)</f>
        <v>0</v>
      </c>
      <c r="BR177" s="19" t="n">
        <f aca="false">IF(AND('Bonding Program'!$S$36=1,'Bonding Program'!$H$36&gt;'Bonding Program'!$C$8,BR$3='Bonding Program'!$H$36),'Bonding Program'!$T$36-'Bonding Program'!$U$36-'Bonding Program'!$Z$36,0)-IF(AND('Bonding Program'!$S$36=1,'Bonding Program'!$H$36&lt;='Bonding Program'!$C$8,BR$3=IF('Bonding Program'!$P$36&lt;&gt;"",'Bonding Program'!$P$36,'Bonding Program'!$C$8)),'Bonding Program'!$Z$36,0)+IF(AND('Bonding Program'!$P$36&lt;&gt;"",BR$3='Bonding Program'!$P$36,BR$3&lt;='Bonding Program'!$C$8),N('Bonding Program'!$O$36),0)</f>
        <v>0</v>
      </c>
      <c r="BS177" s="19" t="n">
        <f aca="false">IF(AND('Bonding Program'!$S$36=1,'Bonding Program'!$H$36&gt;'Bonding Program'!$C$8,BS$3='Bonding Program'!$H$36),'Bonding Program'!$T$36-'Bonding Program'!$U$36-'Bonding Program'!$Z$36,0)-IF(AND('Bonding Program'!$S$36=1,'Bonding Program'!$H$36&lt;='Bonding Program'!$C$8,BS$3=IF('Bonding Program'!$P$36&lt;&gt;"",'Bonding Program'!$P$36,'Bonding Program'!$C$8)),'Bonding Program'!$Z$36,0)+IF(AND('Bonding Program'!$P$36&lt;&gt;"",BS$3='Bonding Program'!$P$36,BS$3&lt;='Bonding Program'!$C$8),N('Bonding Program'!$O$36),0)</f>
        <v>0</v>
      </c>
      <c r="BT177" s="19" t="n">
        <f aca="false">IF(AND('Bonding Program'!$S$36=1,'Bonding Program'!$H$36&gt;'Bonding Program'!$C$8,BT$3='Bonding Program'!$H$36),'Bonding Program'!$T$36-'Bonding Program'!$U$36-'Bonding Program'!$Z$36,0)-IF(AND('Bonding Program'!$S$36=1,'Bonding Program'!$H$36&lt;='Bonding Program'!$C$8,BT$3=IF('Bonding Program'!$P$36&lt;&gt;"",'Bonding Program'!$P$36,'Bonding Program'!$C$8)),'Bonding Program'!$Z$36,0)+IF(AND('Bonding Program'!$P$36&lt;&gt;"",BT$3='Bonding Program'!$P$36,BT$3&lt;='Bonding Program'!$C$8),N('Bonding Program'!$O$36),0)</f>
        <v>0</v>
      </c>
      <c r="BU177" s="19" t="n">
        <f aca="false">IF(AND('Bonding Program'!$S$36=1,'Bonding Program'!$H$36&gt;'Bonding Program'!$C$8,BU$3='Bonding Program'!$H$36),'Bonding Program'!$T$36-'Bonding Program'!$U$36-'Bonding Program'!$Z$36,0)-IF(AND('Bonding Program'!$S$36=1,'Bonding Program'!$H$36&lt;='Bonding Program'!$C$8,BU$3=IF('Bonding Program'!$P$36&lt;&gt;"",'Bonding Program'!$P$36,'Bonding Program'!$C$8)),'Bonding Program'!$Z$36,0)+IF(AND('Bonding Program'!$P$36&lt;&gt;"",BU$3='Bonding Program'!$P$36,BU$3&lt;='Bonding Program'!$C$8),N('Bonding Program'!$O$36),0)</f>
        <v>0</v>
      </c>
      <c r="BV177" s="19" t="n">
        <f aca="false">IF(AND('Bonding Program'!$S$36=1,'Bonding Program'!$H$36&gt;'Bonding Program'!$C$8,BV$3='Bonding Program'!$H$36),'Bonding Program'!$T$36-'Bonding Program'!$U$36-'Bonding Program'!$Z$36,0)-IF(AND('Bonding Program'!$S$36=1,'Bonding Program'!$H$36&lt;='Bonding Program'!$C$8,BV$3=IF('Bonding Program'!$P$36&lt;&gt;"",'Bonding Program'!$P$36,'Bonding Program'!$C$8)),'Bonding Program'!$Z$36,0)+IF(AND('Bonding Program'!$P$36&lt;&gt;"",BV$3='Bonding Program'!$P$36,BV$3&lt;='Bonding Program'!$C$8),N('Bonding Program'!$O$36),0)</f>
        <v>0</v>
      </c>
      <c r="BW177" s="19" t="n">
        <f aca="false">IF(AND('Bonding Program'!$S$36=1,'Bonding Program'!$H$36&gt;'Bonding Program'!$C$8,BW$3='Bonding Program'!$H$36),'Bonding Program'!$T$36-'Bonding Program'!$U$36-'Bonding Program'!$Z$36,0)-IF(AND('Bonding Program'!$S$36=1,'Bonding Program'!$H$36&lt;='Bonding Program'!$C$8,BW$3=IF('Bonding Program'!$P$36&lt;&gt;"",'Bonding Program'!$P$36,'Bonding Program'!$C$8)),'Bonding Program'!$Z$36,0)+IF(AND('Bonding Program'!$P$36&lt;&gt;"",BW$3='Bonding Program'!$P$36,BW$3&lt;='Bonding Program'!$C$8),N('Bonding Program'!$O$36),0)</f>
        <v>0</v>
      </c>
      <c r="BX177" s="19" t="n">
        <f aca="false">IF(AND('Bonding Program'!$S$36=1,'Bonding Program'!$H$36&gt;'Bonding Program'!$C$8,BX$3='Bonding Program'!$H$36),'Bonding Program'!$T$36-'Bonding Program'!$U$36-'Bonding Program'!$Z$36,0)-IF(AND('Bonding Program'!$S$36=1,'Bonding Program'!$H$36&lt;='Bonding Program'!$C$8,BX$3=IF('Bonding Program'!$P$36&lt;&gt;"",'Bonding Program'!$P$36,'Bonding Program'!$C$8)),'Bonding Program'!$Z$36,0)+IF(AND('Bonding Program'!$P$36&lt;&gt;"",BX$3='Bonding Program'!$P$36,BX$3&lt;='Bonding Program'!$C$8),N('Bonding Program'!$O$36),0)</f>
        <v>0</v>
      </c>
      <c r="BY177" s="19" t="n">
        <f aca="false">IF(AND('Bonding Program'!$S$36=1,'Bonding Program'!$H$36&gt;'Bonding Program'!$C$8,BY$3='Bonding Program'!$H$36),'Bonding Program'!$T$36-'Bonding Program'!$U$36-'Bonding Program'!$Z$36,0)-IF(AND('Bonding Program'!$S$36=1,'Bonding Program'!$H$36&lt;='Bonding Program'!$C$8,BY$3=IF('Bonding Program'!$P$36&lt;&gt;"",'Bonding Program'!$P$36,'Bonding Program'!$C$8)),'Bonding Program'!$Z$36,0)+IF(AND('Bonding Program'!$P$36&lt;&gt;"",BY$3='Bonding Program'!$P$36,BY$3&lt;='Bonding Program'!$C$8),N('Bonding Program'!$O$36),0)</f>
        <v>0</v>
      </c>
      <c r="BZ177" s="19" t="n">
        <f aca="false">IF(AND('Bonding Program'!$S$36=1,'Bonding Program'!$H$36&gt;'Bonding Program'!$C$8,BZ$3='Bonding Program'!$H$36),'Bonding Program'!$T$36-'Bonding Program'!$U$36-'Bonding Program'!$Z$36,0)-IF(AND('Bonding Program'!$S$36=1,'Bonding Program'!$H$36&lt;='Bonding Program'!$C$8,BZ$3=IF('Bonding Program'!$P$36&lt;&gt;"",'Bonding Program'!$P$36,'Bonding Program'!$C$8)),'Bonding Program'!$Z$36,0)+IF(AND('Bonding Program'!$P$36&lt;&gt;"",BZ$3='Bonding Program'!$P$36,BZ$3&lt;='Bonding Program'!$C$8),N('Bonding Program'!$O$36),0)</f>
        <v>0</v>
      </c>
      <c r="CA177" s="19" t="n">
        <f aca="false">IF(AND('Bonding Program'!$S$36=1,'Bonding Program'!$H$36&gt;'Bonding Program'!$C$8,CA$3='Bonding Program'!$H$36),'Bonding Program'!$T$36-'Bonding Program'!$U$36-'Bonding Program'!$Z$36,0)-IF(AND('Bonding Program'!$S$36=1,'Bonding Program'!$H$36&lt;='Bonding Program'!$C$8,CA$3=IF('Bonding Program'!$P$36&lt;&gt;"",'Bonding Program'!$P$36,'Bonding Program'!$C$8)),'Bonding Program'!$Z$36,0)+IF(AND('Bonding Program'!$P$36&lt;&gt;"",CA$3='Bonding Program'!$P$36,CA$3&lt;='Bonding Program'!$C$8),N('Bonding Program'!$O$36),0)</f>
        <v>0</v>
      </c>
      <c r="CB177" s="19" t="n">
        <f aca="false">IF(AND('Bonding Program'!$S$36=1,'Bonding Program'!$H$36&gt;'Bonding Program'!$C$8,CB$3='Bonding Program'!$H$36),'Bonding Program'!$T$36-'Bonding Program'!$U$36-'Bonding Program'!$Z$36,0)-IF(AND('Bonding Program'!$S$36=1,'Bonding Program'!$H$36&lt;='Bonding Program'!$C$8,CB$3=IF('Bonding Program'!$P$36&lt;&gt;"",'Bonding Program'!$P$36,'Bonding Program'!$C$8)),'Bonding Program'!$Z$36,0)+IF(AND('Bonding Program'!$P$36&lt;&gt;"",CB$3='Bonding Program'!$P$36,CB$3&lt;='Bonding Program'!$C$8),N('Bonding Program'!$O$36),0)</f>
        <v>0</v>
      </c>
      <c r="CC177" s="19" t="n">
        <f aca="false">IF(AND('Bonding Program'!$S$36=1,'Bonding Program'!$H$36&gt;'Bonding Program'!$C$8,CC$3='Bonding Program'!$H$36),'Bonding Program'!$T$36-'Bonding Program'!$U$36-'Bonding Program'!$Z$36,0)-IF(AND('Bonding Program'!$S$36=1,'Bonding Program'!$H$36&lt;='Bonding Program'!$C$8,CC$3=IF('Bonding Program'!$P$36&lt;&gt;"",'Bonding Program'!$P$36,'Bonding Program'!$C$8)),'Bonding Program'!$Z$36,0)+IF(AND('Bonding Program'!$P$36&lt;&gt;"",CC$3='Bonding Program'!$P$36,CC$3&lt;='Bonding Program'!$C$8),N('Bonding Program'!$O$36),0)</f>
        <v>0</v>
      </c>
      <c r="CD177" s="19" t="n">
        <f aca="false">IF(AND('Bonding Program'!$S$36=1,'Bonding Program'!$H$36&gt;'Bonding Program'!$C$8,CD$3='Bonding Program'!$H$36),'Bonding Program'!$T$36-'Bonding Program'!$U$36-'Bonding Program'!$Z$36,0)-IF(AND('Bonding Program'!$S$36=1,'Bonding Program'!$H$36&lt;='Bonding Program'!$C$8,CD$3=IF('Bonding Program'!$P$36&lt;&gt;"",'Bonding Program'!$P$36,'Bonding Program'!$C$8)),'Bonding Program'!$Z$36,0)+IF(AND('Bonding Program'!$P$36&lt;&gt;"",CD$3='Bonding Program'!$P$36,CD$3&lt;='Bonding Program'!$C$8),N('Bonding Program'!$O$36),0)</f>
        <v>0</v>
      </c>
      <c r="CE177" s="19" t="n">
        <f aca="false">IF(AND('Bonding Program'!$S$36=1,'Bonding Program'!$H$36&gt;'Bonding Program'!$C$8,CE$3='Bonding Program'!$H$36),'Bonding Program'!$T$36-'Bonding Program'!$U$36-'Bonding Program'!$Z$36,0)-IF(AND('Bonding Program'!$S$36=1,'Bonding Program'!$H$36&lt;='Bonding Program'!$C$8,CE$3=IF('Bonding Program'!$P$36&lt;&gt;"",'Bonding Program'!$P$36,'Bonding Program'!$C$8)),'Bonding Program'!$Z$36,0)+IF(AND('Bonding Program'!$P$36&lt;&gt;"",CE$3='Bonding Program'!$P$36,CE$3&lt;='Bonding Program'!$C$8),N('Bonding Program'!$O$36),0)</f>
        <v>0</v>
      </c>
      <c r="CF177" s="19" t="n">
        <f aca="false">IF(AND('Bonding Program'!$S$36=1,'Bonding Program'!$H$36&gt;'Bonding Program'!$C$8,CF$3='Bonding Program'!$H$36),'Bonding Program'!$T$36-'Bonding Program'!$U$36-'Bonding Program'!$Z$36,0)-IF(AND('Bonding Program'!$S$36=1,'Bonding Program'!$H$36&lt;='Bonding Program'!$C$8,CF$3=IF('Bonding Program'!$P$36&lt;&gt;"",'Bonding Program'!$P$36,'Bonding Program'!$C$8)),'Bonding Program'!$Z$36,0)+IF(AND('Bonding Program'!$P$36&lt;&gt;"",CF$3='Bonding Program'!$P$36,CF$3&lt;='Bonding Program'!$C$8),N('Bonding Program'!$O$36),0)</f>
        <v>0</v>
      </c>
      <c r="CG177" s="19" t="n">
        <f aca="false">IF(AND('Bonding Program'!$S$36=1,'Bonding Program'!$H$36&gt;'Bonding Program'!$C$8,CG$3='Bonding Program'!$H$36),'Bonding Program'!$T$36-'Bonding Program'!$U$36-'Bonding Program'!$Z$36,0)-IF(AND('Bonding Program'!$S$36=1,'Bonding Program'!$H$36&lt;='Bonding Program'!$C$8,CG$3=IF('Bonding Program'!$P$36&lt;&gt;"",'Bonding Program'!$P$36,'Bonding Program'!$C$8)),'Bonding Program'!$Z$36,0)+IF(AND('Bonding Program'!$P$36&lt;&gt;"",CG$3='Bonding Program'!$P$36,CG$3&lt;='Bonding Program'!$C$8),N('Bonding Program'!$O$36),0)</f>
        <v>0</v>
      </c>
      <c r="CH177" s="19" t="n">
        <f aca="false">IF(AND('Bonding Program'!$S$36=1,'Bonding Program'!$H$36&gt;'Bonding Program'!$C$8,CH$3='Bonding Program'!$H$36),'Bonding Program'!$T$36-'Bonding Program'!$U$36-'Bonding Program'!$Z$36,0)-IF(AND('Bonding Program'!$S$36=1,'Bonding Program'!$H$36&lt;='Bonding Program'!$C$8,CH$3=IF('Bonding Program'!$P$36&lt;&gt;"",'Bonding Program'!$P$36,'Bonding Program'!$C$8)),'Bonding Program'!$Z$36,0)+IF(AND('Bonding Program'!$P$36&lt;&gt;"",CH$3='Bonding Program'!$P$36,CH$3&lt;='Bonding Program'!$C$8),N('Bonding Program'!$O$36),0)</f>
        <v>0</v>
      </c>
      <c r="CI177" s="19" t="n">
        <f aca="false">IF(AND('Bonding Program'!$S$36=1,'Bonding Program'!$H$36&gt;'Bonding Program'!$C$8,CI$3='Bonding Program'!$H$36),'Bonding Program'!$T$36-'Bonding Program'!$U$36-'Bonding Program'!$Z$36,0)-IF(AND('Bonding Program'!$S$36=1,'Bonding Program'!$H$36&lt;='Bonding Program'!$C$8,CI$3=IF('Bonding Program'!$P$36&lt;&gt;"",'Bonding Program'!$P$36,'Bonding Program'!$C$8)),'Bonding Program'!$Z$36,0)+IF(AND('Bonding Program'!$P$36&lt;&gt;"",CI$3='Bonding Program'!$P$36,CI$3&lt;='Bonding Program'!$C$8),N('Bonding Program'!$O$36),0)</f>
        <v>0</v>
      </c>
      <c r="CJ177" s="19" t="n">
        <f aca="false">IF(AND('Bonding Program'!$S$36=1,'Bonding Program'!$H$36&gt;'Bonding Program'!$C$8,CJ$3='Bonding Program'!$H$36),'Bonding Program'!$T$36-'Bonding Program'!$U$36-'Bonding Program'!$Z$36,0)-IF(AND('Bonding Program'!$S$36=1,'Bonding Program'!$H$36&lt;='Bonding Program'!$C$8,CJ$3=IF('Bonding Program'!$P$36&lt;&gt;"",'Bonding Program'!$P$36,'Bonding Program'!$C$8)),'Bonding Program'!$Z$36,0)+IF(AND('Bonding Program'!$P$36&lt;&gt;"",CJ$3='Bonding Program'!$P$36,CJ$3&lt;='Bonding Program'!$C$8),N('Bonding Program'!$O$36),0)</f>
        <v>0</v>
      </c>
      <c r="CK177" s="19" t="n">
        <f aca="false">IF(AND('Bonding Program'!$S$36=1,'Bonding Program'!$H$36&gt;'Bonding Program'!$C$8,CK$3='Bonding Program'!$H$36),'Bonding Program'!$T$36-'Bonding Program'!$U$36-'Bonding Program'!$Z$36,0)-IF(AND('Bonding Program'!$S$36=1,'Bonding Program'!$H$36&lt;='Bonding Program'!$C$8,CK$3=IF('Bonding Program'!$P$36&lt;&gt;"",'Bonding Program'!$P$36,'Bonding Program'!$C$8)),'Bonding Program'!$Z$36,0)+IF(AND('Bonding Program'!$P$36&lt;&gt;"",CK$3='Bonding Program'!$P$36,CK$3&lt;='Bonding Program'!$C$8),N('Bonding Program'!$O$36),0)</f>
        <v>0</v>
      </c>
      <c r="CL177" s="19" t="n">
        <f aca="false">IF(AND('Bonding Program'!$S$36=1,'Bonding Program'!$H$36&gt;'Bonding Program'!$C$8,CL$3='Bonding Program'!$H$36),'Bonding Program'!$T$36-'Bonding Program'!$U$36-'Bonding Program'!$Z$36,0)-IF(AND('Bonding Program'!$S$36=1,'Bonding Program'!$H$36&lt;='Bonding Program'!$C$8,CL$3=IF('Bonding Program'!$P$36&lt;&gt;"",'Bonding Program'!$P$36,'Bonding Program'!$C$8)),'Bonding Program'!$Z$36,0)+IF(AND('Bonding Program'!$P$36&lt;&gt;"",CL$3='Bonding Program'!$P$36,CL$3&lt;='Bonding Program'!$C$8),N('Bonding Program'!$O$36),0)</f>
        <v>0</v>
      </c>
      <c r="CM177" s="19" t="n">
        <f aca="false">IF(AND('Bonding Program'!$S$36=1,'Bonding Program'!$H$36&gt;'Bonding Program'!$C$8,CM$3='Bonding Program'!$H$36),'Bonding Program'!$T$36-'Bonding Program'!$U$36-'Bonding Program'!$Z$36,0)-IF(AND('Bonding Program'!$S$36=1,'Bonding Program'!$H$36&lt;='Bonding Program'!$C$8,CM$3=IF('Bonding Program'!$P$36&lt;&gt;"",'Bonding Program'!$P$36,'Bonding Program'!$C$8)),'Bonding Program'!$Z$36,0)+IF(AND('Bonding Program'!$P$36&lt;&gt;"",CM$3='Bonding Program'!$P$36,CM$3&lt;='Bonding Program'!$C$8),N('Bonding Program'!$O$36),0)</f>
        <v>0</v>
      </c>
      <c r="CN177" s="19" t="n">
        <f aca="false">IF(AND('Bonding Program'!$S$36=1,'Bonding Program'!$H$36&gt;'Bonding Program'!$C$8,CN$3='Bonding Program'!$H$36),'Bonding Program'!$T$36-'Bonding Program'!$U$36-'Bonding Program'!$Z$36,0)-IF(AND('Bonding Program'!$S$36=1,'Bonding Program'!$H$36&lt;='Bonding Program'!$C$8,CN$3=IF('Bonding Program'!$P$36&lt;&gt;"",'Bonding Program'!$P$36,'Bonding Program'!$C$8)),'Bonding Program'!$Z$36,0)+IF(AND('Bonding Program'!$P$36&lt;&gt;"",CN$3='Bonding Program'!$P$36,CN$3&lt;='Bonding Program'!$C$8),N('Bonding Program'!$O$36),0)</f>
        <v>0</v>
      </c>
      <c r="CO177" s="19" t="n">
        <f aca="false">IF(AND('Bonding Program'!$S$36=1,'Bonding Program'!$H$36&gt;'Bonding Program'!$C$8,CO$3='Bonding Program'!$H$36),'Bonding Program'!$T$36-'Bonding Program'!$U$36-'Bonding Program'!$Z$36,0)-IF(AND('Bonding Program'!$S$36=1,'Bonding Program'!$H$36&lt;='Bonding Program'!$C$8,CO$3=IF('Bonding Program'!$P$36&lt;&gt;"",'Bonding Program'!$P$36,'Bonding Program'!$C$8)),'Bonding Program'!$Z$36,0)+IF(AND('Bonding Program'!$P$36&lt;&gt;"",CO$3='Bonding Program'!$P$36,CO$3&lt;='Bonding Program'!$C$8),N('Bonding Program'!$O$36),0)</f>
        <v>0</v>
      </c>
      <c r="CP177" s="19" t="n">
        <f aca="false">IF(AND('Bonding Program'!$S$36=1,'Bonding Program'!$H$36&gt;'Bonding Program'!$C$8,CP$3='Bonding Program'!$H$36),'Bonding Program'!$T$36-'Bonding Program'!$U$36-'Bonding Program'!$Z$36,0)-IF(AND('Bonding Program'!$S$36=1,'Bonding Program'!$H$36&lt;='Bonding Program'!$C$8,CP$3=IF('Bonding Program'!$P$36&lt;&gt;"",'Bonding Program'!$P$36,'Bonding Program'!$C$8)),'Bonding Program'!$Z$36,0)+IF(AND('Bonding Program'!$P$36&lt;&gt;"",CP$3='Bonding Program'!$P$36,CP$3&lt;='Bonding Program'!$C$8),N('Bonding Program'!$O$36),0)</f>
        <v>0</v>
      </c>
      <c r="CQ177" s="19" t="n">
        <f aca="false">IF(AND('Bonding Program'!$S$36=1,'Bonding Program'!$H$36&gt;'Bonding Program'!$C$8,CQ$3='Bonding Program'!$H$36),'Bonding Program'!$T$36-'Bonding Program'!$U$36-'Bonding Program'!$Z$36,0)-IF(AND('Bonding Program'!$S$36=1,'Bonding Program'!$H$36&lt;='Bonding Program'!$C$8,CQ$3=IF('Bonding Program'!$P$36&lt;&gt;"",'Bonding Program'!$P$36,'Bonding Program'!$C$8)),'Bonding Program'!$Z$36,0)+IF(AND('Bonding Program'!$P$36&lt;&gt;"",CQ$3='Bonding Program'!$P$36,CQ$3&lt;='Bonding Program'!$C$8),N('Bonding Program'!$O$36),0)</f>
        <v>0</v>
      </c>
      <c r="CR177" s="19" t="n">
        <f aca="false">IF(AND('Bonding Program'!$S$36=1,'Bonding Program'!$H$36&gt;'Bonding Program'!$C$8,CR$3='Bonding Program'!$H$36),'Bonding Program'!$T$36-'Bonding Program'!$U$36-'Bonding Program'!$Z$36,0)-IF(AND('Bonding Program'!$S$36=1,'Bonding Program'!$H$36&lt;='Bonding Program'!$C$8,CR$3=IF('Bonding Program'!$P$36&lt;&gt;"",'Bonding Program'!$P$36,'Bonding Program'!$C$8)),'Bonding Program'!$Z$36,0)+IF(AND('Bonding Program'!$P$36&lt;&gt;"",CR$3='Bonding Program'!$P$36,CR$3&lt;='Bonding Program'!$C$8),N('Bonding Program'!$O$36),0)</f>
        <v>0</v>
      </c>
      <c r="CS177" s="19" t="n">
        <f aca="false">IF(AND('Bonding Program'!$S$36=1,'Bonding Program'!$H$36&gt;'Bonding Program'!$C$8,CS$3='Bonding Program'!$H$36),'Bonding Program'!$T$36-'Bonding Program'!$U$36-'Bonding Program'!$Z$36,0)-IF(AND('Bonding Program'!$S$36=1,'Bonding Program'!$H$36&lt;='Bonding Program'!$C$8,CS$3=IF('Bonding Program'!$P$36&lt;&gt;"",'Bonding Program'!$P$36,'Bonding Program'!$C$8)),'Bonding Program'!$Z$36,0)+IF(AND('Bonding Program'!$P$36&lt;&gt;"",CS$3='Bonding Program'!$P$36,CS$3&lt;='Bonding Program'!$C$8),N('Bonding Program'!$O$36),0)</f>
        <v>0</v>
      </c>
      <c r="CT177" s="19" t="n">
        <f aca="false">IF(AND('Bonding Program'!$S$36=1,'Bonding Program'!$H$36&gt;'Bonding Program'!$C$8,CT$3='Bonding Program'!$H$36),'Bonding Program'!$T$36-'Bonding Program'!$U$36-'Bonding Program'!$Z$36,0)-IF(AND('Bonding Program'!$S$36=1,'Bonding Program'!$H$36&lt;='Bonding Program'!$C$8,CT$3=IF('Bonding Program'!$P$36&lt;&gt;"",'Bonding Program'!$P$36,'Bonding Program'!$C$8)),'Bonding Program'!$Z$36,0)+IF(AND('Bonding Program'!$P$36&lt;&gt;"",CT$3='Bonding Program'!$P$36,CT$3&lt;='Bonding Program'!$C$8),N('Bonding Program'!$O$36),0)</f>
        <v>0</v>
      </c>
      <c r="CU177" s="19" t="n">
        <f aca="false">IF(AND('Bonding Program'!$S$36=1,'Bonding Program'!$H$36&gt;'Bonding Program'!$C$8,CU$3='Bonding Program'!$H$36),'Bonding Program'!$T$36-'Bonding Program'!$U$36-'Bonding Program'!$Z$36,0)-IF(AND('Bonding Program'!$S$36=1,'Bonding Program'!$H$36&lt;='Bonding Program'!$C$8,CU$3=IF('Bonding Program'!$P$36&lt;&gt;"",'Bonding Program'!$P$36,'Bonding Program'!$C$8)),'Bonding Program'!$Z$36,0)+IF(AND('Bonding Program'!$P$36&lt;&gt;"",CU$3='Bonding Program'!$P$36,CU$3&lt;='Bonding Program'!$C$8),N('Bonding Program'!$O$36),0)</f>
        <v>0</v>
      </c>
      <c r="CV177" s="19" t="n">
        <f aca="false">IF(AND('Bonding Program'!$S$36=1,'Bonding Program'!$H$36&gt;'Bonding Program'!$C$8,CV$3='Bonding Program'!$H$36),'Bonding Program'!$T$36-'Bonding Program'!$U$36-'Bonding Program'!$Z$36,0)-IF(AND('Bonding Program'!$S$36=1,'Bonding Program'!$H$36&lt;='Bonding Program'!$C$8,CV$3=IF('Bonding Program'!$P$36&lt;&gt;"",'Bonding Program'!$P$36,'Bonding Program'!$C$8)),'Bonding Program'!$Z$36,0)+IF(AND('Bonding Program'!$P$36&lt;&gt;"",CV$3='Bonding Program'!$P$36,CV$3&lt;='Bonding Program'!$C$8),N('Bonding Program'!$O$36),0)</f>
        <v>0</v>
      </c>
      <c r="CW177" s="19" t="n">
        <f aca="false">IF(AND('Bonding Program'!$S$36=1,'Bonding Program'!$H$36&gt;'Bonding Program'!$C$8,CW$3='Bonding Program'!$H$36),'Bonding Program'!$T$36-'Bonding Program'!$U$36-'Bonding Program'!$Z$36,0)-IF(AND('Bonding Program'!$S$36=1,'Bonding Program'!$H$36&lt;='Bonding Program'!$C$8,CW$3=IF('Bonding Program'!$P$36&lt;&gt;"",'Bonding Program'!$P$36,'Bonding Program'!$C$8)),'Bonding Program'!$Z$36,0)+IF(AND('Bonding Program'!$P$36&lt;&gt;"",CW$3='Bonding Program'!$P$36,CW$3&lt;='Bonding Program'!$C$8),N('Bonding Program'!$O$36),0)</f>
        <v>0</v>
      </c>
      <c r="CX177" s="19" t="n">
        <f aca="false">IF(AND('Bonding Program'!$S$36=1,'Bonding Program'!$H$36&gt;'Bonding Program'!$C$8,CX$3='Bonding Program'!$H$36),'Bonding Program'!$T$36-'Bonding Program'!$U$36-'Bonding Program'!$Z$36,0)-IF(AND('Bonding Program'!$S$36=1,'Bonding Program'!$H$36&lt;='Bonding Program'!$C$8,CX$3=IF('Bonding Program'!$P$36&lt;&gt;"",'Bonding Program'!$P$36,'Bonding Program'!$C$8)),'Bonding Program'!$Z$36,0)+IF(AND('Bonding Program'!$P$36&lt;&gt;"",CX$3='Bonding Program'!$P$36,CX$3&lt;='Bonding Program'!$C$8),N('Bonding Program'!$O$36),0)</f>
        <v>0</v>
      </c>
      <c r="CY177" s="19" t="n">
        <f aca="false">IF(AND('Bonding Program'!$S$36=1,'Bonding Program'!$H$36&gt;'Bonding Program'!$C$8,CY$3='Bonding Program'!$H$36),'Bonding Program'!$T$36-'Bonding Program'!$U$36-'Bonding Program'!$Z$36,0)-IF(AND('Bonding Program'!$S$36=1,'Bonding Program'!$H$36&lt;='Bonding Program'!$C$8,CY$3=IF('Bonding Program'!$P$36&lt;&gt;"",'Bonding Program'!$P$36,'Bonding Program'!$C$8)),'Bonding Program'!$Z$36,0)+IF(AND('Bonding Program'!$P$36&lt;&gt;"",CY$3='Bonding Program'!$P$36,CY$3&lt;='Bonding Program'!$C$8),N('Bonding Program'!$O$36),0)</f>
        <v>0</v>
      </c>
      <c r="CZ177" s="19" t="n">
        <f aca="false">IF(AND('Bonding Program'!$S$36=1,'Bonding Program'!$H$36&gt;'Bonding Program'!$C$8,CZ$3='Bonding Program'!$H$36),'Bonding Program'!$T$36-'Bonding Program'!$U$36-'Bonding Program'!$Z$36,0)-IF(AND('Bonding Program'!$S$36=1,'Bonding Program'!$H$36&lt;='Bonding Program'!$C$8,CZ$3=IF('Bonding Program'!$P$36&lt;&gt;"",'Bonding Program'!$P$36,'Bonding Program'!$C$8)),'Bonding Program'!$Z$36,0)+IF(AND('Bonding Program'!$P$36&lt;&gt;"",CZ$3='Bonding Program'!$P$36,CZ$3&lt;='Bonding Program'!$C$8),N('Bonding Program'!$O$36),0)</f>
        <v>0</v>
      </c>
      <c r="DA177" s="19" t="n">
        <f aca="false">IF(AND('Bonding Program'!$S$36=1,'Bonding Program'!$H$36&gt;'Bonding Program'!$C$8,DA$3='Bonding Program'!$H$36),'Bonding Program'!$T$36-'Bonding Program'!$U$36-'Bonding Program'!$Z$36,0)-IF(AND('Bonding Program'!$S$36=1,'Bonding Program'!$H$36&lt;='Bonding Program'!$C$8,DA$3=IF('Bonding Program'!$P$36&lt;&gt;"",'Bonding Program'!$P$36,'Bonding Program'!$C$8)),'Bonding Program'!$Z$36,0)+IF(AND('Bonding Program'!$P$36&lt;&gt;"",DA$3='Bonding Program'!$P$36,DA$3&lt;='Bonding Program'!$C$8),N('Bonding Program'!$O$36),0)</f>
        <v>0</v>
      </c>
      <c r="DB177" s="19" t="n">
        <f aca="false">IF(AND('Bonding Program'!$S$36=1,'Bonding Program'!$H$36&gt;'Bonding Program'!$C$8,DB$3='Bonding Program'!$H$36),'Bonding Program'!$T$36-'Bonding Program'!$U$36-'Bonding Program'!$Z$36,0)-IF(AND('Bonding Program'!$S$36=1,'Bonding Program'!$H$36&lt;='Bonding Program'!$C$8,DB$3=IF('Bonding Program'!$P$36&lt;&gt;"",'Bonding Program'!$P$36,'Bonding Program'!$C$8)),'Bonding Program'!$Z$36,0)+IF(AND('Bonding Program'!$P$36&lt;&gt;"",DB$3='Bonding Program'!$P$36,DB$3&lt;='Bonding Program'!$C$8),N('Bonding Program'!$O$36),0)</f>
        <v>0</v>
      </c>
      <c r="DC177" s="19" t="n">
        <f aca="false">IF(AND('Bonding Program'!$S$36=1,'Bonding Program'!$H$36&gt;'Bonding Program'!$C$8,DC$3='Bonding Program'!$H$36),'Bonding Program'!$T$36-'Bonding Program'!$U$36-'Bonding Program'!$Z$36,0)-IF(AND('Bonding Program'!$S$36=1,'Bonding Program'!$H$36&lt;='Bonding Program'!$C$8,DC$3=IF('Bonding Program'!$P$36&lt;&gt;"",'Bonding Program'!$P$36,'Bonding Program'!$C$8)),'Bonding Program'!$Z$36,0)+IF(AND('Bonding Program'!$P$36&lt;&gt;"",DC$3='Bonding Program'!$P$36,DC$3&lt;='Bonding Program'!$C$8),N('Bonding Program'!$O$36),0)</f>
        <v>0</v>
      </c>
      <c r="DD177" s="19" t="n">
        <f aca="false">IF(AND('Bonding Program'!$S$36=1,'Bonding Program'!$H$36&gt;'Bonding Program'!$C$8,DD$3='Bonding Program'!$H$36),'Bonding Program'!$T$36-'Bonding Program'!$U$36-'Bonding Program'!$Z$36,0)-IF(AND('Bonding Program'!$S$36=1,'Bonding Program'!$H$36&lt;='Bonding Program'!$C$8,DD$3=IF('Bonding Program'!$P$36&lt;&gt;"",'Bonding Program'!$P$36,'Bonding Program'!$C$8)),'Bonding Program'!$Z$36,0)+IF(AND('Bonding Program'!$P$36&lt;&gt;"",DD$3='Bonding Program'!$P$36,DD$3&lt;='Bonding Program'!$C$8),N('Bonding Program'!$O$36),0)</f>
        <v>0</v>
      </c>
      <c r="DE177" s="19" t="n">
        <f aca="false">IF(AND('Bonding Program'!$S$36=1,'Bonding Program'!$H$36&gt;'Bonding Program'!$C$8,DE$3='Bonding Program'!$H$36),'Bonding Program'!$T$36-'Bonding Program'!$U$36-'Bonding Program'!$Z$36,0)-IF(AND('Bonding Program'!$S$36=1,'Bonding Program'!$H$36&lt;='Bonding Program'!$C$8,DE$3=IF('Bonding Program'!$P$36&lt;&gt;"",'Bonding Program'!$P$36,'Bonding Program'!$C$8)),'Bonding Program'!$Z$36,0)+IF(AND('Bonding Program'!$P$36&lt;&gt;"",DE$3='Bonding Program'!$P$36,DE$3&lt;='Bonding Program'!$C$8),N('Bonding Program'!$O$36),0)</f>
        <v>0</v>
      </c>
    </row>
    <row r="178" customFormat="false" ht="15" hidden="false" customHeight="true" outlineLevel="1" collapsed="false">
      <c r="A178" s="28" t="s">
        <v>33</v>
      </c>
      <c r="B178" s="19" t="n">
        <f aca="false">IF(AND('Bonding Program'!$S$37=1,'Bonding Program'!$H$37&gt;'Bonding Program'!$C$8,B$3='Bonding Program'!$H$37),'Bonding Program'!$T$37-'Bonding Program'!$U$37-'Bonding Program'!$Z$37,0)-IF(AND('Bonding Program'!$S$37=1,'Bonding Program'!$H$37&lt;='Bonding Program'!$C$8,B$3=IF('Bonding Program'!$P$37&lt;&gt;"",'Bonding Program'!$P$37,'Bonding Program'!$C$8)),'Bonding Program'!$Z$37,0)+IF(AND('Bonding Program'!$P$37&lt;&gt;"",B$3='Bonding Program'!$P$37,B$3&lt;='Bonding Program'!$C$8),N('Bonding Program'!$O$37),0)</f>
        <v>0</v>
      </c>
      <c r="C178" s="19" t="n">
        <f aca="false">IF(AND('Bonding Program'!$S$37=1,'Bonding Program'!$H$37&gt;'Bonding Program'!$C$8,C$3='Bonding Program'!$H$37),'Bonding Program'!$T$37-'Bonding Program'!$U$37-'Bonding Program'!$Z$37,0)-IF(AND('Bonding Program'!$S$37=1,'Bonding Program'!$H$37&lt;='Bonding Program'!$C$8,C$3=IF('Bonding Program'!$P$37&lt;&gt;"",'Bonding Program'!$P$37,'Bonding Program'!$C$8)),'Bonding Program'!$Z$37,0)+IF(AND('Bonding Program'!$P$37&lt;&gt;"",C$3='Bonding Program'!$P$37,C$3&lt;='Bonding Program'!$C$8),N('Bonding Program'!$O$37),0)</f>
        <v>0</v>
      </c>
      <c r="D178" s="19" t="n">
        <f aca="false">IF(AND('Bonding Program'!$S$37=1,'Bonding Program'!$H$37&gt;'Bonding Program'!$C$8,D$3='Bonding Program'!$H$37),'Bonding Program'!$T$37-'Bonding Program'!$U$37-'Bonding Program'!$Z$37,0)-IF(AND('Bonding Program'!$S$37=1,'Bonding Program'!$H$37&lt;='Bonding Program'!$C$8,D$3=IF('Bonding Program'!$P$37&lt;&gt;"",'Bonding Program'!$P$37,'Bonding Program'!$C$8)),'Bonding Program'!$Z$37,0)+IF(AND('Bonding Program'!$P$37&lt;&gt;"",D$3='Bonding Program'!$P$37,D$3&lt;='Bonding Program'!$C$8),N('Bonding Program'!$O$37),0)</f>
        <v>0</v>
      </c>
      <c r="E178" s="19" t="n">
        <f aca="false">IF(AND('Bonding Program'!$S$37=1,'Bonding Program'!$H$37&gt;'Bonding Program'!$C$8,E$3='Bonding Program'!$H$37),'Bonding Program'!$T$37-'Bonding Program'!$U$37-'Bonding Program'!$Z$37,0)-IF(AND('Bonding Program'!$S$37=1,'Bonding Program'!$H$37&lt;='Bonding Program'!$C$8,E$3=IF('Bonding Program'!$P$37&lt;&gt;"",'Bonding Program'!$P$37,'Bonding Program'!$C$8)),'Bonding Program'!$Z$37,0)+IF(AND('Bonding Program'!$P$37&lt;&gt;"",E$3='Bonding Program'!$P$37,E$3&lt;='Bonding Program'!$C$8),N('Bonding Program'!$O$37),0)</f>
        <v>0</v>
      </c>
      <c r="F178" s="19" t="n">
        <f aca="false">IF(AND('Bonding Program'!$S$37=1,'Bonding Program'!$H$37&gt;'Bonding Program'!$C$8,F$3='Bonding Program'!$H$37),'Bonding Program'!$T$37-'Bonding Program'!$U$37-'Bonding Program'!$Z$37,0)-IF(AND('Bonding Program'!$S$37=1,'Bonding Program'!$H$37&lt;='Bonding Program'!$C$8,F$3=IF('Bonding Program'!$P$37&lt;&gt;"",'Bonding Program'!$P$37,'Bonding Program'!$C$8)),'Bonding Program'!$Z$37,0)+IF(AND('Bonding Program'!$P$37&lt;&gt;"",F$3='Bonding Program'!$P$37,F$3&lt;='Bonding Program'!$C$8),N('Bonding Program'!$O$37),0)</f>
        <v>0</v>
      </c>
      <c r="G178" s="19" t="n">
        <f aca="false">IF(AND('Bonding Program'!$S$37=1,'Bonding Program'!$H$37&gt;'Bonding Program'!$C$8,G$3='Bonding Program'!$H$37),'Bonding Program'!$T$37-'Bonding Program'!$U$37-'Bonding Program'!$Z$37,0)-IF(AND('Bonding Program'!$S$37=1,'Bonding Program'!$H$37&lt;='Bonding Program'!$C$8,G$3=IF('Bonding Program'!$P$37&lt;&gt;"",'Bonding Program'!$P$37,'Bonding Program'!$C$8)),'Bonding Program'!$Z$37,0)+IF(AND('Bonding Program'!$P$37&lt;&gt;"",G$3='Bonding Program'!$P$37,G$3&lt;='Bonding Program'!$C$8),N('Bonding Program'!$O$37),0)</f>
        <v>0</v>
      </c>
      <c r="H178" s="19" t="n">
        <f aca="false">IF(AND('Bonding Program'!$S$37=1,'Bonding Program'!$H$37&gt;'Bonding Program'!$C$8,H$3='Bonding Program'!$H$37),'Bonding Program'!$T$37-'Bonding Program'!$U$37-'Bonding Program'!$Z$37,0)-IF(AND('Bonding Program'!$S$37=1,'Bonding Program'!$H$37&lt;='Bonding Program'!$C$8,H$3=IF('Bonding Program'!$P$37&lt;&gt;"",'Bonding Program'!$P$37,'Bonding Program'!$C$8)),'Bonding Program'!$Z$37,0)+IF(AND('Bonding Program'!$P$37&lt;&gt;"",H$3='Bonding Program'!$P$37,H$3&lt;='Bonding Program'!$C$8),N('Bonding Program'!$O$37),0)</f>
        <v>0</v>
      </c>
      <c r="I178" s="19" t="n">
        <f aca="false">IF(AND('Bonding Program'!$S$37=1,'Bonding Program'!$H$37&gt;'Bonding Program'!$C$8,I$3='Bonding Program'!$H$37),'Bonding Program'!$T$37-'Bonding Program'!$U$37-'Bonding Program'!$Z$37,0)-IF(AND('Bonding Program'!$S$37=1,'Bonding Program'!$H$37&lt;='Bonding Program'!$C$8,I$3=IF('Bonding Program'!$P$37&lt;&gt;"",'Bonding Program'!$P$37,'Bonding Program'!$C$8)),'Bonding Program'!$Z$37,0)+IF(AND('Bonding Program'!$P$37&lt;&gt;"",I$3='Bonding Program'!$P$37,I$3&lt;='Bonding Program'!$C$8),N('Bonding Program'!$O$37),0)</f>
        <v>0</v>
      </c>
      <c r="J178" s="19" t="n">
        <f aca="false">IF(AND('Bonding Program'!$S$37=1,'Bonding Program'!$H$37&gt;'Bonding Program'!$C$8,J$3='Bonding Program'!$H$37),'Bonding Program'!$T$37-'Bonding Program'!$U$37-'Bonding Program'!$Z$37,0)-IF(AND('Bonding Program'!$S$37=1,'Bonding Program'!$H$37&lt;='Bonding Program'!$C$8,J$3=IF('Bonding Program'!$P$37&lt;&gt;"",'Bonding Program'!$P$37,'Bonding Program'!$C$8)),'Bonding Program'!$Z$37,0)+IF(AND('Bonding Program'!$P$37&lt;&gt;"",J$3='Bonding Program'!$P$37,J$3&lt;='Bonding Program'!$C$8),N('Bonding Program'!$O$37),0)</f>
        <v>0</v>
      </c>
      <c r="K178" s="19" t="n">
        <f aca="false">IF(AND('Bonding Program'!$S$37=1,'Bonding Program'!$H$37&gt;'Bonding Program'!$C$8,K$3='Bonding Program'!$H$37),'Bonding Program'!$T$37-'Bonding Program'!$U$37-'Bonding Program'!$Z$37,0)-IF(AND('Bonding Program'!$S$37=1,'Bonding Program'!$H$37&lt;='Bonding Program'!$C$8,K$3=IF('Bonding Program'!$P$37&lt;&gt;"",'Bonding Program'!$P$37,'Bonding Program'!$C$8)),'Bonding Program'!$Z$37,0)+IF(AND('Bonding Program'!$P$37&lt;&gt;"",K$3='Bonding Program'!$P$37,K$3&lt;='Bonding Program'!$C$8),N('Bonding Program'!$O$37),0)</f>
        <v>0</v>
      </c>
      <c r="L178" s="19" t="n">
        <f aca="false">IF(AND('Bonding Program'!$S$37=1,'Bonding Program'!$H$37&gt;'Bonding Program'!$C$8,L$3='Bonding Program'!$H$37),'Bonding Program'!$T$37-'Bonding Program'!$U$37-'Bonding Program'!$Z$37,0)-IF(AND('Bonding Program'!$S$37=1,'Bonding Program'!$H$37&lt;='Bonding Program'!$C$8,L$3=IF('Bonding Program'!$P$37&lt;&gt;"",'Bonding Program'!$P$37,'Bonding Program'!$C$8)),'Bonding Program'!$Z$37,0)+IF(AND('Bonding Program'!$P$37&lt;&gt;"",L$3='Bonding Program'!$P$37,L$3&lt;='Bonding Program'!$C$8),N('Bonding Program'!$O$37),0)</f>
        <v>0</v>
      </c>
      <c r="M178" s="19" t="n">
        <f aca="false">IF(AND('Bonding Program'!$S$37=1,'Bonding Program'!$H$37&gt;'Bonding Program'!$C$8,M$3='Bonding Program'!$H$37),'Bonding Program'!$T$37-'Bonding Program'!$U$37-'Bonding Program'!$Z$37,0)-IF(AND('Bonding Program'!$S$37=1,'Bonding Program'!$H$37&lt;='Bonding Program'!$C$8,M$3=IF('Bonding Program'!$P$37&lt;&gt;"",'Bonding Program'!$P$37,'Bonding Program'!$C$8)),'Bonding Program'!$Z$37,0)+IF(AND('Bonding Program'!$P$37&lt;&gt;"",M$3='Bonding Program'!$P$37,M$3&lt;='Bonding Program'!$C$8),N('Bonding Program'!$O$37),0)</f>
        <v>0</v>
      </c>
      <c r="N178" s="19" t="n">
        <f aca="false">IF(AND('Bonding Program'!$S$37=1,'Bonding Program'!$H$37&gt;'Bonding Program'!$C$8,N$3='Bonding Program'!$H$37),'Bonding Program'!$T$37-'Bonding Program'!$U$37-'Bonding Program'!$Z$37,0)-IF(AND('Bonding Program'!$S$37=1,'Bonding Program'!$H$37&lt;='Bonding Program'!$C$8,N$3=IF('Bonding Program'!$P$37&lt;&gt;"",'Bonding Program'!$P$37,'Bonding Program'!$C$8)),'Bonding Program'!$Z$37,0)+IF(AND('Bonding Program'!$P$37&lt;&gt;"",N$3='Bonding Program'!$P$37,N$3&lt;='Bonding Program'!$C$8),N('Bonding Program'!$O$37),0)</f>
        <v>0</v>
      </c>
      <c r="O178" s="19" t="n">
        <f aca="false">IF(AND('Bonding Program'!$S$37=1,'Bonding Program'!$H$37&gt;'Bonding Program'!$C$8,O$3='Bonding Program'!$H$37),'Bonding Program'!$T$37-'Bonding Program'!$U$37-'Bonding Program'!$Z$37,0)-IF(AND('Bonding Program'!$S$37=1,'Bonding Program'!$H$37&lt;='Bonding Program'!$C$8,O$3=IF('Bonding Program'!$P$37&lt;&gt;"",'Bonding Program'!$P$37,'Bonding Program'!$C$8)),'Bonding Program'!$Z$37,0)+IF(AND('Bonding Program'!$P$37&lt;&gt;"",O$3='Bonding Program'!$P$37,O$3&lt;='Bonding Program'!$C$8),N('Bonding Program'!$O$37),0)</f>
        <v>0</v>
      </c>
      <c r="P178" s="19" t="n">
        <f aca="false">IF(AND('Bonding Program'!$S$37=1,'Bonding Program'!$H$37&gt;'Bonding Program'!$C$8,P$3='Bonding Program'!$H$37),'Bonding Program'!$T$37-'Bonding Program'!$U$37-'Bonding Program'!$Z$37,0)-IF(AND('Bonding Program'!$S$37=1,'Bonding Program'!$H$37&lt;='Bonding Program'!$C$8,P$3=IF('Bonding Program'!$P$37&lt;&gt;"",'Bonding Program'!$P$37,'Bonding Program'!$C$8)),'Bonding Program'!$Z$37,0)+IF(AND('Bonding Program'!$P$37&lt;&gt;"",P$3='Bonding Program'!$P$37,P$3&lt;='Bonding Program'!$C$8),N('Bonding Program'!$O$37),0)</f>
        <v>0</v>
      </c>
      <c r="Q178" s="19" t="n">
        <f aca="false">IF(AND('Bonding Program'!$S$37=1,'Bonding Program'!$H$37&gt;'Bonding Program'!$C$8,Q$3='Bonding Program'!$H$37),'Bonding Program'!$T$37-'Bonding Program'!$U$37-'Bonding Program'!$Z$37,0)-IF(AND('Bonding Program'!$S$37=1,'Bonding Program'!$H$37&lt;='Bonding Program'!$C$8,Q$3=IF('Bonding Program'!$P$37&lt;&gt;"",'Bonding Program'!$P$37,'Bonding Program'!$C$8)),'Bonding Program'!$Z$37,0)+IF(AND('Bonding Program'!$P$37&lt;&gt;"",Q$3='Bonding Program'!$P$37,Q$3&lt;='Bonding Program'!$C$8),N('Bonding Program'!$O$37),0)</f>
        <v>0</v>
      </c>
      <c r="R178" s="19" t="n">
        <f aca="false">IF(AND('Bonding Program'!$S$37=1,'Bonding Program'!$H$37&gt;'Bonding Program'!$C$8,R$3='Bonding Program'!$H$37),'Bonding Program'!$T$37-'Bonding Program'!$U$37-'Bonding Program'!$Z$37,0)-IF(AND('Bonding Program'!$S$37=1,'Bonding Program'!$H$37&lt;='Bonding Program'!$C$8,R$3=IF('Bonding Program'!$P$37&lt;&gt;"",'Bonding Program'!$P$37,'Bonding Program'!$C$8)),'Bonding Program'!$Z$37,0)+IF(AND('Bonding Program'!$P$37&lt;&gt;"",R$3='Bonding Program'!$P$37,R$3&lt;='Bonding Program'!$C$8),N('Bonding Program'!$O$37),0)</f>
        <v>0</v>
      </c>
      <c r="S178" s="19" t="n">
        <f aca="false">IF(AND('Bonding Program'!$S$37=1,'Bonding Program'!$H$37&gt;'Bonding Program'!$C$8,S$3='Bonding Program'!$H$37),'Bonding Program'!$T$37-'Bonding Program'!$U$37-'Bonding Program'!$Z$37,0)-IF(AND('Bonding Program'!$S$37=1,'Bonding Program'!$H$37&lt;='Bonding Program'!$C$8,S$3=IF('Bonding Program'!$P$37&lt;&gt;"",'Bonding Program'!$P$37,'Bonding Program'!$C$8)),'Bonding Program'!$Z$37,0)+IF(AND('Bonding Program'!$P$37&lt;&gt;"",S$3='Bonding Program'!$P$37,S$3&lt;='Bonding Program'!$C$8),N('Bonding Program'!$O$37),0)</f>
        <v>0</v>
      </c>
      <c r="T178" s="19" t="n">
        <f aca="false">IF(AND('Bonding Program'!$S$37=1,'Bonding Program'!$H$37&gt;'Bonding Program'!$C$8,T$3='Bonding Program'!$H$37),'Bonding Program'!$T$37-'Bonding Program'!$U$37-'Bonding Program'!$Z$37,0)-IF(AND('Bonding Program'!$S$37=1,'Bonding Program'!$H$37&lt;='Bonding Program'!$C$8,T$3=IF('Bonding Program'!$P$37&lt;&gt;"",'Bonding Program'!$P$37,'Bonding Program'!$C$8)),'Bonding Program'!$Z$37,0)+IF(AND('Bonding Program'!$P$37&lt;&gt;"",T$3='Bonding Program'!$P$37,T$3&lt;='Bonding Program'!$C$8),N('Bonding Program'!$O$37),0)</f>
        <v>0</v>
      </c>
      <c r="U178" s="19" t="n">
        <f aca="false">IF(AND('Bonding Program'!$S$37=1,'Bonding Program'!$H$37&gt;'Bonding Program'!$C$8,U$3='Bonding Program'!$H$37),'Bonding Program'!$T$37-'Bonding Program'!$U$37-'Bonding Program'!$Z$37,0)-IF(AND('Bonding Program'!$S$37=1,'Bonding Program'!$H$37&lt;='Bonding Program'!$C$8,U$3=IF('Bonding Program'!$P$37&lt;&gt;"",'Bonding Program'!$P$37,'Bonding Program'!$C$8)),'Bonding Program'!$Z$37,0)+IF(AND('Bonding Program'!$P$37&lt;&gt;"",U$3='Bonding Program'!$P$37,U$3&lt;='Bonding Program'!$C$8),N('Bonding Program'!$O$37),0)</f>
        <v>0</v>
      </c>
      <c r="V178" s="19" t="n">
        <f aca="false">IF(AND('Bonding Program'!$S$37=1,'Bonding Program'!$H$37&gt;'Bonding Program'!$C$8,V$3='Bonding Program'!$H$37),'Bonding Program'!$T$37-'Bonding Program'!$U$37-'Bonding Program'!$Z$37,0)-IF(AND('Bonding Program'!$S$37=1,'Bonding Program'!$H$37&lt;='Bonding Program'!$C$8,V$3=IF('Bonding Program'!$P$37&lt;&gt;"",'Bonding Program'!$P$37,'Bonding Program'!$C$8)),'Bonding Program'!$Z$37,0)+IF(AND('Bonding Program'!$P$37&lt;&gt;"",V$3='Bonding Program'!$P$37,V$3&lt;='Bonding Program'!$C$8),N('Bonding Program'!$O$37),0)</f>
        <v>0</v>
      </c>
      <c r="W178" s="19" t="n">
        <f aca="false">IF(AND('Bonding Program'!$S$37=1,'Bonding Program'!$H$37&gt;'Bonding Program'!$C$8,W$3='Bonding Program'!$H$37),'Bonding Program'!$T$37-'Bonding Program'!$U$37-'Bonding Program'!$Z$37,0)-IF(AND('Bonding Program'!$S$37=1,'Bonding Program'!$H$37&lt;='Bonding Program'!$C$8,W$3=IF('Bonding Program'!$P$37&lt;&gt;"",'Bonding Program'!$P$37,'Bonding Program'!$C$8)),'Bonding Program'!$Z$37,0)+IF(AND('Bonding Program'!$P$37&lt;&gt;"",W$3='Bonding Program'!$P$37,W$3&lt;='Bonding Program'!$C$8),N('Bonding Program'!$O$37),0)</f>
        <v>0</v>
      </c>
      <c r="X178" s="19" t="n">
        <f aca="false">IF(AND('Bonding Program'!$S$37=1,'Bonding Program'!$H$37&gt;'Bonding Program'!$C$8,X$3='Bonding Program'!$H$37),'Bonding Program'!$T$37-'Bonding Program'!$U$37-'Bonding Program'!$Z$37,0)-IF(AND('Bonding Program'!$S$37=1,'Bonding Program'!$H$37&lt;='Bonding Program'!$C$8,X$3=IF('Bonding Program'!$P$37&lt;&gt;"",'Bonding Program'!$P$37,'Bonding Program'!$C$8)),'Bonding Program'!$Z$37,0)+IF(AND('Bonding Program'!$P$37&lt;&gt;"",X$3='Bonding Program'!$P$37,X$3&lt;='Bonding Program'!$C$8),N('Bonding Program'!$O$37),0)</f>
        <v>0</v>
      </c>
      <c r="Y178" s="19" t="n">
        <f aca="false">IF(AND('Bonding Program'!$S$37=1,'Bonding Program'!$H$37&gt;'Bonding Program'!$C$8,Y$3='Bonding Program'!$H$37),'Bonding Program'!$T$37-'Bonding Program'!$U$37-'Bonding Program'!$Z$37,0)-IF(AND('Bonding Program'!$S$37=1,'Bonding Program'!$H$37&lt;='Bonding Program'!$C$8,Y$3=IF('Bonding Program'!$P$37&lt;&gt;"",'Bonding Program'!$P$37,'Bonding Program'!$C$8)),'Bonding Program'!$Z$37,0)+IF(AND('Bonding Program'!$P$37&lt;&gt;"",Y$3='Bonding Program'!$P$37,Y$3&lt;='Bonding Program'!$C$8),N('Bonding Program'!$O$37),0)</f>
        <v>0</v>
      </c>
      <c r="Z178" s="19" t="n">
        <f aca="false">IF(AND('Bonding Program'!$S$37=1,'Bonding Program'!$H$37&gt;'Bonding Program'!$C$8,Z$3='Bonding Program'!$H$37),'Bonding Program'!$T$37-'Bonding Program'!$U$37-'Bonding Program'!$Z$37,0)-IF(AND('Bonding Program'!$S$37=1,'Bonding Program'!$H$37&lt;='Bonding Program'!$C$8,Z$3=IF('Bonding Program'!$P$37&lt;&gt;"",'Bonding Program'!$P$37,'Bonding Program'!$C$8)),'Bonding Program'!$Z$37,0)+IF(AND('Bonding Program'!$P$37&lt;&gt;"",Z$3='Bonding Program'!$P$37,Z$3&lt;='Bonding Program'!$C$8),N('Bonding Program'!$O$37),0)</f>
        <v>0</v>
      </c>
      <c r="AA178" s="19" t="n">
        <f aca="false">IF(AND('Bonding Program'!$S$37=1,'Bonding Program'!$H$37&gt;'Bonding Program'!$C$8,AA$3='Bonding Program'!$H$37),'Bonding Program'!$T$37-'Bonding Program'!$U$37-'Bonding Program'!$Z$37,0)-IF(AND('Bonding Program'!$S$37=1,'Bonding Program'!$H$37&lt;='Bonding Program'!$C$8,AA$3=IF('Bonding Program'!$P$37&lt;&gt;"",'Bonding Program'!$P$37,'Bonding Program'!$C$8)),'Bonding Program'!$Z$37,0)+IF(AND('Bonding Program'!$P$37&lt;&gt;"",AA$3='Bonding Program'!$P$37,AA$3&lt;='Bonding Program'!$C$8),N('Bonding Program'!$O$37),0)</f>
        <v>0</v>
      </c>
      <c r="AB178" s="19" t="n">
        <f aca="false">IF(AND('Bonding Program'!$S$37=1,'Bonding Program'!$H$37&gt;'Bonding Program'!$C$8,AB$3='Bonding Program'!$H$37),'Bonding Program'!$T$37-'Bonding Program'!$U$37-'Bonding Program'!$Z$37,0)-IF(AND('Bonding Program'!$S$37=1,'Bonding Program'!$H$37&lt;='Bonding Program'!$C$8,AB$3=IF('Bonding Program'!$P$37&lt;&gt;"",'Bonding Program'!$P$37,'Bonding Program'!$C$8)),'Bonding Program'!$Z$37,0)+IF(AND('Bonding Program'!$P$37&lt;&gt;"",AB$3='Bonding Program'!$P$37,AB$3&lt;='Bonding Program'!$C$8),N('Bonding Program'!$O$37),0)</f>
        <v>0</v>
      </c>
      <c r="AC178" s="19" t="n">
        <f aca="false">IF(AND('Bonding Program'!$S$37=1,'Bonding Program'!$H$37&gt;'Bonding Program'!$C$8,AC$3='Bonding Program'!$H$37),'Bonding Program'!$T$37-'Bonding Program'!$U$37-'Bonding Program'!$Z$37,0)-IF(AND('Bonding Program'!$S$37=1,'Bonding Program'!$H$37&lt;='Bonding Program'!$C$8,AC$3=IF('Bonding Program'!$P$37&lt;&gt;"",'Bonding Program'!$P$37,'Bonding Program'!$C$8)),'Bonding Program'!$Z$37,0)+IF(AND('Bonding Program'!$P$37&lt;&gt;"",AC$3='Bonding Program'!$P$37,AC$3&lt;='Bonding Program'!$C$8),N('Bonding Program'!$O$37),0)</f>
        <v>0</v>
      </c>
      <c r="AD178" s="19" t="n">
        <f aca="false">IF(AND('Bonding Program'!$S$37=1,'Bonding Program'!$H$37&gt;'Bonding Program'!$C$8,AD$3='Bonding Program'!$H$37),'Bonding Program'!$T$37-'Bonding Program'!$U$37-'Bonding Program'!$Z$37,0)-IF(AND('Bonding Program'!$S$37=1,'Bonding Program'!$H$37&lt;='Bonding Program'!$C$8,AD$3=IF('Bonding Program'!$P$37&lt;&gt;"",'Bonding Program'!$P$37,'Bonding Program'!$C$8)),'Bonding Program'!$Z$37,0)+IF(AND('Bonding Program'!$P$37&lt;&gt;"",AD$3='Bonding Program'!$P$37,AD$3&lt;='Bonding Program'!$C$8),N('Bonding Program'!$O$37),0)</f>
        <v>0</v>
      </c>
      <c r="AE178" s="19" t="n">
        <f aca="false">IF(AND('Bonding Program'!$S$37=1,'Bonding Program'!$H$37&gt;'Bonding Program'!$C$8,AE$3='Bonding Program'!$H$37),'Bonding Program'!$T$37-'Bonding Program'!$U$37-'Bonding Program'!$Z$37,0)-IF(AND('Bonding Program'!$S$37=1,'Bonding Program'!$H$37&lt;='Bonding Program'!$C$8,AE$3=IF('Bonding Program'!$P$37&lt;&gt;"",'Bonding Program'!$P$37,'Bonding Program'!$C$8)),'Bonding Program'!$Z$37,0)+IF(AND('Bonding Program'!$P$37&lt;&gt;"",AE$3='Bonding Program'!$P$37,AE$3&lt;='Bonding Program'!$C$8),N('Bonding Program'!$O$37),0)</f>
        <v>0</v>
      </c>
      <c r="AF178" s="19" t="n">
        <f aca="false">IF(AND('Bonding Program'!$S$37=1,'Bonding Program'!$H$37&gt;'Bonding Program'!$C$8,AF$3='Bonding Program'!$H$37),'Bonding Program'!$T$37-'Bonding Program'!$U$37-'Bonding Program'!$Z$37,0)-IF(AND('Bonding Program'!$S$37=1,'Bonding Program'!$H$37&lt;='Bonding Program'!$C$8,AF$3=IF('Bonding Program'!$P$37&lt;&gt;"",'Bonding Program'!$P$37,'Bonding Program'!$C$8)),'Bonding Program'!$Z$37,0)+IF(AND('Bonding Program'!$P$37&lt;&gt;"",AF$3='Bonding Program'!$P$37,AF$3&lt;='Bonding Program'!$C$8),N('Bonding Program'!$O$37),0)</f>
        <v>0</v>
      </c>
      <c r="AG178" s="19" t="n">
        <f aca="false">IF(AND('Bonding Program'!$S$37=1,'Bonding Program'!$H$37&gt;'Bonding Program'!$C$8,AG$3='Bonding Program'!$H$37),'Bonding Program'!$T$37-'Bonding Program'!$U$37-'Bonding Program'!$Z$37,0)-IF(AND('Bonding Program'!$S$37=1,'Bonding Program'!$H$37&lt;='Bonding Program'!$C$8,AG$3=IF('Bonding Program'!$P$37&lt;&gt;"",'Bonding Program'!$P$37,'Bonding Program'!$C$8)),'Bonding Program'!$Z$37,0)+IF(AND('Bonding Program'!$P$37&lt;&gt;"",AG$3='Bonding Program'!$P$37,AG$3&lt;='Bonding Program'!$C$8),N('Bonding Program'!$O$37),0)</f>
        <v>0</v>
      </c>
      <c r="AH178" s="19" t="n">
        <f aca="false">IF(AND('Bonding Program'!$S$37=1,'Bonding Program'!$H$37&gt;'Bonding Program'!$C$8,AH$3='Bonding Program'!$H$37),'Bonding Program'!$T$37-'Bonding Program'!$U$37-'Bonding Program'!$Z$37,0)-IF(AND('Bonding Program'!$S$37=1,'Bonding Program'!$H$37&lt;='Bonding Program'!$C$8,AH$3=IF('Bonding Program'!$P$37&lt;&gt;"",'Bonding Program'!$P$37,'Bonding Program'!$C$8)),'Bonding Program'!$Z$37,0)+IF(AND('Bonding Program'!$P$37&lt;&gt;"",AH$3='Bonding Program'!$P$37,AH$3&lt;='Bonding Program'!$C$8),N('Bonding Program'!$O$37),0)</f>
        <v>0</v>
      </c>
      <c r="AI178" s="19" t="n">
        <f aca="false">IF(AND('Bonding Program'!$S$37=1,'Bonding Program'!$H$37&gt;'Bonding Program'!$C$8,AI$3='Bonding Program'!$H$37),'Bonding Program'!$T$37-'Bonding Program'!$U$37-'Bonding Program'!$Z$37,0)-IF(AND('Bonding Program'!$S$37=1,'Bonding Program'!$H$37&lt;='Bonding Program'!$C$8,AI$3=IF('Bonding Program'!$P$37&lt;&gt;"",'Bonding Program'!$P$37,'Bonding Program'!$C$8)),'Bonding Program'!$Z$37,0)+IF(AND('Bonding Program'!$P$37&lt;&gt;"",AI$3='Bonding Program'!$P$37,AI$3&lt;='Bonding Program'!$C$8),N('Bonding Program'!$O$37),0)</f>
        <v>0</v>
      </c>
      <c r="AJ178" s="19" t="n">
        <f aca="false">IF(AND('Bonding Program'!$S$37=1,'Bonding Program'!$H$37&gt;'Bonding Program'!$C$8,AJ$3='Bonding Program'!$H$37),'Bonding Program'!$T$37-'Bonding Program'!$U$37-'Bonding Program'!$Z$37,0)-IF(AND('Bonding Program'!$S$37=1,'Bonding Program'!$H$37&lt;='Bonding Program'!$C$8,AJ$3=IF('Bonding Program'!$P$37&lt;&gt;"",'Bonding Program'!$P$37,'Bonding Program'!$C$8)),'Bonding Program'!$Z$37,0)+IF(AND('Bonding Program'!$P$37&lt;&gt;"",AJ$3='Bonding Program'!$P$37,AJ$3&lt;='Bonding Program'!$C$8),N('Bonding Program'!$O$37),0)</f>
        <v>0</v>
      </c>
      <c r="AK178" s="19" t="n">
        <f aca="false">IF(AND('Bonding Program'!$S$37=1,'Bonding Program'!$H$37&gt;'Bonding Program'!$C$8,AK$3='Bonding Program'!$H$37),'Bonding Program'!$T$37-'Bonding Program'!$U$37-'Bonding Program'!$Z$37,0)-IF(AND('Bonding Program'!$S$37=1,'Bonding Program'!$H$37&lt;='Bonding Program'!$C$8,AK$3=IF('Bonding Program'!$P$37&lt;&gt;"",'Bonding Program'!$P$37,'Bonding Program'!$C$8)),'Bonding Program'!$Z$37,0)+IF(AND('Bonding Program'!$P$37&lt;&gt;"",AK$3='Bonding Program'!$P$37,AK$3&lt;='Bonding Program'!$C$8),N('Bonding Program'!$O$37),0)</f>
        <v>0</v>
      </c>
      <c r="AL178" s="19" t="n">
        <f aca="false">IF(AND('Bonding Program'!$S$37=1,'Bonding Program'!$H$37&gt;'Bonding Program'!$C$8,AL$3='Bonding Program'!$H$37),'Bonding Program'!$T$37-'Bonding Program'!$U$37-'Bonding Program'!$Z$37,0)-IF(AND('Bonding Program'!$S$37=1,'Bonding Program'!$H$37&lt;='Bonding Program'!$C$8,AL$3=IF('Bonding Program'!$P$37&lt;&gt;"",'Bonding Program'!$P$37,'Bonding Program'!$C$8)),'Bonding Program'!$Z$37,0)+IF(AND('Bonding Program'!$P$37&lt;&gt;"",AL$3='Bonding Program'!$P$37,AL$3&lt;='Bonding Program'!$C$8),N('Bonding Program'!$O$37),0)</f>
        <v>0</v>
      </c>
      <c r="AM178" s="19" t="n">
        <f aca="false">IF(AND('Bonding Program'!$S$37=1,'Bonding Program'!$H$37&gt;'Bonding Program'!$C$8,AM$3='Bonding Program'!$H$37),'Bonding Program'!$T$37-'Bonding Program'!$U$37-'Bonding Program'!$Z$37,0)-IF(AND('Bonding Program'!$S$37=1,'Bonding Program'!$H$37&lt;='Bonding Program'!$C$8,AM$3=IF('Bonding Program'!$P$37&lt;&gt;"",'Bonding Program'!$P$37,'Bonding Program'!$C$8)),'Bonding Program'!$Z$37,0)+IF(AND('Bonding Program'!$P$37&lt;&gt;"",AM$3='Bonding Program'!$P$37,AM$3&lt;='Bonding Program'!$C$8),N('Bonding Program'!$O$37),0)</f>
        <v>0</v>
      </c>
      <c r="AN178" s="19" t="n">
        <f aca="false">IF(AND('Bonding Program'!$S$37=1,'Bonding Program'!$H$37&gt;'Bonding Program'!$C$8,AN$3='Bonding Program'!$H$37),'Bonding Program'!$T$37-'Bonding Program'!$U$37-'Bonding Program'!$Z$37,0)-IF(AND('Bonding Program'!$S$37=1,'Bonding Program'!$H$37&lt;='Bonding Program'!$C$8,AN$3=IF('Bonding Program'!$P$37&lt;&gt;"",'Bonding Program'!$P$37,'Bonding Program'!$C$8)),'Bonding Program'!$Z$37,0)+IF(AND('Bonding Program'!$P$37&lt;&gt;"",AN$3='Bonding Program'!$P$37,AN$3&lt;='Bonding Program'!$C$8),N('Bonding Program'!$O$37),0)</f>
        <v>0</v>
      </c>
      <c r="AO178" s="19" t="n">
        <f aca="false">IF(AND('Bonding Program'!$S$37=1,'Bonding Program'!$H$37&gt;'Bonding Program'!$C$8,AO$3='Bonding Program'!$H$37),'Bonding Program'!$T$37-'Bonding Program'!$U$37-'Bonding Program'!$Z$37,0)-IF(AND('Bonding Program'!$S$37=1,'Bonding Program'!$H$37&lt;='Bonding Program'!$C$8,AO$3=IF('Bonding Program'!$P$37&lt;&gt;"",'Bonding Program'!$P$37,'Bonding Program'!$C$8)),'Bonding Program'!$Z$37,0)+IF(AND('Bonding Program'!$P$37&lt;&gt;"",AO$3='Bonding Program'!$P$37,AO$3&lt;='Bonding Program'!$C$8),N('Bonding Program'!$O$37),0)</f>
        <v>0</v>
      </c>
      <c r="AP178" s="19" t="n">
        <f aca="false">IF(AND('Bonding Program'!$S$37=1,'Bonding Program'!$H$37&gt;'Bonding Program'!$C$8,AP$3='Bonding Program'!$H$37),'Bonding Program'!$T$37-'Bonding Program'!$U$37-'Bonding Program'!$Z$37,0)-IF(AND('Bonding Program'!$S$37=1,'Bonding Program'!$H$37&lt;='Bonding Program'!$C$8,AP$3=IF('Bonding Program'!$P$37&lt;&gt;"",'Bonding Program'!$P$37,'Bonding Program'!$C$8)),'Bonding Program'!$Z$37,0)+IF(AND('Bonding Program'!$P$37&lt;&gt;"",AP$3='Bonding Program'!$P$37,AP$3&lt;='Bonding Program'!$C$8),N('Bonding Program'!$O$37),0)</f>
        <v>0</v>
      </c>
      <c r="AQ178" s="19" t="n">
        <f aca="false">IF(AND('Bonding Program'!$S$37=1,'Bonding Program'!$H$37&gt;'Bonding Program'!$C$8,AQ$3='Bonding Program'!$H$37),'Bonding Program'!$T$37-'Bonding Program'!$U$37-'Bonding Program'!$Z$37,0)-IF(AND('Bonding Program'!$S$37=1,'Bonding Program'!$H$37&lt;='Bonding Program'!$C$8,AQ$3=IF('Bonding Program'!$P$37&lt;&gt;"",'Bonding Program'!$P$37,'Bonding Program'!$C$8)),'Bonding Program'!$Z$37,0)+IF(AND('Bonding Program'!$P$37&lt;&gt;"",AQ$3='Bonding Program'!$P$37,AQ$3&lt;='Bonding Program'!$C$8),N('Bonding Program'!$O$37),0)</f>
        <v>0</v>
      </c>
      <c r="AR178" s="19" t="n">
        <f aca="false">IF(AND('Bonding Program'!$S$37=1,'Bonding Program'!$H$37&gt;'Bonding Program'!$C$8,AR$3='Bonding Program'!$H$37),'Bonding Program'!$T$37-'Bonding Program'!$U$37-'Bonding Program'!$Z$37,0)-IF(AND('Bonding Program'!$S$37=1,'Bonding Program'!$H$37&lt;='Bonding Program'!$C$8,AR$3=IF('Bonding Program'!$P$37&lt;&gt;"",'Bonding Program'!$P$37,'Bonding Program'!$C$8)),'Bonding Program'!$Z$37,0)+IF(AND('Bonding Program'!$P$37&lt;&gt;"",AR$3='Bonding Program'!$P$37,AR$3&lt;='Bonding Program'!$C$8),N('Bonding Program'!$O$37),0)</f>
        <v>0</v>
      </c>
      <c r="AS178" s="19" t="n">
        <f aca="false">IF(AND('Bonding Program'!$S$37=1,'Bonding Program'!$H$37&gt;'Bonding Program'!$C$8,AS$3='Bonding Program'!$H$37),'Bonding Program'!$T$37-'Bonding Program'!$U$37-'Bonding Program'!$Z$37,0)-IF(AND('Bonding Program'!$S$37=1,'Bonding Program'!$H$37&lt;='Bonding Program'!$C$8,AS$3=IF('Bonding Program'!$P$37&lt;&gt;"",'Bonding Program'!$P$37,'Bonding Program'!$C$8)),'Bonding Program'!$Z$37,0)+IF(AND('Bonding Program'!$P$37&lt;&gt;"",AS$3='Bonding Program'!$P$37,AS$3&lt;='Bonding Program'!$C$8),N('Bonding Program'!$O$37),0)</f>
        <v>0</v>
      </c>
      <c r="AT178" s="19" t="n">
        <f aca="false">IF(AND('Bonding Program'!$S$37=1,'Bonding Program'!$H$37&gt;'Bonding Program'!$C$8,AT$3='Bonding Program'!$H$37),'Bonding Program'!$T$37-'Bonding Program'!$U$37-'Bonding Program'!$Z$37,0)-IF(AND('Bonding Program'!$S$37=1,'Bonding Program'!$H$37&lt;='Bonding Program'!$C$8,AT$3=IF('Bonding Program'!$P$37&lt;&gt;"",'Bonding Program'!$P$37,'Bonding Program'!$C$8)),'Bonding Program'!$Z$37,0)+IF(AND('Bonding Program'!$P$37&lt;&gt;"",AT$3='Bonding Program'!$P$37,AT$3&lt;='Bonding Program'!$C$8),N('Bonding Program'!$O$37),0)</f>
        <v>0</v>
      </c>
      <c r="AU178" s="19" t="n">
        <f aca="false">IF(AND('Bonding Program'!$S$37=1,'Bonding Program'!$H$37&gt;'Bonding Program'!$C$8,AU$3='Bonding Program'!$H$37),'Bonding Program'!$T$37-'Bonding Program'!$U$37-'Bonding Program'!$Z$37,0)-IF(AND('Bonding Program'!$S$37=1,'Bonding Program'!$H$37&lt;='Bonding Program'!$C$8,AU$3=IF('Bonding Program'!$P$37&lt;&gt;"",'Bonding Program'!$P$37,'Bonding Program'!$C$8)),'Bonding Program'!$Z$37,0)+IF(AND('Bonding Program'!$P$37&lt;&gt;"",AU$3='Bonding Program'!$P$37,AU$3&lt;='Bonding Program'!$C$8),N('Bonding Program'!$O$37),0)</f>
        <v>0</v>
      </c>
      <c r="AV178" s="19" t="n">
        <f aca="false">IF(AND('Bonding Program'!$S$37=1,'Bonding Program'!$H$37&gt;'Bonding Program'!$C$8,AV$3='Bonding Program'!$H$37),'Bonding Program'!$T$37-'Bonding Program'!$U$37-'Bonding Program'!$Z$37,0)-IF(AND('Bonding Program'!$S$37=1,'Bonding Program'!$H$37&lt;='Bonding Program'!$C$8,AV$3=IF('Bonding Program'!$P$37&lt;&gt;"",'Bonding Program'!$P$37,'Bonding Program'!$C$8)),'Bonding Program'!$Z$37,0)+IF(AND('Bonding Program'!$P$37&lt;&gt;"",AV$3='Bonding Program'!$P$37,AV$3&lt;='Bonding Program'!$C$8),N('Bonding Program'!$O$37),0)</f>
        <v>0</v>
      </c>
      <c r="AW178" s="19" t="n">
        <f aca="false">IF(AND('Bonding Program'!$S$37=1,'Bonding Program'!$H$37&gt;'Bonding Program'!$C$8,AW$3='Bonding Program'!$H$37),'Bonding Program'!$T$37-'Bonding Program'!$U$37-'Bonding Program'!$Z$37,0)-IF(AND('Bonding Program'!$S$37=1,'Bonding Program'!$H$37&lt;='Bonding Program'!$C$8,AW$3=IF('Bonding Program'!$P$37&lt;&gt;"",'Bonding Program'!$P$37,'Bonding Program'!$C$8)),'Bonding Program'!$Z$37,0)+IF(AND('Bonding Program'!$P$37&lt;&gt;"",AW$3='Bonding Program'!$P$37,AW$3&lt;='Bonding Program'!$C$8),N('Bonding Program'!$O$37),0)</f>
        <v>0</v>
      </c>
      <c r="AX178" s="19" t="n">
        <f aca="false">IF(AND('Bonding Program'!$S$37=1,'Bonding Program'!$H$37&gt;'Bonding Program'!$C$8,AX$3='Bonding Program'!$H$37),'Bonding Program'!$T$37-'Bonding Program'!$U$37-'Bonding Program'!$Z$37,0)-IF(AND('Bonding Program'!$S$37=1,'Bonding Program'!$H$37&lt;='Bonding Program'!$C$8,AX$3=IF('Bonding Program'!$P$37&lt;&gt;"",'Bonding Program'!$P$37,'Bonding Program'!$C$8)),'Bonding Program'!$Z$37,0)+IF(AND('Bonding Program'!$P$37&lt;&gt;"",AX$3='Bonding Program'!$P$37,AX$3&lt;='Bonding Program'!$C$8),N('Bonding Program'!$O$37),0)</f>
        <v>0</v>
      </c>
      <c r="AY178" s="19" t="n">
        <f aca="false">IF(AND('Bonding Program'!$S$37=1,'Bonding Program'!$H$37&gt;'Bonding Program'!$C$8,AY$3='Bonding Program'!$H$37),'Bonding Program'!$T$37-'Bonding Program'!$U$37-'Bonding Program'!$Z$37,0)-IF(AND('Bonding Program'!$S$37=1,'Bonding Program'!$H$37&lt;='Bonding Program'!$C$8,AY$3=IF('Bonding Program'!$P$37&lt;&gt;"",'Bonding Program'!$P$37,'Bonding Program'!$C$8)),'Bonding Program'!$Z$37,0)+IF(AND('Bonding Program'!$P$37&lt;&gt;"",AY$3='Bonding Program'!$P$37,AY$3&lt;='Bonding Program'!$C$8),N('Bonding Program'!$O$37),0)</f>
        <v>0</v>
      </c>
      <c r="AZ178" s="19" t="n">
        <f aca="false">IF(AND('Bonding Program'!$S$37=1,'Bonding Program'!$H$37&gt;'Bonding Program'!$C$8,AZ$3='Bonding Program'!$H$37),'Bonding Program'!$T$37-'Bonding Program'!$U$37-'Bonding Program'!$Z$37,0)-IF(AND('Bonding Program'!$S$37=1,'Bonding Program'!$H$37&lt;='Bonding Program'!$C$8,AZ$3=IF('Bonding Program'!$P$37&lt;&gt;"",'Bonding Program'!$P$37,'Bonding Program'!$C$8)),'Bonding Program'!$Z$37,0)+IF(AND('Bonding Program'!$P$37&lt;&gt;"",AZ$3='Bonding Program'!$P$37,AZ$3&lt;='Bonding Program'!$C$8),N('Bonding Program'!$O$37),0)</f>
        <v>0</v>
      </c>
      <c r="BA178" s="19" t="n">
        <f aca="false">IF(AND('Bonding Program'!$S$37=1,'Bonding Program'!$H$37&gt;'Bonding Program'!$C$8,BA$3='Bonding Program'!$H$37),'Bonding Program'!$T$37-'Bonding Program'!$U$37-'Bonding Program'!$Z$37,0)-IF(AND('Bonding Program'!$S$37=1,'Bonding Program'!$H$37&lt;='Bonding Program'!$C$8,BA$3=IF('Bonding Program'!$P$37&lt;&gt;"",'Bonding Program'!$P$37,'Bonding Program'!$C$8)),'Bonding Program'!$Z$37,0)+IF(AND('Bonding Program'!$P$37&lt;&gt;"",BA$3='Bonding Program'!$P$37,BA$3&lt;='Bonding Program'!$C$8),N('Bonding Program'!$O$37),0)</f>
        <v>0</v>
      </c>
      <c r="BB178" s="19" t="n">
        <f aca="false">IF(AND('Bonding Program'!$S$37=1,'Bonding Program'!$H$37&gt;'Bonding Program'!$C$8,BB$3='Bonding Program'!$H$37),'Bonding Program'!$T$37-'Bonding Program'!$U$37-'Bonding Program'!$Z$37,0)-IF(AND('Bonding Program'!$S$37=1,'Bonding Program'!$H$37&lt;='Bonding Program'!$C$8,BB$3=IF('Bonding Program'!$P$37&lt;&gt;"",'Bonding Program'!$P$37,'Bonding Program'!$C$8)),'Bonding Program'!$Z$37,0)+IF(AND('Bonding Program'!$P$37&lt;&gt;"",BB$3='Bonding Program'!$P$37,BB$3&lt;='Bonding Program'!$C$8),N('Bonding Program'!$O$37),0)</f>
        <v>0</v>
      </c>
      <c r="BC178" s="19" t="n">
        <f aca="false">IF(AND('Bonding Program'!$S$37=1,'Bonding Program'!$H$37&gt;'Bonding Program'!$C$8,BC$3='Bonding Program'!$H$37),'Bonding Program'!$T$37-'Bonding Program'!$U$37-'Bonding Program'!$Z$37,0)-IF(AND('Bonding Program'!$S$37=1,'Bonding Program'!$H$37&lt;='Bonding Program'!$C$8,BC$3=IF('Bonding Program'!$P$37&lt;&gt;"",'Bonding Program'!$P$37,'Bonding Program'!$C$8)),'Bonding Program'!$Z$37,0)+IF(AND('Bonding Program'!$P$37&lt;&gt;"",BC$3='Bonding Program'!$P$37,BC$3&lt;='Bonding Program'!$C$8),N('Bonding Program'!$O$37),0)</f>
        <v>0</v>
      </c>
      <c r="BD178" s="19" t="n">
        <f aca="false">IF(AND('Bonding Program'!$S$37=1,'Bonding Program'!$H$37&gt;'Bonding Program'!$C$8,BD$3='Bonding Program'!$H$37),'Bonding Program'!$T$37-'Bonding Program'!$U$37-'Bonding Program'!$Z$37,0)-IF(AND('Bonding Program'!$S$37=1,'Bonding Program'!$H$37&lt;='Bonding Program'!$C$8,BD$3=IF('Bonding Program'!$P$37&lt;&gt;"",'Bonding Program'!$P$37,'Bonding Program'!$C$8)),'Bonding Program'!$Z$37,0)+IF(AND('Bonding Program'!$P$37&lt;&gt;"",BD$3='Bonding Program'!$P$37,BD$3&lt;='Bonding Program'!$C$8),N('Bonding Program'!$O$37),0)</f>
        <v>0</v>
      </c>
      <c r="BE178" s="19" t="n">
        <f aca="false">IF(AND('Bonding Program'!$S$37=1,'Bonding Program'!$H$37&gt;'Bonding Program'!$C$8,BE$3='Bonding Program'!$H$37),'Bonding Program'!$T$37-'Bonding Program'!$U$37-'Bonding Program'!$Z$37,0)-IF(AND('Bonding Program'!$S$37=1,'Bonding Program'!$H$37&lt;='Bonding Program'!$C$8,BE$3=IF('Bonding Program'!$P$37&lt;&gt;"",'Bonding Program'!$P$37,'Bonding Program'!$C$8)),'Bonding Program'!$Z$37,0)+IF(AND('Bonding Program'!$P$37&lt;&gt;"",BE$3='Bonding Program'!$P$37,BE$3&lt;='Bonding Program'!$C$8),N('Bonding Program'!$O$37),0)</f>
        <v>0</v>
      </c>
      <c r="BF178" s="19" t="n">
        <f aca="false">IF(AND('Bonding Program'!$S$37=1,'Bonding Program'!$H$37&gt;'Bonding Program'!$C$8,BF$3='Bonding Program'!$H$37),'Bonding Program'!$T$37-'Bonding Program'!$U$37-'Bonding Program'!$Z$37,0)-IF(AND('Bonding Program'!$S$37=1,'Bonding Program'!$H$37&lt;='Bonding Program'!$C$8,BF$3=IF('Bonding Program'!$P$37&lt;&gt;"",'Bonding Program'!$P$37,'Bonding Program'!$C$8)),'Bonding Program'!$Z$37,0)+IF(AND('Bonding Program'!$P$37&lt;&gt;"",BF$3='Bonding Program'!$P$37,BF$3&lt;='Bonding Program'!$C$8),N('Bonding Program'!$O$37),0)</f>
        <v>0</v>
      </c>
      <c r="BG178" s="19" t="n">
        <f aca="false">IF(AND('Bonding Program'!$S$37=1,'Bonding Program'!$H$37&gt;'Bonding Program'!$C$8,BG$3='Bonding Program'!$H$37),'Bonding Program'!$T$37-'Bonding Program'!$U$37-'Bonding Program'!$Z$37,0)-IF(AND('Bonding Program'!$S$37=1,'Bonding Program'!$H$37&lt;='Bonding Program'!$C$8,BG$3=IF('Bonding Program'!$P$37&lt;&gt;"",'Bonding Program'!$P$37,'Bonding Program'!$C$8)),'Bonding Program'!$Z$37,0)+IF(AND('Bonding Program'!$P$37&lt;&gt;"",BG$3='Bonding Program'!$P$37,BG$3&lt;='Bonding Program'!$C$8),N('Bonding Program'!$O$37),0)</f>
        <v>0</v>
      </c>
      <c r="BH178" s="19" t="n">
        <f aca="false">IF(AND('Bonding Program'!$S$37=1,'Bonding Program'!$H$37&gt;'Bonding Program'!$C$8,BH$3='Bonding Program'!$H$37),'Bonding Program'!$T$37-'Bonding Program'!$U$37-'Bonding Program'!$Z$37,0)-IF(AND('Bonding Program'!$S$37=1,'Bonding Program'!$H$37&lt;='Bonding Program'!$C$8,BH$3=IF('Bonding Program'!$P$37&lt;&gt;"",'Bonding Program'!$P$37,'Bonding Program'!$C$8)),'Bonding Program'!$Z$37,0)+IF(AND('Bonding Program'!$P$37&lt;&gt;"",BH$3='Bonding Program'!$P$37,BH$3&lt;='Bonding Program'!$C$8),N('Bonding Program'!$O$37),0)</f>
        <v>0</v>
      </c>
      <c r="BI178" s="19" t="n">
        <f aca="false">IF(AND('Bonding Program'!$S$37=1,'Bonding Program'!$H$37&gt;'Bonding Program'!$C$8,BI$3='Bonding Program'!$H$37),'Bonding Program'!$T$37-'Bonding Program'!$U$37-'Bonding Program'!$Z$37,0)-IF(AND('Bonding Program'!$S$37=1,'Bonding Program'!$H$37&lt;='Bonding Program'!$C$8,BI$3=IF('Bonding Program'!$P$37&lt;&gt;"",'Bonding Program'!$P$37,'Bonding Program'!$C$8)),'Bonding Program'!$Z$37,0)+IF(AND('Bonding Program'!$P$37&lt;&gt;"",BI$3='Bonding Program'!$P$37,BI$3&lt;='Bonding Program'!$C$8),N('Bonding Program'!$O$37),0)</f>
        <v>0</v>
      </c>
      <c r="BJ178" s="19" t="n">
        <f aca="false">IF(AND('Bonding Program'!$S$37=1,'Bonding Program'!$H$37&gt;'Bonding Program'!$C$8,BJ$3='Bonding Program'!$H$37),'Bonding Program'!$T$37-'Bonding Program'!$U$37-'Bonding Program'!$Z$37,0)-IF(AND('Bonding Program'!$S$37=1,'Bonding Program'!$H$37&lt;='Bonding Program'!$C$8,BJ$3=IF('Bonding Program'!$P$37&lt;&gt;"",'Bonding Program'!$P$37,'Bonding Program'!$C$8)),'Bonding Program'!$Z$37,0)+IF(AND('Bonding Program'!$P$37&lt;&gt;"",BJ$3='Bonding Program'!$P$37,BJ$3&lt;='Bonding Program'!$C$8),N('Bonding Program'!$O$37),0)</f>
        <v>0</v>
      </c>
      <c r="BK178" s="19" t="n">
        <f aca="false">IF(AND('Bonding Program'!$S$37=1,'Bonding Program'!$H$37&gt;'Bonding Program'!$C$8,BK$3='Bonding Program'!$H$37),'Bonding Program'!$T$37-'Bonding Program'!$U$37-'Bonding Program'!$Z$37,0)-IF(AND('Bonding Program'!$S$37=1,'Bonding Program'!$H$37&lt;='Bonding Program'!$C$8,BK$3=IF('Bonding Program'!$P$37&lt;&gt;"",'Bonding Program'!$P$37,'Bonding Program'!$C$8)),'Bonding Program'!$Z$37,0)+IF(AND('Bonding Program'!$P$37&lt;&gt;"",BK$3='Bonding Program'!$P$37,BK$3&lt;='Bonding Program'!$C$8),N('Bonding Program'!$O$37),0)</f>
        <v>0</v>
      </c>
      <c r="BL178" s="19" t="n">
        <f aca="false">IF(AND('Bonding Program'!$S$37=1,'Bonding Program'!$H$37&gt;'Bonding Program'!$C$8,BL$3='Bonding Program'!$H$37),'Bonding Program'!$T$37-'Bonding Program'!$U$37-'Bonding Program'!$Z$37,0)-IF(AND('Bonding Program'!$S$37=1,'Bonding Program'!$H$37&lt;='Bonding Program'!$C$8,BL$3=IF('Bonding Program'!$P$37&lt;&gt;"",'Bonding Program'!$P$37,'Bonding Program'!$C$8)),'Bonding Program'!$Z$37,0)+IF(AND('Bonding Program'!$P$37&lt;&gt;"",BL$3='Bonding Program'!$P$37,BL$3&lt;='Bonding Program'!$C$8),N('Bonding Program'!$O$37),0)</f>
        <v>0</v>
      </c>
      <c r="BM178" s="19" t="n">
        <f aca="false">IF(AND('Bonding Program'!$S$37=1,'Bonding Program'!$H$37&gt;'Bonding Program'!$C$8,BM$3='Bonding Program'!$H$37),'Bonding Program'!$T$37-'Bonding Program'!$U$37-'Bonding Program'!$Z$37,0)-IF(AND('Bonding Program'!$S$37=1,'Bonding Program'!$H$37&lt;='Bonding Program'!$C$8,BM$3=IF('Bonding Program'!$P$37&lt;&gt;"",'Bonding Program'!$P$37,'Bonding Program'!$C$8)),'Bonding Program'!$Z$37,0)+IF(AND('Bonding Program'!$P$37&lt;&gt;"",BM$3='Bonding Program'!$P$37,BM$3&lt;='Bonding Program'!$C$8),N('Bonding Program'!$O$37),0)</f>
        <v>0</v>
      </c>
      <c r="BN178" s="19" t="n">
        <f aca="false">IF(AND('Bonding Program'!$S$37=1,'Bonding Program'!$H$37&gt;'Bonding Program'!$C$8,BN$3='Bonding Program'!$H$37),'Bonding Program'!$T$37-'Bonding Program'!$U$37-'Bonding Program'!$Z$37,0)-IF(AND('Bonding Program'!$S$37=1,'Bonding Program'!$H$37&lt;='Bonding Program'!$C$8,BN$3=IF('Bonding Program'!$P$37&lt;&gt;"",'Bonding Program'!$P$37,'Bonding Program'!$C$8)),'Bonding Program'!$Z$37,0)+IF(AND('Bonding Program'!$P$37&lt;&gt;"",BN$3='Bonding Program'!$P$37,BN$3&lt;='Bonding Program'!$C$8),N('Bonding Program'!$O$37),0)</f>
        <v>0</v>
      </c>
      <c r="BO178" s="19" t="n">
        <f aca="false">IF(AND('Bonding Program'!$S$37=1,'Bonding Program'!$H$37&gt;'Bonding Program'!$C$8,BO$3='Bonding Program'!$H$37),'Bonding Program'!$T$37-'Bonding Program'!$U$37-'Bonding Program'!$Z$37,0)-IF(AND('Bonding Program'!$S$37=1,'Bonding Program'!$H$37&lt;='Bonding Program'!$C$8,BO$3=IF('Bonding Program'!$P$37&lt;&gt;"",'Bonding Program'!$P$37,'Bonding Program'!$C$8)),'Bonding Program'!$Z$37,0)+IF(AND('Bonding Program'!$P$37&lt;&gt;"",BO$3='Bonding Program'!$P$37,BO$3&lt;='Bonding Program'!$C$8),N('Bonding Program'!$O$37),0)</f>
        <v>0</v>
      </c>
      <c r="BP178" s="19" t="n">
        <f aca="false">IF(AND('Bonding Program'!$S$37=1,'Bonding Program'!$H$37&gt;'Bonding Program'!$C$8,BP$3='Bonding Program'!$H$37),'Bonding Program'!$T$37-'Bonding Program'!$U$37-'Bonding Program'!$Z$37,0)-IF(AND('Bonding Program'!$S$37=1,'Bonding Program'!$H$37&lt;='Bonding Program'!$C$8,BP$3=IF('Bonding Program'!$P$37&lt;&gt;"",'Bonding Program'!$P$37,'Bonding Program'!$C$8)),'Bonding Program'!$Z$37,0)+IF(AND('Bonding Program'!$P$37&lt;&gt;"",BP$3='Bonding Program'!$P$37,BP$3&lt;='Bonding Program'!$C$8),N('Bonding Program'!$O$37),0)</f>
        <v>0</v>
      </c>
      <c r="BQ178" s="19" t="n">
        <f aca="false">IF(AND('Bonding Program'!$S$37=1,'Bonding Program'!$H$37&gt;'Bonding Program'!$C$8,BQ$3='Bonding Program'!$H$37),'Bonding Program'!$T$37-'Bonding Program'!$U$37-'Bonding Program'!$Z$37,0)-IF(AND('Bonding Program'!$S$37=1,'Bonding Program'!$H$37&lt;='Bonding Program'!$C$8,BQ$3=IF('Bonding Program'!$P$37&lt;&gt;"",'Bonding Program'!$P$37,'Bonding Program'!$C$8)),'Bonding Program'!$Z$37,0)+IF(AND('Bonding Program'!$P$37&lt;&gt;"",BQ$3='Bonding Program'!$P$37,BQ$3&lt;='Bonding Program'!$C$8),N('Bonding Program'!$O$37),0)</f>
        <v>0</v>
      </c>
      <c r="BR178" s="19" t="n">
        <f aca="false">IF(AND('Bonding Program'!$S$37=1,'Bonding Program'!$H$37&gt;'Bonding Program'!$C$8,BR$3='Bonding Program'!$H$37),'Bonding Program'!$T$37-'Bonding Program'!$U$37-'Bonding Program'!$Z$37,0)-IF(AND('Bonding Program'!$S$37=1,'Bonding Program'!$H$37&lt;='Bonding Program'!$C$8,BR$3=IF('Bonding Program'!$P$37&lt;&gt;"",'Bonding Program'!$P$37,'Bonding Program'!$C$8)),'Bonding Program'!$Z$37,0)+IF(AND('Bonding Program'!$P$37&lt;&gt;"",BR$3='Bonding Program'!$P$37,BR$3&lt;='Bonding Program'!$C$8),N('Bonding Program'!$O$37),0)</f>
        <v>0</v>
      </c>
      <c r="BS178" s="19" t="n">
        <f aca="false">IF(AND('Bonding Program'!$S$37=1,'Bonding Program'!$H$37&gt;'Bonding Program'!$C$8,BS$3='Bonding Program'!$H$37),'Bonding Program'!$T$37-'Bonding Program'!$U$37-'Bonding Program'!$Z$37,0)-IF(AND('Bonding Program'!$S$37=1,'Bonding Program'!$H$37&lt;='Bonding Program'!$C$8,BS$3=IF('Bonding Program'!$P$37&lt;&gt;"",'Bonding Program'!$P$37,'Bonding Program'!$C$8)),'Bonding Program'!$Z$37,0)+IF(AND('Bonding Program'!$P$37&lt;&gt;"",BS$3='Bonding Program'!$P$37,BS$3&lt;='Bonding Program'!$C$8),N('Bonding Program'!$O$37),0)</f>
        <v>0</v>
      </c>
      <c r="BT178" s="19" t="n">
        <f aca="false">IF(AND('Bonding Program'!$S$37=1,'Bonding Program'!$H$37&gt;'Bonding Program'!$C$8,BT$3='Bonding Program'!$H$37),'Bonding Program'!$T$37-'Bonding Program'!$U$37-'Bonding Program'!$Z$37,0)-IF(AND('Bonding Program'!$S$37=1,'Bonding Program'!$H$37&lt;='Bonding Program'!$C$8,BT$3=IF('Bonding Program'!$P$37&lt;&gt;"",'Bonding Program'!$P$37,'Bonding Program'!$C$8)),'Bonding Program'!$Z$37,0)+IF(AND('Bonding Program'!$P$37&lt;&gt;"",BT$3='Bonding Program'!$P$37,BT$3&lt;='Bonding Program'!$C$8),N('Bonding Program'!$O$37),0)</f>
        <v>0</v>
      </c>
      <c r="BU178" s="19" t="n">
        <f aca="false">IF(AND('Bonding Program'!$S$37=1,'Bonding Program'!$H$37&gt;'Bonding Program'!$C$8,BU$3='Bonding Program'!$H$37),'Bonding Program'!$T$37-'Bonding Program'!$U$37-'Bonding Program'!$Z$37,0)-IF(AND('Bonding Program'!$S$37=1,'Bonding Program'!$H$37&lt;='Bonding Program'!$C$8,BU$3=IF('Bonding Program'!$P$37&lt;&gt;"",'Bonding Program'!$P$37,'Bonding Program'!$C$8)),'Bonding Program'!$Z$37,0)+IF(AND('Bonding Program'!$P$37&lt;&gt;"",BU$3='Bonding Program'!$P$37,BU$3&lt;='Bonding Program'!$C$8),N('Bonding Program'!$O$37),0)</f>
        <v>0</v>
      </c>
      <c r="BV178" s="19" t="n">
        <f aca="false">IF(AND('Bonding Program'!$S$37=1,'Bonding Program'!$H$37&gt;'Bonding Program'!$C$8,BV$3='Bonding Program'!$H$37),'Bonding Program'!$T$37-'Bonding Program'!$U$37-'Bonding Program'!$Z$37,0)-IF(AND('Bonding Program'!$S$37=1,'Bonding Program'!$H$37&lt;='Bonding Program'!$C$8,BV$3=IF('Bonding Program'!$P$37&lt;&gt;"",'Bonding Program'!$P$37,'Bonding Program'!$C$8)),'Bonding Program'!$Z$37,0)+IF(AND('Bonding Program'!$P$37&lt;&gt;"",BV$3='Bonding Program'!$P$37,BV$3&lt;='Bonding Program'!$C$8),N('Bonding Program'!$O$37),0)</f>
        <v>0</v>
      </c>
      <c r="BW178" s="19" t="n">
        <f aca="false">IF(AND('Bonding Program'!$S$37=1,'Bonding Program'!$H$37&gt;'Bonding Program'!$C$8,BW$3='Bonding Program'!$H$37),'Bonding Program'!$T$37-'Bonding Program'!$U$37-'Bonding Program'!$Z$37,0)-IF(AND('Bonding Program'!$S$37=1,'Bonding Program'!$H$37&lt;='Bonding Program'!$C$8,BW$3=IF('Bonding Program'!$P$37&lt;&gt;"",'Bonding Program'!$P$37,'Bonding Program'!$C$8)),'Bonding Program'!$Z$37,0)+IF(AND('Bonding Program'!$P$37&lt;&gt;"",BW$3='Bonding Program'!$P$37,BW$3&lt;='Bonding Program'!$C$8),N('Bonding Program'!$O$37),0)</f>
        <v>0</v>
      </c>
      <c r="BX178" s="19" t="n">
        <f aca="false">IF(AND('Bonding Program'!$S$37=1,'Bonding Program'!$H$37&gt;'Bonding Program'!$C$8,BX$3='Bonding Program'!$H$37),'Bonding Program'!$T$37-'Bonding Program'!$U$37-'Bonding Program'!$Z$37,0)-IF(AND('Bonding Program'!$S$37=1,'Bonding Program'!$H$37&lt;='Bonding Program'!$C$8,BX$3=IF('Bonding Program'!$P$37&lt;&gt;"",'Bonding Program'!$P$37,'Bonding Program'!$C$8)),'Bonding Program'!$Z$37,0)+IF(AND('Bonding Program'!$P$37&lt;&gt;"",BX$3='Bonding Program'!$P$37,BX$3&lt;='Bonding Program'!$C$8),N('Bonding Program'!$O$37),0)</f>
        <v>0</v>
      </c>
      <c r="BY178" s="19" t="n">
        <f aca="false">IF(AND('Bonding Program'!$S$37=1,'Bonding Program'!$H$37&gt;'Bonding Program'!$C$8,BY$3='Bonding Program'!$H$37),'Bonding Program'!$T$37-'Bonding Program'!$U$37-'Bonding Program'!$Z$37,0)-IF(AND('Bonding Program'!$S$37=1,'Bonding Program'!$H$37&lt;='Bonding Program'!$C$8,BY$3=IF('Bonding Program'!$P$37&lt;&gt;"",'Bonding Program'!$P$37,'Bonding Program'!$C$8)),'Bonding Program'!$Z$37,0)+IF(AND('Bonding Program'!$P$37&lt;&gt;"",BY$3='Bonding Program'!$P$37,BY$3&lt;='Bonding Program'!$C$8),N('Bonding Program'!$O$37),0)</f>
        <v>0</v>
      </c>
      <c r="BZ178" s="19" t="n">
        <f aca="false">IF(AND('Bonding Program'!$S$37=1,'Bonding Program'!$H$37&gt;'Bonding Program'!$C$8,BZ$3='Bonding Program'!$H$37),'Bonding Program'!$T$37-'Bonding Program'!$U$37-'Bonding Program'!$Z$37,0)-IF(AND('Bonding Program'!$S$37=1,'Bonding Program'!$H$37&lt;='Bonding Program'!$C$8,BZ$3=IF('Bonding Program'!$P$37&lt;&gt;"",'Bonding Program'!$P$37,'Bonding Program'!$C$8)),'Bonding Program'!$Z$37,0)+IF(AND('Bonding Program'!$P$37&lt;&gt;"",BZ$3='Bonding Program'!$P$37,BZ$3&lt;='Bonding Program'!$C$8),N('Bonding Program'!$O$37),0)</f>
        <v>0</v>
      </c>
      <c r="CA178" s="19" t="n">
        <f aca="false">IF(AND('Bonding Program'!$S$37=1,'Bonding Program'!$H$37&gt;'Bonding Program'!$C$8,CA$3='Bonding Program'!$H$37),'Bonding Program'!$T$37-'Bonding Program'!$U$37-'Bonding Program'!$Z$37,0)-IF(AND('Bonding Program'!$S$37=1,'Bonding Program'!$H$37&lt;='Bonding Program'!$C$8,CA$3=IF('Bonding Program'!$P$37&lt;&gt;"",'Bonding Program'!$P$37,'Bonding Program'!$C$8)),'Bonding Program'!$Z$37,0)+IF(AND('Bonding Program'!$P$37&lt;&gt;"",CA$3='Bonding Program'!$P$37,CA$3&lt;='Bonding Program'!$C$8),N('Bonding Program'!$O$37),0)</f>
        <v>0</v>
      </c>
      <c r="CB178" s="19" t="n">
        <f aca="false">IF(AND('Bonding Program'!$S$37=1,'Bonding Program'!$H$37&gt;'Bonding Program'!$C$8,CB$3='Bonding Program'!$H$37),'Bonding Program'!$T$37-'Bonding Program'!$U$37-'Bonding Program'!$Z$37,0)-IF(AND('Bonding Program'!$S$37=1,'Bonding Program'!$H$37&lt;='Bonding Program'!$C$8,CB$3=IF('Bonding Program'!$P$37&lt;&gt;"",'Bonding Program'!$P$37,'Bonding Program'!$C$8)),'Bonding Program'!$Z$37,0)+IF(AND('Bonding Program'!$P$37&lt;&gt;"",CB$3='Bonding Program'!$P$37,CB$3&lt;='Bonding Program'!$C$8),N('Bonding Program'!$O$37),0)</f>
        <v>0</v>
      </c>
      <c r="CC178" s="19" t="n">
        <f aca="false">IF(AND('Bonding Program'!$S$37=1,'Bonding Program'!$H$37&gt;'Bonding Program'!$C$8,CC$3='Bonding Program'!$H$37),'Bonding Program'!$T$37-'Bonding Program'!$U$37-'Bonding Program'!$Z$37,0)-IF(AND('Bonding Program'!$S$37=1,'Bonding Program'!$H$37&lt;='Bonding Program'!$C$8,CC$3=IF('Bonding Program'!$P$37&lt;&gt;"",'Bonding Program'!$P$37,'Bonding Program'!$C$8)),'Bonding Program'!$Z$37,0)+IF(AND('Bonding Program'!$P$37&lt;&gt;"",CC$3='Bonding Program'!$P$37,CC$3&lt;='Bonding Program'!$C$8),N('Bonding Program'!$O$37),0)</f>
        <v>0</v>
      </c>
      <c r="CD178" s="19" t="n">
        <f aca="false">IF(AND('Bonding Program'!$S$37=1,'Bonding Program'!$H$37&gt;'Bonding Program'!$C$8,CD$3='Bonding Program'!$H$37),'Bonding Program'!$T$37-'Bonding Program'!$U$37-'Bonding Program'!$Z$37,0)-IF(AND('Bonding Program'!$S$37=1,'Bonding Program'!$H$37&lt;='Bonding Program'!$C$8,CD$3=IF('Bonding Program'!$P$37&lt;&gt;"",'Bonding Program'!$P$37,'Bonding Program'!$C$8)),'Bonding Program'!$Z$37,0)+IF(AND('Bonding Program'!$P$37&lt;&gt;"",CD$3='Bonding Program'!$P$37,CD$3&lt;='Bonding Program'!$C$8),N('Bonding Program'!$O$37),0)</f>
        <v>0</v>
      </c>
      <c r="CE178" s="19" t="n">
        <f aca="false">IF(AND('Bonding Program'!$S$37=1,'Bonding Program'!$H$37&gt;'Bonding Program'!$C$8,CE$3='Bonding Program'!$H$37),'Bonding Program'!$T$37-'Bonding Program'!$U$37-'Bonding Program'!$Z$37,0)-IF(AND('Bonding Program'!$S$37=1,'Bonding Program'!$H$37&lt;='Bonding Program'!$C$8,CE$3=IF('Bonding Program'!$P$37&lt;&gt;"",'Bonding Program'!$P$37,'Bonding Program'!$C$8)),'Bonding Program'!$Z$37,0)+IF(AND('Bonding Program'!$P$37&lt;&gt;"",CE$3='Bonding Program'!$P$37,CE$3&lt;='Bonding Program'!$C$8),N('Bonding Program'!$O$37),0)</f>
        <v>0</v>
      </c>
      <c r="CF178" s="19" t="n">
        <f aca="false">IF(AND('Bonding Program'!$S$37=1,'Bonding Program'!$H$37&gt;'Bonding Program'!$C$8,CF$3='Bonding Program'!$H$37),'Bonding Program'!$T$37-'Bonding Program'!$U$37-'Bonding Program'!$Z$37,0)-IF(AND('Bonding Program'!$S$37=1,'Bonding Program'!$H$37&lt;='Bonding Program'!$C$8,CF$3=IF('Bonding Program'!$P$37&lt;&gt;"",'Bonding Program'!$P$37,'Bonding Program'!$C$8)),'Bonding Program'!$Z$37,0)+IF(AND('Bonding Program'!$P$37&lt;&gt;"",CF$3='Bonding Program'!$P$37,CF$3&lt;='Bonding Program'!$C$8),N('Bonding Program'!$O$37),0)</f>
        <v>0</v>
      </c>
      <c r="CG178" s="19" t="n">
        <f aca="false">IF(AND('Bonding Program'!$S$37=1,'Bonding Program'!$H$37&gt;'Bonding Program'!$C$8,CG$3='Bonding Program'!$H$37),'Bonding Program'!$T$37-'Bonding Program'!$U$37-'Bonding Program'!$Z$37,0)-IF(AND('Bonding Program'!$S$37=1,'Bonding Program'!$H$37&lt;='Bonding Program'!$C$8,CG$3=IF('Bonding Program'!$P$37&lt;&gt;"",'Bonding Program'!$P$37,'Bonding Program'!$C$8)),'Bonding Program'!$Z$37,0)+IF(AND('Bonding Program'!$P$37&lt;&gt;"",CG$3='Bonding Program'!$P$37,CG$3&lt;='Bonding Program'!$C$8),N('Bonding Program'!$O$37),0)</f>
        <v>0</v>
      </c>
      <c r="CH178" s="19" t="n">
        <f aca="false">IF(AND('Bonding Program'!$S$37=1,'Bonding Program'!$H$37&gt;'Bonding Program'!$C$8,CH$3='Bonding Program'!$H$37),'Bonding Program'!$T$37-'Bonding Program'!$U$37-'Bonding Program'!$Z$37,0)-IF(AND('Bonding Program'!$S$37=1,'Bonding Program'!$H$37&lt;='Bonding Program'!$C$8,CH$3=IF('Bonding Program'!$P$37&lt;&gt;"",'Bonding Program'!$P$37,'Bonding Program'!$C$8)),'Bonding Program'!$Z$37,0)+IF(AND('Bonding Program'!$P$37&lt;&gt;"",CH$3='Bonding Program'!$P$37,CH$3&lt;='Bonding Program'!$C$8),N('Bonding Program'!$O$37),0)</f>
        <v>0</v>
      </c>
      <c r="CI178" s="19" t="n">
        <f aca="false">IF(AND('Bonding Program'!$S$37=1,'Bonding Program'!$H$37&gt;'Bonding Program'!$C$8,CI$3='Bonding Program'!$H$37),'Bonding Program'!$T$37-'Bonding Program'!$U$37-'Bonding Program'!$Z$37,0)-IF(AND('Bonding Program'!$S$37=1,'Bonding Program'!$H$37&lt;='Bonding Program'!$C$8,CI$3=IF('Bonding Program'!$P$37&lt;&gt;"",'Bonding Program'!$P$37,'Bonding Program'!$C$8)),'Bonding Program'!$Z$37,0)+IF(AND('Bonding Program'!$P$37&lt;&gt;"",CI$3='Bonding Program'!$P$37,CI$3&lt;='Bonding Program'!$C$8),N('Bonding Program'!$O$37),0)</f>
        <v>0</v>
      </c>
      <c r="CJ178" s="19" t="n">
        <f aca="false">IF(AND('Bonding Program'!$S$37=1,'Bonding Program'!$H$37&gt;'Bonding Program'!$C$8,CJ$3='Bonding Program'!$H$37),'Bonding Program'!$T$37-'Bonding Program'!$U$37-'Bonding Program'!$Z$37,0)-IF(AND('Bonding Program'!$S$37=1,'Bonding Program'!$H$37&lt;='Bonding Program'!$C$8,CJ$3=IF('Bonding Program'!$P$37&lt;&gt;"",'Bonding Program'!$P$37,'Bonding Program'!$C$8)),'Bonding Program'!$Z$37,0)+IF(AND('Bonding Program'!$P$37&lt;&gt;"",CJ$3='Bonding Program'!$P$37,CJ$3&lt;='Bonding Program'!$C$8),N('Bonding Program'!$O$37),0)</f>
        <v>0</v>
      </c>
      <c r="CK178" s="19" t="n">
        <f aca="false">IF(AND('Bonding Program'!$S$37=1,'Bonding Program'!$H$37&gt;'Bonding Program'!$C$8,CK$3='Bonding Program'!$H$37),'Bonding Program'!$T$37-'Bonding Program'!$U$37-'Bonding Program'!$Z$37,0)-IF(AND('Bonding Program'!$S$37=1,'Bonding Program'!$H$37&lt;='Bonding Program'!$C$8,CK$3=IF('Bonding Program'!$P$37&lt;&gt;"",'Bonding Program'!$P$37,'Bonding Program'!$C$8)),'Bonding Program'!$Z$37,0)+IF(AND('Bonding Program'!$P$37&lt;&gt;"",CK$3='Bonding Program'!$P$37,CK$3&lt;='Bonding Program'!$C$8),N('Bonding Program'!$O$37),0)</f>
        <v>0</v>
      </c>
      <c r="CL178" s="19" t="n">
        <f aca="false">IF(AND('Bonding Program'!$S$37=1,'Bonding Program'!$H$37&gt;'Bonding Program'!$C$8,CL$3='Bonding Program'!$H$37),'Bonding Program'!$T$37-'Bonding Program'!$U$37-'Bonding Program'!$Z$37,0)-IF(AND('Bonding Program'!$S$37=1,'Bonding Program'!$H$37&lt;='Bonding Program'!$C$8,CL$3=IF('Bonding Program'!$P$37&lt;&gt;"",'Bonding Program'!$P$37,'Bonding Program'!$C$8)),'Bonding Program'!$Z$37,0)+IF(AND('Bonding Program'!$P$37&lt;&gt;"",CL$3='Bonding Program'!$P$37,CL$3&lt;='Bonding Program'!$C$8),N('Bonding Program'!$O$37),0)</f>
        <v>0</v>
      </c>
      <c r="CM178" s="19" t="n">
        <f aca="false">IF(AND('Bonding Program'!$S$37=1,'Bonding Program'!$H$37&gt;'Bonding Program'!$C$8,CM$3='Bonding Program'!$H$37),'Bonding Program'!$T$37-'Bonding Program'!$U$37-'Bonding Program'!$Z$37,0)-IF(AND('Bonding Program'!$S$37=1,'Bonding Program'!$H$37&lt;='Bonding Program'!$C$8,CM$3=IF('Bonding Program'!$P$37&lt;&gt;"",'Bonding Program'!$P$37,'Bonding Program'!$C$8)),'Bonding Program'!$Z$37,0)+IF(AND('Bonding Program'!$P$37&lt;&gt;"",CM$3='Bonding Program'!$P$37,CM$3&lt;='Bonding Program'!$C$8),N('Bonding Program'!$O$37),0)</f>
        <v>0</v>
      </c>
      <c r="CN178" s="19" t="n">
        <f aca="false">IF(AND('Bonding Program'!$S$37=1,'Bonding Program'!$H$37&gt;'Bonding Program'!$C$8,CN$3='Bonding Program'!$H$37),'Bonding Program'!$T$37-'Bonding Program'!$U$37-'Bonding Program'!$Z$37,0)-IF(AND('Bonding Program'!$S$37=1,'Bonding Program'!$H$37&lt;='Bonding Program'!$C$8,CN$3=IF('Bonding Program'!$P$37&lt;&gt;"",'Bonding Program'!$P$37,'Bonding Program'!$C$8)),'Bonding Program'!$Z$37,0)+IF(AND('Bonding Program'!$P$37&lt;&gt;"",CN$3='Bonding Program'!$P$37,CN$3&lt;='Bonding Program'!$C$8),N('Bonding Program'!$O$37),0)</f>
        <v>0</v>
      </c>
      <c r="CO178" s="19" t="n">
        <f aca="false">IF(AND('Bonding Program'!$S$37=1,'Bonding Program'!$H$37&gt;'Bonding Program'!$C$8,CO$3='Bonding Program'!$H$37),'Bonding Program'!$T$37-'Bonding Program'!$U$37-'Bonding Program'!$Z$37,0)-IF(AND('Bonding Program'!$S$37=1,'Bonding Program'!$H$37&lt;='Bonding Program'!$C$8,CO$3=IF('Bonding Program'!$P$37&lt;&gt;"",'Bonding Program'!$P$37,'Bonding Program'!$C$8)),'Bonding Program'!$Z$37,0)+IF(AND('Bonding Program'!$P$37&lt;&gt;"",CO$3='Bonding Program'!$P$37,CO$3&lt;='Bonding Program'!$C$8),N('Bonding Program'!$O$37),0)</f>
        <v>0</v>
      </c>
      <c r="CP178" s="19" t="n">
        <f aca="false">IF(AND('Bonding Program'!$S$37=1,'Bonding Program'!$H$37&gt;'Bonding Program'!$C$8,CP$3='Bonding Program'!$H$37),'Bonding Program'!$T$37-'Bonding Program'!$U$37-'Bonding Program'!$Z$37,0)-IF(AND('Bonding Program'!$S$37=1,'Bonding Program'!$H$37&lt;='Bonding Program'!$C$8,CP$3=IF('Bonding Program'!$P$37&lt;&gt;"",'Bonding Program'!$P$37,'Bonding Program'!$C$8)),'Bonding Program'!$Z$37,0)+IF(AND('Bonding Program'!$P$37&lt;&gt;"",CP$3='Bonding Program'!$P$37,CP$3&lt;='Bonding Program'!$C$8),N('Bonding Program'!$O$37),0)</f>
        <v>0</v>
      </c>
      <c r="CQ178" s="19" t="n">
        <f aca="false">IF(AND('Bonding Program'!$S$37=1,'Bonding Program'!$H$37&gt;'Bonding Program'!$C$8,CQ$3='Bonding Program'!$H$37),'Bonding Program'!$T$37-'Bonding Program'!$U$37-'Bonding Program'!$Z$37,0)-IF(AND('Bonding Program'!$S$37=1,'Bonding Program'!$H$37&lt;='Bonding Program'!$C$8,CQ$3=IF('Bonding Program'!$P$37&lt;&gt;"",'Bonding Program'!$P$37,'Bonding Program'!$C$8)),'Bonding Program'!$Z$37,0)+IF(AND('Bonding Program'!$P$37&lt;&gt;"",CQ$3='Bonding Program'!$P$37,CQ$3&lt;='Bonding Program'!$C$8),N('Bonding Program'!$O$37),0)</f>
        <v>0</v>
      </c>
      <c r="CR178" s="19" t="n">
        <f aca="false">IF(AND('Bonding Program'!$S$37=1,'Bonding Program'!$H$37&gt;'Bonding Program'!$C$8,CR$3='Bonding Program'!$H$37),'Bonding Program'!$T$37-'Bonding Program'!$U$37-'Bonding Program'!$Z$37,0)-IF(AND('Bonding Program'!$S$37=1,'Bonding Program'!$H$37&lt;='Bonding Program'!$C$8,CR$3=IF('Bonding Program'!$P$37&lt;&gt;"",'Bonding Program'!$P$37,'Bonding Program'!$C$8)),'Bonding Program'!$Z$37,0)+IF(AND('Bonding Program'!$P$37&lt;&gt;"",CR$3='Bonding Program'!$P$37,CR$3&lt;='Bonding Program'!$C$8),N('Bonding Program'!$O$37),0)</f>
        <v>0</v>
      </c>
      <c r="CS178" s="19" t="n">
        <f aca="false">IF(AND('Bonding Program'!$S$37=1,'Bonding Program'!$H$37&gt;'Bonding Program'!$C$8,CS$3='Bonding Program'!$H$37),'Bonding Program'!$T$37-'Bonding Program'!$U$37-'Bonding Program'!$Z$37,0)-IF(AND('Bonding Program'!$S$37=1,'Bonding Program'!$H$37&lt;='Bonding Program'!$C$8,CS$3=IF('Bonding Program'!$P$37&lt;&gt;"",'Bonding Program'!$P$37,'Bonding Program'!$C$8)),'Bonding Program'!$Z$37,0)+IF(AND('Bonding Program'!$P$37&lt;&gt;"",CS$3='Bonding Program'!$P$37,CS$3&lt;='Bonding Program'!$C$8),N('Bonding Program'!$O$37),0)</f>
        <v>0</v>
      </c>
      <c r="CT178" s="19" t="n">
        <f aca="false">IF(AND('Bonding Program'!$S$37=1,'Bonding Program'!$H$37&gt;'Bonding Program'!$C$8,CT$3='Bonding Program'!$H$37),'Bonding Program'!$T$37-'Bonding Program'!$U$37-'Bonding Program'!$Z$37,0)-IF(AND('Bonding Program'!$S$37=1,'Bonding Program'!$H$37&lt;='Bonding Program'!$C$8,CT$3=IF('Bonding Program'!$P$37&lt;&gt;"",'Bonding Program'!$P$37,'Bonding Program'!$C$8)),'Bonding Program'!$Z$37,0)+IF(AND('Bonding Program'!$P$37&lt;&gt;"",CT$3='Bonding Program'!$P$37,CT$3&lt;='Bonding Program'!$C$8),N('Bonding Program'!$O$37),0)</f>
        <v>0</v>
      </c>
      <c r="CU178" s="19" t="n">
        <f aca="false">IF(AND('Bonding Program'!$S$37=1,'Bonding Program'!$H$37&gt;'Bonding Program'!$C$8,CU$3='Bonding Program'!$H$37),'Bonding Program'!$T$37-'Bonding Program'!$U$37-'Bonding Program'!$Z$37,0)-IF(AND('Bonding Program'!$S$37=1,'Bonding Program'!$H$37&lt;='Bonding Program'!$C$8,CU$3=IF('Bonding Program'!$P$37&lt;&gt;"",'Bonding Program'!$P$37,'Bonding Program'!$C$8)),'Bonding Program'!$Z$37,0)+IF(AND('Bonding Program'!$P$37&lt;&gt;"",CU$3='Bonding Program'!$P$37,CU$3&lt;='Bonding Program'!$C$8),N('Bonding Program'!$O$37),0)</f>
        <v>0</v>
      </c>
      <c r="CV178" s="19" t="n">
        <f aca="false">IF(AND('Bonding Program'!$S$37=1,'Bonding Program'!$H$37&gt;'Bonding Program'!$C$8,CV$3='Bonding Program'!$H$37),'Bonding Program'!$T$37-'Bonding Program'!$U$37-'Bonding Program'!$Z$37,0)-IF(AND('Bonding Program'!$S$37=1,'Bonding Program'!$H$37&lt;='Bonding Program'!$C$8,CV$3=IF('Bonding Program'!$P$37&lt;&gt;"",'Bonding Program'!$P$37,'Bonding Program'!$C$8)),'Bonding Program'!$Z$37,0)+IF(AND('Bonding Program'!$P$37&lt;&gt;"",CV$3='Bonding Program'!$P$37,CV$3&lt;='Bonding Program'!$C$8),N('Bonding Program'!$O$37),0)</f>
        <v>0</v>
      </c>
      <c r="CW178" s="19" t="n">
        <f aca="false">IF(AND('Bonding Program'!$S$37=1,'Bonding Program'!$H$37&gt;'Bonding Program'!$C$8,CW$3='Bonding Program'!$H$37),'Bonding Program'!$T$37-'Bonding Program'!$U$37-'Bonding Program'!$Z$37,0)-IF(AND('Bonding Program'!$S$37=1,'Bonding Program'!$H$37&lt;='Bonding Program'!$C$8,CW$3=IF('Bonding Program'!$P$37&lt;&gt;"",'Bonding Program'!$P$37,'Bonding Program'!$C$8)),'Bonding Program'!$Z$37,0)+IF(AND('Bonding Program'!$P$37&lt;&gt;"",CW$3='Bonding Program'!$P$37,CW$3&lt;='Bonding Program'!$C$8),N('Bonding Program'!$O$37),0)</f>
        <v>0</v>
      </c>
      <c r="CX178" s="19" t="n">
        <f aca="false">IF(AND('Bonding Program'!$S$37=1,'Bonding Program'!$H$37&gt;'Bonding Program'!$C$8,CX$3='Bonding Program'!$H$37),'Bonding Program'!$T$37-'Bonding Program'!$U$37-'Bonding Program'!$Z$37,0)-IF(AND('Bonding Program'!$S$37=1,'Bonding Program'!$H$37&lt;='Bonding Program'!$C$8,CX$3=IF('Bonding Program'!$P$37&lt;&gt;"",'Bonding Program'!$P$37,'Bonding Program'!$C$8)),'Bonding Program'!$Z$37,0)+IF(AND('Bonding Program'!$P$37&lt;&gt;"",CX$3='Bonding Program'!$P$37,CX$3&lt;='Bonding Program'!$C$8),N('Bonding Program'!$O$37),0)</f>
        <v>0</v>
      </c>
      <c r="CY178" s="19" t="n">
        <f aca="false">IF(AND('Bonding Program'!$S$37=1,'Bonding Program'!$H$37&gt;'Bonding Program'!$C$8,CY$3='Bonding Program'!$H$37),'Bonding Program'!$T$37-'Bonding Program'!$U$37-'Bonding Program'!$Z$37,0)-IF(AND('Bonding Program'!$S$37=1,'Bonding Program'!$H$37&lt;='Bonding Program'!$C$8,CY$3=IF('Bonding Program'!$P$37&lt;&gt;"",'Bonding Program'!$P$37,'Bonding Program'!$C$8)),'Bonding Program'!$Z$37,0)+IF(AND('Bonding Program'!$P$37&lt;&gt;"",CY$3='Bonding Program'!$P$37,CY$3&lt;='Bonding Program'!$C$8),N('Bonding Program'!$O$37),0)</f>
        <v>0</v>
      </c>
      <c r="CZ178" s="19" t="n">
        <f aca="false">IF(AND('Bonding Program'!$S$37=1,'Bonding Program'!$H$37&gt;'Bonding Program'!$C$8,CZ$3='Bonding Program'!$H$37),'Bonding Program'!$T$37-'Bonding Program'!$U$37-'Bonding Program'!$Z$37,0)-IF(AND('Bonding Program'!$S$37=1,'Bonding Program'!$H$37&lt;='Bonding Program'!$C$8,CZ$3=IF('Bonding Program'!$P$37&lt;&gt;"",'Bonding Program'!$P$37,'Bonding Program'!$C$8)),'Bonding Program'!$Z$37,0)+IF(AND('Bonding Program'!$P$37&lt;&gt;"",CZ$3='Bonding Program'!$P$37,CZ$3&lt;='Bonding Program'!$C$8),N('Bonding Program'!$O$37),0)</f>
        <v>0</v>
      </c>
      <c r="DA178" s="19" t="n">
        <f aca="false">IF(AND('Bonding Program'!$S$37=1,'Bonding Program'!$H$37&gt;'Bonding Program'!$C$8,DA$3='Bonding Program'!$H$37),'Bonding Program'!$T$37-'Bonding Program'!$U$37-'Bonding Program'!$Z$37,0)-IF(AND('Bonding Program'!$S$37=1,'Bonding Program'!$H$37&lt;='Bonding Program'!$C$8,DA$3=IF('Bonding Program'!$P$37&lt;&gt;"",'Bonding Program'!$P$37,'Bonding Program'!$C$8)),'Bonding Program'!$Z$37,0)+IF(AND('Bonding Program'!$P$37&lt;&gt;"",DA$3='Bonding Program'!$P$37,DA$3&lt;='Bonding Program'!$C$8),N('Bonding Program'!$O$37),0)</f>
        <v>0</v>
      </c>
      <c r="DB178" s="19" t="n">
        <f aca="false">IF(AND('Bonding Program'!$S$37=1,'Bonding Program'!$H$37&gt;'Bonding Program'!$C$8,DB$3='Bonding Program'!$H$37),'Bonding Program'!$T$37-'Bonding Program'!$U$37-'Bonding Program'!$Z$37,0)-IF(AND('Bonding Program'!$S$37=1,'Bonding Program'!$H$37&lt;='Bonding Program'!$C$8,DB$3=IF('Bonding Program'!$P$37&lt;&gt;"",'Bonding Program'!$P$37,'Bonding Program'!$C$8)),'Bonding Program'!$Z$37,0)+IF(AND('Bonding Program'!$P$37&lt;&gt;"",DB$3='Bonding Program'!$P$37,DB$3&lt;='Bonding Program'!$C$8),N('Bonding Program'!$O$37),0)</f>
        <v>0</v>
      </c>
      <c r="DC178" s="19" t="n">
        <f aca="false">IF(AND('Bonding Program'!$S$37=1,'Bonding Program'!$H$37&gt;'Bonding Program'!$C$8,DC$3='Bonding Program'!$H$37),'Bonding Program'!$T$37-'Bonding Program'!$U$37-'Bonding Program'!$Z$37,0)-IF(AND('Bonding Program'!$S$37=1,'Bonding Program'!$H$37&lt;='Bonding Program'!$C$8,DC$3=IF('Bonding Program'!$P$37&lt;&gt;"",'Bonding Program'!$P$37,'Bonding Program'!$C$8)),'Bonding Program'!$Z$37,0)+IF(AND('Bonding Program'!$P$37&lt;&gt;"",DC$3='Bonding Program'!$P$37,DC$3&lt;='Bonding Program'!$C$8),N('Bonding Program'!$O$37),0)</f>
        <v>0</v>
      </c>
      <c r="DD178" s="19" t="n">
        <f aca="false">IF(AND('Bonding Program'!$S$37=1,'Bonding Program'!$H$37&gt;'Bonding Program'!$C$8,DD$3='Bonding Program'!$H$37),'Bonding Program'!$T$37-'Bonding Program'!$U$37-'Bonding Program'!$Z$37,0)-IF(AND('Bonding Program'!$S$37=1,'Bonding Program'!$H$37&lt;='Bonding Program'!$C$8,DD$3=IF('Bonding Program'!$P$37&lt;&gt;"",'Bonding Program'!$P$37,'Bonding Program'!$C$8)),'Bonding Program'!$Z$37,0)+IF(AND('Bonding Program'!$P$37&lt;&gt;"",DD$3='Bonding Program'!$P$37,DD$3&lt;='Bonding Program'!$C$8),N('Bonding Program'!$O$37),0)</f>
        <v>0</v>
      </c>
      <c r="DE178" s="19" t="n">
        <f aca="false">IF(AND('Bonding Program'!$S$37=1,'Bonding Program'!$H$37&gt;'Bonding Program'!$C$8,DE$3='Bonding Program'!$H$37),'Bonding Program'!$T$37-'Bonding Program'!$U$37-'Bonding Program'!$Z$37,0)-IF(AND('Bonding Program'!$S$37=1,'Bonding Program'!$H$37&lt;='Bonding Program'!$C$8,DE$3=IF('Bonding Program'!$P$37&lt;&gt;"",'Bonding Program'!$P$37,'Bonding Program'!$C$8)),'Bonding Program'!$Z$37,0)+IF(AND('Bonding Program'!$P$37&lt;&gt;"",DE$3='Bonding Program'!$P$37,DE$3&lt;='Bonding Program'!$C$8),N('Bonding Program'!$O$37),0)</f>
        <v>0</v>
      </c>
    </row>
    <row r="179" customFormat="false" ht="15" hidden="false" customHeight="true" outlineLevel="1" collapsed="false">
      <c r="A179" s="28" t="s">
        <v>34</v>
      </c>
      <c r="B179" s="19" t="n">
        <f aca="false">IF(AND('Bonding Program'!$S$38=1,'Bonding Program'!$H$38&gt;'Bonding Program'!$C$8,B$3='Bonding Program'!$H$38),'Bonding Program'!$T$38-'Bonding Program'!$U$38-'Bonding Program'!$Z$38,0)-IF(AND('Bonding Program'!$S$38=1,'Bonding Program'!$H$38&lt;='Bonding Program'!$C$8,B$3=IF('Bonding Program'!$P$38&lt;&gt;"",'Bonding Program'!$P$38,'Bonding Program'!$C$8)),'Bonding Program'!$Z$38,0)+IF(AND('Bonding Program'!$P$38&lt;&gt;"",B$3='Bonding Program'!$P$38,B$3&lt;='Bonding Program'!$C$8),N('Bonding Program'!$O$38),0)</f>
        <v>0</v>
      </c>
      <c r="C179" s="19" t="n">
        <f aca="false">IF(AND('Bonding Program'!$S$38=1,'Bonding Program'!$H$38&gt;'Bonding Program'!$C$8,C$3='Bonding Program'!$H$38),'Bonding Program'!$T$38-'Bonding Program'!$U$38-'Bonding Program'!$Z$38,0)-IF(AND('Bonding Program'!$S$38=1,'Bonding Program'!$H$38&lt;='Bonding Program'!$C$8,C$3=IF('Bonding Program'!$P$38&lt;&gt;"",'Bonding Program'!$P$38,'Bonding Program'!$C$8)),'Bonding Program'!$Z$38,0)+IF(AND('Bonding Program'!$P$38&lt;&gt;"",C$3='Bonding Program'!$P$38,C$3&lt;='Bonding Program'!$C$8),N('Bonding Program'!$O$38),0)</f>
        <v>0</v>
      </c>
      <c r="D179" s="19" t="n">
        <f aca="false">IF(AND('Bonding Program'!$S$38=1,'Bonding Program'!$H$38&gt;'Bonding Program'!$C$8,D$3='Bonding Program'!$H$38),'Bonding Program'!$T$38-'Bonding Program'!$U$38-'Bonding Program'!$Z$38,0)-IF(AND('Bonding Program'!$S$38=1,'Bonding Program'!$H$38&lt;='Bonding Program'!$C$8,D$3=IF('Bonding Program'!$P$38&lt;&gt;"",'Bonding Program'!$P$38,'Bonding Program'!$C$8)),'Bonding Program'!$Z$38,0)+IF(AND('Bonding Program'!$P$38&lt;&gt;"",D$3='Bonding Program'!$P$38,D$3&lt;='Bonding Program'!$C$8),N('Bonding Program'!$O$38),0)</f>
        <v>0</v>
      </c>
      <c r="E179" s="19" t="n">
        <f aca="false">IF(AND('Bonding Program'!$S$38=1,'Bonding Program'!$H$38&gt;'Bonding Program'!$C$8,E$3='Bonding Program'!$H$38),'Bonding Program'!$T$38-'Bonding Program'!$U$38-'Bonding Program'!$Z$38,0)-IF(AND('Bonding Program'!$S$38=1,'Bonding Program'!$H$38&lt;='Bonding Program'!$C$8,E$3=IF('Bonding Program'!$P$38&lt;&gt;"",'Bonding Program'!$P$38,'Bonding Program'!$C$8)),'Bonding Program'!$Z$38,0)+IF(AND('Bonding Program'!$P$38&lt;&gt;"",E$3='Bonding Program'!$P$38,E$3&lt;='Bonding Program'!$C$8),N('Bonding Program'!$O$38),0)</f>
        <v>0</v>
      </c>
      <c r="F179" s="19" t="n">
        <f aca="false">IF(AND('Bonding Program'!$S$38=1,'Bonding Program'!$H$38&gt;'Bonding Program'!$C$8,F$3='Bonding Program'!$H$38),'Bonding Program'!$T$38-'Bonding Program'!$U$38-'Bonding Program'!$Z$38,0)-IF(AND('Bonding Program'!$S$38=1,'Bonding Program'!$H$38&lt;='Bonding Program'!$C$8,F$3=IF('Bonding Program'!$P$38&lt;&gt;"",'Bonding Program'!$P$38,'Bonding Program'!$C$8)),'Bonding Program'!$Z$38,0)+IF(AND('Bonding Program'!$P$38&lt;&gt;"",F$3='Bonding Program'!$P$38,F$3&lt;='Bonding Program'!$C$8),N('Bonding Program'!$O$38),0)</f>
        <v>0</v>
      </c>
      <c r="G179" s="19" t="n">
        <f aca="false">IF(AND('Bonding Program'!$S$38=1,'Bonding Program'!$H$38&gt;'Bonding Program'!$C$8,G$3='Bonding Program'!$H$38),'Bonding Program'!$T$38-'Bonding Program'!$U$38-'Bonding Program'!$Z$38,0)-IF(AND('Bonding Program'!$S$38=1,'Bonding Program'!$H$38&lt;='Bonding Program'!$C$8,G$3=IF('Bonding Program'!$P$38&lt;&gt;"",'Bonding Program'!$P$38,'Bonding Program'!$C$8)),'Bonding Program'!$Z$38,0)+IF(AND('Bonding Program'!$P$38&lt;&gt;"",G$3='Bonding Program'!$P$38,G$3&lt;='Bonding Program'!$C$8),N('Bonding Program'!$O$38),0)</f>
        <v>0</v>
      </c>
      <c r="H179" s="19" t="n">
        <f aca="false">IF(AND('Bonding Program'!$S$38=1,'Bonding Program'!$H$38&gt;'Bonding Program'!$C$8,H$3='Bonding Program'!$H$38),'Bonding Program'!$T$38-'Bonding Program'!$U$38-'Bonding Program'!$Z$38,0)-IF(AND('Bonding Program'!$S$38=1,'Bonding Program'!$H$38&lt;='Bonding Program'!$C$8,H$3=IF('Bonding Program'!$P$38&lt;&gt;"",'Bonding Program'!$P$38,'Bonding Program'!$C$8)),'Bonding Program'!$Z$38,0)+IF(AND('Bonding Program'!$P$38&lt;&gt;"",H$3='Bonding Program'!$P$38,H$3&lt;='Bonding Program'!$C$8),N('Bonding Program'!$O$38),0)</f>
        <v>0</v>
      </c>
      <c r="I179" s="19" t="n">
        <f aca="false">IF(AND('Bonding Program'!$S$38=1,'Bonding Program'!$H$38&gt;'Bonding Program'!$C$8,I$3='Bonding Program'!$H$38),'Bonding Program'!$T$38-'Bonding Program'!$U$38-'Bonding Program'!$Z$38,0)-IF(AND('Bonding Program'!$S$38=1,'Bonding Program'!$H$38&lt;='Bonding Program'!$C$8,I$3=IF('Bonding Program'!$P$38&lt;&gt;"",'Bonding Program'!$P$38,'Bonding Program'!$C$8)),'Bonding Program'!$Z$38,0)+IF(AND('Bonding Program'!$P$38&lt;&gt;"",I$3='Bonding Program'!$P$38,I$3&lt;='Bonding Program'!$C$8),N('Bonding Program'!$O$38),0)</f>
        <v>0</v>
      </c>
      <c r="J179" s="19" t="n">
        <f aca="false">IF(AND('Bonding Program'!$S$38=1,'Bonding Program'!$H$38&gt;'Bonding Program'!$C$8,J$3='Bonding Program'!$H$38),'Bonding Program'!$T$38-'Bonding Program'!$U$38-'Bonding Program'!$Z$38,0)-IF(AND('Bonding Program'!$S$38=1,'Bonding Program'!$H$38&lt;='Bonding Program'!$C$8,J$3=IF('Bonding Program'!$P$38&lt;&gt;"",'Bonding Program'!$P$38,'Bonding Program'!$C$8)),'Bonding Program'!$Z$38,0)+IF(AND('Bonding Program'!$P$38&lt;&gt;"",J$3='Bonding Program'!$P$38,J$3&lt;='Bonding Program'!$C$8),N('Bonding Program'!$O$38),0)</f>
        <v>0</v>
      </c>
      <c r="K179" s="19" t="n">
        <f aca="false">IF(AND('Bonding Program'!$S$38=1,'Bonding Program'!$H$38&gt;'Bonding Program'!$C$8,K$3='Bonding Program'!$H$38),'Bonding Program'!$T$38-'Bonding Program'!$U$38-'Bonding Program'!$Z$38,0)-IF(AND('Bonding Program'!$S$38=1,'Bonding Program'!$H$38&lt;='Bonding Program'!$C$8,K$3=IF('Bonding Program'!$P$38&lt;&gt;"",'Bonding Program'!$P$38,'Bonding Program'!$C$8)),'Bonding Program'!$Z$38,0)+IF(AND('Bonding Program'!$P$38&lt;&gt;"",K$3='Bonding Program'!$P$38,K$3&lt;='Bonding Program'!$C$8),N('Bonding Program'!$O$38),0)</f>
        <v>0</v>
      </c>
      <c r="L179" s="19" t="n">
        <f aca="false">IF(AND('Bonding Program'!$S$38=1,'Bonding Program'!$H$38&gt;'Bonding Program'!$C$8,L$3='Bonding Program'!$H$38),'Bonding Program'!$T$38-'Bonding Program'!$U$38-'Bonding Program'!$Z$38,0)-IF(AND('Bonding Program'!$S$38=1,'Bonding Program'!$H$38&lt;='Bonding Program'!$C$8,L$3=IF('Bonding Program'!$P$38&lt;&gt;"",'Bonding Program'!$P$38,'Bonding Program'!$C$8)),'Bonding Program'!$Z$38,0)+IF(AND('Bonding Program'!$P$38&lt;&gt;"",L$3='Bonding Program'!$P$38,L$3&lt;='Bonding Program'!$C$8),N('Bonding Program'!$O$38),0)</f>
        <v>0</v>
      </c>
      <c r="M179" s="19" t="n">
        <f aca="false">IF(AND('Bonding Program'!$S$38=1,'Bonding Program'!$H$38&gt;'Bonding Program'!$C$8,M$3='Bonding Program'!$H$38),'Bonding Program'!$T$38-'Bonding Program'!$U$38-'Bonding Program'!$Z$38,0)-IF(AND('Bonding Program'!$S$38=1,'Bonding Program'!$H$38&lt;='Bonding Program'!$C$8,M$3=IF('Bonding Program'!$P$38&lt;&gt;"",'Bonding Program'!$P$38,'Bonding Program'!$C$8)),'Bonding Program'!$Z$38,0)+IF(AND('Bonding Program'!$P$38&lt;&gt;"",M$3='Bonding Program'!$P$38,M$3&lt;='Bonding Program'!$C$8),N('Bonding Program'!$O$38),0)</f>
        <v>0</v>
      </c>
      <c r="N179" s="19" t="n">
        <f aca="false">IF(AND('Bonding Program'!$S$38=1,'Bonding Program'!$H$38&gt;'Bonding Program'!$C$8,N$3='Bonding Program'!$H$38),'Bonding Program'!$T$38-'Bonding Program'!$U$38-'Bonding Program'!$Z$38,0)-IF(AND('Bonding Program'!$S$38=1,'Bonding Program'!$H$38&lt;='Bonding Program'!$C$8,N$3=IF('Bonding Program'!$P$38&lt;&gt;"",'Bonding Program'!$P$38,'Bonding Program'!$C$8)),'Bonding Program'!$Z$38,0)+IF(AND('Bonding Program'!$P$38&lt;&gt;"",N$3='Bonding Program'!$P$38,N$3&lt;='Bonding Program'!$C$8),N('Bonding Program'!$O$38),0)</f>
        <v>0</v>
      </c>
      <c r="O179" s="19" t="n">
        <f aca="false">IF(AND('Bonding Program'!$S$38=1,'Bonding Program'!$H$38&gt;'Bonding Program'!$C$8,O$3='Bonding Program'!$H$38),'Bonding Program'!$T$38-'Bonding Program'!$U$38-'Bonding Program'!$Z$38,0)-IF(AND('Bonding Program'!$S$38=1,'Bonding Program'!$H$38&lt;='Bonding Program'!$C$8,O$3=IF('Bonding Program'!$P$38&lt;&gt;"",'Bonding Program'!$P$38,'Bonding Program'!$C$8)),'Bonding Program'!$Z$38,0)+IF(AND('Bonding Program'!$P$38&lt;&gt;"",O$3='Bonding Program'!$P$38,O$3&lt;='Bonding Program'!$C$8),N('Bonding Program'!$O$38),0)</f>
        <v>0</v>
      </c>
      <c r="P179" s="19" t="n">
        <f aca="false">IF(AND('Bonding Program'!$S$38=1,'Bonding Program'!$H$38&gt;'Bonding Program'!$C$8,P$3='Bonding Program'!$H$38),'Bonding Program'!$T$38-'Bonding Program'!$U$38-'Bonding Program'!$Z$38,0)-IF(AND('Bonding Program'!$S$38=1,'Bonding Program'!$H$38&lt;='Bonding Program'!$C$8,P$3=IF('Bonding Program'!$P$38&lt;&gt;"",'Bonding Program'!$P$38,'Bonding Program'!$C$8)),'Bonding Program'!$Z$38,0)+IF(AND('Bonding Program'!$P$38&lt;&gt;"",P$3='Bonding Program'!$P$38,P$3&lt;='Bonding Program'!$C$8),N('Bonding Program'!$O$38),0)</f>
        <v>0</v>
      </c>
      <c r="Q179" s="19" t="n">
        <f aca="false">IF(AND('Bonding Program'!$S$38=1,'Bonding Program'!$H$38&gt;'Bonding Program'!$C$8,Q$3='Bonding Program'!$H$38),'Bonding Program'!$T$38-'Bonding Program'!$U$38-'Bonding Program'!$Z$38,0)-IF(AND('Bonding Program'!$S$38=1,'Bonding Program'!$H$38&lt;='Bonding Program'!$C$8,Q$3=IF('Bonding Program'!$P$38&lt;&gt;"",'Bonding Program'!$P$38,'Bonding Program'!$C$8)),'Bonding Program'!$Z$38,0)+IF(AND('Bonding Program'!$P$38&lt;&gt;"",Q$3='Bonding Program'!$P$38,Q$3&lt;='Bonding Program'!$C$8),N('Bonding Program'!$O$38),0)</f>
        <v>0</v>
      </c>
      <c r="R179" s="19" t="n">
        <f aca="false">IF(AND('Bonding Program'!$S$38=1,'Bonding Program'!$H$38&gt;'Bonding Program'!$C$8,R$3='Bonding Program'!$H$38),'Bonding Program'!$T$38-'Bonding Program'!$U$38-'Bonding Program'!$Z$38,0)-IF(AND('Bonding Program'!$S$38=1,'Bonding Program'!$H$38&lt;='Bonding Program'!$C$8,R$3=IF('Bonding Program'!$P$38&lt;&gt;"",'Bonding Program'!$P$38,'Bonding Program'!$C$8)),'Bonding Program'!$Z$38,0)+IF(AND('Bonding Program'!$P$38&lt;&gt;"",R$3='Bonding Program'!$P$38,R$3&lt;='Bonding Program'!$C$8),N('Bonding Program'!$O$38),0)</f>
        <v>0</v>
      </c>
      <c r="S179" s="19" t="n">
        <f aca="false">IF(AND('Bonding Program'!$S$38=1,'Bonding Program'!$H$38&gt;'Bonding Program'!$C$8,S$3='Bonding Program'!$H$38),'Bonding Program'!$T$38-'Bonding Program'!$U$38-'Bonding Program'!$Z$38,0)-IF(AND('Bonding Program'!$S$38=1,'Bonding Program'!$H$38&lt;='Bonding Program'!$C$8,S$3=IF('Bonding Program'!$P$38&lt;&gt;"",'Bonding Program'!$P$38,'Bonding Program'!$C$8)),'Bonding Program'!$Z$38,0)+IF(AND('Bonding Program'!$P$38&lt;&gt;"",S$3='Bonding Program'!$P$38,S$3&lt;='Bonding Program'!$C$8),N('Bonding Program'!$O$38),0)</f>
        <v>0</v>
      </c>
      <c r="T179" s="19" t="n">
        <f aca="false">IF(AND('Bonding Program'!$S$38=1,'Bonding Program'!$H$38&gt;'Bonding Program'!$C$8,T$3='Bonding Program'!$H$38),'Bonding Program'!$T$38-'Bonding Program'!$U$38-'Bonding Program'!$Z$38,0)-IF(AND('Bonding Program'!$S$38=1,'Bonding Program'!$H$38&lt;='Bonding Program'!$C$8,T$3=IF('Bonding Program'!$P$38&lt;&gt;"",'Bonding Program'!$P$38,'Bonding Program'!$C$8)),'Bonding Program'!$Z$38,0)+IF(AND('Bonding Program'!$P$38&lt;&gt;"",T$3='Bonding Program'!$P$38,T$3&lt;='Bonding Program'!$C$8),N('Bonding Program'!$O$38),0)</f>
        <v>0</v>
      </c>
      <c r="U179" s="19" t="n">
        <f aca="false">IF(AND('Bonding Program'!$S$38=1,'Bonding Program'!$H$38&gt;'Bonding Program'!$C$8,U$3='Bonding Program'!$H$38),'Bonding Program'!$T$38-'Bonding Program'!$U$38-'Bonding Program'!$Z$38,0)-IF(AND('Bonding Program'!$S$38=1,'Bonding Program'!$H$38&lt;='Bonding Program'!$C$8,U$3=IF('Bonding Program'!$P$38&lt;&gt;"",'Bonding Program'!$P$38,'Bonding Program'!$C$8)),'Bonding Program'!$Z$38,0)+IF(AND('Bonding Program'!$P$38&lt;&gt;"",U$3='Bonding Program'!$P$38,U$3&lt;='Bonding Program'!$C$8),N('Bonding Program'!$O$38),0)</f>
        <v>0</v>
      </c>
      <c r="V179" s="19" t="n">
        <f aca="false">IF(AND('Bonding Program'!$S$38=1,'Bonding Program'!$H$38&gt;'Bonding Program'!$C$8,V$3='Bonding Program'!$H$38),'Bonding Program'!$T$38-'Bonding Program'!$U$38-'Bonding Program'!$Z$38,0)-IF(AND('Bonding Program'!$S$38=1,'Bonding Program'!$H$38&lt;='Bonding Program'!$C$8,V$3=IF('Bonding Program'!$P$38&lt;&gt;"",'Bonding Program'!$P$38,'Bonding Program'!$C$8)),'Bonding Program'!$Z$38,0)+IF(AND('Bonding Program'!$P$38&lt;&gt;"",V$3='Bonding Program'!$P$38,V$3&lt;='Bonding Program'!$C$8),N('Bonding Program'!$O$38),0)</f>
        <v>0</v>
      </c>
      <c r="W179" s="19" t="n">
        <f aca="false">IF(AND('Bonding Program'!$S$38=1,'Bonding Program'!$H$38&gt;'Bonding Program'!$C$8,W$3='Bonding Program'!$H$38),'Bonding Program'!$T$38-'Bonding Program'!$U$38-'Bonding Program'!$Z$38,0)-IF(AND('Bonding Program'!$S$38=1,'Bonding Program'!$H$38&lt;='Bonding Program'!$C$8,W$3=IF('Bonding Program'!$P$38&lt;&gt;"",'Bonding Program'!$P$38,'Bonding Program'!$C$8)),'Bonding Program'!$Z$38,0)+IF(AND('Bonding Program'!$P$38&lt;&gt;"",W$3='Bonding Program'!$P$38,W$3&lt;='Bonding Program'!$C$8),N('Bonding Program'!$O$38),0)</f>
        <v>0</v>
      </c>
      <c r="X179" s="19" t="n">
        <f aca="false">IF(AND('Bonding Program'!$S$38=1,'Bonding Program'!$H$38&gt;'Bonding Program'!$C$8,X$3='Bonding Program'!$H$38),'Bonding Program'!$T$38-'Bonding Program'!$U$38-'Bonding Program'!$Z$38,0)-IF(AND('Bonding Program'!$S$38=1,'Bonding Program'!$H$38&lt;='Bonding Program'!$C$8,X$3=IF('Bonding Program'!$P$38&lt;&gt;"",'Bonding Program'!$P$38,'Bonding Program'!$C$8)),'Bonding Program'!$Z$38,0)+IF(AND('Bonding Program'!$P$38&lt;&gt;"",X$3='Bonding Program'!$P$38,X$3&lt;='Bonding Program'!$C$8),N('Bonding Program'!$O$38),0)</f>
        <v>0</v>
      </c>
      <c r="Y179" s="19" t="n">
        <f aca="false">IF(AND('Bonding Program'!$S$38=1,'Bonding Program'!$H$38&gt;'Bonding Program'!$C$8,Y$3='Bonding Program'!$H$38),'Bonding Program'!$T$38-'Bonding Program'!$U$38-'Bonding Program'!$Z$38,0)-IF(AND('Bonding Program'!$S$38=1,'Bonding Program'!$H$38&lt;='Bonding Program'!$C$8,Y$3=IF('Bonding Program'!$P$38&lt;&gt;"",'Bonding Program'!$P$38,'Bonding Program'!$C$8)),'Bonding Program'!$Z$38,0)+IF(AND('Bonding Program'!$P$38&lt;&gt;"",Y$3='Bonding Program'!$P$38,Y$3&lt;='Bonding Program'!$C$8),N('Bonding Program'!$O$38),0)</f>
        <v>0</v>
      </c>
      <c r="Z179" s="19" t="n">
        <f aca="false">IF(AND('Bonding Program'!$S$38=1,'Bonding Program'!$H$38&gt;'Bonding Program'!$C$8,Z$3='Bonding Program'!$H$38),'Bonding Program'!$T$38-'Bonding Program'!$U$38-'Bonding Program'!$Z$38,0)-IF(AND('Bonding Program'!$S$38=1,'Bonding Program'!$H$38&lt;='Bonding Program'!$C$8,Z$3=IF('Bonding Program'!$P$38&lt;&gt;"",'Bonding Program'!$P$38,'Bonding Program'!$C$8)),'Bonding Program'!$Z$38,0)+IF(AND('Bonding Program'!$P$38&lt;&gt;"",Z$3='Bonding Program'!$P$38,Z$3&lt;='Bonding Program'!$C$8),N('Bonding Program'!$O$38),0)</f>
        <v>0</v>
      </c>
      <c r="AA179" s="19" t="n">
        <f aca="false">IF(AND('Bonding Program'!$S$38=1,'Bonding Program'!$H$38&gt;'Bonding Program'!$C$8,AA$3='Bonding Program'!$H$38),'Bonding Program'!$T$38-'Bonding Program'!$U$38-'Bonding Program'!$Z$38,0)-IF(AND('Bonding Program'!$S$38=1,'Bonding Program'!$H$38&lt;='Bonding Program'!$C$8,AA$3=IF('Bonding Program'!$P$38&lt;&gt;"",'Bonding Program'!$P$38,'Bonding Program'!$C$8)),'Bonding Program'!$Z$38,0)+IF(AND('Bonding Program'!$P$38&lt;&gt;"",AA$3='Bonding Program'!$P$38,AA$3&lt;='Bonding Program'!$C$8),N('Bonding Program'!$O$38),0)</f>
        <v>0</v>
      </c>
      <c r="AB179" s="19" t="n">
        <f aca="false">IF(AND('Bonding Program'!$S$38=1,'Bonding Program'!$H$38&gt;'Bonding Program'!$C$8,AB$3='Bonding Program'!$H$38),'Bonding Program'!$T$38-'Bonding Program'!$U$38-'Bonding Program'!$Z$38,0)-IF(AND('Bonding Program'!$S$38=1,'Bonding Program'!$H$38&lt;='Bonding Program'!$C$8,AB$3=IF('Bonding Program'!$P$38&lt;&gt;"",'Bonding Program'!$P$38,'Bonding Program'!$C$8)),'Bonding Program'!$Z$38,0)+IF(AND('Bonding Program'!$P$38&lt;&gt;"",AB$3='Bonding Program'!$P$38,AB$3&lt;='Bonding Program'!$C$8),N('Bonding Program'!$O$38),0)</f>
        <v>0</v>
      </c>
      <c r="AC179" s="19" t="n">
        <f aca="false">IF(AND('Bonding Program'!$S$38=1,'Bonding Program'!$H$38&gt;'Bonding Program'!$C$8,AC$3='Bonding Program'!$H$38),'Bonding Program'!$T$38-'Bonding Program'!$U$38-'Bonding Program'!$Z$38,0)-IF(AND('Bonding Program'!$S$38=1,'Bonding Program'!$H$38&lt;='Bonding Program'!$C$8,AC$3=IF('Bonding Program'!$P$38&lt;&gt;"",'Bonding Program'!$P$38,'Bonding Program'!$C$8)),'Bonding Program'!$Z$38,0)+IF(AND('Bonding Program'!$P$38&lt;&gt;"",AC$3='Bonding Program'!$P$38,AC$3&lt;='Bonding Program'!$C$8),N('Bonding Program'!$O$38),0)</f>
        <v>0</v>
      </c>
      <c r="AD179" s="19" t="n">
        <f aca="false">IF(AND('Bonding Program'!$S$38=1,'Bonding Program'!$H$38&gt;'Bonding Program'!$C$8,AD$3='Bonding Program'!$H$38),'Bonding Program'!$T$38-'Bonding Program'!$U$38-'Bonding Program'!$Z$38,0)-IF(AND('Bonding Program'!$S$38=1,'Bonding Program'!$H$38&lt;='Bonding Program'!$C$8,AD$3=IF('Bonding Program'!$P$38&lt;&gt;"",'Bonding Program'!$P$38,'Bonding Program'!$C$8)),'Bonding Program'!$Z$38,0)+IF(AND('Bonding Program'!$P$38&lt;&gt;"",AD$3='Bonding Program'!$P$38,AD$3&lt;='Bonding Program'!$C$8),N('Bonding Program'!$O$38),0)</f>
        <v>0</v>
      </c>
      <c r="AE179" s="19" t="n">
        <f aca="false">IF(AND('Bonding Program'!$S$38=1,'Bonding Program'!$H$38&gt;'Bonding Program'!$C$8,AE$3='Bonding Program'!$H$38),'Bonding Program'!$T$38-'Bonding Program'!$U$38-'Bonding Program'!$Z$38,0)-IF(AND('Bonding Program'!$S$38=1,'Bonding Program'!$H$38&lt;='Bonding Program'!$C$8,AE$3=IF('Bonding Program'!$P$38&lt;&gt;"",'Bonding Program'!$P$38,'Bonding Program'!$C$8)),'Bonding Program'!$Z$38,0)+IF(AND('Bonding Program'!$P$38&lt;&gt;"",AE$3='Bonding Program'!$P$38,AE$3&lt;='Bonding Program'!$C$8),N('Bonding Program'!$O$38),0)</f>
        <v>0</v>
      </c>
      <c r="AF179" s="19" t="n">
        <f aca="false">IF(AND('Bonding Program'!$S$38=1,'Bonding Program'!$H$38&gt;'Bonding Program'!$C$8,AF$3='Bonding Program'!$H$38),'Bonding Program'!$T$38-'Bonding Program'!$U$38-'Bonding Program'!$Z$38,0)-IF(AND('Bonding Program'!$S$38=1,'Bonding Program'!$H$38&lt;='Bonding Program'!$C$8,AF$3=IF('Bonding Program'!$P$38&lt;&gt;"",'Bonding Program'!$P$38,'Bonding Program'!$C$8)),'Bonding Program'!$Z$38,0)+IF(AND('Bonding Program'!$P$38&lt;&gt;"",AF$3='Bonding Program'!$P$38,AF$3&lt;='Bonding Program'!$C$8),N('Bonding Program'!$O$38),0)</f>
        <v>0</v>
      </c>
      <c r="AG179" s="19" t="n">
        <f aca="false">IF(AND('Bonding Program'!$S$38=1,'Bonding Program'!$H$38&gt;'Bonding Program'!$C$8,AG$3='Bonding Program'!$H$38),'Bonding Program'!$T$38-'Bonding Program'!$U$38-'Bonding Program'!$Z$38,0)-IF(AND('Bonding Program'!$S$38=1,'Bonding Program'!$H$38&lt;='Bonding Program'!$C$8,AG$3=IF('Bonding Program'!$P$38&lt;&gt;"",'Bonding Program'!$P$38,'Bonding Program'!$C$8)),'Bonding Program'!$Z$38,0)+IF(AND('Bonding Program'!$P$38&lt;&gt;"",AG$3='Bonding Program'!$P$38,AG$3&lt;='Bonding Program'!$C$8),N('Bonding Program'!$O$38),0)</f>
        <v>0</v>
      </c>
      <c r="AH179" s="19" t="n">
        <f aca="false">IF(AND('Bonding Program'!$S$38=1,'Bonding Program'!$H$38&gt;'Bonding Program'!$C$8,AH$3='Bonding Program'!$H$38),'Bonding Program'!$T$38-'Bonding Program'!$U$38-'Bonding Program'!$Z$38,0)-IF(AND('Bonding Program'!$S$38=1,'Bonding Program'!$H$38&lt;='Bonding Program'!$C$8,AH$3=IF('Bonding Program'!$P$38&lt;&gt;"",'Bonding Program'!$P$38,'Bonding Program'!$C$8)),'Bonding Program'!$Z$38,0)+IF(AND('Bonding Program'!$P$38&lt;&gt;"",AH$3='Bonding Program'!$P$38,AH$3&lt;='Bonding Program'!$C$8),N('Bonding Program'!$O$38),0)</f>
        <v>0</v>
      </c>
      <c r="AI179" s="19" t="n">
        <f aca="false">IF(AND('Bonding Program'!$S$38=1,'Bonding Program'!$H$38&gt;'Bonding Program'!$C$8,AI$3='Bonding Program'!$H$38),'Bonding Program'!$T$38-'Bonding Program'!$U$38-'Bonding Program'!$Z$38,0)-IF(AND('Bonding Program'!$S$38=1,'Bonding Program'!$H$38&lt;='Bonding Program'!$C$8,AI$3=IF('Bonding Program'!$P$38&lt;&gt;"",'Bonding Program'!$P$38,'Bonding Program'!$C$8)),'Bonding Program'!$Z$38,0)+IF(AND('Bonding Program'!$P$38&lt;&gt;"",AI$3='Bonding Program'!$P$38,AI$3&lt;='Bonding Program'!$C$8),N('Bonding Program'!$O$38),0)</f>
        <v>0</v>
      </c>
      <c r="AJ179" s="19" t="n">
        <f aca="false">IF(AND('Bonding Program'!$S$38=1,'Bonding Program'!$H$38&gt;'Bonding Program'!$C$8,AJ$3='Bonding Program'!$H$38),'Bonding Program'!$T$38-'Bonding Program'!$U$38-'Bonding Program'!$Z$38,0)-IF(AND('Bonding Program'!$S$38=1,'Bonding Program'!$H$38&lt;='Bonding Program'!$C$8,AJ$3=IF('Bonding Program'!$P$38&lt;&gt;"",'Bonding Program'!$P$38,'Bonding Program'!$C$8)),'Bonding Program'!$Z$38,0)+IF(AND('Bonding Program'!$P$38&lt;&gt;"",AJ$3='Bonding Program'!$P$38,AJ$3&lt;='Bonding Program'!$C$8),N('Bonding Program'!$O$38),0)</f>
        <v>0</v>
      </c>
      <c r="AK179" s="19" t="n">
        <f aca="false">IF(AND('Bonding Program'!$S$38=1,'Bonding Program'!$H$38&gt;'Bonding Program'!$C$8,AK$3='Bonding Program'!$H$38),'Bonding Program'!$T$38-'Bonding Program'!$U$38-'Bonding Program'!$Z$38,0)-IF(AND('Bonding Program'!$S$38=1,'Bonding Program'!$H$38&lt;='Bonding Program'!$C$8,AK$3=IF('Bonding Program'!$P$38&lt;&gt;"",'Bonding Program'!$P$38,'Bonding Program'!$C$8)),'Bonding Program'!$Z$38,0)+IF(AND('Bonding Program'!$P$38&lt;&gt;"",AK$3='Bonding Program'!$P$38,AK$3&lt;='Bonding Program'!$C$8),N('Bonding Program'!$O$38),0)</f>
        <v>0</v>
      </c>
      <c r="AL179" s="19" t="n">
        <f aca="false">IF(AND('Bonding Program'!$S$38=1,'Bonding Program'!$H$38&gt;'Bonding Program'!$C$8,AL$3='Bonding Program'!$H$38),'Bonding Program'!$T$38-'Bonding Program'!$U$38-'Bonding Program'!$Z$38,0)-IF(AND('Bonding Program'!$S$38=1,'Bonding Program'!$H$38&lt;='Bonding Program'!$C$8,AL$3=IF('Bonding Program'!$P$38&lt;&gt;"",'Bonding Program'!$P$38,'Bonding Program'!$C$8)),'Bonding Program'!$Z$38,0)+IF(AND('Bonding Program'!$P$38&lt;&gt;"",AL$3='Bonding Program'!$P$38,AL$3&lt;='Bonding Program'!$C$8),N('Bonding Program'!$O$38),0)</f>
        <v>0</v>
      </c>
      <c r="AM179" s="19" t="n">
        <f aca="false">IF(AND('Bonding Program'!$S$38=1,'Bonding Program'!$H$38&gt;'Bonding Program'!$C$8,AM$3='Bonding Program'!$H$38),'Bonding Program'!$T$38-'Bonding Program'!$U$38-'Bonding Program'!$Z$38,0)-IF(AND('Bonding Program'!$S$38=1,'Bonding Program'!$H$38&lt;='Bonding Program'!$C$8,AM$3=IF('Bonding Program'!$P$38&lt;&gt;"",'Bonding Program'!$P$38,'Bonding Program'!$C$8)),'Bonding Program'!$Z$38,0)+IF(AND('Bonding Program'!$P$38&lt;&gt;"",AM$3='Bonding Program'!$P$38,AM$3&lt;='Bonding Program'!$C$8),N('Bonding Program'!$O$38),0)</f>
        <v>0</v>
      </c>
      <c r="AN179" s="19" t="n">
        <f aca="false">IF(AND('Bonding Program'!$S$38=1,'Bonding Program'!$H$38&gt;'Bonding Program'!$C$8,AN$3='Bonding Program'!$H$38),'Bonding Program'!$T$38-'Bonding Program'!$U$38-'Bonding Program'!$Z$38,0)-IF(AND('Bonding Program'!$S$38=1,'Bonding Program'!$H$38&lt;='Bonding Program'!$C$8,AN$3=IF('Bonding Program'!$P$38&lt;&gt;"",'Bonding Program'!$P$38,'Bonding Program'!$C$8)),'Bonding Program'!$Z$38,0)+IF(AND('Bonding Program'!$P$38&lt;&gt;"",AN$3='Bonding Program'!$P$38,AN$3&lt;='Bonding Program'!$C$8),N('Bonding Program'!$O$38),0)</f>
        <v>0</v>
      </c>
      <c r="AO179" s="19" t="n">
        <f aca="false">IF(AND('Bonding Program'!$S$38=1,'Bonding Program'!$H$38&gt;'Bonding Program'!$C$8,AO$3='Bonding Program'!$H$38),'Bonding Program'!$T$38-'Bonding Program'!$U$38-'Bonding Program'!$Z$38,0)-IF(AND('Bonding Program'!$S$38=1,'Bonding Program'!$H$38&lt;='Bonding Program'!$C$8,AO$3=IF('Bonding Program'!$P$38&lt;&gt;"",'Bonding Program'!$P$38,'Bonding Program'!$C$8)),'Bonding Program'!$Z$38,0)+IF(AND('Bonding Program'!$P$38&lt;&gt;"",AO$3='Bonding Program'!$P$38,AO$3&lt;='Bonding Program'!$C$8),N('Bonding Program'!$O$38),0)</f>
        <v>0</v>
      </c>
      <c r="AP179" s="19" t="n">
        <f aca="false">IF(AND('Bonding Program'!$S$38=1,'Bonding Program'!$H$38&gt;'Bonding Program'!$C$8,AP$3='Bonding Program'!$H$38),'Bonding Program'!$T$38-'Bonding Program'!$U$38-'Bonding Program'!$Z$38,0)-IF(AND('Bonding Program'!$S$38=1,'Bonding Program'!$H$38&lt;='Bonding Program'!$C$8,AP$3=IF('Bonding Program'!$P$38&lt;&gt;"",'Bonding Program'!$P$38,'Bonding Program'!$C$8)),'Bonding Program'!$Z$38,0)+IF(AND('Bonding Program'!$P$38&lt;&gt;"",AP$3='Bonding Program'!$P$38,AP$3&lt;='Bonding Program'!$C$8),N('Bonding Program'!$O$38),0)</f>
        <v>0</v>
      </c>
      <c r="AQ179" s="19" t="n">
        <f aca="false">IF(AND('Bonding Program'!$S$38=1,'Bonding Program'!$H$38&gt;'Bonding Program'!$C$8,AQ$3='Bonding Program'!$H$38),'Bonding Program'!$T$38-'Bonding Program'!$U$38-'Bonding Program'!$Z$38,0)-IF(AND('Bonding Program'!$S$38=1,'Bonding Program'!$H$38&lt;='Bonding Program'!$C$8,AQ$3=IF('Bonding Program'!$P$38&lt;&gt;"",'Bonding Program'!$P$38,'Bonding Program'!$C$8)),'Bonding Program'!$Z$38,0)+IF(AND('Bonding Program'!$P$38&lt;&gt;"",AQ$3='Bonding Program'!$P$38,AQ$3&lt;='Bonding Program'!$C$8),N('Bonding Program'!$O$38),0)</f>
        <v>0</v>
      </c>
      <c r="AR179" s="19" t="n">
        <f aca="false">IF(AND('Bonding Program'!$S$38=1,'Bonding Program'!$H$38&gt;'Bonding Program'!$C$8,AR$3='Bonding Program'!$H$38),'Bonding Program'!$T$38-'Bonding Program'!$U$38-'Bonding Program'!$Z$38,0)-IF(AND('Bonding Program'!$S$38=1,'Bonding Program'!$H$38&lt;='Bonding Program'!$C$8,AR$3=IF('Bonding Program'!$P$38&lt;&gt;"",'Bonding Program'!$P$38,'Bonding Program'!$C$8)),'Bonding Program'!$Z$38,0)+IF(AND('Bonding Program'!$P$38&lt;&gt;"",AR$3='Bonding Program'!$P$38,AR$3&lt;='Bonding Program'!$C$8),N('Bonding Program'!$O$38),0)</f>
        <v>0</v>
      </c>
      <c r="AS179" s="19" t="n">
        <f aca="false">IF(AND('Bonding Program'!$S$38=1,'Bonding Program'!$H$38&gt;'Bonding Program'!$C$8,AS$3='Bonding Program'!$H$38),'Bonding Program'!$T$38-'Bonding Program'!$U$38-'Bonding Program'!$Z$38,0)-IF(AND('Bonding Program'!$S$38=1,'Bonding Program'!$H$38&lt;='Bonding Program'!$C$8,AS$3=IF('Bonding Program'!$P$38&lt;&gt;"",'Bonding Program'!$P$38,'Bonding Program'!$C$8)),'Bonding Program'!$Z$38,0)+IF(AND('Bonding Program'!$P$38&lt;&gt;"",AS$3='Bonding Program'!$P$38,AS$3&lt;='Bonding Program'!$C$8),N('Bonding Program'!$O$38),0)</f>
        <v>0</v>
      </c>
      <c r="AT179" s="19" t="n">
        <f aca="false">IF(AND('Bonding Program'!$S$38=1,'Bonding Program'!$H$38&gt;'Bonding Program'!$C$8,AT$3='Bonding Program'!$H$38),'Bonding Program'!$T$38-'Bonding Program'!$U$38-'Bonding Program'!$Z$38,0)-IF(AND('Bonding Program'!$S$38=1,'Bonding Program'!$H$38&lt;='Bonding Program'!$C$8,AT$3=IF('Bonding Program'!$P$38&lt;&gt;"",'Bonding Program'!$P$38,'Bonding Program'!$C$8)),'Bonding Program'!$Z$38,0)+IF(AND('Bonding Program'!$P$38&lt;&gt;"",AT$3='Bonding Program'!$P$38,AT$3&lt;='Bonding Program'!$C$8),N('Bonding Program'!$O$38),0)</f>
        <v>0</v>
      </c>
      <c r="AU179" s="19" t="n">
        <f aca="false">IF(AND('Bonding Program'!$S$38=1,'Bonding Program'!$H$38&gt;'Bonding Program'!$C$8,AU$3='Bonding Program'!$H$38),'Bonding Program'!$T$38-'Bonding Program'!$U$38-'Bonding Program'!$Z$38,0)-IF(AND('Bonding Program'!$S$38=1,'Bonding Program'!$H$38&lt;='Bonding Program'!$C$8,AU$3=IF('Bonding Program'!$P$38&lt;&gt;"",'Bonding Program'!$P$38,'Bonding Program'!$C$8)),'Bonding Program'!$Z$38,0)+IF(AND('Bonding Program'!$P$38&lt;&gt;"",AU$3='Bonding Program'!$P$38,AU$3&lt;='Bonding Program'!$C$8),N('Bonding Program'!$O$38),0)</f>
        <v>0</v>
      </c>
      <c r="AV179" s="19" t="n">
        <f aca="false">IF(AND('Bonding Program'!$S$38=1,'Bonding Program'!$H$38&gt;'Bonding Program'!$C$8,AV$3='Bonding Program'!$H$38),'Bonding Program'!$T$38-'Bonding Program'!$U$38-'Bonding Program'!$Z$38,0)-IF(AND('Bonding Program'!$S$38=1,'Bonding Program'!$H$38&lt;='Bonding Program'!$C$8,AV$3=IF('Bonding Program'!$P$38&lt;&gt;"",'Bonding Program'!$P$38,'Bonding Program'!$C$8)),'Bonding Program'!$Z$38,0)+IF(AND('Bonding Program'!$P$38&lt;&gt;"",AV$3='Bonding Program'!$P$38,AV$3&lt;='Bonding Program'!$C$8),N('Bonding Program'!$O$38),0)</f>
        <v>0</v>
      </c>
      <c r="AW179" s="19" t="n">
        <f aca="false">IF(AND('Bonding Program'!$S$38=1,'Bonding Program'!$H$38&gt;'Bonding Program'!$C$8,AW$3='Bonding Program'!$H$38),'Bonding Program'!$T$38-'Bonding Program'!$U$38-'Bonding Program'!$Z$38,0)-IF(AND('Bonding Program'!$S$38=1,'Bonding Program'!$H$38&lt;='Bonding Program'!$C$8,AW$3=IF('Bonding Program'!$P$38&lt;&gt;"",'Bonding Program'!$P$38,'Bonding Program'!$C$8)),'Bonding Program'!$Z$38,0)+IF(AND('Bonding Program'!$P$38&lt;&gt;"",AW$3='Bonding Program'!$P$38,AW$3&lt;='Bonding Program'!$C$8),N('Bonding Program'!$O$38),0)</f>
        <v>0</v>
      </c>
      <c r="AX179" s="19" t="n">
        <f aca="false">IF(AND('Bonding Program'!$S$38=1,'Bonding Program'!$H$38&gt;'Bonding Program'!$C$8,AX$3='Bonding Program'!$H$38),'Bonding Program'!$T$38-'Bonding Program'!$U$38-'Bonding Program'!$Z$38,0)-IF(AND('Bonding Program'!$S$38=1,'Bonding Program'!$H$38&lt;='Bonding Program'!$C$8,AX$3=IF('Bonding Program'!$P$38&lt;&gt;"",'Bonding Program'!$P$38,'Bonding Program'!$C$8)),'Bonding Program'!$Z$38,0)+IF(AND('Bonding Program'!$P$38&lt;&gt;"",AX$3='Bonding Program'!$P$38,AX$3&lt;='Bonding Program'!$C$8),N('Bonding Program'!$O$38),0)</f>
        <v>0</v>
      </c>
      <c r="AY179" s="19" t="n">
        <f aca="false">IF(AND('Bonding Program'!$S$38=1,'Bonding Program'!$H$38&gt;'Bonding Program'!$C$8,AY$3='Bonding Program'!$H$38),'Bonding Program'!$T$38-'Bonding Program'!$U$38-'Bonding Program'!$Z$38,0)-IF(AND('Bonding Program'!$S$38=1,'Bonding Program'!$H$38&lt;='Bonding Program'!$C$8,AY$3=IF('Bonding Program'!$P$38&lt;&gt;"",'Bonding Program'!$P$38,'Bonding Program'!$C$8)),'Bonding Program'!$Z$38,0)+IF(AND('Bonding Program'!$P$38&lt;&gt;"",AY$3='Bonding Program'!$P$38,AY$3&lt;='Bonding Program'!$C$8),N('Bonding Program'!$O$38),0)</f>
        <v>0</v>
      </c>
      <c r="AZ179" s="19" t="n">
        <f aca="false">IF(AND('Bonding Program'!$S$38=1,'Bonding Program'!$H$38&gt;'Bonding Program'!$C$8,AZ$3='Bonding Program'!$H$38),'Bonding Program'!$T$38-'Bonding Program'!$U$38-'Bonding Program'!$Z$38,0)-IF(AND('Bonding Program'!$S$38=1,'Bonding Program'!$H$38&lt;='Bonding Program'!$C$8,AZ$3=IF('Bonding Program'!$P$38&lt;&gt;"",'Bonding Program'!$P$38,'Bonding Program'!$C$8)),'Bonding Program'!$Z$38,0)+IF(AND('Bonding Program'!$P$38&lt;&gt;"",AZ$3='Bonding Program'!$P$38,AZ$3&lt;='Bonding Program'!$C$8),N('Bonding Program'!$O$38),0)</f>
        <v>0</v>
      </c>
      <c r="BA179" s="19" t="n">
        <f aca="false">IF(AND('Bonding Program'!$S$38=1,'Bonding Program'!$H$38&gt;'Bonding Program'!$C$8,BA$3='Bonding Program'!$H$38),'Bonding Program'!$T$38-'Bonding Program'!$U$38-'Bonding Program'!$Z$38,0)-IF(AND('Bonding Program'!$S$38=1,'Bonding Program'!$H$38&lt;='Bonding Program'!$C$8,BA$3=IF('Bonding Program'!$P$38&lt;&gt;"",'Bonding Program'!$P$38,'Bonding Program'!$C$8)),'Bonding Program'!$Z$38,0)+IF(AND('Bonding Program'!$P$38&lt;&gt;"",BA$3='Bonding Program'!$P$38,BA$3&lt;='Bonding Program'!$C$8),N('Bonding Program'!$O$38),0)</f>
        <v>0</v>
      </c>
      <c r="BB179" s="19" t="n">
        <f aca="false">IF(AND('Bonding Program'!$S$38=1,'Bonding Program'!$H$38&gt;'Bonding Program'!$C$8,BB$3='Bonding Program'!$H$38),'Bonding Program'!$T$38-'Bonding Program'!$U$38-'Bonding Program'!$Z$38,0)-IF(AND('Bonding Program'!$S$38=1,'Bonding Program'!$H$38&lt;='Bonding Program'!$C$8,BB$3=IF('Bonding Program'!$P$38&lt;&gt;"",'Bonding Program'!$P$38,'Bonding Program'!$C$8)),'Bonding Program'!$Z$38,0)+IF(AND('Bonding Program'!$P$38&lt;&gt;"",BB$3='Bonding Program'!$P$38,BB$3&lt;='Bonding Program'!$C$8),N('Bonding Program'!$O$38),0)</f>
        <v>0</v>
      </c>
      <c r="BC179" s="19" t="n">
        <f aca="false">IF(AND('Bonding Program'!$S$38=1,'Bonding Program'!$H$38&gt;'Bonding Program'!$C$8,BC$3='Bonding Program'!$H$38),'Bonding Program'!$T$38-'Bonding Program'!$U$38-'Bonding Program'!$Z$38,0)-IF(AND('Bonding Program'!$S$38=1,'Bonding Program'!$H$38&lt;='Bonding Program'!$C$8,BC$3=IF('Bonding Program'!$P$38&lt;&gt;"",'Bonding Program'!$P$38,'Bonding Program'!$C$8)),'Bonding Program'!$Z$38,0)+IF(AND('Bonding Program'!$P$38&lt;&gt;"",BC$3='Bonding Program'!$P$38,BC$3&lt;='Bonding Program'!$C$8),N('Bonding Program'!$O$38),0)</f>
        <v>0</v>
      </c>
      <c r="BD179" s="19" t="n">
        <f aca="false">IF(AND('Bonding Program'!$S$38=1,'Bonding Program'!$H$38&gt;'Bonding Program'!$C$8,BD$3='Bonding Program'!$H$38),'Bonding Program'!$T$38-'Bonding Program'!$U$38-'Bonding Program'!$Z$38,0)-IF(AND('Bonding Program'!$S$38=1,'Bonding Program'!$H$38&lt;='Bonding Program'!$C$8,BD$3=IF('Bonding Program'!$P$38&lt;&gt;"",'Bonding Program'!$P$38,'Bonding Program'!$C$8)),'Bonding Program'!$Z$38,0)+IF(AND('Bonding Program'!$P$38&lt;&gt;"",BD$3='Bonding Program'!$P$38,BD$3&lt;='Bonding Program'!$C$8),N('Bonding Program'!$O$38),0)</f>
        <v>0</v>
      </c>
      <c r="BE179" s="19" t="n">
        <f aca="false">IF(AND('Bonding Program'!$S$38=1,'Bonding Program'!$H$38&gt;'Bonding Program'!$C$8,BE$3='Bonding Program'!$H$38),'Bonding Program'!$T$38-'Bonding Program'!$U$38-'Bonding Program'!$Z$38,0)-IF(AND('Bonding Program'!$S$38=1,'Bonding Program'!$H$38&lt;='Bonding Program'!$C$8,BE$3=IF('Bonding Program'!$P$38&lt;&gt;"",'Bonding Program'!$P$38,'Bonding Program'!$C$8)),'Bonding Program'!$Z$38,0)+IF(AND('Bonding Program'!$P$38&lt;&gt;"",BE$3='Bonding Program'!$P$38,BE$3&lt;='Bonding Program'!$C$8),N('Bonding Program'!$O$38),0)</f>
        <v>0</v>
      </c>
      <c r="BF179" s="19" t="n">
        <f aca="false">IF(AND('Bonding Program'!$S$38=1,'Bonding Program'!$H$38&gt;'Bonding Program'!$C$8,BF$3='Bonding Program'!$H$38),'Bonding Program'!$T$38-'Bonding Program'!$U$38-'Bonding Program'!$Z$38,0)-IF(AND('Bonding Program'!$S$38=1,'Bonding Program'!$H$38&lt;='Bonding Program'!$C$8,BF$3=IF('Bonding Program'!$P$38&lt;&gt;"",'Bonding Program'!$P$38,'Bonding Program'!$C$8)),'Bonding Program'!$Z$38,0)+IF(AND('Bonding Program'!$P$38&lt;&gt;"",BF$3='Bonding Program'!$P$38,BF$3&lt;='Bonding Program'!$C$8),N('Bonding Program'!$O$38),0)</f>
        <v>0</v>
      </c>
      <c r="BG179" s="19" t="n">
        <f aca="false">IF(AND('Bonding Program'!$S$38=1,'Bonding Program'!$H$38&gt;'Bonding Program'!$C$8,BG$3='Bonding Program'!$H$38),'Bonding Program'!$T$38-'Bonding Program'!$U$38-'Bonding Program'!$Z$38,0)-IF(AND('Bonding Program'!$S$38=1,'Bonding Program'!$H$38&lt;='Bonding Program'!$C$8,BG$3=IF('Bonding Program'!$P$38&lt;&gt;"",'Bonding Program'!$P$38,'Bonding Program'!$C$8)),'Bonding Program'!$Z$38,0)+IF(AND('Bonding Program'!$P$38&lt;&gt;"",BG$3='Bonding Program'!$P$38,BG$3&lt;='Bonding Program'!$C$8),N('Bonding Program'!$O$38),0)</f>
        <v>0</v>
      </c>
      <c r="BH179" s="19" t="n">
        <f aca="false">IF(AND('Bonding Program'!$S$38=1,'Bonding Program'!$H$38&gt;'Bonding Program'!$C$8,BH$3='Bonding Program'!$H$38),'Bonding Program'!$T$38-'Bonding Program'!$U$38-'Bonding Program'!$Z$38,0)-IF(AND('Bonding Program'!$S$38=1,'Bonding Program'!$H$38&lt;='Bonding Program'!$C$8,BH$3=IF('Bonding Program'!$P$38&lt;&gt;"",'Bonding Program'!$P$38,'Bonding Program'!$C$8)),'Bonding Program'!$Z$38,0)+IF(AND('Bonding Program'!$P$38&lt;&gt;"",BH$3='Bonding Program'!$P$38,BH$3&lt;='Bonding Program'!$C$8),N('Bonding Program'!$O$38),0)</f>
        <v>0</v>
      </c>
      <c r="BI179" s="19" t="n">
        <f aca="false">IF(AND('Bonding Program'!$S$38=1,'Bonding Program'!$H$38&gt;'Bonding Program'!$C$8,BI$3='Bonding Program'!$H$38),'Bonding Program'!$T$38-'Bonding Program'!$U$38-'Bonding Program'!$Z$38,0)-IF(AND('Bonding Program'!$S$38=1,'Bonding Program'!$H$38&lt;='Bonding Program'!$C$8,BI$3=IF('Bonding Program'!$P$38&lt;&gt;"",'Bonding Program'!$P$38,'Bonding Program'!$C$8)),'Bonding Program'!$Z$38,0)+IF(AND('Bonding Program'!$P$38&lt;&gt;"",BI$3='Bonding Program'!$P$38,BI$3&lt;='Bonding Program'!$C$8),N('Bonding Program'!$O$38),0)</f>
        <v>0</v>
      </c>
      <c r="BJ179" s="19" t="n">
        <f aca="false">IF(AND('Bonding Program'!$S$38=1,'Bonding Program'!$H$38&gt;'Bonding Program'!$C$8,BJ$3='Bonding Program'!$H$38),'Bonding Program'!$T$38-'Bonding Program'!$U$38-'Bonding Program'!$Z$38,0)-IF(AND('Bonding Program'!$S$38=1,'Bonding Program'!$H$38&lt;='Bonding Program'!$C$8,BJ$3=IF('Bonding Program'!$P$38&lt;&gt;"",'Bonding Program'!$P$38,'Bonding Program'!$C$8)),'Bonding Program'!$Z$38,0)+IF(AND('Bonding Program'!$P$38&lt;&gt;"",BJ$3='Bonding Program'!$P$38,BJ$3&lt;='Bonding Program'!$C$8),N('Bonding Program'!$O$38),0)</f>
        <v>0</v>
      </c>
      <c r="BK179" s="19" t="n">
        <f aca="false">IF(AND('Bonding Program'!$S$38=1,'Bonding Program'!$H$38&gt;'Bonding Program'!$C$8,BK$3='Bonding Program'!$H$38),'Bonding Program'!$T$38-'Bonding Program'!$U$38-'Bonding Program'!$Z$38,0)-IF(AND('Bonding Program'!$S$38=1,'Bonding Program'!$H$38&lt;='Bonding Program'!$C$8,BK$3=IF('Bonding Program'!$P$38&lt;&gt;"",'Bonding Program'!$P$38,'Bonding Program'!$C$8)),'Bonding Program'!$Z$38,0)+IF(AND('Bonding Program'!$P$38&lt;&gt;"",BK$3='Bonding Program'!$P$38,BK$3&lt;='Bonding Program'!$C$8),N('Bonding Program'!$O$38),0)</f>
        <v>0</v>
      </c>
      <c r="BL179" s="19" t="n">
        <f aca="false">IF(AND('Bonding Program'!$S$38=1,'Bonding Program'!$H$38&gt;'Bonding Program'!$C$8,BL$3='Bonding Program'!$H$38),'Bonding Program'!$T$38-'Bonding Program'!$U$38-'Bonding Program'!$Z$38,0)-IF(AND('Bonding Program'!$S$38=1,'Bonding Program'!$H$38&lt;='Bonding Program'!$C$8,BL$3=IF('Bonding Program'!$P$38&lt;&gt;"",'Bonding Program'!$P$38,'Bonding Program'!$C$8)),'Bonding Program'!$Z$38,0)+IF(AND('Bonding Program'!$P$38&lt;&gt;"",BL$3='Bonding Program'!$P$38,BL$3&lt;='Bonding Program'!$C$8),N('Bonding Program'!$O$38),0)</f>
        <v>0</v>
      </c>
      <c r="BM179" s="19" t="n">
        <f aca="false">IF(AND('Bonding Program'!$S$38=1,'Bonding Program'!$H$38&gt;'Bonding Program'!$C$8,BM$3='Bonding Program'!$H$38),'Bonding Program'!$T$38-'Bonding Program'!$U$38-'Bonding Program'!$Z$38,0)-IF(AND('Bonding Program'!$S$38=1,'Bonding Program'!$H$38&lt;='Bonding Program'!$C$8,BM$3=IF('Bonding Program'!$P$38&lt;&gt;"",'Bonding Program'!$P$38,'Bonding Program'!$C$8)),'Bonding Program'!$Z$38,0)+IF(AND('Bonding Program'!$P$38&lt;&gt;"",BM$3='Bonding Program'!$P$38,BM$3&lt;='Bonding Program'!$C$8),N('Bonding Program'!$O$38),0)</f>
        <v>0</v>
      </c>
      <c r="BN179" s="19" t="n">
        <f aca="false">IF(AND('Bonding Program'!$S$38=1,'Bonding Program'!$H$38&gt;'Bonding Program'!$C$8,BN$3='Bonding Program'!$H$38),'Bonding Program'!$T$38-'Bonding Program'!$U$38-'Bonding Program'!$Z$38,0)-IF(AND('Bonding Program'!$S$38=1,'Bonding Program'!$H$38&lt;='Bonding Program'!$C$8,BN$3=IF('Bonding Program'!$P$38&lt;&gt;"",'Bonding Program'!$P$38,'Bonding Program'!$C$8)),'Bonding Program'!$Z$38,0)+IF(AND('Bonding Program'!$P$38&lt;&gt;"",BN$3='Bonding Program'!$P$38,BN$3&lt;='Bonding Program'!$C$8),N('Bonding Program'!$O$38),0)</f>
        <v>0</v>
      </c>
      <c r="BO179" s="19" t="n">
        <f aca="false">IF(AND('Bonding Program'!$S$38=1,'Bonding Program'!$H$38&gt;'Bonding Program'!$C$8,BO$3='Bonding Program'!$H$38),'Bonding Program'!$T$38-'Bonding Program'!$U$38-'Bonding Program'!$Z$38,0)-IF(AND('Bonding Program'!$S$38=1,'Bonding Program'!$H$38&lt;='Bonding Program'!$C$8,BO$3=IF('Bonding Program'!$P$38&lt;&gt;"",'Bonding Program'!$P$38,'Bonding Program'!$C$8)),'Bonding Program'!$Z$38,0)+IF(AND('Bonding Program'!$P$38&lt;&gt;"",BO$3='Bonding Program'!$P$38,BO$3&lt;='Bonding Program'!$C$8),N('Bonding Program'!$O$38),0)</f>
        <v>0</v>
      </c>
      <c r="BP179" s="19" t="n">
        <f aca="false">IF(AND('Bonding Program'!$S$38=1,'Bonding Program'!$H$38&gt;'Bonding Program'!$C$8,BP$3='Bonding Program'!$H$38),'Bonding Program'!$T$38-'Bonding Program'!$U$38-'Bonding Program'!$Z$38,0)-IF(AND('Bonding Program'!$S$38=1,'Bonding Program'!$H$38&lt;='Bonding Program'!$C$8,BP$3=IF('Bonding Program'!$P$38&lt;&gt;"",'Bonding Program'!$P$38,'Bonding Program'!$C$8)),'Bonding Program'!$Z$38,0)+IF(AND('Bonding Program'!$P$38&lt;&gt;"",BP$3='Bonding Program'!$P$38,BP$3&lt;='Bonding Program'!$C$8),N('Bonding Program'!$O$38),0)</f>
        <v>0</v>
      </c>
      <c r="BQ179" s="19" t="n">
        <f aca="false">IF(AND('Bonding Program'!$S$38=1,'Bonding Program'!$H$38&gt;'Bonding Program'!$C$8,BQ$3='Bonding Program'!$H$38),'Bonding Program'!$T$38-'Bonding Program'!$U$38-'Bonding Program'!$Z$38,0)-IF(AND('Bonding Program'!$S$38=1,'Bonding Program'!$H$38&lt;='Bonding Program'!$C$8,BQ$3=IF('Bonding Program'!$P$38&lt;&gt;"",'Bonding Program'!$P$38,'Bonding Program'!$C$8)),'Bonding Program'!$Z$38,0)+IF(AND('Bonding Program'!$P$38&lt;&gt;"",BQ$3='Bonding Program'!$P$38,BQ$3&lt;='Bonding Program'!$C$8),N('Bonding Program'!$O$38),0)</f>
        <v>0</v>
      </c>
      <c r="BR179" s="19" t="n">
        <f aca="false">IF(AND('Bonding Program'!$S$38=1,'Bonding Program'!$H$38&gt;'Bonding Program'!$C$8,BR$3='Bonding Program'!$H$38),'Bonding Program'!$T$38-'Bonding Program'!$U$38-'Bonding Program'!$Z$38,0)-IF(AND('Bonding Program'!$S$38=1,'Bonding Program'!$H$38&lt;='Bonding Program'!$C$8,BR$3=IF('Bonding Program'!$P$38&lt;&gt;"",'Bonding Program'!$P$38,'Bonding Program'!$C$8)),'Bonding Program'!$Z$38,0)+IF(AND('Bonding Program'!$P$38&lt;&gt;"",BR$3='Bonding Program'!$P$38,BR$3&lt;='Bonding Program'!$C$8),N('Bonding Program'!$O$38),0)</f>
        <v>0</v>
      </c>
      <c r="BS179" s="19" t="n">
        <f aca="false">IF(AND('Bonding Program'!$S$38=1,'Bonding Program'!$H$38&gt;'Bonding Program'!$C$8,BS$3='Bonding Program'!$H$38),'Bonding Program'!$T$38-'Bonding Program'!$U$38-'Bonding Program'!$Z$38,0)-IF(AND('Bonding Program'!$S$38=1,'Bonding Program'!$H$38&lt;='Bonding Program'!$C$8,BS$3=IF('Bonding Program'!$P$38&lt;&gt;"",'Bonding Program'!$P$38,'Bonding Program'!$C$8)),'Bonding Program'!$Z$38,0)+IF(AND('Bonding Program'!$P$38&lt;&gt;"",BS$3='Bonding Program'!$P$38,BS$3&lt;='Bonding Program'!$C$8),N('Bonding Program'!$O$38),0)</f>
        <v>0</v>
      </c>
      <c r="BT179" s="19" t="n">
        <f aca="false">IF(AND('Bonding Program'!$S$38=1,'Bonding Program'!$H$38&gt;'Bonding Program'!$C$8,BT$3='Bonding Program'!$H$38),'Bonding Program'!$T$38-'Bonding Program'!$U$38-'Bonding Program'!$Z$38,0)-IF(AND('Bonding Program'!$S$38=1,'Bonding Program'!$H$38&lt;='Bonding Program'!$C$8,BT$3=IF('Bonding Program'!$P$38&lt;&gt;"",'Bonding Program'!$P$38,'Bonding Program'!$C$8)),'Bonding Program'!$Z$38,0)+IF(AND('Bonding Program'!$P$38&lt;&gt;"",BT$3='Bonding Program'!$P$38,BT$3&lt;='Bonding Program'!$C$8),N('Bonding Program'!$O$38),0)</f>
        <v>0</v>
      </c>
      <c r="BU179" s="19" t="n">
        <f aca="false">IF(AND('Bonding Program'!$S$38=1,'Bonding Program'!$H$38&gt;'Bonding Program'!$C$8,BU$3='Bonding Program'!$H$38),'Bonding Program'!$T$38-'Bonding Program'!$U$38-'Bonding Program'!$Z$38,0)-IF(AND('Bonding Program'!$S$38=1,'Bonding Program'!$H$38&lt;='Bonding Program'!$C$8,BU$3=IF('Bonding Program'!$P$38&lt;&gt;"",'Bonding Program'!$P$38,'Bonding Program'!$C$8)),'Bonding Program'!$Z$38,0)+IF(AND('Bonding Program'!$P$38&lt;&gt;"",BU$3='Bonding Program'!$P$38,BU$3&lt;='Bonding Program'!$C$8),N('Bonding Program'!$O$38),0)</f>
        <v>0</v>
      </c>
      <c r="BV179" s="19" t="n">
        <f aca="false">IF(AND('Bonding Program'!$S$38=1,'Bonding Program'!$H$38&gt;'Bonding Program'!$C$8,BV$3='Bonding Program'!$H$38),'Bonding Program'!$T$38-'Bonding Program'!$U$38-'Bonding Program'!$Z$38,0)-IF(AND('Bonding Program'!$S$38=1,'Bonding Program'!$H$38&lt;='Bonding Program'!$C$8,BV$3=IF('Bonding Program'!$P$38&lt;&gt;"",'Bonding Program'!$P$38,'Bonding Program'!$C$8)),'Bonding Program'!$Z$38,0)+IF(AND('Bonding Program'!$P$38&lt;&gt;"",BV$3='Bonding Program'!$P$38,BV$3&lt;='Bonding Program'!$C$8),N('Bonding Program'!$O$38),0)</f>
        <v>0</v>
      </c>
      <c r="BW179" s="19" t="n">
        <f aca="false">IF(AND('Bonding Program'!$S$38=1,'Bonding Program'!$H$38&gt;'Bonding Program'!$C$8,BW$3='Bonding Program'!$H$38),'Bonding Program'!$T$38-'Bonding Program'!$U$38-'Bonding Program'!$Z$38,0)-IF(AND('Bonding Program'!$S$38=1,'Bonding Program'!$H$38&lt;='Bonding Program'!$C$8,BW$3=IF('Bonding Program'!$P$38&lt;&gt;"",'Bonding Program'!$P$38,'Bonding Program'!$C$8)),'Bonding Program'!$Z$38,0)+IF(AND('Bonding Program'!$P$38&lt;&gt;"",BW$3='Bonding Program'!$P$38,BW$3&lt;='Bonding Program'!$C$8),N('Bonding Program'!$O$38),0)</f>
        <v>0</v>
      </c>
      <c r="BX179" s="19" t="n">
        <f aca="false">IF(AND('Bonding Program'!$S$38=1,'Bonding Program'!$H$38&gt;'Bonding Program'!$C$8,BX$3='Bonding Program'!$H$38),'Bonding Program'!$T$38-'Bonding Program'!$U$38-'Bonding Program'!$Z$38,0)-IF(AND('Bonding Program'!$S$38=1,'Bonding Program'!$H$38&lt;='Bonding Program'!$C$8,BX$3=IF('Bonding Program'!$P$38&lt;&gt;"",'Bonding Program'!$P$38,'Bonding Program'!$C$8)),'Bonding Program'!$Z$38,0)+IF(AND('Bonding Program'!$P$38&lt;&gt;"",BX$3='Bonding Program'!$P$38,BX$3&lt;='Bonding Program'!$C$8),N('Bonding Program'!$O$38),0)</f>
        <v>0</v>
      </c>
      <c r="BY179" s="19" t="n">
        <f aca="false">IF(AND('Bonding Program'!$S$38=1,'Bonding Program'!$H$38&gt;'Bonding Program'!$C$8,BY$3='Bonding Program'!$H$38),'Bonding Program'!$T$38-'Bonding Program'!$U$38-'Bonding Program'!$Z$38,0)-IF(AND('Bonding Program'!$S$38=1,'Bonding Program'!$H$38&lt;='Bonding Program'!$C$8,BY$3=IF('Bonding Program'!$P$38&lt;&gt;"",'Bonding Program'!$P$38,'Bonding Program'!$C$8)),'Bonding Program'!$Z$38,0)+IF(AND('Bonding Program'!$P$38&lt;&gt;"",BY$3='Bonding Program'!$P$38,BY$3&lt;='Bonding Program'!$C$8),N('Bonding Program'!$O$38),0)</f>
        <v>0</v>
      </c>
      <c r="BZ179" s="19" t="n">
        <f aca="false">IF(AND('Bonding Program'!$S$38=1,'Bonding Program'!$H$38&gt;'Bonding Program'!$C$8,BZ$3='Bonding Program'!$H$38),'Bonding Program'!$T$38-'Bonding Program'!$U$38-'Bonding Program'!$Z$38,0)-IF(AND('Bonding Program'!$S$38=1,'Bonding Program'!$H$38&lt;='Bonding Program'!$C$8,BZ$3=IF('Bonding Program'!$P$38&lt;&gt;"",'Bonding Program'!$P$38,'Bonding Program'!$C$8)),'Bonding Program'!$Z$38,0)+IF(AND('Bonding Program'!$P$38&lt;&gt;"",BZ$3='Bonding Program'!$P$38,BZ$3&lt;='Bonding Program'!$C$8),N('Bonding Program'!$O$38),0)</f>
        <v>0</v>
      </c>
      <c r="CA179" s="19" t="n">
        <f aca="false">IF(AND('Bonding Program'!$S$38=1,'Bonding Program'!$H$38&gt;'Bonding Program'!$C$8,CA$3='Bonding Program'!$H$38),'Bonding Program'!$T$38-'Bonding Program'!$U$38-'Bonding Program'!$Z$38,0)-IF(AND('Bonding Program'!$S$38=1,'Bonding Program'!$H$38&lt;='Bonding Program'!$C$8,CA$3=IF('Bonding Program'!$P$38&lt;&gt;"",'Bonding Program'!$P$38,'Bonding Program'!$C$8)),'Bonding Program'!$Z$38,0)+IF(AND('Bonding Program'!$P$38&lt;&gt;"",CA$3='Bonding Program'!$P$38,CA$3&lt;='Bonding Program'!$C$8),N('Bonding Program'!$O$38),0)</f>
        <v>0</v>
      </c>
      <c r="CB179" s="19" t="n">
        <f aca="false">IF(AND('Bonding Program'!$S$38=1,'Bonding Program'!$H$38&gt;'Bonding Program'!$C$8,CB$3='Bonding Program'!$H$38),'Bonding Program'!$T$38-'Bonding Program'!$U$38-'Bonding Program'!$Z$38,0)-IF(AND('Bonding Program'!$S$38=1,'Bonding Program'!$H$38&lt;='Bonding Program'!$C$8,CB$3=IF('Bonding Program'!$P$38&lt;&gt;"",'Bonding Program'!$P$38,'Bonding Program'!$C$8)),'Bonding Program'!$Z$38,0)+IF(AND('Bonding Program'!$P$38&lt;&gt;"",CB$3='Bonding Program'!$P$38,CB$3&lt;='Bonding Program'!$C$8),N('Bonding Program'!$O$38),0)</f>
        <v>0</v>
      </c>
      <c r="CC179" s="19" t="n">
        <f aca="false">IF(AND('Bonding Program'!$S$38=1,'Bonding Program'!$H$38&gt;'Bonding Program'!$C$8,CC$3='Bonding Program'!$H$38),'Bonding Program'!$T$38-'Bonding Program'!$U$38-'Bonding Program'!$Z$38,0)-IF(AND('Bonding Program'!$S$38=1,'Bonding Program'!$H$38&lt;='Bonding Program'!$C$8,CC$3=IF('Bonding Program'!$P$38&lt;&gt;"",'Bonding Program'!$P$38,'Bonding Program'!$C$8)),'Bonding Program'!$Z$38,0)+IF(AND('Bonding Program'!$P$38&lt;&gt;"",CC$3='Bonding Program'!$P$38,CC$3&lt;='Bonding Program'!$C$8),N('Bonding Program'!$O$38),0)</f>
        <v>0</v>
      </c>
      <c r="CD179" s="19" t="n">
        <f aca="false">IF(AND('Bonding Program'!$S$38=1,'Bonding Program'!$H$38&gt;'Bonding Program'!$C$8,CD$3='Bonding Program'!$H$38),'Bonding Program'!$T$38-'Bonding Program'!$U$38-'Bonding Program'!$Z$38,0)-IF(AND('Bonding Program'!$S$38=1,'Bonding Program'!$H$38&lt;='Bonding Program'!$C$8,CD$3=IF('Bonding Program'!$P$38&lt;&gt;"",'Bonding Program'!$P$38,'Bonding Program'!$C$8)),'Bonding Program'!$Z$38,0)+IF(AND('Bonding Program'!$P$38&lt;&gt;"",CD$3='Bonding Program'!$P$38,CD$3&lt;='Bonding Program'!$C$8),N('Bonding Program'!$O$38),0)</f>
        <v>0</v>
      </c>
      <c r="CE179" s="19" t="n">
        <f aca="false">IF(AND('Bonding Program'!$S$38=1,'Bonding Program'!$H$38&gt;'Bonding Program'!$C$8,CE$3='Bonding Program'!$H$38),'Bonding Program'!$T$38-'Bonding Program'!$U$38-'Bonding Program'!$Z$38,0)-IF(AND('Bonding Program'!$S$38=1,'Bonding Program'!$H$38&lt;='Bonding Program'!$C$8,CE$3=IF('Bonding Program'!$P$38&lt;&gt;"",'Bonding Program'!$P$38,'Bonding Program'!$C$8)),'Bonding Program'!$Z$38,0)+IF(AND('Bonding Program'!$P$38&lt;&gt;"",CE$3='Bonding Program'!$P$38,CE$3&lt;='Bonding Program'!$C$8),N('Bonding Program'!$O$38),0)</f>
        <v>0</v>
      </c>
      <c r="CF179" s="19" t="n">
        <f aca="false">IF(AND('Bonding Program'!$S$38=1,'Bonding Program'!$H$38&gt;'Bonding Program'!$C$8,CF$3='Bonding Program'!$H$38),'Bonding Program'!$T$38-'Bonding Program'!$U$38-'Bonding Program'!$Z$38,0)-IF(AND('Bonding Program'!$S$38=1,'Bonding Program'!$H$38&lt;='Bonding Program'!$C$8,CF$3=IF('Bonding Program'!$P$38&lt;&gt;"",'Bonding Program'!$P$38,'Bonding Program'!$C$8)),'Bonding Program'!$Z$38,0)+IF(AND('Bonding Program'!$P$38&lt;&gt;"",CF$3='Bonding Program'!$P$38,CF$3&lt;='Bonding Program'!$C$8),N('Bonding Program'!$O$38),0)</f>
        <v>0</v>
      </c>
      <c r="CG179" s="19" t="n">
        <f aca="false">IF(AND('Bonding Program'!$S$38=1,'Bonding Program'!$H$38&gt;'Bonding Program'!$C$8,CG$3='Bonding Program'!$H$38),'Bonding Program'!$T$38-'Bonding Program'!$U$38-'Bonding Program'!$Z$38,0)-IF(AND('Bonding Program'!$S$38=1,'Bonding Program'!$H$38&lt;='Bonding Program'!$C$8,CG$3=IF('Bonding Program'!$P$38&lt;&gt;"",'Bonding Program'!$P$38,'Bonding Program'!$C$8)),'Bonding Program'!$Z$38,0)+IF(AND('Bonding Program'!$P$38&lt;&gt;"",CG$3='Bonding Program'!$P$38,CG$3&lt;='Bonding Program'!$C$8),N('Bonding Program'!$O$38),0)</f>
        <v>0</v>
      </c>
      <c r="CH179" s="19" t="n">
        <f aca="false">IF(AND('Bonding Program'!$S$38=1,'Bonding Program'!$H$38&gt;'Bonding Program'!$C$8,CH$3='Bonding Program'!$H$38),'Bonding Program'!$T$38-'Bonding Program'!$U$38-'Bonding Program'!$Z$38,0)-IF(AND('Bonding Program'!$S$38=1,'Bonding Program'!$H$38&lt;='Bonding Program'!$C$8,CH$3=IF('Bonding Program'!$P$38&lt;&gt;"",'Bonding Program'!$P$38,'Bonding Program'!$C$8)),'Bonding Program'!$Z$38,0)+IF(AND('Bonding Program'!$P$38&lt;&gt;"",CH$3='Bonding Program'!$P$38,CH$3&lt;='Bonding Program'!$C$8),N('Bonding Program'!$O$38),0)</f>
        <v>0</v>
      </c>
      <c r="CI179" s="19" t="n">
        <f aca="false">IF(AND('Bonding Program'!$S$38=1,'Bonding Program'!$H$38&gt;'Bonding Program'!$C$8,CI$3='Bonding Program'!$H$38),'Bonding Program'!$T$38-'Bonding Program'!$U$38-'Bonding Program'!$Z$38,0)-IF(AND('Bonding Program'!$S$38=1,'Bonding Program'!$H$38&lt;='Bonding Program'!$C$8,CI$3=IF('Bonding Program'!$P$38&lt;&gt;"",'Bonding Program'!$P$38,'Bonding Program'!$C$8)),'Bonding Program'!$Z$38,0)+IF(AND('Bonding Program'!$P$38&lt;&gt;"",CI$3='Bonding Program'!$P$38,CI$3&lt;='Bonding Program'!$C$8),N('Bonding Program'!$O$38),0)</f>
        <v>0</v>
      </c>
      <c r="CJ179" s="19" t="n">
        <f aca="false">IF(AND('Bonding Program'!$S$38=1,'Bonding Program'!$H$38&gt;'Bonding Program'!$C$8,CJ$3='Bonding Program'!$H$38),'Bonding Program'!$T$38-'Bonding Program'!$U$38-'Bonding Program'!$Z$38,0)-IF(AND('Bonding Program'!$S$38=1,'Bonding Program'!$H$38&lt;='Bonding Program'!$C$8,CJ$3=IF('Bonding Program'!$P$38&lt;&gt;"",'Bonding Program'!$P$38,'Bonding Program'!$C$8)),'Bonding Program'!$Z$38,0)+IF(AND('Bonding Program'!$P$38&lt;&gt;"",CJ$3='Bonding Program'!$P$38,CJ$3&lt;='Bonding Program'!$C$8),N('Bonding Program'!$O$38),0)</f>
        <v>0</v>
      </c>
      <c r="CK179" s="19" t="n">
        <f aca="false">IF(AND('Bonding Program'!$S$38=1,'Bonding Program'!$H$38&gt;'Bonding Program'!$C$8,CK$3='Bonding Program'!$H$38),'Bonding Program'!$T$38-'Bonding Program'!$U$38-'Bonding Program'!$Z$38,0)-IF(AND('Bonding Program'!$S$38=1,'Bonding Program'!$H$38&lt;='Bonding Program'!$C$8,CK$3=IF('Bonding Program'!$P$38&lt;&gt;"",'Bonding Program'!$P$38,'Bonding Program'!$C$8)),'Bonding Program'!$Z$38,0)+IF(AND('Bonding Program'!$P$38&lt;&gt;"",CK$3='Bonding Program'!$P$38,CK$3&lt;='Bonding Program'!$C$8),N('Bonding Program'!$O$38),0)</f>
        <v>0</v>
      </c>
      <c r="CL179" s="19" t="n">
        <f aca="false">IF(AND('Bonding Program'!$S$38=1,'Bonding Program'!$H$38&gt;'Bonding Program'!$C$8,CL$3='Bonding Program'!$H$38),'Bonding Program'!$T$38-'Bonding Program'!$U$38-'Bonding Program'!$Z$38,0)-IF(AND('Bonding Program'!$S$38=1,'Bonding Program'!$H$38&lt;='Bonding Program'!$C$8,CL$3=IF('Bonding Program'!$P$38&lt;&gt;"",'Bonding Program'!$P$38,'Bonding Program'!$C$8)),'Bonding Program'!$Z$38,0)+IF(AND('Bonding Program'!$P$38&lt;&gt;"",CL$3='Bonding Program'!$P$38,CL$3&lt;='Bonding Program'!$C$8),N('Bonding Program'!$O$38),0)</f>
        <v>0</v>
      </c>
      <c r="CM179" s="19" t="n">
        <f aca="false">IF(AND('Bonding Program'!$S$38=1,'Bonding Program'!$H$38&gt;'Bonding Program'!$C$8,CM$3='Bonding Program'!$H$38),'Bonding Program'!$T$38-'Bonding Program'!$U$38-'Bonding Program'!$Z$38,0)-IF(AND('Bonding Program'!$S$38=1,'Bonding Program'!$H$38&lt;='Bonding Program'!$C$8,CM$3=IF('Bonding Program'!$P$38&lt;&gt;"",'Bonding Program'!$P$38,'Bonding Program'!$C$8)),'Bonding Program'!$Z$38,0)+IF(AND('Bonding Program'!$P$38&lt;&gt;"",CM$3='Bonding Program'!$P$38,CM$3&lt;='Bonding Program'!$C$8),N('Bonding Program'!$O$38),0)</f>
        <v>0</v>
      </c>
      <c r="CN179" s="19" t="n">
        <f aca="false">IF(AND('Bonding Program'!$S$38=1,'Bonding Program'!$H$38&gt;'Bonding Program'!$C$8,CN$3='Bonding Program'!$H$38),'Bonding Program'!$T$38-'Bonding Program'!$U$38-'Bonding Program'!$Z$38,0)-IF(AND('Bonding Program'!$S$38=1,'Bonding Program'!$H$38&lt;='Bonding Program'!$C$8,CN$3=IF('Bonding Program'!$P$38&lt;&gt;"",'Bonding Program'!$P$38,'Bonding Program'!$C$8)),'Bonding Program'!$Z$38,0)+IF(AND('Bonding Program'!$P$38&lt;&gt;"",CN$3='Bonding Program'!$P$38,CN$3&lt;='Bonding Program'!$C$8),N('Bonding Program'!$O$38),0)</f>
        <v>0</v>
      </c>
      <c r="CO179" s="19" t="n">
        <f aca="false">IF(AND('Bonding Program'!$S$38=1,'Bonding Program'!$H$38&gt;'Bonding Program'!$C$8,CO$3='Bonding Program'!$H$38),'Bonding Program'!$T$38-'Bonding Program'!$U$38-'Bonding Program'!$Z$38,0)-IF(AND('Bonding Program'!$S$38=1,'Bonding Program'!$H$38&lt;='Bonding Program'!$C$8,CO$3=IF('Bonding Program'!$P$38&lt;&gt;"",'Bonding Program'!$P$38,'Bonding Program'!$C$8)),'Bonding Program'!$Z$38,0)+IF(AND('Bonding Program'!$P$38&lt;&gt;"",CO$3='Bonding Program'!$P$38,CO$3&lt;='Bonding Program'!$C$8),N('Bonding Program'!$O$38),0)</f>
        <v>0</v>
      </c>
      <c r="CP179" s="19" t="n">
        <f aca="false">IF(AND('Bonding Program'!$S$38=1,'Bonding Program'!$H$38&gt;'Bonding Program'!$C$8,CP$3='Bonding Program'!$H$38),'Bonding Program'!$T$38-'Bonding Program'!$U$38-'Bonding Program'!$Z$38,0)-IF(AND('Bonding Program'!$S$38=1,'Bonding Program'!$H$38&lt;='Bonding Program'!$C$8,CP$3=IF('Bonding Program'!$P$38&lt;&gt;"",'Bonding Program'!$P$38,'Bonding Program'!$C$8)),'Bonding Program'!$Z$38,0)+IF(AND('Bonding Program'!$P$38&lt;&gt;"",CP$3='Bonding Program'!$P$38,CP$3&lt;='Bonding Program'!$C$8),N('Bonding Program'!$O$38),0)</f>
        <v>0</v>
      </c>
      <c r="CQ179" s="19" t="n">
        <f aca="false">IF(AND('Bonding Program'!$S$38=1,'Bonding Program'!$H$38&gt;'Bonding Program'!$C$8,CQ$3='Bonding Program'!$H$38),'Bonding Program'!$T$38-'Bonding Program'!$U$38-'Bonding Program'!$Z$38,0)-IF(AND('Bonding Program'!$S$38=1,'Bonding Program'!$H$38&lt;='Bonding Program'!$C$8,CQ$3=IF('Bonding Program'!$P$38&lt;&gt;"",'Bonding Program'!$P$38,'Bonding Program'!$C$8)),'Bonding Program'!$Z$38,0)+IF(AND('Bonding Program'!$P$38&lt;&gt;"",CQ$3='Bonding Program'!$P$38,CQ$3&lt;='Bonding Program'!$C$8),N('Bonding Program'!$O$38),0)</f>
        <v>0</v>
      </c>
      <c r="CR179" s="19" t="n">
        <f aca="false">IF(AND('Bonding Program'!$S$38=1,'Bonding Program'!$H$38&gt;'Bonding Program'!$C$8,CR$3='Bonding Program'!$H$38),'Bonding Program'!$T$38-'Bonding Program'!$U$38-'Bonding Program'!$Z$38,0)-IF(AND('Bonding Program'!$S$38=1,'Bonding Program'!$H$38&lt;='Bonding Program'!$C$8,CR$3=IF('Bonding Program'!$P$38&lt;&gt;"",'Bonding Program'!$P$38,'Bonding Program'!$C$8)),'Bonding Program'!$Z$38,0)+IF(AND('Bonding Program'!$P$38&lt;&gt;"",CR$3='Bonding Program'!$P$38,CR$3&lt;='Bonding Program'!$C$8),N('Bonding Program'!$O$38),0)</f>
        <v>0</v>
      </c>
      <c r="CS179" s="19" t="n">
        <f aca="false">IF(AND('Bonding Program'!$S$38=1,'Bonding Program'!$H$38&gt;'Bonding Program'!$C$8,CS$3='Bonding Program'!$H$38),'Bonding Program'!$T$38-'Bonding Program'!$U$38-'Bonding Program'!$Z$38,0)-IF(AND('Bonding Program'!$S$38=1,'Bonding Program'!$H$38&lt;='Bonding Program'!$C$8,CS$3=IF('Bonding Program'!$P$38&lt;&gt;"",'Bonding Program'!$P$38,'Bonding Program'!$C$8)),'Bonding Program'!$Z$38,0)+IF(AND('Bonding Program'!$P$38&lt;&gt;"",CS$3='Bonding Program'!$P$38,CS$3&lt;='Bonding Program'!$C$8),N('Bonding Program'!$O$38),0)</f>
        <v>0</v>
      </c>
      <c r="CT179" s="19" t="n">
        <f aca="false">IF(AND('Bonding Program'!$S$38=1,'Bonding Program'!$H$38&gt;'Bonding Program'!$C$8,CT$3='Bonding Program'!$H$38),'Bonding Program'!$T$38-'Bonding Program'!$U$38-'Bonding Program'!$Z$38,0)-IF(AND('Bonding Program'!$S$38=1,'Bonding Program'!$H$38&lt;='Bonding Program'!$C$8,CT$3=IF('Bonding Program'!$P$38&lt;&gt;"",'Bonding Program'!$P$38,'Bonding Program'!$C$8)),'Bonding Program'!$Z$38,0)+IF(AND('Bonding Program'!$P$38&lt;&gt;"",CT$3='Bonding Program'!$P$38,CT$3&lt;='Bonding Program'!$C$8),N('Bonding Program'!$O$38),0)</f>
        <v>0</v>
      </c>
      <c r="CU179" s="19" t="n">
        <f aca="false">IF(AND('Bonding Program'!$S$38=1,'Bonding Program'!$H$38&gt;'Bonding Program'!$C$8,CU$3='Bonding Program'!$H$38),'Bonding Program'!$T$38-'Bonding Program'!$U$38-'Bonding Program'!$Z$38,0)-IF(AND('Bonding Program'!$S$38=1,'Bonding Program'!$H$38&lt;='Bonding Program'!$C$8,CU$3=IF('Bonding Program'!$P$38&lt;&gt;"",'Bonding Program'!$P$38,'Bonding Program'!$C$8)),'Bonding Program'!$Z$38,0)+IF(AND('Bonding Program'!$P$38&lt;&gt;"",CU$3='Bonding Program'!$P$38,CU$3&lt;='Bonding Program'!$C$8),N('Bonding Program'!$O$38),0)</f>
        <v>0</v>
      </c>
      <c r="CV179" s="19" t="n">
        <f aca="false">IF(AND('Bonding Program'!$S$38=1,'Bonding Program'!$H$38&gt;'Bonding Program'!$C$8,CV$3='Bonding Program'!$H$38),'Bonding Program'!$T$38-'Bonding Program'!$U$38-'Bonding Program'!$Z$38,0)-IF(AND('Bonding Program'!$S$38=1,'Bonding Program'!$H$38&lt;='Bonding Program'!$C$8,CV$3=IF('Bonding Program'!$P$38&lt;&gt;"",'Bonding Program'!$P$38,'Bonding Program'!$C$8)),'Bonding Program'!$Z$38,0)+IF(AND('Bonding Program'!$P$38&lt;&gt;"",CV$3='Bonding Program'!$P$38,CV$3&lt;='Bonding Program'!$C$8),N('Bonding Program'!$O$38),0)</f>
        <v>0</v>
      </c>
      <c r="CW179" s="19" t="n">
        <f aca="false">IF(AND('Bonding Program'!$S$38=1,'Bonding Program'!$H$38&gt;'Bonding Program'!$C$8,CW$3='Bonding Program'!$H$38),'Bonding Program'!$T$38-'Bonding Program'!$U$38-'Bonding Program'!$Z$38,0)-IF(AND('Bonding Program'!$S$38=1,'Bonding Program'!$H$38&lt;='Bonding Program'!$C$8,CW$3=IF('Bonding Program'!$P$38&lt;&gt;"",'Bonding Program'!$P$38,'Bonding Program'!$C$8)),'Bonding Program'!$Z$38,0)+IF(AND('Bonding Program'!$P$38&lt;&gt;"",CW$3='Bonding Program'!$P$38,CW$3&lt;='Bonding Program'!$C$8),N('Bonding Program'!$O$38),0)</f>
        <v>0</v>
      </c>
      <c r="CX179" s="19" t="n">
        <f aca="false">IF(AND('Bonding Program'!$S$38=1,'Bonding Program'!$H$38&gt;'Bonding Program'!$C$8,CX$3='Bonding Program'!$H$38),'Bonding Program'!$T$38-'Bonding Program'!$U$38-'Bonding Program'!$Z$38,0)-IF(AND('Bonding Program'!$S$38=1,'Bonding Program'!$H$38&lt;='Bonding Program'!$C$8,CX$3=IF('Bonding Program'!$P$38&lt;&gt;"",'Bonding Program'!$P$38,'Bonding Program'!$C$8)),'Bonding Program'!$Z$38,0)+IF(AND('Bonding Program'!$P$38&lt;&gt;"",CX$3='Bonding Program'!$P$38,CX$3&lt;='Bonding Program'!$C$8),N('Bonding Program'!$O$38),0)</f>
        <v>0</v>
      </c>
      <c r="CY179" s="19" t="n">
        <f aca="false">IF(AND('Bonding Program'!$S$38=1,'Bonding Program'!$H$38&gt;'Bonding Program'!$C$8,CY$3='Bonding Program'!$H$38),'Bonding Program'!$T$38-'Bonding Program'!$U$38-'Bonding Program'!$Z$38,0)-IF(AND('Bonding Program'!$S$38=1,'Bonding Program'!$H$38&lt;='Bonding Program'!$C$8,CY$3=IF('Bonding Program'!$P$38&lt;&gt;"",'Bonding Program'!$P$38,'Bonding Program'!$C$8)),'Bonding Program'!$Z$38,0)+IF(AND('Bonding Program'!$P$38&lt;&gt;"",CY$3='Bonding Program'!$P$38,CY$3&lt;='Bonding Program'!$C$8),N('Bonding Program'!$O$38),0)</f>
        <v>0</v>
      </c>
      <c r="CZ179" s="19" t="n">
        <f aca="false">IF(AND('Bonding Program'!$S$38=1,'Bonding Program'!$H$38&gt;'Bonding Program'!$C$8,CZ$3='Bonding Program'!$H$38),'Bonding Program'!$T$38-'Bonding Program'!$U$38-'Bonding Program'!$Z$38,0)-IF(AND('Bonding Program'!$S$38=1,'Bonding Program'!$H$38&lt;='Bonding Program'!$C$8,CZ$3=IF('Bonding Program'!$P$38&lt;&gt;"",'Bonding Program'!$P$38,'Bonding Program'!$C$8)),'Bonding Program'!$Z$38,0)+IF(AND('Bonding Program'!$P$38&lt;&gt;"",CZ$3='Bonding Program'!$P$38,CZ$3&lt;='Bonding Program'!$C$8),N('Bonding Program'!$O$38),0)</f>
        <v>0</v>
      </c>
      <c r="DA179" s="19" t="n">
        <f aca="false">IF(AND('Bonding Program'!$S$38=1,'Bonding Program'!$H$38&gt;'Bonding Program'!$C$8,DA$3='Bonding Program'!$H$38),'Bonding Program'!$T$38-'Bonding Program'!$U$38-'Bonding Program'!$Z$38,0)-IF(AND('Bonding Program'!$S$38=1,'Bonding Program'!$H$38&lt;='Bonding Program'!$C$8,DA$3=IF('Bonding Program'!$P$38&lt;&gt;"",'Bonding Program'!$P$38,'Bonding Program'!$C$8)),'Bonding Program'!$Z$38,0)+IF(AND('Bonding Program'!$P$38&lt;&gt;"",DA$3='Bonding Program'!$P$38,DA$3&lt;='Bonding Program'!$C$8),N('Bonding Program'!$O$38),0)</f>
        <v>0</v>
      </c>
      <c r="DB179" s="19" t="n">
        <f aca="false">IF(AND('Bonding Program'!$S$38=1,'Bonding Program'!$H$38&gt;'Bonding Program'!$C$8,DB$3='Bonding Program'!$H$38),'Bonding Program'!$T$38-'Bonding Program'!$U$38-'Bonding Program'!$Z$38,0)-IF(AND('Bonding Program'!$S$38=1,'Bonding Program'!$H$38&lt;='Bonding Program'!$C$8,DB$3=IF('Bonding Program'!$P$38&lt;&gt;"",'Bonding Program'!$P$38,'Bonding Program'!$C$8)),'Bonding Program'!$Z$38,0)+IF(AND('Bonding Program'!$P$38&lt;&gt;"",DB$3='Bonding Program'!$P$38,DB$3&lt;='Bonding Program'!$C$8),N('Bonding Program'!$O$38),0)</f>
        <v>0</v>
      </c>
      <c r="DC179" s="19" t="n">
        <f aca="false">IF(AND('Bonding Program'!$S$38=1,'Bonding Program'!$H$38&gt;'Bonding Program'!$C$8,DC$3='Bonding Program'!$H$38),'Bonding Program'!$T$38-'Bonding Program'!$U$38-'Bonding Program'!$Z$38,0)-IF(AND('Bonding Program'!$S$38=1,'Bonding Program'!$H$38&lt;='Bonding Program'!$C$8,DC$3=IF('Bonding Program'!$P$38&lt;&gt;"",'Bonding Program'!$P$38,'Bonding Program'!$C$8)),'Bonding Program'!$Z$38,0)+IF(AND('Bonding Program'!$P$38&lt;&gt;"",DC$3='Bonding Program'!$P$38,DC$3&lt;='Bonding Program'!$C$8),N('Bonding Program'!$O$38),0)</f>
        <v>0</v>
      </c>
      <c r="DD179" s="19" t="n">
        <f aca="false">IF(AND('Bonding Program'!$S$38=1,'Bonding Program'!$H$38&gt;'Bonding Program'!$C$8,DD$3='Bonding Program'!$H$38),'Bonding Program'!$T$38-'Bonding Program'!$U$38-'Bonding Program'!$Z$38,0)-IF(AND('Bonding Program'!$S$38=1,'Bonding Program'!$H$38&lt;='Bonding Program'!$C$8,DD$3=IF('Bonding Program'!$P$38&lt;&gt;"",'Bonding Program'!$P$38,'Bonding Program'!$C$8)),'Bonding Program'!$Z$38,0)+IF(AND('Bonding Program'!$P$38&lt;&gt;"",DD$3='Bonding Program'!$P$38,DD$3&lt;='Bonding Program'!$C$8),N('Bonding Program'!$O$38),0)</f>
        <v>0</v>
      </c>
      <c r="DE179" s="19" t="n">
        <f aca="false">IF(AND('Bonding Program'!$S$38=1,'Bonding Program'!$H$38&gt;'Bonding Program'!$C$8,DE$3='Bonding Program'!$H$38),'Bonding Program'!$T$38-'Bonding Program'!$U$38-'Bonding Program'!$Z$38,0)-IF(AND('Bonding Program'!$S$38=1,'Bonding Program'!$H$38&lt;='Bonding Program'!$C$8,DE$3=IF('Bonding Program'!$P$38&lt;&gt;"",'Bonding Program'!$P$38,'Bonding Program'!$C$8)),'Bonding Program'!$Z$38,0)+IF(AND('Bonding Program'!$P$38&lt;&gt;"",DE$3='Bonding Program'!$P$38,DE$3&lt;='Bonding Program'!$C$8),N('Bonding Program'!$O$38),0)</f>
        <v>0</v>
      </c>
    </row>
    <row r="180" customFormat="false" ht="15" hidden="false" customHeight="true" outlineLevel="1" collapsed="false">
      <c r="A180" s="28" t="s">
        <v>35</v>
      </c>
      <c r="B180" s="19" t="n">
        <f aca="false">IF(AND('Bonding Program'!$S$39=1,'Bonding Program'!$H$39&gt;'Bonding Program'!$C$8,B$3='Bonding Program'!$H$39),'Bonding Program'!$T$39-'Bonding Program'!$U$39-'Bonding Program'!$Z$39,0)-IF(AND('Bonding Program'!$S$39=1,'Bonding Program'!$H$39&lt;='Bonding Program'!$C$8,B$3=IF('Bonding Program'!$P$39&lt;&gt;"",'Bonding Program'!$P$39,'Bonding Program'!$C$8)),'Bonding Program'!$Z$39,0)+IF(AND('Bonding Program'!$P$39&lt;&gt;"",B$3='Bonding Program'!$P$39,B$3&lt;='Bonding Program'!$C$8),N('Bonding Program'!$O$39),0)</f>
        <v>0</v>
      </c>
      <c r="C180" s="19" t="n">
        <f aca="false">IF(AND('Bonding Program'!$S$39=1,'Bonding Program'!$H$39&gt;'Bonding Program'!$C$8,C$3='Bonding Program'!$H$39),'Bonding Program'!$T$39-'Bonding Program'!$U$39-'Bonding Program'!$Z$39,0)-IF(AND('Bonding Program'!$S$39=1,'Bonding Program'!$H$39&lt;='Bonding Program'!$C$8,C$3=IF('Bonding Program'!$P$39&lt;&gt;"",'Bonding Program'!$P$39,'Bonding Program'!$C$8)),'Bonding Program'!$Z$39,0)+IF(AND('Bonding Program'!$P$39&lt;&gt;"",C$3='Bonding Program'!$P$39,C$3&lt;='Bonding Program'!$C$8),N('Bonding Program'!$O$39),0)</f>
        <v>0</v>
      </c>
      <c r="D180" s="19" t="n">
        <f aca="false">IF(AND('Bonding Program'!$S$39=1,'Bonding Program'!$H$39&gt;'Bonding Program'!$C$8,D$3='Bonding Program'!$H$39),'Bonding Program'!$T$39-'Bonding Program'!$U$39-'Bonding Program'!$Z$39,0)-IF(AND('Bonding Program'!$S$39=1,'Bonding Program'!$H$39&lt;='Bonding Program'!$C$8,D$3=IF('Bonding Program'!$P$39&lt;&gt;"",'Bonding Program'!$P$39,'Bonding Program'!$C$8)),'Bonding Program'!$Z$39,0)+IF(AND('Bonding Program'!$P$39&lt;&gt;"",D$3='Bonding Program'!$P$39,D$3&lt;='Bonding Program'!$C$8),N('Bonding Program'!$O$39),0)</f>
        <v>0</v>
      </c>
      <c r="E180" s="19" t="n">
        <f aca="false">IF(AND('Bonding Program'!$S$39=1,'Bonding Program'!$H$39&gt;'Bonding Program'!$C$8,E$3='Bonding Program'!$H$39),'Bonding Program'!$T$39-'Bonding Program'!$U$39-'Bonding Program'!$Z$39,0)-IF(AND('Bonding Program'!$S$39=1,'Bonding Program'!$H$39&lt;='Bonding Program'!$C$8,E$3=IF('Bonding Program'!$P$39&lt;&gt;"",'Bonding Program'!$P$39,'Bonding Program'!$C$8)),'Bonding Program'!$Z$39,0)+IF(AND('Bonding Program'!$P$39&lt;&gt;"",E$3='Bonding Program'!$P$39,E$3&lt;='Bonding Program'!$C$8),N('Bonding Program'!$O$39),0)</f>
        <v>0</v>
      </c>
      <c r="F180" s="19" t="n">
        <f aca="false">IF(AND('Bonding Program'!$S$39=1,'Bonding Program'!$H$39&gt;'Bonding Program'!$C$8,F$3='Bonding Program'!$H$39),'Bonding Program'!$T$39-'Bonding Program'!$U$39-'Bonding Program'!$Z$39,0)-IF(AND('Bonding Program'!$S$39=1,'Bonding Program'!$H$39&lt;='Bonding Program'!$C$8,F$3=IF('Bonding Program'!$P$39&lt;&gt;"",'Bonding Program'!$P$39,'Bonding Program'!$C$8)),'Bonding Program'!$Z$39,0)+IF(AND('Bonding Program'!$P$39&lt;&gt;"",F$3='Bonding Program'!$P$39,F$3&lt;='Bonding Program'!$C$8),N('Bonding Program'!$O$39),0)</f>
        <v>0</v>
      </c>
      <c r="G180" s="19" t="n">
        <f aca="false">IF(AND('Bonding Program'!$S$39=1,'Bonding Program'!$H$39&gt;'Bonding Program'!$C$8,G$3='Bonding Program'!$H$39),'Bonding Program'!$T$39-'Bonding Program'!$U$39-'Bonding Program'!$Z$39,0)-IF(AND('Bonding Program'!$S$39=1,'Bonding Program'!$H$39&lt;='Bonding Program'!$C$8,G$3=IF('Bonding Program'!$P$39&lt;&gt;"",'Bonding Program'!$P$39,'Bonding Program'!$C$8)),'Bonding Program'!$Z$39,0)+IF(AND('Bonding Program'!$P$39&lt;&gt;"",G$3='Bonding Program'!$P$39,G$3&lt;='Bonding Program'!$C$8),N('Bonding Program'!$O$39),0)</f>
        <v>0</v>
      </c>
      <c r="H180" s="19" t="n">
        <f aca="false">IF(AND('Bonding Program'!$S$39=1,'Bonding Program'!$H$39&gt;'Bonding Program'!$C$8,H$3='Bonding Program'!$H$39),'Bonding Program'!$T$39-'Bonding Program'!$U$39-'Bonding Program'!$Z$39,0)-IF(AND('Bonding Program'!$S$39=1,'Bonding Program'!$H$39&lt;='Bonding Program'!$C$8,H$3=IF('Bonding Program'!$P$39&lt;&gt;"",'Bonding Program'!$P$39,'Bonding Program'!$C$8)),'Bonding Program'!$Z$39,0)+IF(AND('Bonding Program'!$P$39&lt;&gt;"",H$3='Bonding Program'!$P$39,H$3&lt;='Bonding Program'!$C$8),N('Bonding Program'!$O$39),0)</f>
        <v>0</v>
      </c>
      <c r="I180" s="19" t="n">
        <f aca="false">IF(AND('Bonding Program'!$S$39=1,'Bonding Program'!$H$39&gt;'Bonding Program'!$C$8,I$3='Bonding Program'!$H$39),'Bonding Program'!$T$39-'Bonding Program'!$U$39-'Bonding Program'!$Z$39,0)-IF(AND('Bonding Program'!$S$39=1,'Bonding Program'!$H$39&lt;='Bonding Program'!$C$8,I$3=IF('Bonding Program'!$P$39&lt;&gt;"",'Bonding Program'!$P$39,'Bonding Program'!$C$8)),'Bonding Program'!$Z$39,0)+IF(AND('Bonding Program'!$P$39&lt;&gt;"",I$3='Bonding Program'!$P$39,I$3&lt;='Bonding Program'!$C$8),N('Bonding Program'!$O$39),0)</f>
        <v>0</v>
      </c>
      <c r="J180" s="19" t="n">
        <f aca="false">IF(AND('Bonding Program'!$S$39=1,'Bonding Program'!$H$39&gt;'Bonding Program'!$C$8,J$3='Bonding Program'!$H$39),'Bonding Program'!$T$39-'Bonding Program'!$U$39-'Bonding Program'!$Z$39,0)-IF(AND('Bonding Program'!$S$39=1,'Bonding Program'!$H$39&lt;='Bonding Program'!$C$8,J$3=IF('Bonding Program'!$P$39&lt;&gt;"",'Bonding Program'!$P$39,'Bonding Program'!$C$8)),'Bonding Program'!$Z$39,0)+IF(AND('Bonding Program'!$P$39&lt;&gt;"",J$3='Bonding Program'!$P$39,J$3&lt;='Bonding Program'!$C$8),N('Bonding Program'!$O$39),0)</f>
        <v>0</v>
      </c>
      <c r="K180" s="19" t="n">
        <f aca="false">IF(AND('Bonding Program'!$S$39=1,'Bonding Program'!$H$39&gt;'Bonding Program'!$C$8,K$3='Bonding Program'!$H$39),'Bonding Program'!$T$39-'Bonding Program'!$U$39-'Bonding Program'!$Z$39,0)-IF(AND('Bonding Program'!$S$39=1,'Bonding Program'!$H$39&lt;='Bonding Program'!$C$8,K$3=IF('Bonding Program'!$P$39&lt;&gt;"",'Bonding Program'!$P$39,'Bonding Program'!$C$8)),'Bonding Program'!$Z$39,0)+IF(AND('Bonding Program'!$P$39&lt;&gt;"",K$3='Bonding Program'!$P$39,K$3&lt;='Bonding Program'!$C$8),N('Bonding Program'!$O$39),0)</f>
        <v>0</v>
      </c>
      <c r="L180" s="19" t="n">
        <f aca="false">IF(AND('Bonding Program'!$S$39=1,'Bonding Program'!$H$39&gt;'Bonding Program'!$C$8,L$3='Bonding Program'!$H$39),'Bonding Program'!$T$39-'Bonding Program'!$U$39-'Bonding Program'!$Z$39,0)-IF(AND('Bonding Program'!$S$39=1,'Bonding Program'!$H$39&lt;='Bonding Program'!$C$8,L$3=IF('Bonding Program'!$P$39&lt;&gt;"",'Bonding Program'!$P$39,'Bonding Program'!$C$8)),'Bonding Program'!$Z$39,0)+IF(AND('Bonding Program'!$P$39&lt;&gt;"",L$3='Bonding Program'!$P$39,L$3&lt;='Bonding Program'!$C$8),N('Bonding Program'!$O$39),0)</f>
        <v>0</v>
      </c>
      <c r="M180" s="19" t="n">
        <f aca="false">IF(AND('Bonding Program'!$S$39=1,'Bonding Program'!$H$39&gt;'Bonding Program'!$C$8,M$3='Bonding Program'!$H$39),'Bonding Program'!$T$39-'Bonding Program'!$U$39-'Bonding Program'!$Z$39,0)-IF(AND('Bonding Program'!$S$39=1,'Bonding Program'!$H$39&lt;='Bonding Program'!$C$8,M$3=IF('Bonding Program'!$P$39&lt;&gt;"",'Bonding Program'!$P$39,'Bonding Program'!$C$8)),'Bonding Program'!$Z$39,0)+IF(AND('Bonding Program'!$P$39&lt;&gt;"",M$3='Bonding Program'!$P$39,M$3&lt;='Bonding Program'!$C$8),N('Bonding Program'!$O$39),0)</f>
        <v>0</v>
      </c>
      <c r="N180" s="19" t="n">
        <f aca="false">IF(AND('Bonding Program'!$S$39=1,'Bonding Program'!$H$39&gt;'Bonding Program'!$C$8,N$3='Bonding Program'!$H$39),'Bonding Program'!$T$39-'Bonding Program'!$U$39-'Bonding Program'!$Z$39,0)-IF(AND('Bonding Program'!$S$39=1,'Bonding Program'!$H$39&lt;='Bonding Program'!$C$8,N$3=IF('Bonding Program'!$P$39&lt;&gt;"",'Bonding Program'!$P$39,'Bonding Program'!$C$8)),'Bonding Program'!$Z$39,0)+IF(AND('Bonding Program'!$P$39&lt;&gt;"",N$3='Bonding Program'!$P$39,N$3&lt;='Bonding Program'!$C$8),N('Bonding Program'!$O$39),0)</f>
        <v>0</v>
      </c>
      <c r="O180" s="19" t="n">
        <f aca="false">IF(AND('Bonding Program'!$S$39=1,'Bonding Program'!$H$39&gt;'Bonding Program'!$C$8,O$3='Bonding Program'!$H$39),'Bonding Program'!$T$39-'Bonding Program'!$U$39-'Bonding Program'!$Z$39,0)-IF(AND('Bonding Program'!$S$39=1,'Bonding Program'!$H$39&lt;='Bonding Program'!$C$8,O$3=IF('Bonding Program'!$P$39&lt;&gt;"",'Bonding Program'!$P$39,'Bonding Program'!$C$8)),'Bonding Program'!$Z$39,0)+IF(AND('Bonding Program'!$P$39&lt;&gt;"",O$3='Bonding Program'!$P$39,O$3&lt;='Bonding Program'!$C$8),N('Bonding Program'!$O$39),0)</f>
        <v>0</v>
      </c>
      <c r="P180" s="19" t="n">
        <f aca="false">IF(AND('Bonding Program'!$S$39=1,'Bonding Program'!$H$39&gt;'Bonding Program'!$C$8,P$3='Bonding Program'!$H$39),'Bonding Program'!$T$39-'Bonding Program'!$U$39-'Bonding Program'!$Z$39,0)-IF(AND('Bonding Program'!$S$39=1,'Bonding Program'!$H$39&lt;='Bonding Program'!$C$8,P$3=IF('Bonding Program'!$P$39&lt;&gt;"",'Bonding Program'!$P$39,'Bonding Program'!$C$8)),'Bonding Program'!$Z$39,0)+IF(AND('Bonding Program'!$P$39&lt;&gt;"",P$3='Bonding Program'!$P$39,P$3&lt;='Bonding Program'!$C$8),N('Bonding Program'!$O$39),0)</f>
        <v>0</v>
      </c>
      <c r="Q180" s="19" t="n">
        <f aca="false">IF(AND('Bonding Program'!$S$39=1,'Bonding Program'!$H$39&gt;'Bonding Program'!$C$8,Q$3='Bonding Program'!$H$39),'Bonding Program'!$T$39-'Bonding Program'!$U$39-'Bonding Program'!$Z$39,0)-IF(AND('Bonding Program'!$S$39=1,'Bonding Program'!$H$39&lt;='Bonding Program'!$C$8,Q$3=IF('Bonding Program'!$P$39&lt;&gt;"",'Bonding Program'!$P$39,'Bonding Program'!$C$8)),'Bonding Program'!$Z$39,0)+IF(AND('Bonding Program'!$P$39&lt;&gt;"",Q$3='Bonding Program'!$P$39,Q$3&lt;='Bonding Program'!$C$8),N('Bonding Program'!$O$39),0)</f>
        <v>0</v>
      </c>
      <c r="R180" s="19" t="n">
        <f aca="false">IF(AND('Bonding Program'!$S$39=1,'Bonding Program'!$H$39&gt;'Bonding Program'!$C$8,R$3='Bonding Program'!$H$39),'Bonding Program'!$T$39-'Bonding Program'!$U$39-'Bonding Program'!$Z$39,0)-IF(AND('Bonding Program'!$S$39=1,'Bonding Program'!$H$39&lt;='Bonding Program'!$C$8,R$3=IF('Bonding Program'!$P$39&lt;&gt;"",'Bonding Program'!$P$39,'Bonding Program'!$C$8)),'Bonding Program'!$Z$39,0)+IF(AND('Bonding Program'!$P$39&lt;&gt;"",R$3='Bonding Program'!$P$39,R$3&lt;='Bonding Program'!$C$8),N('Bonding Program'!$O$39),0)</f>
        <v>0</v>
      </c>
      <c r="S180" s="19" t="n">
        <f aca="false">IF(AND('Bonding Program'!$S$39=1,'Bonding Program'!$H$39&gt;'Bonding Program'!$C$8,S$3='Bonding Program'!$H$39),'Bonding Program'!$T$39-'Bonding Program'!$U$39-'Bonding Program'!$Z$39,0)-IF(AND('Bonding Program'!$S$39=1,'Bonding Program'!$H$39&lt;='Bonding Program'!$C$8,S$3=IF('Bonding Program'!$P$39&lt;&gt;"",'Bonding Program'!$P$39,'Bonding Program'!$C$8)),'Bonding Program'!$Z$39,0)+IF(AND('Bonding Program'!$P$39&lt;&gt;"",S$3='Bonding Program'!$P$39,S$3&lt;='Bonding Program'!$C$8),N('Bonding Program'!$O$39),0)</f>
        <v>0</v>
      </c>
      <c r="T180" s="19" t="n">
        <f aca="false">IF(AND('Bonding Program'!$S$39=1,'Bonding Program'!$H$39&gt;'Bonding Program'!$C$8,T$3='Bonding Program'!$H$39),'Bonding Program'!$T$39-'Bonding Program'!$U$39-'Bonding Program'!$Z$39,0)-IF(AND('Bonding Program'!$S$39=1,'Bonding Program'!$H$39&lt;='Bonding Program'!$C$8,T$3=IF('Bonding Program'!$P$39&lt;&gt;"",'Bonding Program'!$P$39,'Bonding Program'!$C$8)),'Bonding Program'!$Z$39,0)+IF(AND('Bonding Program'!$P$39&lt;&gt;"",T$3='Bonding Program'!$P$39,T$3&lt;='Bonding Program'!$C$8),N('Bonding Program'!$O$39),0)</f>
        <v>0</v>
      </c>
      <c r="U180" s="19" t="n">
        <f aca="false">IF(AND('Bonding Program'!$S$39=1,'Bonding Program'!$H$39&gt;'Bonding Program'!$C$8,U$3='Bonding Program'!$H$39),'Bonding Program'!$T$39-'Bonding Program'!$U$39-'Bonding Program'!$Z$39,0)-IF(AND('Bonding Program'!$S$39=1,'Bonding Program'!$H$39&lt;='Bonding Program'!$C$8,U$3=IF('Bonding Program'!$P$39&lt;&gt;"",'Bonding Program'!$P$39,'Bonding Program'!$C$8)),'Bonding Program'!$Z$39,0)+IF(AND('Bonding Program'!$P$39&lt;&gt;"",U$3='Bonding Program'!$P$39,U$3&lt;='Bonding Program'!$C$8),N('Bonding Program'!$O$39),0)</f>
        <v>0</v>
      </c>
      <c r="V180" s="19" t="n">
        <f aca="false">IF(AND('Bonding Program'!$S$39=1,'Bonding Program'!$H$39&gt;'Bonding Program'!$C$8,V$3='Bonding Program'!$H$39),'Bonding Program'!$T$39-'Bonding Program'!$U$39-'Bonding Program'!$Z$39,0)-IF(AND('Bonding Program'!$S$39=1,'Bonding Program'!$H$39&lt;='Bonding Program'!$C$8,V$3=IF('Bonding Program'!$P$39&lt;&gt;"",'Bonding Program'!$P$39,'Bonding Program'!$C$8)),'Bonding Program'!$Z$39,0)+IF(AND('Bonding Program'!$P$39&lt;&gt;"",V$3='Bonding Program'!$P$39,V$3&lt;='Bonding Program'!$C$8),N('Bonding Program'!$O$39),0)</f>
        <v>0</v>
      </c>
      <c r="W180" s="19" t="n">
        <f aca="false">IF(AND('Bonding Program'!$S$39=1,'Bonding Program'!$H$39&gt;'Bonding Program'!$C$8,W$3='Bonding Program'!$H$39),'Bonding Program'!$T$39-'Bonding Program'!$U$39-'Bonding Program'!$Z$39,0)-IF(AND('Bonding Program'!$S$39=1,'Bonding Program'!$H$39&lt;='Bonding Program'!$C$8,W$3=IF('Bonding Program'!$P$39&lt;&gt;"",'Bonding Program'!$P$39,'Bonding Program'!$C$8)),'Bonding Program'!$Z$39,0)+IF(AND('Bonding Program'!$P$39&lt;&gt;"",W$3='Bonding Program'!$P$39,W$3&lt;='Bonding Program'!$C$8),N('Bonding Program'!$O$39),0)</f>
        <v>0</v>
      </c>
      <c r="X180" s="19" t="n">
        <f aca="false">IF(AND('Bonding Program'!$S$39=1,'Bonding Program'!$H$39&gt;'Bonding Program'!$C$8,X$3='Bonding Program'!$H$39),'Bonding Program'!$T$39-'Bonding Program'!$U$39-'Bonding Program'!$Z$39,0)-IF(AND('Bonding Program'!$S$39=1,'Bonding Program'!$H$39&lt;='Bonding Program'!$C$8,X$3=IF('Bonding Program'!$P$39&lt;&gt;"",'Bonding Program'!$P$39,'Bonding Program'!$C$8)),'Bonding Program'!$Z$39,0)+IF(AND('Bonding Program'!$P$39&lt;&gt;"",X$3='Bonding Program'!$P$39,X$3&lt;='Bonding Program'!$C$8),N('Bonding Program'!$O$39),0)</f>
        <v>0</v>
      </c>
      <c r="Y180" s="19" t="n">
        <f aca="false">IF(AND('Bonding Program'!$S$39=1,'Bonding Program'!$H$39&gt;'Bonding Program'!$C$8,Y$3='Bonding Program'!$H$39),'Bonding Program'!$T$39-'Bonding Program'!$U$39-'Bonding Program'!$Z$39,0)-IF(AND('Bonding Program'!$S$39=1,'Bonding Program'!$H$39&lt;='Bonding Program'!$C$8,Y$3=IF('Bonding Program'!$P$39&lt;&gt;"",'Bonding Program'!$P$39,'Bonding Program'!$C$8)),'Bonding Program'!$Z$39,0)+IF(AND('Bonding Program'!$P$39&lt;&gt;"",Y$3='Bonding Program'!$P$39,Y$3&lt;='Bonding Program'!$C$8),N('Bonding Program'!$O$39),0)</f>
        <v>0</v>
      </c>
      <c r="Z180" s="19" t="n">
        <f aca="false">IF(AND('Bonding Program'!$S$39=1,'Bonding Program'!$H$39&gt;'Bonding Program'!$C$8,Z$3='Bonding Program'!$H$39),'Bonding Program'!$T$39-'Bonding Program'!$U$39-'Bonding Program'!$Z$39,0)-IF(AND('Bonding Program'!$S$39=1,'Bonding Program'!$H$39&lt;='Bonding Program'!$C$8,Z$3=IF('Bonding Program'!$P$39&lt;&gt;"",'Bonding Program'!$P$39,'Bonding Program'!$C$8)),'Bonding Program'!$Z$39,0)+IF(AND('Bonding Program'!$P$39&lt;&gt;"",Z$3='Bonding Program'!$P$39,Z$3&lt;='Bonding Program'!$C$8),N('Bonding Program'!$O$39),0)</f>
        <v>0</v>
      </c>
      <c r="AA180" s="19" t="n">
        <f aca="false">IF(AND('Bonding Program'!$S$39=1,'Bonding Program'!$H$39&gt;'Bonding Program'!$C$8,AA$3='Bonding Program'!$H$39),'Bonding Program'!$T$39-'Bonding Program'!$U$39-'Bonding Program'!$Z$39,0)-IF(AND('Bonding Program'!$S$39=1,'Bonding Program'!$H$39&lt;='Bonding Program'!$C$8,AA$3=IF('Bonding Program'!$P$39&lt;&gt;"",'Bonding Program'!$P$39,'Bonding Program'!$C$8)),'Bonding Program'!$Z$39,0)+IF(AND('Bonding Program'!$P$39&lt;&gt;"",AA$3='Bonding Program'!$P$39,AA$3&lt;='Bonding Program'!$C$8),N('Bonding Program'!$O$39),0)</f>
        <v>0</v>
      </c>
      <c r="AB180" s="19" t="n">
        <f aca="false">IF(AND('Bonding Program'!$S$39=1,'Bonding Program'!$H$39&gt;'Bonding Program'!$C$8,AB$3='Bonding Program'!$H$39),'Bonding Program'!$T$39-'Bonding Program'!$U$39-'Bonding Program'!$Z$39,0)-IF(AND('Bonding Program'!$S$39=1,'Bonding Program'!$H$39&lt;='Bonding Program'!$C$8,AB$3=IF('Bonding Program'!$P$39&lt;&gt;"",'Bonding Program'!$P$39,'Bonding Program'!$C$8)),'Bonding Program'!$Z$39,0)+IF(AND('Bonding Program'!$P$39&lt;&gt;"",AB$3='Bonding Program'!$P$39,AB$3&lt;='Bonding Program'!$C$8),N('Bonding Program'!$O$39),0)</f>
        <v>0</v>
      </c>
      <c r="AC180" s="19" t="n">
        <f aca="false">IF(AND('Bonding Program'!$S$39=1,'Bonding Program'!$H$39&gt;'Bonding Program'!$C$8,AC$3='Bonding Program'!$H$39),'Bonding Program'!$T$39-'Bonding Program'!$U$39-'Bonding Program'!$Z$39,0)-IF(AND('Bonding Program'!$S$39=1,'Bonding Program'!$H$39&lt;='Bonding Program'!$C$8,AC$3=IF('Bonding Program'!$P$39&lt;&gt;"",'Bonding Program'!$P$39,'Bonding Program'!$C$8)),'Bonding Program'!$Z$39,0)+IF(AND('Bonding Program'!$P$39&lt;&gt;"",AC$3='Bonding Program'!$P$39,AC$3&lt;='Bonding Program'!$C$8),N('Bonding Program'!$O$39),0)</f>
        <v>0</v>
      </c>
      <c r="AD180" s="19" t="n">
        <f aca="false">IF(AND('Bonding Program'!$S$39=1,'Bonding Program'!$H$39&gt;'Bonding Program'!$C$8,AD$3='Bonding Program'!$H$39),'Bonding Program'!$T$39-'Bonding Program'!$U$39-'Bonding Program'!$Z$39,0)-IF(AND('Bonding Program'!$S$39=1,'Bonding Program'!$H$39&lt;='Bonding Program'!$C$8,AD$3=IF('Bonding Program'!$P$39&lt;&gt;"",'Bonding Program'!$P$39,'Bonding Program'!$C$8)),'Bonding Program'!$Z$39,0)+IF(AND('Bonding Program'!$P$39&lt;&gt;"",AD$3='Bonding Program'!$P$39,AD$3&lt;='Bonding Program'!$C$8),N('Bonding Program'!$O$39),0)</f>
        <v>0</v>
      </c>
      <c r="AE180" s="19" t="n">
        <f aca="false">IF(AND('Bonding Program'!$S$39=1,'Bonding Program'!$H$39&gt;'Bonding Program'!$C$8,AE$3='Bonding Program'!$H$39),'Bonding Program'!$T$39-'Bonding Program'!$U$39-'Bonding Program'!$Z$39,0)-IF(AND('Bonding Program'!$S$39=1,'Bonding Program'!$H$39&lt;='Bonding Program'!$C$8,AE$3=IF('Bonding Program'!$P$39&lt;&gt;"",'Bonding Program'!$P$39,'Bonding Program'!$C$8)),'Bonding Program'!$Z$39,0)+IF(AND('Bonding Program'!$P$39&lt;&gt;"",AE$3='Bonding Program'!$P$39,AE$3&lt;='Bonding Program'!$C$8),N('Bonding Program'!$O$39),0)</f>
        <v>0</v>
      </c>
      <c r="AF180" s="19" t="n">
        <f aca="false">IF(AND('Bonding Program'!$S$39=1,'Bonding Program'!$H$39&gt;'Bonding Program'!$C$8,AF$3='Bonding Program'!$H$39),'Bonding Program'!$T$39-'Bonding Program'!$U$39-'Bonding Program'!$Z$39,0)-IF(AND('Bonding Program'!$S$39=1,'Bonding Program'!$H$39&lt;='Bonding Program'!$C$8,AF$3=IF('Bonding Program'!$P$39&lt;&gt;"",'Bonding Program'!$P$39,'Bonding Program'!$C$8)),'Bonding Program'!$Z$39,0)+IF(AND('Bonding Program'!$P$39&lt;&gt;"",AF$3='Bonding Program'!$P$39,AF$3&lt;='Bonding Program'!$C$8),N('Bonding Program'!$O$39),0)</f>
        <v>0</v>
      </c>
      <c r="AG180" s="19" t="n">
        <f aca="false">IF(AND('Bonding Program'!$S$39=1,'Bonding Program'!$H$39&gt;'Bonding Program'!$C$8,AG$3='Bonding Program'!$H$39),'Bonding Program'!$T$39-'Bonding Program'!$U$39-'Bonding Program'!$Z$39,0)-IF(AND('Bonding Program'!$S$39=1,'Bonding Program'!$H$39&lt;='Bonding Program'!$C$8,AG$3=IF('Bonding Program'!$P$39&lt;&gt;"",'Bonding Program'!$P$39,'Bonding Program'!$C$8)),'Bonding Program'!$Z$39,0)+IF(AND('Bonding Program'!$P$39&lt;&gt;"",AG$3='Bonding Program'!$P$39,AG$3&lt;='Bonding Program'!$C$8),N('Bonding Program'!$O$39),0)</f>
        <v>0</v>
      </c>
      <c r="AH180" s="19" t="n">
        <f aca="false">IF(AND('Bonding Program'!$S$39=1,'Bonding Program'!$H$39&gt;'Bonding Program'!$C$8,AH$3='Bonding Program'!$H$39),'Bonding Program'!$T$39-'Bonding Program'!$U$39-'Bonding Program'!$Z$39,0)-IF(AND('Bonding Program'!$S$39=1,'Bonding Program'!$H$39&lt;='Bonding Program'!$C$8,AH$3=IF('Bonding Program'!$P$39&lt;&gt;"",'Bonding Program'!$P$39,'Bonding Program'!$C$8)),'Bonding Program'!$Z$39,0)+IF(AND('Bonding Program'!$P$39&lt;&gt;"",AH$3='Bonding Program'!$P$39,AH$3&lt;='Bonding Program'!$C$8),N('Bonding Program'!$O$39),0)</f>
        <v>0</v>
      </c>
      <c r="AI180" s="19" t="n">
        <f aca="false">IF(AND('Bonding Program'!$S$39=1,'Bonding Program'!$H$39&gt;'Bonding Program'!$C$8,AI$3='Bonding Program'!$H$39),'Bonding Program'!$T$39-'Bonding Program'!$U$39-'Bonding Program'!$Z$39,0)-IF(AND('Bonding Program'!$S$39=1,'Bonding Program'!$H$39&lt;='Bonding Program'!$C$8,AI$3=IF('Bonding Program'!$P$39&lt;&gt;"",'Bonding Program'!$P$39,'Bonding Program'!$C$8)),'Bonding Program'!$Z$39,0)+IF(AND('Bonding Program'!$P$39&lt;&gt;"",AI$3='Bonding Program'!$P$39,AI$3&lt;='Bonding Program'!$C$8),N('Bonding Program'!$O$39),0)</f>
        <v>0</v>
      </c>
      <c r="AJ180" s="19" t="n">
        <f aca="false">IF(AND('Bonding Program'!$S$39=1,'Bonding Program'!$H$39&gt;'Bonding Program'!$C$8,AJ$3='Bonding Program'!$H$39),'Bonding Program'!$T$39-'Bonding Program'!$U$39-'Bonding Program'!$Z$39,0)-IF(AND('Bonding Program'!$S$39=1,'Bonding Program'!$H$39&lt;='Bonding Program'!$C$8,AJ$3=IF('Bonding Program'!$P$39&lt;&gt;"",'Bonding Program'!$P$39,'Bonding Program'!$C$8)),'Bonding Program'!$Z$39,0)+IF(AND('Bonding Program'!$P$39&lt;&gt;"",AJ$3='Bonding Program'!$P$39,AJ$3&lt;='Bonding Program'!$C$8),N('Bonding Program'!$O$39),0)</f>
        <v>0</v>
      </c>
      <c r="AK180" s="19" t="n">
        <f aca="false">IF(AND('Bonding Program'!$S$39=1,'Bonding Program'!$H$39&gt;'Bonding Program'!$C$8,AK$3='Bonding Program'!$H$39),'Bonding Program'!$T$39-'Bonding Program'!$U$39-'Bonding Program'!$Z$39,0)-IF(AND('Bonding Program'!$S$39=1,'Bonding Program'!$H$39&lt;='Bonding Program'!$C$8,AK$3=IF('Bonding Program'!$P$39&lt;&gt;"",'Bonding Program'!$P$39,'Bonding Program'!$C$8)),'Bonding Program'!$Z$39,0)+IF(AND('Bonding Program'!$P$39&lt;&gt;"",AK$3='Bonding Program'!$P$39,AK$3&lt;='Bonding Program'!$C$8),N('Bonding Program'!$O$39),0)</f>
        <v>0</v>
      </c>
      <c r="AL180" s="19" t="n">
        <f aca="false">IF(AND('Bonding Program'!$S$39=1,'Bonding Program'!$H$39&gt;'Bonding Program'!$C$8,AL$3='Bonding Program'!$H$39),'Bonding Program'!$T$39-'Bonding Program'!$U$39-'Bonding Program'!$Z$39,0)-IF(AND('Bonding Program'!$S$39=1,'Bonding Program'!$H$39&lt;='Bonding Program'!$C$8,AL$3=IF('Bonding Program'!$P$39&lt;&gt;"",'Bonding Program'!$P$39,'Bonding Program'!$C$8)),'Bonding Program'!$Z$39,0)+IF(AND('Bonding Program'!$P$39&lt;&gt;"",AL$3='Bonding Program'!$P$39,AL$3&lt;='Bonding Program'!$C$8),N('Bonding Program'!$O$39),0)</f>
        <v>0</v>
      </c>
      <c r="AM180" s="19" t="n">
        <f aca="false">IF(AND('Bonding Program'!$S$39=1,'Bonding Program'!$H$39&gt;'Bonding Program'!$C$8,AM$3='Bonding Program'!$H$39),'Bonding Program'!$T$39-'Bonding Program'!$U$39-'Bonding Program'!$Z$39,0)-IF(AND('Bonding Program'!$S$39=1,'Bonding Program'!$H$39&lt;='Bonding Program'!$C$8,AM$3=IF('Bonding Program'!$P$39&lt;&gt;"",'Bonding Program'!$P$39,'Bonding Program'!$C$8)),'Bonding Program'!$Z$39,0)+IF(AND('Bonding Program'!$P$39&lt;&gt;"",AM$3='Bonding Program'!$P$39,AM$3&lt;='Bonding Program'!$C$8),N('Bonding Program'!$O$39),0)</f>
        <v>0</v>
      </c>
      <c r="AN180" s="19" t="n">
        <f aca="false">IF(AND('Bonding Program'!$S$39=1,'Bonding Program'!$H$39&gt;'Bonding Program'!$C$8,AN$3='Bonding Program'!$H$39),'Bonding Program'!$T$39-'Bonding Program'!$U$39-'Bonding Program'!$Z$39,0)-IF(AND('Bonding Program'!$S$39=1,'Bonding Program'!$H$39&lt;='Bonding Program'!$C$8,AN$3=IF('Bonding Program'!$P$39&lt;&gt;"",'Bonding Program'!$P$39,'Bonding Program'!$C$8)),'Bonding Program'!$Z$39,0)+IF(AND('Bonding Program'!$P$39&lt;&gt;"",AN$3='Bonding Program'!$P$39,AN$3&lt;='Bonding Program'!$C$8),N('Bonding Program'!$O$39),0)</f>
        <v>0</v>
      </c>
      <c r="AO180" s="19" t="n">
        <f aca="false">IF(AND('Bonding Program'!$S$39=1,'Bonding Program'!$H$39&gt;'Bonding Program'!$C$8,AO$3='Bonding Program'!$H$39),'Bonding Program'!$T$39-'Bonding Program'!$U$39-'Bonding Program'!$Z$39,0)-IF(AND('Bonding Program'!$S$39=1,'Bonding Program'!$H$39&lt;='Bonding Program'!$C$8,AO$3=IF('Bonding Program'!$P$39&lt;&gt;"",'Bonding Program'!$P$39,'Bonding Program'!$C$8)),'Bonding Program'!$Z$39,0)+IF(AND('Bonding Program'!$P$39&lt;&gt;"",AO$3='Bonding Program'!$P$39,AO$3&lt;='Bonding Program'!$C$8),N('Bonding Program'!$O$39),0)</f>
        <v>0</v>
      </c>
      <c r="AP180" s="19" t="n">
        <f aca="false">IF(AND('Bonding Program'!$S$39=1,'Bonding Program'!$H$39&gt;'Bonding Program'!$C$8,AP$3='Bonding Program'!$H$39),'Bonding Program'!$T$39-'Bonding Program'!$U$39-'Bonding Program'!$Z$39,0)-IF(AND('Bonding Program'!$S$39=1,'Bonding Program'!$H$39&lt;='Bonding Program'!$C$8,AP$3=IF('Bonding Program'!$P$39&lt;&gt;"",'Bonding Program'!$P$39,'Bonding Program'!$C$8)),'Bonding Program'!$Z$39,0)+IF(AND('Bonding Program'!$P$39&lt;&gt;"",AP$3='Bonding Program'!$P$39,AP$3&lt;='Bonding Program'!$C$8),N('Bonding Program'!$O$39),0)</f>
        <v>0</v>
      </c>
      <c r="AQ180" s="19" t="n">
        <f aca="false">IF(AND('Bonding Program'!$S$39=1,'Bonding Program'!$H$39&gt;'Bonding Program'!$C$8,AQ$3='Bonding Program'!$H$39),'Bonding Program'!$T$39-'Bonding Program'!$U$39-'Bonding Program'!$Z$39,0)-IF(AND('Bonding Program'!$S$39=1,'Bonding Program'!$H$39&lt;='Bonding Program'!$C$8,AQ$3=IF('Bonding Program'!$P$39&lt;&gt;"",'Bonding Program'!$P$39,'Bonding Program'!$C$8)),'Bonding Program'!$Z$39,0)+IF(AND('Bonding Program'!$P$39&lt;&gt;"",AQ$3='Bonding Program'!$P$39,AQ$3&lt;='Bonding Program'!$C$8),N('Bonding Program'!$O$39),0)</f>
        <v>0</v>
      </c>
      <c r="AR180" s="19" t="n">
        <f aca="false">IF(AND('Bonding Program'!$S$39=1,'Bonding Program'!$H$39&gt;'Bonding Program'!$C$8,AR$3='Bonding Program'!$H$39),'Bonding Program'!$T$39-'Bonding Program'!$U$39-'Bonding Program'!$Z$39,0)-IF(AND('Bonding Program'!$S$39=1,'Bonding Program'!$H$39&lt;='Bonding Program'!$C$8,AR$3=IF('Bonding Program'!$P$39&lt;&gt;"",'Bonding Program'!$P$39,'Bonding Program'!$C$8)),'Bonding Program'!$Z$39,0)+IF(AND('Bonding Program'!$P$39&lt;&gt;"",AR$3='Bonding Program'!$P$39,AR$3&lt;='Bonding Program'!$C$8),N('Bonding Program'!$O$39),0)</f>
        <v>0</v>
      </c>
      <c r="AS180" s="19" t="n">
        <f aca="false">IF(AND('Bonding Program'!$S$39=1,'Bonding Program'!$H$39&gt;'Bonding Program'!$C$8,AS$3='Bonding Program'!$H$39),'Bonding Program'!$T$39-'Bonding Program'!$U$39-'Bonding Program'!$Z$39,0)-IF(AND('Bonding Program'!$S$39=1,'Bonding Program'!$H$39&lt;='Bonding Program'!$C$8,AS$3=IF('Bonding Program'!$P$39&lt;&gt;"",'Bonding Program'!$P$39,'Bonding Program'!$C$8)),'Bonding Program'!$Z$39,0)+IF(AND('Bonding Program'!$P$39&lt;&gt;"",AS$3='Bonding Program'!$P$39,AS$3&lt;='Bonding Program'!$C$8),N('Bonding Program'!$O$39),0)</f>
        <v>0</v>
      </c>
      <c r="AT180" s="19" t="n">
        <f aca="false">IF(AND('Bonding Program'!$S$39=1,'Bonding Program'!$H$39&gt;'Bonding Program'!$C$8,AT$3='Bonding Program'!$H$39),'Bonding Program'!$T$39-'Bonding Program'!$U$39-'Bonding Program'!$Z$39,0)-IF(AND('Bonding Program'!$S$39=1,'Bonding Program'!$H$39&lt;='Bonding Program'!$C$8,AT$3=IF('Bonding Program'!$P$39&lt;&gt;"",'Bonding Program'!$P$39,'Bonding Program'!$C$8)),'Bonding Program'!$Z$39,0)+IF(AND('Bonding Program'!$P$39&lt;&gt;"",AT$3='Bonding Program'!$P$39,AT$3&lt;='Bonding Program'!$C$8),N('Bonding Program'!$O$39),0)</f>
        <v>0</v>
      </c>
      <c r="AU180" s="19" t="n">
        <f aca="false">IF(AND('Bonding Program'!$S$39=1,'Bonding Program'!$H$39&gt;'Bonding Program'!$C$8,AU$3='Bonding Program'!$H$39),'Bonding Program'!$T$39-'Bonding Program'!$U$39-'Bonding Program'!$Z$39,0)-IF(AND('Bonding Program'!$S$39=1,'Bonding Program'!$H$39&lt;='Bonding Program'!$C$8,AU$3=IF('Bonding Program'!$P$39&lt;&gt;"",'Bonding Program'!$P$39,'Bonding Program'!$C$8)),'Bonding Program'!$Z$39,0)+IF(AND('Bonding Program'!$P$39&lt;&gt;"",AU$3='Bonding Program'!$P$39,AU$3&lt;='Bonding Program'!$C$8),N('Bonding Program'!$O$39),0)</f>
        <v>0</v>
      </c>
      <c r="AV180" s="19" t="n">
        <f aca="false">IF(AND('Bonding Program'!$S$39=1,'Bonding Program'!$H$39&gt;'Bonding Program'!$C$8,AV$3='Bonding Program'!$H$39),'Bonding Program'!$T$39-'Bonding Program'!$U$39-'Bonding Program'!$Z$39,0)-IF(AND('Bonding Program'!$S$39=1,'Bonding Program'!$H$39&lt;='Bonding Program'!$C$8,AV$3=IF('Bonding Program'!$P$39&lt;&gt;"",'Bonding Program'!$P$39,'Bonding Program'!$C$8)),'Bonding Program'!$Z$39,0)+IF(AND('Bonding Program'!$P$39&lt;&gt;"",AV$3='Bonding Program'!$P$39,AV$3&lt;='Bonding Program'!$C$8),N('Bonding Program'!$O$39),0)</f>
        <v>0</v>
      </c>
      <c r="AW180" s="19" t="n">
        <f aca="false">IF(AND('Bonding Program'!$S$39=1,'Bonding Program'!$H$39&gt;'Bonding Program'!$C$8,AW$3='Bonding Program'!$H$39),'Bonding Program'!$T$39-'Bonding Program'!$U$39-'Bonding Program'!$Z$39,0)-IF(AND('Bonding Program'!$S$39=1,'Bonding Program'!$H$39&lt;='Bonding Program'!$C$8,AW$3=IF('Bonding Program'!$P$39&lt;&gt;"",'Bonding Program'!$P$39,'Bonding Program'!$C$8)),'Bonding Program'!$Z$39,0)+IF(AND('Bonding Program'!$P$39&lt;&gt;"",AW$3='Bonding Program'!$P$39,AW$3&lt;='Bonding Program'!$C$8),N('Bonding Program'!$O$39),0)</f>
        <v>0</v>
      </c>
      <c r="AX180" s="19" t="n">
        <f aca="false">IF(AND('Bonding Program'!$S$39=1,'Bonding Program'!$H$39&gt;'Bonding Program'!$C$8,AX$3='Bonding Program'!$H$39),'Bonding Program'!$T$39-'Bonding Program'!$U$39-'Bonding Program'!$Z$39,0)-IF(AND('Bonding Program'!$S$39=1,'Bonding Program'!$H$39&lt;='Bonding Program'!$C$8,AX$3=IF('Bonding Program'!$P$39&lt;&gt;"",'Bonding Program'!$P$39,'Bonding Program'!$C$8)),'Bonding Program'!$Z$39,0)+IF(AND('Bonding Program'!$P$39&lt;&gt;"",AX$3='Bonding Program'!$P$39,AX$3&lt;='Bonding Program'!$C$8),N('Bonding Program'!$O$39),0)</f>
        <v>0</v>
      </c>
      <c r="AY180" s="19" t="n">
        <f aca="false">IF(AND('Bonding Program'!$S$39=1,'Bonding Program'!$H$39&gt;'Bonding Program'!$C$8,AY$3='Bonding Program'!$H$39),'Bonding Program'!$T$39-'Bonding Program'!$U$39-'Bonding Program'!$Z$39,0)-IF(AND('Bonding Program'!$S$39=1,'Bonding Program'!$H$39&lt;='Bonding Program'!$C$8,AY$3=IF('Bonding Program'!$P$39&lt;&gt;"",'Bonding Program'!$P$39,'Bonding Program'!$C$8)),'Bonding Program'!$Z$39,0)+IF(AND('Bonding Program'!$P$39&lt;&gt;"",AY$3='Bonding Program'!$P$39,AY$3&lt;='Bonding Program'!$C$8),N('Bonding Program'!$O$39),0)</f>
        <v>0</v>
      </c>
      <c r="AZ180" s="19" t="n">
        <f aca="false">IF(AND('Bonding Program'!$S$39=1,'Bonding Program'!$H$39&gt;'Bonding Program'!$C$8,AZ$3='Bonding Program'!$H$39),'Bonding Program'!$T$39-'Bonding Program'!$U$39-'Bonding Program'!$Z$39,0)-IF(AND('Bonding Program'!$S$39=1,'Bonding Program'!$H$39&lt;='Bonding Program'!$C$8,AZ$3=IF('Bonding Program'!$P$39&lt;&gt;"",'Bonding Program'!$P$39,'Bonding Program'!$C$8)),'Bonding Program'!$Z$39,0)+IF(AND('Bonding Program'!$P$39&lt;&gt;"",AZ$3='Bonding Program'!$P$39,AZ$3&lt;='Bonding Program'!$C$8),N('Bonding Program'!$O$39),0)</f>
        <v>0</v>
      </c>
      <c r="BA180" s="19" t="n">
        <f aca="false">IF(AND('Bonding Program'!$S$39=1,'Bonding Program'!$H$39&gt;'Bonding Program'!$C$8,BA$3='Bonding Program'!$H$39),'Bonding Program'!$T$39-'Bonding Program'!$U$39-'Bonding Program'!$Z$39,0)-IF(AND('Bonding Program'!$S$39=1,'Bonding Program'!$H$39&lt;='Bonding Program'!$C$8,BA$3=IF('Bonding Program'!$P$39&lt;&gt;"",'Bonding Program'!$P$39,'Bonding Program'!$C$8)),'Bonding Program'!$Z$39,0)+IF(AND('Bonding Program'!$P$39&lt;&gt;"",BA$3='Bonding Program'!$P$39,BA$3&lt;='Bonding Program'!$C$8),N('Bonding Program'!$O$39),0)</f>
        <v>0</v>
      </c>
      <c r="BB180" s="19" t="n">
        <f aca="false">IF(AND('Bonding Program'!$S$39=1,'Bonding Program'!$H$39&gt;'Bonding Program'!$C$8,BB$3='Bonding Program'!$H$39),'Bonding Program'!$T$39-'Bonding Program'!$U$39-'Bonding Program'!$Z$39,0)-IF(AND('Bonding Program'!$S$39=1,'Bonding Program'!$H$39&lt;='Bonding Program'!$C$8,BB$3=IF('Bonding Program'!$P$39&lt;&gt;"",'Bonding Program'!$P$39,'Bonding Program'!$C$8)),'Bonding Program'!$Z$39,0)+IF(AND('Bonding Program'!$P$39&lt;&gt;"",BB$3='Bonding Program'!$P$39,BB$3&lt;='Bonding Program'!$C$8),N('Bonding Program'!$O$39),0)</f>
        <v>0</v>
      </c>
      <c r="BC180" s="19" t="n">
        <f aca="false">IF(AND('Bonding Program'!$S$39=1,'Bonding Program'!$H$39&gt;'Bonding Program'!$C$8,BC$3='Bonding Program'!$H$39),'Bonding Program'!$T$39-'Bonding Program'!$U$39-'Bonding Program'!$Z$39,0)-IF(AND('Bonding Program'!$S$39=1,'Bonding Program'!$H$39&lt;='Bonding Program'!$C$8,BC$3=IF('Bonding Program'!$P$39&lt;&gt;"",'Bonding Program'!$P$39,'Bonding Program'!$C$8)),'Bonding Program'!$Z$39,0)+IF(AND('Bonding Program'!$P$39&lt;&gt;"",BC$3='Bonding Program'!$P$39,BC$3&lt;='Bonding Program'!$C$8),N('Bonding Program'!$O$39),0)</f>
        <v>0</v>
      </c>
      <c r="BD180" s="19" t="n">
        <f aca="false">IF(AND('Bonding Program'!$S$39=1,'Bonding Program'!$H$39&gt;'Bonding Program'!$C$8,BD$3='Bonding Program'!$H$39),'Bonding Program'!$T$39-'Bonding Program'!$U$39-'Bonding Program'!$Z$39,0)-IF(AND('Bonding Program'!$S$39=1,'Bonding Program'!$H$39&lt;='Bonding Program'!$C$8,BD$3=IF('Bonding Program'!$P$39&lt;&gt;"",'Bonding Program'!$P$39,'Bonding Program'!$C$8)),'Bonding Program'!$Z$39,0)+IF(AND('Bonding Program'!$P$39&lt;&gt;"",BD$3='Bonding Program'!$P$39,BD$3&lt;='Bonding Program'!$C$8),N('Bonding Program'!$O$39),0)</f>
        <v>0</v>
      </c>
      <c r="BE180" s="19" t="n">
        <f aca="false">IF(AND('Bonding Program'!$S$39=1,'Bonding Program'!$H$39&gt;'Bonding Program'!$C$8,BE$3='Bonding Program'!$H$39),'Bonding Program'!$T$39-'Bonding Program'!$U$39-'Bonding Program'!$Z$39,0)-IF(AND('Bonding Program'!$S$39=1,'Bonding Program'!$H$39&lt;='Bonding Program'!$C$8,BE$3=IF('Bonding Program'!$P$39&lt;&gt;"",'Bonding Program'!$P$39,'Bonding Program'!$C$8)),'Bonding Program'!$Z$39,0)+IF(AND('Bonding Program'!$P$39&lt;&gt;"",BE$3='Bonding Program'!$P$39,BE$3&lt;='Bonding Program'!$C$8),N('Bonding Program'!$O$39),0)</f>
        <v>0</v>
      </c>
      <c r="BF180" s="19" t="n">
        <f aca="false">IF(AND('Bonding Program'!$S$39=1,'Bonding Program'!$H$39&gt;'Bonding Program'!$C$8,BF$3='Bonding Program'!$H$39),'Bonding Program'!$T$39-'Bonding Program'!$U$39-'Bonding Program'!$Z$39,0)-IF(AND('Bonding Program'!$S$39=1,'Bonding Program'!$H$39&lt;='Bonding Program'!$C$8,BF$3=IF('Bonding Program'!$P$39&lt;&gt;"",'Bonding Program'!$P$39,'Bonding Program'!$C$8)),'Bonding Program'!$Z$39,0)+IF(AND('Bonding Program'!$P$39&lt;&gt;"",BF$3='Bonding Program'!$P$39,BF$3&lt;='Bonding Program'!$C$8),N('Bonding Program'!$O$39),0)</f>
        <v>0</v>
      </c>
      <c r="BG180" s="19" t="n">
        <f aca="false">IF(AND('Bonding Program'!$S$39=1,'Bonding Program'!$H$39&gt;'Bonding Program'!$C$8,BG$3='Bonding Program'!$H$39),'Bonding Program'!$T$39-'Bonding Program'!$U$39-'Bonding Program'!$Z$39,0)-IF(AND('Bonding Program'!$S$39=1,'Bonding Program'!$H$39&lt;='Bonding Program'!$C$8,BG$3=IF('Bonding Program'!$P$39&lt;&gt;"",'Bonding Program'!$P$39,'Bonding Program'!$C$8)),'Bonding Program'!$Z$39,0)+IF(AND('Bonding Program'!$P$39&lt;&gt;"",BG$3='Bonding Program'!$P$39,BG$3&lt;='Bonding Program'!$C$8),N('Bonding Program'!$O$39),0)</f>
        <v>0</v>
      </c>
      <c r="BH180" s="19" t="n">
        <f aca="false">IF(AND('Bonding Program'!$S$39=1,'Bonding Program'!$H$39&gt;'Bonding Program'!$C$8,BH$3='Bonding Program'!$H$39),'Bonding Program'!$T$39-'Bonding Program'!$U$39-'Bonding Program'!$Z$39,0)-IF(AND('Bonding Program'!$S$39=1,'Bonding Program'!$H$39&lt;='Bonding Program'!$C$8,BH$3=IF('Bonding Program'!$P$39&lt;&gt;"",'Bonding Program'!$P$39,'Bonding Program'!$C$8)),'Bonding Program'!$Z$39,0)+IF(AND('Bonding Program'!$P$39&lt;&gt;"",BH$3='Bonding Program'!$P$39,BH$3&lt;='Bonding Program'!$C$8),N('Bonding Program'!$O$39),0)</f>
        <v>0</v>
      </c>
      <c r="BI180" s="19" t="n">
        <f aca="false">IF(AND('Bonding Program'!$S$39=1,'Bonding Program'!$H$39&gt;'Bonding Program'!$C$8,BI$3='Bonding Program'!$H$39),'Bonding Program'!$T$39-'Bonding Program'!$U$39-'Bonding Program'!$Z$39,0)-IF(AND('Bonding Program'!$S$39=1,'Bonding Program'!$H$39&lt;='Bonding Program'!$C$8,BI$3=IF('Bonding Program'!$P$39&lt;&gt;"",'Bonding Program'!$P$39,'Bonding Program'!$C$8)),'Bonding Program'!$Z$39,0)+IF(AND('Bonding Program'!$P$39&lt;&gt;"",BI$3='Bonding Program'!$P$39,BI$3&lt;='Bonding Program'!$C$8),N('Bonding Program'!$O$39),0)</f>
        <v>0</v>
      </c>
      <c r="BJ180" s="19" t="n">
        <f aca="false">IF(AND('Bonding Program'!$S$39=1,'Bonding Program'!$H$39&gt;'Bonding Program'!$C$8,BJ$3='Bonding Program'!$H$39),'Bonding Program'!$T$39-'Bonding Program'!$U$39-'Bonding Program'!$Z$39,0)-IF(AND('Bonding Program'!$S$39=1,'Bonding Program'!$H$39&lt;='Bonding Program'!$C$8,BJ$3=IF('Bonding Program'!$P$39&lt;&gt;"",'Bonding Program'!$P$39,'Bonding Program'!$C$8)),'Bonding Program'!$Z$39,0)+IF(AND('Bonding Program'!$P$39&lt;&gt;"",BJ$3='Bonding Program'!$P$39,BJ$3&lt;='Bonding Program'!$C$8),N('Bonding Program'!$O$39),0)</f>
        <v>0</v>
      </c>
      <c r="BK180" s="19" t="n">
        <f aca="false">IF(AND('Bonding Program'!$S$39=1,'Bonding Program'!$H$39&gt;'Bonding Program'!$C$8,BK$3='Bonding Program'!$H$39),'Bonding Program'!$T$39-'Bonding Program'!$U$39-'Bonding Program'!$Z$39,0)-IF(AND('Bonding Program'!$S$39=1,'Bonding Program'!$H$39&lt;='Bonding Program'!$C$8,BK$3=IF('Bonding Program'!$P$39&lt;&gt;"",'Bonding Program'!$P$39,'Bonding Program'!$C$8)),'Bonding Program'!$Z$39,0)+IF(AND('Bonding Program'!$P$39&lt;&gt;"",BK$3='Bonding Program'!$P$39,BK$3&lt;='Bonding Program'!$C$8),N('Bonding Program'!$O$39),0)</f>
        <v>0</v>
      </c>
      <c r="BL180" s="19" t="n">
        <f aca="false">IF(AND('Bonding Program'!$S$39=1,'Bonding Program'!$H$39&gt;'Bonding Program'!$C$8,BL$3='Bonding Program'!$H$39),'Bonding Program'!$T$39-'Bonding Program'!$U$39-'Bonding Program'!$Z$39,0)-IF(AND('Bonding Program'!$S$39=1,'Bonding Program'!$H$39&lt;='Bonding Program'!$C$8,BL$3=IF('Bonding Program'!$P$39&lt;&gt;"",'Bonding Program'!$P$39,'Bonding Program'!$C$8)),'Bonding Program'!$Z$39,0)+IF(AND('Bonding Program'!$P$39&lt;&gt;"",BL$3='Bonding Program'!$P$39,BL$3&lt;='Bonding Program'!$C$8),N('Bonding Program'!$O$39),0)</f>
        <v>0</v>
      </c>
      <c r="BM180" s="19" t="n">
        <f aca="false">IF(AND('Bonding Program'!$S$39=1,'Bonding Program'!$H$39&gt;'Bonding Program'!$C$8,BM$3='Bonding Program'!$H$39),'Bonding Program'!$T$39-'Bonding Program'!$U$39-'Bonding Program'!$Z$39,0)-IF(AND('Bonding Program'!$S$39=1,'Bonding Program'!$H$39&lt;='Bonding Program'!$C$8,BM$3=IF('Bonding Program'!$P$39&lt;&gt;"",'Bonding Program'!$P$39,'Bonding Program'!$C$8)),'Bonding Program'!$Z$39,0)+IF(AND('Bonding Program'!$P$39&lt;&gt;"",BM$3='Bonding Program'!$P$39,BM$3&lt;='Bonding Program'!$C$8),N('Bonding Program'!$O$39),0)</f>
        <v>0</v>
      </c>
      <c r="BN180" s="19" t="n">
        <f aca="false">IF(AND('Bonding Program'!$S$39=1,'Bonding Program'!$H$39&gt;'Bonding Program'!$C$8,BN$3='Bonding Program'!$H$39),'Bonding Program'!$T$39-'Bonding Program'!$U$39-'Bonding Program'!$Z$39,0)-IF(AND('Bonding Program'!$S$39=1,'Bonding Program'!$H$39&lt;='Bonding Program'!$C$8,BN$3=IF('Bonding Program'!$P$39&lt;&gt;"",'Bonding Program'!$P$39,'Bonding Program'!$C$8)),'Bonding Program'!$Z$39,0)+IF(AND('Bonding Program'!$P$39&lt;&gt;"",BN$3='Bonding Program'!$P$39,BN$3&lt;='Bonding Program'!$C$8),N('Bonding Program'!$O$39),0)</f>
        <v>0</v>
      </c>
      <c r="BO180" s="19" t="n">
        <f aca="false">IF(AND('Bonding Program'!$S$39=1,'Bonding Program'!$H$39&gt;'Bonding Program'!$C$8,BO$3='Bonding Program'!$H$39),'Bonding Program'!$T$39-'Bonding Program'!$U$39-'Bonding Program'!$Z$39,0)-IF(AND('Bonding Program'!$S$39=1,'Bonding Program'!$H$39&lt;='Bonding Program'!$C$8,BO$3=IF('Bonding Program'!$P$39&lt;&gt;"",'Bonding Program'!$P$39,'Bonding Program'!$C$8)),'Bonding Program'!$Z$39,0)+IF(AND('Bonding Program'!$P$39&lt;&gt;"",BO$3='Bonding Program'!$P$39,BO$3&lt;='Bonding Program'!$C$8),N('Bonding Program'!$O$39),0)</f>
        <v>0</v>
      </c>
      <c r="BP180" s="19" t="n">
        <f aca="false">IF(AND('Bonding Program'!$S$39=1,'Bonding Program'!$H$39&gt;'Bonding Program'!$C$8,BP$3='Bonding Program'!$H$39),'Bonding Program'!$T$39-'Bonding Program'!$U$39-'Bonding Program'!$Z$39,0)-IF(AND('Bonding Program'!$S$39=1,'Bonding Program'!$H$39&lt;='Bonding Program'!$C$8,BP$3=IF('Bonding Program'!$P$39&lt;&gt;"",'Bonding Program'!$P$39,'Bonding Program'!$C$8)),'Bonding Program'!$Z$39,0)+IF(AND('Bonding Program'!$P$39&lt;&gt;"",BP$3='Bonding Program'!$P$39,BP$3&lt;='Bonding Program'!$C$8),N('Bonding Program'!$O$39),0)</f>
        <v>0</v>
      </c>
      <c r="BQ180" s="19" t="n">
        <f aca="false">IF(AND('Bonding Program'!$S$39=1,'Bonding Program'!$H$39&gt;'Bonding Program'!$C$8,BQ$3='Bonding Program'!$H$39),'Bonding Program'!$T$39-'Bonding Program'!$U$39-'Bonding Program'!$Z$39,0)-IF(AND('Bonding Program'!$S$39=1,'Bonding Program'!$H$39&lt;='Bonding Program'!$C$8,BQ$3=IF('Bonding Program'!$P$39&lt;&gt;"",'Bonding Program'!$P$39,'Bonding Program'!$C$8)),'Bonding Program'!$Z$39,0)+IF(AND('Bonding Program'!$P$39&lt;&gt;"",BQ$3='Bonding Program'!$P$39,BQ$3&lt;='Bonding Program'!$C$8),N('Bonding Program'!$O$39),0)</f>
        <v>0</v>
      </c>
      <c r="BR180" s="19" t="n">
        <f aca="false">IF(AND('Bonding Program'!$S$39=1,'Bonding Program'!$H$39&gt;'Bonding Program'!$C$8,BR$3='Bonding Program'!$H$39),'Bonding Program'!$T$39-'Bonding Program'!$U$39-'Bonding Program'!$Z$39,0)-IF(AND('Bonding Program'!$S$39=1,'Bonding Program'!$H$39&lt;='Bonding Program'!$C$8,BR$3=IF('Bonding Program'!$P$39&lt;&gt;"",'Bonding Program'!$P$39,'Bonding Program'!$C$8)),'Bonding Program'!$Z$39,0)+IF(AND('Bonding Program'!$P$39&lt;&gt;"",BR$3='Bonding Program'!$P$39,BR$3&lt;='Bonding Program'!$C$8),N('Bonding Program'!$O$39),0)</f>
        <v>0</v>
      </c>
      <c r="BS180" s="19" t="n">
        <f aca="false">IF(AND('Bonding Program'!$S$39=1,'Bonding Program'!$H$39&gt;'Bonding Program'!$C$8,BS$3='Bonding Program'!$H$39),'Bonding Program'!$T$39-'Bonding Program'!$U$39-'Bonding Program'!$Z$39,0)-IF(AND('Bonding Program'!$S$39=1,'Bonding Program'!$H$39&lt;='Bonding Program'!$C$8,BS$3=IF('Bonding Program'!$P$39&lt;&gt;"",'Bonding Program'!$P$39,'Bonding Program'!$C$8)),'Bonding Program'!$Z$39,0)+IF(AND('Bonding Program'!$P$39&lt;&gt;"",BS$3='Bonding Program'!$P$39,BS$3&lt;='Bonding Program'!$C$8),N('Bonding Program'!$O$39),0)</f>
        <v>0</v>
      </c>
      <c r="BT180" s="19" t="n">
        <f aca="false">IF(AND('Bonding Program'!$S$39=1,'Bonding Program'!$H$39&gt;'Bonding Program'!$C$8,BT$3='Bonding Program'!$H$39),'Bonding Program'!$T$39-'Bonding Program'!$U$39-'Bonding Program'!$Z$39,0)-IF(AND('Bonding Program'!$S$39=1,'Bonding Program'!$H$39&lt;='Bonding Program'!$C$8,BT$3=IF('Bonding Program'!$P$39&lt;&gt;"",'Bonding Program'!$P$39,'Bonding Program'!$C$8)),'Bonding Program'!$Z$39,0)+IF(AND('Bonding Program'!$P$39&lt;&gt;"",BT$3='Bonding Program'!$P$39,BT$3&lt;='Bonding Program'!$C$8),N('Bonding Program'!$O$39),0)</f>
        <v>0</v>
      </c>
      <c r="BU180" s="19" t="n">
        <f aca="false">IF(AND('Bonding Program'!$S$39=1,'Bonding Program'!$H$39&gt;'Bonding Program'!$C$8,BU$3='Bonding Program'!$H$39),'Bonding Program'!$T$39-'Bonding Program'!$U$39-'Bonding Program'!$Z$39,0)-IF(AND('Bonding Program'!$S$39=1,'Bonding Program'!$H$39&lt;='Bonding Program'!$C$8,BU$3=IF('Bonding Program'!$P$39&lt;&gt;"",'Bonding Program'!$P$39,'Bonding Program'!$C$8)),'Bonding Program'!$Z$39,0)+IF(AND('Bonding Program'!$P$39&lt;&gt;"",BU$3='Bonding Program'!$P$39,BU$3&lt;='Bonding Program'!$C$8),N('Bonding Program'!$O$39),0)</f>
        <v>0</v>
      </c>
      <c r="BV180" s="19" t="n">
        <f aca="false">IF(AND('Bonding Program'!$S$39=1,'Bonding Program'!$H$39&gt;'Bonding Program'!$C$8,BV$3='Bonding Program'!$H$39),'Bonding Program'!$T$39-'Bonding Program'!$U$39-'Bonding Program'!$Z$39,0)-IF(AND('Bonding Program'!$S$39=1,'Bonding Program'!$H$39&lt;='Bonding Program'!$C$8,BV$3=IF('Bonding Program'!$P$39&lt;&gt;"",'Bonding Program'!$P$39,'Bonding Program'!$C$8)),'Bonding Program'!$Z$39,0)+IF(AND('Bonding Program'!$P$39&lt;&gt;"",BV$3='Bonding Program'!$P$39,BV$3&lt;='Bonding Program'!$C$8),N('Bonding Program'!$O$39),0)</f>
        <v>0</v>
      </c>
      <c r="BW180" s="19" t="n">
        <f aca="false">IF(AND('Bonding Program'!$S$39=1,'Bonding Program'!$H$39&gt;'Bonding Program'!$C$8,BW$3='Bonding Program'!$H$39),'Bonding Program'!$T$39-'Bonding Program'!$U$39-'Bonding Program'!$Z$39,0)-IF(AND('Bonding Program'!$S$39=1,'Bonding Program'!$H$39&lt;='Bonding Program'!$C$8,BW$3=IF('Bonding Program'!$P$39&lt;&gt;"",'Bonding Program'!$P$39,'Bonding Program'!$C$8)),'Bonding Program'!$Z$39,0)+IF(AND('Bonding Program'!$P$39&lt;&gt;"",BW$3='Bonding Program'!$P$39,BW$3&lt;='Bonding Program'!$C$8),N('Bonding Program'!$O$39),0)</f>
        <v>0</v>
      </c>
      <c r="BX180" s="19" t="n">
        <f aca="false">IF(AND('Bonding Program'!$S$39=1,'Bonding Program'!$H$39&gt;'Bonding Program'!$C$8,BX$3='Bonding Program'!$H$39),'Bonding Program'!$T$39-'Bonding Program'!$U$39-'Bonding Program'!$Z$39,0)-IF(AND('Bonding Program'!$S$39=1,'Bonding Program'!$H$39&lt;='Bonding Program'!$C$8,BX$3=IF('Bonding Program'!$P$39&lt;&gt;"",'Bonding Program'!$P$39,'Bonding Program'!$C$8)),'Bonding Program'!$Z$39,0)+IF(AND('Bonding Program'!$P$39&lt;&gt;"",BX$3='Bonding Program'!$P$39,BX$3&lt;='Bonding Program'!$C$8),N('Bonding Program'!$O$39),0)</f>
        <v>0</v>
      </c>
      <c r="BY180" s="19" t="n">
        <f aca="false">IF(AND('Bonding Program'!$S$39=1,'Bonding Program'!$H$39&gt;'Bonding Program'!$C$8,BY$3='Bonding Program'!$H$39),'Bonding Program'!$T$39-'Bonding Program'!$U$39-'Bonding Program'!$Z$39,0)-IF(AND('Bonding Program'!$S$39=1,'Bonding Program'!$H$39&lt;='Bonding Program'!$C$8,BY$3=IF('Bonding Program'!$P$39&lt;&gt;"",'Bonding Program'!$P$39,'Bonding Program'!$C$8)),'Bonding Program'!$Z$39,0)+IF(AND('Bonding Program'!$P$39&lt;&gt;"",BY$3='Bonding Program'!$P$39,BY$3&lt;='Bonding Program'!$C$8),N('Bonding Program'!$O$39),0)</f>
        <v>0</v>
      </c>
      <c r="BZ180" s="19" t="n">
        <f aca="false">IF(AND('Bonding Program'!$S$39=1,'Bonding Program'!$H$39&gt;'Bonding Program'!$C$8,BZ$3='Bonding Program'!$H$39),'Bonding Program'!$T$39-'Bonding Program'!$U$39-'Bonding Program'!$Z$39,0)-IF(AND('Bonding Program'!$S$39=1,'Bonding Program'!$H$39&lt;='Bonding Program'!$C$8,BZ$3=IF('Bonding Program'!$P$39&lt;&gt;"",'Bonding Program'!$P$39,'Bonding Program'!$C$8)),'Bonding Program'!$Z$39,0)+IF(AND('Bonding Program'!$P$39&lt;&gt;"",BZ$3='Bonding Program'!$P$39,BZ$3&lt;='Bonding Program'!$C$8),N('Bonding Program'!$O$39),0)</f>
        <v>0</v>
      </c>
      <c r="CA180" s="19" t="n">
        <f aca="false">IF(AND('Bonding Program'!$S$39=1,'Bonding Program'!$H$39&gt;'Bonding Program'!$C$8,CA$3='Bonding Program'!$H$39),'Bonding Program'!$T$39-'Bonding Program'!$U$39-'Bonding Program'!$Z$39,0)-IF(AND('Bonding Program'!$S$39=1,'Bonding Program'!$H$39&lt;='Bonding Program'!$C$8,CA$3=IF('Bonding Program'!$P$39&lt;&gt;"",'Bonding Program'!$P$39,'Bonding Program'!$C$8)),'Bonding Program'!$Z$39,0)+IF(AND('Bonding Program'!$P$39&lt;&gt;"",CA$3='Bonding Program'!$P$39,CA$3&lt;='Bonding Program'!$C$8),N('Bonding Program'!$O$39),0)</f>
        <v>0</v>
      </c>
      <c r="CB180" s="19" t="n">
        <f aca="false">IF(AND('Bonding Program'!$S$39=1,'Bonding Program'!$H$39&gt;'Bonding Program'!$C$8,CB$3='Bonding Program'!$H$39),'Bonding Program'!$T$39-'Bonding Program'!$U$39-'Bonding Program'!$Z$39,0)-IF(AND('Bonding Program'!$S$39=1,'Bonding Program'!$H$39&lt;='Bonding Program'!$C$8,CB$3=IF('Bonding Program'!$P$39&lt;&gt;"",'Bonding Program'!$P$39,'Bonding Program'!$C$8)),'Bonding Program'!$Z$39,0)+IF(AND('Bonding Program'!$P$39&lt;&gt;"",CB$3='Bonding Program'!$P$39,CB$3&lt;='Bonding Program'!$C$8),N('Bonding Program'!$O$39),0)</f>
        <v>0</v>
      </c>
      <c r="CC180" s="19" t="n">
        <f aca="false">IF(AND('Bonding Program'!$S$39=1,'Bonding Program'!$H$39&gt;'Bonding Program'!$C$8,CC$3='Bonding Program'!$H$39),'Bonding Program'!$T$39-'Bonding Program'!$U$39-'Bonding Program'!$Z$39,0)-IF(AND('Bonding Program'!$S$39=1,'Bonding Program'!$H$39&lt;='Bonding Program'!$C$8,CC$3=IF('Bonding Program'!$P$39&lt;&gt;"",'Bonding Program'!$P$39,'Bonding Program'!$C$8)),'Bonding Program'!$Z$39,0)+IF(AND('Bonding Program'!$P$39&lt;&gt;"",CC$3='Bonding Program'!$P$39,CC$3&lt;='Bonding Program'!$C$8),N('Bonding Program'!$O$39),0)</f>
        <v>0</v>
      </c>
      <c r="CD180" s="19" t="n">
        <f aca="false">IF(AND('Bonding Program'!$S$39=1,'Bonding Program'!$H$39&gt;'Bonding Program'!$C$8,CD$3='Bonding Program'!$H$39),'Bonding Program'!$T$39-'Bonding Program'!$U$39-'Bonding Program'!$Z$39,0)-IF(AND('Bonding Program'!$S$39=1,'Bonding Program'!$H$39&lt;='Bonding Program'!$C$8,CD$3=IF('Bonding Program'!$P$39&lt;&gt;"",'Bonding Program'!$P$39,'Bonding Program'!$C$8)),'Bonding Program'!$Z$39,0)+IF(AND('Bonding Program'!$P$39&lt;&gt;"",CD$3='Bonding Program'!$P$39,CD$3&lt;='Bonding Program'!$C$8),N('Bonding Program'!$O$39),0)</f>
        <v>0</v>
      </c>
      <c r="CE180" s="19" t="n">
        <f aca="false">IF(AND('Bonding Program'!$S$39=1,'Bonding Program'!$H$39&gt;'Bonding Program'!$C$8,CE$3='Bonding Program'!$H$39),'Bonding Program'!$T$39-'Bonding Program'!$U$39-'Bonding Program'!$Z$39,0)-IF(AND('Bonding Program'!$S$39=1,'Bonding Program'!$H$39&lt;='Bonding Program'!$C$8,CE$3=IF('Bonding Program'!$P$39&lt;&gt;"",'Bonding Program'!$P$39,'Bonding Program'!$C$8)),'Bonding Program'!$Z$39,0)+IF(AND('Bonding Program'!$P$39&lt;&gt;"",CE$3='Bonding Program'!$P$39,CE$3&lt;='Bonding Program'!$C$8),N('Bonding Program'!$O$39),0)</f>
        <v>0</v>
      </c>
      <c r="CF180" s="19" t="n">
        <f aca="false">IF(AND('Bonding Program'!$S$39=1,'Bonding Program'!$H$39&gt;'Bonding Program'!$C$8,CF$3='Bonding Program'!$H$39),'Bonding Program'!$T$39-'Bonding Program'!$U$39-'Bonding Program'!$Z$39,0)-IF(AND('Bonding Program'!$S$39=1,'Bonding Program'!$H$39&lt;='Bonding Program'!$C$8,CF$3=IF('Bonding Program'!$P$39&lt;&gt;"",'Bonding Program'!$P$39,'Bonding Program'!$C$8)),'Bonding Program'!$Z$39,0)+IF(AND('Bonding Program'!$P$39&lt;&gt;"",CF$3='Bonding Program'!$P$39,CF$3&lt;='Bonding Program'!$C$8),N('Bonding Program'!$O$39),0)</f>
        <v>0</v>
      </c>
      <c r="CG180" s="19" t="n">
        <f aca="false">IF(AND('Bonding Program'!$S$39=1,'Bonding Program'!$H$39&gt;'Bonding Program'!$C$8,CG$3='Bonding Program'!$H$39),'Bonding Program'!$T$39-'Bonding Program'!$U$39-'Bonding Program'!$Z$39,0)-IF(AND('Bonding Program'!$S$39=1,'Bonding Program'!$H$39&lt;='Bonding Program'!$C$8,CG$3=IF('Bonding Program'!$P$39&lt;&gt;"",'Bonding Program'!$P$39,'Bonding Program'!$C$8)),'Bonding Program'!$Z$39,0)+IF(AND('Bonding Program'!$P$39&lt;&gt;"",CG$3='Bonding Program'!$P$39,CG$3&lt;='Bonding Program'!$C$8),N('Bonding Program'!$O$39),0)</f>
        <v>0</v>
      </c>
      <c r="CH180" s="19" t="n">
        <f aca="false">IF(AND('Bonding Program'!$S$39=1,'Bonding Program'!$H$39&gt;'Bonding Program'!$C$8,CH$3='Bonding Program'!$H$39),'Bonding Program'!$T$39-'Bonding Program'!$U$39-'Bonding Program'!$Z$39,0)-IF(AND('Bonding Program'!$S$39=1,'Bonding Program'!$H$39&lt;='Bonding Program'!$C$8,CH$3=IF('Bonding Program'!$P$39&lt;&gt;"",'Bonding Program'!$P$39,'Bonding Program'!$C$8)),'Bonding Program'!$Z$39,0)+IF(AND('Bonding Program'!$P$39&lt;&gt;"",CH$3='Bonding Program'!$P$39,CH$3&lt;='Bonding Program'!$C$8),N('Bonding Program'!$O$39),0)</f>
        <v>0</v>
      </c>
      <c r="CI180" s="19" t="n">
        <f aca="false">IF(AND('Bonding Program'!$S$39=1,'Bonding Program'!$H$39&gt;'Bonding Program'!$C$8,CI$3='Bonding Program'!$H$39),'Bonding Program'!$T$39-'Bonding Program'!$U$39-'Bonding Program'!$Z$39,0)-IF(AND('Bonding Program'!$S$39=1,'Bonding Program'!$H$39&lt;='Bonding Program'!$C$8,CI$3=IF('Bonding Program'!$P$39&lt;&gt;"",'Bonding Program'!$P$39,'Bonding Program'!$C$8)),'Bonding Program'!$Z$39,0)+IF(AND('Bonding Program'!$P$39&lt;&gt;"",CI$3='Bonding Program'!$P$39,CI$3&lt;='Bonding Program'!$C$8),N('Bonding Program'!$O$39),0)</f>
        <v>0</v>
      </c>
      <c r="CJ180" s="19" t="n">
        <f aca="false">IF(AND('Bonding Program'!$S$39=1,'Bonding Program'!$H$39&gt;'Bonding Program'!$C$8,CJ$3='Bonding Program'!$H$39),'Bonding Program'!$T$39-'Bonding Program'!$U$39-'Bonding Program'!$Z$39,0)-IF(AND('Bonding Program'!$S$39=1,'Bonding Program'!$H$39&lt;='Bonding Program'!$C$8,CJ$3=IF('Bonding Program'!$P$39&lt;&gt;"",'Bonding Program'!$P$39,'Bonding Program'!$C$8)),'Bonding Program'!$Z$39,0)+IF(AND('Bonding Program'!$P$39&lt;&gt;"",CJ$3='Bonding Program'!$P$39,CJ$3&lt;='Bonding Program'!$C$8),N('Bonding Program'!$O$39),0)</f>
        <v>0</v>
      </c>
      <c r="CK180" s="19" t="n">
        <f aca="false">IF(AND('Bonding Program'!$S$39=1,'Bonding Program'!$H$39&gt;'Bonding Program'!$C$8,CK$3='Bonding Program'!$H$39),'Bonding Program'!$T$39-'Bonding Program'!$U$39-'Bonding Program'!$Z$39,0)-IF(AND('Bonding Program'!$S$39=1,'Bonding Program'!$H$39&lt;='Bonding Program'!$C$8,CK$3=IF('Bonding Program'!$P$39&lt;&gt;"",'Bonding Program'!$P$39,'Bonding Program'!$C$8)),'Bonding Program'!$Z$39,0)+IF(AND('Bonding Program'!$P$39&lt;&gt;"",CK$3='Bonding Program'!$P$39,CK$3&lt;='Bonding Program'!$C$8),N('Bonding Program'!$O$39),0)</f>
        <v>0</v>
      </c>
      <c r="CL180" s="19" t="n">
        <f aca="false">IF(AND('Bonding Program'!$S$39=1,'Bonding Program'!$H$39&gt;'Bonding Program'!$C$8,CL$3='Bonding Program'!$H$39),'Bonding Program'!$T$39-'Bonding Program'!$U$39-'Bonding Program'!$Z$39,0)-IF(AND('Bonding Program'!$S$39=1,'Bonding Program'!$H$39&lt;='Bonding Program'!$C$8,CL$3=IF('Bonding Program'!$P$39&lt;&gt;"",'Bonding Program'!$P$39,'Bonding Program'!$C$8)),'Bonding Program'!$Z$39,0)+IF(AND('Bonding Program'!$P$39&lt;&gt;"",CL$3='Bonding Program'!$P$39,CL$3&lt;='Bonding Program'!$C$8),N('Bonding Program'!$O$39),0)</f>
        <v>0</v>
      </c>
      <c r="CM180" s="19" t="n">
        <f aca="false">IF(AND('Bonding Program'!$S$39=1,'Bonding Program'!$H$39&gt;'Bonding Program'!$C$8,CM$3='Bonding Program'!$H$39),'Bonding Program'!$T$39-'Bonding Program'!$U$39-'Bonding Program'!$Z$39,0)-IF(AND('Bonding Program'!$S$39=1,'Bonding Program'!$H$39&lt;='Bonding Program'!$C$8,CM$3=IF('Bonding Program'!$P$39&lt;&gt;"",'Bonding Program'!$P$39,'Bonding Program'!$C$8)),'Bonding Program'!$Z$39,0)+IF(AND('Bonding Program'!$P$39&lt;&gt;"",CM$3='Bonding Program'!$P$39,CM$3&lt;='Bonding Program'!$C$8),N('Bonding Program'!$O$39),0)</f>
        <v>0</v>
      </c>
      <c r="CN180" s="19" t="n">
        <f aca="false">IF(AND('Bonding Program'!$S$39=1,'Bonding Program'!$H$39&gt;'Bonding Program'!$C$8,CN$3='Bonding Program'!$H$39),'Bonding Program'!$T$39-'Bonding Program'!$U$39-'Bonding Program'!$Z$39,0)-IF(AND('Bonding Program'!$S$39=1,'Bonding Program'!$H$39&lt;='Bonding Program'!$C$8,CN$3=IF('Bonding Program'!$P$39&lt;&gt;"",'Bonding Program'!$P$39,'Bonding Program'!$C$8)),'Bonding Program'!$Z$39,0)+IF(AND('Bonding Program'!$P$39&lt;&gt;"",CN$3='Bonding Program'!$P$39,CN$3&lt;='Bonding Program'!$C$8),N('Bonding Program'!$O$39),0)</f>
        <v>0</v>
      </c>
      <c r="CO180" s="19" t="n">
        <f aca="false">IF(AND('Bonding Program'!$S$39=1,'Bonding Program'!$H$39&gt;'Bonding Program'!$C$8,CO$3='Bonding Program'!$H$39),'Bonding Program'!$T$39-'Bonding Program'!$U$39-'Bonding Program'!$Z$39,0)-IF(AND('Bonding Program'!$S$39=1,'Bonding Program'!$H$39&lt;='Bonding Program'!$C$8,CO$3=IF('Bonding Program'!$P$39&lt;&gt;"",'Bonding Program'!$P$39,'Bonding Program'!$C$8)),'Bonding Program'!$Z$39,0)+IF(AND('Bonding Program'!$P$39&lt;&gt;"",CO$3='Bonding Program'!$P$39,CO$3&lt;='Bonding Program'!$C$8),N('Bonding Program'!$O$39),0)</f>
        <v>0</v>
      </c>
      <c r="CP180" s="19" t="n">
        <f aca="false">IF(AND('Bonding Program'!$S$39=1,'Bonding Program'!$H$39&gt;'Bonding Program'!$C$8,CP$3='Bonding Program'!$H$39),'Bonding Program'!$T$39-'Bonding Program'!$U$39-'Bonding Program'!$Z$39,0)-IF(AND('Bonding Program'!$S$39=1,'Bonding Program'!$H$39&lt;='Bonding Program'!$C$8,CP$3=IF('Bonding Program'!$P$39&lt;&gt;"",'Bonding Program'!$P$39,'Bonding Program'!$C$8)),'Bonding Program'!$Z$39,0)+IF(AND('Bonding Program'!$P$39&lt;&gt;"",CP$3='Bonding Program'!$P$39,CP$3&lt;='Bonding Program'!$C$8),N('Bonding Program'!$O$39),0)</f>
        <v>0</v>
      </c>
      <c r="CQ180" s="19" t="n">
        <f aca="false">IF(AND('Bonding Program'!$S$39=1,'Bonding Program'!$H$39&gt;'Bonding Program'!$C$8,CQ$3='Bonding Program'!$H$39),'Bonding Program'!$T$39-'Bonding Program'!$U$39-'Bonding Program'!$Z$39,0)-IF(AND('Bonding Program'!$S$39=1,'Bonding Program'!$H$39&lt;='Bonding Program'!$C$8,CQ$3=IF('Bonding Program'!$P$39&lt;&gt;"",'Bonding Program'!$P$39,'Bonding Program'!$C$8)),'Bonding Program'!$Z$39,0)+IF(AND('Bonding Program'!$P$39&lt;&gt;"",CQ$3='Bonding Program'!$P$39,CQ$3&lt;='Bonding Program'!$C$8),N('Bonding Program'!$O$39),0)</f>
        <v>0</v>
      </c>
      <c r="CR180" s="19" t="n">
        <f aca="false">IF(AND('Bonding Program'!$S$39=1,'Bonding Program'!$H$39&gt;'Bonding Program'!$C$8,CR$3='Bonding Program'!$H$39),'Bonding Program'!$T$39-'Bonding Program'!$U$39-'Bonding Program'!$Z$39,0)-IF(AND('Bonding Program'!$S$39=1,'Bonding Program'!$H$39&lt;='Bonding Program'!$C$8,CR$3=IF('Bonding Program'!$P$39&lt;&gt;"",'Bonding Program'!$P$39,'Bonding Program'!$C$8)),'Bonding Program'!$Z$39,0)+IF(AND('Bonding Program'!$P$39&lt;&gt;"",CR$3='Bonding Program'!$P$39,CR$3&lt;='Bonding Program'!$C$8),N('Bonding Program'!$O$39),0)</f>
        <v>0</v>
      </c>
      <c r="CS180" s="19" t="n">
        <f aca="false">IF(AND('Bonding Program'!$S$39=1,'Bonding Program'!$H$39&gt;'Bonding Program'!$C$8,CS$3='Bonding Program'!$H$39),'Bonding Program'!$T$39-'Bonding Program'!$U$39-'Bonding Program'!$Z$39,0)-IF(AND('Bonding Program'!$S$39=1,'Bonding Program'!$H$39&lt;='Bonding Program'!$C$8,CS$3=IF('Bonding Program'!$P$39&lt;&gt;"",'Bonding Program'!$P$39,'Bonding Program'!$C$8)),'Bonding Program'!$Z$39,0)+IF(AND('Bonding Program'!$P$39&lt;&gt;"",CS$3='Bonding Program'!$P$39,CS$3&lt;='Bonding Program'!$C$8),N('Bonding Program'!$O$39),0)</f>
        <v>0</v>
      </c>
      <c r="CT180" s="19" t="n">
        <f aca="false">IF(AND('Bonding Program'!$S$39=1,'Bonding Program'!$H$39&gt;'Bonding Program'!$C$8,CT$3='Bonding Program'!$H$39),'Bonding Program'!$T$39-'Bonding Program'!$U$39-'Bonding Program'!$Z$39,0)-IF(AND('Bonding Program'!$S$39=1,'Bonding Program'!$H$39&lt;='Bonding Program'!$C$8,CT$3=IF('Bonding Program'!$P$39&lt;&gt;"",'Bonding Program'!$P$39,'Bonding Program'!$C$8)),'Bonding Program'!$Z$39,0)+IF(AND('Bonding Program'!$P$39&lt;&gt;"",CT$3='Bonding Program'!$P$39,CT$3&lt;='Bonding Program'!$C$8),N('Bonding Program'!$O$39),0)</f>
        <v>0</v>
      </c>
      <c r="CU180" s="19" t="n">
        <f aca="false">IF(AND('Bonding Program'!$S$39=1,'Bonding Program'!$H$39&gt;'Bonding Program'!$C$8,CU$3='Bonding Program'!$H$39),'Bonding Program'!$T$39-'Bonding Program'!$U$39-'Bonding Program'!$Z$39,0)-IF(AND('Bonding Program'!$S$39=1,'Bonding Program'!$H$39&lt;='Bonding Program'!$C$8,CU$3=IF('Bonding Program'!$P$39&lt;&gt;"",'Bonding Program'!$P$39,'Bonding Program'!$C$8)),'Bonding Program'!$Z$39,0)+IF(AND('Bonding Program'!$P$39&lt;&gt;"",CU$3='Bonding Program'!$P$39,CU$3&lt;='Bonding Program'!$C$8),N('Bonding Program'!$O$39),0)</f>
        <v>0</v>
      </c>
      <c r="CV180" s="19" t="n">
        <f aca="false">IF(AND('Bonding Program'!$S$39=1,'Bonding Program'!$H$39&gt;'Bonding Program'!$C$8,CV$3='Bonding Program'!$H$39),'Bonding Program'!$T$39-'Bonding Program'!$U$39-'Bonding Program'!$Z$39,0)-IF(AND('Bonding Program'!$S$39=1,'Bonding Program'!$H$39&lt;='Bonding Program'!$C$8,CV$3=IF('Bonding Program'!$P$39&lt;&gt;"",'Bonding Program'!$P$39,'Bonding Program'!$C$8)),'Bonding Program'!$Z$39,0)+IF(AND('Bonding Program'!$P$39&lt;&gt;"",CV$3='Bonding Program'!$P$39,CV$3&lt;='Bonding Program'!$C$8),N('Bonding Program'!$O$39),0)</f>
        <v>0</v>
      </c>
      <c r="CW180" s="19" t="n">
        <f aca="false">IF(AND('Bonding Program'!$S$39=1,'Bonding Program'!$H$39&gt;'Bonding Program'!$C$8,CW$3='Bonding Program'!$H$39),'Bonding Program'!$T$39-'Bonding Program'!$U$39-'Bonding Program'!$Z$39,0)-IF(AND('Bonding Program'!$S$39=1,'Bonding Program'!$H$39&lt;='Bonding Program'!$C$8,CW$3=IF('Bonding Program'!$P$39&lt;&gt;"",'Bonding Program'!$P$39,'Bonding Program'!$C$8)),'Bonding Program'!$Z$39,0)+IF(AND('Bonding Program'!$P$39&lt;&gt;"",CW$3='Bonding Program'!$P$39,CW$3&lt;='Bonding Program'!$C$8),N('Bonding Program'!$O$39),0)</f>
        <v>0</v>
      </c>
      <c r="CX180" s="19" t="n">
        <f aca="false">IF(AND('Bonding Program'!$S$39=1,'Bonding Program'!$H$39&gt;'Bonding Program'!$C$8,CX$3='Bonding Program'!$H$39),'Bonding Program'!$T$39-'Bonding Program'!$U$39-'Bonding Program'!$Z$39,0)-IF(AND('Bonding Program'!$S$39=1,'Bonding Program'!$H$39&lt;='Bonding Program'!$C$8,CX$3=IF('Bonding Program'!$P$39&lt;&gt;"",'Bonding Program'!$P$39,'Bonding Program'!$C$8)),'Bonding Program'!$Z$39,0)+IF(AND('Bonding Program'!$P$39&lt;&gt;"",CX$3='Bonding Program'!$P$39,CX$3&lt;='Bonding Program'!$C$8),N('Bonding Program'!$O$39),0)</f>
        <v>0</v>
      </c>
      <c r="CY180" s="19" t="n">
        <f aca="false">IF(AND('Bonding Program'!$S$39=1,'Bonding Program'!$H$39&gt;'Bonding Program'!$C$8,CY$3='Bonding Program'!$H$39),'Bonding Program'!$T$39-'Bonding Program'!$U$39-'Bonding Program'!$Z$39,0)-IF(AND('Bonding Program'!$S$39=1,'Bonding Program'!$H$39&lt;='Bonding Program'!$C$8,CY$3=IF('Bonding Program'!$P$39&lt;&gt;"",'Bonding Program'!$P$39,'Bonding Program'!$C$8)),'Bonding Program'!$Z$39,0)+IF(AND('Bonding Program'!$P$39&lt;&gt;"",CY$3='Bonding Program'!$P$39,CY$3&lt;='Bonding Program'!$C$8),N('Bonding Program'!$O$39),0)</f>
        <v>0</v>
      </c>
      <c r="CZ180" s="19" t="n">
        <f aca="false">IF(AND('Bonding Program'!$S$39=1,'Bonding Program'!$H$39&gt;'Bonding Program'!$C$8,CZ$3='Bonding Program'!$H$39),'Bonding Program'!$T$39-'Bonding Program'!$U$39-'Bonding Program'!$Z$39,0)-IF(AND('Bonding Program'!$S$39=1,'Bonding Program'!$H$39&lt;='Bonding Program'!$C$8,CZ$3=IF('Bonding Program'!$P$39&lt;&gt;"",'Bonding Program'!$P$39,'Bonding Program'!$C$8)),'Bonding Program'!$Z$39,0)+IF(AND('Bonding Program'!$P$39&lt;&gt;"",CZ$3='Bonding Program'!$P$39,CZ$3&lt;='Bonding Program'!$C$8),N('Bonding Program'!$O$39),0)</f>
        <v>0</v>
      </c>
      <c r="DA180" s="19" t="n">
        <f aca="false">IF(AND('Bonding Program'!$S$39=1,'Bonding Program'!$H$39&gt;'Bonding Program'!$C$8,DA$3='Bonding Program'!$H$39),'Bonding Program'!$T$39-'Bonding Program'!$U$39-'Bonding Program'!$Z$39,0)-IF(AND('Bonding Program'!$S$39=1,'Bonding Program'!$H$39&lt;='Bonding Program'!$C$8,DA$3=IF('Bonding Program'!$P$39&lt;&gt;"",'Bonding Program'!$P$39,'Bonding Program'!$C$8)),'Bonding Program'!$Z$39,0)+IF(AND('Bonding Program'!$P$39&lt;&gt;"",DA$3='Bonding Program'!$P$39,DA$3&lt;='Bonding Program'!$C$8),N('Bonding Program'!$O$39),0)</f>
        <v>0</v>
      </c>
      <c r="DB180" s="19" t="n">
        <f aca="false">IF(AND('Bonding Program'!$S$39=1,'Bonding Program'!$H$39&gt;'Bonding Program'!$C$8,DB$3='Bonding Program'!$H$39),'Bonding Program'!$T$39-'Bonding Program'!$U$39-'Bonding Program'!$Z$39,0)-IF(AND('Bonding Program'!$S$39=1,'Bonding Program'!$H$39&lt;='Bonding Program'!$C$8,DB$3=IF('Bonding Program'!$P$39&lt;&gt;"",'Bonding Program'!$P$39,'Bonding Program'!$C$8)),'Bonding Program'!$Z$39,0)+IF(AND('Bonding Program'!$P$39&lt;&gt;"",DB$3='Bonding Program'!$P$39,DB$3&lt;='Bonding Program'!$C$8),N('Bonding Program'!$O$39),0)</f>
        <v>0</v>
      </c>
      <c r="DC180" s="19" t="n">
        <f aca="false">IF(AND('Bonding Program'!$S$39=1,'Bonding Program'!$H$39&gt;'Bonding Program'!$C$8,DC$3='Bonding Program'!$H$39),'Bonding Program'!$T$39-'Bonding Program'!$U$39-'Bonding Program'!$Z$39,0)-IF(AND('Bonding Program'!$S$39=1,'Bonding Program'!$H$39&lt;='Bonding Program'!$C$8,DC$3=IF('Bonding Program'!$P$39&lt;&gt;"",'Bonding Program'!$P$39,'Bonding Program'!$C$8)),'Bonding Program'!$Z$39,0)+IF(AND('Bonding Program'!$P$39&lt;&gt;"",DC$3='Bonding Program'!$P$39,DC$3&lt;='Bonding Program'!$C$8),N('Bonding Program'!$O$39),0)</f>
        <v>0</v>
      </c>
      <c r="DD180" s="19" t="n">
        <f aca="false">IF(AND('Bonding Program'!$S$39=1,'Bonding Program'!$H$39&gt;'Bonding Program'!$C$8,DD$3='Bonding Program'!$H$39),'Bonding Program'!$T$39-'Bonding Program'!$U$39-'Bonding Program'!$Z$39,0)-IF(AND('Bonding Program'!$S$39=1,'Bonding Program'!$H$39&lt;='Bonding Program'!$C$8,DD$3=IF('Bonding Program'!$P$39&lt;&gt;"",'Bonding Program'!$P$39,'Bonding Program'!$C$8)),'Bonding Program'!$Z$39,0)+IF(AND('Bonding Program'!$P$39&lt;&gt;"",DD$3='Bonding Program'!$P$39,DD$3&lt;='Bonding Program'!$C$8),N('Bonding Program'!$O$39),0)</f>
        <v>0</v>
      </c>
      <c r="DE180" s="19" t="n">
        <f aca="false">IF(AND('Bonding Program'!$S$39=1,'Bonding Program'!$H$39&gt;'Bonding Program'!$C$8,DE$3='Bonding Program'!$H$39),'Bonding Program'!$T$39-'Bonding Program'!$U$39-'Bonding Program'!$Z$39,0)-IF(AND('Bonding Program'!$S$39=1,'Bonding Program'!$H$39&lt;='Bonding Program'!$C$8,DE$3=IF('Bonding Program'!$P$39&lt;&gt;"",'Bonding Program'!$P$39,'Bonding Program'!$C$8)),'Bonding Program'!$Z$39,0)+IF(AND('Bonding Program'!$P$39&lt;&gt;"",DE$3='Bonding Program'!$P$39,DE$3&lt;='Bonding Program'!$C$8),N('Bonding Program'!$O$39),0)</f>
        <v>0</v>
      </c>
    </row>
    <row r="181" customFormat="false" ht="15" hidden="false" customHeight="true" outlineLevel="1" collapsed="false">
      <c r="A181" s="28" t="s">
        <v>36</v>
      </c>
      <c r="B181" s="19" t="n">
        <f aca="false">IF(AND('Bonding Program'!$S$40=1,'Bonding Program'!$H$40&gt;'Bonding Program'!$C$8,B$3='Bonding Program'!$H$40),'Bonding Program'!$T$40-'Bonding Program'!$U$40-'Bonding Program'!$Z$40,0)-IF(AND('Bonding Program'!$S$40=1,'Bonding Program'!$H$40&lt;='Bonding Program'!$C$8,B$3=IF('Bonding Program'!$P$40&lt;&gt;"",'Bonding Program'!$P$40,'Bonding Program'!$C$8)),'Bonding Program'!$Z$40,0)+IF(AND('Bonding Program'!$P$40&lt;&gt;"",B$3='Bonding Program'!$P$40,B$3&lt;='Bonding Program'!$C$8),N('Bonding Program'!$O$40),0)</f>
        <v>0</v>
      </c>
      <c r="C181" s="19" t="n">
        <f aca="false">IF(AND('Bonding Program'!$S$40=1,'Bonding Program'!$H$40&gt;'Bonding Program'!$C$8,C$3='Bonding Program'!$H$40),'Bonding Program'!$T$40-'Bonding Program'!$U$40-'Bonding Program'!$Z$40,0)-IF(AND('Bonding Program'!$S$40=1,'Bonding Program'!$H$40&lt;='Bonding Program'!$C$8,C$3=IF('Bonding Program'!$P$40&lt;&gt;"",'Bonding Program'!$P$40,'Bonding Program'!$C$8)),'Bonding Program'!$Z$40,0)+IF(AND('Bonding Program'!$P$40&lt;&gt;"",C$3='Bonding Program'!$P$40,C$3&lt;='Bonding Program'!$C$8),N('Bonding Program'!$O$40),0)</f>
        <v>0</v>
      </c>
      <c r="D181" s="19" t="n">
        <f aca="false">IF(AND('Bonding Program'!$S$40=1,'Bonding Program'!$H$40&gt;'Bonding Program'!$C$8,D$3='Bonding Program'!$H$40),'Bonding Program'!$T$40-'Bonding Program'!$U$40-'Bonding Program'!$Z$40,0)-IF(AND('Bonding Program'!$S$40=1,'Bonding Program'!$H$40&lt;='Bonding Program'!$C$8,D$3=IF('Bonding Program'!$P$40&lt;&gt;"",'Bonding Program'!$P$40,'Bonding Program'!$C$8)),'Bonding Program'!$Z$40,0)+IF(AND('Bonding Program'!$P$40&lt;&gt;"",D$3='Bonding Program'!$P$40,D$3&lt;='Bonding Program'!$C$8),N('Bonding Program'!$O$40),0)</f>
        <v>0</v>
      </c>
      <c r="E181" s="19" t="n">
        <f aca="false">IF(AND('Bonding Program'!$S$40=1,'Bonding Program'!$H$40&gt;'Bonding Program'!$C$8,E$3='Bonding Program'!$H$40),'Bonding Program'!$T$40-'Bonding Program'!$U$40-'Bonding Program'!$Z$40,0)-IF(AND('Bonding Program'!$S$40=1,'Bonding Program'!$H$40&lt;='Bonding Program'!$C$8,E$3=IF('Bonding Program'!$P$40&lt;&gt;"",'Bonding Program'!$P$40,'Bonding Program'!$C$8)),'Bonding Program'!$Z$40,0)+IF(AND('Bonding Program'!$P$40&lt;&gt;"",E$3='Bonding Program'!$P$40,E$3&lt;='Bonding Program'!$C$8),N('Bonding Program'!$O$40),0)</f>
        <v>0</v>
      </c>
      <c r="F181" s="19" t="n">
        <f aca="false">IF(AND('Bonding Program'!$S$40=1,'Bonding Program'!$H$40&gt;'Bonding Program'!$C$8,F$3='Bonding Program'!$H$40),'Bonding Program'!$T$40-'Bonding Program'!$U$40-'Bonding Program'!$Z$40,0)-IF(AND('Bonding Program'!$S$40=1,'Bonding Program'!$H$40&lt;='Bonding Program'!$C$8,F$3=IF('Bonding Program'!$P$40&lt;&gt;"",'Bonding Program'!$P$40,'Bonding Program'!$C$8)),'Bonding Program'!$Z$40,0)+IF(AND('Bonding Program'!$P$40&lt;&gt;"",F$3='Bonding Program'!$P$40,F$3&lt;='Bonding Program'!$C$8),N('Bonding Program'!$O$40),0)</f>
        <v>0</v>
      </c>
      <c r="G181" s="19" t="n">
        <f aca="false">IF(AND('Bonding Program'!$S$40=1,'Bonding Program'!$H$40&gt;'Bonding Program'!$C$8,G$3='Bonding Program'!$H$40),'Bonding Program'!$T$40-'Bonding Program'!$U$40-'Bonding Program'!$Z$40,0)-IF(AND('Bonding Program'!$S$40=1,'Bonding Program'!$H$40&lt;='Bonding Program'!$C$8,G$3=IF('Bonding Program'!$P$40&lt;&gt;"",'Bonding Program'!$P$40,'Bonding Program'!$C$8)),'Bonding Program'!$Z$40,0)+IF(AND('Bonding Program'!$P$40&lt;&gt;"",G$3='Bonding Program'!$P$40,G$3&lt;='Bonding Program'!$C$8),N('Bonding Program'!$O$40),0)</f>
        <v>0</v>
      </c>
      <c r="H181" s="19" t="n">
        <f aca="false">IF(AND('Bonding Program'!$S$40=1,'Bonding Program'!$H$40&gt;'Bonding Program'!$C$8,H$3='Bonding Program'!$H$40),'Bonding Program'!$T$40-'Bonding Program'!$U$40-'Bonding Program'!$Z$40,0)-IF(AND('Bonding Program'!$S$40=1,'Bonding Program'!$H$40&lt;='Bonding Program'!$C$8,H$3=IF('Bonding Program'!$P$40&lt;&gt;"",'Bonding Program'!$P$40,'Bonding Program'!$C$8)),'Bonding Program'!$Z$40,0)+IF(AND('Bonding Program'!$P$40&lt;&gt;"",H$3='Bonding Program'!$P$40,H$3&lt;='Bonding Program'!$C$8),N('Bonding Program'!$O$40),0)</f>
        <v>0</v>
      </c>
      <c r="I181" s="19" t="n">
        <f aca="false">IF(AND('Bonding Program'!$S$40=1,'Bonding Program'!$H$40&gt;'Bonding Program'!$C$8,I$3='Bonding Program'!$H$40),'Bonding Program'!$T$40-'Bonding Program'!$U$40-'Bonding Program'!$Z$40,0)-IF(AND('Bonding Program'!$S$40=1,'Bonding Program'!$H$40&lt;='Bonding Program'!$C$8,I$3=IF('Bonding Program'!$P$40&lt;&gt;"",'Bonding Program'!$P$40,'Bonding Program'!$C$8)),'Bonding Program'!$Z$40,0)+IF(AND('Bonding Program'!$P$40&lt;&gt;"",I$3='Bonding Program'!$P$40,I$3&lt;='Bonding Program'!$C$8),N('Bonding Program'!$O$40),0)</f>
        <v>0</v>
      </c>
      <c r="J181" s="19" t="n">
        <f aca="false">IF(AND('Bonding Program'!$S$40=1,'Bonding Program'!$H$40&gt;'Bonding Program'!$C$8,J$3='Bonding Program'!$H$40),'Bonding Program'!$T$40-'Bonding Program'!$U$40-'Bonding Program'!$Z$40,0)-IF(AND('Bonding Program'!$S$40=1,'Bonding Program'!$H$40&lt;='Bonding Program'!$C$8,J$3=IF('Bonding Program'!$P$40&lt;&gt;"",'Bonding Program'!$P$40,'Bonding Program'!$C$8)),'Bonding Program'!$Z$40,0)+IF(AND('Bonding Program'!$P$40&lt;&gt;"",J$3='Bonding Program'!$P$40,J$3&lt;='Bonding Program'!$C$8),N('Bonding Program'!$O$40),0)</f>
        <v>0</v>
      </c>
      <c r="K181" s="19" t="n">
        <f aca="false">IF(AND('Bonding Program'!$S$40=1,'Bonding Program'!$H$40&gt;'Bonding Program'!$C$8,K$3='Bonding Program'!$H$40),'Bonding Program'!$T$40-'Bonding Program'!$U$40-'Bonding Program'!$Z$40,0)-IF(AND('Bonding Program'!$S$40=1,'Bonding Program'!$H$40&lt;='Bonding Program'!$C$8,K$3=IF('Bonding Program'!$P$40&lt;&gt;"",'Bonding Program'!$P$40,'Bonding Program'!$C$8)),'Bonding Program'!$Z$40,0)+IF(AND('Bonding Program'!$P$40&lt;&gt;"",K$3='Bonding Program'!$P$40,K$3&lt;='Bonding Program'!$C$8),N('Bonding Program'!$O$40),0)</f>
        <v>0</v>
      </c>
      <c r="L181" s="19" t="n">
        <f aca="false">IF(AND('Bonding Program'!$S$40=1,'Bonding Program'!$H$40&gt;'Bonding Program'!$C$8,L$3='Bonding Program'!$H$40),'Bonding Program'!$T$40-'Bonding Program'!$U$40-'Bonding Program'!$Z$40,0)-IF(AND('Bonding Program'!$S$40=1,'Bonding Program'!$H$40&lt;='Bonding Program'!$C$8,L$3=IF('Bonding Program'!$P$40&lt;&gt;"",'Bonding Program'!$P$40,'Bonding Program'!$C$8)),'Bonding Program'!$Z$40,0)+IF(AND('Bonding Program'!$P$40&lt;&gt;"",L$3='Bonding Program'!$P$40,L$3&lt;='Bonding Program'!$C$8),N('Bonding Program'!$O$40),0)</f>
        <v>0</v>
      </c>
      <c r="M181" s="19" t="n">
        <f aca="false">IF(AND('Bonding Program'!$S$40=1,'Bonding Program'!$H$40&gt;'Bonding Program'!$C$8,M$3='Bonding Program'!$H$40),'Bonding Program'!$T$40-'Bonding Program'!$U$40-'Bonding Program'!$Z$40,0)-IF(AND('Bonding Program'!$S$40=1,'Bonding Program'!$H$40&lt;='Bonding Program'!$C$8,M$3=IF('Bonding Program'!$P$40&lt;&gt;"",'Bonding Program'!$P$40,'Bonding Program'!$C$8)),'Bonding Program'!$Z$40,0)+IF(AND('Bonding Program'!$P$40&lt;&gt;"",M$3='Bonding Program'!$P$40,M$3&lt;='Bonding Program'!$C$8),N('Bonding Program'!$O$40),0)</f>
        <v>0</v>
      </c>
      <c r="N181" s="19" t="n">
        <f aca="false">IF(AND('Bonding Program'!$S$40=1,'Bonding Program'!$H$40&gt;'Bonding Program'!$C$8,N$3='Bonding Program'!$H$40),'Bonding Program'!$T$40-'Bonding Program'!$U$40-'Bonding Program'!$Z$40,0)-IF(AND('Bonding Program'!$S$40=1,'Bonding Program'!$H$40&lt;='Bonding Program'!$C$8,N$3=IF('Bonding Program'!$P$40&lt;&gt;"",'Bonding Program'!$P$40,'Bonding Program'!$C$8)),'Bonding Program'!$Z$40,0)+IF(AND('Bonding Program'!$P$40&lt;&gt;"",N$3='Bonding Program'!$P$40,N$3&lt;='Bonding Program'!$C$8),N('Bonding Program'!$O$40),0)</f>
        <v>0</v>
      </c>
      <c r="O181" s="19" t="n">
        <f aca="false">IF(AND('Bonding Program'!$S$40=1,'Bonding Program'!$H$40&gt;'Bonding Program'!$C$8,O$3='Bonding Program'!$H$40),'Bonding Program'!$T$40-'Bonding Program'!$U$40-'Bonding Program'!$Z$40,0)-IF(AND('Bonding Program'!$S$40=1,'Bonding Program'!$H$40&lt;='Bonding Program'!$C$8,O$3=IF('Bonding Program'!$P$40&lt;&gt;"",'Bonding Program'!$P$40,'Bonding Program'!$C$8)),'Bonding Program'!$Z$40,0)+IF(AND('Bonding Program'!$P$40&lt;&gt;"",O$3='Bonding Program'!$P$40,O$3&lt;='Bonding Program'!$C$8),N('Bonding Program'!$O$40),0)</f>
        <v>0</v>
      </c>
      <c r="P181" s="19" t="n">
        <f aca="false">IF(AND('Bonding Program'!$S$40=1,'Bonding Program'!$H$40&gt;'Bonding Program'!$C$8,P$3='Bonding Program'!$H$40),'Bonding Program'!$T$40-'Bonding Program'!$U$40-'Bonding Program'!$Z$40,0)-IF(AND('Bonding Program'!$S$40=1,'Bonding Program'!$H$40&lt;='Bonding Program'!$C$8,P$3=IF('Bonding Program'!$P$40&lt;&gt;"",'Bonding Program'!$P$40,'Bonding Program'!$C$8)),'Bonding Program'!$Z$40,0)+IF(AND('Bonding Program'!$P$40&lt;&gt;"",P$3='Bonding Program'!$P$40,P$3&lt;='Bonding Program'!$C$8),N('Bonding Program'!$O$40),0)</f>
        <v>0</v>
      </c>
      <c r="Q181" s="19" t="n">
        <f aca="false">IF(AND('Bonding Program'!$S$40=1,'Bonding Program'!$H$40&gt;'Bonding Program'!$C$8,Q$3='Bonding Program'!$H$40),'Bonding Program'!$T$40-'Bonding Program'!$U$40-'Bonding Program'!$Z$40,0)-IF(AND('Bonding Program'!$S$40=1,'Bonding Program'!$H$40&lt;='Bonding Program'!$C$8,Q$3=IF('Bonding Program'!$P$40&lt;&gt;"",'Bonding Program'!$P$40,'Bonding Program'!$C$8)),'Bonding Program'!$Z$40,0)+IF(AND('Bonding Program'!$P$40&lt;&gt;"",Q$3='Bonding Program'!$P$40,Q$3&lt;='Bonding Program'!$C$8),N('Bonding Program'!$O$40),0)</f>
        <v>0</v>
      </c>
      <c r="R181" s="19" t="n">
        <f aca="false">IF(AND('Bonding Program'!$S$40=1,'Bonding Program'!$H$40&gt;'Bonding Program'!$C$8,R$3='Bonding Program'!$H$40),'Bonding Program'!$T$40-'Bonding Program'!$U$40-'Bonding Program'!$Z$40,0)-IF(AND('Bonding Program'!$S$40=1,'Bonding Program'!$H$40&lt;='Bonding Program'!$C$8,R$3=IF('Bonding Program'!$P$40&lt;&gt;"",'Bonding Program'!$P$40,'Bonding Program'!$C$8)),'Bonding Program'!$Z$40,0)+IF(AND('Bonding Program'!$P$40&lt;&gt;"",R$3='Bonding Program'!$P$40,R$3&lt;='Bonding Program'!$C$8),N('Bonding Program'!$O$40),0)</f>
        <v>0</v>
      </c>
      <c r="S181" s="19" t="n">
        <f aca="false">IF(AND('Bonding Program'!$S$40=1,'Bonding Program'!$H$40&gt;'Bonding Program'!$C$8,S$3='Bonding Program'!$H$40),'Bonding Program'!$T$40-'Bonding Program'!$U$40-'Bonding Program'!$Z$40,0)-IF(AND('Bonding Program'!$S$40=1,'Bonding Program'!$H$40&lt;='Bonding Program'!$C$8,S$3=IF('Bonding Program'!$P$40&lt;&gt;"",'Bonding Program'!$P$40,'Bonding Program'!$C$8)),'Bonding Program'!$Z$40,0)+IF(AND('Bonding Program'!$P$40&lt;&gt;"",S$3='Bonding Program'!$P$40,S$3&lt;='Bonding Program'!$C$8),N('Bonding Program'!$O$40),0)</f>
        <v>0</v>
      </c>
      <c r="T181" s="19" t="n">
        <f aca="false">IF(AND('Bonding Program'!$S$40=1,'Bonding Program'!$H$40&gt;'Bonding Program'!$C$8,T$3='Bonding Program'!$H$40),'Bonding Program'!$T$40-'Bonding Program'!$U$40-'Bonding Program'!$Z$40,0)-IF(AND('Bonding Program'!$S$40=1,'Bonding Program'!$H$40&lt;='Bonding Program'!$C$8,T$3=IF('Bonding Program'!$P$40&lt;&gt;"",'Bonding Program'!$P$40,'Bonding Program'!$C$8)),'Bonding Program'!$Z$40,0)+IF(AND('Bonding Program'!$P$40&lt;&gt;"",T$3='Bonding Program'!$P$40,T$3&lt;='Bonding Program'!$C$8),N('Bonding Program'!$O$40),0)</f>
        <v>0</v>
      </c>
      <c r="U181" s="19" t="n">
        <f aca="false">IF(AND('Bonding Program'!$S$40=1,'Bonding Program'!$H$40&gt;'Bonding Program'!$C$8,U$3='Bonding Program'!$H$40),'Bonding Program'!$T$40-'Bonding Program'!$U$40-'Bonding Program'!$Z$40,0)-IF(AND('Bonding Program'!$S$40=1,'Bonding Program'!$H$40&lt;='Bonding Program'!$C$8,U$3=IF('Bonding Program'!$P$40&lt;&gt;"",'Bonding Program'!$P$40,'Bonding Program'!$C$8)),'Bonding Program'!$Z$40,0)+IF(AND('Bonding Program'!$P$40&lt;&gt;"",U$3='Bonding Program'!$P$40,U$3&lt;='Bonding Program'!$C$8),N('Bonding Program'!$O$40),0)</f>
        <v>0</v>
      </c>
      <c r="V181" s="19" t="n">
        <f aca="false">IF(AND('Bonding Program'!$S$40=1,'Bonding Program'!$H$40&gt;'Bonding Program'!$C$8,V$3='Bonding Program'!$H$40),'Bonding Program'!$T$40-'Bonding Program'!$U$40-'Bonding Program'!$Z$40,0)-IF(AND('Bonding Program'!$S$40=1,'Bonding Program'!$H$40&lt;='Bonding Program'!$C$8,V$3=IF('Bonding Program'!$P$40&lt;&gt;"",'Bonding Program'!$P$40,'Bonding Program'!$C$8)),'Bonding Program'!$Z$40,0)+IF(AND('Bonding Program'!$P$40&lt;&gt;"",V$3='Bonding Program'!$P$40,V$3&lt;='Bonding Program'!$C$8),N('Bonding Program'!$O$40),0)</f>
        <v>0</v>
      </c>
      <c r="W181" s="19" t="n">
        <f aca="false">IF(AND('Bonding Program'!$S$40=1,'Bonding Program'!$H$40&gt;'Bonding Program'!$C$8,W$3='Bonding Program'!$H$40),'Bonding Program'!$T$40-'Bonding Program'!$U$40-'Bonding Program'!$Z$40,0)-IF(AND('Bonding Program'!$S$40=1,'Bonding Program'!$H$40&lt;='Bonding Program'!$C$8,W$3=IF('Bonding Program'!$P$40&lt;&gt;"",'Bonding Program'!$P$40,'Bonding Program'!$C$8)),'Bonding Program'!$Z$40,0)+IF(AND('Bonding Program'!$P$40&lt;&gt;"",W$3='Bonding Program'!$P$40,W$3&lt;='Bonding Program'!$C$8),N('Bonding Program'!$O$40),0)</f>
        <v>0</v>
      </c>
      <c r="X181" s="19" t="n">
        <f aca="false">IF(AND('Bonding Program'!$S$40=1,'Bonding Program'!$H$40&gt;'Bonding Program'!$C$8,X$3='Bonding Program'!$H$40),'Bonding Program'!$T$40-'Bonding Program'!$U$40-'Bonding Program'!$Z$40,0)-IF(AND('Bonding Program'!$S$40=1,'Bonding Program'!$H$40&lt;='Bonding Program'!$C$8,X$3=IF('Bonding Program'!$P$40&lt;&gt;"",'Bonding Program'!$P$40,'Bonding Program'!$C$8)),'Bonding Program'!$Z$40,0)+IF(AND('Bonding Program'!$P$40&lt;&gt;"",X$3='Bonding Program'!$P$40,X$3&lt;='Bonding Program'!$C$8),N('Bonding Program'!$O$40),0)</f>
        <v>0</v>
      </c>
      <c r="Y181" s="19" t="n">
        <f aca="false">IF(AND('Bonding Program'!$S$40=1,'Bonding Program'!$H$40&gt;'Bonding Program'!$C$8,Y$3='Bonding Program'!$H$40),'Bonding Program'!$T$40-'Bonding Program'!$U$40-'Bonding Program'!$Z$40,0)-IF(AND('Bonding Program'!$S$40=1,'Bonding Program'!$H$40&lt;='Bonding Program'!$C$8,Y$3=IF('Bonding Program'!$P$40&lt;&gt;"",'Bonding Program'!$P$40,'Bonding Program'!$C$8)),'Bonding Program'!$Z$40,0)+IF(AND('Bonding Program'!$P$40&lt;&gt;"",Y$3='Bonding Program'!$P$40,Y$3&lt;='Bonding Program'!$C$8),N('Bonding Program'!$O$40),0)</f>
        <v>0</v>
      </c>
      <c r="Z181" s="19" t="n">
        <f aca="false">IF(AND('Bonding Program'!$S$40=1,'Bonding Program'!$H$40&gt;'Bonding Program'!$C$8,Z$3='Bonding Program'!$H$40),'Bonding Program'!$T$40-'Bonding Program'!$U$40-'Bonding Program'!$Z$40,0)-IF(AND('Bonding Program'!$S$40=1,'Bonding Program'!$H$40&lt;='Bonding Program'!$C$8,Z$3=IF('Bonding Program'!$P$40&lt;&gt;"",'Bonding Program'!$P$40,'Bonding Program'!$C$8)),'Bonding Program'!$Z$40,0)+IF(AND('Bonding Program'!$P$40&lt;&gt;"",Z$3='Bonding Program'!$P$40,Z$3&lt;='Bonding Program'!$C$8),N('Bonding Program'!$O$40),0)</f>
        <v>0</v>
      </c>
      <c r="AA181" s="19" t="n">
        <f aca="false">IF(AND('Bonding Program'!$S$40=1,'Bonding Program'!$H$40&gt;'Bonding Program'!$C$8,AA$3='Bonding Program'!$H$40),'Bonding Program'!$T$40-'Bonding Program'!$U$40-'Bonding Program'!$Z$40,0)-IF(AND('Bonding Program'!$S$40=1,'Bonding Program'!$H$40&lt;='Bonding Program'!$C$8,AA$3=IF('Bonding Program'!$P$40&lt;&gt;"",'Bonding Program'!$P$40,'Bonding Program'!$C$8)),'Bonding Program'!$Z$40,0)+IF(AND('Bonding Program'!$P$40&lt;&gt;"",AA$3='Bonding Program'!$P$40,AA$3&lt;='Bonding Program'!$C$8),N('Bonding Program'!$O$40),0)</f>
        <v>0</v>
      </c>
      <c r="AB181" s="19" t="n">
        <f aca="false">IF(AND('Bonding Program'!$S$40=1,'Bonding Program'!$H$40&gt;'Bonding Program'!$C$8,AB$3='Bonding Program'!$H$40),'Bonding Program'!$T$40-'Bonding Program'!$U$40-'Bonding Program'!$Z$40,0)-IF(AND('Bonding Program'!$S$40=1,'Bonding Program'!$H$40&lt;='Bonding Program'!$C$8,AB$3=IF('Bonding Program'!$P$40&lt;&gt;"",'Bonding Program'!$P$40,'Bonding Program'!$C$8)),'Bonding Program'!$Z$40,0)+IF(AND('Bonding Program'!$P$40&lt;&gt;"",AB$3='Bonding Program'!$P$40,AB$3&lt;='Bonding Program'!$C$8),N('Bonding Program'!$O$40),0)</f>
        <v>0</v>
      </c>
      <c r="AC181" s="19" t="n">
        <f aca="false">IF(AND('Bonding Program'!$S$40=1,'Bonding Program'!$H$40&gt;'Bonding Program'!$C$8,AC$3='Bonding Program'!$H$40),'Bonding Program'!$T$40-'Bonding Program'!$U$40-'Bonding Program'!$Z$40,0)-IF(AND('Bonding Program'!$S$40=1,'Bonding Program'!$H$40&lt;='Bonding Program'!$C$8,AC$3=IF('Bonding Program'!$P$40&lt;&gt;"",'Bonding Program'!$P$40,'Bonding Program'!$C$8)),'Bonding Program'!$Z$40,0)+IF(AND('Bonding Program'!$P$40&lt;&gt;"",AC$3='Bonding Program'!$P$40,AC$3&lt;='Bonding Program'!$C$8),N('Bonding Program'!$O$40),0)</f>
        <v>0</v>
      </c>
      <c r="AD181" s="19" t="n">
        <f aca="false">IF(AND('Bonding Program'!$S$40=1,'Bonding Program'!$H$40&gt;'Bonding Program'!$C$8,AD$3='Bonding Program'!$H$40),'Bonding Program'!$T$40-'Bonding Program'!$U$40-'Bonding Program'!$Z$40,0)-IF(AND('Bonding Program'!$S$40=1,'Bonding Program'!$H$40&lt;='Bonding Program'!$C$8,AD$3=IF('Bonding Program'!$P$40&lt;&gt;"",'Bonding Program'!$P$40,'Bonding Program'!$C$8)),'Bonding Program'!$Z$40,0)+IF(AND('Bonding Program'!$P$40&lt;&gt;"",AD$3='Bonding Program'!$P$40,AD$3&lt;='Bonding Program'!$C$8),N('Bonding Program'!$O$40),0)</f>
        <v>0</v>
      </c>
      <c r="AE181" s="19" t="n">
        <f aca="false">IF(AND('Bonding Program'!$S$40=1,'Bonding Program'!$H$40&gt;'Bonding Program'!$C$8,AE$3='Bonding Program'!$H$40),'Bonding Program'!$T$40-'Bonding Program'!$U$40-'Bonding Program'!$Z$40,0)-IF(AND('Bonding Program'!$S$40=1,'Bonding Program'!$H$40&lt;='Bonding Program'!$C$8,AE$3=IF('Bonding Program'!$P$40&lt;&gt;"",'Bonding Program'!$P$40,'Bonding Program'!$C$8)),'Bonding Program'!$Z$40,0)+IF(AND('Bonding Program'!$P$40&lt;&gt;"",AE$3='Bonding Program'!$P$40,AE$3&lt;='Bonding Program'!$C$8),N('Bonding Program'!$O$40),0)</f>
        <v>0</v>
      </c>
      <c r="AF181" s="19" t="n">
        <f aca="false">IF(AND('Bonding Program'!$S$40=1,'Bonding Program'!$H$40&gt;'Bonding Program'!$C$8,AF$3='Bonding Program'!$H$40),'Bonding Program'!$T$40-'Bonding Program'!$U$40-'Bonding Program'!$Z$40,0)-IF(AND('Bonding Program'!$S$40=1,'Bonding Program'!$H$40&lt;='Bonding Program'!$C$8,AF$3=IF('Bonding Program'!$P$40&lt;&gt;"",'Bonding Program'!$P$40,'Bonding Program'!$C$8)),'Bonding Program'!$Z$40,0)+IF(AND('Bonding Program'!$P$40&lt;&gt;"",AF$3='Bonding Program'!$P$40,AF$3&lt;='Bonding Program'!$C$8),N('Bonding Program'!$O$40),0)</f>
        <v>0</v>
      </c>
      <c r="AG181" s="19" t="n">
        <f aca="false">IF(AND('Bonding Program'!$S$40=1,'Bonding Program'!$H$40&gt;'Bonding Program'!$C$8,AG$3='Bonding Program'!$H$40),'Bonding Program'!$T$40-'Bonding Program'!$U$40-'Bonding Program'!$Z$40,0)-IF(AND('Bonding Program'!$S$40=1,'Bonding Program'!$H$40&lt;='Bonding Program'!$C$8,AG$3=IF('Bonding Program'!$P$40&lt;&gt;"",'Bonding Program'!$P$40,'Bonding Program'!$C$8)),'Bonding Program'!$Z$40,0)+IF(AND('Bonding Program'!$P$40&lt;&gt;"",AG$3='Bonding Program'!$P$40,AG$3&lt;='Bonding Program'!$C$8),N('Bonding Program'!$O$40),0)</f>
        <v>0</v>
      </c>
      <c r="AH181" s="19" t="n">
        <f aca="false">IF(AND('Bonding Program'!$S$40=1,'Bonding Program'!$H$40&gt;'Bonding Program'!$C$8,AH$3='Bonding Program'!$H$40),'Bonding Program'!$T$40-'Bonding Program'!$U$40-'Bonding Program'!$Z$40,0)-IF(AND('Bonding Program'!$S$40=1,'Bonding Program'!$H$40&lt;='Bonding Program'!$C$8,AH$3=IF('Bonding Program'!$P$40&lt;&gt;"",'Bonding Program'!$P$40,'Bonding Program'!$C$8)),'Bonding Program'!$Z$40,0)+IF(AND('Bonding Program'!$P$40&lt;&gt;"",AH$3='Bonding Program'!$P$40,AH$3&lt;='Bonding Program'!$C$8),N('Bonding Program'!$O$40),0)</f>
        <v>0</v>
      </c>
      <c r="AI181" s="19" t="n">
        <f aca="false">IF(AND('Bonding Program'!$S$40=1,'Bonding Program'!$H$40&gt;'Bonding Program'!$C$8,AI$3='Bonding Program'!$H$40),'Bonding Program'!$T$40-'Bonding Program'!$U$40-'Bonding Program'!$Z$40,0)-IF(AND('Bonding Program'!$S$40=1,'Bonding Program'!$H$40&lt;='Bonding Program'!$C$8,AI$3=IF('Bonding Program'!$P$40&lt;&gt;"",'Bonding Program'!$P$40,'Bonding Program'!$C$8)),'Bonding Program'!$Z$40,0)+IF(AND('Bonding Program'!$P$40&lt;&gt;"",AI$3='Bonding Program'!$P$40,AI$3&lt;='Bonding Program'!$C$8),N('Bonding Program'!$O$40),0)</f>
        <v>0</v>
      </c>
      <c r="AJ181" s="19" t="n">
        <f aca="false">IF(AND('Bonding Program'!$S$40=1,'Bonding Program'!$H$40&gt;'Bonding Program'!$C$8,AJ$3='Bonding Program'!$H$40),'Bonding Program'!$T$40-'Bonding Program'!$U$40-'Bonding Program'!$Z$40,0)-IF(AND('Bonding Program'!$S$40=1,'Bonding Program'!$H$40&lt;='Bonding Program'!$C$8,AJ$3=IF('Bonding Program'!$P$40&lt;&gt;"",'Bonding Program'!$P$40,'Bonding Program'!$C$8)),'Bonding Program'!$Z$40,0)+IF(AND('Bonding Program'!$P$40&lt;&gt;"",AJ$3='Bonding Program'!$P$40,AJ$3&lt;='Bonding Program'!$C$8),N('Bonding Program'!$O$40),0)</f>
        <v>0</v>
      </c>
      <c r="AK181" s="19" t="n">
        <f aca="false">IF(AND('Bonding Program'!$S$40=1,'Bonding Program'!$H$40&gt;'Bonding Program'!$C$8,AK$3='Bonding Program'!$H$40),'Bonding Program'!$T$40-'Bonding Program'!$U$40-'Bonding Program'!$Z$40,0)-IF(AND('Bonding Program'!$S$40=1,'Bonding Program'!$H$40&lt;='Bonding Program'!$C$8,AK$3=IF('Bonding Program'!$P$40&lt;&gt;"",'Bonding Program'!$P$40,'Bonding Program'!$C$8)),'Bonding Program'!$Z$40,0)+IF(AND('Bonding Program'!$P$40&lt;&gt;"",AK$3='Bonding Program'!$P$40,AK$3&lt;='Bonding Program'!$C$8),N('Bonding Program'!$O$40),0)</f>
        <v>0</v>
      </c>
      <c r="AL181" s="19" t="n">
        <f aca="false">IF(AND('Bonding Program'!$S$40=1,'Bonding Program'!$H$40&gt;'Bonding Program'!$C$8,AL$3='Bonding Program'!$H$40),'Bonding Program'!$T$40-'Bonding Program'!$U$40-'Bonding Program'!$Z$40,0)-IF(AND('Bonding Program'!$S$40=1,'Bonding Program'!$H$40&lt;='Bonding Program'!$C$8,AL$3=IF('Bonding Program'!$P$40&lt;&gt;"",'Bonding Program'!$P$40,'Bonding Program'!$C$8)),'Bonding Program'!$Z$40,0)+IF(AND('Bonding Program'!$P$40&lt;&gt;"",AL$3='Bonding Program'!$P$40,AL$3&lt;='Bonding Program'!$C$8),N('Bonding Program'!$O$40),0)</f>
        <v>0</v>
      </c>
      <c r="AM181" s="19" t="n">
        <f aca="false">IF(AND('Bonding Program'!$S$40=1,'Bonding Program'!$H$40&gt;'Bonding Program'!$C$8,AM$3='Bonding Program'!$H$40),'Bonding Program'!$T$40-'Bonding Program'!$U$40-'Bonding Program'!$Z$40,0)-IF(AND('Bonding Program'!$S$40=1,'Bonding Program'!$H$40&lt;='Bonding Program'!$C$8,AM$3=IF('Bonding Program'!$P$40&lt;&gt;"",'Bonding Program'!$P$40,'Bonding Program'!$C$8)),'Bonding Program'!$Z$40,0)+IF(AND('Bonding Program'!$P$40&lt;&gt;"",AM$3='Bonding Program'!$P$40,AM$3&lt;='Bonding Program'!$C$8),N('Bonding Program'!$O$40),0)</f>
        <v>0</v>
      </c>
      <c r="AN181" s="19" t="n">
        <f aca="false">IF(AND('Bonding Program'!$S$40=1,'Bonding Program'!$H$40&gt;'Bonding Program'!$C$8,AN$3='Bonding Program'!$H$40),'Bonding Program'!$T$40-'Bonding Program'!$U$40-'Bonding Program'!$Z$40,0)-IF(AND('Bonding Program'!$S$40=1,'Bonding Program'!$H$40&lt;='Bonding Program'!$C$8,AN$3=IF('Bonding Program'!$P$40&lt;&gt;"",'Bonding Program'!$P$40,'Bonding Program'!$C$8)),'Bonding Program'!$Z$40,0)+IF(AND('Bonding Program'!$P$40&lt;&gt;"",AN$3='Bonding Program'!$P$40,AN$3&lt;='Bonding Program'!$C$8),N('Bonding Program'!$O$40),0)</f>
        <v>0</v>
      </c>
      <c r="AO181" s="19" t="n">
        <f aca="false">IF(AND('Bonding Program'!$S$40=1,'Bonding Program'!$H$40&gt;'Bonding Program'!$C$8,AO$3='Bonding Program'!$H$40),'Bonding Program'!$T$40-'Bonding Program'!$U$40-'Bonding Program'!$Z$40,0)-IF(AND('Bonding Program'!$S$40=1,'Bonding Program'!$H$40&lt;='Bonding Program'!$C$8,AO$3=IF('Bonding Program'!$P$40&lt;&gt;"",'Bonding Program'!$P$40,'Bonding Program'!$C$8)),'Bonding Program'!$Z$40,0)+IF(AND('Bonding Program'!$P$40&lt;&gt;"",AO$3='Bonding Program'!$P$40,AO$3&lt;='Bonding Program'!$C$8),N('Bonding Program'!$O$40),0)</f>
        <v>0</v>
      </c>
      <c r="AP181" s="19" t="n">
        <f aca="false">IF(AND('Bonding Program'!$S$40=1,'Bonding Program'!$H$40&gt;'Bonding Program'!$C$8,AP$3='Bonding Program'!$H$40),'Bonding Program'!$T$40-'Bonding Program'!$U$40-'Bonding Program'!$Z$40,0)-IF(AND('Bonding Program'!$S$40=1,'Bonding Program'!$H$40&lt;='Bonding Program'!$C$8,AP$3=IF('Bonding Program'!$P$40&lt;&gt;"",'Bonding Program'!$P$40,'Bonding Program'!$C$8)),'Bonding Program'!$Z$40,0)+IF(AND('Bonding Program'!$P$40&lt;&gt;"",AP$3='Bonding Program'!$P$40,AP$3&lt;='Bonding Program'!$C$8),N('Bonding Program'!$O$40),0)</f>
        <v>0</v>
      </c>
      <c r="AQ181" s="19" t="n">
        <f aca="false">IF(AND('Bonding Program'!$S$40=1,'Bonding Program'!$H$40&gt;'Bonding Program'!$C$8,AQ$3='Bonding Program'!$H$40),'Bonding Program'!$T$40-'Bonding Program'!$U$40-'Bonding Program'!$Z$40,0)-IF(AND('Bonding Program'!$S$40=1,'Bonding Program'!$H$40&lt;='Bonding Program'!$C$8,AQ$3=IF('Bonding Program'!$P$40&lt;&gt;"",'Bonding Program'!$P$40,'Bonding Program'!$C$8)),'Bonding Program'!$Z$40,0)+IF(AND('Bonding Program'!$P$40&lt;&gt;"",AQ$3='Bonding Program'!$P$40,AQ$3&lt;='Bonding Program'!$C$8),N('Bonding Program'!$O$40),0)</f>
        <v>0</v>
      </c>
      <c r="AR181" s="19" t="n">
        <f aca="false">IF(AND('Bonding Program'!$S$40=1,'Bonding Program'!$H$40&gt;'Bonding Program'!$C$8,AR$3='Bonding Program'!$H$40),'Bonding Program'!$T$40-'Bonding Program'!$U$40-'Bonding Program'!$Z$40,0)-IF(AND('Bonding Program'!$S$40=1,'Bonding Program'!$H$40&lt;='Bonding Program'!$C$8,AR$3=IF('Bonding Program'!$P$40&lt;&gt;"",'Bonding Program'!$P$40,'Bonding Program'!$C$8)),'Bonding Program'!$Z$40,0)+IF(AND('Bonding Program'!$P$40&lt;&gt;"",AR$3='Bonding Program'!$P$40,AR$3&lt;='Bonding Program'!$C$8),N('Bonding Program'!$O$40),0)</f>
        <v>0</v>
      </c>
      <c r="AS181" s="19" t="n">
        <f aca="false">IF(AND('Bonding Program'!$S$40=1,'Bonding Program'!$H$40&gt;'Bonding Program'!$C$8,AS$3='Bonding Program'!$H$40),'Bonding Program'!$T$40-'Bonding Program'!$U$40-'Bonding Program'!$Z$40,0)-IF(AND('Bonding Program'!$S$40=1,'Bonding Program'!$H$40&lt;='Bonding Program'!$C$8,AS$3=IF('Bonding Program'!$P$40&lt;&gt;"",'Bonding Program'!$P$40,'Bonding Program'!$C$8)),'Bonding Program'!$Z$40,0)+IF(AND('Bonding Program'!$P$40&lt;&gt;"",AS$3='Bonding Program'!$P$40,AS$3&lt;='Bonding Program'!$C$8),N('Bonding Program'!$O$40),0)</f>
        <v>0</v>
      </c>
      <c r="AT181" s="19" t="n">
        <f aca="false">IF(AND('Bonding Program'!$S$40=1,'Bonding Program'!$H$40&gt;'Bonding Program'!$C$8,AT$3='Bonding Program'!$H$40),'Bonding Program'!$T$40-'Bonding Program'!$U$40-'Bonding Program'!$Z$40,0)-IF(AND('Bonding Program'!$S$40=1,'Bonding Program'!$H$40&lt;='Bonding Program'!$C$8,AT$3=IF('Bonding Program'!$P$40&lt;&gt;"",'Bonding Program'!$P$40,'Bonding Program'!$C$8)),'Bonding Program'!$Z$40,0)+IF(AND('Bonding Program'!$P$40&lt;&gt;"",AT$3='Bonding Program'!$P$40,AT$3&lt;='Bonding Program'!$C$8),N('Bonding Program'!$O$40),0)</f>
        <v>0</v>
      </c>
      <c r="AU181" s="19" t="n">
        <f aca="false">IF(AND('Bonding Program'!$S$40=1,'Bonding Program'!$H$40&gt;'Bonding Program'!$C$8,AU$3='Bonding Program'!$H$40),'Bonding Program'!$T$40-'Bonding Program'!$U$40-'Bonding Program'!$Z$40,0)-IF(AND('Bonding Program'!$S$40=1,'Bonding Program'!$H$40&lt;='Bonding Program'!$C$8,AU$3=IF('Bonding Program'!$P$40&lt;&gt;"",'Bonding Program'!$P$40,'Bonding Program'!$C$8)),'Bonding Program'!$Z$40,0)+IF(AND('Bonding Program'!$P$40&lt;&gt;"",AU$3='Bonding Program'!$P$40,AU$3&lt;='Bonding Program'!$C$8),N('Bonding Program'!$O$40),0)</f>
        <v>0</v>
      </c>
      <c r="AV181" s="19" t="n">
        <f aca="false">IF(AND('Bonding Program'!$S$40=1,'Bonding Program'!$H$40&gt;'Bonding Program'!$C$8,AV$3='Bonding Program'!$H$40),'Bonding Program'!$T$40-'Bonding Program'!$U$40-'Bonding Program'!$Z$40,0)-IF(AND('Bonding Program'!$S$40=1,'Bonding Program'!$H$40&lt;='Bonding Program'!$C$8,AV$3=IF('Bonding Program'!$P$40&lt;&gt;"",'Bonding Program'!$P$40,'Bonding Program'!$C$8)),'Bonding Program'!$Z$40,0)+IF(AND('Bonding Program'!$P$40&lt;&gt;"",AV$3='Bonding Program'!$P$40,AV$3&lt;='Bonding Program'!$C$8),N('Bonding Program'!$O$40),0)</f>
        <v>0</v>
      </c>
      <c r="AW181" s="19" t="n">
        <f aca="false">IF(AND('Bonding Program'!$S$40=1,'Bonding Program'!$H$40&gt;'Bonding Program'!$C$8,AW$3='Bonding Program'!$H$40),'Bonding Program'!$T$40-'Bonding Program'!$U$40-'Bonding Program'!$Z$40,0)-IF(AND('Bonding Program'!$S$40=1,'Bonding Program'!$H$40&lt;='Bonding Program'!$C$8,AW$3=IF('Bonding Program'!$P$40&lt;&gt;"",'Bonding Program'!$P$40,'Bonding Program'!$C$8)),'Bonding Program'!$Z$40,0)+IF(AND('Bonding Program'!$P$40&lt;&gt;"",AW$3='Bonding Program'!$P$40,AW$3&lt;='Bonding Program'!$C$8),N('Bonding Program'!$O$40),0)</f>
        <v>0</v>
      </c>
      <c r="AX181" s="19" t="n">
        <f aca="false">IF(AND('Bonding Program'!$S$40=1,'Bonding Program'!$H$40&gt;'Bonding Program'!$C$8,AX$3='Bonding Program'!$H$40),'Bonding Program'!$T$40-'Bonding Program'!$U$40-'Bonding Program'!$Z$40,0)-IF(AND('Bonding Program'!$S$40=1,'Bonding Program'!$H$40&lt;='Bonding Program'!$C$8,AX$3=IF('Bonding Program'!$P$40&lt;&gt;"",'Bonding Program'!$P$40,'Bonding Program'!$C$8)),'Bonding Program'!$Z$40,0)+IF(AND('Bonding Program'!$P$40&lt;&gt;"",AX$3='Bonding Program'!$P$40,AX$3&lt;='Bonding Program'!$C$8),N('Bonding Program'!$O$40),0)</f>
        <v>0</v>
      </c>
      <c r="AY181" s="19" t="n">
        <f aca="false">IF(AND('Bonding Program'!$S$40=1,'Bonding Program'!$H$40&gt;'Bonding Program'!$C$8,AY$3='Bonding Program'!$H$40),'Bonding Program'!$T$40-'Bonding Program'!$U$40-'Bonding Program'!$Z$40,0)-IF(AND('Bonding Program'!$S$40=1,'Bonding Program'!$H$40&lt;='Bonding Program'!$C$8,AY$3=IF('Bonding Program'!$P$40&lt;&gt;"",'Bonding Program'!$P$40,'Bonding Program'!$C$8)),'Bonding Program'!$Z$40,0)+IF(AND('Bonding Program'!$P$40&lt;&gt;"",AY$3='Bonding Program'!$P$40,AY$3&lt;='Bonding Program'!$C$8),N('Bonding Program'!$O$40),0)</f>
        <v>0</v>
      </c>
      <c r="AZ181" s="19" t="n">
        <f aca="false">IF(AND('Bonding Program'!$S$40=1,'Bonding Program'!$H$40&gt;'Bonding Program'!$C$8,AZ$3='Bonding Program'!$H$40),'Bonding Program'!$T$40-'Bonding Program'!$U$40-'Bonding Program'!$Z$40,0)-IF(AND('Bonding Program'!$S$40=1,'Bonding Program'!$H$40&lt;='Bonding Program'!$C$8,AZ$3=IF('Bonding Program'!$P$40&lt;&gt;"",'Bonding Program'!$P$40,'Bonding Program'!$C$8)),'Bonding Program'!$Z$40,0)+IF(AND('Bonding Program'!$P$40&lt;&gt;"",AZ$3='Bonding Program'!$P$40,AZ$3&lt;='Bonding Program'!$C$8),N('Bonding Program'!$O$40),0)</f>
        <v>0</v>
      </c>
      <c r="BA181" s="19" t="n">
        <f aca="false">IF(AND('Bonding Program'!$S$40=1,'Bonding Program'!$H$40&gt;'Bonding Program'!$C$8,BA$3='Bonding Program'!$H$40),'Bonding Program'!$T$40-'Bonding Program'!$U$40-'Bonding Program'!$Z$40,0)-IF(AND('Bonding Program'!$S$40=1,'Bonding Program'!$H$40&lt;='Bonding Program'!$C$8,BA$3=IF('Bonding Program'!$P$40&lt;&gt;"",'Bonding Program'!$P$40,'Bonding Program'!$C$8)),'Bonding Program'!$Z$40,0)+IF(AND('Bonding Program'!$P$40&lt;&gt;"",BA$3='Bonding Program'!$P$40,BA$3&lt;='Bonding Program'!$C$8),N('Bonding Program'!$O$40),0)</f>
        <v>0</v>
      </c>
      <c r="BB181" s="19" t="n">
        <f aca="false">IF(AND('Bonding Program'!$S$40=1,'Bonding Program'!$H$40&gt;'Bonding Program'!$C$8,BB$3='Bonding Program'!$H$40),'Bonding Program'!$T$40-'Bonding Program'!$U$40-'Bonding Program'!$Z$40,0)-IF(AND('Bonding Program'!$S$40=1,'Bonding Program'!$H$40&lt;='Bonding Program'!$C$8,BB$3=IF('Bonding Program'!$P$40&lt;&gt;"",'Bonding Program'!$P$40,'Bonding Program'!$C$8)),'Bonding Program'!$Z$40,0)+IF(AND('Bonding Program'!$P$40&lt;&gt;"",BB$3='Bonding Program'!$P$40,BB$3&lt;='Bonding Program'!$C$8),N('Bonding Program'!$O$40),0)</f>
        <v>0</v>
      </c>
      <c r="BC181" s="19" t="n">
        <f aca="false">IF(AND('Bonding Program'!$S$40=1,'Bonding Program'!$H$40&gt;'Bonding Program'!$C$8,BC$3='Bonding Program'!$H$40),'Bonding Program'!$T$40-'Bonding Program'!$U$40-'Bonding Program'!$Z$40,0)-IF(AND('Bonding Program'!$S$40=1,'Bonding Program'!$H$40&lt;='Bonding Program'!$C$8,BC$3=IF('Bonding Program'!$P$40&lt;&gt;"",'Bonding Program'!$P$40,'Bonding Program'!$C$8)),'Bonding Program'!$Z$40,0)+IF(AND('Bonding Program'!$P$40&lt;&gt;"",BC$3='Bonding Program'!$P$40,BC$3&lt;='Bonding Program'!$C$8),N('Bonding Program'!$O$40),0)</f>
        <v>0</v>
      </c>
      <c r="BD181" s="19" t="n">
        <f aca="false">IF(AND('Bonding Program'!$S$40=1,'Bonding Program'!$H$40&gt;'Bonding Program'!$C$8,BD$3='Bonding Program'!$H$40),'Bonding Program'!$T$40-'Bonding Program'!$U$40-'Bonding Program'!$Z$40,0)-IF(AND('Bonding Program'!$S$40=1,'Bonding Program'!$H$40&lt;='Bonding Program'!$C$8,BD$3=IF('Bonding Program'!$P$40&lt;&gt;"",'Bonding Program'!$P$40,'Bonding Program'!$C$8)),'Bonding Program'!$Z$40,0)+IF(AND('Bonding Program'!$P$40&lt;&gt;"",BD$3='Bonding Program'!$P$40,BD$3&lt;='Bonding Program'!$C$8),N('Bonding Program'!$O$40),0)</f>
        <v>0</v>
      </c>
      <c r="BE181" s="19" t="n">
        <f aca="false">IF(AND('Bonding Program'!$S$40=1,'Bonding Program'!$H$40&gt;'Bonding Program'!$C$8,BE$3='Bonding Program'!$H$40),'Bonding Program'!$T$40-'Bonding Program'!$U$40-'Bonding Program'!$Z$40,0)-IF(AND('Bonding Program'!$S$40=1,'Bonding Program'!$H$40&lt;='Bonding Program'!$C$8,BE$3=IF('Bonding Program'!$P$40&lt;&gt;"",'Bonding Program'!$P$40,'Bonding Program'!$C$8)),'Bonding Program'!$Z$40,0)+IF(AND('Bonding Program'!$P$40&lt;&gt;"",BE$3='Bonding Program'!$P$40,BE$3&lt;='Bonding Program'!$C$8),N('Bonding Program'!$O$40),0)</f>
        <v>0</v>
      </c>
      <c r="BF181" s="19" t="n">
        <f aca="false">IF(AND('Bonding Program'!$S$40=1,'Bonding Program'!$H$40&gt;'Bonding Program'!$C$8,BF$3='Bonding Program'!$H$40),'Bonding Program'!$T$40-'Bonding Program'!$U$40-'Bonding Program'!$Z$40,0)-IF(AND('Bonding Program'!$S$40=1,'Bonding Program'!$H$40&lt;='Bonding Program'!$C$8,BF$3=IF('Bonding Program'!$P$40&lt;&gt;"",'Bonding Program'!$P$40,'Bonding Program'!$C$8)),'Bonding Program'!$Z$40,0)+IF(AND('Bonding Program'!$P$40&lt;&gt;"",BF$3='Bonding Program'!$P$40,BF$3&lt;='Bonding Program'!$C$8),N('Bonding Program'!$O$40),0)</f>
        <v>0</v>
      </c>
      <c r="BG181" s="19" t="n">
        <f aca="false">IF(AND('Bonding Program'!$S$40=1,'Bonding Program'!$H$40&gt;'Bonding Program'!$C$8,BG$3='Bonding Program'!$H$40),'Bonding Program'!$T$40-'Bonding Program'!$U$40-'Bonding Program'!$Z$40,0)-IF(AND('Bonding Program'!$S$40=1,'Bonding Program'!$H$40&lt;='Bonding Program'!$C$8,BG$3=IF('Bonding Program'!$P$40&lt;&gt;"",'Bonding Program'!$P$40,'Bonding Program'!$C$8)),'Bonding Program'!$Z$40,0)+IF(AND('Bonding Program'!$P$40&lt;&gt;"",BG$3='Bonding Program'!$P$40,BG$3&lt;='Bonding Program'!$C$8),N('Bonding Program'!$O$40),0)</f>
        <v>0</v>
      </c>
      <c r="BH181" s="19" t="n">
        <f aca="false">IF(AND('Bonding Program'!$S$40=1,'Bonding Program'!$H$40&gt;'Bonding Program'!$C$8,BH$3='Bonding Program'!$H$40),'Bonding Program'!$T$40-'Bonding Program'!$U$40-'Bonding Program'!$Z$40,0)-IF(AND('Bonding Program'!$S$40=1,'Bonding Program'!$H$40&lt;='Bonding Program'!$C$8,BH$3=IF('Bonding Program'!$P$40&lt;&gt;"",'Bonding Program'!$P$40,'Bonding Program'!$C$8)),'Bonding Program'!$Z$40,0)+IF(AND('Bonding Program'!$P$40&lt;&gt;"",BH$3='Bonding Program'!$P$40,BH$3&lt;='Bonding Program'!$C$8),N('Bonding Program'!$O$40),0)</f>
        <v>0</v>
      </c>
      <c r="BI181" s="19" t="n">
        <f aca="false">IF(AND('Bonding Program'!$S$40=1,'Bonding Program'!$H$40&gt;'Bonding Program'!$C$8,BI$3='Bonding Program'!$H$40),'Bonding Program'!$T$40-'Bonding Program'!$U$40-'Bonding Program'!$Z$40,0)-IF(AND('Bonding Program'!$S$40=1,'Bonding Program'!$H$40&lt;='Bonding Program'!$C$8,BI$3=IF('Bonding Program'!$P$40&lt;&gt;"",'Bonding Program'!$P$40,'Bonding Program'!$C$8)),'Bonding Program'!$Z$40,0)+IF(AND('Bonding Program'!$P$40&lt;&gt;"",BI$3='Bonding Program'!$P$40,BI$3&lt;='Bonding Program'!$C$8),N('Bonding Program'!$O$40),0)</f>
        <v>0</v>
      </c>
      <c r="BJ181" s="19" t="n">
        <f aca="false">IF(AND('Bonding Program'!$S$40=1,'Bonding Program'!$H$40&gt;'Bonding Program'!$C$8,BJ$3='Bonding Program'!$H$40),'Bonding Program'!$T$40-'Bonding Program'!$U$40-'Bonding Program'!$Z$40,0)-IF(AND('Bonding Program'!$S$40=1,'Bonding Program'!$H$40&lt;='Bonding Program'!$C$8,BJ$3=IF('Bonding Program'!$P$40&lt;&gt;"",'Bonding Program'!$P$40,'Bonding Program'!$C$8)),'Bonding Program'!$Z$40,0)+IF(AND('Bonding Program'!$P$40&lt;&gt;"",BJ$3='Bonding Program'!$P$40,BJ$3&lt;='Bonding Program'!$C$8),N('Bonding Program'!$O$40),0)</f>
        <v>0</v>
      </c>
      <c r="BK181" s="19" t="n">
        <f aca="false">IF(AND('Bonding Program'!$S$40=1,'Bonding Program'!$H$40&gt;'Bonding Program'!$C$8,BK$3='Bonding Program'!$H$40),'Bonding Program'!$T$40-'Bonding Program'!$U$40-'Bonding Program'!$Z$40,0)-IF(AND('Bonding Program'!$S$40=1,'Bonding Program'!$H$40&lt;='Bonding Program'!$C$8,BK$3=IF('Bonding Program'!$P$40&lt;&gt;"",'Bonding Program'!$P$40,'Bonding Program'!$C$8)),'Bonding Program'!$Z$40,0)+IF(AND('Bonding Program'!$P$40&lt;&gt;"",BK$3='Bonding Program'!$P$40,BK$3&lt;='Bonding Program'!$C$8),N('Bonding Program'!$O$40),0)</f>
        <v>0</v>
      </c>
      <c r="BL181" s="19" t="n">
        <f aca="false">IF(AND('Bonding Program'!$S$40=1,'Bonding Program'!$H$40&gt;'Bonding Program'!$C$8,BL$3='Bonding Program'!$H$40),'Bonding Program'!$T$40-'Bonding Program'!$U$40-'Bonding Program'!$Z$40,0)-IF(AND('Bonding Program'!$S$40=1,'Bonding Program'!$H$40&lt;='Bonding Program'!$C$8,BL$3=IF('Bonding Program'!$P$40&lt;&gt;"",'Bonding Program'!$P$40,'Bonding Program'!$C$8)),'Bonding Program'!$Z$40,0)+IF(AND('Bonding Program'!$P$40&lt;&gt;"",BL$3='Bonding Program'!$P$40,BL$3&lt;='Bonding Program'!$C$8),N('Bonding Program'!$O$40),0)</f>
        <v>0</v>
      </c>
      <c r="BM181" s="19" t="n">
        <f aca="false">IF(AND('Bonding Program'!$S$40=1,'Bonding Program'!$H$40&gt;'Bonding Program'!$C$8,BM$3='Bonding Program'!$H$40),'Bonding Program'!$T$40-'Bonding Program'!$U$40-'Bonding Program'!$Z$40,0)-IF(AND('Bonding Program'!$S$40=1,'Bonding Program'!$H$40&lt;='Bonding Program'!$C$8,BM$3=IF('Bonding Program'!$P$40&lt;&gt;"",'Bonding Program'!$P$40,'Bonding Program'!$C$8)),'Bonding Program'!$Z$40,0)+IF(AND('Bonding Program'!$P$40&lt;&gt;"",BM$3='Bonding Program'!$P$40,BM$3&lt;='Bonding Program'!$C$8),N('Bonding Program'!$O$40),0)</f>
        <v>0</v>
      </c>
      <c r="BN181" s="19" t="n">
        <f aca="false">IF(AND('Bonding Program'!$S$40=1,'Bonding Program'!$H$40&gt;'Bonding Program'!$C$8,BN$3='Bonding Program'!$H$40),'Bonding Program'!$T$40-'Bonding Program'!$U$40-'Bonding Program'!$Z$40,0)-IF(AND('Bonding Program'!$S$40=1,'Bonding Program'!$H$40&lt;='Bonding Program'!$C$8,BN$3=IF('Bonding Program'!$P$40&lt;&gt;"",'Bonding Program'!$P$40,'Bonding Program'!$C$8)),'Bonding Program'!$Z$40,0)+IF(AND('Bonding Program'!$P$40&lt;&gt;"",BN$3='Bonding Program'!$P$40,BN$3&lt;='Bonding Program'!$C$8),N('Bonding Program'!$O$40),0)</f>
        <v>0</v>
      </c>
      <c r="BO181" s="19" t="n">
        <f aca="false">IF(AND('Bonding Program'!$S$40=1,'Bonding Program'!$H$40&gt;'Bonding Program'!$C$8,BO$3='Bonding Program'!$H$40),'Bonding Program'!$T$40-'Bonding Program'!$U$40-'Bonding Program'!$Z$40,0)-IF(AND('Bonding Program'!$S$40=1,'Bonding Program'!$H$40&lt;='Bonding Program'!$C$8,BO$3=IF('Bonding Program'!$P$40&lt;&gt;"",'Bonding Program'!$P$40,'Bonding Program'!$C$8)),'Bonding Program'!$Z$40,0)+IF(AND('Bonding Program'!$P$40&lt;&gt;"",BO$3='Bonding Program'!$P$40,BO$3&lt;='Bonding Program'!$C$8),N('Bonding Program'!$O$40),0)</f>
        <v>0</v>
      </c>
      <c r="BP181" s="19" t="n">
        <f aca="false">IF(AND('Bonding Program'!$S$40=1,'Bonding Program'!$H$40&gt;'Bonding Program'!$C$8,BP$3='Bonding Program'!$H$40),'Bonding Program'!$T$40-'Bonding Program'!$U$40-'Bonding Program'!$Z$40,0)-IF(AND('Bonding Program'!$S$40=1,'Bonding Program'!$H$40&lt;='Bonding Program'!$C$8,BP$3=IF('Bonding Program'!$P$40&lt;&gt;"",'Bonding Program'!$P$40,'Bonding Program'!$C$8)),'Bonding Program'!$Z$40,0)+IF(AND('Bonding Program'!$P$40&lt;&gt;"",BP$3='Bonding Program'!$P$40,BP$3&lt;='Bonding Program'!$C$8),N('Bonding Program'!$O$40),0)</f>
        <v>0</v>
      </c>
      <c r="BQ181" s="19" t="n">
        <f aca="false">IF(AND('Bonding Program'!$S$40=1,'Bonding Program'!$H$40&gt;'Bonding Program'!$C$8,BQ$3='Bonding Program'!$H$40),'Bonding Program'!$T$40-'Bonding Program'!$U$40-'Bonding Program'!$Z$40,0)-IF(AND('Bonding Program'!$S$40=1,'Bonding Program'!$H$40&lt;='Bonding Program'!$C$8,BQ$3=IF('Bonding Program'!$P$40&lt;&gt;"",'Bonding Program'!$P$40,'Bonding Program'!$C$8)),'Bonding Program'!$Z$40,0)+IF(AND('Bonding Program'!$P$40&lt;&gt;"",BQ$3='Bonding Program'!$P$40,BQ$3&lt;='Bonding Program'!$C$8),N('Bonding Program'!$O$40),0)</f>
        <v>0</v>
      </c>
      <c r="BR181" s="19" t="n">
        <f aca="false">IF(AND('Bonding Program'!$S$40=1,'Bonding Program'!$H$40&gt;'Bonding Program'!$C$8,BR$3='Bonding Program'!$H$40),'Bonding Program'!$T$40-'Bonding Program'!$U$40-'Bonding Program'!$Z$40,0)-IF(AND('Bonding Program'!$S$40=1,'Bonding Program'!$H$40&lt;='Bonding Program'!$C$8,BR$3=IF('Bonding Program'!$P$40&lt;&gt;"",'Bonding Program'!$P$40,'Bonding Program'!$C$8)),'Bonding Program'!$Z$40,0)+IF(AND('Bonding Program'!$P$40&lt;&gt;"",BR$3='Bonding Program'!$P$40,BR$3&lt;='Bonding Program'!$C$8),N('Bonding Program'!$O$40),0)</f>
        <v>0</v>
      </c>
      <c r="BS181" s="19" t="n">
        <f aca="false">IF(AND('Bonding Program'!$S$40=1,'Bonding Program'!$H$40&gt;'Bonding Program'!$C$8,BS$3='Bonding Program'!$H$40),'Bonding Program'!$T$40-'Bonding Program'!$U$40-'Bonding Program'!$Z$40,0)-IF(AND('Bonding Program'!$S$40=1,'Bonding Program'!$H$40&lt;='Bonding Program'!$C$8,BS$3=IF('Bonding Program'!$P$40&lt;&gt;"",'Bonding Program'!$P$40,'Bonding Program'!$C$8)),'Bonding Program'!$Z$40,0)+IF(AND('Bonding Program'!$P$40&lt;&gt;"",BS$3='Bonding Program'!$P$40,BS$3&lt;='Bonding Program'!$C$8),N('Bonding Program'!$O$40),0)</f>
        <v>0</v>
      </c>
      <c r="BT181" s="19" t="n">
        <f aca="false">IF(AND('Bonding Program'!$S$40=1,'Bonding Program'!$H$40&gt;'Bonding Program'!$C$8,BT$3='Bonding Program'!$H$40),'Bonding Program'!$T$40-'Bonding Program'!$U$40-'Bonding Program'!$Z$40,0)-IF(AND('Bonding Program'!$S$40=1,'Bonding Program'!$H$40&lt;='Bonding Program'!$C$8,BT$3=IF('Bonding Program'!$P$40&lt;&gt;"",'Bonding Program'!$P$40,'Bonding Program'!$C$8)),'Bonding Program'!$Z$40,0)+IF(AND('Bonding Program'!$P$40&lt;&gt;"",BT$3='Bonding Program'!$P$40,BT$3&lt;='Bonding Program'!$C$8),N('Bonding Program'!$O$40),0)</f>
        <v>0</v>
      </c>
      <c r="BU181" s="19" t="n">
        <f aca="false">IF(AND('Bonding Program'!$S$40=1,'Bonding Program'!$H$40&gt;'Bonding Program'!$C$8,BU$3='Bonding Program'!$H$40),'Bonding Program'!$T$40-'Bonding Program'!$U$40-'Bonding Program'!$Z$40,0)-IF(AND('Bonding Program'!$S$40=1,'Bonding Program'!$H$40&lt;='Bonding Program'!$C$8,BU$3=IF('Bonding Program'!$P$40&lt;&gt;"",'Bonding Program'!$P$40,'Bonding Program'!$C$8)),'Bonding Program'!$Z$40,0)+IF(AND('Bonding Program'!$P$40&lt;&gt;"",BU$3='Bonding Program'!$P$40,BU$3&lt;='Bonding Program'!$C$8),N('Bonding Program'!$O$40),0)</f>
        <v>0</v>
      </c>
      <c r="BV181" s="19" t="n">
        <f aca="false">IF(AND('Bonding Program'!$S$40=1,'Bonding Program'!$H$40&gt;'Bonding Program'!$C$8,BV$3='Bonding Program'!$H$40),'Bonding Program'!$T$40-'Bonding Program'!$U$40-'Bonding Program'!$Z$40,0)-IF(AND('Bonding Program'!$S$40=1,'Bonding Program'!$H$40&lt;='Bonding Program'!$C$8,BV$3=IF('Bonding Program'!$P$40&lt;&gt;"",'Bonding Program'!$P$40,'Bonding Program'!$C$8)),'Bonding Program'!$Z$40,0)+IF(AND('Bonding Program'!$P$40&lt;&gt;"",BV$3='Bonding Program'!$P$40,BV$3&lt;='Bonding Program'!$C$8),N('Bonding Program'!$O$40),0)</f>
        <v>0</v>
      </c>
      <c r="BW181" s="19" t="n">
        <f aca="false">IF(AND('Bonding Program'!$S$40=1,'Bonding Program'!$H$40&gt;'Bonding Program'!$C$8,BW$3='Bonding Program'!$H$40),'Bonding Program'!$T$40-'Bonding Program'!$U$40-'Bonding Program'!$Z$40,0)-IF(AND('Bonding Program'!$S$40=1,'Bonding Program'!$H$40&lt;='Bonding Program'!$C$8,BW$3=IF('Bonding Program'!$P$40&lt;&gt;"",'Bonding Program'!$P$40,'Bonding Program'!$C$8)),'Bonding Program'!$Z$40,0)+IF(AND('Bonding Program'!$P$40&lt;&gt;"",BW$3='Bonding Program'!$P$40,BW$3&lt;='Bonding Program'!$C$8),N('Bonding Program'!$O$40),0)</f>
        <v>0</v>
      </c>
      <c r="BX181" s="19" t="n">
        <f aca="false">IF(AND('Bonding Program'!$S$40=1,'Bonding Program'!$H$40&gt;'Bonding Program'!$C$8,BX$3='Bonding Program'!$H$40),'Bonding Program'!$T$40-'Bonding Program'!$U$40-'Bonding Program'!$Z$40,0)-IF(AND('Bonding Program'!$S$40=1,'Bonding Program'!$H$40&lt;='Bonding Program'!$C$8,BX$3=IF('Bonding Program'!$P$40&lt;&gt;"",'Bonding Program'!$P$40,'Bonding Program'!$C$8)),'Bonding Program'!$Z$40,0)+IF(AND('Bonding Program'!$P$40&lt;&gt;"",BX$3='Bonding Program'!$P$40,BX$3&lt;='Bonding Program'!$C$8),N('Bonding Program'!$O$40),0)</f>
        <v>0</v>
      </c>
      <c r="BY181" s="19" t="n">
        <f aca="false">IF(AND('Bonding Program'!$S$40=1,'Bonding Program'!$H$40&gt;'Bonding Program'!$C$8,BY$3='Bonding Program'!$H$40),'Bonding Program'!$T$40-'Bonding Program'!$U$40-'Bonding Program'!$Z$40,0)-IF(AND('Bonding Program'!$S$40=1,'Bonding Program'!$H$40&lt;='Bonding Program'!$C$8,BY$3=IF('Bonding Program'!$P$40&lt;&gt;"",'Bonding Program'!$P$40,'Bonding Program'!$C$8)),'Bonding Program'!$Z$40,0)+IF(AND('Bonding Program'!$P$40&lt;&gt;"",BY$3='Bonding Program'!$P$40,BY$3&lt;='Bonding Program'!$C$8),N('Bonding Program'!$O$40),0)</f>
        <v>0</v>
      </c>
      <c r="BZ181" s="19" t="n">
        <f aca="false">IF(AND('Bonding Program'!$S$40=1,'Bonding Program'!$H$40&gt;'Bonding Program'!$C$8,BZ$3='Bonding Program'!$H$40),'Bonding Program'!$T$40-'Bonding Program'!$U$40-'Bonding Program'!$Z$40,0)-IF(AND('Bonding Program'!$S$40=1,'Bonding Program'!$H$40&lt;='Bonding Program'!$C$8,BZ$3=IF('Bonding Program'!$P$40&lt;&gt;"",'Bonding Program'!$P$40,'Bonding Program'!$C$8)),'Bonding Program'!$Z$40,0)+IF(AND('Bonding Program'!$P$40&lt;&gt;"",BZ$3='Bonding Program'!$P$40,BZ$3&lt;='Bonding Program'!$C$8),N('Bonding Program'!$O$40),0)</f>
        <v>0</v>
      </c>
      <c r="CA181" s="19" t="n">
        <f aca="false">IF(AND('Bonding Program'!$S$40=1,'Bonding Program'!$H$40&gt;'Bonding Program'!$C$8,CA$3='Bonding Program'!$H$40),'Bonding Program'!$T$40-'Bonding Program'!$U$40-'Bonding Program'!$Z$40,0)-IF(AND('Bonding Program'!$S$40=1,'Bonding Program'!$H$40&lt;='Bonding Program'!$C$8,CA$3=IF('Bonding Program'!$P$40&lt;&gt;"",'Bonding Program'!$P$40,'Bonding Program'!$C$8)),'Bonding Program'!$Z$40,0)+IF(AND('Bonding Program'!$P$40&lt;&gt;"",CA$3='Bonding Program'!$P$40,CA$3&lt;='Bonding Program'!$C$8),N('Bonding Program'!$O$40),0)</f>
        <v>0</v>
      </c>
      <c r="CB181" s="19" t="n">
        <f aca="false">IF(AND('Bonding Program'!$S$40=1,'Bonding Program'!$H$40&gt;'Bonding Program'!$C$8,CB$3='Bonding Program'!$H$40),'Bonding Program'!$T$40-'Bonding Program'!$U$40-'Bonding Program'!$Z$40,0)-IF(AND('Bonding Program'!$S$40=1,'Bonding Program'!$H$40&lt;='Bonding Program'!$C$8,CB$3=IF('Bonding Program'!$P$40&lt;&gt;"",'Bonding Program'!$P$40,'Bonding Program'!$C$8)),'Bonding Program'!$Z$40,0)+IF(AND('Bonding Program'!$P$40&lt;&gt;"",CB$3='Bonding Program'!$P$40,CB$3&lt;='Bonding Program'!$C$8),N('Bonding Program'!$O$40),0)</f>
        <v>0</v>
      </c>
      <c r="CC181" s="19" t="n">
        <f aca="false">IF(AND('Bonding Program'!$S$40=1,'Bonding Program'!$H$40&gt;'Bonding Program'!$C$8,CC$3='Bonding Program'!$H$40),'Bonding Program'!$T$40-'Bonding Program'!$U$40-'Bonding Program'!$Z$40,0)-IF(AND('Bonding Program'!$S$40=1,'Bonding Program'!$H$40&lt;='Bonding Program'!$C$8,CC$3=IF('Bonding Program'!$P$40&lt;&gt;"",'Bonding Program'!$P$40,'Bonding Program'!$C$8)),'Bonding Program'!$Z$40,0)+IF(AND('Bonding Program'!$P$40&lt;&gt;"",CC$3='Bonding Program'!$P$40,CC$3&lt;='Bonding Program'!$C$8),N('Bonding Program'!$O$40),0)</f>
        <v>0</v>
      </c>
      <c r="CD181" s="19" t="n">
        <f aca="false">IF(AND('Bonding Program'!$S$40=1,'Bonding Program'!$H$40&gt;'Bonding Program'!$C$8,CD$3='Bonding Program'!$H$40),'Bonding Program'!$T$40-'Bonding Program'!$U$40-'Bonding Program'!$Z$40,0)-IF(AND('Bonding Program'!$S$40=1,'Bonding Program'!$H$40&lt;='Bonding Program'!$C$8,CD$3=IF('Bonding Program'!$P$40&lt;&gt;"",'Bonding Program'!$P$40,'Bonding Program'!$C$8)),'Bonding Program'!$Z$40,0)+IF(AND('Bonding Program'!$P$40&lt;&gt;"",CD$3='Bonding Program'!$P$40,CD$3&lt;='Bonding Program'!$C$8),N('Bonding Program'!$O$40),0)</f>
        <v>0</v>
      </c>
      <c r="CE181" s="19" t="n">
        <f aca="false">IF(AND('Bonding Program'!$S$40=1,'Bonding Program'!$H$40&gt;'Bonding Program'!$C$8,CE$3='Bonding Program'!$H$40),'Bonding Program'!$T$40-'Bonding Program'!$U$40-'Bonding Program'!$Z$40,0)-IF(AND('Bonding Program'!$S$40=1,'Bonding Program'!$H$40&lt;='Bonding Program'!$C$8,CE$3=IF('Bonding Program'!$P$40&lt;&gt;"",'Bonding Program'!$P$40,'Bonding Program'!$C$8)),'Bonding Program'!$Z$40,0)+IF(AND('Bonding Program'!$P$40&lt;&gt;"",CE$3='Bonding Program'!$P$40,CE$3&lt;='Bonding Program'!$C$8),N('Bonding Program'!$O$40),0)</f>
        <v>0</v>
      </c>
      <c r="CF181" s="19" t="n">
        <f aca="false">IF(AND('Bonding Program'!$S$40=1,'Bonding Program'!$H$40&gt;'Bonding Program'!$C$8,CF$3='Bonding Program'!$H$40),'Bonding Program'!$T$40-'Bonding Program'!$U$40-'Bonding Program'!$Z$40,0)-IF(AND('Bonding Program'!$S$40=1,'Bonding Program'!$H$40&lt;='Bonding Program'!$C$8,CF$3=IF('Bonding Program'!$P$40&lt;&gt;"",'Bonding Program'!$P$40,'Bonding Program'!$C$8)),'Bonding Program'!$Z$40,0)+IF(AND('Bonding Program'!$P$40&lt;&gt;"",CF$3='Bonding Program'!$P$40,CF$3&lt;='Bonding Program'!$C$8),N('Bonding Program'!$O$40),0)</f>
        <v>0</v>
      </c>
      <c r="CG181" s="19" t="n">
        <f aca="false">IF(AND('Bonding Program'!$S$40=1,'Bonding Program'!$H$40&gt;'Bonding Program'!$C$8,CG$3='Bonding Program'!$H$40),'Bonding Program'!$T$40-'Bonding Program'!$U$40-'Bonding Program'!$Z$40,0)-IF(AND('Bonding Program'!$S$40=1,'Bonding Program'!$H$40&lt;='Bonding Program'!$C$8,CG$3=IF('Bonding Program'!$P$40&lt;&gt;"",'Bonding Program'!$P$40,'Bonding Program'!$C$8)),'Bonding Program'!$Z$40,0)+IF(AND('Bonding Program'!$P$40&lt;&gt;"",CG$3='Bonding Program'!$P$40,CG$3&lt;='Bonding Program'!$C$8),N('Bonding Program'!$O$40),0)</f>
        <v>0</v>
      </c>
      <c r="CH181" s="19" t="n">
        <f aca="false">IF(AND('Bonding Program'!$S$40=1,'Bonding Program'!$H$40&gt;'Bonding Program'!$C$8,CH$3='Bonding Program'!$H$40),'Bonding Program'!$T$40-'Bonding Program'!$U$40-'Bonding Program'!$Z$40,0)-IF(AND('Bonding Program'!$S$40=1,'Bonding Program'!$H$40&lt;='Bonding Program'!$C$8,CH$3=IF('Bonding Program'!$P$40&lt;&gt;"",'Bonding Program'!$P$40,'Bonding Program'!$C$8)),'Bonding Program'!$Z$40,0)+IF(AND('Bonding Program'!$P$40&lt;&gt;"",CH$3='Bonding Program'!$P$40,CH$3&lt;='Bonding Program'!$C$8),N('Bonding Program'!$O$40),0)</f>
        <v>0</v>
      </c>
      <c r="CI181" s="19" t="n">
        <f aca="false">IF(AND('Bonding Program'!$S$40=1,'Bonding Program'!$H$40&gt;'Bonding Program'!$C$8,CI$3='Bonding Program'!$H$40),'Bonding Program'!$T$40-'Bonding Program'!$U$40-'Bonding Program'!$Z$40,0)-IF(AND('Bonding Program'!$S$40=1,'Bonding Program'!$H$40&lt;='Bonding Program'!$C$8,CI$3=IF('Bonding Program'!$P$40&lt;&gt;"",'Bonding Program'!$P$40,'Bonding Program'!$C$8)),'Bonding Program'!$Z$40,0)+IF(AND('Bonding Program'!$P$40&lt;&gt;"",CI$3='Bonding Program'!$P$40,CI$3&lt;='Bonding Program'!$C$8),N('Bonding Program'!$O$40),0)</f>
        <v>0</v>
      </c>
      <c r="CJ181" s="19" t="n">
        <f aca="false">IF(AND('Bonding Program'!$S$40=1,'Bonding Program'!$H$40&gt;'Bonding Program'!$C$8,CJ$3='Bonding Program'!$H$40),'Bonding Program'!$T$40-'Bonding Program'!$U$40-'Bonding Program'!$Z$40,0)-IF(AND('Bonding Program'!$S$40=1,'Bonding Program'!$H$40&lt;='Bonding Program'!$C$8,CJ$3=IF('Bonding Program'!$P$40&lt;&gt;"",'Bonding Program'!$P$40,'Bonding Program'!$C$8)),'Bonding Program'!$Z$40,0)+IF(AND('Bonding Program'!$P$40&lt;&gt;"",CJ$3='Bonding Program'!$P$40,CJ$3&lt;='Bonding Program'!$C$8),N('Bonding Program'!$O$40),0)</f>
        <v>0</v>
      </c>
      <c r="CK181" s="19" t="n">
        <f aca="false">IF(AND('Bonding Program'!$S$40=1,'Bonding Program'!$H$40&gt;'Bonding Program'!$C$8,CK$3='Bonding Program'!$H$40),'Bonding Program'!$T$40-'Bonding Program'!$U$40-'Bonding Program'!$Z$40,0)-IF(AND('Bonding Program'!$S$40=1,'Bonding Program'!$H$40&lt;='Bonding Program'!$C$8,CK$3=IF('Bonding Program'!$P$40&lt;&gt;"",'Bonding Program'!$P$40,'Bonding Program'!$C$8)),'Bonding Program'!$Z$40,0)+IF(AND('Bonding Program'!$P$40&lt;&gt;"",CK$3='Bonding Program'!$P$40,CK$3&lt;='Bonding Program'!$C$8),N('Bonding Program'!$O$40),0)</f>
        <v>0</v>
      </c>
      <c r="CL181" s="19" t="n">
        <f aca="false">IF(AND('Bonding Program'!$S$40=1,'Bonding Program'!$H$40&gt;'Bonding Program'!$C$8,CL$3='Bonding Program'!$H$40),'Bonding Program'!$T$40-'Bonding Program'!$U$40-'Bonding Program'!$Z$40,0)-IF(AND('Bonding Program'!$S$40=1,'Bonding Program'!$H$40&lt;='Bonding Program'!$C$8,CL$3=IF('Bonding Program'!$P$40&lt;&gt;"",'Bonding Program'!$P$40,'Bonding Program'!$C$8)),'Bonding Program'!$Z$40,0)+IF(AND('Bonding Program'!$P$40&lt;&gt;"",CL$3='Bonding Program'!$P$40,CL$3&lt;='Bonding Program'!$C$8),N('Bonding Program'!$O$40),0)</f>
        <v>0</v>
      </c>
      <c r="CM181" s="19" t="n">
        <f aca="false">IF(AND('Bonding Program'!$S$40=1,'Bonding Program'!$H$40&gt;'Bonding Program'!$C$8,CM$3='Bonding Program'!$H$40),'Bonding Program'!$T$40-'Bonding Program'!$U$40-'Bonding Program'!$Z$40,0)-IF(AND('Bonding Program'!$S$40=1,'Bonding Program'!$H$40&lt;='Bonding Program'!$C$8,CM$3=IF('Bonding Program'!$P$40&lt;&gt;"",'Bonding Program'!$P$40,'Bonding Program'!$C$8)),'Bonding Program'!$Z$40,0)+IF(AND('Bonding Program'!$P$40&lt;&gt;"",CM$3='Bonding Program'!$P$40,CM$3&lt;='Bonding Program'!$C$8),N('Bonding Program'!$O$40),0)</f>
        <v>0</v>
      </c>
      <c r="CN181" s="19" t="n">
        <f aca="false">IF(AND('Bonding Program'!$S$40=1,'Bonding Program'!$H$40&gt;'Bonding Program'!$C$8,CN$3='Bonding Program'!$H$40),'Bonding Program'!$T$40-'Bonding Program'!$U$40-'Bonding Program'!$Z$40,0)-IF(AND('Bonding Program'!$S$40=1,'Bonding Program'!$H$40&lt;='Bonding Program'!$C$8,CN$3=IF('Bonding Program'!$P$40&lt;&gt;"",'Bonding Program'!$P$40,'Bonding Program'!$C$8)),'Bonding Program'!$Z$40,0)+IF(AND('Bonding Program'!$P$40&lt;&gt;"",CN$3='Bonding Program'!$P$40,CN$3&lt;='Bonding Program'!$C$8),N('Bonding Program'!$O$40),0)</f>
        <v>0</v>
      </c>
      <c r="CO181" s="19" t="n">
        <f aca="false">IF(AND('Bonding Program'!$S$40=1,'Bonding Program'!$H$40&gt;'Bonding Program'!$C$8,CO$3='Bonding Program'!$H$40),'Bonding Program'!$T$40-'Bonding Program'!$U$40-'Bonding Program'!$Z$40,0)-IF(AND('Bonding Program'!$S$40=1,'Bonding Program'!$H$40&lt;='Bonding Program'!$C$8,CO$3=IF('Bonding Program'!$P$40&lt;&gt;"",'Bonding Program'!$P$40,'Bonding Program'!$C$8)),'Bonding Program'!$Z$40,0)+IF(AND('Bonding Program'!$P$40&lt;&gt;"",CO$3='Bonding Program'!$P$40,CO$3&lt;='Bonding Program'!$C$8),N('Bonding Program'!$O$40),0)</f>
        <v>0</v>
      </c>
      <c r="CP181" s="19" t="n">
        <f aca="false">IF(AND('Bonding Program'!$S$40=1,'Bonding Program'!$H$40&gt;'Bonding Program'!$C$8,CP$3='Bonding Program'!$H$40),'Bonding Program'!$T$40-'Bonding Program'!$U$40-'Bonding Program'!$Z$40,0)-IF(AND('Bonding Program'!$S$40=1,'Bonding Program'!$H$40&lt;='Bonding Program'!$C$8,CP$3=IF('Bonding Program'!$P$40&lt;&gt;"",'Bonding Program'!$P$40,'Bonding Program'!$C$8)),'Bonding Program'!$Z$40,0)+IF(AND('Bonding Program'!$P$40&lt;&gt;"",CP$3='Bonding Program'!$P$40,CP$3&lt;='Bonding Program'!$C$8),N('Bonding Program'!$O$40),0)</f>
        <v>0</v>
      </c>
      <c r="CQ181" s="19" t="n">
        <f aca="false">IF(AND('Bonding Program'!$S$40=1,'Bonding Program'!$H$40&gt;'Bonding Program'!$C$8,CQ$3='Bonding Program'!$H$40),'Bonding Program'!$T$40-'Bonding Program'!$U$40-'Bonding Program'!$Z$40,0)-IF(AND('Bonding Program'!$S$40=1,'Bonding Program'!$H$40&lt;='Bonding Program'!$C$8,CQ$3=IF('Bonding Program'!$P$40&lt;&gt;"",'Bonding Program'!$P$40,'Bonding Program'!$C$8)),'Bonding Program'!$Z$40,0)+IF(AND('Bonding Program'!$P$40&lt;&gt;"",CQ$3='Bonding Program'!$P$40,CQ$3&lt;='Bonding Program'!$C$8),N('Bonding Program'!$O$40),0)</f>
        <v>0</v>
      </c>
      <c r="CR181" s="19" t="n">
        <f aca="false">IF(AND('Bonding Program'!$S$40=1,'Bonding Program'!$H$40&gt;'Bonding Program'!$C$8,CR$3='Bonding Program'!$H$40),'Bonding Program'!$T$40-'Bonding Program'!$U$40-'Bonding Program'!$Z$40,0)-IF(AND('Bonding Program'!$S$40=1,'Bonding Program'!$H$40&lt;='Bonding Program'!$C$8,CR$3=IF('Bonding Program'!$P$40&lt;&gt;"",'Bonding Program'!$P$40,'Bonding Program'!$C$8)),'Bonding Program'!$Z$40,0)+IF(AND('Bonding Program'!$P$40&lt;&gt;"",CR$3='Bonding Program'!$P$40,CR$3&lt;='Bonding Program'!$C$8),N('Bonding Program'!$O$40),0)</f>
        <v>0</v>
      </c>
      <c r="CS181" s="19" t="n">
        <f aca="false">IF(AND('Bonding Program'!$S$40=1,'Bonding Program'!$H$40&gt;'Bonding Program'!$C$8,CS$3='Bonding Program'!$H$40),'Bonding Program'!$T$40-'Bonding Program'!$U$40-'Bonding Program'!$Z$40,0)-IF(AND('Bonding Program'!$S$40=1,'Bonding Program'!$H$40&lt;='Bonding Program'!$C$8,CS$3=IF('Bonding Program'!$P$40&lt;&gt;"",'Bonding Program'!$P$40,'Bonding Program'!$C$8)),'Bonding Program'!$Z$40,0)+IF(AND('Bonding Program'!$P$40&lt;&gt;"",CS$3='Bonding Program'!$P$40,CS$3&lt;='Bonding Program'!$C$8),N('Bonding Program'!$O$40),0)</f>
        <v>0</v>
      </c>
      <c r="CT181" s="19" t="n">
        <f aca="false">IF(AND('Bonding Program'!$S$40=1,'Bonding Program'!$H$40&gt;'Bonding Program'!$C$8,CT$3='Bonding Program'!$H$40),'Bonding Program'!$T$40-'Bonding Program'!$U$40-'Bonding Program'!$Z$40,0)-IF(AND('Bonding Program'!$S$40=1,'Bonding Program'!$H$40&lt;='Bonding Program'!$C$8,CT$3=IF('Bonding Program'!$P$40&lt;&gt;"",'Bonding Program'!$P$40,'Bonding Program'!$C$8)),'Bonding Program'!$Z$40,0)+IF(AND('Bonding Program'!$P$40&lt;&gt;"",CT$3='Bonding Program'!$P$40,CT$3&lt;='Bonding Program'!$C$8),N('Bonding Program'!$O$40),0)</f>
        <v>0</v>
      </c>
      <c r="CU181" s="19" t="n">
        <f aca="false">IF(AND('Bonding Program'!$S$40=1,'Bonding Program'!$H$40&gt;'Bonding Program'!$C$8,CU$3='Bonding Program'!$H$40),'Bonding Program'!$T$40-'Bonding Program'!$U$40-'Bonding Program'!$Z$40,0)-IF(AND('Bonding Program'!$S$40=1,'Bonding Program'!$H$40&lt;='Bonding Program'!$C$8,CU$3=IF('Bonding Program'!$P$40&lt;&gt;"",'Bonding Program'!$P$40,'Bonding Program'!$C$8)),'Bonding Program'!$Z$40,0)+IF(AND('Bonding Program'!$P$40&lt;&gt;"",CU$3='Bonding Program'!$P$40,CU$3&lt;='Bonding Program'!$C$8),N('Bonding Program'!$O$40),0)</f>
        <v>0</v>
      </c>
      <c r="CV181" s="19" t="n">
        <f aca="false">IF(AND('Bonding Program'!$S$40=1,'Bonding Program'!$H$40&gt;'Bonding Program'!$C$8,CV$3='Bonding Program'!$H$40),'Bonding Program'!$T$40-'Bonding Program'!$U$40-'Bonding Program'!$Z$40,0)-IF(AND('Bonding Program'!$S$40=1,'Bonding Program'!$H$40&lt;='Bonding Program'!$C$8,CV$3=IF('Bonding Program'!$P$40&lt;&gt;"",'Bonding Program'!$P$40,'Bonding Program'!$C$8)),'Bonding Program'!$Z$40,0)+IF(AND('Bonding Program'!$P$40&lt;&gt;"",CV$3='Bonding Program'!$P$40,CV$3&lt;='Bonding Program'!$C$8),N('Bonding Program'!$O$40),0)</f>
        <v>0</v>
      </c>
      <c r="CW181" s="19" t="n">
        <f aca="false">IF(AND('Bonding Program'!$S$40=1,'Bonding Program'!$H$40&gt;'Bonding Program'!$C$8,CW$3='Bonding Program'!$H$40),'Bonding Program'!$T$40-'Bonding Program'!$U$40-'Bonding Program'!$Z$40,0)-IF(AND('Bonding Program'!$S$40=1,'Bonding Program'!$H$40&lt;='Bonding Program'!$C$8,CW$3=IF('Bonding Program'!$P$40&lt;&gt;"",'Bonding Program'!$P$40,'Bonding Program'!$C$8)),'Bonding Program'!$Z$40,0)+IF(AND('Bonding Program'!$P$40&lt;&gt;"",CW$3='Bonding Program'!$P$40,CW$3&lt;='Bonding Program'!$C$8),N('Bonding Program'!$O$40),0)</f>
        <v>0</v>
      </c>
      <c r="CX181" s="19" t="n">
        <f aca="false">IF(AND('Bonding Program'!$S$40=1,'Bonding Program'!$H$40&gt;'Bonding Program'!$C$8,CX$3='Bonding Program'!$H$40),'Bonding Program'!$T$40-'Bonding Program'!$U$40-'Bonding Program'!$Z$40,0)-IF(AND('Bonding Program'!$S$40=1,'Bonding Program'!$H$40&lt;='Bonding Program'!$C$8,CX$3=IF('Bonding Program'!$P$40&lt;&gt;"",'Bonding Program'!$P$40,'Bonding Program'!$C$8)),'Bonding Program'!$Z$40,0)+IF(AND('Bonding Program'!$P$40&lt;&gt;"",CX$3='Bonding Program'!$P$40,CX$3&lt;='Bonding Program'!$C$8),N('Bonding Program'!$O$40),0)</f>
        <v>0</v>
      </c>
      <c r="CY181" s="19" t="n">
        <f aca="false">IF(AND('Bonding Program'!$S$40=1,'Bonding Program'!$H$40&gt;'Bonding Program'!$C$8,CY$3='Bonding Program'!$H$40),'Bonding Program'!$T$40-'Bonding Program'!$U$40-'Bonding Program'!$Z$40,0)-IF(AND('Bonding Program'!$S$40=1,'Bonding Program'!$H$40&lt;='Bonding Program'!$C$8,CY$3=IF('Bonding Program'!$P$40&lt;&gt;"",'Bonding Program'!$P$40,'Bonding Program'!$C$8)),'Bonding Program'!$Z$40,0)+IF(AND('Bonding Program'!$P$40&lt;&gt;"",CY$3='Bonding Program'!$P$40,CY$3&lt;='Bonding Program'!$C$8),N('Bonding Program'!$O$40),0)</f>
        <v>0</v>
      </c>
      <c r="CZ181" s="19" t="n">
        <f aca="false">IF(AND('Bonding Program'!$S$40=1,'Bonding Program'!$H$40&gt;'Bonding Program'!$C$8,CZ$3='Bonding Program'!$H$40),'Bonding Program'!$T$40-'Bonding Program'!$U$40-'Bonding Program'!$Z$40,0)-IF(AND('Bonding Program'!$S$40=1,'Bonding Program'!$H$40&lt;='Bonding Program'!$C$8,CZ$3=IF('Bonding Program'!$P$40&lt;&gt;"",'Bonding Program'!$P$40,'Bonding Program'!$C$8)),'Bonding Program'!$Z$40,0)+IF(AND('Bonding Program'!$P$40&lt;&gt;"",CZ$3='Bonding Program'!$P$40,CZ$3&lt;='Bonding Program'!$C$8),N('Bonding Program'!$O$40),0)</f>
        <v>0</v>
      </c>
      <c r="DA181" s="19" t="n">
        <f aca="false">IF(AND('Bonding Program'!$S$40=1,'Bonding Program'!$H$40&gt;'Bonding Program'!$C$8,DA$3='Bonding Program'!$H$40),'Bonding Program'!$T$40-'Bonding Program'!$U$40-'Bonding Program'!$Z$40,0)-IF(AND('Bonding Program'!$S$40=1,'Bonding Program'!$H$40&lt;='Bonding Program'!$C$8,DA$3=IF('Bonding Program'!$P$40&lt;&gt;"",'Bonding Program'!$P$40,'Bonding Program'!$C$8)),'Bonding Program'!$Z$40,0)+IF(AND('Bonding Program'!$P$40&lt;&gt;"",DA$3='Bonding Program'!$P$40,DA$3&lt;='Bonding Program'!$C$8),N('Bonding Program'!$O$40),0)</f>
        <v>0</v>
      </c>
      <c r="DB181" s="19" t="n">
        <f aca="false">IF(AND('Bonding Program'!$S$40=1,'Bonding Program'!$H$40&gt;'Bonding Program'!$C$8,DB$3='Bonding Program'!$H$40),'Bonding Program'!$T$40-'Bonding Program'!$U$40-'Bonding Program'!$Z$40,0)-IF(AND('Bonding Program'!$S$40=1,'Bonding Program'!$H$40&lt;='Bonding Program'!$C$8,DB$3=IF('Bonding Program'!$P$40&lt;&gt;"",'Bonding Program'!$P$40,'Bonding Program'!$C$8)),'Bonding Program'!$Z$40,0)+IF(AND('Bonding Program'!$P$40&lt;&gt;"",DB$3='Bonding Program'!$P$40,DB$3&lt;='Bonding Program'!$C$8),N('Bonding Program'!$O$40),0)</f>
        <v>0</v>
      </c>
      <c r="DC181" s="19" t="n">
        <f aca="false">IF(AND('Bonding Program'!$S$40=1,'Bonding Program'!$H$40&gt;'Bonding Program'!$C$8,DC$3='Bonding Program'!$H$40),'Bonding Program'!$T$40-'Bonding Program'!$U$40-'Bonding Program'!$Z$40,0)-IF(AND('Bonding Program'!$S$40=1,'Bonding Program'!$H$40&lt;='Bonding Program'!$C$8,DC$3=IF('Bonding Program'!$P$40&lt;&gt;"",'Bonding Program'!$P$40,'Bonding Program'!$C$8)),'Bonding Program'!$Z$40,0)+IF(AND('Bonding Program'!$P$40&lt;&gt;"",DC$3='Bonding Program'!$P$40,DC$3&lt;='Bonding Program'!$C$8),N('Bonding Program'!$O$40),0)</f>
        <v>0</v>
      </c>
      <c r="DD181" s="19" t="n">
        <f aca="false">IF(AND('Bonding Program'!$S$40=1,'Bonding Program'!$H$40&gt;'Bonding Program'!$C$8,DD$3='Bonding Program'!$H$40),'Bonding Program'!$T$40-'Bonding Program'!$U$40-'Bonding Program'!$Z$40,0)-IF(AND('Bonding Program'!$S$40=1,'Bonding Program'!$H$40&lt;='Bonding Program'!$C$8,DD$3=IF('Bonding Program'!$P$40&lt;&gt;"",'Bonding Program'!$P$40,'Bonding Program'!$C$8)),'Bonding Program'!$Z$40,0)+IF(AND('Bonding Program'!$P$40&lt;&gt;"",DD$3='Bonding Program'!$P$40,DD$3&lt;='Bonding Program'!$C$8),N('Bonding Program'!$O$40),0)</f>
        <v>0</v>
      </c>
      <c r="DE181" s="19" t="n">
        <f aca="false">IF(AND('Bonding Program'!$S$40=1,'Bonding Program'!$H$40&gt;'Bonding Program'!$C$8,DE$3='Bonding Program'!$H$40),'Bonding Program'!$T$40-'Bonding Program'!$U$40-'Bonding Program'!$Z$40,0)-IF(AND('Bonding Program'!$S$40=1,'Bonding Program'!$H$40&lt;='Bonding Program'!$C$8,DE$3=IF('Bonding Program'!$P$40&lt;&gt;"",'Bonding Program'!$P$40,'Bonding Program'!$C$8)),'Bonding Program'!$Z$40,0)+IF(AND('Bonding Program'!$P$40&lt;&gt;"",DE$3='Bonding Program'!$P$40,DE$3&lt;='Bonding Program'!$C$8),N('Bonding Program'!$O$40),0)</f>
        <v>0</v>
      </c>
    </row>
    <row r="182" customFormat="false" ht="15" hidden="false" customHeight="true" outlineLevel="1" collapsed="false">
      <c r="A182" s="28" t="s">
        <v>37</v>
      </c>
      <c r="B182" s="19" t="n">
        <f aca="false">IF(AND('Bonding Program'!$S$41=1,'Bonding Program'!$H$41&gt;'Bonding Program'!$C$8,B$3='Bonding Program'!$H$41),'Bonding Program'!$T$41-'Bonding Program'!$U$41-'Bonding Program'!$Z$41,0)-IF(AND('Bonding Program'!$S$41=1,'Bonding Program'!$H$41&lt;='Bonding Program'!$C$8,B$3=IF('Bonding Program'!$P$41&lt;&gt;"",'Bonding Program'!$P$41,'Bonding Program'!$C$8)),'Bonding Program'!$Z$41,0)+IF(AND('Bonding Program'!$P$41&lt;&gt;"",B$3='Bonding Program'!$P$41,B$3&lt;='Bonding Program'!$C$8),N('Bonding Program'!$O$41),0)</f>
        <v>0</v>
      </c>
      <c r="C182" s="19" t="n">
        <f aca="false">IF(AND('Bonding Program'!$S$41=1,'Bonding Program'!$H$41&gt;'Bonding Program'!$C$8,C$3='Bonding Program'!$H$41),'Bonding Program'!$T$41-'Bonding Program'!$U$41-'Bonding Program'!$Z$41,0)-IF(AND('Bonding Program'!$S$41=1,'Bonding Program'!$H$41&lt;='Bonding Program'!$C$8,C$3=IF('Bonding Program'!$P$41&lt;&gt;"",'Bonding Program'!$P$41,'Bonding Program'!$C$8)),'Bonding Program'!$Z$41,0)+IF(AND('Bonding Program'!$P$41&lt;&gt;"",C$3='Bonding Program'!$P$41,C$3&lt;='Bonding Program'!$C$8),N('Bonding Program'!$O$41),0)</f>
        <v>0</v>
      </c>
      <c r="D182" s="19" t="n">
        <f aca="false">IF(AND('Bonding Program'!$S$41=1,'Bonding Program'!$H$41&gt;'Bonding Program'!$C$8,D$3='Bonding Program'!$H$41),'Bonding Program'!$T$41-'Bonding Program'!$U$41-'Bonding Program'!$Z$41,0)-IF(AND('Bonding Program'!$S$41=1,'Bonding Program'!$H$41&lt;='Bonding Program'!$C$8,D$3=IF('Bonding Program'!$P$41&lt;&gt;"",'Bonding Program'!$P$41,'Bonding Program'!$C$8)),'Bonding Program'!$Z$41,0)+IF(AND('Bonding Program'!$P$41&lt;&gt;"",D$3='Bonding Program'!$P$41,D$3&lt;='Bonding Program'!$C$8),N('Bonding Program'!$O$41),0)</f>
        <v>0</v>
      </c>
      <c r="E182" s="19" t="n">
        <f aca="false">IF(AND('Bonding Program'!$S$41=1,'Bonding Program'!$H$41&gt;'Bonding Program'!$C$8,E$3='Bonding Program'!$H$41),'Bonding Program'!$T$41-'Bonding Program'!$U$41-'Bonding Program'!$Z$41,0)-IF(AND('Bonding Program'!$S$41=1,'Bonding Program'!$H$41&lt;='Bonding Program'!$C$8,E$3=IF('Bonding Program'!$P$41&lt;&gt;"",'Bonding Program'!$P$41,'Bonding Program'!$C$8)),'Bonding Program'!$Z$41,0)+IF(AND('Bonding Program'!$P$41&lt;&gt;"",E$3='Bonding Program'!$P$41,E$3&lt;='Bonding Program'!$C$8),N('Bonding Program'!$O$41),0)</f>
        <v>0</v>
      </c>
      <c r="F182" s="19" t="n">
        <f aca="false">IF(AND('Bonding Program'!$S$41=1,'Bonding Program'!$H$41&gt;'Bonding Program'!$C$8,F$3='Bonding Program'!$H$41),'Bonding Program'!$T$41-'Bonding Program'!$U$41-'Bonding Program'!$Z$41,0)-IF(AND('Bonding Program'!$S$41=1,'Bonding Program'!$H$41&lt;='Bonding Program'!$C$8,F$3=IF('Bonding Program'!$P$41&lt;&gt;"",'Bonding Program'!$P$41,'Bonding Program'!$C$8)),'Bonding Program'!$Z$41,0)+IF(AND('Bonding Program'!$P$41&lt;&gt;"",F$3='Bonding Program'!$P$41,F$3&lt;='Bonding Program'!$C$8),N('Bonding Program'!$O$41),0)</f>
        <v>0</v>
      </c>
      <c r="G182" s="19" t="n">
        <f aca="false">IF(AND('Bonding Program'!$S$41=1,'Bonding Program'!$H$41&gt;'Bonding Program'!$C$8,G$3='Bonding Program'!$H$41),'Bonding Program'!$T$41-'Bonding Program'!$U$41-'Bonding Program'!$Z$41,0)-IF(AND('Bonding Program'!$S$41=1,'Bonding Program'!$H$41&lt;='Bonding Program'!$C$8,G$3=IF('Bonding Program'!$P$41&lt;&gt;"",'Bonding Program'!$P$41,'Bonding Program'!$C$8)),'Bonding Program'!$Z$41,0)+IF(AND('Bonding Program'!$P$41&lt;&gt;"",G$3='Bonding Program'!$P$41,G$3&lt;='Bonding Program'!$C$8),N('Bonding Program'!$O$41),0)</f>
        <v>0</v>
      </c>
      <c r="H182" s="19" t="n">
        <f aca="false">IF(AND('Bonding Program'!$S$41=1,'Bonding Program'!$H$41&gt;'Bonding Program'!$C$8,H$3='Bonding Program'!$H$41),'Bonding Program'!$T$41-'Bonding Program'!$U$41-'Bonding Program'!$Z$41,0)-IF(AND('Bonding Program'!$S$41=1,'Bonding Program'!$H$41&lt;='Bonding Program'!$C$8,H$3=IF('Bonding Program'!$P$41&lt;&gt;"",'Bonding Program'!$P$41,'Bonding Program'!$C$8)),'Bonding Program'!$Z$41,0)+IF(AND('Bonding Program'!$P$41&lt;&gt;"",H$3='Bonding Program'!$P$41,H$3&lt;='Bonding Program'!$C$8),N('Bonding Program'!$O$41),0)</f>
        <v>0</v>
      </c>
      <c r="I182" s="19" t="n">
        <f aca="false">IF(AND('Bonding Program'!$S$41=1,'Bonding Program'!$H$41&gt;'Bonding Program'!$C$8,I$3='Bonding Program'!$H$41),'Bonding Program'!$T$41-'Bonding Program'!$U$41-'Bonding Program'!$Z$41,0)-IF(AND('Bonding Program'!$S$41=1,'Bonding Program'!$H$41&lt;='Bonding Program'!$C$8,I$3=IF('Bonding Program'!$P$41&lt;&gt;"",'Bonding Program'!$P$41,'Bonding Program'!$C$8)),'Bonding Program'!$Z$41,0)+IF(AND('Bonding Program'!$P$41&lt;&gt;"",I$3='Bonding Program'!$P$41,I$3&lt;='Bonding Program'!$C$8),N('Bonding Program'!$O$41),0)</f>
        <v>0</v>
      </c>
      <c r="J182" s="19" t="n">
        <f aca="false">IF(AND('Bonding Program'!$S$41=1,'Bonding Program'!$H$41&gt;'Bonding Program'!$C$8,J$3='Bonding Program'!$H$41),'Bonding Program'!$T$41-'Bonding Program'!$U$41-'Bonding Program'!$Z$41,0)-IF(AND('Bonding Program'!$S$41=1,'Bonding Program'!$H$41&lt;='Bonding Program'!$C$8,J$3=IF('Bonding Program'!$P$41&lt;&gt;"",'Bonding Program'!$P$41,'Bonding Program'!$C$8)),'Bonding Program'!$Z$41,0)+IF(AND('Bonding Program'!$P$41&lt;&gt;"",J$3='Bonding Program'!$P$41,J$3&lt;='Bonding Program'!$C$8),N('Bonding Program'!$O$41),0)</f>
        <v>0</v>
      </c>
      <c r="K182" s="19" t="n">
        <f aca="false">IF(AND('Bonding Program'!$S$41=1,'Bonding Program'!$H$41&gt;'Bonding Program'!$C$8,K$3='Bonding Program'!$H$41),'Bonding Program'!$T$41-'Bonding Program'!$U$41-'Bonding Program'!$Z$41,0)-IF(AND('Bonding Program'!$S$41=1,'Bonding Program'!$H$41&lt;='Bonding Program'!$C$8,K$3=IF('Bonding Program'!$P$41&lt;&gt;"",'Bonding Program'!$P$41,'Bonding Program'!$C$8)),'Bonding Program'!$Z$41,0)+IF(AND('Bonding Program'!$P$41&lt;&gt;"",K$3='Bonding Program'!$P$41,K$3&lt;='Bonding Program'!$C$8),N('Bonding Program'!$O$41),0)</f>
        <v>0</v>
      </c>
      <c r="L182" s="19" t="n">
        <f aca="false">IF(AND('Bonding Program'!$S$41=1,'Bonding Program'!$H$41&gt;'Bonding Program'!$C$8,L$3='Bonding Program'!$H$41),'Bonding Program'!$T$41-'Bonding Program'!$U$41-'Bonding Program'!$Z$41,0)-IF(AND('Bonding Program'!$S$41=1,'Bonding Program'!$H$41&lt;='Bonding Program'!$C$8,L$3=IF('Bonding Program'!$P$41&lt;&gt;"",'Bonding Program'!$P$41,'Bonding Program'!$C$8)),'Bonding Program'!$Z$41,0)+IF(AND('Bonding Program'!$P$41&lt;&gt;"",L$3='Bonding Program'!$P$41,L$3&lt;='Bonding Program'!$C$8),N('Bonding Program'!$O$41),0)</f>
        <v>0</v>
      </c>
      <c r="M182" s="19" t="n">
        <f aca="false">IF(AND('Bonding Program'!$S$41=1,'Bonding Program'!$H$41&gt;'Bonding Program'!$C$8,M$3='Bonding Program'!$H$41),'Bonding Program'!$T$41-'Bonding Program'!$U$41-'Bonding Program'!$Z$41,0)-IF(AND('Bonding Program'!$S$41=1,'Bonding Program'!$H$41&lt;='Bonding Program'!$C$8,M$3=IF('Bonding Program'!$P$41&lt;&gt;"",'Bonding Program'!$P$41,'Bonding Program'!$C$8)),'Bonding Program'!$Z$41,0)+IF(AND('Bonding Program'!$P$41&lt;&gt;"",M$3='Bonding Program'!$P$41,M$3&lt;='Bonding Program'!$C$8),N('Bonding Program'!$O$41),0)</f>
        <v>0</v>
      </c>
      <c r="N182" s="19" t="n">
        <f aca="false">IF(AND('Bonding Program'!$S$41=1,'Bonding Program'!$H$41&gt;'Bonding Program'!$C$8,N$3='Bonding Program'!$H$41),'Bonding Program'!$T$41-'Bonding Program'!$U$41-'Bonding Program'!$Z$41,0)-IF(AND('Bonding Program'!$S$41=1,'Bonding Program'!$H$41&lt;='Bonding Program'!$C$8,N$3=IF('Bonding Program'!$P$41&lt;&gt;"",'Bonding Program'!$P$41,'Bonding Program'!$C$8)),'Bonding Program'!$Z$41,0)+IF(AND('Bonding Program'!$P$41&lt;&gt;"",N$3='Bonding Program'!$P$41,N$3&lt;='Bonding Program'!$C$8),N('Bonding Program'!$O$41),0)</f>
        <v>0</v>
      </c>
      <c r="O182" s="19" t="n">
        <f aca="false">IF(AND('Bonding Program'!$S$41=1,'Bonding Program'!$H$41&gt;'Bonding Program'!$C$8,O$3='Bonding Program'!$H$41),'Bonding Program'!$T$41-'Bonding Program'!$U$41-'Bonding Program'!$Z$41,0)-IF(AND('Bonding Program'!$S$41=1,'Bonding Program'!$H$41&lt;='Bonding Program'!$C$8,O$3=IF('Bonding Program'!$P$41&lt;&gt;"",'Bonding Program'!$P$41,'Bonding Program'!$C$8)),'Bonding Program'!$Z$41,0)+IF(AND('Bonding Program'!$P$41&lt;&gt;"",O$3='Bonding Program'!$P$41,O$3&lt;='Bonding Program'!$C$8),N('Bonding Program'!$O$41),0)</f>
        <v>0</v>
      </c>
      <c r="P182" s="19" t="n">
        <f aca="false">IF(AND('Bonding Program'!$S$41=1,'Bonding Program'!$H$41&gt;'Bonding Program'!$C$8,P$3='Bonding Program'!$H$41),'Bonding Program'!$T$41-'Bonding Program'!$U$41-'Bonding Program'!$Z$41,0)-IF(AND('Bonding Program'!$S$41=1,'Bonding Program'!$H$41&lt;='Bonding Program'!$C$8,P$3=IF('Bonding Program'!$P$41&lt;&gt;"",'Bonding Program'!$P$41,'Bonding Program'!$C$8)),'Bonding Program'!$Z$41,0)+IF(AND('Bonding Program'!$P$41&lt;&gt;"",P$3='Bonding Program'!$P$41,P$3&lt;='Bonding Program'!$C$8),N('Bonding Program'!$O$41),0)</f>
        <v>0</v>
      </c>
      <c r="Q182" s="19" t="n">
        <f aca="false">IF(AND('Bonding Program'!$S$41=1,'Bonding Program'!$H$41&gt;'Bonding Program'!$C$8,Q$3='Bonding Program'!$H$41),'Bonding Program'!$T$41-'Bonding Program'!$U$41-'Bonding Program'!$Z$41,0)-IF(AND('Bonding Program'!$S$41=1,'Bonding Program'!$H$41&lt;='Bonding Program'!$C$8,Q$3=IF('Bonding Program'!$P$41&lt;&gt;"",'Bonding Program'!$P$41,'Bonding Program'!$C$8)),'Bonding Program'!$Z$41,0)+IF(AND('Bonding Program'!$P$41&lt;&gt;"",Q$3='Bonding Program'!$P$41,Q$3&lt;='Bonding Program'!$C$8),N('Bonding Program'!$O$41),0)</f>
        <v>0</v>
      </c>
      <c r="R182" s="19" t="n">
        <f aca="false">IF(AND('Bonding Program'!$S$41=1,'Bonding Program'!$H$41&gt;'Bonding Program'!$C$8,R$3='Bonding Program'!$H$41),'Bonding Program'!$T$41-'Bonding Program'!$U$41-'Bonding Program'!$Z$41,0)-IF(AND('Bonding Program'!$S$41=1,'Bonding Program'!$H$41&lt;='Bonding Program'!$C$8,R$3=IF('Bonding Program'!$P$41&lt;&gt;"",'Bonding Program'!$P$41,'Bonding Program'!$C$8)),'Bonding Program'!$Z$41,0)+IF(AND('Bonding Program'!$P$41&lt;&gt;"",R$3='Bonding Program'!$P$41,R$3&lt;='Bonding Program'!$C$8),N('Bonding Program'!$O$41),0)</f>
        <v>0</v>
      </c>
      <c r="S182" s="19" t="n">
        <f aca="false">IF(AND('Bonding Program'!$S$41=1,'Bonding Program'!$H$41&gt;'Bonding Program'!$C$8,S$3='Bonding Program'!$H$41),'Bonding Program'!$T$41-'Bonding Program'!$U$41-'Bonding Program'!$Z$41,0)-IF(AND('Bonding Program'!$S$41=1,'Bonding Program'!$H$41&lt;='Bonding Program'!$C$8,S$3=IF('Bonding Program'!$P$41&lt;&gt;"",'Bonding Program'!$P$41,'Bonding Program'!$C$8)),'Bonding Program'!$Z$41,0)+IF(AND('Bonding Program'!$P$41&lt;&gt;"",S$3='Bonding Program'!$P$41,S$3&lt;='Bonding Program'!$C$8),N('Bonding Program'!$O$41),0)</f>
        <v>0</v>
      </c>
      <c r="T182" s="19" t="n">
        <f aca="false">IF(AND('Bonding Program'!$S$41=1,'Bonding Program'!$H$41&gt;'Bonding Program'!$C$8,T$3='Bonding Program'!$H$41),'Bonding Program'!$T$41-'Bonding Program'!$U$41-'Bonding Program'!$Z$41,0)-IF(AND('Bonding Program'!$S$41=1,'Bonding Program'!$H$41&lt;='Bonding Program'!$C$8,T$3=IF('Bonding Program'!$P$41&lt;&gt;"",'Bonding Program'!$P$41,'Bonding Program'!$C$8)),'Bonding Program'!$Z$41,0)+IF(AND('Bonding Program'!$P$41&lt;&gt;"",T$3='Bonding Program'!$P$41,T$3&lt;='Bonding Program'!$C$8),N('Bonding Program'!$O$41),0)</f>
        <v>0</v>
      </c>
      <c r="U182" s="19" t="n">
        <f aca="false">IF(AND('Bonding Program'!$S$41=1,'Bonding Program'!$H$41&gt;'Bonding Program'!$C$8,U$3='Bonding Program'!$H$41),'Bonding Program'!$T$41-'Bonding Program'!$U$41-'Bonding Program'!$Z$41,0)-IF(AND('Bonding Program'!$S$41=1,'Bonding Program'!$H$41&lt;='Bonding Program'!$C$8,U$3=IF('Bonding Program'!$P$41&lt;&gt;"",'Bonding Program'!$P$41,'Bonding Program'!$C$8)),'Bonding Program'!$Z$41,0)+IF(AND('Bonding Program'!$P$41&lt;&gt;"",U$3='Bonding Program'!$P$41,U$3&lt;='Bonding Program'!$C$8),N('Bonding Program'!$O$41),0)</f>
        <v>0</v>
      </c>
      <c r="V182" s="19" t="n">
        <f aca="false">IF(AND('Bonding Program'!$S$41=1,'Bonding Program'!$H$41&gt;'Bonding Program'!$C$8,V$3='Bonding Program'!$H$41),'Bonding Program'!$T$41-'Bonding Program'!$U$41-'Bonding Program'!$Z$41,0)-IF(AND('Bonding Program'!$S$41=1,'Bonding Program'!$H$41&lt;='Bonding Program'!$C$8,V$3=IF('Bonding Program'!$P$41&lt;&gt;"",'Bonding Program'!$P$41,'Bonding Program'!$C$8)),'Bonding Program'!$Z$41,0)+IF(AND('Bonding Program'!$P$41&lt;&gt;"",V$3='Bonding Program'!$P$41,V$3&lt;='Bonding Program'!$C$8),N('Bonding Program'!$O$41),0)</f>
        <v>0</v>
      </c>
      <c r="W182" s="19" t="n">
        <f aca="false">IF(AND('Bonding Program'!$S$41=1,'Bonding Program'!$H$41&gt;'Bonding Program'!$C$8,W$3='Bonding Program'!$H$41),'Bonding Program'!$T$41-'Bonding Program'!$U$41-'Bonding Program'!$Z$41,0)-IF(AND('Bonding Program'!$S$41=1,'Bonding Program'!$H$41&lt;='Bonding Program'!$C$8,W$3=IF('Bonding Program'!$P$41&lt;&gt;"",'Bonding Program'!$P$41,'Bonding Program'!$C$8)),'Bonding Program'!$Z$41,0)+IF(AND('Bonding Program'!$P$41&lt;&gt;"",W$3='Bonding Program'!$P$41,W$3&lt;='Bonding Program'!$C$8),N('Bonding Program'!$O$41),0)</f>
        <v>0</v>
      </c>
      <c r="X182" s="19" t="n">
        <f aca="false">IF(AND('Bonding Program'!$S$41=1,'Bonding Program'!$H$41&gt;'Bonding Program'!$C$8,X$3='Bonding Program'!$H$41),'Bonding Program'!$T$41-'Bonding Program'!$U$41-'Bonding Program'!$Z$41,0)-IF(AND('Bonding Program'!$S$41=1,'Bonding Program'!$H$41&lt;='Bonding Program'!$C$8,X$3=IF('Bonding Program'!$P$41&lt;&gt;"",'Bonding Program'!$P$41,'Bonding Program'!$C$8)),'Bonding Program'!$Z$41,0)+IF(AND('Bonding Program'!$P$41&lt;&gt;"",X$3='Bonding Program'!$P$41,X$3&lt;='Bonding Program'!$C$8),N('Bonding Program'!$O$41),0)</f>
        <v>0</v>
      </c>
      <c r="Y182" s="19" t="n">
        <f aca="false">IF(AND('Bonding Program'!$S$41=1,'Bonding Program'!$H$41&gt;'Bonding Program'!$C$8,Y$3='Bonding Program'!$H$41),'Bonding Program'!$T$41-'Bonding Program'!$U$41-'Bonding Program'!$Z$41,0)-IF(AND('Bonding Program'!$S$41=1,'Bonding Program'!$H$41&lt;='Bonding Program'!$C$8,Y$3=IF('Bonding Program'!$P$41&lt;&gt;"",'Bonding Program'!$P$41,'Bonding Program'!$C$8)),'Bonding Program'!$Z$41,0)+IF(AND('Bonding Program'!$P$41&lt;&gt;"",Y$3='Bonding Program'!$P$41,Y$3&lt;='Bonding Program'!$C$8),N('Bonding Program'!$O$41),0)</f>
        <v>0</v>
      </c>
      <c r="Z182" s="19" t="n">
        <f aca="false">IF(AND('Bonding Program'!$S$41=1,'Bonding Program'!$H$41&gt;'Bonding Program'!$C$8,Z$3='Bonding Program'!$H$41),'Bonding Program'!$T$41-'Bonding Program'!$U$41-'Bonding Program'!$Z$41,0)-IF(AND('Bonding Program'!$S$41=1,'Bonding Program'!$H$41&lt;='Bonding Program'!$C$8,Z$3=IF('Bonding Program'!$P$41&lt;&gt;"",'Bonding Program'!$P$41,'Bonding Program'!$C$8)),'Bonding Program'!$Z$41,0)+IF(AND('Bonding Program'!$P$41&lt;&gt;"",Z$3='Bonding Program'!$P$41,Z$3&lt;='Bonding Program'!$C$8),N('Bonding Program'!$O$41),0)</f>
        <v>0</v>
      </c>
      <c r="AA182" s="19" t="n">
        <f aca="false">IF(AND('Bonding Program'!$S$41=1,'Bonding Program'!$H$41&gt;'Bonding Program'!$C$8,AA$3='Bonding Program'!$H$41),'Bonding Program'!$T$41-'Bonding Program'!$U$41-'Bonding Program'!$Z$41,0)-IF(AND('Bonding Program'!$S$41=1,'Bonding Program'!$H$41&lt;='Bonding Program'!$C$8,AA$3=IF('Bonding Program'!$P$41&lt;&gt;"",'Bonding Program'!$P$41,'Bonding Program'!$C$8)),'Bonding Program'!$Z$41,0)+IF(AND('Bonding Program'!$P$41&lt;&gt;"",AA$3='Bonding Program'!$P$41,AA$3&lt;='Bonding Program'!$C$8),N('Bonding Program'!$O$41),0)</f>
        <v>0</v>
      </c>
      <c r="AB182" s="19" t="n">
        <f aca="false">IF(AND('Bonding Program'!$S$41=1,'Bonding Program'!$H$41&gt;'Bonding Program'!$C$8,AB$3='Bonding Program'!$H$41),'Bonding Program'!$T$41-'Bonding Program'!$U$41-'Bonding Program'!$Z$41,0)-IF(AND('Bonding Program'!$S$41=1,'Bonding Program'!$H$41&lt;='Bonding Program'!$C$8,AB$3=IF('Bonding Program'!$P$41&lt;&gt;"",'Bonding Program'!$P$41,'Bonding Program'!$C$8)),'Bonding Program'!$Z$41,0)+IF(AND('Bonding Program'!$P$41&lt;&gt;"",AB$3='Bonding Program'!$P$41,AB$3&lt;='Bonding Program'!$C$8),N('Bonding Program'!$O$41),0)</f>
        <v>0</v>
      </c>
      <c r="AC182" s="19" t="n">
        <f aca="false">IF(AND('Bonding Program'!$S$41=1,'Bonding Program'!$H$41&gt;'Bonding Program'!$C$8,AC$3='Bonding Program'!$H$41),'Bonding Program'!$T$41-'Bonding Program'!$U$41-'Bonding Program'!$Z$41,0)-IF(AND('Bonding Program'!$S$41=1,'Bonding Program'!$H$41&lt;='Bonding Program'!$C$8,AC$3=IF('Bonding Program'!$P$41&lt;&gt;"",'Bonding Program'!$P$41,'Bonding Program'!$C$8)),'Bonding Program'!$Z$41,0)+IF(AND('Bonding Program'!$P$41&lt;&gt;"",AC$3='Bonding Program'!$P$41,AC$3&lt;='Bonding Program'!$C$8),N('Bonding Program'!$O$41),0)</f>
        <v>0</v>
      </c>
      <c r="AD182" s="19" t="n">
        <f aca="false">IF(AND('Bonding Program'!$S$41=1,'Bonding Program'!$H$41&gt;'Bonding Program'!$C$8,AD$3='Bonding Program'!$H$41),'Bonding Program'!$T$41-'Bonding Program'!$U$41-'Bonding Program'!$Z$41,0)-IF(AND('Bonding Program'!$S$41=1,'Bonding Program'!$H$41&lt;='Bonding Program'!$C$8,AD$3=IF('Bonding Program'!$P$41&lt;&gt;"",'Bonding Program'!$P$41,'Bonding Program'!$C$8)),'Bonding Program'!$Z$41,0)+IF(AND('Bonding Program'!$P$41&lt;&gt;"",AD$3='Bonding Program'!$P$41,AD$3&lt;='Bonding Program'!$C$8),N('Bonding Program'!$O$41),0)</f>
        <v>0</v>
      </c>
      <c r="AE182" s="19" t="n">
        <f aca="false">IF(AND('Bonding Program'!$S$41=1,'Bonding Program'!$H$41&gt;'Bonding Program'!$C$8,AE$3='Bonding Program'!$H$41),'Bonding Program'!$T$41-'Bonding Program'!$U$41-'Bonding Program'!$Z$41,0)-IF(AND('Bonding Program'!$S$41=1,'Bonding Program'!$H$41&lt;='Bonding Program'!$C$8,AE$3=IF('Bonding Program'!$P$41&lt;&gt;"",'Bonding Program'!$P$41,'Bonding Program'!$C$8)),'Bonding Program'!$Z$41,0)+IF(AND('Bonding Program'!$P$41&lt;&gt;"",AE$3='Bonding Program'!$P$41,AE$3&lt;='Bonding Program'!$C$8),N('Bonding Program'!$O$41),0)</f>
        <v>0</v>
      </c>
      <c r="AF182" s="19" t="n">
        <f aca="false">IF(AND('Bonding Program'!$S$41=1,'Bonding Program'!$H$41&gt;'Bonding Program'!$C$8,AF$3='Bonding Program'!$H$41),'Bonding Program'!$T$41-'Bonding Program'!$U$41-'Bonding Program'!$Z$41,0)-IF(AND('Bonding Program'!$S$41=1,'Bonding Program'!$H$41&lt;='Bonding Program'!$C$8,AF$3=IF('Bonding Program'!$P$41&lt;&gt;"",'Bonding Program'!$P$41,'Bonding Program'!$C$8)),'Bonding Program'!$Z$41,0)+IF(AND('Bonding Program'!$P$41&lt;&gt;"",AF$3='Bonding Program'!$P$41,AF$3&lt;='Bonding Program'!$C$8),N('Bonding Program'!$O$41),0)</f>
        <v>0</v>
      </c>
      <c r="AG182" s="19" t="n">
        <f aca="false">IF(AND('Bonding Program'!$S$41=1,'Bonding Program'!$H$41&gt;'Bonding Program'!$C$8,AG$3='Bonding Program'!$H$41),'Bonding Program'!$T$41-'Bonding Program'!$U$41-'Bonding Program'!$Z$41,0)-IF(AND('Bonding Program'!$S$41=1,'Bonding Program'!$H$41&lt;='Bonding Program'!$C$8,AG$3=IF('Bonding Program'!$P$41&lt;&gt;"",'Bonding Program'!$P$41,'Bonding Program'!$C$8)),'Bonding Program'!$Z$41,0)+IF(AND('Bonding Program'!$P$41&lt;&gt;"",AG$3='Bonding Program'!$P$41,AG$3&lt;='Bonding Program'!$C$8),N('Bonding Program'!$O$41),0)</f>
        <v>0</v>
      </c>
      <c r="AH182" s="19" t="n">
        <f aca="false">IF(AND('Bonding Program'!$S$41=1,'Bonding Program'!$H$41&gt;'Bonding Program'!$C$8,AH$3='Bonding Program'!$H$41),'Bonding Program'!$T$41-'Bonding Program'!$U$41-'Bonding Program'!$Z$41,0)-IF(AND('Bonding Program'!$S$41=1,'Bonding Program'!$H$41&lt;='Bonding Program'!$C$8,AH$3=IF('Bonding Program'!$P$41&lt;&gt;"",'Bonding Program'!$P$41,'Bonding Program'!$C$8)),'Bonding Program'!$Z$41,0)+IF(AND('Bonding Program'!$P$41&lt;&gt;"",AH$3='Bonding Program'!$P$41,AH$3&lt;='Bonding Program'!$C$8),N('Bonding Program'!$O$41),0)</f>
        <v>0</v>
      </c>
      <c r="AI182" s="19" t="n">
        <f aca="false">IF(AND('Bonding Program'!$S$41=1,'Bonding Program'!$H$41&gt;'Bonding Program'!$C$8,AI$3='Bonding Program'!$H$41),'Bonding Program'!$T$41-'Bonding Program'!$U$41-'Bonding Program'!$Z$41,0)-IF(AND('Bonding Program'!$S$41=1,'Bonding Program'!$H$41&lt;='Bonding Program'!$C$8,AI$3=IF('Bonding Program'!$P$41&lt;&gt;"",'Bonding Program'!$P$41,'Bonding Program'!$C$8)),'Bonding Program'!$Z$41,0)+IF(AND('Bonding Program'!$P$41&lt;&gt;"",AI$3='Bonding Program'!$P$41,AI$3&lt;='Bonding Program'!$C$8),N('Bonding Program'!$O$41),0)</f>
        <v>0</v>
      </c>
      <c r="AJ182" s="19" t="n">
        <f aca="false">IF(AND('Bonding Program'!$S$41=1,'Bonding Program'!$H$41&gt;'Bonding Program'!$C$8,AJ$3='Bonding Program'!$H$41),'Bonding Program'!$T$41-'Bonding Program'!$U$41-'Bonding Program'!$Z$41,0)-IF(AND('Bonding Program'!$S$41=1,'Bonding Program'!$H$41&lt;='Bonding Program'!$C$8,AJ$3=IF('Bonding Program'!$P$41&lt;&gt;"",'Bonding Program'!$P$41,'Bonding Program'!$C$8)),'Bonding Program'!$Z$41,0)+IF(AND('Bonding Program'!$P$41&lt;&gt;"",AJ$3='Bonding Program'!$P$41,AJ$3&lt;='Bonding Program'!$C$8),N('Bonding Program'!$O$41),0)</f>
        <v>0</v>
      </c>
      <c r="AK182" s="19" t="n">
        <f aca="false">IF(AND('Bonding Program'!$S$41=1,'Bonding Program'!$H$41&gt;'Bonding Program'!$C$8,AK$3='Bonding Program'!$H$41),'Bonding Program'!$T$41-'Bonding Program'!$U$41-'Bonding Program'!$Z$41,0)-IF(AND('Bonding Program'!$S$41=1,'Bonding Program'!$H$41&lt;='Bonding Program'!$C$8,AK$3=IF('Bonding Program'!$P$41&lt;&gt;"",'Bonding Program'!$P$41,'Bonding Program'!$C$8)),'Bonding Program'!$Z$41,0)+IF(AND('Bonding Program'!$P$41&lt;&gt;"",AK$3='Bonding Program'!$P$41,AK$3&lt;='Bonding Program'!$C$8),N('Bonding Program'!$O$41),0)</f>
        <v>0</v>
      </c>
      <c r="AL182" s="19" t="n">
        <f aca="false">IF(AND('Bonding Program'!$S$41=1,'Bonding Program'!$H$41&gt;'Bonding Program'!$C$8,AL$3='Bonding Program'!$H$41),'Bonding Program'!$T$41-'Bonding Program'!$U$41-'Bonding Program'!$Z$41,0)-IF(AND('Bonding Program'!$S$41=1,'Bonding Program'!$H$41&lt;='Bonding Program'!$C$8,AL$3=IF('Bonding Program'!$P$41&lt;&gt;"",'Bonding Program'!$P$41,'Bonding Program'!$C$8)),'Bonding Program'!$Z$41,0)+IF(AND('Bonding Program'!$P$41&lt;&gt;"",AL$3='Bonding Program'!$P$41,AL$3&lt;='Bonding Program'!$C$8),N('Bonding Program'!$O$41),0)</f>
        <v>0</v>
      </c>
      <c r="AM182" s="19" t="n">
        <f aca="false">IF(AND('Bonding Program'!$S$41=1,'Bonding Program'!$H$41&gt;'Bonding Program'!$C$8,AM$3='Bonding Program'!$H$41),'Bonding Program'!$T$41-'Bonding Program'!$U$41-'Bonding Program'!$Z$41,0)-IF(AND('Bonding Program'!$S$41=1,'Bonding Program'!$H$41&lt;='Bonding Program'!$C$8,AM$3=IF('Bonding Program'!$P$41&lt;&gt;"",'Bonding Program'!$P$41,'Bonding Program'!$C$8)),'Bonding Program'!$Z$41,0)+IF(AND('Bonding Program'!$P$41&lt;&gt;"",AM$3='Bonding Program'!$P$41,AM$3&lt;='Bonding Program'!$C$8),N('Bonding Program'!$O$41),0)</f>
        <v>0</v>
      </c>
      <c r="AN182" s="19" t="n">
        <f aca="false">IF(AND('Bonding Program'!$S$41=1,'Bonding Program'!$H$41&gt;'Bonding Program'!$C$8,AN$3='Bonding Program'!$H$41),'Bonding Program'!$T$41-'Bonding Program'!$U$41-'Bonding Program'!$Z$41,0)-IF(AND('Bonding Program'!$S$41=1,'Bonding Program'!$H$41&lt;='Bonding Program'!$C$8,AN$3=IF('Bonding Program'!$P$41&lt;&gt;"",'Bonding Program'!$P$41,'Bonding Program'!$C$8)),'Bonding Program'!$Z$41,0)+IF(AND('Bonding Program'!$P$41&lt;&gt;"",AN$3='Bonding Program'!$P$41,AN$3&lt;='Bonding Program'!$C$8),N('Bonding Program'!$O$41),0)</f>
        <v>0</v>
      </c>
      <c r="AO182" s="19" t="n">
        <f aca="false">IF(AND('Bonding Program'!$S$41=1,'Bonding Program'!$H$41&gt;'Bonding Program'!$C$8,AO$3='Bonding Program'!$H$41),'Bonding Program'!$T$41-'Bonding Program'!$U$41-'Bonding Program'!$Z$41,0)-IF(AND('Bonding Program'!$S$41=1,'Bonding Program'!$H$41&lt;='Bonding Program'!$C$8,AO$3=IF('Bonding Program'!$P$41&lt;&gt;"",'Bonding Program'!$P$41,'Bonding Program'!$C$8)),'Bonding Program'!$Z$41,0)+IF(AND('Bonding Program'!$P$41&lt;&gt;"",AO$3='Bonding Program'!$P$41,AO$3&lt;='Bonding Program'!$C$8),N('Bonding Program'!$O$41),0)</f>
        <v>0</v>
      </c>
      <c r="AP182" s="19" t="n">
        <f aca="false">IF(AND('Bonding Program'!$S$41=1,'Bonding Program'!$H$41&gt;'Bonding Program'!$C$8,AP$3='Bonding Program'!$H$41),'Bonding Program'!$T$41-'Bonding Program'!$U$41-'Bonding Program'!$Z$41,0)-IF(AND('Bonding Program'!$S$41=1,'Bonding Program'!$H$41&lt;='Bonding Program'!$C$8,AP$3=IF('Bonding Program'!$P$41&lt;&gt;"",'Bonding Program'!$P$41,'Bonding Program'!$C$8)),'Bonding Program'!$Z$41,0)+IF(AND('Bonding Program'!$P$41&lt;&gt;"",AP$3='Bonding Program'!$P$41,AP$3&lt;='Bonding Program'!$C$8),N('Bonding Program'!$O$41),0)</f>
        <v>0</v>
      </c>
      <c r="AQ182" s="19" t="n">
        <f aca="false">IF(AND('Bonding Program'!$S$41=1,'Bonding Program'!$H$41&gt;'Bonding Program'!$C$8,AQ$3='Bonding Program'!$H$41),'Bonding Program'!$T$41-'Bonding Program'!$U$41-'Bonding Program'!$Z$41,0)-IF(AND('Bonding Program'!$S$41=1,'Bonding Program'!$H$41&lt;='Bonding Program'!$C$8,AQ$3=IF('Bonding Program'!$P$41&lt;&gt;"",'Bonding Program'!$P$41,'Bonding Program'!$C$8)),'Bonding Program'!$Z$41,0)+IF(AND('Bonding Program'!$P$41&lt;&gt;"",AQ$3='Bonding Program'!$P$41,AQ$3&lt;='Bonding Program'!$C$8),N('Bonding Program'!$O$41),0)</f>
        <v>0</v>
      </c>
      <c r="AR182" s="19" t="n">
        <f aca="false">IF(AND('Bonding Program'!$S$41=1,'Bonding Program'!$H$41&gt;'Bonding Program'!$C$8,AR$3='Bonding Program'!$H$41),'Bonding Program'!$T$41-'Bonding Program'!$U$41-'Bonding Program'!$Z$41,0)-IF(AND('Bonding Program'!$S$41=1,'Bonding Program'!$H$41&lt;='Bonding Program'!$C$8,AR$3=IF('Bonding Program'!$P$41&lt;&gt;"",'Bonding Program'!$P$41,'Bonding Program'!$C$8)),'Bonding Program'!$Z$41,0)+IF(AND('Bonding Program'!$P$41&lt;&gt;"",AR$3='Bonding Program'!$P$41,AR$3&lt;='Bonding Program'!$C$8),N('Bonding Program'!$O$41),0)</f>
        <v>0</v>
      </c>
      <c r="AS182" s="19" t="n">
        <f aca="false">IF(AND('Bonding Program'!$S$41=1,'Bonding Program'!$H$41&gt;'Bonding Program'!$C$8,AS$3='Bonding Program'!$H$41),'Bonding Program'!$T$41-'Bonding Program'!$U$41-'Bonding Program'!$Z$41,0)-IF(AND('Bonding Program'!$S$41=1,'Bonding Program'!$H$41&lt;='Bonding Program'!$C$8,AS$3=IF('Bonding Program'!$P$41&lt;&gt;"",'Bonding Program'!$P$41,'Bonding Program'!$C$8)),'Bonding Program'!$Z$41,0)+IF(AND('Bonding Program'!$P$41&lt;&gt;"",AS$3='Bonding Program'!$P$41,AS$3&lt;='Bonding Program'!$C$8),N('Bonding Program'!$O$41),0)</f>
        <v>0</v>
      </c>
      <c r="AT182" s="19" t="n">
        <f aca="false">IF(AND('Bonding Program'!$S$41=1,'Bonding Program'!$H$41&gt;'Bonding Program'!$C$8,AT$3='Bonding Program'!$H$41),'Bonding Program'!$T$41-'Bonding Program'!$U$41-'Bonding Program'!$Z$41,0)-IF(AND('Bonding Program'!$S$41=1,'Bonding Program'!$H$41&lt;='Bonding Program'!$C$8,AT$3=IF('Bonding Program'!$P$41&lt;&gt;"",'Bonding Program'!$P$41,'Bonding Program'!$C$8)),'Bonding Program'!$Z$41,0)+IF(AND('Bonding Program'!$P$41&lt;&gt;"",AT$3='Bonding Program'!$P$41,AT$3&lt;='Bonding Program'!$C$8),N('Bonding Program'!$O$41),0)</f>
        <v>0</v>
      </c>
      <c r="AU182" s="19" t="n">
        <f aca="false">IF(AND('Bonding Program'!$S$41=1,'Bonding Program'!$H$41&gt;'Bonding Program'!$C$8,AU$3='Bonding Program'!$H$41),'Bonding Program'!$T$41-'Bonding Program'!$U$41-'Bonding Program'!$Z$41,0)-IF(AND('Bonding Program'!$S$41=1,'Bonding Program'!$H$41&lt;='Bonding Program'!$C$8,AU$3=IF('Bonding Program'!$P$41&lt;&gt;"",'Bonding Program'!$P$41,'Bonding Program'!$C$8)),'Bonding Program'!$Z$41,0)+IF(AND('Bonding Program'!$P$41&lt;&gt;"",AU$3='Bonding Program'!$P$41,AU$3&lt;='Bonding Program'!$C$8),N('Bonding Program'!$O$41),0)</f>
        <v>0</v>
      </c>
      <c r="AV182" s="19" t="n">
        <f aca="false">IF(AND('Bonding Program'!$S$41=1,'Bonding Program'!$H$41&gt;'Bonding Program'!$C$8,AV$3='Bonding Program'!$H$41),'Bonding Program'!$T$41-'Bonding Program'!$U$41-'Bonding Program'!$Z$41,0)-IF(AND('Bonding Program'!$S$41=1,'Bonding Program'!$H$41&lt;='Bonding Program'!$C$8,AV$3=IF('Bonding Program'!$P$41&lt;&gt;"",'Bonding Program'!$P$41,'Bonding Program'!$C$8)),'Bonding Program'!$Z$41,0)+IF(AND('Bonding Program'!$P$41&lt;&gt;"",AV$3='Bonding Program'!$P$41,AV$3&lt;='Bonding Program'!$C$8),N('Bonding Program'!$O$41),0)</f>
        <v>0</v>
      </c>
      <c r="AW182" s="19" t="n">
        <f aca="false">IF(AND('Bonding Program'!$S$41=1,'Bonding Program'!$H$41&gt;'Bonding Program'!$C$8,AW$3='Bonding Program'!$H$41),'Bonding Program'!$T$41-'Bonding Program'!$U$41-'Bonding Program'!$Z$41,0)-IF(AND('Bonding Program'!$S$41=1,'Bonding Program'!$H$41&lt;='Bonding Program'!$C$8,AW$3=IF('Bonding Program'!$P$41&lt;&gt;"",'Bonding Program'!$P$41,'Bonding Program'!$C$8)),'Bonding Program'!$Z$41,0)+IF(AND('Bonding Program'!$P$41&lt;&gt;"",AW$3='Bonding Program'!$P$41,AW$3&lt;='Bonding Program'!$C$8),N('Bonding Program'!$O$41),0)</f>
        <v>0</v>
      </c>
      <c r="AX182" s="19" t="n">
        <f aca="false">IF(AND('Bonding Program'!$S$41=1,'Bonding Program'!$H$41&gt;'Bonding Program'!$C$8,AX$3='Bonding Program'!$H$41),'Bonding Program'!$T$41-'Bonding Program'!$U$41-'Bonding Program'!$Z$41,0)-IF(AND('Bonding Program'!$S$41=1,'Bonding Program'!$H$41&lt;='Bonding Program'!$C$8,AX$3=IF('Bonding Program'!$P$41&lt;&gt;"",'Bonding Program'!$P$41,'Bonding Program'!$C$8)),'Bonding Program'!$Z$41,0)+IF(AND('Bonding Program'!$P$41&lt;&gt;"",AX$3='Bonding Program'!$P$41,AX$3&lt;='Bonding Program'!$C$8),N('Bonding Program'!$O$41),0)</f>
        <v>0</v>
      </c>
      <c r="AY182" s="19" t="n">
        <f aca="false">IF(AND('Bonding Program'!$S$41=1,'Bonding Program'!$H$41&gt;'Bonding Program'!$C$8,AY$3='Bonding Program'!$H$41),'Bonding Program'!$T$41-'Bonding Program'!$U$41-'Bonding Program'!$Z$41,0)-IF(AND('Bonding Program'!$S$41=1,'Bonding Program'!$H$41&lt;='Bonding Program'!$C$8,AY$3=IF('Bonding Program'!$P$41&lt;&gt;"",'Bonding Program'!$P$41,'Bonding Program'!$C$8)),'Bonding Program'!$Z$41,0)+IF(AND('Bonding Program'!$P$41&lt;&gt;"",AY$3='Bonding Program'!$P$41,AY$3&lt;='Bonding Program'!$C$8),N('Bonding Program'!$O$41),0)</f>
        <v>0</v>
      </c>
      <c r="AZ182" s="19" t="n">
        <f aca="false">IF(AND('Bonding Program'!$S$41=1,'Bonding Program'!$H$41&gt;'Bonding Program'!$C$8,AZ$3='Bonding Program'!$H$41),'Bonding Program'!$T$41-'Bonding Program'!$U$41-'Bonding Program'!$Z$41,0)-IF(AND('Bonding Program'!$S$41=1,'Bonding Program'!$H$41&lt;='Bonding Program'!$C$8,AZ$3=IF('Bonding Program'!$P$41&lt;&gt;"",'Bonding Program'!$P$41,'Bonding Program'!$C$8)),'Bonding Program'!$Z$41,0)+IF(AND('Bonding Program'!$P$41&lt;&gt;"",AZ$3='Bonding Program'!$P$41,AZ$3&lt;='Bonding Program'!$C$8),N('Bonding Program'!$O$41),0)</f>
        <v>0</v>
      </c>
      <c r="BA182" s="19" t="n">
        <f aca="false">IF(AND('Bonding Program'!$S$41=1,'Bonding Program'!$H$41&gt;'Bonding Program'!$C$8,BA$3='Bonding Program'!$H$41),'Bonding Program'!$T$41-'Bonding Program'!$U$41-'Bonding Program'!$Z$41,0)-IF(AND('Bonding Program'!$S$41=1,'Bonding Program'!$H$41&lt;='Bonding Program'!$C$8,BA$3=IF('Bonding Program'!$P$41&lt;&gt;"",'Bonding Program'!$P$41,'Bonding Program'!$C$8)),'Bonding Program'!$Z$41,0)+IF(AND('Bonding Program'!$P$41&lt;&gt;"",BA$3='Bonding Program'!$P$41,BA$3&lt;='Bonding Program'!$C$8),N('Bonding Program'!$O$41),0)</f>
        <v>0</v>
      </c>
      <c r="BB182" s="19" t="n">
        <f aca="false">IF(AND('Bonding Program'!$S$41=1,'Bonding Program'!$H$41&gt;'Bonding Program'!$C$8,BB$3='Bonding Program'!$H$41),'Bonding Program'!$T$41-'Bonding Program'!$U$41-'Bonding Program'!$Z$41,0)-IF(AND('Bonding Program'!$S$41=1,'Bonding Program'!$H$41&lt;='Bonding Program'!$C$8,BB$3=IF('Bonding Program'!$P$41&lt;&gt;"",'Bonding Program'!$P$41,'Bonding Program'!$C$8)),'Bonding Program'!$Z$41,0)+IF(AND('Bonding Program'!$P$41&lt;&gt;"",BB$3='Bonding Program'!$P$41,BB$3&lt;='Bonding Program'!$C$8),N('Bonding Program'!$O$41),0)</f>
        <v>0</v>
      </c>
      <c r="BC182" s="19" t="n">
        <f aca="false">IF(AND('Bonding Program'!$S$41=1,'Bonding Program'!$H$41&gt;'Bonding Program'!$C$8,BC$3='Bonding Program'!$H$41),'Bonding Program'!$T$41-'Bonding Program'!$U$41-'Bonding Program'!$Z$41,0)-IF(AND('Bonding Program'!$S$41=1,'Bonding Program'!$H$41&lt;='Bonding Program'!$C$8,BC$3=IF('Bonding Program'!$P$41&lt;&gt;"",'Bonding Program'!$P$41,'Bonding Program'!$C$8)),'Bonding Program'!$Z$41,0)+IF(AND('Bonding Program'!$P$41&lt;&gt;"",BC$3='Bonding Program'!$P$41,BC$3&lt;='Bonding Program'!$C$8),N('Bonding Program'!$O$41),0)</f>
        <v>0</v>
      </c>
      <c r="BD182" s="19" t="n">
        <f aca="false">IF(AND('Bonding Program'!$S$41=1,'Bonding Program'!$H$41&gt;'Bonding Program'!$C$8,BD$3='Bonding Program'!$H$41),'Bonding Program'!$T$41-'Bonding Program'!$U$41-'Bonding Program'!$Z$41,0)-IF(AND('Bonding Program'!$S$41=1,'Bonding Program'!$H$41&lt;='Bonding Program'!$C$8,BD$3=IF('Bonding Program'!$P$41&lt;&gt;"",'Bonding Program'!$P$41,'Bonding Program'!$C$8)),'Bonding Program'!$Z$41,0)+IF(AND('Bonding Program'!$P$41&lt;&gt;"",BD$3='Bonding Program'!$P$41,BD$3&lt;='Bonding Program'!$C$8),N('Bonding Program'!$O$41),0)</f>
        <v>0</v>
      </c>
      <c r="BE182" s="19" t="n">
        <f aca="false">IF(AND('Bonding Program'!$S$41=1,'Bonding Program'!$H$41&gt;'Bonding Program'!$C$8,BE$3='Bonding Program'!$H$41),'Bonding Program'!$T$41-'Bonding Program'!$U$41-'Bonding Program'!$Z$41,0)-IF(AND('Bonding Program'!$S$41=1,'Bonding Program'!$H$41&lt;='Bonding Program'!$C$8,BE$3=IF('Bonding Program'!$P$41&lt;&gt;"",'Bonding Program'!$P$41,'Bonding Program'!$C$8)),'Bonding Program'!$Z$41,0)+IF(AND('Bonding Program'!$P$41&lt;&gt;"",BE$3='Bonding Program'!$P$41,BE$3&lt;='Bonding Program'!$C$8),N('Bonding Program'!$O$41),0)</f>
        <v>0</v>
      </c>
      <c r="BF182" s="19" t="n">
        <f aca="false">IF(AND('Bonding Program'!$S$41=1,'Bonding Program'!$H$41&gt;'Bonding Program'!$C$8,BF$3='Bonding Program'!$H$41),'Bonding Program'!$T$41-'Bonding Program'!$U$41-'Bonding Program'!$Z$41,0)-IF(AND('Bonding Program'!$S$41=1,'Bonding Program'!$H$41&lt;='Bonding Program'!$C$8,BF$3=IF('Bonding Program'!$P$41&lt;&gt;"",'Bonding Program'!$P$41,'Bonding Program'!$C$8)),'Bonding Program'!$Z$41,0)+IF(AND('Bonding Program'!$P$41&lt;&gt;"",BF$3='Bonding Program'!$P$41,BF$3&lt;='Bonding Program'!$C$8),N('Bonding Program'!$O$41),0)</f>
        <v>0</v>
      </c>
      <c r="BG182" s="19" t="n">
        <f aca="false">IF(AND('Bonding Program'!$S$41=1,'Bonding Program'!$H$41&gt;'Bonding Program'!$C$8,BG$3='Bonding Program'!$H$41),'Bonding Program'!$T$41-'Bonding Program'!$U$41-'Bonding Program'!$Z$41,0)-IF(AND('Bonding Program'!$S$41=1,'Bonding Program'!$H$41&lt;='Bonding Program'!$C$8,BG$3=IF('Bonding Program'!$P$41&lt;&gt;"",'Bonding Program'!$P$41,'Bonding Program'!$C$8)),'Bonding Program'!$Z$41,0)+IF(AND('Bonding Program'!$P$41&lt;&gt;"",BG$3='Bonding Program'!$P$41,BG$3&lt;='Bonding Program'!$C$8),N('Bonding Program'!$O$41),0)</f>
        <v>0</v>
      </c>
      <c r="BH182" s="19" t="n">
        <f aca="false">IF(AND('Bonding Program'!$S$41=1,'Bonding Program'!$H$41&gt;'Bonding Program'!$C$8,BH$3='Bonding Program'!$H$41),'Bonding Program'!$T$41-'Bonding Program'!$U$41-'Bonding Program'!$Z$41,0)-IF(AND('Bonding Program'!$S$41=1,'Bonding Program'!$H$41&lt;='Bonding Program'!$C$8,BH$3=IF('Bonding Program'!$P$41&lt;&gt;"",'Bonding Program'!$P$41,'Bonding Program'!$C$8)),'Bonding Program'!$Z$41,0)+IF(AND('Bonding Program'!$P$41&lt;&gt;"",BH$3='Bonding Program'!$P$41,BH$3&lt;='Bonding Program'!$C$8),N('Bonding Program'!$O$41),0)</f>
        <v>0</v>
      </c>
      <c r="BI182" s="19" t="n">
        <f aca="false">IF(AND('Bonding Program'!$S$41=1,'Bonding Program'!$H$41&gt;'Bonding Program'!$C$8,BI$3='Bonding Program'!$H$41),'Bonding Program'!$T$41-'Bonding Program'!$U$41-'Bonding Program'!$Z$41,0)-IF(AND('Bonding Program'!$S$41=1,'Bonding Program'!$H$41&lt;='Bonding Program'!$C$8,BI$3=IF('Bonding Program'!$P$41&lt;&gt;"",'Bonding Program'!$P$41,'Bonding Program'!$C$8)),'Bonding Program'!$Z$41,0)+IF(AND('Bonding Program'!$P$41&lt;&gt;"",BI$3='Bonding Program'!$P$41,BI$3&lt;='Bonding Program'!$C$8),N('Bonding Program'!$O$41),0)</f>
        <v>0</v>
      </c>
      <c r="BJ182" s="19" t="n">
        <f aca="false">IF(AND('Bonding Program'!$S$41=1,'Bonding Program'!$H$41&gt;'Bonding Program'!$C$8,BJ$3='Bonding Program'!$H$41),'Bonding Program'!$T$41-'Bonding Program'!$U$41-'Bonding Program'!$Z$41,0)-IF(AND('Bonding Program'!$S$41=1,'Bonding Program'!$H$41&lt;='Bonding Program'!$C$8,BJ$3=IF('Bonding Program'!$P$41&lt;&gt;"",'Bonding Program'!$P$41,'Bonding Program'!$C$8)),'Bonding Program'!$Z$41,0)+IF(AND('Bonding Program'!$P$41&lt;&gt;"",BJ$3='Bonding Program'!$P$41,BJ$3&lt;='Bonding Program'!$C$8),N('Bonding Program'!$O$41),0)</f>
        <v>0</v>
      </c>
      <c r="BK182" s="19" t="n">
        <f aca="false">IF(AND('Bonding Program'!$S$41=1,'Bonding Program'!$H$41&gt;'Bonding Program'!$C$8,BK$3='Bonding Program'!$H$41),'Bonding Program'!$T$41-'Bonding Program'!$U$41-'Bonding Program'!$Z$41,0)-IF(AND('Bonding Program'!$S$41=1,'Bonding Program'!$H$41&lt;='Bonding Program'!$C$8,BK$3=IF('Bonding Program'!$P$41&lt;&gt;"",'Bonding Program'!$P$41,'Bonding Program'!$C$8)),'Bonding Program'!$Z$41,0)+IF(AND('Bonding Program'!$P$41&lt;&gt;"",BK$3='Bonding Program'!$P$41,BK$3&lt;='Bonding Program'!$C$8),N('Bonding Program'!$O$41),0)</f>
        <v>0</v>
      </c>
      <c r="BL182" s="19" t="n">
        <f aca="false">IF(AND('Bonding Program'!$S$41=1,'Bonding Program'!$H$41&gt;'Bonding Program'!$C$8,BL$3='Bonding Program'!$H$41),'Bonding Program'!$T$41-'Bonding Program'!$U$41-'Bonding Program'!$Z$41,0)-IF(AND('Bonding Program'!$S$41=1,'Bonding Program'!$H$41&lt;='Bonding Program'!$C$8,BL$3=IF('Bonding Program'!$P$41&lt;&gt;"",'Bonding Program'!$P$41,'Bonding Program'!$C$8)),'Bonding Program'!$Z$41,0)+IF(AND('Bonding Program'!$P$41&lt;&gt;"",BL$3='Bonding Program'!$P$41,BL$3&lt;='Bonding Program'!$C$8),N('Bonding Program'!$O$41),0)</f>
        <v>0</v>
      </c>
      <c r="BM182" s="19" t="n">
        <f aca="false">IF(AND('Bonding Program'!$S$41=1,'Bonding Program'!$H$41&gt;'Bonding Program'!$C$8,BM$3='Bonding Program'!$H$41),'Bonding Program'!$T$41-'Bonding Program'!$U$41-'Bonding Program'!$Z$41,0)-IF(AND('Bonding Program'!$S$41=1,'Bonding Program'!$H$41&lt;='Bonding Program'!$C$8,BM$3=IF('Bonding Program'!$P$41&lt;&gt;"",'Bonding Program'!$P$41,'Bonding Program'!$C$8)),'Bonding Program'!$Z$41,0)+IF(AND('Bonding Program'!$P$41&lt;&gt;"",BM$3='Bonding Program'!$P$41,BM$3&lt;='Bonding Program'!$C$8),N('Bonding Program'!$O$41),0)</f>
        <v>0</v>
      </c>
      <c r="BN182" s="19" t="n">
        <f aca="false">IF(AND('Bonding Program'!$S$41=1,'Bonding Program'!$H$41&gt;'Bonding Program'!$C$8,BN$3='Bonding Program'!$H$41),'Bonding Program'!$T$41-'Bonding Program'!$U$41-'Bonding Program'!$Z$41,0)-IF(AND('Bonding Program'!$S$41=1,'Bonding Program'!$H$41&lt;='Bonding Program'!$C$8,BN$3=IF('Bonding Program'!$P$41&lt;&gt;"",'Bonding Program'!$P$41,'Bonding Program'!$C$8)),'Bonding Program'!$Z$41,0)+IF(AND('Bonding Program'!$P$41&lt;&gt;"",BN$3='Bonding Program'!$P$41,BN$3&lt;='Bonding Program'!$C$8),N('Bonding Program'!$O$41),0)</f>
        <v>0</v>
      </c>
      <c r="BO182" s="19" t="n">
        <f aca="false">IF(AND('Bonding Program'!$S$41=1,'Bonding Program'!$H$41&gt;'Bonding Program'!$C$8,BO$3='Bonding Program'!$H$41),'Bonding Program'!$T$41-'Bonding Program'!$U$41-'Bonding Program'!$Z$41,0)-IF(AND('Bonding Program'!$S$41=1,'Bonding Program'!$H$41&lt;='Bonding Program'!$C$8,BO$3=IF('Bonding Program'!$P$41&lt;&gt;"",'Bonding Program'!$P$41,'Bonding Program'!$C$8)),'Bonding Program'!$Z$41,0)+IF(AND('Bonding Program'!$P$41&lt;&gt;"",BO$3='Bonding Program'!$P$41,BO$3&lt;='Bonding Program'!$C$8),N('Bonding Program'!$O$41),0)</f>
        <v>0</v>
      </c>
      <c r="BP182" s="19" t="n">
        <f aca="false">IF(AND('Bonding Program'!$S$41=1,'Bonding Program'!$H$41&gt;'Bonding Program'!$C$8,BP$3='Bonding Program'!$H$41),'Bonding Program'!$T$41-'Bonding Program'!$U$41-'Bonding Program'!$Z$41,0)-IF(AND('Bonding Program'!$S$41=1,'Bonding Program'!$H$41&lt;='Bonding Program'!$C$8,BP$3=IF('Bonding Program'!$P$41&lt;&gt;"",'Bonding Program'!$P$41,'Bonding Program'!$C$8)),'Bonding Program'!$Z$41,0)+IF(AND('Bonding Program'!$P$41&lt;&gt;"",BP$3='Bonding Program'!$P$41,BP$3&lt;='Bonding Program'!$C$8),N('Bonding Program'!$O$41),0)</f>
        <v>0</v>
      </c>
      <c r="BQ182" s="19" t="n">
        <f aca="false">IF(AND('Bonding Program'!$S$41=1,'Bonding Program'!$H$41&gt;'Bonding Program'!$C$8,BQ$3='Bonding Program'!$H$41),'Bonding Program'!$T$41-'Bonding Program'!$U$41-'Bonding Program'!$Z$41,0)-IF(AND('Bonding Program'!$S$41=1,'Bonding Program'!$H$41&lt;='Bonding Program'!$C$8,BQ$3=IF('Bonding Program'!$P$41&lt;&gt;"",'Bonding Program'!$P$41,'Bonding Program'!$C$8)),'Bonding Program'!$Z$41,0)+IF(AND('Bonding Program'!$P$41&lt;&gt;"",BQ$3='Bonding Program'!$P$41,BQ$3&lt;='Bonding Program'!$C$8),N('Bonding Program'!$O$41),0)</f>
        <v>0</v>
      </c>
      <c r="BR182" s="19" t="n">
        <f aca="false">IF(AND('Bonding Program'!$S$41=1,'Bonding Program'!$H$41&gt;'Bonding Program'!$C$8,BR$3='Bonding Program'!$H$41),'Bonding Program'!$T$41-'Bonding Program'!$U$41-'Bonding Program'!$Z$41,0)-IF(AND('Bonding Program'!$S$41=1,'Bonding Program'!$H$41&lt;='Bonding Program'!$C$8,BR$3=IF('Bonding Program'!$P$41&lt;&gt;"",'Bonding Program'!$P$41,'Bonding Program'!$C$8)),'Bonding Program'!$Z$41,0)+IF(AND('Bonding Program'!$P$41&lt;&gt;"",BR$3='Bonding Program'!$P$41,BR$3&lt;='Bonding Program'!$C$8),N('Bonding Program'!$O$41),0)</f>
        <v>0</v>
      </c>
      <c r="BS182" s="19" t="n">
        <f aca="false">IF(AND('Bonding Program'!$S$41=1,'Bonding Program'!$H$41&gt;'Bonding Program'!$C$8,BS$3='Bonding Program'!$H$41),'Bonding Program'!$T$41-'Bonding Program'!$U$41-'Bonding Program'!$Z$41,0)-IF(AND('Bonding Program'!$S$41=1,'Bonding Program'!$H$41&lt;='Bonding Program'!$C$8,BS$3=IF('Bonding Program'!$P$41&lt;&gt;"",'Bonding Program'!$P$41,'Bonding Program'!$C$8)),'Bonding Program'!$Z$41,0)+IF(AND('Bonding Program'!$P$41&lt;&gt;"",BS$3='Bonding Program'!$P$41,BS$3&lt;='Bonding Program'!$C$8),N('Bonding Program'!$O$41),0)</f>
        <v>0</v>
      </c>
      <c r="BT182" s="19" t="n">
        <f aca="false">IF(AND('Bonding Program'!$S$41=1,'Bonding Program'!$H$41&gt;'Bonding Program'!$C$8,BT$3='Bonding Program'!$H$41),'Bonding Program'!$T$41-'Bonding Program'!$U$41-'Bonding Program'!$Z$41,0)-IF(AND('Bonding Program'!$S$41=1,'Bonding Program'!$H$41&lt;='Bonding Program'!$C$8,BT$3=IF('Bonding Program'!$P$41&lt;&gt;"",'Bonding Program'!$P$41,'Bonding Program'!$C$8)),'Bonding Program'!$Z$41,0)+IF(AND('Bonding Program'!$P$41&lt;&gt;"",BT$3='Bonding Program'!$P$41,BT$3&lt;='Bonding Program'!$C$8),N('Bonding Program'!$O$41),0)</f>
        <v>0</v>
      </c>
      <c r="BU182" s="19" t="n">
        <f aca="false">IF(AND('Bonding Program'!$S$41=1,'Bonding Program'!$H$41&gt;'Bonding Program'!$C$8,BU$3='Bonding Program'!$H$41),'Bonding Program'!$T$41-'Bonding Program'!$U$41-'Bonding Program'!$Z$41,0)-IF(AND('Bonding Program'!$S$41=1,'Bonding Program'!$H$41&lt;='Bonding Program'!$C$8,BU$3=IF('Bonding Program'!$P$41&lt;&gt;"",'Bonding Program'!$P$41,'Bonding Program'!$C$8)),'Bonding Program'!$Z$41,0)+IF(AND('Bonding Program'!$P$41&lt;&gt;"",BU$3='Bonding Program'!$P$41,BU$3&lt;='Bonding Program'!$C$8),N('Bonding Program'!$O$41),0)</f>
        <v>0</v>
      </c>
      <c r="BV182" s="19" t="n">
        <f aca="false">IF(AND('Bonding Program'!$S$41=1,'Bonding Program'!$H$41&gt;'Bonding Program'!$C$8,BV$3='Bonding Program'!$H$41),'Bonding Program'!$T$41-'Bonding Program'!$U$41-'Bonding Program'!$Z$41,0)-IF(AND('Bonding Program'!$S$41=1,'Bonding Program'!$H$41&lt;='Bonding Program'!$C$8,BV$3=IF('Bonding Program'!$P$41&lt;&gt;"",'Bonding Program'!$P$41,'Bonding Program'!$C$8)),'Bonding Program'!$Z$41,0)+IF(AND('Bonding Program'!$P$41&lt;&gt;"",BV$3='Bonding Program'!$P$41,BV$3&lt;='Bonding Program'!$C$8),N('Bonding Program'!$O$41),0)</f>
        <v>0</v>
      </c>
      <c r="BW182" s="19" t="n">
        <f aca="false">IF(AND('Bonding Program'!$S$41=1,'Bonding Program'!$H$41&gt;'Bonding Program'!$C$8,BW$3='Bonding Program'!$H$41),'Bonding Program'!$T$41-'Bonding Program'!$U$41-'Bonding Program'!$Z$41,0)-IF(AND('Bonding Program'!$S$41=1,'Bonding Program'!$H$41&lt;='Bonding Program'!$C$8,BW$3=IF('Bonding Program'!$P$41&lt;&gt;"",'Bonding Program'!$P$41,'Bonding Program'!$C$8)),'Bonding Program'!$Z$41,0)+IF(AND('Bonding Program'!$P$41&lt;&gt;"",BW$3='Bonding Program'!$P$41,BW$3&lt;='Bonding Program'!$C$8),N('Bonding Program'!$O$41),0)</f>
        <v>0</v>
      </c>
      <c r="BX182" s="19" t="n">
        <f aca="false">IF(AND('Bonding Program'!$S$41=1,'Bonding Program'!$H$41&gt;'Bonding Program'!$C$8,BX$3='Bonding Program'!$H$41),'Bonding Program'!$T$41-'Bonding Program'!$U$41-'Bonding Program'!$Z$41,0)-IF(AND('Bonding Program'!$S$41=1,'Bonding Program'!$H$41&lt;='Bonding Program'!$C$8,BX$3=IF('Bonding Program'!$P$41&lt;&gt;"",'Bonding Program'!$P$41,'Bonding Program'!$C$8)),'Bonding Program'!$Z$41,0)+IF(AND('Bonding Program'!$P$41&lt;&gt;"",BX$3='Bonding Program'!$P$41,BX$3&lt;='Bonding Program'!$C$8),N('Bonding Program'!$O$41),0)</f>
        <v>0</v>
      </c>
      <c r="BY182" s="19" t="n">
        <f aca="false">IF(AND('Bonding Program'!$S$41=1,'Bonding Program'!$H$41&gt;'Bonding Program'!$C$8,BY$3='Bonding Program'!$H$41),'Bonding Program'!$T$41-'Bonding Program'!$U$41-'Bonding Program'!$Z$41,0)-IF(AND('Bonding Program'!$S$41=1,'Bonding Program'!$H$41&lt;='Bonding Program'!$C$8,BY$3=IF('Bonding Program'!$P$41&lt;&gt;"",'Bonding Program'!$P$41,'Bonding Program'!$C$8)),'Bonding Program'!$Z$41,0)+IF(AND('Bonding Program'!$P$41&lt;&gt;"",BY$3='Bonding Program'!$P$41,BY$3&lt;='Bonding Program'!$C$8),N('Bonding Program'!$O$41),0)</f>
        <v>0</v>
      </c>
      <c r="BZ182" s="19" t="n">
        <f aca="false">IF(AND('Bonding Program'!$S$41=1,'Bonding Program'!$H$41&gt;'Bonding Program'!$C$8,BZ$3='Bonding Program'!$H$41),'Bonding Program'!$T$41-'Bonding Program'!$U$41-'Bonding Program'!$Z$41,0)-IF(AND('Bonding Program'!$S$41=1,'Bonding Program'!$H$41&lt;='Bonding Program'!$C$8,BZ$3=IF('Bonding Program'!$P$41&lt;&gt;"",'Bonding Program'!$P$41,'Bonding Program'!$C$8)),'Bonding Program'!$Z$41,0)+IF(AND('Bonding Program'!$P$41&lt;&gt;"",BZ$3='Bonding Program'!$P$41,BZ$3&lt;='Bonding Program'!$C$8),N('Bonding Program'!$O$41),0)</f>
        <v>0</v>
      </c>
      <c r="CA182" s="19" t="n">
        <f aca="false">IF(AND('Bonding Program'!$S$41=1,'Bonding Program'!$H$41&gt;'Bonding Program'!$C$8,CA$3='Bonding Program'!$H$41),'Bonding Program'!$T$41-'Bonding Program'!$U$41-'Bonding Program'!$Z$41,0)-IF(AND('Bonding Program'!$S$41=1,'Bonding Program'!$H$41&lt;='Bonding Program'!$C$8,CA$3=IF('Bonding Program'!$P$41&lt;&gt;"",'Bonding Program'!$P$41,'Bonding Program'!$C$8)),'Bonding Program'!$Z$41,0)+IF(AND('Bonding Program'!$P$41&lt;&gt;"",CA$3='Bonding Program'!$P$41,CA$3&lt;='Bonding Program'!$C$8),N('Bonding Program'!$O$41),0)</f>
        <v>0</v>
      </c>
      <c r="CB182" s="19" t="n">
        <f aca="false">IF(AND('Bonding Program'!$S$41=1,'Bonding Program'!$H$41&gt;'Bonding Program'!$C$8,CB$3='Bonding Program'!$H$41),'Bonding Program'!$T$41-'Bonding Program'!$U$41-'Bonding Program'!$Z$41,0)-IF(AND('Bonding Program'!$S$41=1,'Bonding Program'!$H$41&lt;='Bonding Program'!$C$8,CB$3=IF('Bonding Program'!$P$41&lt;&gt;"",'Bonding Program'!$P$41,'Bonding Program'!$C$8)),'Bonding Program'!$Z$41,0)+IF(AND('Bonding Program'!$P$41&lt;&gt;"",CB$3='Bonding Program'!$P$41,CB$3&lt;='Bonding Program'!$C$8),N('Bonding Program'!$O$41),0)</f>
        <v>0</v>
      </c>
      <c r="CC182" s="19" t="n">
        <f aca="false">IF(AND('Bonding Program'!$S$41=1,'Bonding Program'!$H$41&gt;'Bonding Program'!$C$8,CC$3='Bonding Program'!$H$41),'Bonding Program'!$T$41-'Bonding Program'!$U$41-'Bonding Program'!$Z$41,0)-IF(AND('Bonding Program'!$S$41=1,'Bonding Program'!$H$41&lt;='Bonding Program'!$C$8,CC$3=IF('Bonding Program'!$P$41&lt;&gt;"",'Bonding Program'!$P$41,'Bonding Program'!$C$8)),'Bonding Program'!$Z$41,0)+IF(AND('Bonding Program'!$P$41&lt;&gt;"",CC$3='Bonding Program'!$P$41,CC$3&lt;='Bonding Program'!$C$8),N('Bonding Program'!$O$41),0)</f>
        <v>0</v>
      </c>
      <c r="CD182" s="19" t="n">
        <f aca="false">IF(AND('Bonding Program'!$S$41=1,'Bonding Program'!$H$41&gt;'Bonding Program'!$C$8,CD$3='Bonding Program'!$H$41),'Bonding Program'!$T$41-'Bonding Program'!$U$41-'Bonding Program'!$Z$41,0)-IF(AND('Bonding Program'!$S$41=1,'Bonding Program'!$H$41&lt;='Bonding Program'!$C$8,CD$3=IF('Bonding Program'!$P$41&lt;&gt;"",'Bonding Program'!$P$41,'Bonding Program'!$C$8)),'Bonding Program'!$Z$41,0)+IF(AND('Bonding Program'!$P$41&lt;&gt;"",CD$3='Bonding Program'!$P$41,CD$3&lt;='Bonding Program'!$C$8),N('Bonding Program'!$O$41),0)</f>
        <v>0</v>
      </c>
      <c r="CE182" s="19" t="n">
        <f aca="false">IF(AND('Bonding Program'!$S$41=1,'Bonding Program'!$H$41&gt;'Bonding Program'!$C$8,CE$3='Bonding Program'!$H$41),'Bonding Program'!$T$41-'Bonding Program'!$U$41-'Bonding Program'!$Z$41,0)-IF(AND('Bonding Program'!$S$41=1,'Bonding Program'!$H$41&lt;='Bonding Program'!$C$8,CE$3=IF('Bonding Program'!$P$41&lt;&gt;"",'Bonding Program'!$P$41,'Bonding Program'!$C$8)),'Bonding Program'!$Z$41,0)+IF(AND('Bonding Program'!$P$41&lt;&gt;"",CE$3='Bonding Program'!$P$41,CE$3&lt;='Bonding Program'!$C$8),N('Bonding Program'!$O$41),0)</f>
        <v>0</v>
      </c>
      <c r="CF182" s="19" t="n">
        <f aca="false">IF(AND('Bonding Program'!$S$41=1,'Bonding Program'!$H$41&gt;'Bonding Program'!$C$8,CF$3='Bonding Program'!$H$41),'Bonding Program'!$T$41-'Bonding Program'!$U$41-'Bonding Program'!$Z$41,0)-IF(AND('Bonding Program'!$S$41=1,'Bonding Program'!$H$41&lt;='Bonding Program'!$C$8,CF$3=IF('Bonding Program'!$P$41&lt;&gt;"",'Bonding Program'!$P$41,'Bonding Program'!$C$8)),'Bonding Program'!$Z$41,0)+IF(AND('Bonding Program'!$P$41&lt;&gt;"",CF$3='Bonding Program'!$P$41,CF$3&lt;='Bonding Program'!$C$8),N('Bonding Program'!$O$41),0)</f>
        <v>0</v>
      </c>
      <c r="CG182" s="19" t="n">
        <f aca="false">IF(AND('Bonding Program'!$S$41=1,'Bonding Program'!$H$41&gt;'Bonding Program'!$C$8,CG$3='Bonding Program'!$H$41),'Bonding Program'!$T$41-'Bonding Program'!$U$41-'Bonding Program'!$Z$41,0)-IF(AND('Bonding Program'!$S$41=1,'Bonding Program'!$H$41&lt;='Bonding Program'!$C$8,CG$3=IF('Bonding Program'!$P$41&lt;&gt;"",'Bonding Program'!$P$41,'Bonding Program'!$C$8)),'Bonding Program'!$Z$41,0)+IF(AND('Bonding Program'!$P$41&lt;&gt;"",CG$3='Bonding Program'!$P$41,CG$3&lt;='Bonding Program'!$C$8),N('Bonding Program'!$O$41),0)</f>
        <v>0</v>
      </c>
      <c r="CH182" s="19" t="n">
        <f aca="false">IF(AND('Bonding Program'!$S$41=1,'Bonding Program'!$H$41&gt;'Bonding Program'!$C$8,CH$3='Bonding Program'!$H$41),'Bonding Program'!$T$41-'Bonding Program'!$U$41-'Bonding Program'!$Z$41,0)-IF(AND('Bonding Program'!$S$41=1,'Bonding Program'!$H$41&lt;='Bonding Program'!$C$8,CH$3=IF('Bonding Program'!$P$41&lt;&gt;"",'Bonding Program'!$P$41,'Bonding Program'!$C$8)),'Bonding Program'!$Z$41,0)+IF(AND('Bonding Program'!$P$41&lt;&gt;"",CH$3='Bonding Program'!$P$41,CH$3&lt;='Bonding Program'!$C$8),N('Bonding Program'!$O$41),0)</f>
        <v>0</v>
      </c>
      <c r="CI182" s="19" t="n">
        <f aca="false">IF(AND('Bonding Program'!$S$41=1,'Bonding Program'!$H$41&gt;'Bonding Program'!$C$8,CI$3='Bonding Program'!$H$41),'Bonding Program'!$T$41-'Bonding Program'!$U$41-'Bonding Program'!$Z$41,0)-IF(AND('Bonding Program'!$S$41=1,'Bonding Program'!$H$41&lt;='Bonding Program'!$C$8,CI$3=IF('Bonding Program'!$P$41&lt;&gt;"",'Bonding Program'!$P$41,'Bonding Program'!$C$8)),'Bonding Program'!$Z$41,0)+IF(AND('Bonding Program'!$P$41&lt;&gt;"",CI$3='Bonding Program'!$P$41,CI$3&lt;='Bonding Program'!$C$8),N('Bonding Program'!$O$41),0)</f>
        <v>0</v>
      </c>
      <c r="CJ182" s="19" t="n">
        <f aca="false">IF(AND('Bonding Program'!$S$41=1,'Bonding Program'!$H$41&gt;'Bonding Program'!$C$8,CJ$3='Bonding Program'!$H$41),'Bonding Program'!$T$41-'Bonding Program'!$U$41-'Bonding Program'!$Z$41,0)-IF(AND('Bonding Program'!$S$41=1,'Bonding Program'!$H$41&lt;='Bonding Program'!$C$8,CJ$3=IF('Bonding Program'!$P$41&lt;&gt;"",'Bonding Program'!$P$41,'Bonding Program'!$C$8)),'Bonding Program'!$Z$41,0)+IF(AND('Bonding Program'!$P$41&lt;&gt;"",CJ$3='Bonding Program'!$P$41,CJ$3&lt;='Bonding Program'!$C$8),N('Bonding Program'!$O$41),0)</f>
        <v>0</v>
      </c>
      <c r="CK182" s="19" t="n">
        <f aca="false">IF(AND('Bonding Program'!$S$41=1,'Bonding Program'!$H$41&gt;'Bonding Program'!$C$8,CK$3='Bonding Program'!$H$41),'Bonding Program'!$T$41-'Bonding Program'!$U$41-'Bonding Program'!$Z$41,0)-IF(AND('Bonding Program'!$S$41=1,'Bonding Program'!$H$41&lt;='Bonding Program'!$C$8,CK$3=IF('Bonding Program'!$P$41&lt;&gt;"",'Bonding Program'!$P$41,'Bonding Program'!$C$8)),'Bonding Program'!$Z$41,0)+IF(AND('Bonding Program'!$P$41&lt;&gt;"",CK$3='Bonding Program'!$P$41,CK$3&lt;='Bonding Program'!$C$8),N('Bonding Program'!$O$41),0)</f>
        <v>0</v>
      </c>
      <c r="CL182" s="19" t="n">
        <f aca="false">IF(AND('Bonding Program'!$S$41=1,'Bonding Program'!$H$41&gt;'Bonding Program'!$C$8,CL$3='Bonding Program'!$H$41),'Bonding Program'!$T$41-'Bonding Program'!$U$41-'Bonding Program'!$Z$41,0)-IF(AND('Bonding Program'!$S$41=1,'Bonding Program'!$H$41&lt;='Bonding Program'!$C$8,CL$3=IF('Bonding Program'!$P$41&lt;&gt;"",'Bonding Program'!$P$41,'Bonding Program'!$C$8)),'Bonding Program'!$Z$41,0)+IF(AND('Bonding Program'!$P$41&lt;&gt;"",CL$3='Bonding Program'!$P$41,CL$3&lt;='Bonding Program'!$C$8),N('Bonding Program'!$O$41),0)</f>
        <v>0</v>
      </c>
      <c r="CM182" s="19" t="n">
        <f aca="false">IF(AND('Bonding Program'!$S$41=1,'Bonding Program'!$H$41&gt;'Bonding Program'!$C$8,CM$3='Bonding Program'!$H$41),'Bonding Program'!$T$41-'Bonding Program'!$U$41-'Bonding Program'!$Z$41,0)-IF(AND('Bonding Program'!$S$41=1,'Bonding Program'!$H$41&lt;='Bonding Program'!$C$8,CM$3=IF('Bonding Program'!$P$41&lt;&gt;"",'Bonding Program'!$P$41,'Bonding Program'!$C$8)),'Bonding Program'!$Z$41,0)+IF(AND('Bonding Program'!$P$41&lt;&gt;"",CM$3='Bonding Program'!$P$41,CM$3&lt;='Bonding Program'!$C$8),N('Bonding Program'!$O$41),0)</f>
        <v>0</v>
      </c>
      <c r="CN182" s="19" t="n">
        <f aca="false">IF(AND('Bonding Program'!$S$41=1,'Bonding Program'!$H$41&gt;'Bonding Program'!$C$8,CN$3='Bonding Program'!$H$41),'Bonding Program'!$T$41-'Bonding Program'!$U$41-'Bonding Program'!$Z$41,0)-IF(AND('Bonding Program'!$S$41=1,'Bonding Program'!$H$41&lt;='Bonding Program'!$C$8,CN$3=IF('Bonding Program'!$P$41&lt;&gt;"",'Bonding Program'!$P$41,'Bonding Program'!$C$8)),'Bonding Program'!$Z$41,0)+IF(AND('Bonding Program'!$P$41&lt;&gt;"",CN$3='Bonding Program'!$P$41,CN$3&lt;='Bonding Program'!$C$8),N('Bonding Program'!$O$41),0)</f>
        <v>0</v>
      </c>
      <c r="CO182" s="19" t="n">
        <f aca="false">IF(AND('Bonding Program'!$S$41=1,'Bonding Program'!$H$41&gt;'Bonding Program'!$C$8,CO$3='Bonding Program'!$H$41),'Bonding Program'!$T$41-'Bonding Program'!$U$41-'Bonding Program'!$Z$41,0)-IF(AND('Bonding Program'!$S$41=1,'Bonding Program'!$H$41&lt;='Bonding Program'!$C$8,CO$3=IF('Bonding Program'!$P$41&lt;&gt;"",'Bonding Program'!$P$41,'Bonding Program'!$C$8)),'Bonding Program'!$Z$41,0)+IF(AND('Bonding Program'!$P$41&lt;&gt;"",CO$3='Bonding Program'!$P$41,CO$3&lt;='Bonding Program'!$C$8),N('Bonding Program'!$O$41),0)</f>
        <v>0</v>
      </c>
      <c r="CP182" s="19" t="n">
        <f aca="false">IF(AND('Bonding Program'!$S$41=1,'Bonding Program'!$H$41&gt;'Bonding Program'!$C$8,CP$3='Bonding Program'!$H$41),'Bonding Program'!$T$41-'Bonding Program'!$U$41-'Bonding Program'!$Z$41,0)-IF(AND('Bonding Program'!$S$41=1,'Bonding Program'!$H$41&lt;='Bonding Program'!$C$8,CP$3=IF('Bonding Program'!$P$41&lt;&gt;"",'Bonding Program'!$P$41,'Bonding Program'!$C$8)),'Bonding Program'!$Z$41,0)+IF(AND('Bonding Program'!$P$41&lt;&gt;"",CP$3='Bonding Program'!$P$41,CP$3&lt;='Bonding Program'!$C$8),N('Bonding Program'!$O$41),0)</f>
        <v>0</v>
      </c>
      <c r="CQ182" s="19" t="n">
        <f aca="false">IF(AND('Bonding Program'!$S$41=1,'Bonding Program'!$H$41&gt;'Bonding Program'!$C$8,CQ$3='Bonding Program'!$H$41),'Bonding Program'!$T$41-'Bonding Program'!$U$41-'Bonding Program'!$Z$41,0)-IF(AND('Bonding Program'!$S$41=1,'Bonding Program'!$H$41&lt;='Bonding Program'!$C$8,CQ$3=IF('Bonding Program'!$P$41&lt;&gt;"",'Bonding Program'!$P$41,'Bonding Program'!$C$8)),'Bonding Program'!$Z$41,0)+IF(AND('Bonding Program'!$P$41&lt;&gt;"",CQ$3='Bonding Program'!$P$41,CQ$3&lt;='Bonding Program'!$C$8),N('Bonding Program'!$O$41),0)</f>
        <v>0</v>
      </c>
      <c r="CR182" s="19" t="n">
        <f aca="false">IF(AND('Bonding Program'!$S$41=1,'Bonding Program'!$H$41&gt;'Bonding Program'!$C$8,CR$3='Bonding Program'!$H$41),'Bonding Program'!$T$41-'Bonding Program'!$U$41-'Bonding Program'!$Z$41,0)-IF(AND('Bonding Program'!$S$41=1,'Bonding Program'!$H$41&lt;='Bonding Program'!$C$8,CR$3=IF('Bonding Program'!$P$41&lt;&gt;"",'Bonding Program'!$P$41,'Bonding Program'!$C$8)),'Bonding Program'!$Z$41,0)+IF(AND('Bonding Program'!$P$41&lt;&gt;"",CR$3='Bonding Program'!$P$41,CR$3&lt;='Bonding Program'!$C$8),N('Bonding Program'!$O$41),0)</f>
        <v>0</v>
      </c>
      <c r="CS182" s="19" t="n">
        <f aca="false">IF(AND('Bonding Program'!$S$41=1,'Bonding Program'!$H$41&gt;'Bonding Program'!$C$8,CS$3='Bonding Program'!$H$41),'Bonding Program'!$T$41-'Bonding Program'!$U$41-'Bonding Program'!$Z$41,0)-IF(AND('Bonding Program'!$S$41=1,'Bonding Program'!$H$41&lt;='Bonding Program'!$C$8,CS$3=IF('Bonding Program'!$P$41&lt;&gt;"",'Bonding Program'!$P$41,'Bonding Program'!$C$8)),'Bonding Program'!$Z$41,0)+IF(AND('Bonding Program'!$P$41&lt;&gt;"",CS$3='Bonding Program'!$P$41,CS$3&lt;='Bonding Program'!$C$8),N('Bonding Program'!$O$41),0)</f>
        <v>0</v>
      </c>
      <c r="CT182" s="19" t="n">
        <f aca="false">IF(AND('Bonding Program'!$S$41=1,'Bonding Program'!$H$41&gt;'Bonding Program'!$C$8,CT$3='Bonding Program'!$H$41),'Bonding Program'!$T$41-'Bonding Program'!$U$41-'Bonding Program'!$Z$41,0)-IF(AND('Bonding Program'!$S$41=1,'Bonding Program'!$H$41&lt;='Bonding Program'!$C$8,CT$3=IF('Bonding Program'!$P$41&lt;&gt;"",'Bonding Program'!$P$41,'Bonding Program'!$C$8)),'Bonding Program'!$Z$41,0)+IF(AND('Bonding Program'!$P$41&lt;&gt;"",CT$3='Bonding Program'!$P$41,CT$3&lt;='Bonding Program'!$C$8),N('Bonding Program'!$O$41),0)</f>
        <v>0</v>
      </c>
      <c r="CU182" s="19" t="n">
        <f aca="false">IF(AND('Bonding Program'!$S$41=1,'Bonding Program'!$H$41&gt;'Bonding Program'!$C$8,CU$3='Bonding Program'!$H$41),'Bonding Program'!$T$41-'Bonding Program'!$U$41-'Bonding Program'!$Z$41,0)-IF(AND('Bonding Program'!$S$41=1,'Bonding Program'!$H$41&lt;='Bonding Program'!$C$8,CU$3=IF('Bonding Program'!$P$41&lt;&gt;"",'Bonding Program'!$P$41,'Bonding Program'!$C$8)),'Bonding Program'!$Z$41,0)+IF(AND('Bonding Program'!$P$41&lt;&gt;"",CU$3='Bonding Program'!$P$41,CU$3&lt;='Bonding Program'!$C$8),N('Bonding Program'!$O$41),0)</f>
        <v>0</v>
      </c>
      <c r="CV182" s="19" t="n">
        <f aca="false">IF(AND('Bonding Program'!$S$41=1,'Bonding Program'!$H$41&gt;'Bonding Program'!$C$8,CV$3='Bonding Program'!$H$41),'Bonding Program'!$T$41-'Bonding Program'!$U$41-'Bonding Program'!$Z$41,0)-IF(AND('Bonding Program'!$S$41=1,'Bonding Program'!$H$41&lt;='Bonding Program'!$C$8,CV$3=IF('Bonding Program'!$P$41&lt;&gt;"",'Bonding Program'!$P$41,'Bonding Program'!$C$8)),'Bonding Program'!$Z$41,0)+IF(AND('Bonding Program'!$P$41&lt;&gt;"",CV$3='Bonding Program'!$P$41,CV$3&lt;='Bonding Program'!$C$8),N('Bonding Program'!$O$41),0)</f>
        <v>0</v>
      </c>
      <c r="CW182" s="19" t="n">
        <f aca="false">IF(AND('Bonding Program'!$S$41=1,'Bonding Program'!$H$41&gt;'Bonding Program'!$C$8,CW$3='Bonding Program'!$H$41),'Bonding Program'!$T$41-'Bonding Program'!$U$41-'Bonding Program'!$Z$41,0)-IF(AND('Bonding Program'!$S$41=1,'Bonding Program'!$H$41&lt;='Bonding Program'!$C$8,CW$3=IF('Bonding Program'!$P$41&lt;&gt;"",'Bonding Program'!$P$41,'Bonding Program'!$C$8)),'Bonding Program'!$Z$41,0)+IF(AND('Bonding Program'!$P$41&lt;&gt;"",CW$3='Bonding Program'!$P$41,CW$3&lt;='Bonding Program'!$C$8),N('Bonding Program'!$O$41),0)</f>
        <v>0</v>
      </c>
      <c r="CX182" s="19" t="n">
        <f aca="false">IF(AND('Bonding Program'!$S$41=1,'Bonding Program'!$H$41&gt;'Bonding Program'!$C$8,CX$3='Bonding Program'!$H$41),'Bonding Program'!$T$41-'Bonding Program'!$U$41-'Bonding Program'!$Z$41,0)-IF(AND('Bonding Program'!$S$41=1,'Bonding Program'!$H$41&lt;='Bonding Program'!$C$8,CX$3=IF('Bonding Program'!$P$41&lt;&gt;"",'Bonding Program'!$P$41,'Bonding Program'!$C$8)),'Bonding Program'!$Z$41,0)+IF(AND('Bonding Program'!$P$41&lt;&gt;"",CX$3='Bonding Program'!$P$41,CX$3&lt;='Bonding Program'!$C$8),N('Bonding Program'!$O$41),0)</f>
        <v>0</v>
      </c>
      <c r="CY182" s="19" t="n">
        <f aca="false">IF(AND('Bonding Program'!$S$41=1,'Bonding Program'!$H$41&gt;'Bonding Program'!$C$8,CY$3='Bonding Program'!$H$41),'Bonding Program'!$T$41-'Bonding Program'!$U$41-'Bonding Program'!$Z$41,0)-IF(AND('Bonding Program'!$S$41=1,'Bonding Program'!$H$41&lt;='Bonding Program'!$C$8,CY$3=IF('Bonding Program'!$P$41&lt;&gt;"",'Bonding Program'!$P$41,'Bonding Program'!$C$8)),'Bonding Program'!$Z$41,0)+IF(AND('Bonding Program'!$P$41&lt;&gt;"",CY$3='Bonding Program'!$P$41,CY$3&lt;='Bonding Program'!$C$8),N('Bonding Program'!$O$41),0)</f>
        <v>0</v>
      </c>
      <c r="CZ182" s="19" t="n">
        <f aca="false">IF(AND('Bonding Program'!$S$41=1,'Bonding Program'!$H$41&gt;'Bonding Program'!$C$8,CZ$3='Bonding Program'!$H$41),'Bonding Program'!$T$41-'Bonding Program'!$U$41-'Bonding Program'!$Z$41,0)-IF(AND('Bonding Program'!$S$41=1,'Bonding Program'!$H$41&lt;='Bonding Program'!$C$8,CZ$3=IF('Bonding Program'!$P$41&lt;&gt;"",'Bonding Program'!$P$41,'Bonding Program'!$C$8)),'Bonding Program'!$Z$41,0)+IF(AND('Bonding Program'!$P$41&lt;&gt;"",CZ$3='Bonding Program'!$P$41,CZ$3&lt;='Bonding Program'!$C$8),N('Bonding Program'!$O$41),0)</f>
        <v>0</v>
      </c>
      <c r="DA182" s="19" t="n">
        <f aca="false">IF(AND('Bonding Program'!$S$41=1,'Bonding Program'!$H$41&gt;'Bonding Program'!$C$8,DA$3='Bonding Program'!$H$41),'Bonding Program'!$T$41-'Bonding Program'!$U$41-'Bonding Program'!$Z$41,0)-IF(AND('Bonding Program'!$S$41=1,'Bonding Program'!$H$41&lt;='Bonding Program'!$C$8,DA$3=IF('Bonding Program'!$P$41&lt;&gt;"",'Bonding Program'!$P$41,'Bonding Program'!$C$8)),'Bonding Program'!$Z$41,0)+IF(AND('Bonding Program'!$P$41&lt;&gt;"",DA$3='Bonding Program'!$P$41,DA$3&lt;='Bonding Program'!$C$8),N('Bonding Program'!$O$41),0)</f>
        <v>0</v>
      </c>
      <c r="DB182" s="19" t="n">
        <f aca="false">IF(AND('Bonding Program'!$S$41=1,'Bonding Program'!$H$41&gt;'Bonding Program'!$C$8,DB$3='Bonding Program'!$H$41),'Bonding Program'!$T$41-'Bonding Program'!$U$41-'Bonding Program'!$Z$41,0)-IF(AND('Bonding Program'!$S$41=1,'Bonding Program'!$H$41&lt;='Bonding Program'!$C$8,DB$3=IF('Bonding Program'!$P$41&lt;&gt;"",'Bonding Program'!$P$41,'Bonding Program'!$C$8)),'Bonding Program'!$Z$41,0)+IF(AND('Bonding Program'!$P$41&lt;&gt;"",DB$3='Bonding Program'!$P$41,DB$3&lt;='Bonding Program'!$C$8),N('Bonding Program'!$O$41),0)</f>
        <v>0</v>
      </c>
      <c r="DC182" s="19" t="n">
        <f aca="false">IF(AND('Bonding Program'!$S$41=1,'Bonding Program'!$H$41&gt;'Bonding Program'!$C$8,DC$3='Bonding Program'!$H$41),'Bonding Program'!$T$41-'Bonding Program'!$U$41-'Bonding Program'!$Z$41,0)-IF(AND('Bonding Program'!$S$41=1,'Bonding Program'!$H$41&lt;='Bonding Program'!$C$8,DC$3=IF('Bonding Program'!$P$41&lt;&gt;"",'Bonding Program'!$P$41,'Bonding Program'!$C$8)),'Bonding Program'!$Z$41,0)+IF(AND('Bonding Program'!$P$41&lt;&gt;"",DC$3='Bonding Program'!$P$41,DC$3&lt;='Bonding Program'!$C$8),N('Bonding Program'!$O$41),0)</f>
        <v>0</v>
      </c>
      <c r="DD182" s="19" t="n">
        <f aca="false">IF(AND('Bonding Program'!$S$41=1,'Bonding Program'!$H$41&gt;'Bonding Program'!$C$8,DD$3='Bonding Program'!$H$41),'Bonding Program'!$T$41-'Bonding Program'!$U$41-'Bonding Program'!$Z$41,0)-IF(AND('Bonding Program'!$S$41=1,'Bonding Program'!$H$41&lt;='Bonding Program'!$C$8,DD$3=IF('Bonding Program'!$P$41&lt;&gt;"",'Bonding Program'!$P$41,'Bonding Program'!$C$8)),'Bonding Program'!$Z$41,0)+IF(AND('Bonding Program'!$P$41&lt;&gt;"",DD$3='Bonding Program'!$P$41,DD$3&lt;='Bonding Program'!$C$8),N('Bonding Program'!$O$41),0)</f>
        <v>0</v>
      </c>
      <c r="DE182" s="19" t="n">
        <f aca="false">IF(AND('Bonding Program'!$S$41=1,'Bonding Program'!$H$41&gt;'Bonding Program'!$C$8,DE$3='Bonding Program'!$H$41),'Bonding Program'!$T$41-'Bonding Program'!$U$41-'Bonding Program'!$Z$41,0)-IF(AND('Bonding Program'!$S$41=1,'Bonding Program'!$H$41&lt;='Bonding Program'!$C$8,DE$3=IF('Bonding Program'!$P$41&lt;&gt;"",'Bonding Program'!$P$41,'Bonding Program'!$C$8)),'Bonding Program'!$Z$41,0)+IF(AND('Bonding Program'!$P$41&lt;&gt;"",DE$3='Bonding Program'!$P$41,DE$3&lt;='Bonding Program'!$C$8),N('Bonding Program'!$O$41),0)</f>
        <v>0</v>
      </c>
    </row>
    <row r="183" customFormat="false" ht="15" hidden="false" customHeight="true" outlineLevel="1" collapsed="false">
      <c r="A183" s="28" t="s">
        <v>38</v>
      </c>
      <c r="B183" s="19" t="n">
        <f aca="false">IF(AND('Bonding Program'!$S$42=1,'Bonding Program'!$H$42&gt;'Bonding Program'!$C$8,B$3='Bonding Program'!$H$42),'Bonding Program'!$T$42-'Bonding Program'!$U$42-'Bonding Program'!$Z$42,0)-IF(AND('Bonding Program'!$S$42=1,'Bonding Program'!$H$42&lt;='Bonding Program'!$C$8,B$3=IF('Bonding Program'!$P$42&lt;&gt;"",'Bonding Program'!$P$42,'Bonding Program'!$C$8)),'Bonding Program'!$Z$42,0)+IF(AND('Bonding Program'!$P$42&lt;&gt;"",B$3='Bonding Program'!$P$42,B$3&lt;='Bonding Program'!$C$8),N('Bonding Program'!$O$42),0)</f>
        <v>0</v>
      </c>
      <c r="C183" s="19" t="n">
        <f aca="false">IF(AND('Bonding Program'!$S$42=1,'Bonding Program'!$H$42&gt;'Bonding Program'!$C$8,C$3='Bonding Program'!$H$42),'Bonding Program'!$T$42-'Bonding Program'!$U$42-'Bonding Program'!$Z$42,0)-IF(AND('Bonding Program'!$S$42=1,'Bonding Program'!$H$42&lt;='Bonding Program'!$C$8,C$3=IF('Bonding Program'!$P$42&lt;&gt;"",'Bonding Program'!$P$42,'Bonding Program'!$C$8)),'Bonding Program'!$Z$42,0)+IF(AND('Bonding Program'!$P$42&lt;&gt;"",C$3='Bonding Program'!$P$42,C$3&lt;='Bonding Program'!$C$8),N('Bonding Program'!$O$42),0)</f>
        <v>0</v>
      </c>
      <c r="D183" s="19" t="n">
        <f aca="false">IF(AND('Bonding Program'!$S$42=1,'Bonding Program'!$H$42&gt;'Bonding Program'!$C$8,D$3='Bonding Program'!$H$42),'Bonding Program'!$T$42-'Bonding Program'!$U$42-'Bonding Program'!$Z$42,0)-IF(AND('Bonding Program'!$S$42=1,'Bonding Program'!$H$42&lt;='Bonding Program'!$C$8,D$3=IF('Bonding Program'!$P$42&lt;&gt;"",'Bonding Program'!$P$42,'Bonding Program'!$C$8)),'Bonding Program'!$Z$42,0)+IF(AND('Bonding Program'!$P$42&lt;&gt;"",D$3='Bonding Program'!$P$42,D$3&lt;='Bonding Program'!$C$8),N('Bonding Program'!$O$42),0)</f>
        <v>0</v>
      </c>
      <c r="E183" s="19" t="n">
        <f aca="false">IF(AND('Bonding Program'!$S$42=1,'Bonding Program'!$H$42&gt;'Bonding Program'!$C$8,E$3='Bonding Program'!$H$42),'Bonding Program'!$T$42-'Bonding Program'!$U$42-'Bonding Program'!$Z$42,0)-IF(AND('Bonding Program'!$S$42=1,'Bonding Program'!$H$42&lt;='Bonding Program'!$C$8,E$3=IF('Bonding Program'!$P$42&lt;&gt;"",'Bonding Program'!$P$42,'Bonding Program'!$C$8)),'Bonding Program'!$Z$42,0)+IF(AND('Bonding Program'!$P$42&lt;&gt;"",E$3='Bonding Program'!$P$42,E$3&lt;='Bonding Program'!$C$8),N('Bonding Program'!$O$42),0)</f>
        <v>0</v>
      </c>
      <c r="F183" s="19" t="n">
        <f aca="false">IF(AND('Bonding Program'!$S$42=1,'Bonding Program'!$H$42&gt;'Bonding Program'!$C$8,F$3='Bonding Program'!$H$42),'Bonding Program'!$T$42-'Bonding Program'!$U$42-'Bonding Program'!$Z$42,0)-IF(AND('Bonding Program'!$S$42=1,'Bonding Program'!$H$42&lt;='Bonding Program'!$C$8,F$3=IF('Bonding Program'!$P$42&lt;&gt;"",'Bonding Program'!$P$42,'Bonding Program'!$C$8)),'Bonding Program'!$Z$42,0)+IF(AND('Bonding Program'!$P$42&lt;&gt;"",F$3='Bonding Program'!$P$42,F$3&lt;='Bonding Program'!$C$8),N('Bonding Program'!$O$42),0)</f>
        <v>0</v>
      </c>
      <c r="G183" s="19" t="n">
        <f aca="false">IF(AND('Bonding Program'!$S$42=1,'Bonding Program'!$H$42&gt;'Bonding Program'!$C$8,G$3='Bonding Program'!$H$42),'Bonding Program'!$T$42-'Bonding Program'!$U$42-'Bonding Program'!$Z$42,0)-IF(AND('Bonding Program'!$S$42=1,'Bonding Program'!$H$42&lt;='Bonding Program'!$C$8,G$3=IF('Bonding Program'!$P$42&lt;&gt;"",'Bonding Program'!$P$42,'Bonding Program'!$C$8)),'Bonding Program'!$Z$42,0)+IF(AND('Bonding Program'!$P$42&lt;&gt;"",G$3='Bonding Program'!$P$42,G$3&lt;='Bonding Program'!$C$8),N('Bonding Program'!$O$42),0)</f>
        <v>0</v>
      </c>
      <c r="H183" s="19" t="n">
        <f aca="false">IF(AND('Bonding Program'!$S$42=1,'Bonding Program'!$H$42&gt;'Bonding Program'!$C$8,H$3='Bonding Program'!$H$42),'Bonding Program'!$T$42-'Bonding Program'!$U$42-'Bonding Program'!$Z$42,0)-IF(AND('Bonding Program'!$S$42=1,'Bonding Program'!$H$42&lt;='Bonding Program'!$C$8,H$3=IF('Bonding Program'!$P$42&lt;&gt;"",'Bonding Program'!$P$42,'Bonding Program'!$C$8)),'Bonding Program'!$Z$42,0)+IF(AND('Bonding Program'!$P$42&lt;&gt;"",H$3='Bonding Program'!$P$42,H$3&lt;='Bonding Program'!$C$8),N('Bonding Program'!$O$42),0)</f>
        <v>0</v>
      </c>
      <c r="I183" s="19" t="n">
        <f aca="false">IF(AND('Bonding Program'!$S$42=1,'Bonding Program'!$H$42&gt;'Bonding Program'!$C$8,I$3='Bonding Program'!$H$42),'Bonding Program'!$T$42-'Bonding Program'!$U$42-'Bonding Program'!$Z$42,0)-IF(AND('Bonding Program'!$S$42=1,'Bonding Program'!$H$42&lt;='Bonding Program'!$C$8,I$3=IF('Bonding Program'!$P$42&lt;&gt;"",'Bonding Program'!$P$42,'Bonding Program'!$C$8)),'Bonding Program'!$Z$42,0)+IF(AND('Bonding Program'!$P$42&lt;&gt;"",I$3='Bonding Program'!$P$42,I$3&lt;='Bonding Program'!$C$8),N('Bonding Program'!$O$42),0)</f>
        <v>0</v>
      </c>
      <c r="J183" s="19" t="n">
        <f aca="false">IF(AND('Bonding Program'!$S$42=1,'Bonding Program'!$H$42&gt;'Bonding Program'!$C$8,J$3='Bonding Program'!$H$42),'Bonding Program'!$T$42-'Bonding Program'!$U$42-'Bonding Program'!$Z$42,0)-IF(AND('Bonding Program'!$S$42=1,'Bonding Program'!$H$42&lt;='Bonding Program'!$C$8,J$3=IF('Bonding Program'!$P$42&lt;&gt;"",'Bonding Program'!$P$42,'Bonding Program'!$C$8)),'Bonding Program'!$Z$42,0)+IF(AND('Bonding Program'!$P$42&lt;&gt;"",J$3='Bonding Program'!$P$42,J$3&lt;='Bonding Program'!$C$8),N('Bonding Program'!$O$42),0)</f>
        <v>0</v>
      </c>
      <c r="K183" s="19" t="n">
        <f aca="false">IF(AND('Bonding Program'!$S$42=1,'Bonding Program'!$H$42&gt;'Bonding Program'!$C$8,K$3='Bonding Program'!$H$42),'Bonding Program'!$T$42-'Bonding Program'!$U$42-'Bonding Program'!$Z$42,0)-IF(AND('Bonding Program'!$S$42=1,'Bonding Program'!$H$42&lt;='Bonding Program'!$C$8,K$3=IF('Bonding Program'!$P$42&lt;&gt;"",'Bonding Program'!$P$42,'Bonding Program'!$C$8)),'Bonding Program'!$Z$42,0)+IF(AND('Bonding Program'!$P$42&lt;&gt;"",K$3='Bonding Program'!$P$42,K$3&lt;='Bonding Program'!$C$8),N('Bonding Program'!$O$42),0)</f>
        <v>0</v>
      </c>
      <c r="L183" s="19" t="n">
        <f aca="false">IF(AND('Bonding Program'!$S$42=1,'Bonding Program'!$H$42&gt;'Bonding Program'!$C$8,L$3='Bonding Program'!$H$42),'Bonding Program'!$T$42-'Bonding Program'!$U$42-'Bonding Program'!$Z$42,0)-IF(AND('Bonding Program'!$S$42=1,'Bonding Program'!$H$42&lt;='Bonding Program'!$C$8,L$3=IF('Bonding Program'!$P$42&lt;&gt;"",'Bonding Program'!$P$42,'Bonding Program'!$C$8)),'Bonding Program'!$Z$42,0)+IF(AND('Bonding Program'!$P$42&lt;&gt;"",L$3='Bonding Program'!$P$42,L$3&lt;='Bonding Program'!$C$8),N('Bonding Program'!$O$42),0)</f>
        <v>0</v>
      </c>
      <c r="M183" s="19" t="n">
        <f aca="false">IF(AND('Bonding Program'!$S$42=1,'Bonding Program'!$H$42&gt;'Bonding Program'!$C$8,M$3='Bonding Program'!$H$42),'Bonding Program'!$T$42-'Bonding Program'!$U$42-'Bonding Program'!$Z$42,0)-IF(AND('Bonding Program'!$S$42=1,'Bonding Program'!$H$42&lt;='Bonding Program'!$C$8,M$3=IF('Bonding Program'!$P$42&lt;&gt;"",'Bonding Program'!$P$42,'Bonding Program'!$C$8)),'Bonding Program'!$Z$42,0)+IF(AND('Bonding Program'!$P$42&lt;&gt;"",M$3='Bonding Program'!$P$42,M$3&lt;='Bonding Program'!$C$8),N('Bonding Program'!$O$42),0)</f>
        <v>0</v>
      </c>
      <c r="N183" s="19" t="n">
        <f aca="false">IF(AND('Bonding Program'!$S$42=1,'Bonding Program'!$H$42&gt;'Bonding Program'!$C$8,N$3='Bonding Program'!$H$42),'Bonding Program'!$T$42-'Bonding Program'!$U$42-'Bonding Program'!$Z$42,0)-IF(AND('Bonding Program'!$S$42=1,'Bonding Program'!$H$42&lt;='Bonding Program'!$C$8,N$3=IF('Bonding Program'!$P$42&lt;&gt;"",'Bonding Program'!$P$42,'Bonding Program'!$C$8)),'Bonding Program'!$Z$42,0)+IF(AND('Bonding Program'!$P$42&lt;&gt;"",N$3='Bonding Program'!$P$42,N$3&lt;='Bonding Program'!$C$8),N('Bonding Program'!$O$42),0)</f>
        <v>0</v>
      </c>
      <c r="O183" s="19" t="n">
        <f aca="false">IF(AND('Bonding Program'!$S$42=1,'Bonding Program'!$H$42&gt;'Bonding Program'!$C$8,O$3='Bonding Program'!$H$42),'Bonding Program'!$T$42-'Bonding Program'!$U$42-'Bonding Program'!$Z$42,0)-IF(AND('Bonding Program'!$S$42=1,'Bonding Program'!$H$42&lt;='Bonding Program'!$C$8,O$3=IF('Bonding Program'!$P$42&lt;&gt;"",'Bonding Program'!$P$42,'Bonding Program'!$C$8)),'Bonding Program'!$Z$42,0)+IF(AND('Bonding Program'!$P$42&lt;&gt;"",O$3='Bonding Program'!$P$42,O$3&lt;='Bonding Program'!$C$8),N('Bonding Program'!$O$42),0)</f>
        <v>0</v>
      </c>
      <c r="P183" s="19" t="n">
        <f aca="false">IF(AND('Bonding Program'!$S$42=1,'Bonding Program'!$H$42&gt;'Bonding Program'!$C$8,P$3='Bonding Program'!$H$42),'Bonding Program'!$T$42-'Bonding Program'!$U$42-'Bonding Program'!$Z$42,0)-IF(AND('Bonding Program'!$S$42=1,'Bonding Program'!$H$42&lt;='Bonding Program'!$C$8,P$3=IF('Bonding Program'!$P$42&lt;&gt;"",'Bonding Program'!$P$42,'Bonding Program'!$C$8)),'Bonding Program'!$Z$42,0)+IF(AND('Bonding Program'!$P$42&lt;&gt;"",P$3='Bonding Program'!$P$42,P$3&lt;='Bonding Program'!$C$8),N('Bonding Program'!$O$42),0)</f>
        <v>0</v>
      </c>
      <c r="Q183" s="19" t="n">
        <f aca="false">IF(AND('Bonding Program'!$S$42=1,'Bonding Program'!$H$42&gt;'Bonding Program'!$C$8,Q$3='Bonding Program'!$H$42),'Bonding Program'!$T$42-'Bonding Program'!$U$42-'Bonding Program'!$Z$42,0)-IF(AND('Bonding Program'!$S$42=1,'Bonding Program'!$H$42&lt;='Bonding Program'!$C$8,Q$3=IF('Bonding Program'!$P$42&lt;&gt;"",'Bonding Program'!$P$42,'Bonding Program'!$C$8)),'Bonding Program'!$Z$42,0)+IF(AND('Bonding Program'!$P$42&lt;&gt;"",Q$3='Bonding Program'!$P$42,Q$3&lt;='Bonding Program'!$C$8),N('Bonding Program'!$O$42),0)</f>
        <v>0</v>
      </c>
      <c r="R183" s="19" t="n">
        <f aca="false">IF(AND('Bonding Program'!$S$42=1,'Bonding Program'!$H$42&gt;'Bonding Program'!$C$8,R$3='Bonding Program'!$H$42),'Bonding Program'!$T$42-'Bonding Program'!$U$42-'Bonding Program'!$Z$42,0)-IF(AND('Bonding Program'!$S$42=1,'Bonding Program'!$H$42&lt;='Bonding Program'!$C$8,R$3=IF('Bonding Program'!$P$42&lt;&gt;"",'Bonding Program'!$P$42,'Bonding Program'!$C$8)),'Bonding Program'!$Z$42,0)+IF(AND('Bonding Program'!$P$42&lt;&gt;"",R$3='Bonding Program'!$P$42,R$3&lt;='Bonding Program'!$C$8),N('Bonding Program'!$O$42),0)</f>
        <v>0</v>
      </c>
      <c r="S183" s="19" t="n">
        <f aca="false">IF(AND('Bonding Program'!$S$42=1,'Bonding Program'!$H$42&gt;'Bonding Program'!$C$8,S$3='Bonding Program'!$H$42),'Bonding Program'!$T$42-'Bonding Program'!$U$42-'Bonding Program'!$Z$42,0)-IF(AND('Bonding Program'!$S$42=1,'Bonding Program'!$H$42&lt;='Bonding Program'!$C$8,S$3=IF('Bonding Program'!$P$42&lt;&gt;"",'Bonding Program'!$P$42,'Bonding Program'!$C$8)),'Bonding Program'!$Z$42,0)+IF(AND('Bonding Program'!$P$42&lt;&gt;"",S$3='Bonding Program'!$P$42,S$3&lt;='Bonding Program'!$C$8),N('Bonding Program'!$O$42),0)</f>
        <v>0</v>
      </c>
      <c r="T183" s="19" t="n">
        <f aca="false">IF(AND('Bonding Program'!$S$42=1,'Bonding Program'!$H$42&gt;'Bonding Program'!$C$8,T$3='Bonding Program'!$H$42),'Bonding Program'!$T$42-'Bonding Program'!$U$42-'Bonding Program'!$Z$42,0)-IF(AND('Bonding Program'!$S$42=1,'Bonding Program'!$H$42&lt;='Bonding Program'!$C$8,T$3=IF('Bonding Program'!$P$42&lt;&gt;"",'Bonding Program'!$P$42,'Bonding Program'!$C$8)),'Bonding Program'!$Z$42,0)+IF(AND('Bonding Program'!$P$42&lt;&gt;"",T$3='Bonding Program'!$P$42,T$3&lt;='Bonding Program'!$C$8),N('Bonding Program'!$O$42),0)</f>
        <v>0</v>
      </c>
      <c r="U183" s="19" t="n">
        <f aca="false">IF(AND('Bonding Program'!$S$42=1,'Bonding Program'!$H$42&gt;'Bonding Program'!$C$8,U$3='Bonding Program'!$H$42),'Bonding Program'!$T$42-'Bonding Program'!$U$42-'Bonding Program'!$Z$42,0)-IF(AND('Bonding Program'!$S$42=1,'Bonding Program'!$H$42&lt;='Bonding Program'!$C$8,U$3=IF('Bonding Program'!$P$42&lt;&gt;"",'Bonding Program'!$P$42,'Bonding Program'!$C$8)),'Bonding Program'!$Z$42,0)+IF(AND('Bonding Program'!$P$42&lt;&gt;"",U$3='Bonding Program'!$P$42,U$3&lt;='Bonding Program'!$C$8),N('Bonding Program'!$O$42),0)</f>
        <v>0</v>
      </c>
      <c r="V183" s="19" t="n">
        <f aca="false">IF(AND('Bonding Program'!$S$42=1,'Bonding Program'!$H$42&gt;'Bonding Program'!$C$8,V$3='Bonding Program'!$H$42),'Bonding Program'!$T$42-'Bonding Program'!$U$42-'Bonding Program'!$Z$42,0)-IF(AND('Bonding Program'!$S$42=1,'Bonding Program'!$H$42&lt;='Bonding Program'!$C$8,V$3=IF('Bonding Program'!$P$42&lt;&gt;"",'Bonding Program'!$P$42,'Bonding Program'!$C$8)),'Bonding Program'!$Z$42,0)+IF(AND('Bonding Program'!$P$42&lt;&gt;"",V$3='Bonding Program'!$P$42,V$3&lt;='Bonding Program'!$C$8),N('Bonding Program'!$O$42),0)</f>
        <v>0</v>
      </c>
      <c r="W183" s="19" t="n">
        <f aca="false">IF(AND('Bonding Program'!$S$42=1,'Bonding Program'!$H$42&gt;'Bonding Program'!$C$8,W$3='Bonding Program'!$H$42),'Bonding Program'!$T$42-'Bonding Program'!$U$42-'Bonding Program'!$Z$42,0)-IF(AND('Bonding Program'!$S$42=1,'Bonding Program'!$H$42&lt;='Bonding Program'!$C$8,W$3=IF('Bonding Program'!$P$42&lt;&gt;"",'Bonding Program'!$P$42,'Bonding Program'!$C$8)),'Bonding Program'!$Z$42,0)+IF(AND('Bonding Program'!$P$42&lt;&gt;"",W$3='Bonding Program'!$P$42,W$3&lt;='Bonding Program'!$C$8),N('Bonding Program'!$O$42),0)</f>
        <v>0</v>
      </c>
      <c r="X183" s="19" t="n">
        <f aca="false">IF(AND('Bonding Program'!$S$42=1,'Bonding Program'!$H$42&gt;'Bonding Program'!$C$8,X$3='Bonding Program'!$H$42),'Bonding Program'!$T$42-'Bonding Program'!$U$42-'Bonding Program'!$Z$42,0)-IF(AND('Bonding Program'!$S$42=1,'Bonding Program'!$H$42&lt;='Bonding Program'!$C$8,X$3=IF('Bonding Program'!$P$42&lt;&gt;"",'Bonding Program'!$P$42,'Bonding Program'!$C$8)),'Bonding Program'!$Z$42,0)+IF(AND('Bonding Program'!$P$42&lt;&gt;"",X$3='Bonding Program'!$P$42,X$3&lt;='Bonding Program'!$C$8),N('Bonding Program'!$O$42),0)</f>
        <v>0</v>
      </c>
      <c r="Y183" s="19" t="n">
        <f aca="false">IF(AND('Bonding Program'!$S$42=1,'Bonding Program'!$H$42&gt;'Bonding Program'!$C$8,Y$3='Bonding Program'!$H$42),'Bonding Program'!$T$42-'Bonding Program'!$U$42-'Bonding Program'!$Z$42,0)-IF(AND('Bonding Program'!$S$42=1,'Bonding Program'!$H$42&lt;='Bonding Program'!$C$8,Y$3=IF('Bonding Program'!$P$42&lt;&gt;"",'Bonding Program'!$P$42,'Bonding Program'!$C$8)),'Bonding Program'!$Z$42,0)+IF(AND('Bonding Program'!$P$42&lt;&gt;"",Y$3='Bonding Program'!$P$42,Y$3&lt;='Bonding Program'!$C$8),N('Bonding Program'!$O$42),0)</f>
        <v>0</v>
      </c>
      <c r="Z183" s="19" t="n">
        <f aca="false">IF(AND('Bonding Program'!$S$42=1,'Bonding Program'!$H$42&gt;'Bonding Program'!$C$8,Z$3='Bonding Program'!$H$42),'Bonding Program'!$T$42-'Bonding Program'!$U$42-'Bonding Program'!$Z$42,0)-IF(AND('Bonding Program'!$S$42=1,'Bonding Program'!$H$42&lt;='Bonding Program'!$C$8,Z$3=IF('Bonding Program'!$P$42&lt;&gt;"",'Bonding Program'!$P$42,'Bonding Program'!$C$8)),'Bonding Program'!$Z$42,0)+IF(AND('Bonding Program'!$P$42&lt;&gt;"",Z$3='Bonding Program'!$P$42,Z$3&lt;='Bonding Program'!$C$8),N('Bonding Program'!$O$42),0)</f>
        <v>0</v>
      </c>
      <c r="AA183" s="19" t="n">
        <f aca="false">IF(AND('Bonding Program'!$S$42=1,'Bonding Program'!$H$42&gt;'Bonding Program'!$C$8,AA$3='Bonding Program'!$H$42),'Bonding Program'!$T$42-'Bonding Program'!$U$42-'Bonding Program'!$Z$42,0)-IF(AND('Bonding Program'!$S$42=1,'Bonding Program'!$H$42&lt;='Bonding Program'!$C$8,AA$3=IF('Bonding Program'!$P$42&lt;&gt;"",'Bonding Program'!$P$42,'Bonding Program'!$C$8)),'Bonding Program'!$Z$42,0)+IF(AND('Bonding Program'!$P$42&lt;&gt;"",AA$3='Bonding Program'!$P$42,AA$3&lt;='Bonding Program'!$C$8),N('Bonding Program'!$O$42),0)</f>
        <v>0</v>
      </c>
      <c r="AB183" s="19" t="n">
        <f aca="false">IF(AND('Bonding Program'!$S$42=1,'Bonding Program'!$H$42&gt;'Bonding Program'!$C$8,AB$3='Bonding Program'!$H$42),'Bonding Program'!$T$42-'Bonding Program'!$U$42-'Bonding Program'!$Z$42,0)-IF(AND('Bonding Program'!$S$42=1,'Bonding Program'!$H$42&lt;='Bonding Program'!$C$8,AB$3=IF('Bonding Program'!$P$42&lt;&gt;"",'Bonding Program'!$P$42,'Bonding Program'!$C$8)),'Bonding Program'!$Z$42,0)+IF(AND('Bonding Program'!$P$42&lt;&gt;"",AB$3='Bonding Program'!$P$42,AB$3&lt;='Bonding Program'!$C$8),N('Bonding Program'!$O$42),0)</f>
        <v>0</v>
      </c>
      <c r="AC183" s="19" t="n">
        <f aca="false">IF(AND('Bonding Program'!$S$42=1,'Bonding Program'!$H$42&gt;'Bonding Program'!$C$8,AC$3='Bonding Program'!$H$42),'Bonding Program'!$T$42-'Bonding Program'!$U$42-'Bonding Program'!$Z$42,0)-IF(AND('Bonding Program'!$S$42=1,'Bonding Program'!$H$42&lt;='Bonding Program'!$C$8,AC$3=IF('Bonding Program'!$P$42&lt;&gt;"",'Bonding Program'!$P$42,'Bonding Program'!$C$8)),'Bonding Program'!$Z$42,0)+IF(AND('Bonding Program'!$P$42&lt;&gt;"",AC$3='Bonding Program'!$P$42,AC$3&lt;='Bonding Program'!$C$8),N('Bonding Program'!$O$42),0)</f>
        <v>0</v>
      </c>
      <c r="AD183" s="19" t="n">
        <f aca="false">IF(AND('Bonding Program'!$S$42=1,'Bonding Program'!$H$42&gt;'Bonding Program'!$C$8,AD$3='Bonding Program'!$H$42),'Bonding Program'!$T$42-'Bonding Program'!$U$42-'Bonding Program'!$Z$42,0)-IF(AND('Bonding Program'!$S$42=1,'Bonding Program'!$H$42&lt;='Bonding Program'!$C$8,AD$3=IF('Bonding Program'!$P$42&lt;&gt;"",'Bonding Program'!$P$42,'Bonding Program'!$C$8)),'Bonding Program'!$Z$42,0)+IF(AND('Bonding Program'!$P$42&lt;&gt;"",AD$3='Bonding Program'!$P$42,AD$3&lt;='Bonding Program'!$C$8),N('Bonding Program'!$O$42),0)</f>
        <v>0</v>
      </c>
      <c r="AE183" s="19" t="n">
        <f aca="false">IF(AND('Bonding Program'!$S$42=1,'Bonding Program'!$H$42&gt;'Bonding Program'!$C$8,AE$3='Bonding Program'!$H$42),'Bonding Program'!$T$42-'Bonding Program'!$U$42-'Bonding Program'!$Z$42,0)-IF(AND('Bonding Program'!$S$42=1,'Bonding Program'!$H$42&lt;='Bonding Program'!$C$8,AE$3=IF('Bonding Program'!$P$42&lt;&gt;"",'Bonding Program'!$P$42,'Bonding Program'!$C$8)),'Bonding Program'!$Z$42,0)+IF(AND('Bonding Program'!$P$42&lt;&gt;"",AE$3='Bonding Program'!$P$42,AE$3&lt;='Bonding Program'!$C$8),N('Bonding Program'!$O$42),0)</f>
        <v>0</v>
      </c>
      <c r="AF183" s="19" t="n">
        <f aca="false">IF(AND('Bonding Program'!$S$42=1,'Bonding Program'!$H$42&gt;'Bonding Program'!$C$8,AF$3='Bonding Program'!$H$42),'Bonding Program'!$T$42-'Bonding Program'!$U$42-'Bonding Program'!$Z$42,0)-IF(AND('Bonding Program'!$S$42=1,'Bonding Program'!$H$42&lt;='Bonding Program'!$C$8,AF$3=IF('Bonding Program'!$P$42&lt;&gt;"",'Bonding Program'!$P$42,'Bonding Program'!$C$8)),'Bonding Program'!$Z$42,0)+IF(AND('Bonding Program'!$P$42&lt;&gt;"",AF$3='Bonding Program'!$P$42,AF$3&lt;='Bonding Program'!$C$8),N('Bonding Program'!$O$42),0)</f>
        <v>0</v>
      </c>
      <c r="AG183" s="19" t="n">
        <f aca="false">IF(AND('Bonding Program'!$S$42=1,'Bonding Program'!$H$42&gt;'Bonding Program'!$C$8,AG$3='Bonding Program'!$H$42),'Bonding Program'!$T$42-'Bonding Program'!$U$42-'Bonding Program'!$Z$42,0)-IF(AND('Bonding Program'!$S$42=1,'Bonding Program'!$H$42&lt;='Bonding Program'!$C$8,AG$3=IF('Bonding Program'!$P$42&lt;&gt;"",'Bonding Program'!$P$42,'Bonding Program'!$C$8)),'Bonding Program'!$Z$42,0)+IF(AND('Bonding Program'!$P$42&lt;&gt;"",AG$3='Bonding Program'!$P$42,AG$3&lt;='Bonding Program'!$C$8),N('Bonding Program'!$O$42),0)</f>
        <v>0</v>
      </c>
      <c r="AH183" s="19" t="n">
        <f aca="false">IF(AND('Bonding Program'!$S$42=1,'Bonding Program'!$H$42&gt;'Bonding Program'!$C$8,AH$3='Bonding Program'!$H$42),'Bonding Program'!$T$42-'Bonding Program'!$U$42-'Bonding Program'!$Z$42,0)-IF(AND('Bonding Program'!$S$42=1,'Bonding Program'!$H$42&lt;='Bonding Program'!$C$8,AH$3=IF('Bonding Program'!$P$42&lt;&gt;"",'Bonding Program'!$P$42,'Bonding Program'!$C$8)),'Bonding Program'!$Z$42,0)+IF(AND('Bonding Program'!$P$42&lt;&gt;"",AH$3='Bonding Program'!$P$42,AH$3&lt;='Bonding Program'!$C$8),N('Bonding Program'!$O$42),0)</f>
        <v>0</v>
      </c>
      <c r="AI183" s="19" t="n">
        <f aca="false">IF(AND('Bonding Program'!$S$42=1,'Bonding Program'!$H$42&gt;'Bonding Program'!$C$8,AI$3='Bonding Program'!$H$42),'Bonding Program'!$T$42-'Bonding Program'!$U$42-'Bonding Program'!$Z$42,0)-IF(AND('Bonding Program'!$S$42=1,'Bonding Program'!$H$42&lt;='Bonding Program'!$C$8,AI$3=IF('Bonding Program'!$P$42&lt;&gt;"",'Bonding Program'!$P$42,'Bonding Program'!$C$8)),'Bonding Program'!$Z$42,0)+IF(AND('Bonding Program'!$P$42&lt;&gt;"",AI$3='Bonding Program'!$P$42,AI$3&lt;='Bonding Program'!$C$8),N('Bonding Program'!$O$42),0)</f>
        <v>0</v>
      </c>
      <c r="AJ183" s="19" t="n">
        <f aca="false">IF(AND('Bonding Program'!$S$42=1,'Bonding Program'!$H$42&gt;'Bonding Program'!$C$8,AJ$3='Bonding Program'!$H$42),'Bonding Program'!$T$42-'Bonding Program'!$U$42-'Bonding Program'!$Z$42,0)-IF(AND('Bonding Program'!$S$42=1,'Bonding Program'!$H$42&lt;='Bonding Program'!$C$8,AJ$3=IF('Bonding Program'!$P$42&lt;&gt;"",'Bonding Program'!$P$42,'Bonding Program'!$C$8)),'Bonding Program'!$Z$42,0)+IF(AND('Bonding Program'!$P$42&lt;&gt;"",AJ$3='Bonding Program'!$P$42,AJ$3&lt;='Bonding Program'!$C$8),N('Bonding Program'!$O$42),0)</f>
        <v>0</v>
      </c>
      <c r="AK183" s="19" t="n">
        <f aca="false">IF(AND('Bonding Program'!$S$42=1,'Bonding Program'!$H$42&gt;'Bonding Program'!$C$8,AK$3='Bonding Program'!$H$42),'Bonding Program'!$T$42-'Bonding Program'!$U$42-'Bonding Program'!$Z$42,0)-IF(AND('Bonding Program'!$S$42=1,'Bonding Program'!$H$42&lt;='Bonding Program'!$C$8,AK$3=IF('Bonding Program'!$P$42&lt;&gt;"",'Bonding Program'!$P$42,'Bonding Program'!$C$8)),'Bonding Program'!$Z$42,0)+IF(AND('Bonding Program'!$P$42&lt;&gt;"",AK$3='Bonding Program'!$P$42,AK$3&lt;='Bonding Program'!$C$8),N('Bonding Program'!$O$42),0)</f>
        <v>0</v>
      </c>
      <c r="AL183" s="19" t="n">
        <f aca="false">IF(AND('Bonding Program'!$S$42=1,'Bonding Program'!$H$42&gt;'Bonding Program'!$C$8,AL$3='Bonding Program'!$H$42),'Bonding Program'!$T$42-'Bonding Program'!$U$42-'Bonding Program'!$Z$42,0)-IF(AND('Bonding Program'!$S$42=1,'Bonding Program'!$H$42&lt;='Bonding Program'!$C$8,AL$3=IF('Bonding Program'!$P$42&lt;&gt;"",'Bonding Program'!$P$42,'Bonding Program'!$C$8)),'Bonding Program'!$Z$42,0)+IF(AND('Bonding Program'!$P$42&lt;&gt;"",AL$3='Bonding Program'!$P$42,AL$3&lt;='Bonding Program'!$C$8),N('Bonding Program'!$O$42),0)</f>
        <v>0</v>
      </c>
      <c r="AM183" s="19" t="n">
        <f aca="false">IF(AND('Bonding Program'!$S$42=1,'Bonding Program'!$H$42&gt;'Bonding Program'!$C$8,AM$3='Bonding Program'!$H$42),'Bonding Program'!$T$42-'Bonding Program'!$U$42-'Bonding Program'!$Z$42,0)-IF(AND('Bonding Program'!$S$42=1,'Bonding Program'!$H$42&lt;='Bonding Program'!$C$8,AM$3=IF('Bonding Program'!$P$42&lt;&gt;"",'Bonding Program'!$P$42,'Bonding Program'!$C$8)),'Bonding Program'!$Z$42,0)+IF(AND('Bonding Program'!$P$42&lt;&gt;"",AM$3='Bonding Program'!$P$42,AM$3&lt;='Bonding Program'!$C$8),N('Bonding Program'!$O$42),0)</f>
        <v>0</v>
      </c>
      <c r="AN183" s="19" t="n">
        <f aca="false">IF(AND('Bonding Program'!$S$42=1,'Bonding Program'!$H$42&gt;'Bonding Program'!$C$8,AN$3='Bonding Program'!$H$42),'Bonding Program'!$T$42-'Bonding Program'!$U$42-'Bonding Program'!$Z$42,0)-IF(AND('Bonding Program'!$S$42=1,'Bonding Program'!$H$42&lt;='Bonding Program'!$C$8,AN$3=IF('Bonding Program'!$P$42&lt;&gt;"",'Bonding Program'!$P$42,'Bonding Program'!$C$8)),'Bonding Program'!$Z$42,0)+IF(AND('Bonding Program'!$P$42&lt;&gt;"",AN$3='Bonding Program'!$P$42,AN$3&lt;='Bonding Program'!$C$8),N('Bonding Program'!$O$42),0)</f>
        <v>0</v>
      </c>
      <c r="AO183" s="19" t="n">
        <f aca="false">IF(AND('Bonding Program'!$S$42=1,'Bonding Program'!$H$42&gt;'Bonding Program'!$C$8,AO$3='Bonding Program'!$H$42),'Bonding Program'!$T$42-'Bonding Program'!$U$42-'Bonding Program'!$Z$42,0)-IF(AND('Bonding Program'!$S$42=1,'Bonding Program'!$H$42&lt;='Bonding Program'!$C$8,AO$3=IF('Bonding Program'!$P$42&lt;&gt;"",'Bonding Program'!$P$42,'Bonding Program'!$C$8)),'Bonding Program'!$Z$42,0)+IF(AND('Bonding Program'!$P$42&lt;&gt;"",AO$3='Bonding Program'!$P$42,AO$3&lt;='Bonding Program'!$C$8),N('Bonding Program'!$O$42),0)</f>
        <v>0</v>
      </c>
      <c r="AP183" s="19" t="n">
        <f aca="false">IF(AND('Bonding Program'!$S$42=1,'Bonding Program'!$H$42&gt;'Bonding Program'!$C$8,AP$3='Bonding Program'!$H$42),'Bonding Program'!$T$42-'Bonding Program'!$U$42-'Bonding Program'!$Z$42,0)-IF(AND('Bonding Program'!$S$42=1,'Bonding Program'!$H$42&lt;='Bonding Program'!$C$8,AP$3=IF('Bonding Program'!$P$42&lt;&gt;"",'Bonding Program'!$P$42,'Bonding Program'!$C$8)),'Bonding Program'!$Z$42,0)+IF(AND('Bonding Program'!$P$42&lt;&gt;"",AP$3='Bonding Program'!$P$42,AP$3&lt;='Bonding Program'!$C$8),N('Bonding Program'!$O$42),0)</f>
        <v>0</v>
      </c>
      <c r="AQ183" s="19" t="n">
        <f aca="false">IF(AND('Bonding Program'!$S$42=1,'Bonding Program'!$H$42&gt;'Bonding Program'!$C$8,AQ$3='Bonding Program'!$H$42),'Bonding Program'!$T$42-'Bonding Program'!$U$42-'Bonding Program'!$Z$42,0)-IF(AND('Bonding Program'!$S$42=1,'Bonding Program'!$H$42&lt;='Bonding Program'!$C$8,AQ$3=IF('Bonding Program'!$P$42&lt;&gt;"",'Bonding Program'!$P$42,'Bonding Program'!$C$8)),'Bonding Program'!$Z$42,0)+IF(AND('Bonding Program'!$P$42&lt;&gt;"",AQ$3='Bonding Program'!$P$42,AQ$3&lt;='Bonding Program'!$C$8),N('Bonding Program'!$O$42),0)</f>
        <v>0</v>
      </c>
      <c r="AR183" s="19" t="n">
        <f aca="false">IF(AND('Bonding Program'!$S$42=1,'Bonding Program'!$H$42&gt;'Bonding Program'!$C$8,AR$3='Bonding Program'!$H$42),'Bonding Program'!$T$42-'Bonding Program'!$U$42-'Bonding Program'!$Z$42,0)-IF(AND('Bonding Program'!$S$42=1,'Bonding Program'!$H$42&lt;='Bonding Program'!$C$8,AR$3=IF('Bonding Program'!$P$42&lt;&gt;"",'Bonding Program'!$P$42,'Bonding Program'!$C$8)),'Bonding Program'!$Z$42,0)+IF(AND('Bonding Program'!$P$42&lt;&gt;"",AR$3='Bonding Program'!$P$42,AR$3&lt;='Bonding Program'!$C$8),N('Bonding Program'!$O$42),0)</f>
        <v>0</v>
      </c>
      <c r="AS183" s="19" t="n">
        <f aca="false">IF(AND('Bonding Program'!$S$42=1,'Bonding Program'!$H$42&gt;'Bonding Program'!$C$8,AS$3='Bonding Program'!$H$42),'Bonding Program'!$T$42-'Bonding Program'!$U$42-'Bonding Program'!$Z$42,0)-IF(AND('Bonding Program'!$S$42=1,'Bonding Program'!$H$42&lt;='Bonding Program'!$C$8,AS$3=IF('Bonding Program'!$P$42&lt;&gt;"",'Bonding Program'!$P$42,'Bonding Program'!$C$8)),'Bonding Program'!$Z$42,0)+IF(AND('Bonding Program'!$P$42&lt;&gt;"",AS$3='Bonding Program'!$P$42,AS$3&lt;='Bonding Program'!$C$8),N('Bonding Program'!$O$42),0)</f>
        <v>0</v>
      </c>
      <c r="AT183" s="19" t="n">
        <f aca="false">IF(AND('Bonding Program'!$S$42=1,'Bonding Program'!$H$42&gt;'Bonding Program'!$C$8,AT$3='Bonding Program'!$H$42),'Bonding Program'!$T$42-'Bonding Program'!$U$42-'Bonding Program'!$Z$42,0)-IF(AND('Bonding Program'!$S$42=1,'Bonding Program'!$H$42&lt;='Bonding Program'!$C$8,AT$3=IF('Bonding Program'!$P$42&lt;&gt;"",'Bonding Program'!$P$42,'Bonding Program'!$C$8)),'Bonding Program'!$Z$42,0)+IF(AND('Bonding Program'!$P$42&lt;&gt;"",AT$3='Bonding Program'!$P$42,AT$3&lt;='Bonding Program'!$C$8),N('Bonding Program'!$O$42),0)</f>
        <v>0</v>
      </c>
      <c r="AU183" s="19" t="n">
        <f aca="false">IF(AND('Bonding Program'!$S$42=1,'Bonding Program'!$H$42&gt;'Bonding Program'!$C$8,AU$3='Bonding Program'!$H$42),'Bonding Program'!$T$42-'Bonding Program'!$U$42-'Bonding Program'!$Z$42,0)-IF(AND('Bonding Program'!$S$42=1,'Bonding Program'!$H$42&lt;='Bonding Program'!$C$8,AU$3=IF('Bonding Program'!$P$42&lt;&gt;"",'Bonding Program'!$P$42,'Bonding Program'!$C$8)),'Bonding Program'!$Z$42,0)+IF(AND('Bonding Program'!$P$42&lt;&gt;"",AU$3='Bonding Program'!$P$42,AU$3&lt;='Bonding Program'!$C$8),N('Bonding Program'!$O$42),0)</f>
        <v>0</v>
      </c>
      <c r="AV183" s="19" t="n">
        <f aca="false">IF(AND('Bonding Program'!$S$42=1,'Bonding Program'!$H$42&gt;'Bonding Program'!$C$8,AV$3='Bonding Program'!$H$42),'Bonding Program'!$T$42-'Bonding Program'!$U$42-'Bonding Program'!$Z$42,0)-IF(AND('Bonding Program'!$S$42=1,'Bonding Program'!$H$42&lt;='Bonding Program'!$C$8,AV$3=IF('Bonding Program'!$P$42&lt;&gt;"",'Bonding Program'!$P$42,'Bonding Program'!$C$8)),'Bonding Program'!$Z$42,0)+IF(AND('Bonding Program'!$P$42&lt;&gt;"",AV$3='Bonding Program'!$P$42,AV$3&lt;='Bonding Program'!$C$8),N('Bonding Program'!$O$42),0)</f>
        <v>0</v>
      </c>
      <c r="AW183" s="19" t="n">
        <f aca="false">IF(AND('Bonding Program'!$S$42=1,'Bonding Program'!$H$42&gt;'Bonding Program'!$C$8,AW$3='Bonding Program'!$H$42),'Bonding Program'!$T$42-'Bonding Program'!$U$42-'Bonding Program'!$Z$42,0)-IF(AND('Bonding Program'!$S$42=1,'Bonding Program'!$H$42&lt;='Bonding Program'!$C$8,AW$3=IF('Bonding Program'!$P$42&lt;&gt;"",'Bonding Program'!$P$42,'Bonding Program'!$C$8)),'Bonding Program'!$Z$42,0)+IF(AND('Bonding Program'!$P$42&lt;&gt;"",AW$3='Bonding Program'!$P$42,AW$3&lt;='Bonding Program'!$C$8),N('Bonding Program'!$O$42),0)</f>
        <v>0</v>
      </c>
      <c r="AX183" s="19" t="n">
        <f aca="false">IF(AND('Bonding Program'!$S$42=1,'Bonding Program'!$H$42&gt;'Bonding Program'!$C$8,AX$3='Bonding Program'!$H$42),'Bonding Program'!$T$42-'Bonding Program'!$U$42-'Bonding Program'!$Z$42,0)-IF(AND('Bonding Program'!$S$42=1,'Bonding Program'!$H$42&lt;='Bonding Program'!$C$8,AX$3=IF('Bonding Program'!$P$42&lt;&gt;"",'Bonding Program'!$P$42,'Bonding Program'!$C$8)),'Bonding Program'!$Z$42,0)+IF(AND('Bonding Program'!$P$42&lt;&gt;"",AX$3='Bonding Program'!$P$42,AX$3&lt;='Bonding Program'!$C$8),N('Bonding Program'!$O$42),0)</f>
        <v>0</v>
      </c>
      <c r="AY183" s="19" t="n">
        <f aca="false">IF(AND('Bonding Program'!$S$42=1,'Bonding Program'!$H$42&gt;'Bonding Program'!$C$8,AY$3='Bonding Program'!$H$42),'Bonding Program'!$T$42-'Bonding Program'!$U$42-'Bonding Program'!$Z$42,0)-IF(AND('Bonding Program'!$S$42=1,'Bonding Program'!$H$42&lt;='Bonding Program'!$C$8,AY$3=IF('Bonding Program'!$P$42&lt;&gt;"",'Bonding Program'!$P$42,'Bonding Program'!$C$8)),'Bonding Program'!$Z$42,0)+IF(AND('Bonding Program'!$P$42&lt;&gt;"",AY$3='Bonding Program'!$P$42,AY$3&lt;='Bonding Program'!$C$8),N('Bonding Program'!$O$42),0)</f>
        <v>0</v>
      </c>
      <c r="AZ183" s="19" t="n">
        <f aca="false">IF(AND('Bonding Program'!$S$42=1,'Bonding Program'!$H$42&gt;'Bonding Program'!$C$8,AZ$3='Bonding Program'!$H$42),'Bonding Program'!$T$42-'Bonding Program'!$U$42-'Bonding Program'!$Z$42,0)-IF(AND('Bonding Program'!$S$42=1,'Bonding Program'!$H$42&lt;='Bonding Program'!$C$8,AZ$3=IF('Bonding Program'!$P$42&lt;&gt;"",'Bonding Program'!$P$42,'Bonding Program'!$C$8)),'Bonding Program'!$Z$42,0)+IF(AND('Bonding Program'!$P$42&lt;&gt;"",AZ$3='Bonding Program'!$P$42,AZ$3&lt;='Bonding Program'!$C$8),N('Bonding Program'!$O$42),0)</f>
        <v>0</v>
      </c>
      <c r="BA183" s="19" t="n">
        <f aca="false">IF(AND('Bonding Program'!$S$42=1,'Bonding Program'!$H$42&gt;'Bonding Program'!$C$8,BA$3='Bonding Program'!$H$42),'Bonding Program'!$T$42-'Bonding Program'!$U$42-'Bonding Program'!$Z$42,0)-IF(AND('Bonding Program'!$S$42=1,'Bonding Program'!$H$42&lt;='Bonding Program'!$C$8,BA$3=IF('Bonding Program'!$P$42&lt;&gt;"",'Bonding Program'!$P$42,'Bonding Program'!$C$8)),'Bonding Program'!$Z$42,0)+IF(AND('Bonding Program'!$P$42&lt;&gt;"",BA$3='Bonding Program'!$P$42,BA$3&lt;='Bonding Program'!$C$8),N('Bonding Program'!$O$42),0)</f>
        <v>0</v>
      </c>
      <c r="BB183" s="19" t="n">
        <f aca="false">IF(AND('Bonding Program'!$S$42=1,'Bonding Program'!$H$42&gt;'Bonding Program'!$C$8,BB$3='Bonding Program'!$H$42),'Bonding Program'!$T$42-'Bonding Program'!$U$42-'Bonding Program'!$Z$42,0)-IF(AND('Bonding Program'!$S$42=1,'Bonding Program'!$H$42&lt;='Bonding Program'!$C$8,BB$3=IF('Bonding Program'!$P$42&lt;&gt;"",'Bonding Program'!$P$42,'Bonding Program'!$C$8)),'Bonding Program'!$Z$42,0)+IF(AND('Bonding Program'!$P$42&lt;&gt;"",BB$3='Bonding Program'!$P$42,BB$3&lt;='Bonding Program'!$C$8),N('Bonding Program'!$O$42),0)</f>
        <v>0</v>
      </c>
      <c r="BC183" s="19" t="n">
        <f aca="false">IF(AND('Bonding Program'!$S$42=1,'Bonding Program'!$H$42&gt;'Bonding Program'!$C$8,BC$3='Bonding Program'!$H$42),'Bonding Program'!$T$42-'Bonding Program'!$U$42-'Bonding Program'!$Z$42,0)-IF(AND('Bonding Program'!$S$42=1,'Bonding Program'!$H$42&lt;='Bonding Program'!$C$8,BC$3=IF('Bonding Program'!$P$42&lt;&gt;"",'Bonding Program'!$P$42,'Bonding Program'!$C$8)),'Bonding Program'!$Z$42,0)+IF(AND('Bonding Program'!$P$42&lt;&gt;"",BC$3='Bonding Program'!$P$42,BC$3&lt;='Bonding Program'!$C$8),N('Bonding Program'!$O$42),0)</f>
        <v>0</v>
      </c>
      <c r="BD183" s="19" t="n">
        <f aca="false">IF(AND('Bonding Program'!$S$42=1,'Bonding Program'!$H$42&gt;'Bonding Program'!$C$8,BD$3='Bonding Program'!$H$42),'Bonding Program'!$T$42-'Bonding Program'!$U$42-'Bonding Program'!$Z$42,0)-IF(AND('Bonding Program'!$S$42=1,'Bonding Program'!$H$42&lt;='Bonding Program'!$C$8,BD$3=IF('Bonding Program'!$P$42&lt;&gt;"",'Bonding Program'!$P$42,'Bonding Program'!$C$8)),'Bonding Program'!$Z$42,0)+IF(AND('Bonding Program'!$P$42&lt;&gt;"",BD$3='Bonding Program'!$P$42,BD$3&lt;='Bonding Program'!$C$8),N('Bonding Program'!$O$42),0)</f>
        <v>0</v>
      </c>
      <c r="BE183" s="19" t="n">
        <f aca="false">IF(AND('Bonding Program'!$S$42=1,'Bonding Program'!$H$42&gt;'Bonding Program'!$C$8,BE$3='Bonding Program'!$H$42),'Bonding Program'!$T$42-'Bonding Program'!$U$42-'Bonding Program'!$Z$42,0)-IF(AND('Bonding Program'!$S$42=1,'Bonding Program'!$H$42&lt;='Bonding Program'!$C$8,BE$3=IF('Bonding Program'!$P$42&lt;&gt;"",'Bonding Program'!$P$42,'Bonding Program'!$C$8)),'Bonding Program'!$Z$42,0)+IF(AND('Bonding Program'!$P$42&lt;&gt;"",BE$3='Bonding Program'!$P$42,BE$3&lt;='Bonding Program'!$C$8),N('Bonding Program'!$O$42),0)</f>
        <v>0</v>
      </c>
      <c r="BF183" s="19" t="n">
        <f aca="false">IF(AND('Bonding Program'!$S$42=1,'Bonding Program'!$H$42&gt;'Bonding Program'!$C$8,BF$3='Bonding Program'!$H$42),'Bonding Program'!$T$42-'Bonding Program'!$U$42-'Bonding Program'!$Z$42,0)-IF(AND('Bonding Program'!$S$42=1,'Bonding Program'!$H$42&lt;='Bonding Program'!$C$8,BF$3=IF('Bonding Program'!$P$42&lt;&gt;"",'Bonding Program'!$P$42,'Bonding Program'!$C$8)),'Bonding Program'!$Z$42,0)+IF(AND('Bonding Program'!$P$42&lt;&gt;"",BF$3='Bonding Program'!$P$42,BF$3&lt;='Bonding Program'!$C$8),N('Bonding Program'!$O$42),0)</f>
        <v>0</v>
      </c>
      <c r="BG183" s="19" t="n">
        <f aca="false">IF(AND('Bonding Program'!$S$42=1,'Bonding Program'!$H$42&gt;'Bonding Program'!$C$8,BG$3='Bonding Program'!$H$42),'Bonding Program'!$T$42-'Bonding Program'!$U$42-'Bonding Program'!$Z$42,0)-IF(AND('Bonding Program'!$S$42=1,'Bonding Program'!$H$42&lt;='Bonding Program'!$C$8,BG$3=IF('Bonding Program'!$P$42&lt;&gt;"",'Bonding Program'!$P$42,'Bonding Program'!$C$8)),'Bonding Program'!$Z$42,0)+IF(AND('Bonding Program'!$P$42&lt;&gt;"",BG$3='Bonding Program'!$P$42,BG$3&lt;='Bonding Program'!$C$8),N('Bonding Program'!$O$42),0)</f>
        <v>0</v>
      </c>
      <c r="BH183" s="19" t="n">
        <f aca="false">IF(AND('Bonding Program'!$S$42=1,'Bonding Program'!$H$42&gt;'Bonding Program'!$C$8,BH$3='Bonding Program'!$H$42),'Bonding Program'!$T$42-'Bonding Program'!$U$42-'Bonding Program'!$Z$42,0)-IF(AND('Bonding Program'!$S$42=1,'Bonding Program'!$H$42&lt;='Bonding Program'!$C$8,BH$3=IF('Bonding Program'!$P$42&lt;&gt;"",'Bonding Program'!$P$42,'Bonding Program'!$C$8)),'Bonding Program'!$Z$42,0)+IF(AND('Bonding Program'!$P$42&lt;&gt;"",BH$3='Bonding Program'!$P$42,BH$3&lt;='Bonding Program'!$C$8),N('Bonding Program'!$O$42),0)</f>
        <v>0</v>
      </c>
      <c r="BI183" s="19" t="n">
        <f aca="false">IF(AND('Bonding Program'!$S$42=1,'Bonding Program'!$H$42&gt;'Bonding Program'!$C$8,BI$3='Bonding Program'!$H$42),'Bonding Program'!$T$42-'Bonding Program'!$U$42-'Bonding Program'!$Z$42,0)-IF(AND('Bonding Program'!$S$42=1,'Bonding Program'!$H$42&lt;='Bonding Program'!$C$8,BI$3=IF('Bonding Program'!$P$42&lt;&gt;"",'Bonding Program'!$P$42,'Bonding Program'!$C$8)),'Bonding Program'!$Z$42,0)+IF(AND('Bonding Program'!$P$42&lt;&gt;"",BI$3='Bonding Program'!$P$42,BI$3&lt;='Bonding Program'!$C$8),N('Bonding Program'!$O$42),0)</f>
        <v>0</v>
      </c>
      <c r="BJ183" s="19" t="n">
        <f aca="false">IF(AND('Bonding Program'!$S$42=1,'Bonding Program'!$H$42&gt;'Bonding Program'!$C$8,BJ$3='Bonding Program'!$H$42),'Bonding Program'!$T$42-'Bonding Program'!$U$42-'Bonding Program'!$Z$42,0)-IF(AND('Bonding Program'!$S$42=1,'Bonding Program'!$H$42&lt;='Bonding Program'!$C$8,BJ$3=IF('Bonding Program'!$P$42&lt;&gt;"",'Bonding Program'!$P$42,'Bonding Program'!$C$8)),'Bonding Program'!$Z$42,0)+IF(AND('Bonding Program'!$P$42&lt;&gt;"",BJ$3='Bonding Program'!$P$42,BJ$3&lt;='Bonding Program'!$C$8),N('Bonding Program'!$O$42),0)</f>
        <v>0</v>
      </c>
      <c r="BK183" s="19" t="n">
        <f aca="false">IF(AND('Bonding Program'!$S$42=1,'Bonding Program'!$H$42&gt;'Bonding Program'!$C$8,BK$3='Bonding Program'!$H$42),'Bonding Program'!$T$42-'Bonding Program'!$U$42-'Bonding Program'!$Z$42,0)-IF(AND('Bonding Program'!$S$42=1,'Bonding Program'!$H$42&lt;='Bonding Program'!$C$8,BK$3=IF('Bonding Program'!$P$42&lt;&gt;"",'Bonding Program'!$P$42,'Bonding Program'!$C$8)),'Bonding Program'!$Z$42,0)+IF(AND('Bonding Program'!$P$42&lt;&gt;"",BK$3='Bonding Program'!$P$42,BK$3&lt;='Bonding Program'!$C$8),N('Bonding Program'!$O$42),0)</f>
        <v>0</v>
      </c>
      <c r="BL183" s="19" t="n">
        <f aca="false">IF(AND('Bonding Program'!$S$42=1,'Bonding Program'!$H$42&gt;'Bonding Program'!$C$8,BL$3='Bonding Program'!$H$42),'Bonding Program'!$T$42-'Bonding Program'!$U$42-'Bonding Program'!$Z$42,0)-IF(AND('Bonding Program'!$S$42=1,'Bonding Program'!$H$42&lt;='Bonding Program'!$C$8,BL$3=IF('Bonding Program'!$P$42&lt;&gt;"",'Bonding Program'!$P$42,'Bonding Program'!$C$8)),'Bonding Program'!$Z$42,0)+IF(AND('Bonding Program'!$P$42&lt;&gt;"",BL$3='Bonding Program'!$P$42,BL$3&lt;='Bonding Program'!$C$8),N('Bonding Program'!$O$42),0)</f>
        <v>0</v>
      </c>
      <c r="BM183" s="19" t="n">
        <f aca="false">IF(AND('Bonding Program'!$S$42=1,'Bonding Program'!$H$42&gt;'Bonding Program'!$C$8,BM$3='Bonding Program'!$H$42),'Bonding Program'!$T$42-'Bonding Program'!$U$42-'Bonding Program'!$Z$42,0)-IF(AND('Bonding Program'!$S$42=1,'Bonding Program'!$H$42&lt;='Bonding Program'!$C$8,BM$3=IF('Bonding Program'!$P$42&lt;&gt;"",'Bonding Program'!$P$42,'Bonding Program'!$C$8)),'Bonding Program'!$Z$42,0)+IF(AND('Bonding Program'!$P$42&lt;&gt;"",BM$3='Bonding Program'!$P$42,BM$3&lt;='Bonding Program'!$C$8),N('Bonding Program'!$O$42),0)</f>
        <v>0</v>
      </c>
      <c r="BN183" s="19" t="n">
        <f aca="false">IF(AND('Bonding Program'!$S$42=1,'Bonding Program'!$H$42&gt;'Bonding Program'!$C$8,BN$3='Bonding Program'!$H$42),'Bonding Program'!$T$42-'Bonding Program'!$U$42-'Bonding Program'!$Z$42,0)-IF(AND('Bonding Program'!$S$42=1,'Bonding Program'!$H$42&lt;='Bonding Program'!$C$8,BN$3=IF('Bonding Program'!$P$42&lt;&gt;"",'Bonding Program'!$P$42,'Bonding Program'!$C$8)),'Bonding Program'!$Z$42,0)+IF(AND('Bonding Program'!$P$42&lt;&gt;"",BN$3='Bonding Program'!$P$42,BN$3&lt;='Bonding Program'!$C$8),N('Bonding Program'!$O$42),0)</f>
        <v>0</v>
      </c>
      <c r="BO183" s="19" t="n">
        <f aca="false">IF(AND('Bonding Program'!$S$42=1,'Bonding Program'!$H$42&gt;'Bonding Program'!$C$8,BO$3='Bonding Program'!$H$42),'Bonding Program'!$T$42-'Bonding Program'!$U$42-'Bonding Program'!$Z$42,0)-IF(AND('Bonding Program'!$S$42=1,'Bonding Program'!$H$42&lt;='Bonding Program'!$C$8,BO$3=IF('Bonding Program'!$P$42&lt;&gt;"",'Bonding Program'!$P$42,'Bonding Program'!$C$8)),'Bonding Program'!$Z$42,0)+IF(AND('Bonding Program'!$P$42&lt;&gt;"",BO$3='Bonding Program'!$P$42,BO$3&lt;='Bonding Program'!$C$8),N('Bonding Program'!$O$42),0)</f>
        <v>0</v>
      </c>
      <c r="BP183" s="19" t="n">
        <f aca="false">IF(AND('Bonding Program'!$S$42=1,'Bonding Program'!$H$42&gt;'Bonding Program'!$C$8,BP$3='Bonding Program'!$H$42),'Bonding Program'!$T$42-'Bonding Program'!$U$42-'Bonding Program'!$Z$42,0)-IF(AND('Bonding Program'!$S$42=1,'Bonding Program'!$H$42&lt;='Bonding Program'!$C$8,BP$3=IF('Bonding Program'!$P$42&lt;&gt;"",'Bonding Program'!$P$42,'Bonding Program'!$C$8)),'Bonding Program'!$Z$42,0)+IF(AND('Bonding Program'!$P$42&lt;&gt;"",BP$3='Bonding Program'!$P$42,BP$3&lt;='Bonding Program'!$C$8),N('Bonding Program'!$O$42),0)</f>
        <v>0</v>
      </c>
      <c r="BQ183" s="19" t="n">
        <f aca="false">IF(AND('Bonding Program'!$S$42=1,'Bonding Program'!$H$42&gt;'Bonding Program'!$C$8,BQ$3='Bonding Program'!$H$42),'Bonding Program'!$T$42-'Bonding Program'!$U$42-'Bonding Program'!$Z$42,0)-IF(AND('Bonding Program'!$S$42=1,'Bonding Program'!$H$42&lt;='Bonding Program'!$C$8,BQ$3=IF('Bonding Program'!$P$42&lt;&gt;"",'Bonding Program'!$P$42,'Bonding Program'!$C$8)),'Bonding Program'!$Z$42,0)+IF(AND('Bonding Program'!$P$42&lt;&gt;"",BQ$3='Bonding Program'!$P$42,BQ$3&lt;='Bonding Program'!$C$8),N('Bonding Program'!$O$42),0)</f>
        <v>0</v>
      </c>
      <c r="BR183" s="19" t="n">
        <f aca="false">IF(AND('Bonding Program'!$S$42=1,'Bonding Program'!$H$42&gt;'Bonding Program'!$C$8,BR$3='Bonding Program'!$H$42),'Bonding Program'!$T$42-'Bonding Program'!$U$42-'Bonding Program'!$Z$42,0)-IF(AND('Bonding Program'!$S$42=1,'Bonding Program'!$H$42&lt;='Bonding Program'!$C$8,BR$3=IF('Bonding Program'!$P$42&lt;&gt;"",'Bonding Program'!$P$42,'Bonding Program'!$C$8)),'Bonding Program'!$Z$42,0)+IF(AND('Bonding Program'!$P$42&lt;&gt;"",BR$3='Bonding Program'!$P$42,BR$3&lt;='Bonding Program'!$C$8),N('Bonding Program'!$O$42),0)</f>
        <v>0</v>
      </c>
      <c r="BS183" s="19" t="n">
        <f aca="false">IF(AND('Bonding Program'!$S$42=1,'Bonding Program'!$H$42&gt;'Bonding Program'!$C$8,BS$3='Bonding Program'!$H$42),'Bonding Program'!$T$42-'Bonding Program'!$U$42-'Bonding Program'!$Z$42,0)-IF(AND('Bonding Program'!$S$42=1,'Bonding Program'!$H$42&lt;='Bonding Program'!$C$8,BS$3=IF('Bonding Program'!$P$42&lt;&gt;"",'Bonding Program'!$P$42,'Bonding Program'!$C$8)),'Bonding Program'!$Z$42,0)+IF(AND('Bonding Program'!$P$42&lt;&gt;"",BS$3='Bonding Program'!$P$42,BS$3&lt;='Bonding Program'!$C$8),N('Bonding Program'!$O$42),0)</f>
        <v>0</v>
      </c>
      <c r="BT183" s="19" t="n">
        <f aca="false">IF(AND('Bonding Program'!$S$42=1,'Bonding Program'!$H$42&gt;'Bonding Program'!$C$8,BT$3='Bonding Program'!$H$42),'Bonding Program'!$T$42-'Bonding Program'!$U$42-'Bonding Program'!$Z$42,0)-IF(AND('Bonding Program'!$S$42=1,'Bonding Program'!$H$42&lt;='Bonding Program'!$C$8,BT$3=IF('Bonding Program'!$P$42&lt;&gt;"",'Bonding Program'!$P$42,'Bonding Program'!$C$8)),'Bonding Program'!$Z$42,0)+IF(AND('Bonding Program'!$P$42&lt;&gt;"",BT$3='Bonding Program'!$P$42,BT$3&lt;='Bonding Program'!$C$8),N('Bonding Program'!$O$42),0)</f>
        <v>0</v>
      </c>
      <c r="BU183" s="19" t="n">
        <f aca="false">IF(AND('Bonding Program'!$S$42=1,'Bonding Program'!$H$42&gt;'Bonding Program'!$C$8,BU$3='Bonding Program'!$H$42),'Bonding Program'!$T$42-'Bonding Program'!$U$42-'Bonding Program'!$Z$42,0)-IF(AND('Bonding Program'!$S$42=1,'Bonding Program'!$H$42&lt;='Bonding Program'!$C$8,BU$3=IF('Bonding Program'!$P$42&lt;&gt;"",'Bonding Program'!$P$42,'Bonding Program'!$C$8)),'Bonding Program'!$Z$42,0)+IF(AND('Bonding Program'!$P$42&lt;&gt;"",BU$3='Bonding Program'!$P$42,BU$3&lt;='Bonding Program'!$C$8),N('Bonding Program'!$O$42),0)</f>
        <v>0</v>
      </c>
      <c r="BV183" s="19" t="n">
        <f aca="false">IF(AND('Bonding Program'!$S$42=1,'Bonding Program'!$H$42&gt;'Bonding Program'!$C$8,BV$3='Bonding Program'!$H$42),'Bonding Program'!$T$42-'Bonding Program'!$U$42-'Bonding Program'!$Z$42,0)-IF(AND('Bonding Program'!$S$42=1,'Bonding Program'!$H$42&lt;='Bonding Program'!$C$8,BV$3=IF('Bonding Program'!$P$42&lt;&gt;"",'Bonding Program'!$P$42,'Bonding Program'!$C$8)),'Bonding Program'!$Z$42,0)+IF(AND('Bonding Program'!$P$42&lt;&gt;"",BV$3='Bonding Program'!$P$42,BV$3&lt;='Bonding Program'!$C$8),N('Bonding Program'!$O$42),0)</f>
        <v>0</v>
      </c>
      <c r="BW183" s="19" t="n">
        <f aca="false">IF(AND('Bonding Program'!$S$42=1,'Bonding Program'!$H$42&gt;'Bonding Program'!$C$8,BW$3='Bonding Program'!$H$42),'Bonding Program'!$T$42-'Bonding Program'!$U$42-'Bonding Program'!$Z$42,0)-IF(AND('Bonding Program'!$S$42=1,'Bonding Program'!$H$42&lt;='Bonding Program'!$C$8,BW$3=IF('Bonding Program'!$P$42&lt;&gt;"",'Bonding Program'!$P$42,'Bonding Program'!$C$8)),'Bonding Program'!$Z$42,0)+IF(AND('Bonding Program'!$P$42&lt;&gt;"",BW$3='Bonding Program'!$P$42,BW$3&lt;='Bonding Program'!$C$8),N('Bonding Program'!$O$42),0)</f>
        <v>0</v>
      </c>
      <c r="BX183" s="19" t="n">
        <f aca="false">IF(AND('Bonding Program'!$S$42=1,'Bonding Program'!$H$42&gt;'Bonding Program'!$C$8,BX$3='Bonding Program'!$H$42),'Bonding Program'!$T$42-'Bonding Program'!$U$42-'Bonding Program'!$Z$42,0)-IF(AND('Bonding Program'!$S$42=1,'Bonding Program'!$H$42&lt;='Bonding Program'!$C$8,BX$3=IF('Bonding Program'!$P$42&lt;&gt;"",'Bonding Program'!$P$42,'Bonding Program'!$C$8)),'Bonding Program'!$Z$42,0)+IF(AND('Bonding Program'!$P$42&lt;&gt;"",BX$3='Bonding Program'!$P$42,BX$3&lt;='Bonding Program'!$C$8),N('Bonding Program'!$O$42),0)</f>
        <v>0</v>
      </c>
      <c r="BY183" s="19" t="n">
        <f aca="false">IF(AND('Bonding Program'!$S$42=1,'Bonding Program'!$H$42&gt;'Bonding Program'!$C$8,BY$3='Bonding Program'!$H$42),'Bonding Program'!$T$42-'Bonding Program'!$U$42-'Bonding Program'!$Z$42,0)-IF(AND('Bonding Program'!$S$42=1,'Bonding Program'!$H$42&lt;='Bonding Program'!$C$8,BY$3=IF('Bonding Program'!$P$42&lt;&gt;"",'Bonding Program'!$P$42,'Bonding Program'!$C$8)),'Bonding Program'!$Z$42,0)+IF(AND('Bonding Program'!$P$42&lt;&gt;"",BY$3='Bonding Program'!$P$42,BY$3&lt;='Bonding Program'!$C$8),N('Bonding Program'!$O$42),0)</f>
        <v>0</v>
      </c>
      <c r="BZ183" s="19" t="n">
        <f aca="false">IF(AND('Bonding Program'!$S$42=1,'Bonding Program'!$H$42&gt;'Bonding Program'!$C$8,BZ$3='Bonding Program'!$H$42),'Bonding Program'!$T$42-'Bonding Program'!$U$42-'Bonding Program'!$Z$42,0)-IF(AND('Bonding Program'!$S$42=1,'Bonding Program'!$H$42&lt;='Bonding Program'!$C$8,BZ$3=IF('Bonding Program'!$P$42&lt;&gt;"",'Bonding Program'!$P$42,'Bonding Program'!$C$8)),'Bonding Program'!$Z$42,0)+IF(AND('Bonding Program'!$P$42&lt;&gt;"",BZ$3='Bonding Program'!$P$42,BZ$3&lt;='Bonding Program'!$C$8),N('Bonding Program'!$O$42),0)</f>
        <v>0</v>
      </c>
      <c r="CA183" s="19" t="n">
        <f aca="false">IF(AND('Bonding Program'!$S$42=1,'Bonding Program'!$H$42&gt;'Bonding Program'!$C$8,CA$3='Bonding Program'!$H$42),'Bonding Program'!$T$42-'Bonding Program'!$U$42-'Bonding Program'!$Z$42,0)-IF(AND('Bonding Program'!$S$42=1,'Bonding Program'!$H$42&lt;='Bonding Program'!$C$8,CA$3=IF('Bonding Program'!$P$42&lt;&gt;"",'Bonding Program'!$P$42,'Bonding Program'!$C$8)),'Bonding Program'!$Z$42,0)+IF(AND('Bonding Program'!$P$42&lt;&gt;"",CA$3='Bonding Program'!$P$42,CA$3&lt;='Bonding Program'!$C$8),N('Bonding Program'!$O$42),0)</f>
        <v>0</v>
      </c>
      <c r="CB183" s="19" t="n">
        <f aca="false">IF(AND('Bonding Program'!$S$42=1,'Bonding Program'!$H$42&gt;'Bonding Program'!$C$8,CB$3='Bonding Program'!$H$42),'Bonding Program'!$T$42-'Bonding Program'!$U$42-'Bonding Program'!$Z$42,0)-IF(AND('Bonding Program'!$S$42=1,'Bonding Program'!$H$42&lt;='Bonding Program'!$C$8,CB$3=IF('Bonding Program'!$P$42&lt;&gt;"",'Bonding Program'!$P$42,'Bonding Program'!$C$8)),'Bonding Program'!$Z$42,0)+IF(AND('Bonding Program'!$P$42&lt;&gt;"",CB$3='Bonding Program'!$P$42,CB$3&lt;='Bonding Program'!$C$8),N('Bonding Program'!$O$42),0)</f>
        <v>0</v>
      </c>
      <c r="CC183" s="19" t="n">
        <f aca="false">IF(AND('Bonding Program'!$S$42=1,'Bonding Program'!$H$42&gt;'Bonding Program'!$C$8,CC$3='Bonding Program'!$H$42),'Bonding Program'!$T$42-'Bonding Program'!$U$42-'Bonding Program'!$Z$42,0)-IF(AND('Bonding Program'!$S$42=1,'Bonding Program'!$H$42&lt;='Bonding Program'!$C$8,CC$3=IF('Bonding Program'!$P$42&lt;&gt;"",'Bonding Program'!$P$42,'Bonding Program'!$C$8)),'Bonding Program'!$Z$42,0)+IF(AND('Bonding Program'!$P$42&lt;&gt;"",CC$3='Bonding Program'!$P$42,CC$3&lt;='Bonding Program'!$C$8),N('Bonding Program'!$O$42),0)</f>
        <v>0</v>
      </c>
      <c r="CD183" s="19" t="n">
        <f aca="false">IF(AND('Bonding Program'!$S$42=1,'Bonding Program'!$H$42&gt;'Bonding Program'!$C$8,CD$3='Bonding Program'!$H$42),'Bonding Program'!$T$42-'Bonding Program'!$U$42-'Bonding Program'!$Z$42,0)-IF(AND('Bonding Program'!$S$42=1,'Bonding Program'!$H$42&lt;='Bonding Program'!$C$8,CD$3=IF('Bonding Program'!$P$42&lt;&gt;"",'Bonding Program'!$P$42,'Bonding Program'!$C$8)),'Bonding Program'!$Z$42,0)+IF(AND('Bonding Program'!$P$42&lt;&gt;"",CD$3='Bonding Program'!$P$42,CD$3&lt;='Bonding Program'!$C$8),N('Bonding Program'!$O$42),0)</f>
        <v>0</v>
      </c>
      <c r="CE183" s="19" t="n">
        <f aca="false">IF(AND('Bonding Program'!$S$42=1,'Bonding Program'!$H$42&gt;'Bonding Program'!$C$8,CE$3='Bonding Program'!$H$42),'Bonding Program'!$T$42-'Bonding Program'!$U$42-'Bonding Program'!$Z$42,0)-IF(AND('Bonding Program'!$S$42=1,'Bonding Program'!$H$42&lt;='Bonding Program'!$C$8,CE$3=IF('Bonding Program'!$P$42&lt;&gt;"",'Bonding Program'!$P$42,'Bonding Program'!$C$8)),'Bonding Program'!$Z$42,0)+IF(AND('Bonding Program'!$P$42&lt;&gt;"",CE$3='Bonding Program'!$P$42,CE$3&lt;='Bonding Program'!$C$8),N('Bonding Program'!$O$42),0)</f>
        <v>0</v>
      </c>
      <c r="CF183" s="19" t="n">
        <f aca="false">IF(AND('Bonding Program'!$S$42=1,'Bonding Program'!$H$42&gt;'Bonding Program'!$C$8,CF$3='Bonding Program'!$H$42),'Bonding Program'!$T$42-'Bonding Program'!$U$42-'Bonding Program'!$Z$42,0)-IF(AND('Bonding Program'!$S$42=1,'Bonding Program'!$H$42&lt;='Bonding Program'!$C$8,CF$3=IF('Bonding Program'!$P$42&lt;&gt;"",'Bonding Program'!$P$42,'Bonding Program'!$C$8)),'Bonding Program'!$Z$42,0)+IF(AND('Bonding Program'!$P$42&lt;&gt;"",CF$3='Bonding Program'!$P$42,CF$3&lt;='Bonding Program'!$C$8),N('Bonding Program'!$O$42),0)</f>
        <v>0</v>
      </c>
      <c r="CG183" s="19" t="n">
        <f aca="false">IF(AND('Bonding Program'!$S$42=1,'Bonding Program'!$H$42&gt;'Bonding Program'!$C$8,CG$3='Bonding Program'!$H$42),'Bonding Program'!$T$42-'Bonding Program'!$U$42-'Bonding Program'!$Z$42,0)-IF(AND('Bonding Program'!$S$42=1,'Bonding Program'!$H$42&lt;='Bonding Program'!$C$8,CG$3=IF('Bonding Program'!$P$42&lt;&gt;"",'Bonding Program'!$P$42,'Bonding Program'!$C$8)),'Bonding Program'!$Z$42,0)+IF(AND('Bonding Program'!$P$42&lt;&gt;"",CG$3='Bonding Program'!$P$42,CG$3&lt;='Bonding Program'!$C$8),N('Bonding Program'!$O$42),0)</f>
        <v>0</v>
      </c>
      <c r="CH183" s="19" t="n">
        <f aca="false">IF(AND('Bonding Program'!$S$42=1,'Bonding Program'!$H$42&gt;'Bonding Program'!$C$8,CH$3='Bonding Program'!$H$42),'Bonding Program'!$T$42-'Bonding Program'!$U$42-'Bonding Program'!$Z$42,0)-IF(AND('Bonding Program'!$S$42=1,'Bonding Program'!$H$42&lt;='Bonding Program'!$C$8,CH$3=IF('Bonding Program'!$P$42&lt;&gt;"",'Bonding Program'!$P$42,'Bonding Program'!$C$8)),'Bonding Program'!$Z$42,0)+IF(AND('Bonding Program'!$P$42&lt;&gt;"",CH$3='Bonding Program'!$P$42,CH$3&lt;='Bonding Program'!$C$8),N('Bonding Program'!$O$42),0)</f>
        <v>0</v>
      </c>
      <c r="CI183" s="19" t="n">
        <f aca="false">IF(AND('Bonding Program'!$S$42=1,'Bonding Program'!$H$42&gt;'Bonding Program'!$C$8,CI$3='Bonding Program'!$H$42),'Bonding Program'!$T$42-'Bonding Program'!$U$42-'Bonding Program'!$Z$42,0)-IF(AND('Bonding Program'!$S$42=1,'Bonding Program'!$H$42&lt;='Bonding Program'!$C$8,CI$3=IF('Bonding Program'!$P$42&lt;&gt;"",'Bonding Program'!$P$42,'Bonding Program'!$C$8)),'Bonding Program'!$Z$42,0)+IF(AND('Bonding Program'!$P$42&lt;&gt;"",CI$3='Bonding Program'!$P$42,CI$3&lt;='Bonding Program'!$C$8),N('Bonding Program'!$O$42),0)</f>
        <v>0</v>
      </c>
      <c r="CJ183" s="19" t="n">
        <f aca="false">IF(AND('Bonding Program'!$S$42=1,'Bonding Program'!$H$42&gt;'Bonding Program'!$C$8,CJ$3='Bonding Program'!$H$42),'Bonding Program'!$T$42-'Bonding Program'!$U$42-'Bonding Program'!$Z$42,0)-IF(AND('Bonding Program'!$S$42=1,'Bonding Program'!$H$42&lt;='Bonding Program'!$C$8,CJ$3=IF('Bonding Program'!$P$42&lt;&gt;"",'Bonding Program'!$P$42,'Bonding Program'!$C$8)),'Bonding Program'!$Z$42,0)+IF(AND('Bonding Program'!$P$42&lt;&gt;"",CJ$3='Bonding Program'!$P$42,CJ$3&lt;='Bonding Program'!$C$8),N('Bonding Program'!$O$42),0)</f>
        <v>0</v>
      </c>
      <c r="CK183" s="19" t="n">
        <f aca="false">IF(AND('Bonding Program'!$S$42=1,'Bonding Program'!$H$42&gt;'Bonding Program'!$C$8,CK$3='Bonding Program'!$H$42),'Bonding Program'!$T$42-'Bonding Program'!$U$42-'Bonding Program'!$Z$42,0)-IF(AND('Bonding Program'!$S$42=1,'Bonding Program'!$H$42&lt;='Bonding Program'!$C$8,CK$3=IF('Bonding Program'!$P$42&lt;&gt;"",'Bonding Program'!$P$42,'Bonding Program'!$C$8)),'Bonding Program'!$Z$42,0)+IF(AND('Bonding Program'!$P$42&lt;&gt;"",CK$3='Bonding Program'!$P$42,CK$3&lt;='Bonding Program'!$C$8),N('Bonding Program'!$O$42),0)</f>
        <v>0</v>
      </c>
      <c r="CL183" s="19" t="n">
        <f aca="false">IF(AND('Bonding Program'!$S$42=1,'Bonding Program'!$H$42&gt;'Bonding Program'!$C$8,CL$3='Bonding Program'!$H$42),'Bonding Program'!$T$42-'Bonding Program'!$U$42-'Bonding Program'!$Z$42,0)-IF(AND('Bonding Program'!$S$42=1,'Bonding Program'!$H$42&lt;='Bonding Program'!$C$8,CL$3=IF('Bonding Program'!$P$42&lt;&gt;"",'Bonding Program'!$P$42,'Bonding Program'!$C$8)),'Bonding Program'!$Z$42,0)+IF(AND('Bonding Program'!$P$42&lt;&gt;"",CL$3='Bonding Program'!$P$42,CL$3&lt;='Bonding Program'!$C$8),N('Bonding Program'!$O$42),0)</f>
        <v>0</v>
      </c>
      <c r="CM183" s="19" t="n">
        <f aca="false">IF(AND('Bonding Program'!$S$42=1,'Bonding Program'!$H$42&gt;'Bonding Program'!$C$8,CM$3='Bonding Program'!$H$42),'Bonding Program'!$T$42-'Bonding Program'!$U$42-'Bonding Program'!$Z$42,0)-IF(AND('Bonding Program'!$S$42=1,'Bonding Program'!$H$42&lt;='Bonding Program'!$C$8,CM$3=IF('Bonding Program'!$P$42&lt;&gt;"",'Bonding Program'!$P$42,'Bonding Program'!$C$8)),'Bonding Program'!$Z$42,0)+IF(AND('Bonding Program'!$P$42&lt;&gt;"",CM$3='Bonding Program'!$P$42,CM$3&lt;='Bonding Program'!$C$8),N('Bonding Program'!$O$42),0)</f>
        <v>0</v>
      </c>
      <c r="CN183" s="19" t="n">
        <f aca="false">IF(AND('Bonding Program'!$S$42=1,'Bonding Program'!$H$42&gt;'Bonding Program'!$C$8,CN$3='Bonding Program'!$H$42),'Bonding Program'!$T$42-'Bonding Program'!$U$42-'Bonding Program'!$Z$42,0)-IF(AND('Bonding Program'!$S$42=1,'Bonding Program'!$H$42&lt;='Bonding Program'!$C$8,CN$3=IF('Bonding Program'!$P$42&lt;&gt;"",'Bonding Program'!$P$42,'Bonding Program'!$C$8)),'Bonding Program'!$Z$42,0)+IF(AND('Bonding Program'!$P$42&lt;&gt;"",CN$3='Bonding Program'!$P$42,CN$3&lt;='Bonding Program'!$C$8),N('Bonding Program'!$O$42),0)</f>
        <v>0</v>
      </c>
      <c r="CO183" s="19" t="n">
        <f aca="false">IF(AND('Bonding Program'!$S$42=1,'Bonding Program'!$H$42&gt;'Bonding Program'!$C$8,CO$3='Bonding Program'!$H$42),'Bonding Program'!$T$42-'Bonding Program'!$U$42-'Bonding Program'!$Z$42,0)-IF(AND('Bonding Program'!$S$42=1,'Bonding Program'!$H$42&lt;='Bonding Program'!$C$8,CO$3=IF('Bonding Program'!$P$42&lt;&gt;"",'Bonding Program'!$P$42,'Bonding Program'!$C$8)),'Bonding Program'!$Z$42,0)+IF(AND('Bonding Program'!$P$42&lt;&gt;"",CO$3='Bonding Program'!$P$42,CO$3&lt;='Bonding Program'!$C$8),N('Bonding Program'!$O$42),0)</f>
        <v>0</v>
      </c>
      <c r="CP183" s="19" t="n">
        <f aca="false">IF(AND('Bonding Program'!$S$42=1,'Bonding Program'!$H$42&gt;'Bonding Program'!$C$8,CP$3='Bonding Program'!$H$42),'Bonding Program'!$T$42-'Bonding Program'!$U$42-'Bonding Program'!$Z$42,0)-IF(AND('Bonding Program'!$S$42=1,'Bonding Program'!$H$42&lt;='Bonding Program'!$C$8,CP$3=IF('Bonding Program'!$P$42&lt;&gt;"",'Bonding Program'!$P$42,'Bonding Program'!$C$8)),'Bonding Program'!$Z$42,0)+IF(AND('Bonding Program'!$P$42&lt;&gt;"",CP$3='Bonding Program'!$P$42,CP$3&lt;='Bonding Program'!$C$8),N('Bonding Program'!$O$42),0)</f>
        <v>0</v>
      </c>
      <c r="CQ183" s="19" t="n">
        <f aca="false">IF(AND('Bonding Program'!$S$42=1,'Bonding Program'!$H$42&gt;'Bonding Program'!$C$8,CQ$3='Bonding Program'!$H$42),'Bonding Program'!$T$42-'Bonding Program'!$U$42-'Bonding Program'!$Z$42,0)-IF(AND('Bonding Program'!$S$42=1,'Bonding Program'!$H$42&lt;='Bonding Program'!$C$8,CQ$3=IF('Bonding Program'!$P$42&lt;&gt;"",'Bonding Program'!$P$42,'Bonding Program'!$C$8)),'Bonding Program'!$Z$42,0)+IF(AND('Bonding Program'!$P$42&lt;&gt;"",CQ$3='Bonding Program'!$P$42,CQ$3&lt;='Bonding Program'!$C$8),N('Bonding Program'!$O$42),0)</f>
        <v>0</v>
      </c>
      <c r="CR183" s="19" t="n">
        <f aca="false">IF(AND('Bonding Program'!$S$42=1,'Bonding Program'!$H$42&gt;'Bonding Program'!$C$8,CR$3='Bonding Program'!$H$42),'Bonding Program'!$T$42-'Bonding Program'!$U$42-'Bonding Program'!$Z$42,0)-IF(AND('Bonding Program'!$S$42=1,'Bonding Program'!$H$42&lt;='Bonding Program'!$C$8,CR$3=IF('Bonding Program'!$P$42&lt;&gt;"",'Bonding Program'!$P$42,'Bonding Program'!$C$8)),'Bonding Program'!$Z$42,0)+IF(AND('Bonding Program'!$P$42&lt;&gt;"",CR$3='Bonding Program'!$P$42,CR$3&lt;='Bonding Program'!$C$8),N('Bonding Program'!$O$42),0)</f>
        <v>0</v>
      </c>
      <c r="CS183" s="19" t="n">
        <f aca="false">IF(AND('Bonding Program'!$S$42=1,'Bonding Program'!$H$42&gt;'Bonding Program'!$C$8,CS$3='Bonding Program'!$H$42),'Bonding Program'!$T$42-'Bonding Program'!$U$42-'Bonding Program'!$Z$42,0)-IF(AND('Bonding Program'!$S$42=1,'Bonding Program'!$H$42&lt;='Bonding Program'!$C$8,CS$3=IF('Bonding Program'!$P$42&lt;&gt;"",'Bonding Program'!$P$42,'Bonding Program'!$C$8)),'Bonding Program'!$Z$42,0)+IF(AND('Bonding Program'!$P$42&lt;&gt;"",CS$3='Bonding Program'!$P$42,CS$3&lt;='Bonding Program'!$C$8),N('Bonding Program'!$O$42),0)</f>
        <v>0</v>
      </c>
      <c r="CT183" s="19" t="n">
        <f aca="false">IF(AND('Bonding Program'!$S$42=1,'Bonding Program'!$H$42&gt;'Bonding Program'!$C$8,CT$3='Bonding Program'!$H$42),'Bonding Program'!$T$42-'Bonding Program'!$U$42-'Bonding Program'!$Z$42,0)-IF(AND('Bonding Program'!$S$42=1,'Bonding Program'!$H$42&lt;='Bonding Program'!$C$8,CT$3=IF('Bonding Program'!$P$42&lt;&gt;"",'Bonding Program'!$P$42,'Bonding Program'!$C$8)),'Bonding Program'!$Z$42,0)+IF(AND('Bonding Program'!$P$42&lt;&gt;"",CT$3='Bonding Program'!$P$42,CT$3&lt;='Bonding Program'!$C$8),N('Bonding Program'!$O$42),0)</f>
        <v>0</v>
      </c>
      <c r="CU183" s="19" t="n">
        <f aca="false">IF(AND('Bonding Program'!$S$42=1,'Bonding Program'!$H$42&gt;'Bonding Program'!$C$8,CU$3='Bonding Program'!$H$42),'Bonding Program'!$T$42-'Bonding Program'!$U$42-'Bonding Program'!$Z$42,0)-IF(AND('Bonding Program'!$S$42=1,'Bonding Program'!$H$42&lt;='Bonding Program'!$C$8,CU$3=IF('Bonding Program'!$P$42&lt;&gt;"",'Bonding Program'!$P$42,'Bonding Program'!$C$8)),'Bonding Program'!$Z$42,0)+IF(AND('Bonding Program'!$P$42&lt;&gt;"",CU$3='Bonding Program'!$P$42,CU$3&lt;='Bonding Program'!$C$8),N('Bonding Program'!$O$42),0)</f>
        <v>0</v>
      </c>
      <c r="CV183" s="19" t="n">
        <f aca="false">IF(AND('Bonding Program'!$S$42=1,'Bonding Program'!$H$42&gt;'Bonding Program'!$C$8,CV$3='Bonding Program'!$H$42),'Bonding Program'!$T$42-'Bonding Program'!$U$42-'Bonding Program'!$Z$42,0)-IF(AND('Bonding Program'!$S$42=1,'Bonding Program'!$H$42&lt;='Bonding Program'!$C$8,CV$3=IF('Bonding Program'!$P$42&lt;&gt;"",'Bonding Program'!$P$42,'Bonding Program'!$C$8)),'Bonding Program'!$Z$42,0)+IF(AND('Bonding Program'!$P$42&lt;&gt;"",CV$3='Bonding Program'!$P$42,CV$3&lt;='Bonding Program'!$C$8),N('Bonding Program'!$O$42),0)</f>
        <v>0</v>
      </c>
      <c r="CW183" s="19" t="n">
        <f aca="false">IF(AND('Bonding Program'!$S$42=1,'Bonding Program'!$H$42&gt;'Bonding Program'!$C$8,CW$3='Bonding Program'!$H$42),'Bonding Program'!$T$42-'Bonding Program'!$U$42-'Bonding Program'!$Z$42,0)-IF(AND('Bonding Program'!$S$42=1,'Bonding Program'!$H$42&lt;='Bonding Program'!$C$8,CW$3=IF('Bonding Program'!$P$42&lt;&gt;"",'Bonding Program'!$P$42,'Bonding Program'!$C$8)),'Bonding Program'!$Z$42,0)+IF(AND('Bonding Program'!$P$42&lt;&gt;"",CW$3='Bonding Program'!$P$42,CW$3&lt;='Bonding Program'!$C$8),N('Bonding Program'!$O$42),0)</f>
        <v>0</v>
      </c>
      <c r="CX183" s="19" t="n">
        <f aca="false">IF(AND('Bonding Program'!$S$42=1,'Bonding Program'!$H$42&gt;'Bonding Program'!$C$8,CX$3='Bonding Program'!$H$42),'Bonding Program'!$T$42-'Bonding Program'!$U$42-'Bonding Program'!$Z$42,0)-IF(AND('Bonding Program'!$S$42=1,'Bonding Program'!$H$42&lt;='Bonding Program'!$C$8,CX$3=IF('Bonding Program'!$P$42&lt;&gt;"",'Bonding Program'!$P$42,'Bonding Program'!$C$8)),'Bonding Program'!$Z$42,0)+IF(AND('Bonding Program'!$P$42&lt;&gt;"",CX$3='Bonding Program'!$P$42,CX$3&lt;='Bonding Program'!$C$8),N('Bonding Program'!$O$42),0)</f>
        <v>0</v>
      </c>
      <c r="CY183" s="19" t="n">
        <f aca="false">IF(AND('Bonding Program'!$S$42=1,'Bonding Program'!$H$42&gt;'Bonding Program'!$C$8,CY$3='Bonding Program'!$H$42),'Bonding Program'!$T$42-'Bonding Program'!$U$42-'Bonding Program'!$Z$42,0)-IF(AND('Bonding Program'!$S$42=1,'Bonding Program'!$H$42&lt;='Bonding Program'!$C$8,CY$3=IF('Bonding Program'!$P$42&lt;&gt;"",'Bonding Program'!$P$42,'Bonding Program'!$C$8)),'Bonding Program'!$Z$42,0)+IF(AND('Bonding Program'!$P$42&lt;&gt;"",CY$3='Bonding Program'!$P$42,CY$3&lt;='Bonding Program'!$C$8),N('Bonding Program'!$O$42),0)</f>
        <v>0</v>
      </c>
      <c r="CZ183" s="19" t="n">
        <f aca="false">IF(AND('Bonding Program'!$S$42=1,'Bonding Program'!$H$42&gt;'Bonding Program'!$C$8,CZ$3='Bonding Program'!$H$42),'Bonding Program'!$T$42-'Bonding Program'!$U$42-'Bonding Program'!$Z$42,0)-IF(AND('Bonding Program'!$S$42=1,'Bonding Program'!$H$42&lt;='Bonding Program'!$C$8,CZ$3=IF('Bonding Program'!$P$42&lt;&gt;"",'Bonding Program'!$P$42,'Bonding Program'!$C$8)),'Bonding Program'!$Z$42,0)+IF(AND('Bonding Program'!$P$42&lt;&gt;"",CZ$3='Bonding Program'!$P$42,CZ$3&lt;='Bonding Program'!$C$8),N('Bonding Program'!$O$42),0)</f>
        <v>0</v>
      </c>
      <c r="DA183" s="19" t="n">
        <f aca="false">IF(AND('Bonding Program'!$S$42=1,'Bonding Program'!$H$42&gt;'Bonding Program'!$C$8,DA$3='Bonding Program'!$H$42),'Bonding Program'!$T$42-'Bonding Program'!$U$42-'Bonding Program'!$Z$42,0)-IF(AND('Bonding Program'!$S$42=1,'Bonding Program'!$H$42&lt;='Bonding Program'!$C$8,DA$3=IF('Bonding Program'!$P$42&lt;&gt;"",'Bonding Program'!$P$42,'Bonding Program'!$C$8)),'Bonding Program'!$Z$42,0)+IF(AND('Bonding Program'!$P$42&lt;&gt;"",DA$3='Bonding Program'!$P$42,DA$3&lt;='Bonding Program'!$C$8),N('Bonding Program'!$O$42),0)</f>
        <v>0</v>
      </c>
      <c r="DB183" s="19" t="n">
        <f aca="false">IF(AND('Bonding Program'!$S$42=1,'Bonding Program'!$H$42&gt;'Bonding Program'!$C$8,DB$3='Bonding Program'!$H$42),'Bonding Program'!$T$42-'Bonding Program'!$U$42-'Bonding Program'!$Z$42,0)-IF(AND('Bonding Program'!$S$42=1,'Bonding Program'!$H$42&lt;='Bonding Program'!$C$8,DB$3=IF('Bonding Program'!$P$42&lt;&gt;"",'Bonding Program'!$P$42,'Bonding Program'!$C$8)),'Bonding Program'!$Z$42,0)+IF(AND('Bonding Program'!$P$42&lt;&gt;"",DB$3='Bonding Program'!$P$42,DB$3&lt;='Bonding Program'!$C$8),N('Bonding Program'!$O$42),0)</f>
        <v>0</v>
      </c>
      <c r="DC183" s="19" t="n">
        <f aca="false">IF(AND('Bonding Program'!$S$42=1,'Bonding Program'!$H$42&gt;'Bonding Program'!$C$8,DC$3='Bonding Program'!$H$42),'Bonding Program'!$T$42-'Bonding Program'!$U$42-'Bonding Program'!$Z$42,0)-IF(AND('Bonding Program'!$S$42=1,'Bonding Program'!$H$42&lt;='Bonding Program'!$C$8,DC$3=IF('Bonding Program'!$P$42&lt;&gt;"",'Bonding Program'!$P$42,'Bonding Program'!$C$8)),'Bonding Program'!$Z$42,0)+IF(AND('Bonding Program'!$P$42&lt;&gt;"",DC$3='Bonding Program'!$P$42,DC$3&lt;='Bonding Program'!$C$8),N('Bonding Program'!$O$42),0)</f>
        <v>0</v>
      </c>
      <c r="DD183" s="19" t="n">
        <f aca="false">IF(AND('Bonding Program'!$S$42=1,'Bonding Program'!$H$42&gt;'Bonding Program'!$C$8,DD$3='Bonding Program'!$H$42),'Bonding Program'!$T$42-'Bonding Program'!$U$42-'Bonding Program'!$Z$42,0)-IF(AND('Bonding Program'!$S$42=1,'Bonding Program'!$H$42&lt;='Bonding Program'!$C$8,DD$3=IF('Bonding Program'!$P$42&lt;&gt;"",'Bonding Program'!$P$42,'Bonding Program'!$C$8)),'Bonding Program'!$Z$42,0)+IF(AND('Bonding Program'!$P$42&lt;&gt;"",DD$3='Bonding Program'!$P$42,DD$3&lt;='Bonding Program'!$C$8),N('Bonding Program'!$O$42),0)</f>
        <v>0</v>
      </c>
      <c r="DE183" s="19" t="n">
        <f aca="false">IF(AND('Bonding Program'!$S$42=1,'Bonding Program'!$H$42&gt;'Bonding Program'!$C$8,DE$3='Bonding Program'!$H$42),'Bonding Program'!$T$42-'Bonding Program'!$U$42-'Bonding Program'!$Z$42,0)-IF(AND('Bonding Program'!$S$42=1,'Bonding Program'!$H$42&lt;='Bonding Program'!$C$8,DE$3=IF('Bonding Program'!$P$42&lt;&gt;"",'Bonding Program'!$P$42,'Bonding Program'!$C$8)),'Bonding Program'!$Z$42,0)+IF(AND('Bonding Program'!$P$42&lt;&gt;"",DE$3='Bonding Program'!$P$42,DE$3&lt;='Bonding Program'!$C$8),N('Bonding Program'!$O$42),0)</f>
        <v>0</v>
      </c>
    </row>
    <row r="184" customFormat="false" ht="15" hidden="false" customHeight="true" outlineLevel="1" collapsed="false">
      <c r="A184" s="28" t="s">
        <v>39</v>
      </c>
      <c r="B184" s="19" t="n">
        <f aca="false">IF(AND('Bonding Program'!$S$43=1,'Bonding Program'!$H$43&gt;'Bonding Program'!$C$8,B$3='Bonding Program'!$H$43),'Bonding Program'!$T$43-'Bonding Program'!$U$43-'Bonding Program'!$Z$43,0)-IF(AND('Bonding Program'!$S$43=1,'Bonding Program'!$H$43&lt;='Bonding Program'!$C$8,B$3=IF('Bonding Program'!$P$43&lt;&gt;"",'Bonding Program'!$P$43,'Bonding Program'!$C$8)),'Bonding Program'!$Z$43,0)+IF(AND('Bonding Program'!$P$43&lt;&gt;"",B$3='Bonding Program'!$P$43,B$3&lt;='Bonding Program'!$C$8),N('Bonding Program'!$O$43),0)</f>
        <v>0</v>
      </c>
      <c r="C184" s="19" t="n">
        <f aca="false">IF(AND('Bonding Program'!$S$43=1,'Bonding Program'!$H$43&gt;'Bonding Program'!$C$8,C$3='Bonding Program'!$H$43),'Bonding Program'!$T$43-'Bonding Program'!$U$43-'Bonding Program'!$Z$43,0)-IF(AND('Bonding Program'!$S$43=1,'Bonding Program'!$H$43&lt;='Bonding Program'!$C$8,C$3=IF('Bonding Program'!$P$43&lt;&gt;"",'Bonding Program'!$P$43,'Bonding Program'!$C$8)),'Bonding Program'!$Z$43,0)+IF(AND('Bonding Program'!$P$43&lt;&gt;"",C$3='Bonding Program'!$P$43,C$3&lt;='Bonding Program'!$C$8),N('Bonding Program'!$O$43),0)</f>
        <v>0</v>
      </c>
      <c r="D184" s="19" t="n">
        <f aca="false">IF(AND('Bonding Program'!$S$43=1,'Bonding Program'!$H$43&gt;'Bonding Program'!$C$8,D$3='Bonding Program'!$H$43),'Bonding Program'!$T$43-'Bonding Program'!$U$43-'Bonding Program'!$Z$43,0)-IF(AND('Bonding Program'!$S$43=1,'Bonding Program'!$H$43&lt;='Bonding Program'!$C$8,D$3=IF('Bonding Program'!$P$43&lt;&gt;"",'Bonding Program'!$P$43,'Bonding Program'!$C$8)),'Bonding Program'!$Z$43,0)+IF(AND('Bonding Program'!$P$43&lt;&gt;"",D$3='Bonding Program'!$P$43,D$3&lt;='Bonding Program'!$C$8),N('Bonding Program'!$O$43),0)</f>
        <v>0</v>
      </c>
      <c r="E184" s="19" t="n">
        <f aca="false">IF(AND('Bonding Program'!$S$43=1,'Bonding Program'!$H$43&gt;'Bonding Program'!$C$8,E$3='Bonding Program'!$H$43),'Bonding Program'!$T$43-'Bonding Program'!$U$43-'Bonding Program'!$Z$43,0)-IF(AND('Bonding Program'!$S$43=1,'Bonding Program'!$H$43&lt;='Bonding Program'!$C$8,E$3=IF('Bonding Program'!$P$43&lt;&gt;"",'Bonding Program'!$P$43,'Bonding Program'!$C$8)),'Bonding Program'!$Z$43,0)+IF(AND('Bonding Program'!$P$43&lt;&gt;"",E$3='Bonding Program'!$P$43,E$3&lt;='Bonding Program'!$C$8),N('Bonding Program'!$O$43),0)</f>
        <v>0</v>
      </c>
      <c r="F184" s="19" t="n">
        <f aca="false">IF(AND('Bonding Program'!$S$43=1,'Bonding Program'!$H$43&gt;'Bonding Program'!$C$8,F$3='Bonding Program'!$H$43),'Bonding Program'!$T$43-'Bonding Program'!$U$43-'Bonding Program'!$Z$43,0)-IF(AND('Bonding Program'!$S$43=1,'Bonding Program'!$H$43&lt;='Bonding Program'!$C$8,F$3=IF('Bonding Program'!$P$43&lt;&gt;"",'Bonding Program'!$P$43,'Bonding Program'!$C$8)),'Bonding Program'!$Z$43,0)+IF(AND('Bonding Program'!$P$43&lt;&gt;"",F$3='Bonding Program'!$P$43,F$3&lt;='Bonding Program'!$C$8),N('Bonding Program'!$O$43),0)</f>
        <v>0</v>
      </c>
      <c r="G184" s="19" t="n">
        <f aca="false">IF(AND('Bonding Program'!$S$43=1,'Bonding Program'!$H$43&gt;'Bonding Program'!$C$8,G$3='Bonding Program'!$H$43),'Bonding Program'!$T$43-'Bonding Program'!$U$43-'Bonding Program'!$Z$43,0)-IF(AND('Bonding Program'!$S$43=1,'Bonding Program'!$H$43&lt;='Bonding Program'!$C$8,G$3=IF('Bonding Program'!$P$43&lt;&gt;"",'Bonding Program'!$P$43,'Bonding Program'!$C$8)),'Bonding Program'!$Z$43,0)+IF(AND('Bonding Program'!$P$43&lt;&gt;"",G$3='Bonding Program'!$P$43,G$3&lt;='Bonding Program'!$C$8),N('Bonding Program'!$O$43),0)</f>
        <v>0</v>
      </c>
      <c r="H184" s="19" t="n">
        <f aca="false">IF(AND('Bonding Program'!$S$43=1,'Bonding Program'!$H$43&gt;'Bonding Program'!$C$8,H$3='Bonding Program'!$H$43),'Bonding Program'!$T$43-'Bonding Program'!$U$43-'Bonding Program'!$Z$43,0)-IF(AND('Bonding Program'!$S$43=1,'Bonding Program'!$H$43&lt;='Bonding Program'!$C$8,H$3=IF('Bonding Program'!$P$43&lt;&gt;"",'Bonding Program'!$P$43,'Bonding Program'!$C$8)),'Bonding Program'!$Z$43,0)+IF(AND('Bonding Program'!$P$43&lt;&gt;"",H$3='Bonding Program'!$P$43,H$3&lt;='Bonding Program'!$C$8),N('Bonding Program'!$O$43),0)</f>
        <v>0</v>
      </c>
      <c r="I184" s="19" t="n">
        <f aca="false">IF(AND('Bonding Program'!$S$43=1,'Bonding Program'!$H$43&gt;'Bonding Program'!$C$8,I$3='Bonding Program'!$H$43),'Bonding Program'!$T$43-'Bonding Program'!$U$43-'Bonding Program'!$Z$43,0)-IF(AND('Bonding Program'!$S$43=1,'Bonding Program'!$H$43&lt;='Bonding Program'!$C$8,I$3=IF('Bonding Program'!$P$43&lt;&gt;"",'Bonding Program'!$P$43,'Bonding Program'!$C$8)),'Bonding Program'!$Z$43,0)+IF(AND('Bonding Program'!$P$43&lt;&gt;"",I$3='Bonding Program'!$P$43,I$3&lt;='Bonding Program'!$C$8),N('Bonding Program'!$O$43),0)</f>
        <v>0</v>
      </c>
      <c r="J184" s="19" t="n">
        <f aca="false">IF(AND('Bonding Program'!$S$43=1,'Bonding Program'!$H$43&gt;'Bonding Program'!$C$8,J$3='Bonding Program'!$H$43),'Bonding Program'!$T$43-'Bonding Program'!$U$43-'Bonding Program'!$Z$43,0)-IF(AND('Bonding Program'!$S$43=1,'Bonding Program'!$H$43&lt;='Bonding Program'!$C$8,J$3=IF('Bonding Program'!$P$43&lt;&gt;"",'Bonding Program'!$P$43,'Bonding Program'!$C$8)),'Bonding Program'!$Z$43,0)+IF(AND('Bonding Program'!$P$43&lt;&gt;"",J$3='Bonding Program'!$P$43,J$3&lt;='Bonding Program'!$C$8),N('Bonding Program'!$O$43),0)</f>
        <v>0</v>
      </c>
      <c r="K184" s="19" t="n">
        <f aca="false">IF(AND('Bonding Program'!$S$43=1,'Bonding Program'!$H$43&gt;'Bonding Program'!$C$8,K$3='Bonding Program'!$H$43),'Bonding Program'!$T$43-'Bonding Program'!$U$43-'Bonding Program'!$Z$43,0)-IF(AND('Bonding Program'!$S$43=1,'Bonding Program'!$H$43&lt;='Bonding Program'!$C$8,K$3=IF('Bonding Program'!$P$43&lt;&gt;"",'Bonding Program'!$P$43,'Bonding Program'!$C$8)),'Bonding Program'!$Z$43,0)+IF(AND('Bonding Program'!$P$43&lt;&gt;"",K$3='Bonding Program'!$P$43,K$3&lt;='Bonding Program'!$C$8),N('Bonding Program'!$O$43),0)</f>
        <v>0</v>
      </c>
      <c r="L184" s="19" t="n">
        <f aca="false">IF(AND('Bonding Program'!$S$43=1,'Bonding Program'!$H$43&gt;'Bonding Program'!$C$8,L$3='Bonding Program'!$H$43),'Bonding Program'!$T$43-'Bonding Program'!$U$43-'Bonding Program'!$Z$43,0)-IF(AND('Bonding Program'!$S$43=1,'Bonding Program'!$H$43&lt;='Bonding Program'!$C$8,L$3=IF('Bonding Program'!$P$43&lt;&gt;"",'Bonding Program'!$P$43,'Bonding Program'!$C$8)),'Bonding Program'!$Z$43,0)+IF(AND('Bonding Program'!$P$43&lt;&gt;"",L$3='Bonding Program'!$P$43,L$3&lt;='Bonding Program'!$C$8),N('Bonding Program'!$O$43),0)</f>
        <v>0</v>
      </c>
      <c r="M184" s="19" t="n">
        <f aca="false">IF(AND('Bonding Program'!$S$43=1,'Bonding Program'!$H$43&gt;'Bonding Program'!$C$8,M$3='Bonding Program'!$H$43),'Bonding Program'!$T$43-'Bonding Program'!$U$43-'Bonding Program'!$Z$43,0)-IF(AND('Bonding Program'!$S$43=1,'Bonding Program'!$H$43&lt;='Bonding Program'!$C$8,M$3=IF('Bonding Program'!$P$43&lt;&gt;"",'Bonding Program'!$P$43,'Bonding Program'!$C$8)),'Bonding Program'!$Z$43,0)+IF(AND('Bonding Program'!$P$43&lt;&gt;"",M$3='Bonding Program'!$P$43,M$3&lt;='Bonding Program'!$C$8),N('Bonding Program'!$O$43),0)</f>
        <v>0</v>
      </c>
      <c r="N184" s="19" t="n">
        <f aca="false">IF(AND('Bonding Program'!$S$43=1,'Bonding Program'!$H$43&gt;'Bonding Program'!$C$8,N$3='Bonding Program'!$H$43),'Bonding Program'!$T$43-'Bonding Program'!$U$43-'Bonding Program'!$Z$43,0)-IF(AND('Bonding Program'!$S$43=1,'Bonding Program'!$H$43&lt;='Bonding Program'!$C$8,N$3=IF('Bonding Program'!$P$43&lt;&gt;"",'Bonding Program'!$P$43,'Bonding Program'!$C$8)),'Bonding Program'!$Z$43,0)+IF(AND('Bonding Program'!$P$43&lt;&gt;"",N$3='Bonding Program'!$P$43,N$3&lt;='Bonding Program'!$C$8),N('Bonding Program'!$O$43),0)</f>
        <v>0</v>
      </c>
      <c r="O184" s="19" t="n">
        <f aca="false">IF(AND('Bonding Program'!$S$43=1,'Bonding Program'!$H$43&gt;'Bonding Program'!$C$8,O$3='Bonding Program'!$H$43),'Bonding Program'!$T$43-'Bonding Program'!$U$43-'Bonding Program'!$Z$43,0)-IF(AND('Bonding Program'!$S$43=1,'Bonding Program'!$H$43&lt;='Bonding Program'!$C$8,O$3=IF('Bonding Program'!$P$43&lt;&gt;"",'Bonding Program'!$P$43,'Bonding Program'!$C$8)),'Bonding Program'!$Z$43,0)+IF(AND('Bonding Program'!$P$43&lt;&gt;"",O$3='Bonding Program'!$P$43,O$3&lt;='Bonding Program'!$C$8),N('Bonding Program'!$O$43),0)</f>
        <v>0</v>
      </c>
      <c r="P184" s="19" t="n">
        <f aca="false">IF(AND('Bonding Program'!$S$43=1,'Bonding Program'!$H$43&gt;'Bonding Program'!$C$8,P$3='Bonding Program'!$H$43),'Bonding Program'!$T$43-'Bonding Program'!$U$43-'Bonding Program'!$Z$43,0)-IF(AND('Bonding Program'!$S$43=1,'Bonding Program'!$H$43&lt;='Bonding Program'!$C$8,P$3=IF('Bonding Program'!$P$43&lt;&gt;"",'Bonding Program'!$P$43,'Bonding Program'!$C$8)),'Bonding Program'!$Z$43,0)+IF(AND('Bonding Program'!$P$43&lt;&gt;"",P$3='Bonding Program'!$P$43,P$3&lt;='Bonding Program'!$C$8),N('Bonding Program'!$O$43),0)</f>
        <v>0</v>
      </c>
      <c r="Q184" s="19" t="n">
        <f aca="false">IF(AND('Bonding Program'!$S$43=1,'Bonding Program'!$H$43&gt;'Bonding Program'!$C$8,Q$3='Bonding Program'!$H$43),'Bonding Program'!$T$43-'Bonding Program'!$U$43-'Bonding Program'!$Z$43,0)-IF(AND('Bonding Program'!$S$43=1,'Bonding Program'!$H$43&lt;='Bonding Program'!$C$8,Q$3=IF('Bonding Program'!$P$43&lt;&gt;"",'Bonding Program'!$P$43,'Bonding Program'!$C$8)),'Bonding Program'!$Z$43,0)+IF(AND('Bonding Program'!$P$43&lt;&gt;"",Q$3='Bonding Program'!$P$43,Q$3&lt;='Bonding Program'!$C$8),N('Bonding Program'!$O$43),0)</f>
        <v>0</v>
      </c>
      <c r="R184" s="19" t="n">
        <f aca="false">IF(AND('Bonding Program'!$S$43=1,'Bonding Program'!$H$43&gt;'Bonding Program'!$C$8,R$3='Bonding Program'!$H$43),'Bonding Program'!$T$43-'Bonding Program'!$U$43-'Bonding Program'!$Z$43,0)-IF(AND('Bonding Program'!$S$43=1,'Bonding Program'!$H$43&lt;='Bonding Program'!$C$8,R$3=IF('Bonding Program'!$P$43&lt;&gt;"",'Bonding Program'!$P$43,'Bonding Program'!$C$8)),'Bonding Program'!$Z$43,0)+IF(AND('Bonding Program'!$P$43&lt;&gt;"",R$3='Bonding Program'!$P$43,R$3&lt;='Bonding Program'!$C$8),N('Bonding Program'!$O$43),0)</f>
        <v>0</v>
      </c>
      <c r="S184" s="19" t="n">
        <f aca="false">IF(AND('Bonding Program'!$S$43=1,'Bonding Program'!$H$43&gt;'Bonding Program'!$C$8,S$3='Bonding Program'!$H$43),'Bonding Program'!$T$43-'Bonding Program'!$U$43-'Bonding Program'!$Z$43,0)-IF(AND('Bonding Program'!$S$43=1,'Bonding Program'!$H$43&lt;='Bonding Program'!$C$8,S$3=IF('Bonding Program'!$P$43&lt;&gt;"",'Bonding Program'!$P$43,'Bonding Program'!$C$8)),'Bonding Program'!$Z$43,0)+IF(AND('Bonding Program'!$P$43&lt;&gt;"",S$3='Bonding Program'!$P$43,S$3&lt;='Bonding Program'!$C$8),N('Bonding Program'!$O$43),0)</f>
        <v>0</v>
      </c>
      <c r="T184" s="19" t="n">
        <f aca="false">IF(AND('Bonding Program'!$S$43=1,'Bonding Program'!$H$43&gt;'Bonding Program'!$C$8,T$3='Bonding Program'!$H$43),'Bonding Program'!$T$43-'Bonding Program'!$U$43-'Bonding Program'!$Z$43,0)-IF(AND('Bonding Program'!$S$43=1,'Bonding Program'!$H$43&lt;='Bonding Program'!$C$8,T$3=IF('Bonding Program'!$P$43&lt;&gt;"",'Bonding Program'!$P$43,'Bonding Program'!$C$8)),'Bonding Program'!$Z$43,0)+IF(AND('Bonding Program'!$P$43&lt;&gt;"",T$3='Bonding Program'!$P$43,T$3&lt;='Bonding Program'!$C$8),N('Bonding Program'!$O$43),0)</f>
        <v>0</v>
      </c>
      <c r="U184" s="19" t="n">
        <f aca="false">IF(AND('Bonding Program'!$S$43=1,'Bonding Program'!$H$43&gt;'Bonding Program'!$C$8,U$3='Bonding Program'!$H$43),'Bonding Program'!$T$43-'Bonding Program'!$U$43-'Bonding Program'!$Z$43,0)-IF(AND('Bonding Program'!$S$43=1,'Bonding Program'!$H$43&lt;='Bonding Program'!$C$8,U$3=IF('Bonding Program'!$P$43&lt;&gt;"",'Bonding Program'!$P$43,'Bonding Program'!$C$8)),'Bonding Program'!$Z$43,0)+IF(AND('Bonding Program'!$P$43&lt;&gt;"",U$3='Bonding Program'!$P$43,U$3&lt;='Bonding Program'!$C$8),N('Bonding Program'!$O$43),0)</f>
        <v>0</v>
      </c>
      <c r="V184" s="19" t="n">
        <f aca="false">IF(AND('Bonding Program'!$S$43=1,'Bonding Program'!$H$43&gt;'Bonding Program'!$C$8,V$3='Bonding Program'!$H$43),'Bonding Program'!$T$43-'Bonding Program'!$U$43-'Bonding Program'!$Z$43,0)-IF(AND('Bonding Program'!$S$43=1,'Bonding Program'!$H$43&lt;='Bonding Program'!$C$8,V$3=IF('Bonding Program'!$P$43&lt;&gt;"",'Bonding Program'!$P$43,'Bonding Program'!$C$8)),'Bonding Program'!$Z$43,0)+IF(AND('Bonding Program'!$P$43&lt;&gt;"",V$3='Bonding Program'!$P$43,V$3&lt;='Bonding Program'!$C$8),N('Bonding Program'!$O$43),0)</f>
        <v>0</v>
      </c>
      <c r="W184" s="19" t="n">
        <f aca="false">IF(AND('Bonding Program'!$S$43=1,'Bonding Program'!$H$43&gt;'Bonding Program'!$C$8,W$3='Bonding Program'!$H$43),'Bonding Program'!$T$43-'Bonding Program'!$U$43-'Bonding Program'!$Z$43,0)-IF(AND('Bonding Program'!$S$43=1,'Bonding Program'!$H$43&lt;='Bonding Program'!$C$8,W$3=IF('Bonding Program'!$P$43&lt;&gt;"",'Bonding Program'!$P$43,'Bonding Program'!$C$8)),'Bonding Program'!$Z$43,0)+IF(AND('Bonding Program'!$P$43&lt;&gt;"",W$3='Bonding Program'!$P$43,W$3&lt;='Bonding Program'!$C$8),N('Bonding Program'!$O$43),0)</f>
        <v>0</v>
      </c>
      <c r="X184" s="19" t="n">
        <f aca="false">IF(AND('Bonding Program'!$S$43=1,'Bonding Program'!$H$43&gt;'Bonding Program'!$C$8,X$3='Bonding Program'!$H$43),'Bonding Program'!$T$43-'Bonding Program'!$U$43-'Bonding Program'!$Z$43,0)-IF(AND('Bonding Program'!$S$43=1,'Bonding Program'!$H$43&lt;='Bonding Program'!$C$8,X$3=IF('Bonding Program'!$P$43&lt;&gt;"",'Bonding Program'!$P$43,'Bonding Program'!$C$8)),'Bonding Program'!$Z$43,0)+IF(AND('Bonding Program'!$P$43&lt;&gt;"",X$3='Bonding Program'!$P$43,X$3&lt;='Bonding Program'!$C$8),N('Bonding Program'!$O$43),0)</f>
        <v>0</v>
      </c>
      <c r="Y184" s="19" t="n">
        <f aca="false">IF(AND('Bonding Program'!$S$43=1,'Bonding Program'!$H$43&gt;'Bonding Program'!$C$8,Y$3='Bonding Program'!$H$43),'Bonding Program'!$T$43-'Bonding Program'!$U$43-'Bonding Program'!$Z$43,0)-IF(AND('Bonding Program'!$S$43=1,'Bonding Program'!$H$43&lt;='Bonding Program'!$C$8,Y$3=IF('Bonding Program'!$P$43&lt;&gt;"",'Bonding Program'!$P$43,'Bonding Program'!$C$8)),'Bonding Program'!$Z$43,0)+IF(AND('Bonding Program'!$P$43&lt;&gt;"",Y$3='Bonding Program'!$P$43,Y$3&lt;='Bonding Program'!$C$8),N('Bonding Program'!$O$43),0)</f>
        <v>0</v>
      </c>
      <c r="Z184" s="19" t="n">
        <f aca="false">IF(AND('Bonding Program'!$S$43=1,'Bonding Program'!$H$43&gt;'Bonding Program'!$C$8,Z$3='Bonding Program'!$H$43),'Bonding Program'!$T$43-'Bonding Program'!$U$43-'Bonding Program'!$Z$43,0)-IF(AND('Bonding Program'!$S$43=1,'Bonding Program'!$H$43&lt;='Bonding Program'!$C$8,Z$3=IF('Bonding Program'!$P$43&lt;&gt;"",'Bonding Program'!$P$43,'Bonding Program'!$C$8)),'Bonding Program'!$Z$43,0)+IF(AND('Bonding Program'!$P$43&lt;&gt;"",Z$3='Bonding Program'!$P$43,Z$3&lt;='Bonding Program'!$C$8),N('Bonding Program'!$O$43),0)</f>
        <v>0</v>
      </c>
      <c r="AA184" s="19" t="n">
        <f aca="false">IF(AND('Bonding Program'!$S$43=1,'Bonding Program'!$H$43&gt;'Bonding Program'!$C$8,AA$3='Bonding Program'!$H$43),'Bonding Program'!$T$43-'Bonding Program'!$U$43-'Bonding Program'!$Z$43,0)-IF(AND('Bonding Program'!$S$43=1,'Bonding Program'!$H$43&lt;='Bonding Program'!$C$8,AA$3=IF('Bonding Program'!$P$43&lt;&gt;"",'Bonding Program'!$P$43,'Bonding Program'!$C$8)),'Bonding Program'!$Z$43,0)+IF(AND('Bonding Program'!$P$43&lt;&gt;"",AA$3='Bonding Program'!$P$43,AA$3&lt;='Bonding Program'!$C$8),N('Bonding Program'!$O$43),0)</f>
        <v>0</v>
      </c>
      <c r="AB184" s="19" t="n">
        <f aca="false">IF(AND('Bonding Program'!$S$43=1,'Bonding Program'!$H$43&gt;'Bonding Program'!$C$8,AB$3='Bonding Program'!$H$43),'Bonding Program'!$T$43-'Bonding Program'!$U$43-'Bonding Program'!$Z$43,0)-IF(AND('Bonding Program'!$S$43=1,'Bonding Program'!$H$43&lt;='Bonding Program'!$C$8,AB$3=IF('Bonding Program'!$P$43&lt;&gt;"",'Bonding Program'!$P$43,'Bonding Program'!$C$8)),'Bonding Program'!$Z$43,0)+IF(AND('Bonding Program'!$P$43&lt;&gt;"",AB$3='Bonding Program'!$P$43,AB$3&lt;='Bonding Program'!$C$8),N('Bonding Program'!$O$43),0)</f>
        <v>0</v>
      </c>
      <c r="AC184" s="19" t="n">
        <f aca="false">IF(AND('Bonding Program'!$S$43=1,'Bonding Program'!$H$43&gt;'Bonding Program'!$C$8,AC$3='Bonding Program'!$H$43),'Bonding Program'!$T$43-'Bonding Program'!$U$43-'Bonding Program'!$Z$43,0)-IF(AND('Bonding Program'!$S$43=1,'Bonding Program'!$H$43&lt;='Bonding Program'!$C$8,AC$3=IF('Bonding Program'!$P$43&lt;&gt;"",'Bonding Program'!$P$43,'Bonding Program'!$C$8)),'Bonding Program'!$Z$43,0)+IF(AND('Bonding Program'!$P$43&lt;&gt;"",AC$3='Bonding Program'!$P$43,AC$3&lt;='Bonding Program'!$C$8),N('Bonding Program'!$O$43),0)</f>
        <v>0</v>
      </c>
      <c r="AD184" s="19" t="n">
        <f aca="false">IF(AND('Bonding Program'!$S$43=1,'Bonding Program'!$H$43&gt;'Bonding Program'!$C$8,AD$3='Bonding Program'!$H$43),'Bonding Program'!$T$43-'Bonding Program'!$U$43-'Bonding Program'!$Z$43,0)-IF(AND('Bonding Program'!$S$43=1,'Bonding Program'!$H$43&lt;='Bonding Program'!$C$8,AD$3=IF('Bonding Program'!$P$43&lt;&gt;"",'Bonding Program'!$P$43,'Bonding Program'!$C$8)),'Bonding Program'!$Z$43,0)+IF(AND('Bonding Program'!$P$43&lt;&gt;"",AD$3='Bonding Program'!$P$43,AD$3&lt;='Bonding Program'!$C$8),N('Bonding Program'!$O$43),0)</f>
        <v>0</v>
      </c>
      <c r="AE184" s="19" t="n">
        <f aca="false">IF(AND('Bonding Program'!$S$43=1,'Bonding Program'!$H$43&gt;'Bonding Program'!$C$8,AE$3='Bonding Program'!$H$43),'Bonding Program'!$T$43-'Bonding Program'!$U$43-'Bonding Program'!$Z$43,0)-IF(AND('Bonding Program'!$S$43=1,'Bonding Program'!$H$43&lt;='Bonding Program'!$C$8,AE$3=IF('Bonding Program'!$P$43&lt;&gt;"",'Bonding Program'!$P$43,'Bonding Program'!$C$8)),'Bonding Program'!$Z$43,0)+IF(AND('Bonding Program'!$P$43&lt;&gt;"",AE$3='Bonding Program'!$P$43,AE$3&lt;='Bonding Program'!$C$8),N('Bonding Program'!$O$43),0)</f>
        <v>0</v>
      </c>
      <c r="AF184" s="19" t="n">
        <f aca="false">IF(AND('Bonding Program'!$S$43=1,'Bonding Program'!$H$43&gt;'Bonding Program'!$C$8,AF$3='Bonding Program'!$H$43),'Bonding Program'!$T$43-'Bonding Program'!$U$43-'Bonding Program'!$Z$43,0)-IF(AND('Bonding Program'!$S$43=1,'Bonding Program'!$H$43&lt;='Bonding Program'!$C$8,AF$3=IF('Bonding Program'!$P$43&lt;&gt;"",'Bonding Program'!$P$43,'Bonding Program'!$C$8)),'Bonding Program'!$Z$43,0)+IF(AND('Bonding Program'!$P$43&lt;&gt;"",AF$3='Bonding Program'!$P$43,AF$3&lt;='Bonding Program'!$C$8),N('Bonding Program'!$O$43),0)</f>
        <v>0</v>
      </c>
      <c r="AG184" s="19" t="n">
        <f aca="false">IF(AND('Bonding Program'!$S$43=1,'Bonding Program'!$H$43&gt;'Bonding Program'!$C$8,AG$3='Bonding Program'!$H$43),'Bonding Program'!$T$43-'Bonding Program'!$U$43-'Bonding Program'!$Z$43,0)-IF(AND('Bonding Program'!$S$43=1,'Bonding Program'!$H$43&lt;='Bonding Program'!$C$8,AG$3=IF('Bonding Program'!$P$43&lt;&gt;"",'Bonding Program'!$P$43,'Bonding Program'!$C$8)),'Bonding Program'!$Z$43,0)+IF(AND('Bonding Program'!$P$43&lt;&gt;"",AG$3='Bonding Program'!$P$43,AG$3&lt;='Bonding Program'!$C$8),N('Bonding Program'!$O$43),0)</f>
        <v>0</v>
      </c>
      <c r="AH184" s="19" t="n">
        <f aca="false">IF(AND('Bonding Program'!$S$43=1,'Bonding Program'!$H$43&gt;'Bonding Program'!$C$8,AH$3='Bonding Program'!$H$43),'Bonding Program'!$T$43-'Bonding Program'!$U$43-'Bonding Program'!$Z$43,0)-IF(AND('Bonding Program'!$S$43=1,'Bonding Program'!$H$43&lt;='Bonding Program'!$C$8,AH$3=IF('Bonding Program'!$P$43&lt;&gt;"",'Bonding Program'!$P$43,'Bonding Program'!$C$8)),'Bonding Program'!$Z$43,0)+IF(AND('Bonding Program'!$P$43&lt;&gt;"",AH$3='Bonding Program'!$P$43,AH$3&lt;='Bonding Program'!$C$8),N('Bonding Program'!$O$43),0)</f>
        <v>0</v>
      </c>
      <c r="AI184" s="19" t="n">
        <f aca="false">IF(AND('Bonding Program'!$S$43=1,'Bonding Program'!$H$43&gt;'Bonding Program'!$C$8,AI$3='Bonding Program'!$H$43),'Bonding Program'!$T$43-'Bonding Program'!$U$43-'Bonding Program'!$Z$43,0)-IF(AND('Bonding Program'!$S$43=1,'Bonding Program'!$H$43&lt;='Bonding Program'!$C$8,AI$3=IF('Bonding Program'!$P$43&lt;&gt;"",'Bonding Program'!$P$43,'Bonding Program'!$C$8)),'Bonding Program'!$Z$43,0)+IF(AND('Bonding Program'!$P$43&lt;&gt;"",AI$3='Bonding Program'!$P$43,AI$3&lt;='Bonding Program'!$C$8),N('Bonding Program'!$O$43),0)</f>
        <v>0</v>
      </c>
      <c r="AJ184" s="19" t="n">
        <f aca="false">IF(AND('Bonding Program'!$S$43=1,'Bonding Program'!$H$43&gt;'Bonding Program'!$C$8,AJ$3='Bonding Program'!$H$43),'Bonding Program'!$T$43-'Bonding Program'!$U$43-'Bonding Program'!$Z$43,0)-IF(AND('Bonding Program'!$S$43=1,'Bonding Program'!$H$43&lt;='Bonding Program'!$C$8,AJ$3=IF('Bonding Program'!$P$43&lt;&gt;"",'Bonding Program'!$P$43,'Bonding Program'!$C$8)),'Bonding Program'!$Z$43,0)+IF(AND('Bonding Program'!$P$43&lt;&gt;"",AJ$3='Bonding Program'!$P$43,AJ$3&lt;='Bonding Program'!$C$8),N('Bonding Program'!$O$43),0)</f>
        <v>0</v>
      </c>
      <c r="AK184" s="19" t="n">
        <f aca="false">IF(AND('Bonding Program'!$S$43=1,'Bonding Program'!$H$43&gt;'Bonding Program'!$C$8,AK$3='Bonding Program'!$H$43),'Bonding Program'!$T$43-'Bonding Program'!$U$43-'Bonding Program'!$Z$43,0)-IF(AND('Bonding Program'!$S$43=1,'Bonding Program'!$H$43&lt;='Bonding Program'!$C$8,AK$3=IF('Bonding Program'!$P$43&lt;&gt;"",'Bonding Program'!$P$43,'Bonding Program'!$C$8)),'Bonding Program'!$Z$43,0)+IF(AND('Bonding Program'!$P$43&lt;&gt;"",AK$3='Bonding Program'!$P$43,AK$3&lt;='Bonding Program'!$C$8),N('Bonding Program'!$O$43),0)</f>
        <v>0</v>
      </c>
      <c r="AL184" s="19" t="n">
        <f aca="false">IF(AND('Bonding Program'!$S$43=1,'Bonding Program'!$H$43&gt;'Bonding Program'!$C$8,AL$3='Bonding Program'!$H$43),'Bonding Program'!$T$43-'Bonding Program'!$U$43-'Bonding Program'!$Z$43,0)-IF(AND('Bonding Program'!$S$43=1,'Bonding Program'!$H$43&lt;='Bonding Program'!$C$8,AL$3=IF('Bonding Program'!$P$43&lt;&gt;"",'Bonding Program'!$P$43,'Bonding Program'!$C$8)),'Bonding Program'!$Z$43,0)+IF(AND('Bonding Program'!$P$43&lt;&gt;"",AL$3='Bonding Program'!$P$43,AL$3&lt;='Bonding Program'!$C$8),N('Bonding Program'!$O$43),0)</f>
        <v>0</v>
      </c>
      <c r="AM184" s="19" t="n">
        <f aca="false">IF(AND('Bonding Program'!$S$43=1,'Bonding Program'!$H$43&gt;'Bonding Program'!$C$8,AM$3='Bonding Program'!$H$43),'Bonding Program'!$T$43-'Bonding Program'!$U$43-'Bonding Program'!$Z$43,0)-IF(AND('Bonding Program'!$S$43=1,'Bonding Program'!$H$43&lt;='Bonding Program'!$C$8,AM$3=IF('Bonding Program'!$P$43&lt;&gt;"",'Bonding Program'!$P$43,'Bonding Program'!$C$8)),'Bonding Program'!$Z$43,0)+IF(AND('Bonding Program'!$P$43&lt;&gt;"",AM$3='Bonding Program'!$P$43,AM$3&lt;='Bonding Program'!$C$8),N('Bonding Program'!$O$43),0)</f>
        <v>0</v>
      </c>
      <c r="AN184" s="19" t="n">
        <f aca="false">IF(AND('Bonding Program'!$S$43=1,'Bonding Program'!$H$43&gt;'Bonding Program'!$C$8,AN$3='Bonding Program'!$H$43),'Bonding Program'!$T$43-'Bonding Program'!$U$43-'Bonding Program'!$Z$43,0)-IF(AND('Bonding Program'!$S$43=1,'Bonding Program'!$H$43&lt;='Bonding Program'!$C$8,AN$3=IF('Bonding Program'!$P$43&lt;&gt;"",'Bonding Program'!$P$43,'Bonding Program'!$C$8)),'Bonding Program'!$Z$43,0)+IF(AND('Bonding Program'!$P$43&lt;&gt;"",AN$3='Bonding Program'!$P$43,AN$3&lt;='Bonding Program'!$C$8),N('Bonding Program'!$O$43),0)</f>
        <v>0</v>
      </c>
      <c r="AO184" s="19" t="n">
        <f aca="false">IF(AND('Bonding Program'!$S$43=1,'Bonding Program'!$H$43&gt;'Bonding Program'!$C$8,AO$3='Bonding Program'!$H$43),'Bonding Program'!$T$43-'Bonding Program'!$U$43-'Bonding Program'!$Z$43,0)-IF(AND('Bonding Program'!$S$43=1,'Bonding Program'!$H$43&lt;='Bonding Program'!$C$8,AO$3=IF('Bonding Program'!$P$43&lt;&gt;"",'Bonding Program'!$P$43,'Bonding Program'!$C$8)),'Bonding Program'!$Z$43,0)+IF(AND('Bonding Program'!$P$43&lt;&gt;"",AO$3='Bonding Program'!$P$43,AO$3&lt;='Bonding Program'!$C$8),N('Bonding Program'!$O$43),0)</f>
        <v>0</v>
      </c>
      <c r="AP184" s="19" t="n">
        <f aca="false">IF(AND('Bonding Program'!$S$43=1,'Bonding Program'!$H$43&gt;'Bonding Program'!$C$8,AP$3='Bonding Program'!$H$43),'Bonding Program'!$T$43-'Bonding Program'!$U$43-'Bonding Program'!$Z$43,0)-IF(AND('Bonding Program'!$S$43=1,'Bonding Program'!$H$43&lt;='Bonding Program'!$C$8,AP$3=IF('Bonding Program'!$P$43&lt;&gt;"",'Bonding Program'!$P$43,'Bonding Program'!$C$8)),'Bonding Program'!$Z$43,0)+IF(AND('Bonding Program'!$P$43&lt;&gt;"",AP$3='Bonding Program'!$P$43,AP$3&lt;='Bonding Program'!$C$8),N('Bonding Program'!$O$43),0)</f>
        <v>0</v>
      </c>
      <c r="AQ184" s="19" t="n">
        <f aca="false">IF(AND('Bonding Program'!$S$43=1,'Bonding Program'!$H$43&gt;'Bonding Program'!$C$8,AQ$3='Bonding Program'!$H$43),'Bonding Program'!$T$43-'Bonding Program'!$U$43-'Bonding Program'!$Z$43,0)-IF(AND('Bonding Program'!$S$43=1,'Bonding Program'!$H$43&lt;='Bonding Program'!$C$8,AQ$3=IF('Bonding Program'!$P$43&lt;&gt;"",'Bonding Program'!$P$43,'Bonding Program'!$C$8)),'Bonding Program'!$Z$43,0)+IF(AND('Bonding Program'!$P$43&lt;&gt;"",AQ$3='Bonding Program'!$P$43,AQ$3&lt;='Bonding Program'!$C$8),N('Bonding Program'!$O$43),0)</f>
        <v>0</v>
      </c>
      <c r="AR184" s="19" t="n">
        <f aca="false">IF(AND('Bonding Program'!$S$43=1,'Bonding Program'!$H$43&gt;'Bonding Program'!$C$8,AR$3='Bonding Program'!$H$43),'Bonding Program'!$T$43-'Bonding Program'!$U$43-'Bonding Program'!$Z$43,0)-IF(AND('Bonding Program'!$S$43=1,'Bonding Program'!$H$43&lt;='Bonding Program'!$C$8,AR$3=IF('Bonding Program'!$P$43&lt;&gt;"",'Bonding Program'!$P$43,'Bonding Program'!$C$8)),'Bonding Program'!$Z$43,0)+IF(AND('Bonding Program'!$P$43&lt;&gt;"",AR$3='Bonding Program'!$P$43,AR$3&lt;='Bonding Program'!$C$8),N('Bonding Program'!$O$43),0)</f>
        <v>0</v>
      </c>
      <c r="AS184" s="19" t="n">
        <f aca="false">IF(AND('Bonding Program'!$S$43=1,'Bonding Program'!$H$43&gt;'Bonding Program'!$C$8,AS$3='Bonding Program'!$H$43),'Bonding Program'!$T$43-'Bonding Program'!$U$43-'Bonding Program'!$Z$43,0)-IF(AND('Bonding Program'!$S$43=1,'Bonding Program'!$H$43&lt;='Bonding Program'!$C$8,AS$3=IF('Bonding Program'!$P$43&lt;&gt;"",'Bonding Program'!$P$43,'Bonding Program'!$C$8)),'Bonding Program'!$Z$43,0)+IF(AND('Bonding Program'!$P$43&lt;&gt;"",AS$3='Bonding Program'!$P$43,AS$3&lt;='Bonding Program'!$C$8),N('Bonding Program'!$O$43),0)</f>
        <v>0</v>
      </c>
      <c r="AT184" s="19" t="n">
        <f aca="false">IF(AND('Bonding Program'!$S$43=1,'Bonding Program'!$H$43&gt;'Bonding Program'!$C$8,AT$3='Bonding Program'!$H$43),'Bonding Program'!$T$43-'Bonding Program'!$U$43-'Bonding Program'!$Z$43,0)-IF(AND('Bonding Program'!$S$43=1,'Bonding Program'!$H$43&lt;='Bonding Program'!$C$8,AT$3=IF('Bonding Program'!$P$43&lt;&gt;"",'Bonding Program'!$P$43,'Bonding Program'!$C$8)),'Bonding Program'!$Z$43,0)+IF(AND('Bonding Program'!$P$43&lt;&gt;"",AT$3='Bonding Program'!$P$43,AT$3&lt;='Bonding Program'!$C$8),N('Bonding Program'!$O$43),0)</f>
        <v>0</v>
      </c>
      <c r="AU184" s="19" t="n">
        <f aca="false">IF(AND('Bonding Program'!$S$43=1,'Bonding Program'!$H$43&gt;'Bonding Program'!$C$8,AU$3='Bonding Program'!$H$43),'Bonding Program'!$T$43-'Bonding Program'!$U$43-'Bonding Program'!$Z$43,0)-IF(AND('Bonding Program'!$S$43=1,'Bonding Program'!$H$43&lt;='Bonding Program'!$C$8,AU$3=IF('Bonding Program'!$P$43&lt;&gt;"",'Bonding Program'!$P$43,'Bonding Program'!$C$8)),'Bonding Program'!$Z$43,0)+IF(AND('Bonding Program'!$P$43&lt;&gt;"",AU$3='Bonding Program'!$P$43,AU$3&lt;='Bonding Program'!$C$8),N('Bonding Program'!$O$43),0)</f>
        <v>0</v>
      </c>
      <c r="AV184" s="19" t="n">
        <f aca="false">IF(AND('Bonding Program'!$S$43=1,'Bonding Program'!$H$43&gt;'Bonding Program'!$C$8,AV$3='Bonding Program'!$H$43),'Bonding Program'!$T$43-'Bonding Program'!$U$43-'Bonding Program'!$Z$43,0)-IF(AND('Bonding Program'!$S$43=1,'Bonding Program'!$H$43&lt;='Bonding Program'!$C$8,AV$3=IF('Bonding Program'!$P$43&lt;&gt;"",'Bonding Program'!$P$43,'Bonding Program'!$C$8)),'Bonding Program'!$Z$43,0)+IF(AND('Bonding Program'!$P$43&lt;&gt;"",AV$3='Bonding Program'!$P$43,AV$3&lt;='Bonding Program'!$C$8),N('Bonding Program'!$O$43),0)</f>
        <v>0</v>
      </c>
      <c r="AW184" s="19" t="n">
        <f aca="false">IF(AND('Bonding Program'!$S$43=1,'Bonding Program'!$H$43&gt;'Bonding Program'!$C$8,AW$3='Bonding Program'!$H$43),'Bonding Program'!$T$43-'Bonding Program'!$U$43-'Bonding Program'!$Z$43,0)-IF(AND('Bonding Program'!$S$43=1,'Bonding Program'!$H$43&lt;='Bonding Program'!$C$8,AW$3=IF('Bonding Program'!$P$43&lt;&gt;"",'Bonding Program'!$P$43,'Bonding Program'!$C$8)),'Bonding Program'!$Z$43,0)+IF(AND('Bonding Program'!$P$43&lt;&gt;"",AW$3='Bonding Program'!$P$43,AW$3&lt;='Bonding Program'!$C$8),N('Bonding Program'!$O$43),0)</f>
        <v>0</v>
      </c>
      <c r="AX184" s="19" t="n">
        <f aca="false">IF(AND('Bonding Program'!$S$43=1,'Bonding Program'!$H$43&gt;'Bonding Program'!$C$8,AX$3='Bonding Program'!$H$43),'Bonding Program'!$T$43-'Bonding Program'!$U$43-'Bonding Program'!$Z$43,0)-IF(AND('Bonding Program'!$S$43=1,'Bonding Program'!$H$43&lt;='Bonding Program'!$C$8,AX$3=IF('Bonding Program'!$P$43&lt;&gt;"",'Bonding Program'!$P$43,'Bonding Program'!$C$8)),'Bonding Program'!$Z$43,0)+IF(AND('Bonding Program'!$P$43&lt;&gt;"",AX$3='Bonding Program'!$P$43,AX$3&lt;='Bonding Program'!$C$8),N('Bonding Program'!$O$43),0)</f>
        <v>0</v>
      </c>
      <c r="AY184" s="19" t="n">
        <f aca="false">IF(AND('Bonding Program'!$S$43=1,'Bonding Program'!$H$43&gt;'Bonding Program'!$C$8,AY$3='Bonding Program'!$H$43),'Bonding Program'!$T$43-'Bonding Program'!$U$43-'Bonding Program'!$Z$43,0)-IF(AND('Bonding Program'!$S$43=1,'Bonding Program'!$H$43&lt;='Bonding Program'!$C$8,AY$3=IF('Bonding Program'!$P$43&lt;&gt;"",'Bonding Program'!$P$43,'Bonding Program'!$C$8)),'Bonding Program'!$Z$43,0)+IF(AND('Bonding Program'!$P$43&lt;&gt;"",AY$3='Bonding Program'!$P$43,AY$3&lt;='Bonding Program'!$C$8),N('Bonding Program'!$O$43),0)</f>
        <v>0</v>
      </c>
      <c r="AZ184" s="19" t="n">
        <f aca="false">IF(AND('Bonding Program'!$S$43=1,'Bonding Program'!$H$43&gt;'Bonding Program'!$C$8,AZ$3='Bonding Program'!$H$43),'Bonding Program'!$T$43-'Bonding Program'!$U$43-'Bonding Program'!$Z$43,0)-IF(AND('Bonding Program'!$S$43=1,'Bonding Program'!$H$43&lt;='Bonding Program'!$C$8,AZ$3=IF('Bonding Program'!$P$43&lt;&gt;"",'Bonding Program'!$P$43,'Bonding Program'!$C$8)),'Bonding Program'!$Z$43,0)+IF(AND('Bonding Program'!$P$43&lt;&gt;"",AZ$3='Bonding Program'!$P$43,AZ$3&lt;='Bonding Program'!$C$8),N('Bonding Program'!$O$43),0)</f>
        <v>0</v>
      </c>
      <c r="BA184" s="19" t="n">
        <f aca="false">IF(AND('Bonding Program'!$S$43=1,'Bonding Program'!$H$43&gt;'Bonding Program'!$C$8,BA$3='Bonding Program'!$H$43),'Bonding Program'!$T$43-'Bonding Program'!$U$43-'Bonding Program'!$Z$43,0)-IF(AND('Bonding Program'!$S$43=1,'Bonding Program'!$H$43&lt;='Bonding Program'!$C$8,BA$3=IF('Bonding Program'!$P$43&lt;&gt;"",'Bonding Program'!$P$43,'Bonding Program'!$C$8)),'Bonding Program'!$Z$43,0)+IF(AND('Bonding Program'!$P$43&lt;&gt;"",BA$3='Bonding Program'!$P$43,BA$3&lt;='Bonding Program'!$C$8),N('Bonding Program'!$O$43),0)</f>
        <v>0</v>
      </c>
      <c r="BB184" s="19" t="n">
        <f aca="false">IF(AND('Bonding Program'!$S$43=1,'Bonding Program'!$H$43&gt;'Bonding Program'!$C$8,BB$3='Bonding Program'!$H$43),'Bonding Program'!$T$43-'Bonding Program'!$U$43-'Bonding Program'!$Z$43,0)-IF(AND('Bonding Program'!$S$43=1,'Bonding Program'!$H$43&lt;='Bonding Program'!$C$8,BB$3=IF('Bonding Program'!$P$43&lt;&gt;"",'Bonding Program'!$P$43,'Bonding Program'!$C$8)),'Bonding Program'!$Z$43,0)+IF(AND('Bonding Program'!$P$43&lt;&gt;"",BB$3='Bonding Program'!$P$43,BB$3&lt;='Bonding Program'!$C$8),N('Bonding Program'!$O$43),0)</f>
        <v>0</v>
      </c>
      <c r="BC184" s="19" t="n">
        <f aca="false">IF(AND('Bonding Program'!$S$43=1,'Bonding Program'!$H$43&gt;'Bonding Program'!$C$8,BC$3='Bonding Program'!$H$43),'Bonding Program'!$T$43-'Bonding Program'!$U$43-'Bonding Program'!$Z$43,0)-IF(AND('Bonding Program'!$S$43=1,'Bonding Program'!$H$43&lt;='Bonding Program'!$C$8,BC$3=IF('Bonding Program'!$P$43&lt;&gt;"",'Bonding Program'!$P$43,'Bonding Program'!$C$8)),'Bonding Program'!$Z$43,0)+IF(AND('Bonding Program'!$P$43&lt;&gt;"",BC$3='Bonding Program'!$P$43,BC$3&lt;='Bonding Program'!$C$8),N('Bonding Program'!$O$43),0)</f>
        <v>0</v>
      </c>
      <c r="BD184" s="19" t="n">
        <f aca="false">IF(AND('Bonding Program'!$S$43=1,'Bonding Program'!$H$43&gt;'Bonding Program'!$C$8,BD$3='Bonding Program'!$H$43),'Bonding Program'!$T$43-'Bonding Program'!$U$43-'Bonding Program'!$Z$43,0)-IF(AND('Bonding Program'!$S$43=1,'Bonding Program'!$H$43&lt;='Bonding Program'!$C$8,BD$3=IF('Bonding Program'!$P$43&lt;&gt;"",'Bonding Program'!$P$43,'Bonding Program'!$C$8)),'Bonding Program'!$Z$43,0)+IF(AND('Bonding Program'!$P$43&lt;&gt;"",BD$3='Bonding Program'!$P$43,BD$3&lt;='Bonding Program'!$C$8),N('Bonding Program'!$O$43),0)</f>
        <v>0</v>
      </c>
      <c r="BE184" s="19" t="n">
        <f aca="false">IF(AND('Bonding Program'!$S$43=1,'Bonding Program'!$H$43&gt;'Bonding Program'!$C$8,BE$3='Bonding Program'!$H$43),'Bonding Program'!$T$43-'Bonding Program'!$U$43-'Bonding Program'!$Z$43,0)-IF(AND('Bonding Program'!$S$43=1,'Bonding Program'!$H$43&lt;='Bonding Program'!$C$8,BE$3=IF('Bonding Program'!$P$43&lt;&gt;"",'Bonding Program'!$P$43,'Bonding Program'!$C$8)),'Bonding Program'!$Z$43,0)+IF(AND('Bonding Program'!$P$43&lt;&gt;"",BE$3='Bonding Program'!$P$43,BE$3&lt;='Bonding Program'!$C$8),N('Bonding Program'!$O$43),0)</f>
        <v>0</v>
      </c>
      <c r="BF184" s="19" t="n">
        <f aca="false">IF(AND('Bonding Program'!$S$43=1,'Bonding Program'!$H$43&gt;'Bonding Program'!$C$8,BF$3='Bonding Program'!$H$43),'Bonding Program'!$T$43-'Bonding Program'!$U$43-'Bonding Program'!$Z$43,0)-IF(AND('Bonding Program'!$S$43=1,'Bonding Program'!$H$43&lt;='Bonding Program'!$C$8,BF$3=IF('Bonding Program'!$P$43&lt;&gt;"",'Bonding Program'!$P$43,'Bonding Program'!$C$8)),'Bonding Program'!$Z$43,0)+IF(AND('Bonding Program'!$P$43&lt;&gt;"",BF$3='Bonding Program'!$P$43,BF$3&lt;='Bonding Program'!$C$8),N('Bonding Program'!$O$43),0)</f>
        <v>0</v>
      </c>
      <c r="BG184" s="19" t="n">
        <f aca="false">IF(AND('Bonding Program'!$S$43=1,'Bonding Program'!$H$43&gt;'Bonding Program'!$C$8,BG$3='Bonding Program'!$H$43),'Bonding Program'!$T$43-'Bonding Program'!$U$43-'Bonding Program'!$Z$43,0)-IF(AND('Bonding Program'!$S$43=1,'Bonding Program'!$H$43&lt;='Bonding Program'!$C$8,BG$3=IF('Bonding Program'!$P$43&lt;&gt;"",'Bonding Program'!$P$43,'Bonding Program'!$C$8)),'Bonding Program'!$Z$43,0)+IF(AND('Bonding Program'!$P$43&lt;&gt;"",BG$3='Bonding Program'!$P$43,BG$3&lt;='Bonding Program'!$C$8),N('Bonding Program'!$O$43),0)</f>
        <v>0</v>
      </c>
      <c r="BH184" s="19" t="n">
        <f aca="false">IF(AND('Bonding Program'!$S$43=1,'Bonding Program'!$H$43&gt;'Bonding Program'!$C$8,BH$3='Bonding Program'!$H$43),'Bonding Program'!$T$43-'Bonding Program'!$U$43-'Bonding Program'!$Z$43,0)-IF(AND('Bonding Program'!$S$43=1,'Bonding Program'!$H$43&lt;='Bonding Program'!$C$8,BH$3=IF('Bonding Program'!$P$43&lt;&gt;"",'Bonding Program'!$P$43,'Bonding Program'!$C$8)),'Bonding Program'!$Z$43,0)+IF(AND('Bonding Program'!$P$43&lt;&gt;"",BH$3='Bonding Program'!$P$43,BH$3&lt;='Bonding Program'!$C$8),N('Bonding Program'!$O$43),0)</f>
        <v>0</v>
      </c>
      <c r="BI184" s="19" t="n">
        <f aca="false">IF(AND('Bonding Program'!$S$43=1,'Bonding Program'!$H$43&gt;'Bonding Program'!$C$8,BI$3='Bonding Program'!$H$43),'Bonding Program'!$T$43-'Bonding Program'!$U$43-'Bonding Program'!$Z$43,0)-IF(AND('Bonding Program'!$S$43=1,'Bonding Program'!$H$43&lt;='Bonding Program'!$C$8,BI$3=IF('Bonding Program'!$P$43&lt;&gt;"",'Bonding Program'!$P$43,'Bonding Program'!$C$8)),'Bonding Program'!$Z$43,0)+IF(AND('Bonding Program'!$P$43&lt;&gt;"",BI$3='Bonding Program'!$P$43,BI$3&lt;='Bonding Program'!$C$8),N('Bonding Program'!$O$43),0)</f>
        <v>0</v>
      </c>
      <c r="BJ184" s="19" t="n">
        <f aca="false">IF(AND('Bonding Program'!$S$43=1,'Bonding Program'!$H$43&gt;'Bonding Program'!$C$8,BJ$3='Bonding Program'!$H$43),'Bonding Program'!$T$43-'Bonding Program'!$U$43-'Bonding Program'!$Z$43,0)-IF(AND('Bonding Program'!$S$43=1,'Bonding Program'!$H$43&lt;='Bonding Program'!$C$8,BJ$3=IF('Bonding Program'!$P$43&lt;&gt;"",'Bonding Program'!$P$43,'Bonding Program'!$C$8)),'Bonding Program'!$Z$43,0)+IF(AND('Bonding Program'!$P$43&lt;&gt;"",BJ$3='Bonding Program'!$P$43,BJ$3&lt;='Bonding Program'!$C$8),N('Bonding Program'!$O$43),0)</f>
        <v>0</v>
      </c>
      <c r="BK184" s="19" t="n">
        <f aca="false">IF(AND('Bonding Program'!$S$43=1,'Bonding Program'!$H$43&gt;'Bonding Program'!$C$8,BK$3='Bonding Program'!$H$43),'Bonding Program'!$T$43-'Bonding Program'!$U$43-'Bonding Program'!$Z$43,0)-IF(AND('Bonding Program'!$S$43=1,'Bonding Program'!$H$43&lt;='Bonding Program'!$C$8,BK$3=IF('Bonding Program'!$P$43&lt;&gt;"",'Bonding Program'!$P$43,'Bonding Program'!$C$8)),'Bonding Program'!$Z$43,0)+IF(AND('Bonding Program'!$P$43&lt;&gt;"",BK$3='Bonding Program'!$P$43,BK$3&lt;='Bonding Program'!$C$8),N('Bonding Program'!$O$43),0)</f>
        <v>0</v>
      </c>
      <c r="BL184" s="19" t="n">
        <f aca="false">IF(AND('Bonding Program'!$S$43=1,'Bonding Program'!$H$43&gt;'Bonding Program'!$C$8,BL$3='Bonding Program'!$H$43),'Bonding Program'!$T$43-'Bonding Program'!$U$43-'Bonding Program'!$Z$43,0)-IF(AND('Bonding Program'!$S$43=1,'Bonding Program'!$H$43&lt;='Bonding Program'!$C$8,BL$3=IF('Bonding Program'!$P$43&lt;&gt;"",'Bonding Program'!$P$43,'Bonding Program'!$C$8)),'Bonding Program'!$Z$43,0)+IF(AND('Bonding Program'!$P$43&lt;&gt;"",BL$3='Bonding Program'!$P$43,BL$3&lt;='Bonding Program'!$C$8),N('Bonding Program'!$O$43),0)</f>
        <v>0</v>
      </c>
      <c r="BM184" s="19" t="n">
        <f aca="false">IF(AND('Bonding Program'!$S$43=1,'Bonding Program'!$H$43&gt;'Bonding Program'!$C$8,BM$3='Bonding Program'!$H$43),'Bonding Program'!$T$43-'Bonding Program'!$U$43-'Bonding Program'!$Z$43,0)-IF(AND('Bonding Program'!$S$43=1,'Bonding Program'!$H$43&lt;='Bonding Program'!$C$8,BM$3=IF('Bonding Program'!$P$43&lt;&gt;"",'Bonding Program'!$P$43,'Bonding Program'!$C$8)),'Bonding Program'!$Z$43,0)+IF(AND('Bonding Program'!$P$43&lt;&gt;"",BM$3='Bonding Program'!$P$43,BM$3&lt;='Bonding Program'!$C$8),N('Bonding Program'!$O$43),0)</f>
        <v>0</v>
      </c>
      <c r="BN184" s="19" t="n">
        <f aca="false">IF(AND('Bonding Program'!$S$43=1,'Bonding Program'!$H$43&gt;'Bonding Program'!$C$8,BN$3='Bonding Program'!$H$43),'Bonding Program'!$T$43-'Bonding Program'!$U$43-'Bonding Program'!$Z$43,0)-IF(AND('Bonding Program'!$S$43=1,'Bonding Program'!$H$43&lt;='Bonding Program'!$C$8,BN$3=IF('Bonding Program'!$P$43&lt;&gt;"",'Bonding Program'!$P$43,'Bonding Program'!$C$8)),'Bonding Program'!$Z$43,0)+IF(AND('Bonding Program'!$P$43&lt;&gt;"",BN$3='Bonding Program'!$P$43,BN$3&lt;='Bonding Program'!$C$8),N('Bonding Program'!$O$43),0)</f>
        <v>0</v>
      </c>
      <c r="BO184" s="19" t="n">
        <f aca="false">IF(AND('Bonding Program'!$S$43=1,'Bonding Program'!$H$43&gt;'Bonding Program'!$C$8,BO$3='Bonding Program'!$H$43),'Bonding Program'!$T$43-'Bonding Program'!$U$43-'Bonding Program'!$Z$43,0)-IF(AND('Bonding Program'!$S$43=1,'Bonding Program'!$H$43&lt;='Bonding Program'!$C$8,BO$3=IF('Bonding Program'!$P$43&lt;&gt;"",'Bonding Program'!$P$43,'Bonding Program'!$C$8)),'Bonding Program'!$Z$43,0)+IF(AND('Bonding Program'!$P$43&lt;&gt;"",BO$3='Bonding Program'!$P$43,BO$3&lt;='Bonding Program'!$C$8),N('Bonding Program'!$O$43),0)</f>
        <v>0</v>
      </c>
      <c r="BP184" s="19" t="n">
        <f aca="false">IF(AND('Bonding Program'!$S$43=1,'Bonding Program'!$H$43&gt;'Bonding Program'!$C$8,BP$3='Bonding Program'!$H$43),'Bonding Program'!$T$43-'Bonding Program'!$U$43-'Bonding Program'!$Z$43,0)-IF(AND('Bonding Program'!$S$43=1,'Bonding Program'!$H$43&lt;='Bonding Program'!$C$8,BP$3=IF('Bonding Program'!$P$43&lt;&gt;"",'Bonding Program'!$P$43,'Bonding Program'!$C$8)),'Bonding Program'!$Z$43,0)+IF(AND('Bonding Program'!$P$43&lt;&gt;"",BP$3='Bonding Program'!$P$43,BP$3&lt;='Bonding Program'!$C$8),N('Bonding Program'!$O$43),0)</f>
        <v>0</v>
      </c>
      <c r="BQ184" s="19" t="n">
        <f aca="false">IF(AND('Bonding Program'!$S$43=1,'Bonding Program'!$H$43&gt;'Bonding Program'!$C$8,BQ$3='Bonding Program'!$H$43),'Bonding Program'!$T$43-'Bonding Program'!$U$43-'Bonding Program'!$Z$43,0)-IF(AND('Bonding Program'!$S$43=1,'Bonding Program'!$H$43&lt;='Bonding Program'!$C$8,BQ$3=IF('Bonding Program'!$P$43&lt;&gt;"",'Bonding Program'!$P$43,'Bonding Program'!$C$8)),'Bonding Program'!$Z$43,0)+IF(AND('Bonding Program'!$P$43&lt;&gt;"",BQ$3='Bonding Program'!$P$43,BQ$3&lt;='Bonding Program'!$C$8),N('Bonding Program'!$O$43),0)</f>
        <v>0</v>
      </c>
      <c r="BR184" s="19" t="n">
        <f aca="false">IF(AND('Bonding Program'!$S$43=1,'Bonding Program'!$H$43&gt;'Bonding Program'!$C$8,BR$3='Bonding Program'!$H$43),'Bonding Program'!$T$43-'Bonding Program'!$U$43-'Bonding Program'!$Z$43,0)-IF(AND('Bonding Program'!$S$43=1,'Bonding Program'!$H$43&lt;='Bonding Program'!$C$8,BR$3=IF('Bonding Program'!$P$43&lt;&gt;"",'Bonding Program'!$P$43,'Bonding Program'!$C$8)),'Bonding Program'!$Z$43,0)+IF(AND('Bonding Program'!$P$43&lt;&gt;"",BR$3='Bonding Program'!$P$43,BR$3&lt;='Bonding Program'!$C$8),N('Bonding Program'!$O$43),0)</f>
        <v>0</v>
      </c>
      <c r="BS184" s="19" t="n">
        <f aca="false">IF(AND('Bonding Program'!$S$43=1,'Bonding Program'!$H$43&gt;'Bonding Program'!$C$8,BS$3='Bonding Program'!$H$43),'Bonding Program'!$T$43-'Bonding Program'!$U$43-'Bonding Program'!$Z$43,0)-IF(AND('Bonding Program'!$S$43=1,'Bonding Program'!$H$43&lt;='Bonding Program'!$C$8,BS$3=IF('Bonding Program'!$P$43&lt;&gt;"",'Bonding Program'!$P$43,'Bonding Program'!$C$8)),'Bonding Program'!$Z$43,0)+IF(AND('Bonding Program'!$P$43&lt;&gt;"",BS$3='Bonding Program'!$P$43,BS$3&lt;='Bonding Program'!$C$8),N('Bonding Program'!$O$43),0)</f>
        <v>0</v>
      </c>
      <c r="BT184" s="19" t="n">
        <f aca="false">IF(AND('Bonding Program'!$S$43=1,'Bonding Program'!$H$43&gt;'Bonding Program'!$C$8,BT$3='Bonding Program'!$H$43),'Bonding Program'!$T$43-'Bonding Program'!$U$43-'Bonding Program'!$Z$43,0)-IF(AND('Bonding Program'!$S$43=1,'Bonding Program'!$H$43&lt;='Bonding Program'!$C$8,BT$3=IF('Bonding Program'!$P$43&lt;&gt;"",'Bonding Program'!$P$43,'Bonding Program'!$C$8)),'Bonding Program'!$Z$43,0)+IF(AND('Bonding Program'!$P$43&lt;&gt;"",BT$3='Bonding Program'!$P$43,BT$3&lt;='Bonding Program'!$C$8),N('Bonding Program'!$O$43),0)</f>
        <v>0</v>
      </c>
      <c r="BU184" s="19" t="n">
        <f aca="false">IF(AND('Bonding Program'!$S$43=1,'Bonding Program'!$H$43&gt;'Bonding Program'!$C$8,BU$3='Bonding Program'!$H$43),'Bonding Program'!$T$43-'Bonding Program'!$U$43-'Bonding Program'!$Z$43,0)-IF(AND('Bonding Program'!$S$43=1,'Bonding Program'!$H$43&lt;='Bonding Program'!$C$8,BU$3=IF('Bonding Program'!$P$43&lt;&gt;"",'Bonding Program'!$P$43,'Bonding Program'!$C$8)),'Bonding Program'!$Z$43,0)+IF(AND('Bonding Program'!$P$43&lt;&gt;"",BU$3='Bonding Program'!$P$43,BU$3&lt;='Bonding Program'!$C$8),N('Bonding Program'!$O$43),0)</f>
        <v>0</v>
      </c>
      <c r="BV184" s="19" t="n">
        <f aca="false">IF(AND('Bonding Program'!$S$43=1,'Bonding Program'!$H$43&gt;'Bonding Program'!$C$8,BV$3='Bonding Program'!$H$43),'Bonding Program'!$T$43-'Bonding Program'!$U$43-'Bonding Program'!$Z$43,0)-IF(AND('Bonding Program'!$S$43=1,'Bonding Program'!$H$43&lt;='Bonding Program'!$C$8,BV$3=IF('Bonding Program'!$P$43&lt;&gt;"",'Bonding Program'!$P$43,'Bonding Program'!$C$8)),'Bonding Program'!$Z$43,0)+IF(AND('Bonding Program'!$P$43&lt;&gt;"",BV$3='Bonding Program'!$P$43,BV$3&lt;='Bonding Program'!$C$8),N('Bonding Program'!$O$43),0)</f>
        <v>0</v>
      </c>
      <c r="BW184" s="19" t="n">
        <f aca="false">IF(AND('Bonding Program'!$S$43=1,'Bonding Program'!$H$43&gt;'Bonding Program'!$C$8,BW$3='Bonding Program'!$H$43),'Bonding Program'!$T$43-'Bonding Program'!$U$43-'Bonding Program'!$Z$43,0)-IF(AND('Bonding Program'!$S$43=1,'Bonding Program'!$H$43&lt;='Bonding Program'!$C$8,BW$3=IF('Bonding Program'!$P$43&lt;&gt;"",'Bonding Program'!$P$43,'Bonding Program'!$C$8)),'Bonding Program'!$Z$43,0)+IF(AND('Bonding Program'!$P$43&lt;&gt;"",BW$3='Bonding Program'!$P$43,BW$3&lt;='Bonding Program'!$C$8),N('Bonding Program'!$O$43),0)</f>
        <v>0</v>
      </c>
      <c r="BX184" s="19" t="n">
        <f aca="false">IF(AND('Bonding Program'!$S$43=1,'Bonding Program'!$H$43&gt;'Bonding Program'!$C$8,BX$3='Bonding Program'!$H$43),'Bonding Program'!$T$43-'Bonding Program'!$U$43-'Bonding Program'!$Z$43,0)-IF(AND('Bonding Program'!$S$43=1,'Bonding Program'!$H$43&lt;='Bonding Program'!$C$8,BX$3=IF('Bonding Program'!$P$43&lt;&gt;"",'Bonding Program'!$P$43,'Bonding Program'!$C$8)),'Bonding Program'!$Z$43,0)+IF(AND('Bonding Program'!$P$43&lt;&gt;"",BX$3='Bonding Program'!$P$43,BX$3&lt;='Bonding Program'!$C$8),N('Bonding Program'!$O$43),0)</f>
        <v>0</v>
      </c>
      <c r="BY184" s="19" t="n">
        <f aca="false">IF(AND('Bonding Program'!$S$43=1,'Bonding Program'!$H$43&gt;'Bonding Program'!$C$8,BY$3='Bonding Program'!$H$43),'Bonding Program'!$T$43-'Bonding Program'!$U$43-'Bonding Program'!$Z$43,0)-IF(AND('Bonding Program'!$S$43=1,'Bonding Program'!$H$43&lt;='Bonding Program'!$C$8,BY$3=IF('Bonding Program'!$P$43&lt;&gt;"",'Bonding Program'!$P$43,'Bonding Program'!$C$8)),'Bonding Program'!$Z$43,0)+IF(AND('Bonding Program'!$P$43&lt;&gt;"",BY$3='Bonding Program'!$P$43,BY$3&lt;='Bonding Program'!$C$8),N('Bonding Program'!$O$43),0)</f>
        <v>0</v>
      </c>
      <c r="BZ184" s="19" t="n">
        <f aca="false">IF(AND('Bonding Program'!$S$43=1,'Bonding Program'!$H$43&gt;'Bonding Program'!$C$8,BZ$3='Bonding Program'!$H$43),'Bonding Program'!$T$43-'Bonding Program'!$U$43-'Bonding Program'!$Z$43,0)-IF(AND('Bonding Program'!$S$43=1,'Bonding Program'!$H$43&lt;='Bonding Program'!$C$8,BZ$3=IF('Bonding Program'!$P$43&lt;&gt;"",'Bonding Program'!$P$43,'Bonding Program'!$C$8)),'Bonding Program'!$Z$43,0)+IF(AND('Bonding Program'!$P$43&lt;&gt;"",BZ$3='Bonding Program'!$P$43,BZ$3&lt;='Bonding Program'!$C$8),N('Bonding Program'!$O$43),0)</f>
        <v>0</v>
      </c>
      <c r="CA184" s="19" t="n">
        <f aca="false">IF(AND('Bonding Program'!$S$43=1,'Bonding Program'!$H$43&gt;'Bonding Program'!$C$8,CA$3='Bonding Program'!$H$43),'Bonding Program'!$T$43-'Bonding Program'!$U$43-'Bonding Program'!$Z$43,0)-IF(AND('Bonding Program'!$S$43=1,'Bonding Program'!$H$43&lt;='Bonding Program'!$C$8,CA$3=IF('Bonding Program'!$P$43&lt;&gt;"",'Bonding Program'!$P$43,'Bonding Program'!$C$8)),'Bonding Program'!$Z$43,0)+IF(AND('Bonding Program'!$P$43&lt;&gt;"",CA$3='Bonding Program'!$P$43,CA$3&lt;='Bonding Program'!$C$8),N('Bonding Program'!$O$43),0)</f>
        <v>0</v>
      </c>
      <c r="CB184" s="19" t="n">
        <f aca="false">IF(AND('Bonding Program'!$S$43=1,'Bonding Program'!$H$43&gt;'Bonding Program'!$C$8,CB$3='Bonding Program'!$H$43),'Bonding Program'!$T$43-'Bonding Program'!$U$43-'Bonding Program'!$Z$43,0)-IF(AND('Bonding Program'!$S$43=1,'Bonding Program'!$H$43&lt;='Bonding Program'!$C$8,CB$3=IF('Bonding Program'!$P$43&lt;&gt;"",'Bonding Program'!$P$43,'Bonding Program'!$C$8)),'Bonding Program'!$Z$43,0)+IF(AND('Bonding Program'!$P$43&lt;&gt;"",CB$3='Bonding Program'!$P$43,CB$3&lt;='Bonding Program'!$C$8),N('Bonding Program'!$O$43),0)</f>
        <v>0</v>
      </c>
      <c r="CC184" s="19" t="n">
        <f aca="false">IF(AND('Bonding Program'!$S$43=1,'Bonding Program'!$H$43&gt;'Bonding Program'!$C$8,CC$3='Bonding Program'!$H$43),'Bonding Program'!$T$43-'Bonding Program'!$U$43-'Bonding Program'!$Z$43,0)-IF(AND('Bonding Program'!$S$43=1,'Bonding Program'!$H$43&lt;='Bonding Program'!$C$8,CC$3=IF('Bonding Program'!$P$43&lt;&gt;"",'Bonding Program'!$P$43,'Bonding Program'!$C$8)),'Bonding Program'!$Z$43,0)+IF(AND('Bonding Program'!$P$43&lt;&gt;"",CC$3='Bonding Program'!$P$43,CC$3&lt;='Bonding Program'!$C$8),N('Bonding Program'!$O$43),0)</f>
        <v>0</v>
      </c>
      <c r="CD184" s="19" t="n">
        <f aca="false">IF(AND('Bonding Program'!$S$43=1,'Bonding Program'!$H$43&gt;'Bonding Program'!$C$8,CD$3='Bonding Program'!$H$43),'Bonding Program'!$T$43-'Bonding Program'!$U$43-'Bonding Program'!$Z$43,0)-IF(AND('Bonding Program'!$S$43=1,'Bonding Program'!$H$43&lt;='Bonding Program'!$C$8,CD$3=IF('Bonding Program'!$P$43&lt;&gt;"",'Bonding Program'!$P$43,'Bonding Program'!$C$8)),'Bonding Program'!$Z$43,0)+IF(AND('Bonding Program'!$P$43&lt;&gt;"",CD$3='Bonding Program'!$P$43,CD$3&lt;='Bonding Program'!$C$8),N('Bonding Program'!$O$43),0)</f>
        <v>0</v>
      </c>
      <c r="CE184" s="19" t="n">
        <f aca="false">IF(AND('Bonding Program'!$S$43=1,'Bonding Program'!$H$43&gt;'Bonding Program'!$C$8,CE$3='Bonding Program'!$H$43),'Bonding Program'!$T$43-'Bonding Program'!$U$43-'Bonding Program'!$Z$43,0)-IF(AND('Bonding Program'!$S$43=1,'Bonding Program'!$H$43&lt;='Bonding Program'!$C$8,CE$3=IF('Bonding Program'!$P$43&lt;&gt;"",'Bonding Program'!$P$43,'Bonding Program'!$C$8)),'Bonding Program'!$Z$43,0)+IF(AND('Bonding Program'!$P$43&lt;&gt;"",CE$3='Bonding Program'!$P$43,CE$3&lt;='Bonding Program'!$C$8),N('Bonding Program'!$O$43),0)</f>
        <v>0</v>
      </c>
      <c r="CF184" s="19" t="n">
        <f aca="false">IF(AND('Bonding Program'!$S$43=1,'Bonding Program'!$H$43&gt;'Bonding Program'!$C$8,CF$3='Bonding Program'!$H$43),'Bonding Program'!$T$43-'Bonding Program'!$U$43-'Bonding Program'!$Z$43,0)-IF(AND('Bonding Program'!$S$43=1,'Bonding Program'!$H$43&lt;='Bonding Program'!$C$8,CF$3=IF('Bonding Program'!$P$43&lt;&gt;"",'Bonding Program'!$P$43,'Bonding Program'!$C$8)),'Bonding Program'!$Z$43,0)+IF(AND('Bonding Program'!$P$43&lt;&gt;"",CF$3='Bonding Program'!$P$43,CF$3&lt;='Bonding Program'!$C$8),N('Bonding Program'!$O$43),0)</f>
        <v>0</v>
      </c>
      <c r="CG184" s="19" t="n">
        <f aca="false">IF(AND('Bonding Program'!$S$43=1,'Bonding Program'!$H$43&gt;'Bonding Program'!$C$8,CG$3='Bonding Program'!$H$43),'Bonding Program'!$T$43-'Bonding Program'!$U$43-'Bonding Program'!$Z$43,0)-IF(AND('Bonding Program'!$S$43=1,'Bonding Program'!$H$43&lt;='Bonding Program'!$C$8,CG$3=IF('Bonding Program'!$P$43&lt;&gt;"",'Bonding Program'!$P$43,'Bonding Program'!$C$8)),'Bonding Program'!$Z$43,0)+IF(AND('Bonding Program'!$P$43&lt;&gt;"",CG$3='Bonding Program'!$P$43,CG$3&lt;='Bonding Program'!$C$8),N('Bonding Program'!$O$43),0)</f>
        <v>0</v>
      </c>
      <c r="CH184" s="19" t="n">
        <f aca="false">IF(AND('Bonding Program'!$S$43=1,'Bonding Program'!$H$43&gt;'Bonding Program'!$C$8,CH$3='Bonding Program'!$H$43),'Bonding Program'!$T$43-'Bonding Program'!$U$43-'Bonding Program'!$Z$43,0)-IF(AND('Bonding Program'!$S$43=1,'Bonding Program'!$H$43&lt;='Bonding Program'!$C$8,CH$3=IF('Bonding Program'!$P$43&lt;&gt;"",'Bonding Program'!$P$43,'Bonding Program'!$C$8)),'Bonding Program'!$Z$43,0)+IF(AND('Bonding Program'!$P$43&lt;&gt;"",CH$3='Bonding Program'!$P$43,CH$3&lt;='Bonding Program'!$C$8),N('Bonding Program'!$O$43),0)</f>
        <v>0</v>
      </c>
      <c r="CI184" s="19" t="n">
        <f aca="false">IF(AND('Bonding Program'!$S$43=1,'Bonding Program'!$H$43&gt;'Bonding Program'!$C$8,CI$3='Bonding Program'!$H$43),'Bonding Program'!$T$43-'Bonding Program'!$U$43-'Bonding Program'!$Z$43,0)-IF(AND('Bonding Program'!$S$43=1,'Bonding Program'!$H$43&lt;='Bonding Program'!$C$8,CI$3=IF('Bonding Program'!$P$43&lt;&gt;"",'Bonding Program'!$P$43,'Bonding Program'!$C$8)),'Bonding Program'!$Z$43,0)+IF(AND('Bonding Program'!$P$43&lt;&gt;"",CI$3='Bonding Program'!$P$43,CI$3&lt;='Bonding Program'!$C$8),N('Bonding Program'!$O$43),0)</f>
        <v>0</v>
      </c>
      <c r="CJ184" s="19" t="n">
        <f aca="false">IF(AND('Bonding Program'!$S$43=1,'Bonding Program'!$H$43&gt;'Bonding Program'!$C$8,CJ$3='Bonding Program'!$H$43),'Bonding Program'!$T$43-'Bonding Program'!$U$43-'Bonding Program'!$Z$43,0)-IF(AND('Bonding Program'!$S$43=1,'Bonding Program'!$H$43&lt;='Bonding Program'!$C$8,CJ$3=IF('Bonding Program'!$P$43&lt;&gt;"",'Bonding Program'!$P$43,'Bonding Program'!$C$8)),'Bonding Program'!$Z$43,0)+IF(AND('Bonding Program'!$P$43&lt;&gt;"",CJ$3='Bonding Program'!$P$43,CJ$3&lt;='Bonding Program'!$C$8),N('Bonding Program'!$O$43),0)</f>
        <v>0</v>
      </c>
      <c r="CK184" s="19" t="n">
        <f aca="false">IF(AND('Bonding Program'!$S$43=1,'Bonding Program'!$H$43&gt;'Bonding Program'!$C$8,CK$3='Bonding Program'!$H$43),'Bonding Program'!$T$43-'Bonding Program'!$U$43-'Bonding Program'!$Z$43,0)-IF(AND('Bonding Program'!$S$43=1,'Bonding Program'!$H$43&lt;='Bonding Program'!$C$8,CK$3=IF('Bonding Program'!$P$43&lt;&gt;"",'Bonding Program'!$P$43,'Bonding Program'!$C$8)),'Bonding Program'!$Z$43,0)+IF(AND('Bonding Program'!$P$43&lt;&gt;"",CK$3='Bonding Program'!$P$43,CK$3&lt;='Bonding Program'!$C$8),N('Bonding Program'!$O$43),0)</f>
        <v>0</v>
      </c>
      <c r="CL184" s="19" t="n">
        <f aca="false">IF(AND('Bonding Program'!$S$43=1,'Bonding Program'!$H$43&gt;'Bonding Program'!$C$8,CL$3='Bonding Program'!$H$43),'Bonding Program'!$T$43-'Bonding Program'!$U$43-'Bonding Program'!$Z$43,0)-IF(AND('Bonding Program'!$S$43=1,'Bonding Program'!$H$43&lt;='Bonding Program'!$C$8,CL$3=IF('Bonding Program'!$P$43&lt;&gt;"",'Bonding Program'!$P$43,'Bonding Program'!$C$8)),'Bonding Program'!$Z$43,0)+IF(AND('Bonding Program'!$P$43&lt;&gt;"",CL$3='Bonding Program'!$P$43,CL$3&lt;='Bonding Program'!$C$8),N('Bonding Program'!$O$43),0)</f>
        <v>0</v>
      </c>
      <c r="CM184" s="19" t="n">
        <f aca="false">IF(AND('Bonding Program'!$S$43=1,'Bonding Program'!$H$43&gt;'Bonding Program'!$C$8,CM$3='Bonding Program'!$H$43),'Bonding Program'!$T$43-'Bonding Program'!$U$43-'Bonding Program'!$Z$43,0)-IF(AND('Bonding Program'!$S$43=1,'Bonding Program'!$H$43&lt;='Bonding Program'!$C$8,CM$3=IF('Bonding Program'!$P$43&lt;&gt;"",'Bonding Program'!$P$43,'Bonding Program'!$C$8)),'Bonding Program'!$Z$43,0)+IF(AND('Bonding Program'!$P$43&lt;&gt;"",CM$3='Bonding Program'!$P$43,CM$3&lt;='Bonding Program'!$C$8),N('Bonding Program'!$O$43),0)</f>
        <v>0</v>
      </c>
      <c r="CN184" s="19" t="n">
        <f aca="false">IF(AND('Bonding Program'!$S$43=1,'Bonding Program'!$H$43&gt;'Bonding Program'!$C$8,CN$3='Bonding Program'!$H$43),'Bonding Program'!$T$43-'Bonding Program'!$U$43-'Bonding Program'!$Z$43,0)-IF(AND('Bonding Program'!$S$43=1,'Bonding Program'!$H$43&lt;='Bonding Program'!$C$8,CN$3=IF('Bonding Program'!$P$43&lt;&gt;"",'Bonding Program'!$P$43,'Bonding Program'!$C$8)),'Bonding Program'!$Z$43,0)+IF(AND('Bonding Program'!$P$43&lt;&gt;"",CN$3='Bonding Program'!$P$43,CN$3&lt;='Bonding Program'!$C$8),N('Bonding Program'!$O$43),0)</f>
        <v>0</v>
      </c>
      <c r="CO184" s="19" t="n">
        <f aca="false">IF(AND('Bonding Program'!$S$43=1,'Bonding Program'!$H$43&gt;'Bonding Program'!$C$8,CO$3='Bonding Program'!$H$43),'Bonding Program'!$T$43-'Bonding Program'!$U$43-'Bonding Program'!$Z$43,0)-IF(AND('Bonding Program'!$S$43=1,'Bonding Program'!$H$43&lt;='Bonding Program'!$C$8,CO$3=IF('Bonding Program'!$P$43&lt;&gt;"",'Bonding Program'!$P$43,'Bonding Program'!$C$8)),'Bonding Program'!$Z$43,0)+IF(AND('Bonding Program'!$P$43&lt;&gt;"",CO$3='Bonding Program'!$P$43,CO$3&lt;='Bonding Program'!$C$8),N('Bonding Program'!$O$43),0)</f>
        <v>0</v>
      </c>
      <c r="CP184" s="19" t="n">
        <f aca="false">IF(AND('Bonding Program'!$S$43=1,'Bonding Program'!$H$43&gt;'Bonding Program'!$C$8,CP$3='Bonding Program'!$H$43),'Bonding Program'!$T$43-'Bonding Program'!$U$43-'Bonding Program'!$Z$43,0)-IF(AND('Bonding Program'!$S$43=1,'Bonding Program'!$H$43&lt;='Bonding Program'!$C$8,CP$3=IF('Bonding Program'!$P$43&lt;&gt;"",'Bonding Program'!$P$43,'Bonding Program'!$C$8)),'Bonding Program'!$Z$43,0)+IF(AND('Bonding Program'!$P$43&lt;&gt;"",CP$3='Bonding Program'!$P$43,CP$3&lt;='Bonding Program'!$C$8),N('Bonding Program'!$O$43),0)</f>
        <v>0</v>
      </c>
      <c r="CQ184" s="19" t="n">
        <f aca="false">IF(AND('Bonding Program'!$S$43=1,'Bonding Program'!$H$43&gt;'Bonding Program'!$C$8,CQ$3='Bonding Program'!$H$43),'Bonding Program'!$T$43-'Bonding Program'!$U$43-'Bonding Program'!$Z$43,0)-IF(AND('Bonding Program'!$S$43=1,'Bonding Program'!$H$43&lt;='Bonding Program'!$C$8,CQ$3=IF('Bonding Program'!$P$43&lt;&gt;"",'Bonding Program'!$P$43,'Bonding Program'!$C$8)),'Bonding Program'!$Z$43,0)+IF(AND('Bonding Program'!$P$43&lt;&gt;"",CQ$3='Bonding Program'!$P$43,CQ$3&lt;='Bonding Program'!$C$8),N('Bonding Program'!$O$43),0)</f>
        <v>0</v>
      </c>
      <c r="CR184" s="19" t="n">
        <f aca="false">IF(AND('Bonding Program'!$S$43=1,'Bonding Program'!$H$43&gt;'Bonding Program'!$C$8,CR$3='Bonding Program'!$H$43),'Bonding Program'!$T$43-'Bonding Program'!$U$43-'Bonding Program'!$Z$43,0)-IF(AND('Bonding Program'!$S$43=1,'Bonding Program'!$H$43&lt;='Bonding Program'!$C$8,CR$3=IF('Bonding Program'!$P$43&lt;&gt;"",'Bonding Program'!$P$43,'Bonding Program'!$C$8)),'Bonding Program'!$Z$43,0)+IF(AND('Bonding Program'!$P$43&lt;&gt;"",CR$3='Bonding Program'!$P$43,CR$3&lt;='Bonding Program'!$C$8),N('Bonding Program'!$O$43),0)</f>
        <v>0</v>
      </c>
      <c r="CS184" s="19" t="n">
        <f aca="false">IF(AND('Bonding Program'!$S$43=1,'Bonding Program'!$H$43&gt;'Bonding Program'!$C$8,CS$3='Bonding Program'!$H$43),'Bonding Program'!$T$43-'Bonding Program'!$U$43-'Bonding Program'!$Z$43,0)-IF(AND('Bonding Program'!$S$43=1,'Bonding Program'!$H$43&lt;='Bonding Program'!$C$8,CS$3=IF('Bonding Program'!$P$43&lt;&gt;"",'Bonding Program'!$P$43,'Bonding Program'!$C$8)),'Bonding Program'!$Z$43,0)+IF(AND('Bonding Program'!$P$43&lt;&gt;"",CS$3='Bonding Program'!$P$43,CS$3&lt;='Bonding Program'!$C$8),N('Bonding Program'!$O$43),0)</f>
        <v>0</v>
      </c>
      <c r="CT184" s="19" t="n">
        <f aca="false">IF(AND('Bonding Program'!$S$43=1,'Bonding Program'!$H$43&gt;'Bonding Program'!$C$8,CT$3='Bonding Program'!$H$43),'Bonding Program'!$T$43-'Bonding Program'!$U$43-'Bonding Program'!$Z$43,0)-IF(AND('Bonding Program'!$S$43=1,'Bonding Program'!$H$43&lt;='Bonding Program'!$C$8,CT$3=IF('Bonding Program'!$P$43&lt;&gt;"",'Bonding Program'!$P$43,'Bonding Program'!$C$8)),'Bonding Program'!$Z$43,0)+IF(AND('Bonding Program'!$P$43&lt;&gt;"",CT$3='Bonding Program'!$P$43,CT$3&lt;='Bonding Program'!$C$8),N('Bonding Program'!$O$43),0)</f>
        <v>0</v>
      </c>
      <c r="CU184" s="19" t="n">
        <f aca="false">IF(AND('Bonding Program'!$S$43=1,'Bonding Program'!$H$43&gt;'Bonding Program'!$C$8,CU$3='Bonding Program'!$H$43),'Bonding Program'!$T$43-'Bonding Program'!$U$43-'Bonding Program'!$Z$43,0)-IF(AND('Bonding Program'!$S$43=1,'Bonding Program'!$H$43&lt;='Bonding Program'!$C$8,CU$3=IF('Bonding Program'!$P$43&lt;&gt;"",'Bonding Program'!$P$43,'Bonding Program'!$C$8)),'Bonding Program'!$Z$43,0)+IF(AND('Bonding Program'!$P$43&lt;&gt;"",CU$3='Bonding Program'!$P$43,CU$3&lt;='Bonding Program'!$C$8),N('Bonding Program'!$O$43),0)</f>
        <v>0</v>
      </c>
      <c r="CV184" s="19" t="n">
        <f aca="false">IF(AND('Bonding Program'!$S$43=1,'Bonding Program'!$H$43&gt;'Bonding Program'!$C$8,CV$3='Bonding Program'!$H$43),'Bonding Program'!$T$43-'Bonding Program'!$U$43-'Bonding Program'!$Z$43,0)-IF(AND('Bonding Program'!$S$43=1,'Bonding Program'!$H$43&lt;='Bonding Program'!$C$8,CV$3=IF('Bonding Program'!$P$43&lt;&gt;"",'Bonding Program'!$P$43,'Bonding Program'!$C$8)),'Bonding Program'!$Z$43,0)+IF(AND('Bonding Program'!$P$43&lt;&gt;"",CV$3='Bonding Program'!$P$43,CV$3&lt;='Bonding Program'!$C$8),N('Bonding Program'!$O$43),0)</f>
        <v>0</v>
      </c>
      <c r="CW184" s="19" t="n">
        <f aca="false">IF(AND('Bonding Program'!$S$43=1,'Bonding Program'!$H$43&gt;'Bonding Program'!$C$8,CW$3='Bonding Program'!$H$43),'Bonding Program'!$T$43-'Bonding Program'!$U$43-'Bonding Program'!$Z$43,0)-IF(AND('Bonding Program'!$S$43=1,'Bonding Program'!$H$43&lt;='Bonding Program'!$C$8,CW$3=IF('Bonding Program'!$P$43&lt;&gt;"",'Bonding Program'!$P$43,'Bonding Program'!$C$8)),'Bonding Program'!$Z$43,0)+IF(AND('Bonding Program'!$P$43&lt;&gt;"",CW$3='Bonding Program'!$P$43,CW$3&lt;='Bonding Program'!$C$8),N('Bonding Program'!$O$43),0)</f>
        <v>0</v>
      </c>
      <c r="CX184" s="19" t="n">
        <f aca="false">IF(AND('Bonding Program'!$S$43=1,'Bonding Program'!$H$43&gt;'Bonding Program'!$C$8,CX$3='Bonding Program'!$H$43),'Bonding Program'!$T$43-'Bonding Program'!$U$43-'Bonding Program'!$Z$43,0)-IF(AND('Bonding Program'!$S$43=1,'Bonding Program'!$H$43&lt;='Bonding Program'!$C$8,CX$3=IF('Bonding Program'!$P$43&lt;&gt;"",'Bonding Program'!$P$43,'Bonding Program'!$C$8)),'Bonding Program'!$Z$43,0)+IF(AND('Bonding Program'!$P$43&lt;&gt;"",CX$3='Bonding Program'!$P$43,CX$3&lt;='Bonding Program'!$C$8),N('Bonding Program'!$O$43),0)</f>
        <v>0</v>
      </c>
      <c r="CY184" s="19" t="n">
        <f aca="false">IF(AND('Bonding Program'!$S$43=1,'Bonding Program'!$H$43&gt;'Bonding Program'!$C$8,CY$3='Bonding Program'!$H$43),'Bonding Program'!$T$43-'Bonding Program'!$U$43-'Bonding Program'!$Z$43,0)-IF(AND('Bonding Program'!$S$43=1,'Bonding Program'!$H$43&lt;='Bonding Program'!$C$8,CY$3=IF('Bonding Program'!$P$43&lt;&gt;"",'Bonding Program'!$P$43,'Bonding Program'!$C$8)),'Bonding Program'!$Z$43,0)+IF(AND('Bonding Program'!$P$43&lt;&gt;"",CY$3='Bonding Program'!$P$43,CY$3&lt;='Bonding Program'!$C$8),N('Bonding Program'!$O$43),0)</f>
        <v>0</v>
      </c>
      <c r="CZ184" s="19" t="n">
        <f aca="false">IF(AND('Bonding Program'!$S$43=1,'Bonding Program'!$H$43&gt;'Bonding Program'!$C$8,CZ$3='Bonding Program'!$H$43),'Bonding Program'!$T$43-'Bonding Program'!$U$43-'Bonding Program'!$Z$43,0)-IF(AND('Bonding Program'!$S$43=1,'Bonding Program'!$H$43&lt;='Bonding Program'!$C$8,CZ$3=IF('Bonding Program'!$P$43&lt;&gt;"",'Bonding Program'!$P$43,'Bonding Program'!$C$8)),'Bonding Program'!$Z$43,0)+IF(AND('Bonding Program'!$P$43&lt;&gt;"",CZ$3='Bonding Program'!$P$43,CZ$3&lt;='Bonding Program'!$C$8),N('Bonding Program'!$O$43),0)</f>
        <v>0</v>
      </c>
      <c r="DA184" s="19" t="n">
        <f aca="false">IF(AND('Bonding Program'!$S$43=1,'Bonding Program'!$H$43&gt;'Bonding Program'!$C$8,DA$3='Bonding Program'!$H$43),'Bonding Program'!$T$43-'Bonding Program'!$U$43-'Bonding Program'!$Z$43,0)-IF(AND('Bonding Program'!$S$43=1,'Bonding Program'!$H$43&lt;='Bonding Program'!$C$8,DA$3=IF('Bonding Program'!$P$43&lt;&gt;"",'Bonding Program'!$P$43,'Bonding Program'!$C$8)),'Bonding Program'!$Z$43,0)+IF(AND('Bonding Program'!$P$43&lt;&gt;"",DA$3='Bonding Program'!$P$43,DA$3&lt;='Bonding Program'!$C$8),N('Bonding Program'!$O$43),0)</f>
        <v>0</v>
      </c>
      <c r="DB184" s="19" t="n">
        <f aca="false">IF(AND('Bonding Program'!$S$43=1,'Bonding Program'!$H$43&gt;'Bonding Program'!$C$8,DB$3='Bonding Program'!$H$43),'Bonding Program'!$T$43-'Bonding Program'!$U$43-'Bonding Program'!$Z$43,0)-IF(AND('Bonding Program'!$S$43=1,'Bonding Program'!$H$43&lt;='Bonding Program'!$C$8,DB$3=IF('Bonding Program'!$P$43&lt;&gt;"",'Bonding Program'!$P$43,'Bonding Program'!$C$8)),'Bonding Program'!$Z$43,0)+IF(AND('Bonding Program'!$P$43&lt;&gt;"",DB$3='Bonding Program'!$P$43,DB$3&lt;='Bonding Program'!$C$8),N('Bonding Program'!$O$43),0)</f>
        <v>0</v>
      </c>
      <c r="DC184" s="19" t="n">
        <f aca="false">IF(AND('Bonding Program'!$S$43=1,'Bonding Program'!$H$43&gt;'Bonding Program'!$C$8,DC$3='Bonding Program'!$H$43),'Bonding Program'!$T$43-'Bonding Program'!$U$43-'Bonding Program'!$Z$43,0)-IF(AND('Bonding Program'!$S$43=1,'Bonding Program'!$H$43&lt;='Bonding Program'!$C$8,DC$3=IF('Bonding Program'!$P$43&lt;&gt;"",'Bonding Program'!$P$43,'Bonding Program'!$C$8)),'Bonding Program'!$Z$43,0)+IF(AND('Bonding Program'!$P$43&lt;&gt;"",DC$3='Bonding Program'!$P$43,DC$3&lt;='Bonding Program'!$C$8),N('Bonding Program'!$O$43),0)</f>
        <v>0</v>
      </c>
      <c r="DD184" s="19" t="n">
        <f aca="false">IF(AND('Bonding Program'!$S$43=1,'Bonding Program'!$H$43&gt;'Bonding Program'!$C$8,DD$3='Bonding Program'!$H$43),'Bonding Program'!$T$43-'Bonding Program'!$U$43-'Bonding Program'!$Z$43,0)-IF(AND('Bonding Program'!$S$43=1,'Bonding Program'!$H$43&lt;='Bonding Program'!$C$8,DD$3=IF('Bonding Program'!$P$43&lt;&gt;"",'Bonding Program'!$P$43,'Bonding Program'!$C$8)),'Bonding Program'!$Z$43,0)+IF(AND('Bonding Program'!$P$43&lt;&gt;"",DD$3='Bonding Program'!$P$43,DD$3&lt;='Bonding Program'!$C$8),N('Bonding Program'!$O$43),0)</f>
        <v>0</v>
      </c>
      <c r="DE184" s="19" t="n">
        <f aca="false">IF(AND('Bonding Program'!$S$43=1,'Bonding Program'!$H$43&gt;'Bonding Program'!$C$8,DE$3='Bonding Program'!$H$43),'Bonding Program'!$T$43-'Bonding Program'!$U$43-'Bonding Program'!$Z$43,0)-IF(AND('Bonding Program'!$S$43=1,'Bonding Program'!$H$43&lt;='Bonding Program'!$C$8,DE$3=IF('Bonding Program'!$P$43&lt;&gt;"",'Bonding Program'!$P$43,'Bonding Program'!$C$8)),'Bonding Program'!$Z$43,0)+IF(AND('Bonding Program'!$P$43&lt;&gt;"",DE$3='Bonding Program'!$P$43,DE$3&lt;='Bonding Program'!$C$8),N('Bonding Program'!$O$43),0)</f>
        <v>0</v>
      </c>
    </row>
    <row r="185" customFormat="false" ht="15" hidden="false" customHeight="true" outlineLevel="1" collapsed="false">
      <c r="A185" s="28" t="s">
        <v>40</v>
      </c>
      <c r="B185" s="19" t="n">
        <f aca="false">IF(AND('Bonding Program'!$S$44=1,'Bonding Program'!$H$44&gt;'Bonding Program'!$C$8,B$3='Bonding Program'!$H$44),'Bonding Program'!$T$44-'Bonding Program'!$U$44-'Bonding Program'!$Z$44,0)-IF(AND('Bonding Program'!$S$44=1,'Bonding Program'!$H$44&lt;='Bonding Program'!$C$8,B$3=IF('Bonding Program'!$P$44&lt;&gt;"",'Bonding Program'!$P$44,'Bonding Program'!$C$8)),'Bonding Program'!$Z$44,0)+IF(AND('Bonding Program'!$P$44&lt;&gt;"",B$3='Bonding Program'!$P$44,B$3&lt;='Bonding Program'!$C$8),N('Bonding Program'!$O$44),0)</f>
        <v>0</v>
      </c>
      <c r="C185" s="19" t="n">
        <f aca="false">IF(AND('Bonding Program'!$S$44=1,'Bonding Program'!$H$44&gt;'Bonding Program'!$C$8,C$3='Bonding Program'!$H$44),'Bonding Program'!$T$44-'Bonding Program'!$U$44-'Bonding Program'!$Z$44,0)-IF(AND('Bonding Program'!$S$44=1,'Bonding Program'!$H$44&lt;='Bonding Program'!$C$8,C$3=IF('Bonding Program'!$P$44&lt;&gt;"",'Bonding Program'!$P$44,'Bonding Program'!$C$8)),'Bonding Program'!$Z$44,0)+IF(AND('Bonding Program'!$P$44&lt;&gt;"",C$3='Bonding Program'!$P$44,C$3&lt;='Bonding Program'!$C$8),N('Bonding Program'!$O$44),0)</f>
        <v>0</v>
      </c>
      <c r="D185" s="19" t="n">
        <f aca="false">IF(AND('Bonding Program'!$S$44=1,'Bonding Program'!$H$44&gt;'Bonding Program'!$C$8,D$3='Bonding Program'!$H$44),'Bonding Program'!$T$44-'Bonding Program'!$U$44-'Bonding Program'!$Z$44,0)-IF(AND('Bonding Program'!$S$44=1,'Bonding Program'!$H$44&lt;='Bonding Program'!$C$8,D$3=IF('Bonding Program'!$P$44&lt;&gt;"",'Bonding Program'!$P$44,'Bonding Program'!$C$8)),'Bonding Program'!$Z$44,0)+IF(AND('Bonding Program'!$P$44&lt;&gt;"",D$3='Bonding Program'!$P$44,D$3&lt;='Bonding Program'!$C$8),N('Bonding Program'!$O$44),0)</f>
        <v>0</v>
      </c>
      <c r="E185" s="19" t="n">
        <f aca="false">IF(AND('Bonding Program'!$S$44=1,'Bonding Program'!$H$44&gt;'Bonding Program'!$C$8,E$3='Bonding Program'!$H$44),'Bonding Program'!$T$44-'Bonding Program'!$U$44-'Bonding Program'!$Z$44,0)-IF(AND('Bonding Program'!$S$44=1,'Bonding Program'!$H$44&lt;='Bonding Program'!$C$8,E$3=IF('Bonding Program'!$P$44&lt;&gt;"",'Bonding Program'!$P$44,'Bonding Program'!$C$8)),'Bonding Program'!$Z$44,0)+IF(AND('Bonding Program'!$P$44&lt;&gt;"",E$3='Bonding Program'!$P$44,E$3&lt;='Bonding Program'!$C$8),N('Bonding Program'!$O$44),0)</f>
        <v>0</v>
      </c>
      <c r="F185" s="19" t="n">
        <f aca="false">IF(AND('Bonding Program'!$S$44=1,'Bonding Program'!$H$44&gt;'Bonding Program'!$C$8,F$3='Bonding Program'!$H$44),'Bonding Program'!$T$44-'Bonding Program'!$U$44-'Bonding Program'!$Z$44,0)-IF(AND('Bonding Program'!$S$44=1,'Bonding Program'!$H$44&lt;='Bonding Program'!$C$8,F$3=IF('Bonding Program'!$P$44&lt;&gt;"",'Bonding Program'!$P$44,'Bonding Program'!$C$8)),'Bonding Program'!$Z$44,0)+IF(AND('Bonding Program'!$P$44&lt;&gt;"",F$3='Bonding Program'!$P$44,F$3&lt;='Bonding Program'!$C$8),N('Bonding Program'!$O$44),0)</f>
        <v>0</v>
      </c>
      <c r="G185" s="19" t="n">
        <f aca="false">IF(AND('Bonding Program'!$S$44=1,'Bonding Program'!$H$44&gt;'Bonding Program'!$C$8,G$3='Bonding Program'!$H$44),'Bonding Program'!$T$44-'Bonding Program'!$U$44-'Bonding Program'!$Z$44,0)-IF(AND('Bonding Program'!$S$44=1,'Bonding Program'!$H$44&lt;='Bonding Program'!$C$8,G$3=IF('Bonding Program'!$P$44&lt;&gt;"",'Bonding Program'!$P$44,'Bonding Program'!$C$8)),'Bonding Program'!$Z$44,0)+IF(AND('Bonding Program'!$P$44&lt;&gt;"",G$3='Bonding Program'!$P$44,G$3&lt;='Bonding Program'!$C$8),N('Bonding Program'!$O$44),0)</f>
        <v>0</v>
      </c>
      <c r="H185" s="19" t="n">
        <f aca="false">IF(AND('Bonding Program'!$S$44=1,'Bonding Program'!$H$44&gt;'Bonding Program'!$C$8,H$3='Bonding Program'!$H$44),'Bonding Program'!$T$44-'Bonding Program'!$U$44-'Bonding Program'!$Z$44,0)-IF(AND('Bonding Program'!$S$44=1,'Bonding Program'!$H$44&lt;='Bonding Program'!$C$8,H$3=IF('Bonding Program'!$P$44&lt;&gt;"",'Bonding Program'!$P$44,'Bonding Program'!$C$8)),'Bonding Program'!$Z$44,0)+IF(AND('Bonding Program'!$P$44&lt;&gt;"",H$3='Bonding Program'!$P$44,H$3&lt;='Bonding Program'!$C$8),N('Bonding Program'!$O$44),0)</f>
        <v>0</v>
      </c>
      <c r="I185" s="19" t="n">
        <f aca="false">IF(AND('Bonding Program'!$S$44=1,'Bonding Program'!$H$44&gt;'Bonding Program'!$C$8,I$3='Bonding Program'!$H$44),'Bonding Program'!$T$44-'Bonding Program'!$U$44-'Bonding Program'!$Z$44,0)-IF(AND('Bonding Program'!$S$44=1,'Bonding Program'!$H$44&lt;='Bonding Program'!$C$8,I$3=IF('Bonding Program'!$P$44&lt;&gt;"",'Bonding Program'!$P$44,'Bonding Program'!$C$8)),'Bonding Program'!$Z$44,0)+IF(AND('Bonding Program'!$P$44&lt;&gt;"",I$3='Bonding Program'!$P$44,I$3&lt;='Bonding Program'!$C$8),N('Bonding Program'!$O$44),0)</f>
        <v>0</v>
      </c>
      <c r="J185" s="19" t="n">
        <f aca="false">IF(AND('Bonding Program'!$S$44=1,'Bonding Program'!$H$44&gt;'Bonding Program'!$C$8,J$3='Bonding Program'!$H$44),'Bonding Program'!$T$44-'Bonding Program'!$U$44-'Bonding Program'!$Z$44,0)-IF(AND('Bonding Program'!$S$44=1,'Bonding Program'!$H$44&lt;='Bonding Program'!$C$8,J$3=IF('Bonding Program'!$P$44&lt;&gt;"",'Bonding Program'!$P$44,'Bonding Program'!$C$8)),'Bonding Program'!$Z$44,0)+IF(AND('Bonding Program'!$P$44&lt;&gt;"",J$3='Bonding Program'!$P$44,J$3&lt;='Bonding Program'!$C$8),N('Bonding Program'!$O$44),0)</f>
        <v>0</v>
      </c>
      <c r="K185" s="19" t="n">
        <f aca="false">IF(AND('Bonding Program'!$S$44=1,'Bonding Program'!$H$44&gt;'Bonding Program'!$C$8,K$3='Bonding Program'!$H$44),'Bonding Program'!$T$44-'Bonding Program'!$U$44-'Bonding Program'!$Z$44,0)-IF(AND('Bonding Program'!$S$44=1,'Bonding Program'!$H$44&lt;='Bonding Program'!$C$8,K$3=IF('Bonding Program'!$P$44&lt;&gt;"",'Bonding Program'!$P$44,'Bonding Program'!$C$8)),'Bonding Program'!$Z$44,0)+IF(AND('Bonding Program'!$P$44&lt;&gt;"",K$3='Bonding Program'!$P$44,K$3&lt;='Bonding Program'!$C$8),N('Bonding Program'!$O$44),0)</f>
        <v>0</v>
      </c>
      <c r="L185" s="19" t="n">
        <f aca="false">IF(AND('Bonding Program'!$S$44=1,'Bonding Program'!$H$44&gt;'Bonding Program'!$C$8,L$3='Bonding Program'!$H$44),'Bonding Program'!$T$44-'Bonding Program'!$U$44-'Bonding Program'!$Z$44,0)-IF(AND('Bonding Program'!$S$44=1,'Bonding Program'!$H$44&lt;='Bonding Program'!$C$8,L$3=IF('Bonding Program'!$P$44&lt;&gt;"",'Bonding Program'!$P$44,'Bonding Program'!$C$8)),'Bonding Program'!$Z$44,0)+IF(AND('Bonding Program'!$P$44&lt;&gt;"",L$3='Bonding Program'!$P$44,L$3&lt;='Bonding Program'!$C$8),N('Bonding Program'!$O$44),0)</f>
        <v>0</v>
      </c>
      <c r="M185" s="19" t="n">
        <f aca="false">IF(AND('Bonding Program'!$S$44=1,'Bonding Program'!$H$44&gt;'Bonding Program'!$C$8,M$3='Bonding Program'!$H$44),'Bonding Program'!$T$44-'Bonding Program'!$U$44-'Bonding Program'!$Z$44,0)-IF(AND('Bonding Program'!$S$44=1,'Bonding Program'!$H$44&lt;='Bonding Program'!$C$8,M$3=IF('Bonding Program'!$P$44&lt;&gt;"",'Bonding Program'!$P$44,'Bonding Program'!$C$8)),'Bonding Program'!$Z$44,0)+IF(AND('Bonding Program'!$P$44&lt;&gt;"",M$3='Bonding Program'!$P$44,M$3&lt;='Bonding Program'!$C$8),N('Bonding Program'!$O$44),0)</f>
        <v>0</v>
      </c>
      <c r="N185" s="19" t="n">
        <f aca="false">IF(AND('Bonding Program'!$S$44=1,'Bonding Program'!$H$44&gt;'Bonding Program'!$C$8,N$3='Bonding Program'!$H$44),'Bonding Program'!$T$44-'Bonding Program'!$U$44-'Bonding Program'!$Z$44,0)-IF(AND('Bonding Program'!$S$44=1,'Bonding Program'!$H$44&lt;='Bonding Program'!$C$8,N$3=IF('Bonding Program'!$P$44&lt;&gt;"",'Bonding Program'!$P$44,'Bonding Program'!$C$8)),'Bonding Program'!$Z$44,0)+IF(AND('Bonding Program'!$P$44&lt;&gt;"",N$3='Bonding Program'!$P$44,N$3&lt;='Bonding Program'!$C$8),N('Bonding Program'!$O$44),0)</f>
        <v>0</v>
      </c>
      <c r="O185" s="19" t="n">
        <f aca="false">IF(AND('Bonding Program'!$S$44=1,'Bonding Program'!$H$44&gt;'Bonding Program'!$C$8,O$3='Bonding Program'!$H$44),'Bonding Program'!$T$44-'Bonding Program'!$U$44-'Bonding Program'!$Z$44,0)-IF(AND('Bonding Program'!$S$44=1,'Bonding Program'!$H$44&lt;='Bonding Program'!$C$8,O$3=IF('Bonding Program'!$P$44&lt;&gt;"",'Bonding Program'!$P$44,'Bonding Program'!$C$8)),'Bonding Program'!$Z$44,0)+IF(AND('Bonding Program'!$P$44&lt;&gt;"",O$3='Bonding Program'!$P$44,O$3&lt;='Bonding Program'!$C$8),N('Bonding Program'!$O$44),0)</f>
        <v>0</v>
      </c>
      <c r="P185" s="19" t="n">
        <f aca="false">IF(AND('Bonding Program'!$S$44=1,'Bonding Program'!$H$44&gt;'Bonding Program'!$C$8,P$3='Bonding Program'!$H$44),'Bonding Program'!$T$44-'Bonding Program'!$U$44-'Bonding Program'!$Z$44,0)-IF(AND('Bonding Program'!$S$44=1,'Bonding Program'!$H$44&lt;='Bonding Program'!$C$8,P$3=IF('Bonding Program'!$P$44&lt;&gt;"",'Bonding Program'!$P$44,'Bonding Program'!$C$8)),'Bonding Program'!$Z$44,0)+IF(AND('Bonding Program'!$P$44&lt;&gt;"",P$3='Bonding Program'!$P$44,P$3&lt;='Bonding Program'!$C$8),N('Bonding Program'!$O$44),0)</f>
        <v>0</v>
      </c>
      <c r="Q185" s="19" t="n">
        <f aca="false">IF(AND('Bonding Program'!$S$44=1,'Bonding Program'!$H$44&gt;'Bonding Program'!$C$8,Q$3='Bonding Program'!$H$44),'Bonding Program'!$T$44-'Bonding Program'!$U$44-'Bonding Program'!$Z$44,0)-IF(AND('Bonding Program'!$S$44=1,'Bonding Program'!$H$44&lt;='Bonding Program'!$C$8,Q$3=IF('Bonding Program'!$P$44&lt;&gt;"",'Bonding Program'!$P$44,'Bonding Program'!$C$8)),'Bonding Program'!$Z$44,0)+IF(AND('Bonding Program'!$P$44&lt;&gt;"",Q$3='Bonding Program'!$P$44,Q$3&lt;='Bonding Program'!$C$8),N('Bonding Program'!$O$44),0)</f>
        <v>0</v>
      </c>
      <c r="R185" s="19" t="n">
        <f aca="false">IF(AND('Bonding Program'!$S$44=1,'Bonding Program'!$H$44&gt;'Bonding Program'!$C$8,R$3='Bonding Program'!$H$44),'Bonding Program'!$T$44-'Bonding Program'!$U$44-'Bonding Program'!$Z$44,0)-IF(AND('Bonding Program'!$S$44=1,'Bonding Program'!$H$44&lt;='Bonding Program'!$C$8,R$3=IF('Bonding Program'!$P$44&lt;&gt;"",'Bonding Program'!$P$44,'Bonding Program'!$C$8)),'Bonding Program'!$Z$44,0)+IF(AND('Bonding Program'!$P$44&lt;&gt;"",R$3='Bonding Program'!$P$44,R$3&lt;='Bonding Program'!$C$8),N('Bonding Program'!$O$44),0)</f>
        <v>0</v>
      </c>
      <c r="S185" s="19" t="n">
        <f aca="false">IF(AND('Bonding Program'!$S$44=1,'Bonding Program'!$H$44&gt;'Bonding Program'!$C$8,S$3='Bonding Program'!$H$44),'Bonding Program'!$T$44-'Bonding Program'!$U$44-'Bonding Program'!$Z$44,0)-IF(AND('Bonding Program'!$S$44=1,'Bonding Program'!$H$44&lt;='Bonding Program'!$C$8,S$3=IF('Bonding Program'!$P$44&lt;&gt;"",'Bonding Program'!$P$44,'Bonding Program'!$C$8)),'Bonding Program'!$Z$44,0)+IF(AND('Bonding Program'!$P$44&lt;&gt;"",S$3='Bonding Program'!$P$44,S$3&lt;='Bonding Program'!$C$8),N('Bonding Program'!$O$44),0)</f>
        <v>0</v>
      </c>
      <c r="T185" s="19" t="n">
        <f aca="false">IF(AND('Bonding Program'!$S$44=1,'Bonding Program'!$H$44&gt;'Bonding Program'!$C$8,T$3='Bonding Program'!$H$44),'Bonding Program'!$T$44-'Bonding Program'!$U$44-'Bonding Program'!$Z$44,0)-IF(AND('Bonding Program'!$S$44=1,'Bonding Program'!$H$44&lt;='Bonding Program'!$C$8,T$3=IF('Bonding Program'!$P$44&lt;&gt;"",'Bonding Program'!$P$44,'Bonding Program'!$C$8)),'Bonding Program'!$Z$44,0)+IF(AND('Bonding Program'!$P$44&lt;&gt;"",T$3='Bonding Program'!$P$44,T$3&lt;='Bonding Program'!$C$8),N('Bonding Program'!$O$44),0)</f>
        <v>0</v>
      </c>
      <c r="U185" s="19" t="n">
        <f aca="false">IF(AND('Bonding Program'!$S$44=1,'Bonding Program'!$H$44&gt;'Bonding Program'!$C$8,U$3='Bonding Program'!$H$44),'Bonding Program'!$T$44-'Bonding Program'!$U$44-'Bonding Program'!$Z$44,0)-IF(AND('Bonding Program'!$S$44=1,'Bonding Program'!$H$44&lt;='Bonding Program'!$C$8,U$3=IF('Bonding Program'!$P$44&lt;&gt;"",'Bonding Program'!$P$44,'Bonding Program'!$C$8)),'Bonding Program'!$Z$44,0)+IF(AND('Bonding Program'!$P$44&lt;&gt;"",U$3='Bonding Program'!$P$44,U$3&lt;='Bonding Program'!$C$8),N('Bonding Program'!$O$44),0)</f>
        <v>0</v>
      </c>
      <c r="V185" s="19" t="n">
        <f aca="false">IF(AND('Bonding Program'!$S$44=1,'Bonding Program'!$H$44&gt;'Bonding Program'!$C$8,V$3='Bonding Program'!$H$44),'Bonding Program'!$T$44-'Bonding Program'!$U$44-'Bonding Program'!$Z$44,0)-IF(AND('Bonding Program'!$S$44=1,'Bonding Program'!$H$44&lt;='Bonding Program'!$C$8,V$3=IF('Bonding Program'!$P$44&lt;&gt;"",'Bonding Program'!$P$44,'Bonding Program'!$C$8)),'Bonding Program'!$Z$44,0)+IF(AND('Bonding Program'!$P$44&lt;&gt;"",V$3='Bonding Program'!$P$44,V$3&lt;='Bonding Program'!$C$8),N('Bonding Program'!$O$44),0)</f>
        <v>0</v>
      </c>
      <c r="W185" s="19" t="n">
        <f aca="false">IF(AND('Bonding Program'!$S$44=1,'Bonding Program'!$H$44&gt;'Bonding Program'!$C$8,W$3='Bonding Program'!$H$44),'Bonding Program'!$T$44-'Bonding Program'!$U$44-'Bonding Program'!$Z$44,0)-IF(AND('Bonding Program'!$S$44=1,'Bonding Program'!$H$44&lt;='Bonding Program'!$C$8,W$3=IF('Bonding Program'!$P$44&lt;&gt;"",'Bonding Program'!$P$44,'Bonding Program'!$C$8)),'Bonding Program'!$Z$44,0)+IF(AND('Bonding Program'!$P$44&lt;&gt;"",W$3='Bonding Program'!$P$44,W$3&lt;='Bonding Program'!$C$8),N('Bonding Program'!$O$44),0)</f>
        <v>0</v>
      </c>
      <c r="X185" s="19" t="n">
        <f aca="false">IF(AND('Bonding Program'!$S$44=1,'Bonding Program'!$H$44&gt;'Bonding Program'!$C$8,X$3='Bonding Program'!$H$44),'Bonding Program'!$T$44-'Bonding Program'!$U$44-'Bonding Program'!$Z$44,0)-IF(AND('Bonding Program'!$S$44=1,'Bonding Program'!$H$44&lt;='Bonding Program'!$C$8,X$3=IF('Bonding Program'!$P$44&lt;&gt;"",'Bonding Program'!$P$44,'Bonding Program'!$C$8)),'Bonding Program'!$Z$44,0)+IF(AND('Bonding Program'!$P$44&lt;&gt;"",X$3='Bonding Program'!$P$44,X$3&lt;='Bonding Program'!$C$8),N('Bonding Program'!$O$44),0)</f>
        <v>0</v>
      </c>
      <c r="Y185" s="19" t="n">
        <f aca="false">IF(AND('Bonding Program'!$S$44=1,'Bonding Program'!$H$44&gt;'Bonding Program'!$C$8,Y$3='Bonding Program'!$H$44),'Bonding Program'!$T$44-'Bonding Program'!$U$44-'Bonding Program'!$Z$44,0)-IF(AND('Bonding Program'!$S$44=1,'Bonding Program'!$H$44&lt;='Bonding Program'!$C$8,Y$3=IF('Bonding Program'!$P$44&lt;&gt;"",'Bonding Program'!$P$44,'Bonding Program'!$C$8)),'Bonding Program'!$Z$44,0)+IF(AND('Bonding Program'!$P$44&lt;&gt;"",Y$3='Bonding Program'!$P$44,Y$3&lt;='Bonding Program'!$C$8),N('Bonding Program'!$O$44),0)</f>
        <v>0</v>
      </c>
      <c r="Z185" s="19" t="n">
        <f aca="false">IF(AND('Bonding Program'!$S$44=1,'Bonding Program'!$H$44&gt;'Bonding Program'!$C$8,Z$3='Bonding Program'!$H$44),'Bonding Program'!$T$44-'Bonding Program'!$U$44-'Bonding Program'!$Z$44,0)-IF(AND('Bonding Program'!$S$44=1,'Bonding Program'!$H$44&lt;='Bonding Program'!$C$8,Z$3=IF('Bonding Program'!$P$44&lt;&gt;"",'Bonding Program'!$P$44,'Bonding Program'!$C$8)),'Bonding Program'!$Z$44,0)+IF(AND('Bonding Program'!$P$44&lt;&gt;"",Z$3='Bonding Program'!$P$44,Z$3&lt;='Bonding Program'!$C$8),N('Bonding Program'!$O$44),0)</f>
        <v>0</v>
      </c>
      <c r="AA185" s="19" t="n">
        <f aca="false">IF(AND('Bonding Program'!$S$44=1,'Bonding Program'!$H$44&gt;'Bonding Program'!$C$8,AA$3='Bonding Program'!$H$44),'Bonding Program'!$T$44-'Bonding Program'!$U$44-'Bonding Program'!$Z$44,0)-IF(AND('Bonding Program'!$S$44=1,'Bonding Program'!$H$44&lt;='Bonding Program'!$C$8,AA$3=IF('Bonding Program'!$P$44&lt;&gt;"",'Bonding Program'!$P$44,'Bonding Program'!$C$8)),'Bonding Program'!$Z$44,0)+IF(AND('Bonding Program'!$P$44&lt;&gt;"",AA$3='Bonding Program'!$P$44,AA$3&lt;='Bonding Program'!$C$8),N('Bonding Program'!$O$44),0)</f>
        <v>0</v>
      </c>
      <c r="AB185" s="19" t="n">
        <f aca="false">IF(AND('Bonding Program'!$S$44=1,'Bonding Program'!$H$44&gt;'Bonding Program'!$C$8,AB$3='Bonding Program'!$H$44),'Bonding Program'!$T$44-'Bonding Program'!$U$44-'Bonding Program'!$Z$44,0)-IF(AND('Bonding Program'!$S$44=1,'Bonding Program'!$H$44&lt;='Bonding Program'!$C$8,AB$3=IF('Bonding Program'!$P$44&lt;&gt;"",'Bonding Program'!$P$44,'Bonding Program'!$C$8)),'Bonding Program'!$Z$44,0)+IF(AND('Bonding Program'!$P$44&lt;&gt;"",AB$3='Bonding Program'!$P$44,AB$3&lt;='Bonding Program'!$C$8),N('Bonding Program'!$O$44),0)</f>
        <v>0</v>
      </c>
      <c r="AC185" s="19" t="n">
        <f aca="false">IF(AND('Bonding Program'!$S$44=1,'Bonding Program'!$H$44&gt;'Bonding Program'!$C$8,AC$3='Bonding Program'!$H$44),'Bonding Program'!$T$44-'Bonding Program'!$U$44-'Bonding Program'!$Z$44,0)-IF(AND('Bonding Program'!$S$44=1,'Bonding Program'!$H$44&lt;='Bonding Program'!$C$8,AC$3=IF('Bonding Program'!$P$44&lt;&gt;"",'Bonding Program'!$P$44,'Bonding Program'!$C$8)),'Bonding Program'!$Z$44,0)+IF(AND('Bonding Program'!$P$44&lt;&gt;"",AC$3='Bonding Program'!$P$44,AC$3&lt;='Bonding Program'!$C$8),N('Bonding Program'!$O$44),0)</f>
        <v>0</v>
      </c>
      <c r="AD185" s="19" t="n">
        <f aca="false">IF(AND('Bonding Program'!$S$44=1,'Bonding Program'!$H$44&gt;'Bonding Program'!$C$8,AD$3='Bonding Program'!$H$44),'Bonding Program'!$T$44-'Bonding Program'!$U$44-'Bonding Program'!$Z$44,0)-IF(AND('Bonding Program'!$S$44=1,'Bonding Program'!$H$44&lt;='Bonding Program'!$C$8,AD$3=IF('Bonding Program'!$P$44&lt;&gt;"",'Bonding Program'!$P$44,'Bonding Program'!$C$8)),'Bonding Program'!$Z$44,0)+IF(AND('Bonding Program'!$P$44&lt;&gt;"",AD$3='Bonding Program'!$P$44,AD$3&lt;='Bonding Program'!$C$8),N('Bonding Program'!$O$44),0)</f>
        <v>0</v>
      </c>
      <c r="AE185" s="19" t="n">
        <f aca="false">IF(AND('Bonding Program'!$S$44=1,'Bonding Program'!$H$44&gt;'Bonding Program'!$C$8,AE$3='Bonding Program'!$H$44),'Bonding Program'!$T$44-'Bonding Program'!$U$44-'Bonding Program'!$Z$44,0)-IF(AND('Bonding Program'!$S$44=1,'Bonding Program'!$H$44&lt;='Bonding Program'!$C$8,AE$3=IF('Bonding Program'!$P$44&lt;&gt;"",'Bonding Program'!$P$44,'Bonding Program'!$C$8)),'Bonding Program'!$Z$44,0)+IF(AND('Bonding Program'!$P$44&lt;&gt;"",AE$3='Bonding Program'!$P$44,AE$3&lt;='Bonding Program'!$C$8),N('Bonding Program'!$O$44),0)</f>
        <v>0</v>
      </c>
      <c r="AF185" s="19" t="n">
        <f aca="false">IF(AND('Bonding Program'!$S$44=1,'Bonding Program'!$H$44&gt;'Bonding Program'!$C$8,AF$3='Bonding Program'!$H$44),'Bonding Program'!$T$44-'Bonding Program'!$U$44-'Bonding Program'!$Z$44,0)-IF(AND('Bonding Program'!$S$44=1,'Bonding Program'!$H$44&lt;='Bonding Program'!$C$8,AF$3=IF('Bonding Program'!$P$44&lt;&gt;"",'Bonding Program'!$P$44,'Bonding Program'!$C$8)),'Bonding Program'!$Z$44,0)+IF(AND('Bonding Program'!$P$44&lt;&gt;"",AF$3='Bonding Program'!$P$44,AF$3&lt;='Bonding Program'!$C$8),N('Bonding Program'!$O$44),0)</f>
        <v>0</v>
      </c>
      <c r="AG185" s="19" t="n">
        <f aca="false">IF(AND('Bonding Program'!$S$44=1,'Bonding Program'!$H$44&gt;'Bonding Program'!$C$8,AG$3='Bonding Program'!$H$44),'Bonding Program'!$T$44-'Bonding Program'!$U$44-'Bonding Program'!$Z$44,0)-IF(AND('Bonding Program'!$S$44=1,'Bonding Program'!$H$44&lt;='Bonding Program'!$C$8,AG$3=IF('Bonding Program'!$P$44&lt;&gt;"",'Bonding Program'!$P$44,'Bonding Program'!$C$8)),'Bonding Program'!$Z$44,0)+IF(AND('Bonding Program'!$P$44&lt;&gt;"",AG$3='Bonding Program'!$P$44,AG$3&lt;='Bonding Program'!$C$8),N('Bonding Program'!$O$44),0)</f>
        <v>0</v>
      </c>
      <c r="AH185" s="19" t="n">
        <f aca="false">IF(AND('Bonding Program'!$S$44=1,'Bonding Program'!$H$44&gt;'Bonding Program'!$C$8,AH$3='Bonding Program'!$H$44),'Bonding Program'!$T$44-'Bonding Program'!$U$44-'Bonding Program'!$Z$44,0)-IF(AND('Bonding Program'!$S$44=1,'Bonding Program'!$H$44&lt;='Bonding Program'!$C$8,AH$3=IF('Bonding Program'!$P$44&lt;&gt;"",'Bonding Program'!$P$44,'Bonding Program'!$C$8)),'Bonding Program'!$Z$44,0)+IF(AND('Bonding Program'!$P$44&lt;&gt;"",AH$3='Bonding Program'!$P$44,AH$3&lt;='Bonding Program'!$C$8),N('Bonding Program'!$O$44),0)</f>
        <v>0</v>
      </c>
      <c r="AI185" s="19" t="n">
        <f aca="false">IF(AND('Bonding Program'!$S$44=1,'Bonding Program'!$H$44&gt;'Bonding Program'!$C$8,AI$3='Bonding Program'!$H$44),'Bonding Program'!$T$44-'Bonding Program'!$U$44-'Bonding Program'!$Z$44,0)-IF(AND('Bonding Program'!$S$44=1,'Bonding Program'!$H$44&lt;='Bonding Program'!$C$8,AI$3=IF('Bonding Program'!$P$44&lt;&gt;"",'Bonding Program'!$P$44,'Bonding Program'!$C$8)),'Bonding Program'!$Z$44,0)+IF(AND('Bonding Program'!$P$44&lt;&gt;"",AI$3='Bonding Program'!$P$44,AI$3&lt;='Bonding Program'!$C$8),N('Bonding Program'!$O$44),0)</f>
        <v>0</v>
      </c>
      <c r="AJ185" s="19" t="n">
        <f aca="false">IF(AND('Bonding Program'!$S$44=1,'Bonding Program'!$H$44&gt;'Bonding Program'!$C$8,AJ$3='Bonding Program'!$H$44),'Bonding Program'!$T$44-'Bonding Program'!$U$44-'Bonding Program'!$Z$44,0)-IF(AND('Bonding Program'!$S$44=1,'Bonding Program'!$H$44&lt;='Bonding Program'!$C$8,AJ$3=IF('Bonding Program'!$P$44&lt;&gt;"",'Bonding Program'!$P$44,'Bonding Program'!$C$8)),'Bonding Program'!$Z$44,0)+IF(AND('Bonding Program'!$P$44&lt;&gt;"",AJ$3='Bonding Program'!$P$44,AJ$3&lt;='Bonding Program'!$C$8),N('Bonding Program'!$O$44),0)</f>
        <v>0</v>
      </c>
      <c r="AK185" s="19" t="n">
        <f aca="false">IF(AND('Bonding Program'!$S$44=1,'Bonding Program'!$H$44&gt;'Bonding Program'!$C$8,AK$3='Bonding Program'!$H$44),'Bonding Program'!$T$44-'Bonding Program'!$U$44-'Bonding Program'!$Z$44,0)-IF(AND('Bonding Program'!$S$44=1,'Bonding Program'!$H$44&lt;='Bonding Program'!$C$8,AK$3=IF('Bonding Program'!$P$44&lt;&gt;"",'Bonding Program'!$P$44,'Bonding Program'!$C$8)),'Bonding Program'!$Z$44,0)+IF(AND('Bonding Program'!$P$44&lt;&gt;"",AK$3='Bonding Program'!$P$44,AK$3&lt;='Bonding Program'!$C$8),N('Bonding Program'!$O$44),0)</f>
        <v>0</v>
      </c>
      <c r="AL185" s="19" t="n">
        <f aca="false">IF(AND('Bonding Program'!$S$44=1,'Bonding Program'!$H$44&gt;'Bonding Program'!$C$8,AL$3='Bonding Program'!$H$44),'Bonding Program'!$T$44-'Bonding Program'!$U$44-'Bonding Program'!$Z$44,0)-IF(AND('Bonding Program'!$S$44=1,'Bonding Program'!$H$44&lt;='Bonding Program'!$C$8,AL$3=IF('Bonding Program'!$P$44&lt;&gt;"",'Bonding Program'!$P$44,'Bonding Program'!$C$8)),'Bonding Program'!$Z$44,0)+IF(AND('Bonding Program'!$P$44&lt;&gt;"",AL$3='Bonding Program'!$P$44,AL$3&lt;='Bonding Program'!$C$8),N('Bonding Program'!$O$44),0)</f>
        <v>0</v>
      </c>
      <c r="AM185" s="19" t="n">
        <f aca="false">IF(AND('Bonding Program'!$S$44=1,'Bonding Program'!$H$44&gt;'Bonding Program'!$C$8,AM$3='Bonding Program'!$H$44),'Bonding Program'!$T$44-'Bonding Program'!$U$44-'Bonding Program'!$Z$44,0)-IF(AND('Bonding Program'!$S$44=1,'Bonding Program'!$H$44&lt;='Bonding Program'!$C$8,AM$3=IF('Bonding Program'!$P$44&lt;&gt;"",'Bonding Program'!$P$44,'Bonding Program'!$C$8)),'Bonding Program'!$Z$44,0)+IF(AND('Bonding Program'!$P$44&lt;&gt;"",AM$3='Bonding Program'!$P$44,AM$3&lt;='Bonding Program'!$C$8),N('Bonding Program'!$O$44),0)</f>
        <v>0</v>
      </c>
      <c r="AN185" s="19" t="n">
        <f aca="false">IF(AND('Bonding Program'!$S$44=1,'Bonding Program'!$H$44&gt;'Bonding Program'!$C$8,AN$3='Bonding Program'!$H$44),'Bonding Program'!$T$44-'Bonding Program'!$U$44-'Bonding Program'!$Z$44,0)-IF(AND('Bonding Program'!$S$44=1,'Bonding Program'!$H$44&lt;='Bonding Program'!$C$8,AN$3=IF('Bonding Program'!$P$44&lt;&gt;"",'Bonding Program'!$P$44,'Bonding Program'!$C$8)),'Bonding Program'!$Z$44,0)+IF(AND('Bonding Program'!$P$44&lt;&gt;"",AN$3='Bonding Program'!$P$44,AN$3&lt;='Bonding Program'!$C$8),N('Bonding Program'!$O$44),0)</f>
        <v>0</v>
      </c>
      <c r="AO185" s="19" t="n">
        <f aca="false">IF(AND('Bonding Program'!$S$44=1,'Bonding Program'!$H$44&gt;'Bonding Program'!$C$8,AO$3='Bonding Program'!$H$44),'Bonding Program'!$T$44-'Bonding Program'!$U$44-'Bonding Program'!$Z$44,0)-IF(AND('Bonding Program'!$S$44=1,'Bonding Program'!$H$44&lt;='Bonding Program'!$C$8,AO$3=IF('Bonding Program'!$P$44&lt;&gt;"",'Bonding Program'!$P$44,'Bonding Program'!$C$8)),'Bonding Program'!$Z$44,0)+IF(AND('Bonding Program'!$P$44&lt;&gt;"",AO$3='Bonding Program'!$P$44,AO$3&lt;='Bonding Program'!$C$8),N('Bonding Program'!$O$44),0)</f>
        <v>0</v>
      </c>
      <c r="AP185" s="19" t="n">
        <f aca="false">IF(AND('Bonding Program'!$S$44=1,'Bonding Program'!$H$44&gt;'Bonding Program'!$C$8,AP$3='Bonding Program'!$H$44),'Bonding Program'!$T$44-'Bonding Program'!$U$44-'Bonding Program'!$Z$44,0)-IF(AND('Bonding Program'!$S$44=1,'Bonding Program'!$H$44&lt;='Bonding Program'!$C$8,AP$3=IF('Bonding Program'!$P$44&lt;&gt;"",'Bonding Program'!$P$44,'Bonding Program'!$C$8)),'Bonding Program'!$Z$44,0)+IF(AND('Bonding Program'!$P$44&lt;&gt;"",AP$3='Bonding Program'!$P$44,AP$3&lt;='Bonding Program'!$C$8),N('Bonding Program'!$O$44),0)</f>
        <v>0</v>
      </c>
      <c r="AQ185" s="19" t="n">
        <f aca="false">IF(AND('Bonding Program'!$S$44=1,'Bonding Program'!$H$44&gt;'Bonding Program'!$C$8,AQ$3='Bonding Program'!$H$44),'Bonding Program'!$T$44-'Bonding Program'!$U$44-'Bonding Program'!$Z$44,0)-IF(AND('Bonding Program'!$S$44=1,'Bonding Program'!$H$44&lt;='Bonding Program'!$C$8,AQ$3=IF('Bonding Program'!$P$44&lt;&gt;"",'Bonding Program'!$P$44,'Bonding Program'!$C$8)),'Bonding Program'!$Z$44,0)+IF(AND('Bonding Program'!$P$44&lt;&gt;"",AQ$3='Bonding Program'!$P$44,AQ$3&lt;='Bonding Program'!$C$8),N('Bonding Program'!$O$44),0)</f>
        <v>0</v>
      </c>
      <c r="AR185" s="19" t="n">
        <f aca="false">IF(AND('Bonding Program'!$S$44=1,'Bonding Program'!$H$44&gt;'Bonding Program'!$C$8,AR$3='Bonding Program'!$H$44),'Bonding Program'!$T$44-'Bonding Program'!$U$44-'Bonding Program'!$Z$44,0)-IF(AND('Bonding Program'!$S$44=1,'Bonding Program'!$H$44&lt;='Bonding Program'!$C$8,AR$3=IF('Bonding Program'!$P$44&lt;&gt;"",'Bonding Program'!$P$44,'Bonding Program'!$C$8)),'Bonding Program'!$Z$44,0)+IF(AND('Bonding Program'!$P$44&lt;&gt;"",AR$3='Bonding Program'!$P$44,AR$3&lt;='Bonding Program'!$C$8),N('Bonding Program'!$O$44),0)</f>
        <v>0</v>
      </c>
      <c r="AS185" s="19" t="n">
        <f aca="false">IF(AND('Bonding Program'!$S$44=1,'Bonding Program'!$H$44&gt;'Bonding Program'!$C$8,AS$3='Bonding Program'!$H$44),'Bonding Program'!$T$44-'Bonding Program'!$U$44-'Bonding Program'!$Z$44,0)-IF(AND('Bonding Program'!$S$44=1,'Bonding Program'!$H$44&lt;='Bonding Program'!$C$8,AS$3=IF('Bonding Program'!$P$44&lt;&gt;"",'Bonding Program'!$P$44,'Bonding Program'!$C$8)),'Bonding Program'!$Z$44,0)+IF(AND('Bonding Program'!$P$44&lt;&gt;"",AS$3='Bonding Program'!$P$44,AS$3&lt;='Bonding Program'!$C$8),N('Bonding Program'!$O$44),0)</f>
        <v>0</v>
      </c>
      <c r="AT185" s="19" t="n">
        <f aca="false">IF(AND('Bonding Program'!$S$44=1,'Bonding Program'!$H$44&gt;'Bonding Program'!$C$8,AT$3='Bonding Program'!$H$44),'Bonding Program'!$T$44-'Bonding Program'!$U$44-'Bonding Program'!$Z$44,0)-IF(AND('Bonding Program'!$S$44=1,'Bonding Program'!$H$44&lt;='Bonding Program'!$C$8,AT$3=IF('Bonding Program'!$P$44&lt;&gt;"",'Bonding Program'!$P$44,'Bonding Program'!$C$8)),'Bonding Program'!$Z$44,0)+IF(AND('Bonding Program'!$P$44&lt;&gt;"",AT$3='Bonding Program'!$P$44,AT$3&lt;='Bonding Program'!$C$8),N('Bonding Program'!$O$44),0)</f>
        <v>0</v>
      </c>
      <c r="AU185" s="19" t="n">
        <f aca="false">IF(AND('Bonding Program'!$S$44=1,'Bonding Program'!$H$44&gt;'Bonding Program'!$C$8,AU$3='Bonding Program'!$H$44),'Bonding Program'!$T$44-'Bonding Program'!$U$44-'Bonding Program'!$Z$44,0)-IF(AND('Bonding Program'!$S$44=1,'Bonding Program'!$H$44&lt;='Bonding Program'!$C$8,AU$3=IF('Bonding Program'!$P$44&lt;&gt;"",'Bonding Program'!$P$44,'Bonding Program'!$C$8)),'Bonding Program'!$Z$44,0)+IF(AND('Bonding Program'!$P$44&lt;&gt;"",AU$3='Bonding Program'!$P$44,AU$3&lt;='Bonding Program'!$C$8),N('Bonding Program'!$O$44),0)</f>
        <v>0</v>
      </c>
      <c r="AV185" s="19" t="n">
        <f aca="false">IF(AND('Bonding Program'!$S$44=1,'Bonding Program'!$H$44&gt;'Bonding Program'!$C$8,AV$3='Bonding Program'!$H$44),'Bonding Program'!$T$44-'Bonding Program'!$U$44-'Bonding Program'!$Z$44,0)-IF(AND('Bonding Program'!$S$44=1,'Bonding Program'!$H$44&lt;='Bonding Program'!$C$8,AV$3=IF('Bonding Program'!$P$44&lt;&gt;"",'Bonding Program'!$P$44,'Bonding Program'!$C$8)),'Bonding Program'!$Z$44,0)+IF(AND('Bonding Program'!$P$44&lt;&gt;"",AV$3='Bonding Program'!$P$44,AV$3&lt;='Bonding Program'!$C$8),N('Bonding Program'!$O$44),0)</f>
        <v>0</v>
      </c>
      <c r="AW185" s="19" t="n">
        <f aca="false">IF(AND('Bonding Program'!$S$44=1,'Bonding Program'!$H$44&gt;'Bonding Program'!$C$8,AW$3='Bonding Program'!$H$44),'Bonding Program'!$T$44-'Bonding Program'!$U$44-'Bonding Program'!$Z$44,0)-IF(AND('Bonding Program'!$S$44=1,'Bonding Program'!$H$44&lt;='Bonding Program'!$C$8,AW$3=IF('Bonding Program'!$P$44&lt;&gt;"",'Bonding Program'!$P$44,'Bonding Program'!$C$8)),'Bonding Program'!$Z$44,0)+IF(AND('Bonding Program'!$P$44&lt;&gt;"",AW$3='Bonding Program'!$P$44,AW$3&lt;='Bonding Program'!$C$8),N('Bonding Program'!$O$44),0)</f>
        <v>0</v>
      </c>
      <c r="AX185" s="19" t="n">
        <f aca="false">IF(AND('Bonding Program'!$S$44=1,'Bonding Program'!$H$44&gt;'Bonding Program'!$C$8,AX$3='Bonding Program'!$H$44),'Bonding Program'!$T$44-'Bonding Program'!$U$44-'Bonding Program'!$Z$44,0)-IF(AND('Bonding Program'!$S$44=1,'Bonding Program'!$H$44&lt;='Bonding Program'!$C$8,AX$3=IF('Bonding Program'!$P$44&lt;&gt;"",'Bonding Program'!$P$44,'Bonding Program'!$C$8)),'Bonding Program'!$Z$44,0)+IF(AND('Bonding Program'!$P$44&lt;&gt;"",AX$3='Bonding Program'!$P$44,AX$3&lt;='Bonding Program'!$C$8),N('Bonding Program'!$O$44),0)</f>
        <v>0</v>
      </c>
      <c r="AY185" s="19" t="n">
        <f aca="false">IF(AND('Bonding Program'!$S$44=1,'Bonding Program'!$H$44&gt;'Bonding Program'!$C$8,AY$3='Bonding Program'!$H$44),'Bonding Program'!$T$44-'Bonding Program'!$U$44-'Bonding Program'!$Z$44,0)-IF(AND('Bonding Program'!$S$44=1,'Bonding Program'!$H$44&lt;='Bonding Program'!$C$8,AY$3=IF('Bonding Program'!$P$44&lt;&gt;"",'Bonding Program'!$P$44,'Bonding Program'!$C$8)),'Bonding Program'!$Z$44,0)+IF(AND('Bonding Program'!$P$44&lt;&gt;"",AY$3='Bonding Program'!$P$44,AY$3&lt;='Bonding Program'!$C$8),N('Bonding Program'!$O$44),0)</f>
        <v>0</v>
      </c>
      <c r="AZ185" s="19" t="n">
        <f aca="false">IF(AND('Bonding Program'!$S$44=1,'Bonding Program'!$H$44&gt;'Bonding Program'!$C$8,AZ$3='Bonding Program'!$H$44),'Bonding Program'!$T$44-'Bonding Program'!$U$44-'Bonding Program'!$Z$44,0)-IF(AND('Bonding Program'!$S$44=1,'Bonding Program'!$H$44&lt;='Bonding Program'!$C$8,AZ$3=IF('Bonding Program'!$P$44&lt;&gt;"",'Bonding Program'!$P$44,'Bonding Program'!$C$8)),'Bonding Program'!$Z$44,0)+IF(AND('Bonding Program'!$P$44&lt;&gt;"",AZ$3='Bonding Program'!$P$44,AZ$3&lt;='Bonding Program'!$C$8),N('Bonding Program'!$O$44),0)</f>
        <v>0</v>
      </c>
      <c r="BA185" s="19" t="n">
        <f aca="false">IF(AND('Bonding Program'!$S$44=1,'Bonding Program'!$H$44&gt;'Bonding Program'!$C$8,BA$3='Bonding Program'!$H$44),'Bonding Program'!$T$44-'Bonding Program'!$U$44-'Bonding Program'!$Z$44,0)-IF(AND('Bonding Program'!$S$44=1,'Bonding Program'!$H$44&lt;='Bonding Program'!$C$8,BA$3=IF('Bonding Program'!$P$44&lt;&gt;"",'Bonding Program'!$P$44,'Bonding Program'!$C$8)),'Bonding Program'!$Z$44,0)+IF(AND('Bonding Program'!$P$44&lt;&gt;"",BA$3='Bonding Program'!$P$44,BA$3&lt;='Bonding Program'!$C$8),N('Bonding Program'!$O$44),0)</f>
        <v>0</v>
      </c>
      <c r="BB185" s="19" t="n">
        <f aca="false">IF(AND('Bonding Program'!$S$44=1,'Bonding Program'!$H$44&gt;'Bonding Program'!$C$8,BB$3='Bonding Program'!$H$44),'Bonding Program'!$T$44-'Bonding Program'!$U$44-'Bonding Program'!$Z$44,0)-IF(AND('Bonding Program'!$S$44=1,'Bonding Program'!$H$44&lt;='Bonding Program'!$C$8,BB$3=IF('Bonding Program'!$P$44&lt;&gt;"",'Bonding Program'!$P$44,'Bonding Program'!$C$8)),'Bonding Program'!$Z$44,0)+IF(AND('Bonding Program'!$P$44&lt;&gt;"",BB$3='Bonding Program'!$P$44,BB$3&lt;='Bonding Program'!$C$8),N('Bonding Program'!$O$44),0)</f>
        <v>0</v>
      </c>
      <c r="BC185" s="19" t="n">
        <f aca="false">IF(AND('Bonding Program'!$S$44=1,'Bonding Program'!$H$44&gt;'Bonding Program'!$C$8,BC$3='Bonding Program'!$H$44),'Bonding Program'!$T$44-'Bonding Program'!$U$44-'Bonding Program'!$Z$44,0)-IF(AND('Bonding Program'!$S$44=1,'Bonding Program'!$H$44&lt;='Bonding Program'!$C$8,BC$3=IF('Bonding Program'!$P$44&lt;&gt;"",'Bonding Program'!$P$44,'Bonding Program'!$C$8)),'Bonding Program'!$Z$44,0)+IF(AND('Bonding Program'!$P$44&lt;&gt;"",BC$3='Bonding Program'!$P$44,BC$3&lt;='Bonding Program'!$C$8),N('Bonding Program'!$O$44),0)</f>
        <v>0</v>
      </c>
      <c r="BD185" s="19" t="n">
        <f aca="false">IF(AND('Bonding Program'!$S$44=1,'Bonding Program'!$H$44&gt;'Bonding Program'!$C$8,BD$3='Bonding Program'!$H$44),'Bonding Program'!$T$44-'Bonding Program'!$U$44-'Bonding Program'!$Z$44,0)-IF(AND('Bonding Program'!$S$44=1,'Bonding Program'!$H$44&lt;='Bonding Program'!$C$8,BD$3=IF('Bonding Program'!$P$44&lt;&gt;"",'Bonding Program'!$P$44,'Bonding Program'!$C$8)),'Bonding Program'!$Z$44,0)+IF(AND('Bonding Program'!$P$44&lt;&gt;"",BD$3='Bonding Program'!$P$44,BD$3&lt;='Bonding Program'!$C$8),N('Bonding Program'!$O$44),0)</f>
        <v>0</v>
      </c>
      <c r="BE185" s="19" t="n">
        <f aca="false">IF(AND('Bonding Program'!$S$44=1,'Bonding Program'!$H$44&gt;'Bonding Program'!$C$8,BE$3='Bonding Program'!$H$44),'Bonding Program'!$T$44-'Bonding Program'!$U$44-'Bonding Program'!$Z$44,0)-IF(AND('Bonding Program'!$S$44=1,'Bonding Program'!$H$44&lt;='Bonding Program'!$C$8,BE$3=IF('Bonding Program'!$P$44&lt;&gt;"",'Bonding Program'!$P$44,'Bonding Program'!$C$8)),'Bonding Program'!$Z$44,0)+IF(AND('Bonding Program'!$P$44&lt;&gt;"",BE$3='Bonding Program'!$P$44,BE$3&lt;='Bonding Program'!$C$8),N('Bonding Program'!$O$44),0)</f>
        <v>0</v>
      </c>
      <c r="BF185" s="19" t="n">
        <f aca="false">IF(AND('Bonding Program'!$S$44=1,'Bonding Program'!$H$44&gt;'Bonding Program'!$C$8,BF$3='Bonding Program'!$H$44),'Bonding Program'!$T$44-'Bonding Program'!$U$44-'Bonding Program'!$Z$44,0)-IF(AND('Bonding Program'!$S$44=1,'Bonding Program'!$H$44&lt;='Bonding Program'!$C$8,BF$3=IF('Bonding Program'!$P$44&lt;&gt;"",'Bonding Program'!$P$44,'Bonding Program'!$C$8)),'Bonding Program'!$Z$44,0)+IF(AND('Bonding Program'!$P$44&lt;&gt;"",BF$3='Bonding Program'!$P$44,BF$3&lt;='Bonding Program'!$C$8),N('Bonding Program'!$O$44),0)</f>
        <v>0</v>
      </c>
      <c r="BG185" s="19" t="n">
        <f aca="false">IF(AND('Bonding Program'!$S$44=1,'Bonding Program'!$H$44&gt;'Bonding Program'!$C$8,BG$3='Bonding Program'!$H$44),'Bonding Program'!$T$44-'Bonding Program'!$U$44-'Bonding Program'!$Z$44,0)-IF(AND('Bonding Program'!$S$44=1,'Bonding Program'!$H$44&lt;='Bonding Program'!$C$8,BG$3=IF('Bonding Program'!$P$44&lt;&gt;"",'Bonding Program'!$P$44,'Bonding Program'!$C$8)),'Bonding Program'!$Z$44,0)+IF(AND('Bonding Program'!$P$44&lt;&gt;"",BG$3='Bonding Program'!$P$44,BG$3&lt;='Bonding Program'!$C$8),N('Bonding Program'!$O$44),0)</f>
        <v>0</v>
      </c>
      <c r="BH185" s="19" t="n">
        <f aca="false">IF(AND('Bonding Program'!$S$44=1,'Bonding Program'!$H$44&gt;'Bonding Program'!$C$8,BH$3='Bonding Program'!$H$44),'Bonding Program'!$T$44-'Bonding Program'!$U$44-'Bonding Program'!$Z$44,0)-IF(AND('Bonding Program'!$S$44=1,'Bonding Program'!$H$44&lt;='Bonding Program'!$C$8,BH$3=IF('Bonding Program'!$P$44&lt;&gt;"",'Bonding Program'!$P$44,'Bonding Program'!$C$8)),'Bonding Program'!$Z$44,0)+IF(AND('Bonding Program'!$P$44&lt;&gt;"",BH$3='Bonding Program'!$P$44,BH$3&lt;='Bonding Program'!$C$8),N('Bonding Program'!$O$44),0)</f>
        <v>0</v>
      </c>
      <c r="BI185" s="19" t="n">
        <f aca="false">IF(AND('Bonding Program'!$S$44=1,'Bonding Program'!$H$44&gt;'Bonding Program'!$C$8,BI$3='Bonding Program'!$H$44),'Bonding Program'!$T$44-'Bonding Program'!$U$44-'Bonding Program'!$Z$44,0)-IF(AND('Bonding Program'!$S$44=1,'Bonding Program'!$H$44&lt;='Bonding Program'!$C$8,BI$3=IF('Bonding Program'!$P$44&lt;&gt;"",'Bonding Program'!$P$44,'Bonding Program'!$C$8)),'Bonding Program'!$Z$44,0)+IF(AND('Bonding Program'!$P$44&lt;&gt;"",BI$3='Bonding Program'!$P$44,BI$3&lt;='Bonding Program'!$C$8),N('Bonding Program'!$O$44),0)</f>
        <v>0</v>
      </c>
      <c r="BJ185" s="19" t="n">
        <f aca="false">IF(AND('Bonding Program'!$S$44=1,'Bonding Program'!$H$44&gt;'Bonding Program'!$C$8,BJ$3='Bonding Program'!$H$44),'Bonding Program'!$T$44-'Bonding Program'!$U$44-'Bonding Program'!$Z$44,0)-IF(AND('Bonding Program'!$S$44=1,'Bonding Program'!$H$44&lt;='Bonding Program'!$C$8,BJ$3=IF('Bonding Program'!$P$44&lt;&gt;"",'Bonding Program'!$P$44,'Bonding Program'!$C$8)),'Bonding Program'!$Z$44,0)+IF(AND('Bonding Program'!$P$44&lt;&gt;"",BJ$3='Bonding Program'!$P$44,BJ$3&lt;='Bonding Program'!$C$8),N('Bonding Program'!$O$44),0)</f>
        <v>0</v>
      </c>
      <c r="BK185" s="19" t="n">
        <f aca="false">IF(AND('Bonding Program'!$S$44=1,'Bonding Program'!$H$44&gt;'Bonding Program'!$C$8,BK$3='Bonding Program'!$H$44),'Bonding Program'!$T$44-'Bonding Program'!$U$44-'Bonding Program'!$Z$44,0)-IF(AND('Bonding Program'!$S$44=1,'Bonding Program'!$H$44&lt;='Bonding Program'!$C$8,BK$3=IF('Bonding Program'!$P$44&lt;&gt;"",'Bonding Program'!$P$44,'Bonding Program'!$C$8)),'Bonding Program'!$Z$44,0)+IF(AND('Bonding Program'!$P$44&lt;&gt;"",BK$3='Bonding Program'!$P$44,BK$3&lt;='Bonding Program'!$C$8),N('Bonding Program'!$O$44),0)</f>
        <v>0</v>
      </c>
      <c r="BL185" s="19" t="n">
        <f aca="false">IF(AND('Bonding Program'!$S$44=1,'Bonding Program'!$H$44&gt;'Bonding Program'!$C$8,BL$3='Bonding Program'!$H$44),'Bonding Program'!$T$44-'Bonding Program'!$U$44-'Bonding Program'!$Z$44,0)-IF(AND('Bonding Program'!$S$44=1,'Bonding Program'!$H$44&lt;='Bonding Program'!$C$8,BL$3=IF('Bonding Program'!$P$44&lt;&gt;"",'Bonding Program'!$P$44,'Bonding Program'!$C$8)),'Bonding Program'!$Z$44,0)+IF(AND('Bonding Program'!$P$44&lt;&gt;"",BL$3='Bonding Program'!$P$44,BL$3&lt;='Bonding Program'!$C$8),N('Bonding Program'!$O$44),0)</f>
        <v>0</v>
      </c>
      <c r="BM185" s="19" t="n">
        <f aca="false">IF(AND('Bonding Program'!$S$44=1,'Bonding Program'!$H$44&gt;'Bonding Program'!$C$8,BM$3='Bonding Program'!$H$44),'Bonding Program'!$T$44-'Bonding Program'!$U$44-'Bonding Program'!$Z$44,0)-IF(AND('Bonding Program'!$S$44=1,'Bonding Program'!$H$44&lt;='Bonding Program'!$C$8,BM$3=IF('Bonding Program'!$P$44&lt;&gt;"",'Bonding Program'!$P$44,'Bonding Program'!$C$8)),'Bonding Program'!$Z$44,0)+IF(AND('Bonding Program'!$P$44&lt;&gt;"",BM$3='Bonding Program'!$P$44,BM$3&lt;='Bonding Program'!$C$8),N('Bonding Program'!$O$44),0)</f>
        <v>0</v>
      </c>
      <c r="BN185" s="19" t="n">
        <f aca="false">IF(AND('Bonding Program'!$S$44=1,'Bonding Program'!$H$44&gt;'Bonding Program'!$C$8,BN$3='Bonding Program'!$H$44),'Bonding Program'!$T$44-'Bonding Program'!$U$44-'Bonding Program'!$Z$44,0)-IF(AND('Bonding Program'!$S$44=1,'Bonding Program'!$H$44&lt;='Bonding Program'!$C$8,BN$3=IF('Bonding Program'!$P$44&lt;&gt;"",'Bonding Program'!$P$44,'Bonding Program'!$C$8)),'Bonding Program'!$Z$44,0)+IF(AND('Bonding Program'!$P$44&lt;&gt;"",BN$3='Bonding Program'!$P$44,BN$3&lt;='Bonding Program'!$C$8),N('Bonding Program'!$O$44),0)</f>
        <v>0</v>
      </c>
      <c r="BO185" s="19" t="n">
        <f aca="false">IF(AND('Bonding Program'!$S$44=1,'Bonding Program'!$H$44&gt;'Bonding Program'!$C$8,BO$3='Bonding Program'!$H$44),'Bonding Program'!$T$44-'Bonding Program'!$U$44-'Bonding Program'!$Z$44,0)-IF(AND('Bonding Program'!$S$44=1,'Bonding Program'!$H$44&lt;='Bonding Program'!$C$8,BO$3=IF('Bonding Program'!$P$44&lt;&gt;"",'Bonding Program'!$P$44,'Bonding Program'!$C$8)),'Bonding Program'!$Z$44,0)+IF(AND('Bonding Program'!$P$44&lt;&gt;"",BO$3='Bonding Program'!$P$44,BO$3&lt;='Bonding Program'!$C$8),N('Bonding Program'!$O$44),0)</f>
        <v>0</v>
      </c>
      <c r="BP185" s="19" t="n">
        <f aca="false">IF(AND('Bonding Program'!$S$44=1,'Bonding Program'!$H$44&gt;'Bonding Program'!$C$8,BP$3='Bonding Program'!$H$44),'Bonding Program'!$T$44-'Bonding Program'!$U$44-'Bonding Program'!$Z$44,0)-IF(AND('Bonding Program'!$S$44=1,'Bonding Program'!$H$44&lt;='Bonding Program'!$C$8,BP$3=IF('Bonding Program'!$P$44&lt;&gt;"",'Bonding Program'!$P$44,'Bonding Program'!$C$8)),'Bonding Program'!$Z$44,0)+IF(AND('Bonding Program'!$P$44&lt;&gt;"",BP$3='Bonding Program'!$P$44,BP$3&lt;='Bonding Program'!$C$8),N('Bonding Program'!$O$44),0)</f>
        <v>0</v>
      </c>
      <c r="BQ185" s="19" t="n">
        <f aca="false">IF(AND('Bonding Program'!$S$44=1,'Bonding Program'!$H$44&gt;'Bonding Program'!$C$8,BQ$3='Bonding Program'!$H$44),'Bonding Program'!$T$44-'Bonding Program'!$U$44-'Bonding Program'!$Z$44,0)-IF(AND('Bonding Program'!$S$44=1,'Bonding Program'!$H$44&lt;='Bonding Program'!$C$8,BQ$3=IF('Bonding Program'!$P$44&lt;&gt;"",'Bonding Program'!$P$44,'Bonding Program'!$C$8)),'Bonding Program'!$Z$44,0)+IF(AND('Bonding Program'!$P$44&lt;&gt;"",BQ$3='Bonding Program'!$P$44,BQ$3&lt;='Bonding Program'!$C$8),N('Bonding Program'!$O$44),0)</f>
        <v>0</v>
      </c>
      <c r="BR185" s="19" t="n">
        <f aca="false">IF(AND('Bonding Program'!$S$44=1,'Bonding Program'!$H$44&gt;'Bonding Program'!$C$8,BR$3='Bonding Program'!$H$44),'Bonding Program'!$T$44-'Bonding Program'!$U$44-'Bonding Program'!$Z$44,0)-IF(AND('Bonding Program'!$S$44=1,'Bonding Program'!$H$44&lt;='Bonding Program'!$C$8,BR$3=IF('Bonding Program'!$P$44&lt;&gt;"",'Bonding Program'!$P$44,'Bonding Program'!$C$8)),'Bonding Program'!$Z$44,0)+IF(AND('Bonding Program'!$P$44&lt;&gt;"",BR$3='Bonding Program'!$P$44,BR$3&lt;='Bonding Program'!$C$8),N('Bonding Program'!$O$44),0)</f>
        <v>0</v>
      </c>
      <c r="BS185" s="19" t="n">
        <f aca="false">IF(AND('Bonding Program'!$S$44=1,'Bonding Program'!$H$44&gt;'Bonding Program'!$C$8,BS$3='Bonding Program'!$H$44),'Bonding Program'!$T$44-'Bonding Program'!$U$44-'Bonding Program'!$Z$44,0)-IF(AND('Bonding Program'!$S$44=1,'Bonding Program'!$H$44&lt;='Bonding Program'!$C$8,BS$3=IF('Bonding Program'!$P$44&lt;&gt;"",'Bonding Program'!$P$44,'Bonding Program'!$C$8)),'Bonding Program'!$Z$44,0)+IF(AND('Bonding Program'!$P$44&lt;&gt;"",BS$3='Bonding Program'!$P$44,BS$3&lt;='Bonding Program'!$C$8),N('Bonding Program'!$O$44),0)</f>
        <v>0</v>
      </c>
      <c r="BT185" s="19" t="n">
        <f aca="false">IF(AND('Bonding Program'!$S$44=1,'Bonding Program'!$H$44&gt;'Bonding Program'!$C$8,BT$3='Bonding Program'!$H$44),'Bonding Program'!$T$44-'Bonding Program'!$U$44-'Bonding Program'!$Z$44,0)-IF(AND('Bonding Program'!$S$44=1,'Bonding Program'!$H$44&lt;='Bonding Program'!$C$8,BT$3=IF('Bonding Program'!$P$44&lt;&gt;"",'Bonding Program'!$P$44,'Bonding Program'!$C$8)),'Bonding Program'!$Z$44,0)+IF(AND('Bonding Program'!$P$44&lt;&gt;"",BT$3='Bonding Program'!$P$44,BT$3&lt;='Bonding Program'!$C$8),N('Bonding Program'!$O$44),0)</f>
        <v>0</v>
      </c>
      <c r="BU185" s="19" t="n">
        <f aca="false">IF(AND('Bonding Program'!$S$44=1,'Bonding Program'!$H$44&gt;'Bonding Program'!$C$8,BU$3='Bonding Program'!$H$44),'Bonding Program'!$T$44-'Bonding Program'!$U$44-'Bonding Program'!$Z$44,0)-IF(AND('Bonding Program'!$S$44=1,'Bonding Program'!$H$44&lt;='Bonding Program'!$C$8,BU$3=IF('Bonding Program'!$P$44&lt;&gt;"",'Bonding Program'!$P$44,'Bonding Program'!$C$8)),'Bonding Program'!$Z$44,0)+IF(AND('Bonding Program'!$P$44&lt;&gt;"",BU$3='Bonding Program'!$P$44,BU$3&lt;='Bonding Program'!$C$8),N('Bonding Program'!$O$44),0)</f>
        <v>0</v>
      </c>
      <c r="BV185" s="19" t="n">
        <f aca="false">IF(AND('Bonding Program'!$S$44=1,'Bonding Program'!$H$44&gt;'Bonding Program'!$C$8,BV$3='Bonding Program'!$H$44),'Bonding Program'!$T$44-'Bonding Program'!$U$44-'Bonding Program'!$Z$44,0)-IF(AND('Bonding Program'!$S$44=1,'Bonding Program'!$H$44&lt;='Bonding Program'!$C$8,BV$3=IF('Bonding Program'!$P$44&lt;&gt;"",'Bonding Program'!$P$44,'Bonding Program'!$C$8)),'Bonding Program'!$Z$44,0)+IF(AND('Bonding Program'!$P$44&lt;&gt;"",BV$3='Bonding Program'!$P$44,BV$3&lt;='Bonding Program'!$C$8),N('Bonding Program'!$O$44),0)</f>
        <v>0</v>
      </c>
      <c r="BW185" s="19" t="n">
        <f aca="false">IF(AND('Bonding Program'!$S$44=1,'Bonding Program'!$H$44&gt;'Bonding Program'!$C$8,BW$3='Bonding Program'!$H$44),'Bonding Program'!$T$44-'Bonding Program'!$U$44-'Bonding Program'!$Z$44,0)-IF(AND('Bonding Program'!$S$44=1,'Bonding Program'!$H$44&lt;='Bonding Program'!$C$8,BW$3=IF('Bonding Program'!$P$44&lt;&gt;"",'Bonding Program'!$P$44,'Bonding Program'!$C$8)),'Bonding Program'!$Z$44,0)+IF(AND('Bonding Program'!$P$44&lt;&gt;"",BW$3='Bonding Program'!$P$44,BW$3&lt;='Bonding Program'!$C$8),N('Bonding Program'!$O$44),0)</f>
        <v>0</v>
      </c>
      <c r="BX185" s="19" t="n">
        <f aca="false">IF(AND('Bonding Program'!$S$44=1,'Bonding Program'!$H$44&gt;'Bonding Program'!$C$8,BX$3='Bonding Program'!$H$44),'Bonding Program'!$T$44-'Bonding Program'!$U$44-'Bonding Program'!$Z$44,0)-IF(AND('Bonding Program'!$S$44=1,'Bonding Program'!$H$44&lt;='Bonding Program'!$C$8,BX$3=IF('Bonding Program'!$P$44&lt;&gt;"",'Bonding Program'!$P$44,'Bonding Program'!$C$8)),'Bonding Program'!$Z$44,0)+IF(AND('Bonding Program'!$P$44&lt;&gt;"",BX$3='Bonding Program'!$P$44,BX$3&lt;='Bonding Program'!$C$8),N('Bonding Program'!$O$44),0)</f>
        <v>0</v>
      </c>
      <c r="BY185" s="19" t="n">
        <f aca="false">IF(AND('Bonding Program'!$S$44=1,'Bonding Program'!$H$44&gt;'Bonding Program'!$C$8,BY$3='Bonding Program'!$H$44),'Bonding Program'!$T$44-'Bonding Program'!$U$44-'Bonding Program'!$Z$44,0)-IF(AND('Bonding Program'!$S$44=1,'Bonding Program'!$H$44&lt;='Bonding Program'!$C$8,BY$3=IF('Bonding Program'!$P$44&lt;&gt;"",'Bonding Program'!$P$44,'Bonding Program'!$C$8)),'Bonding Program'!$Z$44,0)+IF(AND('Bonding Program'!$P$44&lt;&gt;"",BY$3='Bonding Program'!$P$44,BY$3&lt;='Bonding Program'!$C$8),N('Bonding Program'!$O$44),0)</f>
        <v>0</v>
      </c>
      <c r="BZ185" s="19" t="n">
        <f aca="false">IF(AND('Bonding Program'!$S$44=1,'Bonding Program'!$H$44&gt;'Bonding Program'!$C$8,BZ$3='Bonding Program'!$H$44),'Bonding Program'!$T$44-'Bonding Program'!$U$44-'Bonding Program'!$Z$44,0)-IF(AND('Bonding Program'!$S$44=1,'Bonding Program'!$H$44&lt;='Bonding Program'!$C$8,BZ$3=IF('Bonding Program'!$P$44&lt;&gt;"",'Bonding Program'!$P$44,'Bonding Program'!$C$8)),'Bonding Program'!$Z$44,0)+IF(AND('Bonding Program'!$P$44&lt;&gt;"",BZ$3='Bonding Program'!$P$44,BZ$3&lt;='Bonding Program'!$C$8),N('Bonding Program'!$O$44),0)</f>
        <v>0</v>
      </c>
      <c r="CA185" s="19" t="n">
        <f aca="false">IF(AND('Bonding Program'!$S$44=1,'Bonding Program'!$H$44&gt;'Bonding Program'!$C$8,CA$3='Bonding Program'!$H$44),'Bonding Program'!$T$44-'Bonding Program'!$U$44-'Bonding Program'!$Z$44,0)-IF(AND('Bonding Program'!$S$44=1,'Bonding Program'!$H$44&lt;='Bonding Program'!$C$8,CA$3=IF('Bonding Program'!$P$44&lt;&gt;"",'Bonding Program'!$P$44,'Bonding Program'!$C$8)),'Bonding Program'!$Z$44,0)+IF(AND('Bonding Program'!$P$44&lt;&gt;"",CA$3='Bonding Program'!$P$44,CA$3&lt;='Bonding Program'!$C$8),N('Bonding Program'!$O$44),0)</f>
        <v>0</v>
      </c>
      <c r="CB185" s="19" t="n">
        <f aca="false">IF(AND('Bonding Program'!$S$44=1,'Bonding Program'!$H$44&gt;'Bonding Program'!$C$8,CB$3='Bonding Program'!$H$44),'Bonding Program'!$T$44-'Bonding Program'!$U$44-'Bonding Program'!$Z$44,0)-IF(AND('Bonding Program'!$S$44=1,'Bonding Program'!$H$44&lt;='Bonding Program'!$C$8,CB$3=IF('Bonding Program'!$P$44&lt;&gt;"",'Bonding Program'!$P$44,'Bonding Program'!$C$8)),'Bonding Program'!$Z$44,0)+IF(AND('Bonding Program'!$P$44&lt;&gt;"",CB$3='Bonding Program'!$P$44,CB$3&lt;='Bonding Program'!$C$8),N('Bonding Program'!$O$44),0)</f>
        <v>0</v>
      </c>
      <c r="CC185" s="19" t="n">
        <f aca="false">IF(AND('Bonding Program'!$S$44=1,'Bonding Program'!$H$44&gt;'Bonding Program'!$C$8,CC$3='Bonding Program'!$H$44),'Bonding Program'!$T$44-'Bonding Program'!$U$44-'Bonding Program'!$Z$44,0)-IF(AND('Bonding Program'!$S$44=1,'Bonding Program'!$H$44&lt;='Bonding Program'!$C$8,CC$3=IF('Bonding Program'!$P$44&lt;&gt;"",'Bonding Program'!$P$44,'Bonding Program'!$C$8)),'Bonding Program'!$Z$44,0)+IF(AND('Bonding Program'!$P$44&lt;&gt;"",CC$3='Bonding Program'!$P$44,CC$3&lt;='Bonding Program'!$C$8),N('Bonding Program'!$O$44),0)</f>
        <v>0</v>
      </c>
      <c r="CD185" s="19" t="n">
        <f aca="false">IF(AND('Bonding Program'!$S$44=1,'Bonding Program'!$H$44&gt;'Bonding Program'!$C$8,CD$3='Bonding Program'!$H$44),'Bonding Program'!$T$44-'Bonding Program'!$U$44-'Bonding Program'!$Z$44,0)-IF(AND('Bonding Program'!$S$44=1,'Bonding Program'!$H$44&lt;='Bonding Program'!$C$8,CD$3=IF('Bonding Program'!$P$44&lt;&gt;"",'Bonding Program'!$P$44,'Bonding Program'!$C$8)),'Bonding Program'!$Z$44,0)+IF(AND('Bonding Program'!$P$44&lt;&gt;"",CD$3='Bonding Program'!$P$44,CD$3&lt;='Bonding Program'!$C$8),N('Bonding Program'!$O$44),0)</f>
        <v>0</v>
      </c>
      <c r="CE185" s="19" t="n">
        <f aca="false">IF(AND('Bonding Program'!$S$44=1,'Bonding Program'!$H$44&gt;'Bonding Program'!$C$8,CE$3='Bonding Program'!$H$44),'Bonding Program'!$T$44-'Bonding Program'!$U$44-'Bonding Program'!$Z$44,0)-IF(AND('Bonding Program'!$S$44=1,'Bonding Program'!$H$44&lt;='Bonding Program'!$C$8,CE$3=IF('Bonding Program'!$P$44&lt;&gt;"",'Bonding Program'!$P$44,'Bonding Program'!$C$8)),'Bonding Program'!$Z$44,0)+IF(AND('Bonding Program'!$P$44&lt;&gt;"",CE$3='Bonding Program'!$P$44,CE$3&lt;='Bonding Program'!$C$8),N('Bonding Program'!$O$44),0)</f>
        <v>0</v>
      </c>
      <c r="CF185" s="19" t="n">
        <f aca="false">IF(AND('Bonding Program'!$S$44=1,'Bonding Program'!$H$44&gt;'Bonding Program'!$C$8,CF$3='Bonding Program'!$H$44),'Bonding Program'!$T$44-'Bonding Program'!$U$44-'Bonding Program'!$Z$44,0)-IF(AND('Bonding Program'!$S$44=1,'Bonding Program'!$H$44&lt;='Bonding Program'!$C$8,CF$3=IF('Bonding Program'!$P$44&lt;&gt;"",'Bonding Program'!$P$44,'Bonding Program'!$C$8)),'Bonding Program'!$Z$44,0)+IF(AND('Bonding Program'!$P$44&lt;&gt;"",CF$3='Bonding Program'!$P$44,CF$3&lt;='Bonding Program'!$C$8),N('Bonding Program'!$O$44),0)</f>
        <v>0</v>
      </c>
      <c r="CG185" s="19" t="n">
        <f aca="false">IF(AND('Bonding Program'!$S$44=1,'Bonding Program'!$H$44&gt;'Bonding Program'!$C$8,CG$3='Bonding Program'!$H$44),'Bonding Program'!$T$44-'Bonding Program'!$U$44-'Bonding Program'!$Z$44,0)-IF(AND('Bonding Program'!$S$44=1,'Bonding Program'!$H$44&lt;='Bonding Program'!$C$8,CG$3=IF('Bonding Program'!$P$44&lt;&gt;"",'Bonding Program'!$P$44,'Bonding Program'!$C$8)),'Bonding Program'!$Z$44,0)+IF(AND('Bonding Program'!$P$44&lt;&gt;"",CG$3='Bonding Program'!$P$44,CG$3&lt;='Bonding Program'!$C$8),N('Bonding Program'!$O$44),0)</f>
        <v>0</v>
      </c>
      <c r="CH185" s="19" t="n">
        <f aca="false">IF(AND('Bonding Program'!$S$44=1,'Bonding Program'!$H$44&gt;'Bonding Program'!$C$8,CH$3='Bonding Program'!$H$44),'Bonding Program'!$T$44-'Bonding Program'!$U$44-'Bonding Program'!$Z$44,0)-IF(AND('Bonding Program'!$S$44=1,'Bonding Program'!$H$44&lt;='Bonding Program'!$C$8,CH$3=IF('Bonding Program'!$P$44&lt;&gt;"",'Bonding Program'!$P$44,'Bonding Program'!$C$8)),'Bonding Program'!$Z$44,0)+IF(AND('Bonding Program'!$P$44&lt;&gt;"",CH$3='Bonding Program'!$P$44,CH$3&lt;='Bonding Program'!$C$8),N('Bonding Program'!$O$44),0)</f>
        <v>0</v>
      </c>
      <c r="CI185" s="19" t="n">
        <f aca="false">IF(AND('Bonding Program'!$S$44=1,'Bonding Program'!$H$44&gt;'Bonding Program'!$C$8,CI$3='Bonding Program'!$H$44),'Bonding Program'!$T$44-'Bonding Program'!$U$44-'Bonding Program'!$Z$44,0)-IF(AND('Bonding Program'!$S$44=1,'Bonding Program'!$H$44&lt;='Bonding Program'!$C$8,CI$3=IF('Bonding Program'!$P$44&lt;&gt;"",'Bonding Program'!$P$44,'Bonding Program'!$C$8)),'Bonding Program'!$Z$44,0)+IF(AND('Bonding Program'!$P$44&lt;&gt;"",CI$3='Bonding Program'!$P$44,CI$3&lt;='Bonding Program'!$C$8),N('Bonding Program'!$O$44),0)</f>
        <v>0</v>
      </c>
      <c r="CJ185" s="19" t="n">
        <f aca="false">IF(AND('Bonding Program'!$S$44=1,'Bonding Program'!$H$44&gt;'Bonding Program'!$C$8,CJ$3='Bonding Program'!$H$44),'Bonding Program'!$T$44-'Bonding Program'!$U$44-'Bonding Program'!$Z$44,0)-IF(AND('Bonding Program'!$S$44=1,'Bonding Program'!$H$44&lt;='Bonding Program'!$C$8,CJ$3=IF('Bonding Program'!$P$44&lt;&gt;"",'Bonding Program'!$P$44,'Bonding Program'!$C$8)),'Bonding Program'!$Z$44,0)+IF(AND('Bonding Program'!$P$44&lt;&gt;"",CJ$3='Bonding Program'!$P$44,CJ$3&lt;='Bonding Program'!$C$8),N('Bonding Program'!$O$44),0)</f>
        <v>0</v>
      </c>
      <c r="CK185" s="19" t="n">
        <f aca="false">IF(AND('Bonding Program'!$S$44=1,'Bonding Program'!$H$44&gt;'Bonding Program'!$C$8,CK$3='Bonding Program'!$H$44),'Bonding Program'!$T$44-'Bonding Program'!$U$44-'Bonding Program'!$Z$44,0)-IF(AND('Bonding Program'!$S$44=1,'Bonding Program'!$H$44&lt;='Bonding Program'!$C$8,CK$3=IF('Bonding Program'!$P$44&lt;&gt;"",'Bonding Program'!$P$44,'Bonding Program'!$C$8)),'Bonding Program'!$Z$44,0)+IF(AND('Bonding Program'!$P$44&lt;&gt;"",CK$3='Bonding Program'!$P$44,CK$3&lt;='Bonding Program'!$C$8),N('Bonding Program'!$O$44),0)</f>
        <v>0</v>
      </c>
      <c r="CL185" s="19" t="n">
        <f aca="false">IF(AND('Bonding Program'!$S$44=1,'Bonding Program'!$H$44&gt;'Bonding Program'!$C$8,CL$3='Bonding Program'!$H$44),'Bonding Program'!$T$44-'Bonding Program'!$U$44-'Bonding Program'!$Z$44,0)-IF(AND('Bonding Program'!$S$44=1,'Bonding Program'!$H$44&lt;='Bonding Program'!$C$8,CL$3=IF('Bonding Program'!$P$44&lt;&gt;"",'Bonding Program'!$P$44,'Bonding Program'!$C$8)),'Bonding Program'!$Z$44,0)+IF(AND('Bonding Program'!$P$44&lt;&gt;"",CL$3='Bonding Program'!$P$44,CL$3&lt;='Bonding Program'!$C$8),N('Bonding Program'!$O$44),0)</f>
        <v>0</v>
      </c>
      <c r="CM185" s="19" t="n">
        <f aca="false">IF(AND('Bonding Program'!$S$44=1,'Bonding Program'!$H$44&gt;'Bonding Program'!$C$8,CM$3='Bonding Program'!$H$44),'Bonding Program'!$T$44-'Bonding Program'!$U$44-'Bonding Program'!$Z$44,0)-IF(AND('Bonding Program'!$S$44=1,'Bonding Program'!$H$44&lt;='Bonding Program'!$C$8,CM$3=IF('Bonding Program'!$P$44&lt;&gt;"",'Bonding Program'!$P$44,'Bonding Program'!$C$8)),'Bonding Program'!$Z$44,0)+IF(AND('Bonding Program'!$P$44&lt;&gt;"",CM$3='Bonding Program'!$P$44,CM$3&lt;='Bonding Program'!$C$8),N('Bonding Program'!$O$44),0)</f>
        <v>0</v>
      </c>
      <c r="CN185" s="19" t="n">
        <f aca="false">IF(AND('Bonding Program'!$S$44=1,'Bonding Program'!$H$44&gt;'Bonding Program'!$C$8,CN$3='Bonding Program'!$H$44),'Bonding Program'!$T$44-'Bonding Program'!$U$44-'Bonding Program'!$Z$44,0)-IF(AND('Bonding Program'!$S$44=1,'Bonding Program'!$H$44&lt;='Bonding Program'!$C$8,CN$3=IF('Bonding Program'!$P$44&lt;&gt;"",'Bonding Program'!$P$44,'Bonding Program'!$C$8)),'Bonding Program'!$Z$44,0)+IF(AND('Bonding Program'!$P$44&lt;&gt;"",CN$3='Bonding Program'!$P$44,CN$3&lt;='Bonding Program'!$C$8),N('Bonding Program'!$O$44),0)</f>
        <v>0</v>
      </c>
      <c r="CO185" s="19" t="n">
        <f aca="false">IF(AND('Bonding Program'!$S$44=1,'Bonding Program'!$H$44&gt;'Bonding Program'!$C$8,CO$3='Bonding Program'!$H$44),'Bonding Program'!$T$44-'Bonding Program'!$U$44-'Bonding Program'!$Z$44,0)-IF(AND('Bonding Program'!$S$44=1,'Bonding Program'!$H$44&lt;='Bonding Program'!$C$8,CO$3=IF('Bonding Program'!$P$44&lt;&gt;"",'Bonding Program'!$P$44,'Bonding Program'!$C$8)),'Bonding Program'!$Z$44,0)+IF(AND('Bonding Program'!$P$44&lt;&gt;"",CO$3='Bonding Program'!$P$44,CO$3&lt;='Bonding Program'!$C$8),N('Bonding Program'!$O$44),0)</f>
        <v>0</v>
      </c>
      <c r="CP185" s="19" t="n">
        <f aca="false">IF(AND('Bonding Program'!$S$44=1,'Bonding Program'!$H$44&gt;'Bonding Program'!$C$8,CP$3='Bonding Program'!$H$44),'Bonding Program'!$T$44-'Bonding Program'!$U$44-'Bonding Program'!$Z$44,0)-IF(AND('Bonding Program'!$S$44=1,'Bonding Program'!$H$44&lt;='Bonding Program'!$C$8,CP$3=IF('Bonding Program'!$P$44&lt;&gt;"",'Bonding Program'!$P$44,'Bonding Program'!$C$8)),'Bonding Program'!$Z$44,0)+IF(AND('Bonding Program'!$P$44&lt;&gt;"",CP$3='Bonding Program'!$P$44,CP$3&lt;='Bonding Program'!$C$8),N('Bonding Program'!$O$44),0)</f>
        <v>0</v>
      </c>
      <c r="CQ185" s="19" t="n">
        <f aca="false">IF(AND('Bonding Program'!$S$44=1,'Bonding Program'!$H$44&gt;'Bonding Program'!$C$8,CQ$3='Bonding Program'!$H$44),'Bonding Program'!$T$44-'Bonding Program'!$U$44-'Bonding Program'!$Z$44,0)-IF(AND('Bonding Program'!$S$44=1,'Bonding Program'!$H$44&lt;='Bonding Program'!$C$8,CQ$3=IF('Bonding Program'!$P$44&lt;&gt;"",'Bonding Program'!$P$44,'Bonding Program'!$C$8)),'Bonding Program'!$Z$44,0)+IF(AND('Bonding Program'!$P$44&lt;&gt;"",CQ$3='Bonding Program'!$P$44,CQ$3&lt;='Bonding Program'!$C$8),N('Bonding Program'!$O$44),0)</f>
        <v>0</v>
      </c>
      <c r="CR185" s="19" t="n">
        <f aca="false">IF(AND('Bonding Program'!$S$44=1,'Bonding Program'!$H$44&gt;'Bonding Program'!$C$8,CR$3='Bonding Program'!$H$44),'Bonding Program'!$T$44-'Bonding Program'!$U$44-'Bonding Program'!$Z$44,0)-IF(AND('Bonding Program'!$S$44=1,'Bonding Program'!$H$44&lt;='Bonding Program'!$C$8,CR$3=IF('Bonding Program'!$P$44&lt;&gt;"",'Bonding Program'!$P$44,'Bonding Program'!$C$8)),'Bonding Program'!$Z$44,0)+IF(AND('Bonding Program'!$P$44&lt;&gt;"",CR$3='Bonding Program'!$P$44,CR$3&lt;='Bonding Program'!$C$8),N('Bonding Program'!$O$44),0)</f>
        <v>0</v>
      </c>
      <c r="CS185" s="19" t="n">
        <f aca="false">IF(AND('Bonding Program'!$S$44=1,'Bonding Program'!$H$44&gt;'Bonding Program'!$C$8,CS$3='Bonding Program'!$H$44),'Bonding Program'!$T$44-'Bonding Program'!$U$44-'Bonding Program'!$Z$44,0)-IF(AND('Bonding Program'!$S$44=1,'Bonding Program'!$H$44&lt;='Bonding Program'!$C$8,CS$3=IF('Bonding Program'!$P$44&lt;&gt;"",'Bonding Program'!$P$44,'Bonding Program'!$C$8)),'Bonding Program'!$Z$44,0)+IF(AND('Bonding Program'!$P$44&lt;&gt;"",CS$3='Bonding Program'!$P$44,CS$3&lt;='Bonding Program'!$C$8),N('Bonding Program'!$O$44),0)</f>
        <v>0</v>
      </c>
      <c r="CT185" s="19" t="n">
        <f aca="false">IF(AND('Bonding Program'!$S$44=1,'Bonding Program'!$H$44&gt;'Bonding Program'!$C$8,CT$3='Bonding Program'!$H$44),'Bonding Program'!$T$44-'Bonding Program'!$U$44-'Bonding Program'!$Z$44,0)-IF(AND('Bonding Program'!$S$44=1,'Bonding Program'!$H$44&lt;='Bonding Program'!$C$8,CT$3=IF('Bonding Program'!$P$44&lt;&gt;"",'Bonding Program'!$P$44,'Bonding Program'!$C$8)),'Bonding Program'!$Z$44,0)+IF(AND('Bonding Program'!$P$44&lt;&gt;"",CT$3='Bonding Program'!$P$44,CT$3&lt;='Bonding Program'!$C$8),N('Bonding Program'!$O$44),0)</f>
        <v>0</v>
      </c>
      <c r="CU185" s="19" t="n">
        <f aca="false">IF(AND('Bonding Program'!$S$44=1,'Bonding Program'!$H$44&gt;'Bonding Program'!$C$8,CU$3='Bonding Program'!$H$44),'Bonding Program'!$T$44-'Bonding Program'!$U$44-'Bonding Program'!$Z$44,0)-IF(AND('Bonding Program'!$S$44=1,'Bonding Program'!$H$44&lt;='Bonding Program'!$C$8,CU$3=IF('Bonding Program'!$P$44&lt;&gt;"",'Bonding Program'!$P$44,'Bonding Program'!$C$8)),'Bonding Program'!$Z$44,0)+IF(AND('Bonding Program'!$P$44&lt;&gt;"",CU$3='Bonding Program'!$P$44,CU$3&lt;='Bonding Program'!$C$8),N('Bonding Program'!$O$44),0)</f>
        <v>0</v>
      </c>
      <c r="CV185" s="19" t="n">
        <f aca="false">IF(AND('Bonding Program'!$S$44=1,'Bonding Program'!$H$44&gt;'Bonding Program'!$C$8,CV$3='Bonding Program'!$H$44),'Bonding Program'!$T$44-'Bonding Program'!$U$44-'Bonding Program'!$Z$44,0)-IF(AND('Bonding Program'!$S$44=1,'Bonding Program'!$H$44&lt;='Bonding Program'!$C$8,CV$3=IF('Bonding Program'!$P$44&lt;&gt;"",'Bonding Program'!$P$44,'Bonding Program'!$C$8)),'Bonding Program'!$Z$44,0)+IF(AND('Bonding Program'!$P$44&lt;&gt;"",CV$3='Bonding Program'!$P$44,CV$3&lt;='Bonding Program'!$C$8),N('Bonding Program'!$O$44),0)</f>
        <v>0</v>
      </c>
      <c r="CW185" s="19" t="n">
        <f aca="false">IF(AND('Bonding Program'!$S$44=1,'Bonding Program'!$H$44&gt;'Bonding Program'!$C$8,CW$3='Bonding Program'!$H$44),'Bonding Program'!$T$44-'Bonding Program'!$U$44-'Bonding Program'!$Z$44,0)-IF(AND('Bonding Program'!$S$44=1,'Bonding Program'!$H$44&lt;='Bonding Program'!$C$8,CW$3=IF('Bonding Program'!$P$44&lt;&gt;"",'Bonding Program'!$P$44,'Bonding Program'!$C$8)),'Bonding Program'!$Z$44,0)+IF(AND('Bonding Program'!$P$44&lt;&gt;"",CW$3='Bonding Program'!$P$44,CW$3&lt;='Bonding Program'!$C$8),N('Bonding Program'!$O$44),0)</f>
        <v>0</v>
      </c>
      <c r="CX185" s="19" t="n">
        <f aca="false">IF(AND('Bonding Program'!$S$44=1,'Bonding Program'!$H$44&gt;'Bonding Program'!$C$8,CX$3='Bonding Program'!$H$44),'Bonding Program'!$T$44-'Bonding Program'!$U$44-'Bonding Program'!$Z$44,0)-IF(AND('Bonding Program'!$S$44=1,'Bonding Program'!$H$44&lt;='Bonding Program'!$C$8,CX$3=IF('Bonding Program'!$P$44&lt;&gt;"",'Bonding Program'!$P$44,'Bonding Program'!$C$8)),'Bonding Program'!$Z$44,0)+IF(AND('Bonding Program'!$P$44&lt;&gt;"",CX$3='Bonding Program'!$P$44,CX$3&lt;='Bonding Program'!$C$8),N('Bonding Program'!$O$44),0)</f>
        <v>0</v>
      </c>
      <c r="CY185" s="19" t="n">
        <f aca="false">IF(AND('Bonding Program'!$S$44=1,'Bonding Program'!$H$44&gt;'Bonding Program'!$C$8,CY$3='Bonding Program'!$H$44),'Bonding Program'!$T$44-'Bonding Program'!$U$44-'Bonding Program'!$Z$44,0)-IF(AND('Bonding Program'!$S$44=1,'Bonding Program'!$H$44&lt;='Bonding Program'!$C$8,CY$3=IF('Bonding Program'!$P$44&lt;&gt;"",'Bonding Program'!$P$44,'Bonding Program'!$C$8)),'Bonding Program'!$Z$44,0)+IF(AND('Bonding Program'!$P$44&lt;&gt;"",CY$3='Bonding Program'!$P$44,CY$3&lt;='Bonding Program'!$C$8),N('Bonding Program'!$O$44),0)</f>
        <v>0</v>
      </c>
      <c r="CZ185" s="19" t="n">
        <f aca="false">IF(AND('Bonding Program'!$S$44=1,'Bonding Program'!$H$44&gt;'Bonding Program'!$C$8,CZ$3='Bonding Program'!$H$44),'Bonding Program'!$T$44-'Bonding Program'!$U$44-'Bonding Program'!$Z$44,0)-IF(AND('Bonding Program'!$S$44=1,'Bonding Program'!$H$44&lt;='Bonding Program'!$C$8,CZ$3=IF('Bonding Program'!$P$44&lt;&gt;"",'Bonding Program'!$P$44,'Bonding Program'!$C$8)),'Bonding Program'!$Z$44,0)+IF(AND('Bonding Program'!$P$44&lt;&gt;"",CZ$3='Bonding Program'!$P$44,CZ$3&lt;='Bonding Program'!$C$8),N('Bonding Program'!$O$44),0)</f>
        <v>0</v>
      </c>
      <c r="DA185" s="19" t="n">
        <f aca="false">IF(AND('Bonding Program'!$S$44=1,'Bonding Program'!$H$44&gt;'Bonding Program'!$C$8,DA$3='Bonding Program'!$H$44),'Bonding Program'!$T$44-'Bonding Program'!$U$44-'Bonding Program'!$Z$44,0)-IF(AND('Bonding Program'!$S$44=1,'Bonding Program'!$H$44&lt;='Bonding Program'!$C$8,DA$3=IF('Bonding Program'!$P$44&lt;&gt;"",'Bonding Program'!$P$44,'Bonding Program'!$C$8)),'Bonding Program'!$Z$44,0)+IF(AND('Bonding Program'!$P$44&lt;&gt;"",DA$3='Bonding Program'!$P$44,DA$3&lt;='Bonding Program'!$C$8),N('Bonding Program'!$O$44),0)</f>
        <v>0</v>
      </c>
      <c r="DB185" s="19" t="n">
        <f aca="false">IF(AND('Bonding Program'!$S$44=1,'Bonding Program'!$H$44&gt;'Bonding Program'!$C$8,DB$3='Bonding Program'!$H$44),'Bonding Program'!$T$44-'Bonding Program'!$U$44-'Bonding Program'!$Z$44,0)-IF(AND('Bonding Program'!$S$44=1,'Bonding Program'!$H$44&lt;='Bonding Program'!$C$8,DB$3=IF('Bonding Program'!$P$44&lt;&gt;"",'Bonding Program'!$P$44,'Bonding Program'!$C$8)),'Bonding Program'!$Z$44,0)+IF(AND('Bonding Program'!$P$44&lt;&gt;"",DB$3='Bonding Program'!$P$44,DB$3&lt;='Bonding Program'!$C$8),N('Bonding Program'!$O$44),0)</f>
        <v>0</v>
      </c>
      <c r="DC185" s="19" t="n">
        <f aca="false">IF(AND('Bonding Program'!$S$44=1,'Bonding Program'!$H$44&gt;'Bonding Program'!$C$8,DC$3='Bonding Program'!$H$44),'Bonding Program'!$T$44-'Bonding Program'!$U$44-'Bonding Program'!$Z$44,0)-IF(AND('Bonding Program'!$S$44=1,'Bonding Program'!$H$44&lt;='Bonding Program'!$C$8,DC$3=IF('Bonding Program'!$P$44&lt;&gt;"",'Bonding Program'!$P$44,'Bonding Program'!$C$8)),'Bonding Program'!$Z$44,0)+IF(AND('Bonding Program'!$P$44&lt;&gt;"",DC$3='Bonding Program'!$P$44,DC$3&lt;='Bonding Program'!$C$8),N('Bonding Program'!$O$44),0)</f>
        <v>0</v>
      </c>
      <c r="DD185" s="19" t="n">
        <f aca="false">IF(AND('Bonding Program'!$S$44=1,'Bonding Program'!$H$44&gt;'Bonding Program'!$C$8,DD$3='Bonding Program'!$H$44),'Bonding Program'!$T$44-'Bonding Program'!$U$44-'Bonding Program'!$Z$44,0)-IF(AND('Bonding Program'!$S$44=1,'Bonding Program'!$H$44&lt;='Bonding Program'!$C$8,DD$3=IF('Bonding Program'!$P$44&lt;&gt;"",'Bonding Program'!$P$44,'Bonding Program'!$C$8)),'Bonding Program'!$Z$44,0)+IF(AND('Bonding Program'!$P$44&lt;&gt;"",DD$3='Bonding Program'!$P$44,DD$3&lt;='Bonding Program'!$C$8),N('Bonding Program'!$O$44),0)</f>
        <v>0</v>
      </c>
      <c r="DE185" s="19" t="n">
        <f aca="false">IF(AND('Bonding Program'!$S$44=1,'Bonding Program'!$H$44&gt;'Bonding Program'!$C$8,DE$3='Bonding Program'!$H$44),'Bonding Program'!$T$44-'Bonding Program'!$U$44-'Bonding Program'!$Z$44,0)-IF(AND('Bonding Program'!$S$44=1,'Bonding Program'!$H$44&lt;='Bonding Program'!$C$8,DE$3=IF('Bonding Program'!$P$44&lt;&gt;"",'Bonding Program'!$P$44,'Bonding Program'!$C$8)),'Bonding Program'!$Z$44,0)+IF(AND('Bonding Program'!$P$44&lt;&gt;"",DE$3='Bonding Program'!$P$44,DE$3&lt;='Bonding Program'!$C$8),N('Bonding Program'!$O$44),0)</f>
        <v>0</v>
      </c>
    </row>
    <row r="186" customFormat="false" ht="15" hidden="false" customHeight="true" outlineLevel="1" collapsed="false">
      <c r="A186" s="28" t="s">
        <v>41</v>
      </c>
      <c r="B186" s="19" t="n">
        <f aca="false">IF(AND('Bonding Program'!$S$45=1,'Bonding Program'!$H$45&gt;'Bonding Program'!$C$8,B$3='Bonding Program'!$H$45),'Bonding Program'!$T$45-'Bonding Program'!$U$45-'Bonding Program'!$Z$45,0)-IF(AND('Bonding Program'!$S$45=1,'Bonding Program'!$H$45&lt;='Bonding Program'!$C$8,B$3=IF('Bonding Program'!$P$45&lt;&gt;"",'Bonding Program'!$P$45,'Bonding Program'!$C$8)),'Bonding Program'!$Z$45,0)+IF(AND('Bonding Program'!$P$45&lt;&gt;"",B$3='Bonding Program'!$P$45,B$3&lt;='Bonding Program'!$C$8),N('Bonding Program'!$O$45),0)</f>
        <v>0</v>
      </c>
      <c r="C186" s="19" t="n">
        <f aca="false">IF(AND('Bonding Program'!$S$45=1,'Bonding Program'!$H$45&gt;'Bonding Program'!$C$8,C$3='Bonding Program'!$H$45),'Bonding Program'!$T$45-'Bonding Program'!$U$45-'Bonding Program'!$Z$45,0)-IF(AND('Bonding Program'!$S$45=1,'Bonding Program'!$H$45&lt;='Bonding Program'!$C$8,C$3=IF('Bonding Program'!$P$45&lt;&gt;"",'Bonding Program'!$P$45,'Bonding Program'!$C$8)),'Bonding Program'!$Z$45,0)+IF(AND('Bonding Program'!$P$45&lt;&gt;"",C$3='Bonding Program'!$P$45,C$3&lt;='Bonding Program'!$C$8),N('Bonding Program'!$O$45),0)</f>
        <v>0</v>
      </c>
      <c r="D186" s="19" t="n">
        <f aca="false">IF(AND('Bonding Program'!$S$45=1,'Bonding Program'!$H$45&gt;'Bonding Program'!$C$8,D$3='Bonding Program'!$H$45),'Bonding Program'!$T$45-'Bonding Program'!$U$45-'Bonding Program'!$Z$45,0)-IF(AND('Bonding Program'!$S$45=1,'Bonding Program'!$H$45&lt;='Bonding Program'!$C$8,D$3=IF('Bonding Program'!$P$45&lt;&gt;"",'Bonding Program'!$P$45,'Bonding Program'!$C$8)),'Bonding Program'!$Z$45,0)+IF(AND('Bonding Program'!$P$45&lt;&gt;"",D$3='Bonding Program'!$P$45,D$3&lt;='Bonding Program'!$C$8),N('Bonding Program'!$O$45),0)</f>
        <v>0</v>
      </c>
      <c r="E186" s="19" t="n">
        <f aca="false">IF(AND('Bonding Program'!$S$45=1,'Bonding Program'!$H$45&gt;'Bonding Program'!$C$8,E$3='Bonding Program'!$H$45),'Bonding Program'!$T$45-'Bonding Program'!$U$45-'Bonding Program'!$Z$45,0)-IF(AND('Bonding Program'!$S$45=1,'Bonding Program'!$H$45&lt;='Bonding Program'!$C$8,E$3=IF('Bonding Program'!$P$45&lt;&gt;"",'Bonding Program'!$P$45,'Bonding Program'!$C$8)),'Bonding Program'!$Z$45,0)+IF(AND('Bonding Program'!$P$45&lt;&gt;"",E$3='Bonding Program'!$P$45,E$3&lt;='Bonding Program'!$C$8),N('Bonding Program'!$O$45),0)</f>
        <v>0</v>
      </c>
      <c r="F186" s="19" t="n">
        <f aca="false">IF(AND('Bonding Program'!$S$45=1,'Bonding Program'!$H$45&gt;'Bonding Program'!$C$8,F$3='Bonding Program'!$H$45),'Bonding Program'!$T$45-'Bonding Program'!$U$45-'Bonding Program'!$Z$45,0)-IF(AND('Bonding Program'!$S$45=1,'Bonding Program'!$H$45&lt;='Bonding Program'!$C$8,F$3=IF('Bonding Program'!$P$45&lt;&gt;"",'Bonding Program'!$P$45,'Bonding Program'!$C$8)),'Bonding Program'!$Z$45,0)+IF(AND('Bonding Program'!$P$45&lt;&gt;"",F$3='Bonding Program'!$P$45,F$3&lt;='Bonding Program'!$C$8),N('Bonding Program'!$O$45),0)</f>
        <v>0</v>
      </c>
      <c r="G186" s="19" t="n">
        <f aca="false">IF(AND('Bonding Program'!$S$45=1,'Bonding Program'!$H$45&gt;'Bonding Program'!$C$8,G$3='Bonding Program'!$H$45),'Bonding Program'!$T$45-'Bonding Program'!$U$45-'Bonding Program'!$Z$45,0)-IF(AND('Bonding Program'!$S$45=1,'Bonding Program'!$H$45&lt;='Bonding Program'!$C$8,G$3=IF('Bonding Program'!$P$45&lt;&gt;"",'Bonding Program'!$P$45,'Bonding Program'!$C$8)),'Bonding Program'!$Z$45,0)+IF(AND('Bonding Program'!$P$45&lt;&gt;"",G$3='Bonding Program'!$P$45,G$3&lt;='Bonding Program'!$C$8),N('Bonding Program'!$O$45),0)</f>
        <v>0</v>
      </c>
      <c r="H186" s="19" t="n">
        <f aca="false">IF(AND('Bonding Program'!$S$45=1,'Bonding Program'!$H$45&gt;'Bonding Program'!$C$8,H$3='Bonding Program'!$H$45),'Bonding Program'!$T$45-'Bonding Program'!$U$45-'Bonding Program'!$Z$45,0)-IF(AND('Bonding Program'!$S$45=1,'Bonding Program'!$H$45&lt;='Bonding Program'!$C$8,H$3=IF('Bonding Program'!$P$45&lt;&gt;"",'Bonding Program'!$P$45,'Bonding Program'!$C$8)),'Bonding Program'!$Z$45,0)+IF(AND('Bonding Program'!$P$45&lt;&gt;"",H$3='Bonding Program'!$P$45,H$3&lt;='Bonding Program'!$C$8),N('Bonding Program'!$O$45),0)</f>
        <v>0</v>
      </c>
      <c r="I186" s="19" t="n">
        <f aca="false">IF(AND('Bonding Program'!$S$45=1,'Bonding Program'!$H$45&gt;'Bonding Program'!$C$8,I$3='Bonding Program'!$H$45),'Bonding Program'!$T$45-'Bonding Program'!$U$45-'Bonding Program'!$Z$45,0)-IF(AND('Bonding Program'!$S$45=1,'Bonding Program'!$H$45&lt;='Bonding Program'!$C$8,I$3=IF('Bonding Program'!$P$45&lt;&gt;"",'Bonding Program'!$P$45,'Bonding Program'!$C$8)),'Bonding Program'!$Z$45,0)+IF(AND('Bonding Program'!$P$45&lt;&gt;"",I$3='Bonding Program'!$P$45,I$3&lt;='Bonding Program'!$C$8),N('Bonding Program'!$O$45),0)</f>
        <v>0</v>
      </c>
      <c r="J186" s="19" t="n">
        <f aca="false">IF(AND('Bonding Program'!$S$45=1,'Bonding Program'!$H$45&gt;'Bonding Program'!$C$8,J$3='Bonding Program'!$H$45),'Bonding Program'!$T$45-'Bonding Program'!$U$45-'Bonding Program'!$Z$45,0)-IF(AND('Bonding Program'!$S$45=1,'Bonding Program'!$H$45&lt;='Bonding Program'!$C$8,J$3=IF('Bonding Program'!$P$45&lt;&gt;"",'Bonding Program'!$P$45,'Bonding Program'!$C$8)),'Bonding Program'!$Z$45,0)+IF(AND('Bonding Program'!$P$45&lt;&gt;"",J$3='Bonding Program'!$P$45,J$3&lt;='Bonding Program'!$C$8),N('Bonding Program'!$O$45),0)</f>
        <v>0</v>
      </c>
      <c r="K186" s="19" t="n">
        <f aca="false">IF(AND('Bonding Program'!$S$45=1,'Bonding Program'!$H$45&gt;'Bonding Program'!$C$8,K$3='Bonding Program'!$H$45),'Bonding Program'!$T$45-'Bonding Program'!$U$45-'Bonding Program'!$Z$45,0)-IF(AND('Bonding Program'!$S$45=1,'Bonding Program'!$H$45&lt;='Bonding Program'!$C$8,K$3=IF('Bonding Program'!$P$45&lt;&gt;"",'Bonding Program'!$P$45,'Bonding Program'!$C$8)),'Bonding Program'!$Z$45,0)+IF(AND('Bonding Program'!$P$45&lt;&gt;"",K$3='Bonding Program'!$P$45,K$3&lt;='Bonding Program'!$C$8),N('Bonding Program'!$O$45),0)</f>
        <v>0</v>
      </c>
      <c r="L186" s="19" t="n">
        <f aca="false">IF(AND('Bonding Program'!$S$45=1,'Bonding Program'!$H$45&gt;'Bonding Program'!$C$8,L$3='Bonding Program'!$H$45),'Bonding Program'!$T$45-'Bonding Program'!$U$45-'Bonding Program'!$Z$45,0)-IF(AND('Bonding Program'!$S$45=1,'Bonding Program'!$H$45&lt;='Bonding Program'!$C$8,L$3=IF('Bonding Program'!$P$45&lt;&gt;"",'Bonding Program'!$P$45,'Bonding Program'!$C$8)),'Bonding Program'!$Z$45,0)+IF(AND('Bonding Program'!$P$45&lt;&gt;"",L$3='Bonding Program'!$P$45,L$3&lt;='Bonding Program'!$C$8),N('Bonding Program'!$O$45),0)</f>
        <v>0</v>
      </c>
      <c r="M186" s="19" t="n">
        <f aca="false">IF(AND('Bonding Program'!$S$45=1,'Bonding Program'!$H$45&gt;'Bonding Program'!$C$8,M$3='Bonding Program'!$H$45),'Bonding Program'!$T$45-'Bonding Program'!$U$45-'Bonding Program'!$Z$45,0)-IF(AND('Bonding Program'!$S$45=1,'Bonding Program'!$H$45&lt;='Bonding Program'!$C$8,M$3=IF('Bonding Program'!$P$45&lt;&gt;"",'Bonding Program'!$P$45,'Bonding Program'!$C$8)),'Bonding Program'!$Z$45,0)+IF(AND('Bonding Program'!$P$45&lt;&gt;"",M$3='Bonding Program'!$P$45,M$3&lt;='Bonding Program'!$C$8),N('Bonding Program'!$O$45),0)</f>
        <v>0</v>
      </c>
      <c r="N186" s="19" t="n">
        <f aca="false">IF(AND('Bonding Program'!$S$45=1,'Bonding Program'!$H$45&gt;'Bonding Program'!$C$8,N$3='Bonding Program'!$H$45),'Bonding Program'!$T$45-'Bonding Program'!$U$45-'Bonding Program'!$Z$45,0)-IF(AND('Bonding Program'!$S$45=1,'Bonding Program'!$H$45&lt;='Bonding Program'!$C$8,N$3=IF('Bonding Program'!$P$45&lt;&gt;"",'Bonding Program'!$P$45,'Bonding Program'!$C$8)),'Bonding Program'!$Z$45,0)+IF(AND('Bonding Program'!$P$45&lt;&gt;"",N$3='Bonding Program'!$P$45,N$3&lt;='Bonding Program'!$C$8),N('Bonding Program'!$O$45),0)</f>
        <v>0</v>
      </c>
      <c r="O186" s="19" t="n">
        <f aca="false">IF(AND('Bonding Program'!$S$45=1,'Bonding Program'!$H$45&gt;'Bonding Program'!$C$8,O$3='Bonding Program'!$H$45),'Bonding Program'!$T$45-'Bonding Program'!$U$45-'Bonding Program'!$Z$45,0)-IF(AND('Bonding Program'!$S$45=1,'Bonding Program'!$H$45&lt;='Bonding Program'!$C$8,O$3=IF('Bonding Program'!$P$45&lt;&gt;"",'Bonding Program'!$P$45,'Bonding Program'!$C$8)),'Bonding Program'!$Z$45,0)+IF(AND('Bonding Program'!$P$45&lt;&gt;"",O$3='Bonding Program'!$P$45,O$3&lt;='Bonding Program'!$C$8),N('Bonding Program'!$O$45),0)</f>
        <v>0</v>
      </c>
      <c r="P186" s="19" t="n">
        <f aca="false">IF(AND('Bonding Program'!$S$45=1,'Bonding Program'!$H$45&gt;'Bonding Program'!$C$8,P$3='Bonding Program'!$H$45),'Bonding Program'!$T$45-'Bonding Program'!$U$45-'Bonding Program'!$Z$45,0)-IF(AND('Bonding Program'!$S$45=1,'Bonding Program'!$H$45&lt;='Bonding Program'!$C$8,P$3=IF('Bonding Program'!$P$45&lt;&gt;"",'Bonding Program'!$P$45,'Bonding Program'!$C$8)),'Bonding Program'!$Z$45,0)+IF(AND('Bonding Program'!$P$45&lt;&gt;"",P$3='Bonding Program'!$P$45,P$3&lt;='Bonding Program'!$C$8),N('Bonding Program'!$O$45),0)</f>
        <v>0</v>
      </c>
      <c r="Q186" s="19" t="n">
        <f aca="false">IF(AND('Bonding Program'!$S$45=1,'Bonding Program'!$H$45&gt;'Bonding Program'!$C$8,Q$3='Bonding Program'!$H$45),'Bonding Program'!$T$45-'Bonding Program'!$U$45-'Bonding Program'!$Z$45,0)-IF(AND('Bonding Program'!$S$45=1,'Bonding Program'!$H$45&lt;='Bonding Program'!$C$8,Q$3=IF('Bonding Program'!$P$45&lt;&gt;"",'Bonding Program'!$P$45,'Bonding Program'!$C$8)),'Bonding Program'!$Z$45,0)+IF(AND('Bonding Program'!$P$45&lt;&gt;"",Q$3='Bonding Program'!$P$45,Q$3&lt;='Bonding Program'!$C$8),N('Bonding Program'!$O$45),0)</f>
        <v>0</v>
      </c>
      <c r="R186" s="19" t="n">
        <f aca="false">IF(AND('Bonding Program'!$S$45=1,'Bonding Program'!$H$45&gt;'Bonding Program'!$C$8,R$3='Bonding Program'!$H$45),'Bonding Program'!$T$45-'Bonding Program'!$U$45-'Bonding Program'!$Z$45,0)-IF(AND('Bonding Program'!$S$45=1,'Bonding Program'!$H$45&lt;='Bonding Program'!$C$8,R$3=IF('Bonding Program'!$P$45&lt;&gt;"",'Bonding Program'!$P$45,'Bonding Program'!$C$8)),'Bonding Program'!$Z$45,0)+IF(AND('Bonding Program'!$P$45&lt;&gt;"",R$3='Bonding Program'!$P$45,R$3&lt;='Bonding Program'!$C$8),N('Bonding Program'!$O$45),0)</f>
        <v>0</v>
      </c>
      <c r="S186" s="19" t="n">
        <f aca="false">IF(AND('Bonding Program'!$S$45=1,'Bonding Program'!$H$45&gt;'Bonding Program'!$C$8,S$3='Bonding Program'!$H$45),'Bonding Program'!$T$45-'Bonding Program'!$U$45-'Bonding Program'!$Z$45,0)-IF(AND('Bonding Program'!$S$45=1,'Bonding Program'!$H$45&lt;='Bonding Program'!$C$8,S$3=IF('Bonding Program'!$P$45&lt;&gt;"",'Bonding Program'!$P$45,'Bonding Program'!$C$8)),'Bonding Program'!$Z$45,0)+IF(AND('Bonding Program'!$P$45&lt;&gt;"",S$3='Bonding Program'!$P$45,S$3&lt;='Bonding Program'!$C$8),N('Bonding Program'!$O$45),0)</f>
        <v>0</v>
      </c>
      <c r="T186" s="19" t="n">
        <f aca="false">IF(AND('Bonding Program'!$S$45=1,'Bonding Program'!$H$45&gt;'Bonding Program'!$C$8,T$3='Bonding Program'!$H$45),'Bonding Program'!$T$45-'Bonding Program'!$U$45-'Bonding Program'!$Z$45,0)-IF(AND('Bonding Program'!$S$45=1,'Bonding Program'!$H$45&lt;='Bonding Program'!$C$8,T$3=IF('Bonding Program'!$P$45&lt;&gt;"",'Bonding Program'!$P$45,'Bonding Program'!$C$8)),'Bonding Program'!$Z$45,0)+IF(AND('Bonding Program'!$P$45&lt;&gt;"",T$3='Bonding Program'!$P$45,T$3&lt;='Bonding Program'!$C$8),N('Bonding Program'!$O$45),0)</f>
        <v>0</v>
      </c>
      <c r="U186" s="19" t="n">
        <f aca="false">IF(AND('Bonding Program'!$S$45=1,'Bonding Program'!$H$45&gt;'Bonding Program'!$C$8,U$3='Bonding Program'!$H$45),'Bonding Program'!$T$45-'Bonding Program'!$U$45-'Bonding Program'!$Z$45,0)-IF(AND('Bonding Program'!$S$45=1,'Bonding Program'!$H$45&lt;='Bonding Program'!$C$8,U$3=IF('Bonding Program'!$P$45&lt;&gt;"",'Bonding Program'!$P$45,'Bonding Program'!$C$8)),'Bonding Program'!$Z$45,0)+IF(AND('Bonding Program'!$P$45&lt;&gt;"",U$3='Bonding Program'!$P$45,U$3&lt;='Bonding Program'!$C$8),N('Bonding Program'!$O$45),0)</f>
        <v>0</v>
      </c>
      <c r="V186" s="19" t="n">
        <f aca="false">IF(AND('Bonding Program'!$S$45=1,'Bonding Program'!$H$45&gt;'Bonding Program'!$C$8,V$3='Bonding Program'!$H$45),'Bonding Program'!$T$45-'Bonding Program'!$U$45-'Bonding Program'!$Z$45,0)-IF(AND('Bonding Program'!$S$45=1,'Bonding Program'!$H$45&lt;='Bonding Program'!$C$8,V$3=IF('Bonding Program'!$P$45&lt;&gt;"",'Bonding Program'!$P$45,'Bonding Program'!$C$8)),'Bonding Program'!$Z$45,0)+IF(AND('Bonding Program'!$P$45&lt;&gt;"",V$3='Bonding Program'!$P$45,V$3&lt;='Bonding Program'!$C$8),N('Bonding Program'!$O$45),0)</f>
        <v>0</v>
      </c>
      <c r="W186" s="19" t="n">
        <f aca="false">IF(AND('Bonding Program'!$S$45=1,'Bonding Program'!$H$45&gt;'Bonding Program'!$C$8,W$3='Bonding Program'!$H$45),'Bonding Program'!$T$45-'Bonding Program'!$U$45-'Bonding Program'!$Z$45,0)-IF(AND('Bonding Program'!$S$45=1,'Bonding Program'!$H$45&lt;='Bonding Program'!$C$8,W$3=IF('Bonding Program'!$P$45&lt;&gt;"",'Bonding Program'!$P$45,'Bonding Program'!$C$8)),'Bonding Program'!$Z$45,0)+IF(AND('Bonding Program'!$P$45&lt;&gt;"",W$3='Bonding Program'!$P$45,W$3&lt;='Bonding Program'!$C$8),N('Bonding Program'!$O$45),0)</f>
        <v>0</v>
      </c>
      <c r="X186" s="19" t="n">
        <f aca="false">IF(AND('Bonding Program'!$S$45=1,'Bonding Program'!$H$45&gt;'Bonding Program'!$C$8,X$3='Bonding Program'!$H$45),'Bonding Program'!$T$45-'Bonding Program'!$U$45-'Bonding Program'!$Z$45,0)-IF(AND('Bonding Program'!$S$45=1,'Bonding Program'!$H$45&lt;='Bonding Program'!$C$8,X$3=IF('Bonding Program'!$P$45&lt;&gt;"",'Bonding Program'!$P$45,'Bonding Program'!$C$8)),'Bonding Program'!$Z$45,0)+IF(AND('Bonding Program'!$P$45&lt;&gt;"",X$3='Bonding Program'!$P$45,X$3&lt;='Bonding Program'!$C$8),N('Bonding Program'!$O$45),0)</f>
        <v>0</v>
      </c>
      <c r="Y186" s="19" t="n">
        <f aca="false">IF(AND('Bonding Program'!$S$45=1,'Bonding Program'!$H$45&gt;'Bonding Program'!$C$8,Y$3='Bonding Program'!$H$45),'Bonding Program'!$T$45-'Bonding Program'!$U$45-'Bonding Program'!$Z$45,0)-IF(AND('Bonding Program'!$S$45=1,'Bonding Program'!$H$45&lt;='Bonding Program'!$C$8,Y$3=IF('Bonding Program'!$P$45&lt;&gt;"",'Bonding Program'!$P$45,'Bonding Program'!$C$8)),'Bonding Program'!$Z$45,0)+IF(AND('Bonding Program'!$P$45&lt;&gt;"",Y$3='Bonding Program'!$P$45,Y$3&lt;='Bonding Program'!$C$8),N('Bonding Program'!$O$45),0)</f>
        <v>0</v>
      </c>
      <c r="Z186" s="19" t="n">
        <f aca="false">IF(AND('Bonding Program'!$S$45=1,'Bonding Program'!$H$45&gt;'Bonding Program'!$C$8,Z$3='Bonding Program'!$H$45),'Bonding Program'!$T$45-'Bonding Program'!$U$45-'Bonding Program'!$Z$45,0)-IF(AND('Bonding Program'!$S$45=1,'Bonding Program'!$H$45&lt;='Bonding Program'!$C$8,Z$3=IF('Bonding Program'!$P$45&lt;&gt;"",'Bonding Program'!$P$45,'Bonding Program'!$C$8)),'Bonding Program'!$Z$45,0)+IF(AND('Bonding Program'!$P$45&lt;&gt;"",Z$3='Bonding Program'!$P$45,Z$3&lt;='Bonding Program'!$C$8),N('Bonding Program'!$O$45),0)</f>
        <v>0</v>
      </c>
      <c r="AA186" s="19" t="n">
        <f aca="false">IF(AND('Bonding Program'!$S$45=1,'Bonding Program'!$H$45&gt;'Bonding Program'!$C$8,AA$3='Bonding Program'!$H$45),'Bonding Program'!$T$45-'Bonding Program'!$U$45-'Bonding Program'!$Z$45,0)-IF(AND('Bonding Program'!$S$45=1,'Bonding Program'!$H$45&lt;='Bonding Program'!$C$8,AA$3=IF('Bonding Program'!$P$45&lt;&gt;"",'Bonding Program'!$P$45,'Bonding Program'!$C$8)),'Bonding Program'!$Z$45,0)+IF(AND('Bonding Program'!$P$45&lt;&gt;"",AA$3='Bonding Program'!$P$45,AA$3&lt;='Bonding Program'!$C$8),N('Bonding Program'!$O$45),0)</f>
        <v>0</v>
      </c>
      <c r="AB186" s="19" t="n">
        <f aca="false">IF(AND('Bonding Program'!$S$45=1,'Bonding Program'!$H$45&gt;'Bonding Program'!$C$8,AB$3='Bonding Program'!$H$45),'Bonding Program'!$T$45-'Bonding Program'!$U$45-'Bonding Program'!$Z$45,0)-IF(AND('Bonding Program'!$S$45=1,'Bonding Program'!$H$45&lt;='Bonding Program'!$C$8,AB$3=IF('Bonding Program'!$P$45&lt;&gt;"",'Bonding Program'!$P$45,'Bonding Program'!$C$8)),'Bonding Program'!$Z$45,0)+IF(AND('Bonding Program'!$P$45&lt;&gt;"",AB$3='Bonding Program'!$P$45,AB$3&lt;='Bonding Program'!$C$8),N('Bonding Program'!$O$45),0)</f>
        <v>0</v>
      </c>
      <c r="AC186" s="19" t="n">
        <f aca="false">IF(AND('Bonding Program'!$S$45=1,'Bonding Program'!$H$45&gt;'Bonding Program'!$C$8,AC$3='Bonding Program'!$H$45),'Bonding Program'!$T$45-'Bonding Program'!$U$45-'Bonding Program'!$Z$45,0)-IF(AND('Bonding Program'!$S$45=1,'Bonding Program'!$H$45&lt;='Bonding Program'!$C$8,AC$3=IF('Bonding Program'!$P$45&lt;&gt;"",'Bonding Program'!$P$45,'Bonding Program'!$C$8)),'Bonding Program'!$Z$45,0)+IF(AND('Bonding Program'!$P$45&lt;&gt;"",AC$3='Bonding Program'!$P$45,AC$3&lt;='Bonding Program'!$C$8),N('Bonding Program'!$O$45),0)</f>
        <v>0</v>
      </c>
      <c r="AD186" s="19" t="n">
        <f aca="false">IF(AND('Bonding Program'!$S$45=1,'Bonding Program'!$H$45&gt;'Bonding Program'!$C$8,AD$3='Bonding Program'!$H$45),'Bonding Program'!$T$45-'Bonding Program'!$U$45-'Bonding Program'!$Z$45,0)-IF(AND('Bonding Program'!$S$45=1,'Bonding Program'!$H$45&lt;='Bonding Program'!$C$8,AD$3=IF('Bonding Program'!$P$45&lt;&gt;"",'Bonding Program'!$P$45,'Bonding Program'!$C$8)),'Bonding Program'!$Z$45,0)+IF(AND('Bonding Program'!$P$45&lt;&gt;"",AD$3='Bonding Program'!$P$45,AD$3&lt;='Bonding Program'!$C$8),N('Bonding Program'!$O$45),0)</f>
        <v>0</v>
      </c>
      <c r="AE186" s="19" t="n">
        <f aca="false">IF(AND('Bonding Program'!$S$45=1,'Bonding Program'!$H$45&gt;'Bonding Program'!$C$8,AE$3='Bonding Program'!$H$45),'Bonding Program'!$T$45-'Bonding Program'!$U$45-'Bonding Program'!$Z$45,0)-IF(AND('Bonding Program'!$S$45=1,'Bonding Program'!$H$45&lt;='Bonding Program'!$C$8,AE$3=IF('Bonding Program'!$P$45&lt;&gt;"",'Bonding Program'!$P$45,'Bonding Program'!$C$8)),'Bonding Program'!$Z$45,0)+IF(AND('Bonding Program'!$P$45&lt;&gt;"",AE$3='Bonding Program'!$P$45,AE$3&lt;='Bonding Program'!$C$8),N('Bonding Program'!$O$45),0)</f>
        <v>0</v>
      </c>
      <c r="AF186" s="19" t="n">
        <f aca="false">IF(AND('Bonding Program'!$S$45=1,'Bonding Program'!$H$45&gt;'Bonding Program'!$C$8,AF$3='Bonding Program'!$H$45),'Bonding Program'!$T$45-'Bonding Program'!$U$45-'Bonding Program'!$Z$45,0)-IF(AND('Bonding Program'!$S$45=1,'Bonding Program'!$H$45&lt;='Bonding Program'!$C$8,AF$3=IF('Bonding Program'!$P$45&lt;&gt;"",'Bonding Program'!$P$45,'Bonding Program'!$C$8)),'Bonding Program'!$Z$45,0)+IF(AND('Bonding Program'!$P$45&lt;&gt;"",AF$3='Bonding Program'!$P$45,AF$3&lt;='Bonding Program'!$C$8),N('Bonding Program'!$O$45),0)</f>
        <v>0</v>
      </c>
      <c r="AG186" s="19" t="n">
        <f aca="false">IF(AND('Bonding Program'!$S$45=1,'Bonding Program'!$H$45&gt;'Bonding Program'!$C$8,AG$3='Bonding Program'!$H$45),'Bonding Program'!$T$45-'Bonding Program'!$U$45-'Bonding Program'!$Z$45,0)-IF(AND('Bonding Program'!$S$45=1,'Bonding Program'!$H$45&lt;='Bonding Program'!$C$8,AG$3=IF('Bonding Program'!$P$45&lt;&gt;"",'Bonding Program'!$P$45,'Bonding Program'!$C$8)),'Bonding Program'!$Z$45,0)+IF(AND('Bonding Program'!$P$45&lt;&gt;"",AG$3='Bonding Program'!$P$45,AG$3&lt;='Bonding Program'!$C$8),N('Bonding Program'!$O$45),0)</f>
        <v>0</v>
      </c>
      <c r="AH186" s="19" t="n">
        <f aca="false">IF(AND('Bonding Program'!$S$45=1,'Bonding Program'!$H$45&gt;'Bonding Program'!$C$8,AH$3='Bonding Program'!$H$45),'Bonding Program'!$T$45-'Bonding Program'!$U$45-'Bonding Program'!$Z$45,0)-IF(AND('Bonding Program'!$S$45=1,'Bonding Program'!$H$45&lt;='Bonding Program'!$C$8,AH$3=IF('Bonding Program'!$P$45&lt;&gt;"",'Bonding Program'!$P$45,'Bonding Program'!$C$8)),'Bonding Program'!$Z$45,0)+IF(AND('Bonding Program'!$P$45&lt;&gt;"",AH$3='Bonding Program'!$P$45,AH$3&lt;='Bonding Program'!$C$8),N('Bonding Program'!$O$45),0)</f>
        <v>0</v>
      </c>
      <c r="AI186" s="19" t="n">
        <f aca="false">IF(AND('Bonding Program'!$S$45=1,'Bonding Program'!$H$45&gt;'Bonding Program'!$C$8,AI$3='Bonding Program'!$H$45),'Bonding Program'!$T$45-'Bonding Program'!$U$45-'Bonding Program'!$Z$45,0)-IF(AND('Bonding Program'!$S$45=1,'Bonding Program'!$H$45&lt;='Bonding Program'!$C$8,AI$3=IF('Bonding Program'!$P$45&lt;&gt;"",'Bonding Program'!$P$45,'Bonding Program'!$C$8)),'Bonding Program'!$Z$45,0)+IF(AND('Bonding Program'!$P$45&lt;&gt;"",AI$3='Bonding Program'!$P$45,AI$3&lt;='Bonding Program'!$C$8),N('Bonding Program'!$O$45),0)</f>
        <v>0</v>
      </c>
      <c r="AJ186" s="19" t="n">
        <f aca="false">IF(AND('Bonding Program'!$S$45=1,'Bonding Program'!$H$45&gt;'Bonding Program'!$C$8,AJ$3='Bonding Program'!$H$45),'Bonding Program'!$T$45-'Bonding Program'!$U$45-'Bonding Program'!$Z$45,0)-IF(AND('Bonding Program'!$S$45=1,'Bonding Program'!$H$45&lt;='Bonding Program'!$C$8,AJ$3=IF('Bonding Program'!$P$45&lt;&gt;"",'Bonding Program'!$P$45,'Bonding Program'!$C$8)),'Bonding Program'!$Z$45,0)+IF(AND('Bonding Program'!$P$45&lt;&gt;"",AJ$3='Bonding Program'!$P$45,AJ$3&lt;='Bonding Program'!$C$8),N('Bonding Program'!$O$45),0)</f>
        <v>0</v>
      </c>
      <c r="AK186" s="19" t="n">
        <f aca="false">IF(AND('Bonding Program'!$S$45=1,'Bonding Program'!$H$45&gt;'Bonding Program'!$C$8,AK$3='Bonding Program'!$H$45),'Bonding Program'!$T$45-'Bonding Program'!$U$45-'Bonding Program'!$Z$45,0)-IF(AND('Bonding Program'!$S$45=1,'Bonding Program'!$H$45&lt;='Bonding Program'!$C$8,AK$3=IF('Bonding Program'!$P$45&lt;&gt;"",'Bonding Program'!$P$45,'Bonding Program'!$C$8)),'Bonding Program'!$Z$45,0)+IF(AND('Bonding Program'!$P$45&lt;&gt;"",AK$3='Bonding Program'!$P$45,AK$3&lt;='Bonding Program'!$C$8),N('Bonding Program'!$O$45),0)</f>
        <v>0</v>
      </c>
      <c r="AL186" s="19" t="n">
        <f aca="false">IF(AND('Bonding Program'!$S$45=1,'Bonding Program'!$H$45&gt;'Bonding Program'!$C$8,AL$3='Bonding Program'!$H$45),'Bonding Program'!$T$45-'Bonding Program'!$U$45-'Bonding Program'!$Z$45,0)-IF(AND('Bonding Program'!$S$45=1,'Bonding Program'!$H$45&lt;='Bonding Program'!$C$8,AL$3=IF('Bonding Program'!$P$45&lt;&gt;"",'Bonding Program'!$P$45,'Bonding Program'!$C$8)),'Bonding Program'!$Z$45,0)+IF(AND('Bonding Program'!$P$45&lt;&gt;"",AL$3='Bonding Program'!$P$45,AL$3&lt;='Bonding Program'!$C$8),N('Bonding Program'!$O$45),0)</f>
        <v>0</v>
      </c>
      <c r="AM186" s="19" t="n">
        <f aca="false">IF(AND('Bonding Program'!$S$45=1,'Bonding Program'!$H$45&gt;'Bonding Program'!$C$8,AM$3='Bonding Program'!$H$45),'Bonding Program'!$T$45-'Bonding Program'!$U$45-'Bonding Program'!$Z$45,0)-IF(AND('Bonding Program'!$S$45=1,'Bonding Program'!$H$45&lt;='Bonding Program'!$C$8,AM$3=IF('Bonding Program'!$P$45&lt;&gt;"",'Bonding Program'!$P$45,'Bonding Program'!$C$8)),'Bonding Program'!$Z$45,0)+IF(AND('Bonding Program'!$P$45&lt;&gt;"",AM$3='Bonding Program'!$P$45,AM$3&lt;='Bonding Program'!$C$8),N('Bonding Program'!$O$45),0)</f>
        <v>0</v>
      </c>
      <c r="AN186" s="19" t="n">
        <f aca="false">IF(AND('Bonding Program'!$S$45=1,'Bonding Program'!$H$45&gt;'Bonding Program'!$C$8,AN$3='Bonding Program'!$H$45),'Bonding Program'!$T$45-'Bonding Program'!$U$45-'Bonding Program'!$Z$45,0)-IF(AND('Bonding Program'!$S$45=1,'Bonding Program'!$H$45&lt;='Bonding Program'!$C$8,AN$3=IF('Bonding Program'!$P$45&lt;&gt;"",'Bonding Program'!$P$45,'Bonding Program'!$C$8)),'Bonding Program'!$Z$45,0)+IF(AND('Bonding Program'!$P$45&lt;&gt;"",AN$3='Bonding Program'!$P$45,AN$3&lt;='Bonding Program'!$C$8),N('Bonding Program'!$O$45),0)</f>
        <v>0</v>
      </c>
      <c r="AO186" s="19" t="n">
        <f aca="false">IF(AND('Bonding Program'!$S$45=1,'Bonding Program'!$H$45&gt;'Bonding Program'!$C$8,AO$3='Bonding Program'!$H$45),'Bonding Program'!$T$45-'Bonding Program'!$U$45-'Bonding Program'!$Z$45,0)-IF(AND('Bonding Program'!$S$45=1,'Bonding Program'!$H$45&lt;='Bonding Program'!$C$8,AO$3=IF('Bonding Program'!$P$45&lt;&gt;"",'Bonding Program'!$P$45,'Bonding Program'!$C$8)),'Bonding Program'!$Z$45,0)+IF(AND('Bonding Program'!$P$45&lt;&gt;"",AO$3='Bonding Program'!$P$45,AO$3&lt;='Bonding Program'!$C$8),N('Bonding Program'!$O$45),0)</f>
        <v>0</v>
      </c>
      <c r="AP186" s="19" t="n">
        <f aca="false">IF(AND('Bonding Program'!$S$45=1,'Bonding Program'!$H$45&gt;'Bonding Program'!$C$8,AP$3='Bonding Program'!$H$45),'Bonding Program'!$T$45-'Bonding Program'!$U$45-'Bonding Program'!$Z$45,0)-IF(AND('Bonding Program'!$S$45=1,'Bonding Program'!$H$45&lt;='Bonding Program'!$C$8,AP$3=IF('Bonding Program'!$P$45&lt;&gt;"",'Bonding Program'!$P$45,'Bonding Program'!$C$8)),'Bonding Program'!$Z$45,0)+IF(AND('Bonding Program'!$P$45&lt;&gt;"",AP$3='Bonding Program'!$P$45,AP$3&lt;='Bonding Program'!$C$8),N('Bonding Program'!$O$45),0)</f>
        <v>0</v>
      </c>
      <c r="AQ186" s="19" t="n">
        <f aca="false">IF(AND('Bonding Program'!$S$45=1,'Bonding Program'!$H$45&gt;'Bonding Program'!$C$8,AQ$3='Bonding Program'!$H$45),'Bonding Program'!$T$45-'Bonding Program'!$U$45-'Bonding Program'!$Z$45,0)-IF(AND('Bonding Program'!$S$45=1,'Bonding Program'!$H$45&lt;='Bonding Program'!$C$8,AQ$3=IF('Bonding Program'!$P$45&lt;&gt;"",'Bonding Program'!$P$45,'Bonding Program'!$C$8)),'Bonding Program'!$Z$45,0)+IF(AND('Bonding Program'!$P$45&lt;&gt;"",AQ$3='Bonding Program'!$P$45,AQ$3&lt;='Bonding Program'!$C$8),N('Bonding Program'!$O$45),0)</f>
        <v>0</v>
      </c>
      <c r="AR186" s="19" t="n">
        <f aca="false">IF(AND('Bonding Program'!$S$45=1,'Bonding Program'!$H$45&gt;'Bonding Program'!$C$8,AR$3='Bonding Program'!$H$45),'Bonding Program'!$T$45-'Bonding Program'!$U$45-'Bonding Program'!$Z$45,0)-IF(AND('Bonding Program'!$S$45=1,'Bonding Program'!$H$45&lt;='Bonding Program'!$C$8,AR$3=IF('Bonding Program'!$P$45&lt;&gt;"",'Bonding Program'!$P$45,'Bonding Program'!$C$8)),'Bonding Program'!$Z$45,0)+IF(AND('Bonding Program'!$P$45&lt;&gt;"",AR$3='Bonding Program'!$P$45,AR$3&lt;='Bonding Program'!$C$8),N('Bonding Program'!$O$45),0)</f>
        <v>0</v>
      </c>
      <c r="AS186" s="19" t="n">
        <f aca="false">IF(AND('Bonding Program'!$S$45=1,'Bonding Program'!$H$45&gt;'Bonding Program'!$C$8,AS$3='Bonding Program'!$H$45),'Bonding Program'!$T$45-'Bonding Program'!$U$45-'Bonding Program'!$Z$45,0)-IF(AND('Bonding Program'!$S$45=1,'Bonding Program'!$H$45&lt;='Bonding Program'!$C$8,AS$3=IF('Bonding Program'!$P$45&lt;&gt;"",'Bonding Program'!$P$45,'Bonding Program'!$C$8)),'Bonding Program'!$Z$45,0)+IF(AND('Bonding Program'!$P$45&lt;&gt;"",AS$3='Bonding Program'!$P$45,AS$3&lt;='Bonding Program'!$C$8),N('Bonding Program'!$O$45),0)</f>
        <v>0</v>
      </c>
      <c r="AT186" s="19" t="n">
        <f aca="false">IF(AND('Bonding Program'!$S$45=1,'Bonding Program'!$H$45&gt;'Bonding Program'!$C$8,AT$3='Bonding Program'!$H$45),'Bonding Program'!$T$45-'Bonding Program'!$U$45-'Bonding Program'!$Z$45,0)-IF(AND('Bonding Program'!$S$45=1,'Bonding Program'!$H$45&lt;='Bonding Program'!$C$8,AT$3=IF('Bonding Program'!$P$45&lt;&gt;"",'Bonding Program'!$P$45,'Bonding Program'!$C$8)),'Bonding Program'!$Z$45,0)+IF(AND('Bonding Program'!$P$45&lt;&gt;"",AT$3='Bonding Program'!$P$45,AT$3&lt;='Bonding Program'!$C$8),N('Bonding Program'!$O$45),0)</f>
        <v>0</v>
      </c>
      <c r="AU186" s="19" t="n">
        <f aca="false">IF(AND('Bonding Program'!$S$45=1,'Bonding Program'!$H$45&gt;'Bonding Program'!$C$8,AU$3='Bonding Program'!$H$45),'Bonding Program'!$T$45-'Bonding Program'!$U$45-'Bonding Program'!$Z$45,0)-IF(AND('Bonding Program'!$S$45=1,'Bonding Program'!$H$45&lt;='Bonding Program'!$C$8,AU$3=IF('Bonding Program'!$P$45&lt;&gt;"",'Bonding Program'!$P$45,'Bonding Program'!$C$8)),'Bonding Program'!$Z$45,0)+IF(AND('Bonding Program'!$P$45&lt;&gt;"",AU$3='Bonding Program'!$P$45,AU$3&lt;='Bonding Program'!$C$8),N('Bonding Program'!$O$45),0)</f>
        <v>0</v>
      </c>
      <c r="AV186" s="19" t="n">
        <f aca="false">IF(AND('Bonding Program'!$S$45=1,'Bonding Program'!$H$45&gt;'Bonding Program'!$C$8,AV$3='Bonding Program'!$H$45),'Bonding Program'!$T$45-'Bonding Program'!$U$45-'Bonding Program'!$Z$45,0)-IF(AND('Bonding Program'!$S$45=1,'Bonding Program'!$H$45&lt;='Bonding Program'!$C$8,AV$3=IF('Bonding Program'!$P$45&lt;&gt;"",'Bonding Program'!$P$45,'Bonding Program'!$C$8)),'Bonding Program'!$Z$45,0)+IF(AND('Bonding Program'!$P$45&lt;&gt;"",AV$3='Bonding Program'!$P$45,AV$3&lt;='Bonding Program'!$C$8),N('Bonding Program'!$O$45),0)</f>
        <v>0</v>
      </c>
      <c r="AW186" s="19" t="n">
        <f aca="false">IF(AND('Bonding Program'!$S$45=1,'Bonding Program'!$H$45&gt;'Bonding Program'!$C$8,AW$3='Bonding Program'!$H$45),'Bonding Program'!$T$45-'Bonding Program'!$U$45-'Bonding Program'!$Z$45,0)-IF(AND('Bonding Program'!$S$45=1,'Bonding Program'!$H$45&lt;='Bonding Program'!$C$8,AW$3=IF('Bonding Program'!$P$45&lt;&gt;"",'Bonding Program'!$P$45,'Bonding Program'!$C$8)),'Bonding Program'!$Z$45,0)+IF(AND('Bonding Program'!$P$45&lt;&gt;"",AW$3='Bonding Program'!$P$45,AW$3&lt;='Bonding Program'!$C$8),N('Bonding Program'!$O$45),0)</f>
        <v>0</v>
      </c>
      <c r="AX186" s="19" t="n">
        <f aca="false">IF(AND('Bonding Program'!$S$45=1,'Bonding Program'!$H$45&gt;'Bonding Program'!$C$8,AX$3='Bonding Program'!$H$45),'Bonding Program'!$T$45-'Bonding Program'!$U$45-'Bonding Program'!$Z$45,0)-IF(AND('Bonding Program'!$S$45=1,'Bonding Program'!$H$45&lt;='Bonding Program'!$C$8,AX$3=IF('Bonding Program'!$P$45&lt;&gt;"",'Bonding Program'!$P$45,'Bonding Program'!$C$8)),'Bonding Program'!$Z$45,0)+IF(AND('Bonding Program'!$P$45&lt;&gt;"",AX$3='Bonding Program'!$P$45,AX$3&lt;='Bonding Program'!$C$8),N('Bonding Program'!$O$45),0)</f>
        <v>0</v>
      </c>
      <c r="AY186" s="19" t="n">
        <f aca="false">IF(AND('Bonding Program'!$S$45=1,'Bonding Program'!$H$45&gt;'Bonding Program'!$C$8,AY$3='Bonding Program'!$H$45),'Bonding Program'!$T$45-'Bonding Program'!$U$45-'Bonding Program'!$Z$45,0)-IF(AND('Bonding Program'!$S$45=1,'Bonding Program'!$H$45&lt;='Bonding Program'!$C$8,AY$3=IF('Bonding Program'!$P$45&lt;&gt;"",'Bonding Program'!$P$45,'Bonding Program'!$C$8)),'Bonding Program'!$Z$45,0)+IF(AND('Bonding Program'!$P$45&lt;&gt;"",AY$3='Bonding Program'!$P$45,AY$3&lt;='Bonding Program'!$C$8),N('Bonding Program'!$O$45),0)</f>
        <v>0</v>
      </c>
      <c r="AZ186" s="19" t="n">
        <f aca="false">IF(AND('Bonding Program'!$S$45=1,'Bonding Program'!$H$45&gt;'Bonding Program'!$C$8,AZ$3='Bonding Program'!$H$45),'Bonding Program'!$T$45-'Bonding Program'!$U$45-'Bonding Program'!$Z$45,0)-IF(AND('Bonding Program'!$S$45=1,'Bonding Program'!$H$45&lt;='Bonding Program'!$C$8,AZ$3=IF('Bonding Program'!$P$45&lt;&gt;"",'Bonding Program'!$P$45,'Bonding Program'!$C$8)),'Bonding Program'!$Z$45,0)+IF(AND('Bonding Program'!$P$45&lt;&gt;"",AZ$3='Bonding Program'!$P$45,AZ$3&lt;='Bonding Program'!$C$8),N('Bonding Program'!$O$45),0)</f>
        <v>0</v>
      </c>
      <c r="BA186" s="19" t="n">
        <f aca="false">IF(AND('Bonding Program'!$S$45=1,'Bonding Program'!$H$45&gt;'Bonding Program'!$C$8,BA$3='Bonding Program'!$H$45),'Bonding Program'!$T$45-'Bonding Program'!$U$45-'Bonding Program'!$Z$45,0)-IF(AND('Bonding Program'!$S$45=1,'Bonding Program'!$H$45&lt;='Bonding Program'!$C$8,BA$3=IF('Bonding Program'!$P$45&lt;&gt;"",'Bonding Program'!$P$45,'Bonding Program'!$C$8)),'Bonding Program'!$Z$45,0)+IF(AND('Bonding Program'!$P$45&lt;&gt;"",BA$3='Bonding Program'!$P$45,BA$3&lt;='Bonding Program'!$C$8),N('Bonding Program'!$O$45),0)</f>
        <v>0</v>
      </c>
      <c r="BB186" s="19" t="n">
        <f aca="false">IF(AND('Bonding Program'!$S$45=1,'Bonding Program'!$H$45&gt;'Bonding Program'!$C$8,BB$3='Bonding Program'!$H$45),'Bonding Program'!$T$45-'Bonding Program'!$U$45-'Bonding Program'!$Z$45,0)-IF(AND('Bonding Program'!$S$45=1,'Bonding Program'!$H$45&lt;='Bonding Program'!$C$8,BB$3=IF('Bonding Program'!$P$45&lt;&gt;"",'Bonding Program'!$P$45,'Bonding Program'!$C$8)),'Bonding Program'!$Z$45,0)+IF(AND('Bonding Program'!$P$45&lt;&gt;"",BB$3='Bonding Program'!$P$45,BB$3&lt;='Bonding Program'!$C$8),N('Bonding Program'!$O$45),0)</f>
        <v>0</v>
      </c>
      <c r="BC186" s="19" t="n">
        <f aca="false">IF(AND('Bonding Program'!$S$45=1,'Bonding Program'!$H$45&gt;'Bonding Program'!$C$8,BC$3='Bonding Program'!$H$45),'Bonding Program'!$T$45-'Bonding Program'!$U$45-'Bonding Program'!$Z$45,0)-IF(AND('Bonding Program'!$S$45=1,'Bonding Program'!$H$45&lt;='Bonding Program'!$C$8,BC$3=IF('Bonding Program'!$P$45&lt;&gt;"",'Bonding Program'!$P$45,'Bonding Program'!$C$8)),'Bonding Program'!$Z$45,0)+IF(AND('Bonding Program'!$P$45&lt;&gt;"",BC$3='Bonding Program'!$P$45,BC$3&lt;='Bonding Program'!$C$8),N('Bonding Program'!$O$45),0)</f>
        <v>0</v>
      </c>
      <c r="BD186" s="19" t="n">
        <f aca="false">IF(AND('Bonding Program'!$S$45=1,'Bonding Program'!$H$45&gt;'Bonding Program'!$C$8,BD$3='Bonding Program'!$H$45),'Bonding Program'!$T$45-'Bonding Program'!$U$45-'Bonding Program'!$Z$45,0)-IF(AND('Bonding Program'!$S$45=1,'Bonding Program'!$H$45&lt;='Bonding Program'!$C$8,BD$3=IF('Bonding Program'!$P$45&lt;&gt;"",'Bonding Program'!$P$45,'Bonding Program'!$C$8)),'Bonding Program'!$Z$45,0)+IF(AND('Bonding Program'!$P$45&lt;&gt;"",BD$3='Bonding Program'!$P$45,BD$3&lt;='Bonding Program'!$C$8),N('Bonding Program'!$O$45),0)</f>
        <v>0</v>
      </c>
      <c r="BE186" s="19" t="n">
        <f aca="false">IF(AND('Bonding Program'!$S$45=1,'Bonding Program'!$H$45&gt;'Bonding Program'!$C$8,BE$3='Bonding Program'!$H$45),'Bonding Program'!$T$45-'Bonding Program'!$U$45-'Bonding Program'!$Z$45,0)-IF(AND('Bonding Program'!$S$45=1,'Bonding Program'!$H$45&lt;='Bonding Program'!$C$8,BE$3=IF('Bonding Program'!$P$45&lt;&gt;"",'Bonding Program'!$P$45,'Bonding Program'!$C$8)),'Bonding Program'!$Z$45,0)+IF(AND('Bonding Program'!$P$45&lt;&gt;"",BE$3='Bonding Program'!$P$45,BE$3&lt;='Bonding Program'!$C$8),N('Bonding Program'!$O$45),0)</f>
        <v>0</v>
      </c>
      <c r="BF186" s="19" t="n">
        <f aca="false">IF(AND('Bonding Program'!$S$45=1,'Bonding Program'!$H$45&gt;'Bonding Program'!$C$8,BF$3='Bonding Program'!$H$45),'Bonding Program'!$T$45-'Bonding Program'!$U$45-'Bonding Program'!$Z$45,0)-IF(AND('Bonding Program'!$S$45=1,'Bonding Program'!$H$45&lt;='Bonding Program'!$C$8,BF$3=IF('Bonding Program'!$P$45&lt;&gt;"",'Bonding Program'!$P$45,'Bonding Program'!$C$8)),'Bonding Program'!$Z$45,0)+IF(AND('Bonding Program'!$P$45&lt;&gt;"",BF$3='Bonding Program'!$P$45,BF$3&lt;='Bonding Program'!$C$8),N('Bonding Program'!$O$45),0)</f>
        <v>0</v>
      </c>
      <c r="BG186" s="19" t="n">
        <f aca="false">IF(AND('Bonding Program'!$S$45=1,'Bonding Program'!$H$45&gt;'Bonding Program'!$C$8,BG$3='Bonding Program'!$H$45),'Bonding Program'!$T$45-'Bonding Program'!$U$45-'Bonding Program'!$Z$45,0)-IF(AND('Bonding Program'!$S$45=1,'Bonding Program'!$H$45&lt;='Bonding Program'!$C$8,BG$3=IF('Bonding Program'!$P$45&lt;&gt;"",'Bonding Program'!$P$45,'Bonding Program'!$C$8)),'Bonding Program'!$Z$45,0)+IF(AND('Bonding Program'!$P$45&lt;&gt;"",BG$3='Bonding Program'!$P$45,BG$3&lt;='Bonding Program'!$C$8),N('Bonding Program'!$O$45),0)</f>
        <v>0</v>
      </c>
      <c r="BH186" s="19" t="n">
        <f aca="false">IF(AND('Bonding Program'!$S$45=1,'Bonding Program'!$H$45&gt;'Bonding Program'!$C$8,BH$3='Bonding Program'!$H$45),'Bonding Program'!$T$45-'Bonding Program'!$U$45-'Bonding Program'!$Z$45,0)-IF(AND('Bonding Program'!$S$45=1,'Bonding Program'!$H$45&lt;='Bonding Program'!$C$8,BH$3=IF('Bonding Program'!$P$45&lt;&gt;"",'Bonding Program'!$P$45,'Bonding Program'!$C$8)),'Bonding Program'!$Z$45,0)+IF(AND('Bonding Program'!$P$45&lt;&gt;"",BH$3='Bonding Program'!$P$45,BH$3&lt;='Bonding Program'!$C$8),N('Bonding Program'!$O$45),0)</f>
        <v>0</v>
      </c>
      <c r="BI186" s="19" t="n">
        <f aca="false">IF(AND('Bonding Program'!$S$45=1,'Bonding Program'!$H$45&gt;'Bonding Program'!$C$8,BI$3='Bonding Program'!$H$45),'Bonding Program'!$T$45-'Bonding Program'!$U$45-'Bonding Program'!$Z$45,0)-IF(AND('Bonding Program'!$S$45=1,'Bonding Program'!$H$45&lt;='Bonding Program'!$C$8,BI$3=IF('Bonding Program'!$P$45&lt;&gt;"",'Bonding Program'!$P$45,'Bonding Program'!$C$8)),'Bonding Program'!$Z$45,0)+IF(AND('Bonding Program'!$P$45&lt;&gt;"",BI$3='Bonding Program'!$P$45,BI$3&lt;='Bonding Program'!$C$8),N('Bonding Program'!$O$45),0)</f>
        <v>0</v>
      </c>
      <c r="BJ186" s="19" t="n">
        <f aca="false">IF(AND('Bonding Program'!$S$45=1,'Bonding Program'!$H$45&gt;'Bonding Program'!$C$8,BJ$3='Bonding Program'!$H$45),'Bonding Program'!$T$45-'Bonding Program'!$U$45-'Bonding Program'!$Z$45,0)-IF(AND('Bonding Program'!$S$45=1,'Bonding Program'!$H$45&lt;='Bonding Program'!$C$8,BJ$3=IF('Bonding Program'!$P$45&lt;&gt;"",'Bonding Program'!$P$45,'Bonding Program'!$C$8)),'Bonding Program'!$Z$45,0)+IF(AND('Bonding Program'!$P$45&lt;&gt;"",BJ$3='Bonding Program'!$P$45,BJ$3&lt;='Bonding Program'!$C$8),N('Bonding Program'!$O$45),0)</f>
        <v>0</v>
      </c>
      <c r="BK186" s="19" t="n">
        <f aca="false">IF(AND('Bonding Program'!$S$45=1,'Bonding Program'!$H$45&gt;'Bonding Program'!$C$8,BK$3='Bonding Program'!$H$45),'Bonding Program'!$T$45-'Bonding Program'!$U$45-'Bonding Program'!$Z$45,0)-IF(AND('Bonding Program'!$S$45=1,'Bonding Program'!$H$45&lt;='Bonding Program'!$C$8,BK$3=IF('Bonding Program'!$P$45&lt;&gt;"",'Bonding Program'!$P$45,'Bonding Program'!$C$8)),'Bonding Program'!$Z$45,0)+IF(AND('Bonding Program'!$P$45&lt;&gt;"",BK$3='Bonding Program'!$P$45,BK$3&lt;='Bonding Program'!$C$8),N('Bonding Program'!$O$45),0)</f>
        <v>0</v>
      </c>
      <c r="BL186" s="19" t="n">
        <f aca="false">IF(AND('Bonding Program'!$S$45=1,'Bonding Program'!$H$45&gt;'Bonding Program'!$C$8,BL$3='Bonding Program'!$H$45),'Bonding Program'!$T$45-'Bonding Program'!$U$45-'Bonding Program'!$Z$45,0)-IF(AND('Bonding Program'!$S$45=1,'Bonding Program'!$H$45&lt;='Bonding Program'!$C$8,BL$3=IF('Bonding Program'!$P$45&lt;&gt;"",'Bonding Program'!$P$45,'Bonding Program'!$C$8)),'Bonding Program'!$Z$45,0)+IF(AND('Bonding Program'!$P$45&lt;&gt;"",BL$3='Bonding Program'!$P$45,BL$3&lt;='Bonding Program'!$C$8),N('Bonding Program'!$O$45),0)</f>
        <v>0</v>
      </c>
      <c r="BM186" s="19" t="n">
        <f aca="false">IF(AND('Bonding Program'!$S$45=1,'Bonding Program'!$H$45&gt;'Bonding Program'!$C$8,BM$3='Bonding Program'!$H$45),'Bonding Program'!$T$45-'Bonding Program'!$U$45-'Bonding Program'!$Z$45,0)-IF(AND('Bonding Program'!$S$45=1,'Bonding Program'!$H$45&lt;='Bonding Program'!$C$8,BM$3=IF('Bonding Program'!$P$45&lt;&gt;"",'Bonding Program'!$P$45,'Bonding Program'!$C$8)),'Bonding Program'!$Z$45,0)+IF(AND('Bonding Program'!$P$45&lt;&gt;"",BM$3='Bonding Program'!$P$45,BM$3&lt;='Bonding Program'!$C$8),N('Bonding Program'!$O$45),0)</f>
        <v>0</v>
      </c>
      <c r="BN186" s="19" t="n">
        <f aca="false">IF(AND('Bonding Program'!$S$45=1,'Bonding Program'!$H$45&gt;'Bonding Program'!$C$8,BN$3='Bonding Program'!$H$45),'Bonding Program'!$T$45-'Bonding Program'!$U$45-'Bonding Program'!$Z$45,0)-IF(AND('Bonding Program'!$S$45=1,'Bonding Program'!$H$45&lt;='Bonding Program'!$C$8,BN$3=IF('Bonding Program'!$P$45&lt;&gt;"",'Bonding Program'!$P$45,'Bonding Program'!$C$8)),'Bonding Program'!$Z$45,0)+IF(AND('Bonding Program'!$P$45&lt;&gt;"",BN$3='Bonding Program'!$P$45,BN$3&lt;='Bonding Program'!$C$8),N('Bonding Program'!$O$45),0)</f>
        <v>0</v>
      </c>
      <c r="BO186" s="19" t="n">
        <f aca="false">IF(AND('Bonding Program'!$S$45=1,'Bonding Program'!$H$45&gt;'Bonding Program'!$C$8,BO$3='Bonding Program'!$H$45),'Bonding Program'!$T$45-'Bonding Program'!$U$45-'Bonding Program'!$Z$45,0)-IF(AND('Bonding Program'!$S$45=1,'Bonding Program'!$H$45&lt;='Bonding Program'!$C$8,BO$3=IF('Bonding Program'!$P$45&lt;&gt;"",'Bonding Program'!$P$45,'Bonding Program'!$C$8)),'Bonding Program'!$Z$45,0)+IF(AND('Bonding Program'!$P$45&lt;&gt;"",BO$3='Bonding Program'!$P$45,BO$3&lt;='Bonding Program'!$C$8),N('Bonding Program'!$O$45),0)</f>
        <v>0</v>
      </c>
      <c r="BP186" s="19" t="n">
        <f aca="false">IF(AND('Bonding Program'!$S$45=1,'Bonding Program'!$H$45&gt;'Bonding Program'!$C$8,BP$3='Bonding Program'!$H$45),'Bonding Program'!$T$45-'Bonding Program'!$U$45-'Bonding Program'!$Z$45,0)-IF(AND('Bonding Program'!$S$45=1,'Bonding Program'!$H$45&lt;='Bonding Program'!$C$8,BP$3=IF('Bonding Program'!$P$45&lt;&gt;"",'Bonding Program'!$P$45,'Bonding Program'!$C$8)),'Bonding Program'!$Z$45,0)+IF(AND('Bonding Program'!$P$45&lt;&gt;"",BP$3='Bonding Program'!$P$45,BP$3&lt;='Bonding Program'!$C$8),N('Bonding Program'!$O$45),0)</f>
        <v>0</v>
      </c>
      <c r="BQ186" s="19" t="n">
        <f aca="false">IF(AND('Bonding Program'!$S$45=1,'Bonding Program'!$H$45&gt;'Bonding Program'!$C$8,BQ$3='Bonding Program'!$H$45),'Bonding Program'!$T$45-'Bonding Program'!$U$45-'Bonding Program'!$Z$45,0)-IF(AND('Bonding Program'!$S$45=1,'Bonding Program'!$H$45&lt;='Bonding Program'!$C$8,BQ$3=IF('Bonding Program'!$P$45&lt;&gt;"",'Bonding Program'!$P$45,'Bonding Program'!$C$8)),'Bonding Program'!$Z$45,0)+IF(AND('Bonding Program'!$P$45&lt;&gt;"",BQ$3='Bonding Program'!$P$45,BQ$3&lt;='Bonding Program'!$C$8),N('Bonding Program'!$O$45),0)</f>
        <v>0</v>
      </c>
      <c r="BR186" s="19" t="n">
        <f aca="false">IF(AND('Bonding Program'!$S$45=1,'Bonding Program'!$H$45&gt;'Bonding Program'!$C$8,BR$3='Bonding Program'!$H$45),'Bonding Program'!$T$45-'Bonding Program'!$U$45-'Bonding Program'!$Z$45,0)-IF(AND('Bonding Program'!$S$45=1,'Bonding Program'!$H$45&lt;='Bonding Program'!$C$8,BR$3=IF('Bonding Program'!$P$45&lt;&gt;"",'Bonding Program'!$P$45,'Bonding Program'!$C$8)),'Bonding Program'!$Z$45,0)+IF(AND('Bonding Program'!$P$45&lt;&gt;"",BR$3='Bonding Program'!$P$45,BR$3&lt;='Bonding Program'!$C$8),N('Bonding Program'!$O$45),0)</f>
        <v>0</v>
      </c>
      <c r="BS186" s="19" t="n">
        <f aca="false">IF(AND('Bonding Program'!$S$45=1,'Bonding Program'!$H$45&gt;'Bonding Program'!$C$8,BS$3='Bonding Program'!$H$45),'Bonding Program'!$T$45-'Bonding Program'!$U$45-'Bonding Program'!$Z$45,0)-IF(AND('Bonding Program'!$S$45=1,'Bonding Program'!$H$45&lt;='Bonding Program'!$C$8,BS$3=IF('Bonding Program'!$P$45&lt;&gt;"",'Bonding Program'!$P$45,'Bonding Program'!$C$8)),'Bonding Program'!$Z$45,0)+IF(AND('Bonding Program'!$P$45&lt;&gt;"",BS$3='Bonding Program'!$P$45,BS$3&lt;='Bonding Program'!$C$8),N('Bonding Program'!$O$45),0)</f>
        <v>0</v>
      </c>
      <c r="BT186" s="19" t="n">
        <f aca="false">IF(AND('Bonding Program'!$S$45=1,'Bonding Program'!$H$45&gt;'Bonding Program'!$C$8,BT$3='Bonding Program'!$H$45),'Bonding Program'!$T$45-'Bonding Program'!$U$45-'Bonding Program'!$Z$45,0)-IF(AND('Bonding Program'!$S$45=1,'Bonding Program'!$H$45&lt;='Bonding Program'!$C$8,BT$3=IF('Bonding Program'!$P$45&lt;&gt;"",'Bonding Program'!$P$45,'Bonding Program'!$C$8)),'Bonding Program'!$Z$45,0)+IF(AND('Bonding Program'!$P$45&lt;&gt;"",BT$3='Bonding Program'!$P$45,BT$3&lt;='Bonding Program'!$C$8),N('Bonding Program'!$O$45),0)</f>
        <v>0</v>
      </c>
      <c r="BU186" s="19" t="n">
        <f aca="false">IF(AND('Bonding Program'!$S$45=1,'Bonding Program'!$H$45&gt;'Bonding Program'!$C$8,BU$3='Bonding Program'!$H$45),'Bonding Program'!$T$45-'Bonding Program'!$U$45-'Bonding Program'!$Z$45,0)-IF(AND('Bonding Program'!$S$45=1,'Bonding Program'!$H$45&lt;='Bonding Program'!$C$8,BU$3=IF('Bonding Program'!$P$45&lt;&gt;"",'Bonding Program'!$P$45,'Bonding Program'!$C$8)),'Bonding Program'!$Z$45,0)+IF(AND('Bonding Program'!$P$45&lt;&gt;"",BU$3='Bonding Program'!$P$45,BU$3&lt;='Bonding Program'!$C$8),N('Bonding Program'!$O$45),0)</f>
        <v>0</v>
      </c>
      <c r="BV186" s="19" t="n">
        <f aca="false">IF(AND('Bonding Program'!$S$45=1,'Bonding Program'!$H$45&gt;'Bonding Program'!$C$8,BV$3='Bonding Program'!$H$45),'Bonding Program'!$T$45-'Bonding Program'!$U$45-'Bonding Program'!$Z$45,0)-IF(AND('Bonding Program'!$S$45=1,'Bonding Program'!$H$45&lt;='Bonding Program'!$C$8,BV$3=IF('Bonding Program'!$P$45&lt;&gt;"",'Bonding Program'!$P$45,'Bonding Program'!$C$8)),'Bonding Program'!$Z$45,0)+IF(AND('Bonding Program'!$P$45&lt;&gt;"",BV$3='Bonding Program'!$P$45,BV$3&lt;='Bonding Program'!$C$8),N('Bonding Program'!$O$45),0)</f>
        <v>0</v>
      </c>
      <c r="BW186" s="19" t="n">
        <f aca="false">IF(AND('Bonding Program'!$S$45=1,'Bonding Program'!$H$45&gt;'Bonding Program'!$C$8,BW$3='Bonding Program'!$H$45),'Bonding Program'!$T$45-'Bonding Program'!$U$45-'Bonding Program'!$Z$45,0)-IF(AND('Bonding Program'!$S$45=1,'Bonding Program'!$H$45&lt;='Bonding Program'!$C$8,BW$3=IF('Bonding Program'!$P$45&lt;&gt;"",'Bonding Program'!$P$45,'Bonding Program'!$C$8)),'Bonding Program'!$Z$45,0)+IF(AND('Bonding Program'!$P$45&lt;&gt;"",BW$3='Bonding Program'!$P$45,BW$3&lt;='Bonding Program'!$C$8),N('Bonding Program'!$O$45),0)</f>
        <v>0</v>
      </c>
      <c r="BX186" s="19" t="n">
        <f aca="false">IF(AND('Bonding Program'!$S$45=1,'Bonding Program'!$H$45&gt;'Bonding Program'!$C$8,BX$3='Bonding Program'!$H$45),'Bonding Program'!$T$45-'Bonding Program'!$U$45-'Bonding Program'!$Z$45,0)-IF(AND('Bonding Program'!$S$45=1,'Bonding Program'!$H$45&lt;='Bonding Program'!$C$8,BX$3=IF('Bonding Program'!$P$45&lt;&gt;"",'Bonding Program'!$P$45,'Bonding Program'!$C$8)),'Bonding Program'!$Z$45,0)+IF(AND('Bonding Program'!$P$45&lt;&gt;"",BX$3='Bonding Program'!$P$45,BX$3&lt;='Bonding Program'!$C$8),N('Bonding Program'!$O$45),0)</f>
        <v>0</v>
      </c>
      <c r="BY186" s="19" t="n">
        <f aca="false">IF(AND('Bonding Program'!$S$45=1,'Bonding Program'!$H$45&gt;'Bonding Program'!$C$8,BY$3='Bonding Program'!$H$45),'Bonding Program'!$T$45-'Bonding Program'!$U$45-'Bonding Program'!$Z$45,0)-IF(AND('Bonding Program'!$S$45=1,'Bonding Program'!$H$45&lt;='Bonding Program'!$C$8,BY$3=IF('Bonding Program'!$P$45&lt;&gt;"",'Bonding Program'!$P$45,'Bonding Program'!$C$8)),'Bonding Program'!$Z$45,0)+IF(AND('Bonding Program'!$P$45&lt;&gt;"",BY$3='Bonding Program'!$P$45,BY$3&lt;='Bonding Program'!$C$8),N('Bonding Program'!$O$45),0)</f>
        <v>0</v>
      </c>
      <c r="BZ186" s="19" t="n">
        <f aca="false">IF(AND('Bonding Program'!$S$45=1,'Bonding Program'!$H$45&gt;'Bonding Program'!$C$8,BZ$3='Bonding Program'!$H$45),'Bonding Program'!$T$45-'Bonding Program'!$U$45-'Bonding Program'!$Z$45,0)-IF(AND('Bonding Program'!$S$45=1,'Bonding Program'!$H$45&lt;='Bonding Program'!$C$8,BZ$3=IF('Bonding Program'!$P$45&lt;&gt;"",'Bonding Program'!$P$45,'Bonding Program'!$C$8)),'Bonding Program'!$Z$45,0)+IF(AND('Bonding Program'!$P$45&lt;&gt;"",BZ$3='Bonding Program'!$P$45,BZ$3&lt;='Bonding Program'!$C$8),N('Bonding Program'!$O$45),0)</f>
        <v>0</v>
      </c>
      <c r="CA186" s="19" t="n">
        <f aca="false">IF(AND('Bonding Program'!$S$45=1,'Bonding Program'!$H$45&gt;'Bonding Program'!$C$8,CA$3='Bonding Program'!$H$45),'Bonding Program'!$T$45-'Bonding Program'!$U$45-'Bonding Program'!$Z$45,0)-IF(AND('Bonding Program'!$S$45=1,'Bonding Program'!$H$45&lt;='Bonding Program'!$C$8,CA$3=IF('Bonding Program'!$P$45&lt;&gt;"",'Bonding Program'!$P$45,'Bonding Program'!$C$8)),'Bonding Program'!$Z$45,0)+IF(AND('Bonding Program'!$P$45&lt;&gt;"",CA$3='Bonding Program'!$P$45,CA$3&lt;='Bonding Program'!$C$8),N('Bonding Program'!$O$45),0)</f>
        <v>0</v>
      </c>
      <c r="CB186" s="19" t="n">
        <f aca="false">IF(AND('Bonding Program'!$S$45=1,'Bonding Program'!$H$45&gt;'Bonding Program'!$C$8,CB$3='Bonding Program'!$H$45),'Bonding Program'!$T$45-'Bonding Program'!$U$45-'Bonding Program'!$Z$45,0)-IF(AND('Bonding Program'!$S$45=1,'Bonding Program'!$H$45&lt;='Bonding Program'!$C$8,CB$3=IF('Bonding Program'!$P$45&lt;&gt;"",'Bonding Program'!$P$45,'Bonding Program'!$C$8)),'Bonding Program'!$Z$45,0)+IF(AND('Bonding Program'!$P$45&lt;&gt;"",CB$3='Bonding Program'!$P$45,CB$3&lt;='Bonding Program'!$C$8),N('Bonding Program'!$O$45),0)</f>
        <v>0</v>
      </c>
      <c r="CC186" s="19" t="n">
        <f aca="false">IF(AND('Bonding Program'!$S$45=1,'Bonding Program'!$H$45&gt;'Bonding Program'!$C$8,CC$3='Bonding Program'!$H$45),'Bonding Program'!$T$45-'Bonding Program'!$U$45-'Bonding Program'!$Z$45,0)-IF(AND('Bonding Program'!$S$45=1,'Bonding Program'!$H$45&lt;='Bonding Program'!$C$8,CC$3=IF('Bonding Program'!$P$45&lt;&gt;"",'Bonding Program'!$P$45,'Bonding Program'!$C$8)),'Bonding Program'!$Z$45,0)+IF(AND('Bonding Program'!$P$45&lt;&gt;"",CC$3='Bonding Program'!$P$45,CC$3&lt;='Bonding Program'!$C$8),N('Bonding Program'!$O$45),0)</f>
        <v>0</v>
      </c>
      <c r="CD186" s="19" t="n">
        <f aca="false">IF(AND('Bonding Program'!$S$45=1,'Bonding Program'!$H$45&gt;'Bonding Program'!$C$8,CD$3='Bonding Program'!$H$45),'Bonding Program'!$T$45-'Bonding Program'!$U$45-'Bonding Program'!$Z$45,0)-IF(AND('Bonding Program'!$S$45=1,'Bonding Program'!$H$45&lt;='Bonding Program'!$C$8,CD$3=IF('Bonding Program'!$P$45&lt;&gt;"",'Bonding Program'!$P$45,'Bonding Program'!$C$8)),'Bonding Program'!$Z$45,0)+IF(AND('Bonding Program'!$P$45&lt;&gt;"",CD$3='Bonding Program'!$P$45,CD$3&lt;='Bonding Program'!$C$8),N('Bonding Program'!$O$45),0)</f>
        <v>0</v>
      </c>
      <c r="CE186" s="19" t="n">
        <f aca="false">IF(AND('Bonding Program'!$S$45=1,'Bonding Program'!$H$45&gt;'Bonding Program'!$C$8,CE$3='Bonding Program'!$H$45),'Bonding Program'!$T$45-'Bonding Program'!$U$45-'Bonding Program'!$Z$45,0)-IF(AND('Bonding Program'!$S$45=1,'Bonding Program'!$H$45&lt;='Bonding Program'!$C$8,CE$3=IF('Bonding Program'!$P$45&lt;&gt;"",'Bonding Program'!$P$45,'Bonding Program'!$C$8)),'Bonding Program'!$Z$45,0)+IF(AND('Bonding Program'!$P$45&lt;&gt;"",CE$3='Bonding Program'!$P$45,CE$3&lt;='Bonding Program'!$C$8),N('Bonding Program'!$O$45),0)</f>
        <v>0</v>
      </c>
      <c r="CF186" s="19" t="n">
        <f aca="false">IF(AND('Bonding Program'!$S$45=1,'Bonding Program'!$H$45&gt;'Bonding Program'!$C$8,CF$3='Bonding Program'!$H$45),'Bonding Program'!$T$45-'Bonding Program'!$U$45-'Bonding Program'!$Z$45,0)-IF(AND('Bonding Program'!$S$45=1,'Bonding Program'!$H$45&lt;='Bonding Program'!$C$8,CF$3=IF('Bonding Program'!$P$45&lt;&gt;"",'Bonding Program'!$P$45,'Bonding Program'!$C$8)),'Bonding Program'!$Z$45,0)+IF(AND('Bonding Program'!$P$45&lt;&gt;"",CF$3='Bonding Program'!$P$45,CF$3&lt;='Bonding Program'!$C$8),N('Bonding Program'!$O$45),0)</f>
        <v>0</v>
      </c>
      <c r="CG186" s="19" t="n">
        <f aca="false">IF(AND('Bonding Program'!$S$45=1,'Bonding Program'!$H$45&gt;'Bonding Program'!$C$8,CG$3='Bonding Program'!$H$45),'Bonding Program'!$T$45-'Bonding Program'!$U$45-'Bonding Program'!$Z$45,0)-IF(AND('Bonding Program'!$S$45=1,'Bonding Program'!$H$45&lt;='Bonding Program'!$C$8,CG$3=IF('Bonding Program'!$P$45&lt;&gt;"",'Bonding Program'!$P$45,'Bonding Program'!$C$8)),'Bonding Program'!$Z$45,0)+IF(AND('Bonding Program'!$P$45&lt;&gt;"",CG$3='Bonding Program'!$P$45,CG$3&lt;='Bonding Program'!$C$8),N('Bonding Program'!$O$45),0)</f>
        <v>0</v>
      </c>
      <c r="CH186" s="19" t="n">
        <f aca="false">IF(AND('Bonding Program'!$S$45=1,'Bonding Program'!$H$45&gt;'Bonding Program'!$C$8,CH$3='Bonding Program'!$H$45),'Bonding Program'!$T$45-'Bonding Program'!$U$45-'Bonding Program'!$Z$45,0)-IF(AND('Bonding Program'!$S$45=1,'Bonding Program'!$H$45&lt;='Bonding Program'!$C$8,CH$3=IF('Bonding Program'!$P$45&lt;&gt;"",'Bonding Program'!$P$45,'Bonding Program'!$C$8)),'Bonding Program'!$Z$45,0)+IF(AND('Bonding Program'!$P$45&lt;&gt;"",CH$3='Bonding Program'!$P$45,CH$3&lt;='Bonding Program'!$C$8),N('Bonding Program'!$O$45),0)</f>
        <v>0</v>
      </c>
      <c r="CI186" s="19" t="n">
        <f aca="false">IF(AND('Bonding Program'!$S$45=1,'Bonding Program'!$H$45&gt;'Bonding Program'!$C$8,CI$3='Bonding Program'!$H$45),'Bonding Program'!$T$45-'Bonding Program'!$U$45-'Bonding Program'!$Z$45,0)-IF(AND('Bonding Program'!$S$45=1,'Bonding Program'!$H$45&lt;='Bonding Program'!$C$8,CI$3=IF('Bonding Program'!$P$45&lt;&gt;"",'Bonding Program'!$P$45,'Bonding Program'!$C$8)),'Bonding Program'!$Z$45,0)+IF(AND('Bonding Program'!$P$45&lt;&gt;"",CI$3='Bonding Program'!$P$45,CI$3&lt;='Bonding Program'!$C$8),N('Bonding Program'!$O$45),0)</f>
        <v>0</v>
      </c>
      <c r="CJ186" s="19" t="n">
        <f aca="false">IF(AND('Bonding Program'!$S$45=1,'Bonding Program'!$H$45&gt;'Bonding Program'!$C$8,CJ$3='Bonding Program'!$H$45),'Bonding Program'!$T$45-'Bonding Program'!$U$45-'Bonding Program'!$Z$45,0)-IF(AND('Bonding Program'!$S$45=1,'Bonding Program'!$H$45&lt;='Bonding Program'!$C$8,CJ$3=IF('Bonding Program'!$P$45&lt;&gt;"",'Bonding Program'!$P$45,'Bonding Program'!$C$8)),'Bonding Program'!$Z$45,0)+IF(AND('Bonding Program'!$P$45&lt;&gt;"",CJ$3='Bonding Program'!$P$45,CJ$3&lt;='Bonding Program'!$C$8),N('Bonding Program'!$O$45),0)</f>
        <v>0</v>
      </c>
      <c r="CK186" s="19" t="n">
        <f aca="false">IF(AND('Bonding Program'!$S$45=1,'Bonding Program'!$H$45&gt;'Bonding Program'!$C$8,CK$3='Bonding Program'!$H$45),'Bonding Program'!$T$45-'Bonding Program'!$U$45-'Bonding Program'!$Z$45,0)-IF(AND('Bonding Program'!$S$45=1,'Bonding Program'!$H$45&lt;='Bonding Program'!$C$8,CK$3=IF('Bonding Program'!$P$45&lt;&gt;"",'Bonding Program'!$P$45,'Bonding Program'!$C$8)),'Bonding Program'!$Z$45,0)+IF(AND('Bonding Program'!$P$45&lt;&gt;"",CK$3='Bonding Program'!$P$45,CK$3&lt;='Bonding Program'!$C$8),N('Bonding Program'!$O$45),0)</f>
        <v>0</v>
      </c>
      <c r="CL186" s="19" t="n">
        <f aca="false">IF(AND('Bonding Program'!$S$45=1,'Bonding Program'!$H$45&gt;'Bonding Program'!$C$8,CL$3='Bonding Program'!$H$45),'Bonding Program'!$T$45-'Bonding Program'!$U$45-'Bonding Program'!$Z$45,0)-IF(AND('Bonding Program'!$S$45=1,'Bonding Program'!$H$45&lt;='Bonding Program'!$C$8,CL$3=IF('Bonding Program'!$P$45&lt;&gt;"",'Bonding Program'!$P$45,'Bonding Program'!$C$8)),'Bonding Program'!$Z$45,0)+IF(AND('Bonding Program'!$P$45&lt;&gt;"",CL$3='Bonding Program'!$P$45,CL$3&lt;='Bonding Program'!$C$8),N('Bonding Program'!$O$45),0)</f>
        <v>0</v>
      </c>
      <c r="CM186" s="19" t="n">
        <f aca="false">IF(AND('Bonding Program'!$S$45=1,'Bonding Program'!$H$45&gt;'Bonding Program'!$C$8,CM$3='Bonding Program'!$H$45),'Bonding Program'!$T$45-'Bonding Program'!$U$45-'Bonding Program'!$Z$45,0)-IF(AND('Bonding Program'!$S$45=1,'Bonding Program'!$H$45&lt;='Bonding Program'!$C$8,CM$3=IF('Bonding Program'!$P$45&lt;&gt;"",'Bonding Program'!$P$45,'Bonding Program'!$C$8)),'Bonding Program'!$Z$45,0)+IF(AND('Bonding Program'!$P$45&lt;&gt;"",CM$3='Bonding Program'!$P$45,CM$3&lt;='Bonding Program'!$C$8),N('Bonding Program'!$O$45),0)</f>
        <v>0</v>
      </c>
      <c r="CN186" s="19" t="n">
        <f aca="false">IF(AND('Bonding Program'!$S$45=1,'Bonding Program'!$H$45&gt;'Bonding Program'!$C$8,CN$3='Bonding Program'!$H$45),'Bonding Program'!$T$45-'Bonding Program'!$U$45-'Bonding Program'!$Z$45,0)-IF(AND('Bonding Program'!$S$45=1,'Bonding Program'!$H$45&lt;='Bonding Program'!$C$8,CN$3=IF('Bonding Program'!$P$45&lt;&gt;"",'Bonding Program'!$P$45,'Bonding Program'!$C$8)),'Bonding Program'!$Z$45,0)+IF(AND('Bonding Program'!$P$45&lt;&gt;"",CN$3='Bonding Program'!$P$45,CN$3&lt;='Bonding Program'!$C$8),N('Bonding Program'!$O$45),0)</f>
        <v>0</v>
      </c>
      <c r="CO186" s="19" t="n">
        <f aca="false">IF(AND('Bonding Program'!$S$45=1,'Bonding Program'!$H$45&gt;'Bonding Program'!$C$8,CO$3='Bonding Program'!$H$45),'Bonding Program'!$T$45-'Bonding Program'!$U$45-'Bonding Program'!$Z$45,0)-IF(AND('Bonding Program'!$S$45=1,'Bonding Program'!$H$45&lt;='Bonding Program'!$C$8,CO$3=IF('Bonding Program'!$P$45&lt;&gt;"",'Bonding Program'!$P$45,'Bonding Program'!$C$8)),'Bonding Program'!$Z$45,0)+IF(AND('Bonding Program'!$P$45&lt;&gt;"",CO$3='Bonding Program'!$P$45,CO$3&lt;='Bonding Program'!$C$8),N('Bonding Program'!$O$45),0)</f>
        <v>0</v>
      </c>
      <c r="CP186" s="19" t="n">
        <f aca="false">IF(AND('Bonding Program'!$S$45=1,'Bonding Program'!$H$45&gt;'Bonding Program'!$C$8,CP$3='Bonding Program'!$H$45),'Bonding Program'!$T$45-'Bonding Program'!$U$45-'Bonding Program'!$Z$45,0)-IF(AND('Bonding Program'!$S$45=1,'Bonding Program'!$H$45&lt;='Bonding Program'!$C$8,CP$3=IF('Bonding Program'!$P$45&lt;&gt;"",'Bonding Program'!$P$45,'Bonding Program'!$C$8)),'Bonding Program'!$Z$45,0)+IF(AND('Bonding Program'!$P$45&lt;&gt;"",CP$3='Bonding Program'!$P$45,CP$3&lt;='Bonding Program'!$C$8),N('Bonding Program'!$O$45),0)</f>
        <v>0</v>
      </c>
      <c r="CQ186" s="19" t="n">
        <f aca="false">IF(AND('Bonding Program'!$S$45=1,'Bonding Program'!$H$45&gt;'Bonding Program'!$C$8,CQ$3='Bonding Program'!$H$45),'Bonding Program'!$T$45-'Bonding Program'!$U$45-'Bonding Program'!$Z$45,0)-IF(AND('Bonding Program'!$S$45=1,'Bonding Program'!$H$45&lt;='Bonding Program'!$C$8,CQ$3=IF('Bonding Program'!$P$45&lt;&gt;"",'Bonding Program'!$P$45,'Bonding Program'!$C$8)),'Bonding Program'!$Z$45,0)+IF(AND('Bonding Program'!$P$45&lt;&gt;"",CQ$3='Bonding Program'!$P$45,CQ$3&lt;='Bonding Program'!$C$8),N('Bonding Program'!$O$45),0)</f>
        <v>0</v>
      </c>
      <c r="CR186" s="19" t="n">
        <f aca="false">IF(AND('Bonding Program'!$S$45=1,'Bonding Program'!$H$45&gt;'Bonding Program'!$C$8,CR$3='Bonding Program'!$H$45),'Bonding Program'!$T$45-'Bonding Program'!$U$45-'Bonding Program'!$Z$45,0)-IF(AND('Bonding Program'!$S$45=1,'Bonding Program'!$H$45&lt;='Bonding Program'!$C$8,CR$3=IF('Bonding Program'!$P$45&lt;&gt;"",'Bonding Program'!$P$45,'Bonding Program'!$C$8)),'Bonding Program'!$Z$45,0)+IF(AND('Bonding Program'!$P$45&lt;&gt;"",CR$3='Bonding Program'!$P$45,CR$3&lt;='Bonding Program'!$C$8),N('Bonding Program'!$O$45),0)</f>
        <v>0</v>
      </c>
      <c r="CS186" s="19" t="n">
        <f aca="false">IF(AND('Bonding Program'!$S$45=1,'Bonding Program'!$H$45&gt;'Bonding Program'!$C$8,CS$3='Bonding Program'!$H$45),'Bonding Program'!$T$45-'Bonding Program'!$U$45-'Bonding Program'!$Z$45,0)-IF(AND('Bonding Program'!$S$45=1,'Bonding Program'!$H$45&lt;='Bonding Program'!$C$8,CS$3=IF('Bonding Program'!$P$45&lt;&gt;"",'Bonding Program'!$P$45,'Bonding Program'!$C$8)),'Bonding Program'!$Z$45,0)+IF(AND('Bonding Program'!$P$45&lt;&gt;"",CS$3='Bonding Program'!$P$45,CS$3&lt;='Bonding Program'!$C$8),N('Bonding Program'!$O$45),0)</f>
        <v>0</v>
      </c>
      <c r="CT186" s="19" t="n">
        <f aca="false">IF(AND('Bonding Program'!$S$45=1,'Bonding Program'!$H$45&gt;'Bonding Program'!$C$8,CT$3='Bonding Program'!$H$45),'Bonding Program'!$T$45-'Bonding Program'!$U$45-'Bonding Program'!$Z$45,0)-IF(AND('Bonding Program'!$S$45=1,'Bonding Program'!$H$45&lt;='Bonding Program'!$C$8,CT$3=IF('Bonding Program'!$P$45&lt;&gt;"",'Bonding Program'!$P$45,'Bonding Program'!$C$8)),'Bonding Program'!$Z$45,0)+IF(AND('Bonding Program'!$P$45&lt;&gt;"",CT$3='Bonding Program'!$P$45,CT$3&lt;='Bonding Program'!$C$8),N('Bonding Program'!$O$45),0)</f>
        <v>0</v>
      </c>
      <c r="CU186" s="19" t="n">
        <f aca="false">IF(AND('Bonding Program'!$S$45=1,'Bonding Program'!$H$45&gt;'Bonding Program'!$C$8,CU$3='Bonding Program'!$H$45),'Bonding Program'!$T$45-'Bonding Program'!$U$45-'Bonding Program'!$Z$45,0)-IF(AND('Bonding Program'!$S$45=1,'Bonding Program'!$H$45&lt;='Bonding Program'!$C$8,CU$3=IF('Bonding Program'!$P$45&lt;&gt;"",'Bonding Program'!$P$45,'Bonding Program'!$C$8)),'Bonding Program'!$Z$45,0)+IF(AND('Bonding Program'!$P$45&lt;&gt;"",CU$3='Bonding Program'!$P$45,CU$3&lt;='Bonding Program'!$C$8),N('Bonding Program'!$O$45),0)</f>
        <v>0</v>
      </c>
      <c r="CV186" s="19" t="n">
        <f aca="false">IF(AND('Bonding Program'!$S$45=1,'Bonding Program'!$H$45&gt;'Bonding Program'!$C$8,CV$3='Bonding Program'!$H$45),'Bonding Program'!$T$45-'Bonding Program'!$U$45-'Bonding Program'!$Z$45,0)-IF(AND('Bonding Program'!$S$45=1,'Bonding Program'!$H$45&lt;='Bonding Program'!$C$8,CV$3=IF('Bonding Program'!$P$45&lt;&gt;"",'Bonding Program'!$P$45,'Bonding Program'!$C$8)),'Bonding Program'!$Z$45,0)+IF(AND('Bonding Program'!$P$45&lt;&gt;"",CV$3='Bonding Program'!$P$45,CV$3&lt;='Bonding Program'!$C$8),N('Bonding Program'!$O$45),0)</f>
        <v>0</v>
      </c>
      <c r="CW186" s="19" t="n">
        <f aca="false">IF(AND('Bonding Program'!$S$45=1,'Bonding Program'!$H$45&gt;'Bonding Program'!$C$8,CW$3='Bonding Program'!$H$45),'Bonding Program'!$T$45-'Bonding Program'!$U$45-'Bonding Program'!$Z$45,0)-IF(AND('Bonding Program'!$S$45=1,'Bonding Program'!$H$45&lt;='Bonding Program'!$C$8,CW$3=IF('Bonding Program'!$P$45&lt;&gt;"",'Bonding Program'!$P$45,'Bonding Program'!$C$8)),'Bonding Program'!$Z$45,0)+IF(AND('Bonding Program'!$P$45&lt;&gt;"",CW$3='Bonding Program'!$P$45,CW$3&lt;='Bonding Program'!$C$8),N('Bonding Program'!$O$45),0)</f>
        <v>0</v>
      </c>
      <c r="CX186" s="19" t="n">
        <f aca="false">IF(AND('Bonding Program'!$S$45=1,'Bonding Program'!$H$45&gt;'Bonding Program'!$C$8,CX$3='Bonding Program'!$H$45),'Bonding Program'!$T$45-'Bonding Program'!$U$45-'Bonding Program'!$Z$45,0)-IF(AND('Bonding Program'!$S$45=1,'Bonding Program'!$H$45&lt;='Bonding Program'!$C$8,CX$3=IF('Bonding Program'!$P$45&lt;&gt;"",'Bonding Program'!$P$45,'Bonding Program'!$C$8)),'Bonding Program'!$Z$45,0)+IF(AND('Bonding Program'!$P$45&lt;&gt;"",CX$3='Bonding Program'!$P$45,CX$3&lt;='Bonding Program'!$C$8),N('Bonding Program'!$O$45),0)</f>
        <v>0</v>
      </c>
      <c r="CY186" s="19" t="n">
        <f aca="false">IF(AND('Bonding Program'!$S$45=1,'Bonding Program'!$H$45&gt;'Bonding Program'!$C$8,CY$3='Bonding Program'!$H$45),'Bonding Program'!$T$45-'Bonding Program'!$U$45-'Bonding Program'!$Z$45,0)-IF(AND('Bonding Program'!$S$45=1,'Bonding Program'!$H$45&lt;='Bonding Program'!$C$8,CY$3=IF('Bonding Program'!$P$45&lt;&gt;"",'Bonding Program'!$P$45,'Bonding Program'!$C$8)),'Bonding Program'!$Z$45,0)+IF(AND('Bonding Program'!$P$45&lt;&gt;"",CY$3='Bonding Program'!$P$45,CY$3&lt;='Bonding Program'!$C$8),N('Bonding Program'!$O$45),0)</f>
        <v>0</v>
      </c>
      <c r="CZ186" s="19" t="n">
        <f aca="false">IF(AND('Bonding Program'!$S$45=1,'Bonding Program'!$H$45&gt;'Bonding Program'!$C$8,CZ$3='Bonding Program'!$H$45),'Bonding Program'!$T$45-'Bonding Program'!$U$45-'Bonding Program'!$Z$45,0)-IF(AND('Bonding Program'!$S$45=1,'Bonding Program'!$H$45&lt;='Bonding Program'!$C$8,CZ$3=IF('Bonding Program'!$P$45&lt;&gt;"",'Bonding Program'!$P$45,'Bonding Program'!$C$8)),'Bonding Program'!$Z$45,0)+IF(AND('Bonding Program'!$P$45&lt;&gt;"",CZ$3='Bonding Program'!$P$45,CZ$3&lt;='Bonding Program'!$C$8),N('Bonding Program'!$O$45),0)</f>
        <v>0</v>
      </c>
      <c r="DA186" s="19" t="n">
        <f aca="false">IF(AND('Bonding Program'!$S$45=1,'Bonding Program'!$H$45&gt;'Bonding Program'!$C$8,DA$3='Bonding Program'!$H$45),'Bonding Program'!$T$45-'Bonding Program'!$U$45-'Bonding Program'!$Z$45,0)-IF(AND('Bonding Program'!$S$45=1,'Bonding Program'!$H$45&lt;='Bonding Program'!$C$8,DA$3=IF('Bonding Program'!$P$45&lt;&gt;"",'Bonding Program'!$P$45,'Bonding Program'!$C$8)),'Bonding Program'!$Z$45,0)+IF(AND('Bonding Program'!$P$45&lt;&gt;"",DA$3='Bonding Program'!$P$45,DA$3&lt;='Bonding Program'!$C$8),N('Bonding Program'!$O$45),0)</f>
        <v>0</v>
      </c>
      <c r="DB186" s="19" t="n">
        <f aca="false">IF(AND('Bonding Program'!$S$45=1,'Bonding Program'!$H$45&gt;'Bonding Program'!$C$8,DB$3='Bonding Program'!$H$45),'Bonding Program'!$T$45-'Bonding Program'!$U$45-'Bonding Program'!$Z$45,0)-IF(AND('Bonding Program'!$S$45=1,'Bonding Program'!$H$45&lt;='Bonding Program'!$C$8,DB$3=IF('Bonding Program'!$P$45&lt;&gt;"",'Bonding Program'!$P$45,'Bonding Program'!$C$8)),'Bonding Program'!$Z$45,0)+IF(AND('Bonding Program'!$P$45&lt;&gt;"",DB$3='Bonding Program'!$P$45,DB$3&lt;='Bonding Program'!$C$8),N('Bonding Program'!$O$45),0)</f>
        <v>0</v>
      </c>
      <c r="DC186" s="19" t="n">
        <f aca="false">IF(AND('Bonding Program'!$S$45=1,'Bonding Program'!$H$45&gt;'Bonding Program'!$C$8,DC$3='Bonding Program'!$H$45),'Bonding Program'!$T$45-'Bonding Program'!$U$45-'Bonding Program'!$Z$45,0)-IF(AND('Bonding Program'!$S$45=1,'Bonding Program'!$H$45&lt;='Bonding Program'!$C$8,DC$3=IF('Bonding Program'!$P$45&lt;&gt;"",'Bonding Program'!$P$45,'Bonding Program'!$C$8)),'Bonding Program'!$Z$45,0)+IF(AND('Bonding Program'!$P$45&lt;&gt;"",DC$3='Bonding Program'!$P$45,DC$3&lt;='Bonding Program'!$C$8),N('Bonding Program'!$O$45),0)</f>
        <v>0</v>
      </c>
      <c r="DD186" s="19" t="n">
        <f aca="false">IF(AND('Bonding Program'!$S$45=1,'Bonding Program'!$H$45&gt;'Bonding Program'!$C$8,DD$3='Bonding Program'!$H$45),'Bonding Program'!$T$45-'Bonding Program'!$U$45-'Bonding Program'!$Z$45,0)-IF(AND('Bonding Program'!$S$45=1,'Bonding Program'!$H$45&lt;='Bonding Program'!$C$8,DD$3=IF('Bonding Program'!$P$45&lt;&gt;"",'Bonding Program'!$P$45,'Bonding Program'!$C$8)),'Bonding Program'!$Z$45,0)+IF(AND('Bonding Program'!$P$45&lt;&gt;"",DD$3='Bonding Program'!$P$45,DD$3&lt;='Bonding Program'!$C$8),N('Bonding Program'!$O$45),0)</f>
        <v>0</v>
      </c>
      <c r="DE186" s="19" t="n">
        <f aca="false">IF(AND('Bonding Program'!$S$45=1,'Bonding Program'!$H$45&gt;'Bonding Program'!$C$8,DE$3='Bonding Program'!$H$45),'Bonding Program'!$T$45-'Bonding Program'!$U$45-'Bonding Program'!$Z$45,0)-IF(AND('Bonding Program'!$S$45=1,'Bonding Program'!$H$45&lt;='Bonding Program'!$C$8,DE$3=IF('Bonding Program'!$P$45&lt;&gt;"",'Bonding Program'!$P$45,'Bonding Program'!$C$8)),'Bonding Program'!$Z$45,0)+IF(AND('Bonding Program'!$P$45&lt;&gt;"",DE$3='Bonding Program'!$P$45,DE$3&lt;='Bonding Program'!$C$8),N('Bonding Program'!$O$45),0)</f>
        <v>0</v>
      </c>
    </row>
    <row r="187" customFormat="false" ht="15" hidden="false" customHeight="true" outlineLevel="1" collapsed="false">
      <c r="A187" s="28" t="s">
        <v>42</v>
      </c>
      <c r="B187" s="19" t="n">
        <f aca="false">IF(AND('Bonding Program'!$S$46=1,'Bonding Program'!$H$46&gt;'Bonding Program'!$C$8,B$3='Bonding Program'!$H$46),'Bonding Program'!$T$46-'Bonding Program'!$U$46-'Bonding Program'!$Z$46,0)-IF(AND('Bonding Program'!$S$46=1,'Bonding Program'!$H$46&lt;='Bonding Program'!$C$8,B$3=IF('Bonding Program'!$P$46&lt;&gt;"",'Bonding Program'!$P$46,'Bonding Program'!$C$8)),'Bonding Program'!$Z$46,0)+IF(AND('Bonding Program'!$P$46&lt;&gt;"",B$3='Bonding Program'!$P$46,B$3&lt;='Bonding Program'!$C$8),N('Bonding Program'!$O$46),0)</f>
        <v>0</v>
      </c>
      <c r="C187" s="19" t="n">
        <f aca="false">IF(AND('Bonding Program'!$S$46=1,'Bonding Program'!$H$46&gt;'Bonding Program'!$C$8,C$3='Bonding Program'!$H$46),'Bonding Program'!$T$46-'Bonding Program'!$U$46-'Bonding Program'!$Z$46,0)-IF(AND('Bonding Program'!$S$46=1,'Bonding Program'!$H$46&lt;='Bonding Program'!$C$8,C$3=IF('Bonding Program'!$P$46&lt;&gt;"",'Bonding Program'!$P$46,'Bonding Program'!$C$8)),'Bonding Program'!$Z$46,0)+IF(AND('Bonding Program'!$P$46&lt;&gt;"",C$3='Bonding Program'!$P$46,C$3&lt;='Bonding Program'!$C$8),N('Bonding Program'!$O$46),0)</f>
        <v>0</v>
      </c>
      <c r="D187" s="19" t="n">
        <f aca="false">IF(AND('Bonding Program'!$S$46=1,'Bonding Program'!$H$46&gt;'Bonding Program'!$C$8,D$3='Bonding Program'!$H$46),'Bonding Program'!$T$46-'Bonding Program'!$U$46-'Bonding Program'!$Z$46,0)-IF(AND('Bonding Program'!$S$46=1,'Bonding Program'!$H$46&lt;='Bonding Program'!$C$8,D$3=IF('Bonding Program'!$P$46&lt;&gt;"",'Bonding Program'!$P$46,'Bonding Program'!$C$8)),'Bonding Program'!$Z$46,0)+IF(AND('Bonding Program'!$P$46&lt;&gt;"",D$3='Bonding Program'!$P$46,D$3&lt;='Bonding Program'!$C$8),N('Bonding Program'!$O$46),0)</f>
        <v>0</v>
      </c>
      <c r="E187" s="19" t="n">
        <f aca="false">IF(AND('Bonding Program'!$S$46=1,'Bonding Program'!$H$46&gt;'Bonding Program'!$C$8,E$3='Bonding Program'!$H$46),'Bonding Program'!$T$46-'Bonding Program'!$U$46-'Bonding Program'!$Z$46,0)-IF(AND('Bonding Program'!$S$46=1,'Bonding Program'!$H$46&lt;='Bonding Program'!$C$8,E$3=IF('Bonding Program'!$P$46&lt;&gt;"",'Bonding Program'!$P$46,'Bonding Program'!$C$8)),'Bonding Program'!$Z$46,0)+IF(AND('Bonding Program'!$P$46&lt;&gt;"",E$3='Bonding Program'!$P$46,E$3&lt;='Bonding Program'!$C$8),N('Bonding Program'!$O$46),0)</f>
        <v>0</v>
      </c>
      <c r="F187" s="19" t="n">
        <f aca="false">IF(AND('Bonding Program'!$S$46=1,'Bonding Program'!$H$46&gt;'Bonding Program'!$C$8,F$3='Bonding Program'!$H$46),'Bonding Program'!$T$46-'Bonding Program'!$U$46-'Bonding Program'!$Z$46,0)-IF(AND('Bonding Program'!$S$46=1,'Bonding Program'!$H$46&lt;='Bonding Program'!$C$8,F$3=IF('Bonding Program'!$P$46&lt;&gt;"",'Bonding Program'!$P$46,'Bonding Program'!$C$8)),'Bonding Program'!$Z$46,0)+IF(AND('Bonding Program'!$P$46&lt;&gt;"",F$3='Bonding Program'!$P$46,F$3&lt;='Bonding Program'!$C$8),N('Bonding Program'!$O$46),0)</f>
        <v>0</v>
      </c>
      <c r="G187" s="19" t="n">
        <f aca="false">IF(AND('Bonding Program'!$S$46=1,'Bonding Program'!$H$46&gt;'Bonding Program'!$C$8,G$3='Bonding Program'!$H$46),'Bonding Program'!$T$46-'Bonding Program'!$U$46-'Bonding Program'!$Z$46,0)-IF(AND('Bonding Program'!$S$46=1,'Bonding Program'!$H$46&lt;='Bonding Program'!$C$8,G$3=IF('Bonding Program'!$P$46&lt;&gt;"",'Bonding Program'!$P$46,'Bonding Program'!$C$8)),'Bonding Program'!$Z$46,0)+IF(AND('Bonding Program'!$P$46&lt;&gt;"",G$3='Bonding Program'!$P$46,G$3&lt;='Bonding Program'!$C$8),N('Bonding Program'!$O$46),0)</f>
        <v>0</v>
      </c>
      <c r="H187" s="19" t="n">
        <f aca="false">IF(AND('Bonding Program'!$S$46=1,'Bonding Program'!$H$46&gt;'Bonding Program'!$C$8,H$3='Bonding Program'!$H$46),'Bonding Program'!$T$46-'Bonding Program'!$U$46-'Bonding Program'!$Z$46,0)-IF(AND('Bonding Program'!$S$46=1,'Bonding Program'!$H$46&lt;='Bonding Program'!$C$8,H$3=IF('Bonding Program'!$P$46&lt;&gt;"",'Bonding Program'!$P$46,'Bonding Program'!$C$8)),'Bonding Program'!$Z$46,0)+IF(AND('Bonding Program'!$P$46&lt;&gt;"",H$3='Bonding Program'!$P$46,H$3&lt;='Bonding Program'!$C$8),N('Bonding Program'!$O$46),0)</f>
        <v>0</v>
      </c>
      <c r="I187" s="19" t="n">
        <f aca="false">IF(AND('Bonding Program'!$S$46=1,'Bonding Program'!$H$46&gt;'Bonding Program'!$C$8,I$3='Bonding Program'!$H$46),'Bonding Program'!$T$46-'Bonding Program'!$U$46-'Bonding Program'!$Z$46,0)-IF(AND('Bonding Program'!$S$46=1,'Bonding Program'!$H$46&lt;='Bonding Program'!$C$8,I$3=IF('Bonding Program'!$P$46&lt;&gt;"",'Bonding Program'!$P$46,'Bonding Program'!$C$8)),'Bonding Program'!$Z$46,0)+IF(AND('Bonding Program'!$P$46&lt;&gt;"",I$3='Bonding Program'!$P$46,I$3&lt;='Bonding Program'!$C$8),N('Bonding Program'!$O$46),0)</f>
        <v>0</v>
      </c>
      <c r="J187" s="19" t="n">
        <f aca="false">IF(AND('Bonding Program'!$S$46=1,'Bonding Program'!$H$46&gt;'Bonding Program'!$C$8,J$3='Bonding Program'!$H$46),'Bonding Program'!$T$46-'Bonding Program'!$U$46-'Bonding Program'!$Z$46,0)-IF(AND('Bonding Program'!$S$46=1,'Bonding Program'!$H$46&lt;='Bonding Program'!$C$8,J$3=IF('Bonding Program'!$P$46&lt;&gt;"",'Bonding Program'!$P$46,'Bonding Program'!$C$8)),'Bonding Program'!$Z$46,0)+IF(AND('Bonding Program'!$P$46&lt;&gt;"",J$3='Bonding Program'!$P$46,J$3&lt;='Bonding Program'!$C$8),N('Bonding Program'!$O$46),0)</f>
        <v>0</v>
      </c>
      <c r="K187" s="19" t="n">
        <f aca="false">IF(AND('Bonding Program'!$S$46=1,'Bonding Program'!$H$46&gt;'Bonding Program'!$C$8,K$3='Bonding Program'!$H$46),'Bonding Program'!$T$46-'Bonding Program'!$U$46-'Bonding Program'!$Z$46,0)-IF(AND('Bonding Program'!$S$46=1,'Bonding Program'!$H$46&lt;='Bonding Program'!$C$8,K$3=IF('Bonding Program'!$P$46&lt;&gt;"",'Bonding Program'!$P$46,'Bonding Program'!$C$8)),'Bonding Program'!$Z$46,0)+IF(AND('Bonding Program'!$P$46&lt;&gt;"",K$3='Bonding Program'!$P$46,K$3&lt;='Bonding Program'!$C$8),N('Bonding Program'!$O$46),0)</f>
        <v>0</v>
      </c>
      <c r="L187" s="19" t="n">
        <f aca="false">IF(AND('Bonding Program'!$S$46=1,'Bonding Program'!$H$46&gt;'Bonding Program'!$C$8,L$3='Bonding Program'!$H$46),'Bonding Program'!$T$46-'Bonding Program'!$U$46-'Bonding Program'!$Z$46,0)-IF(AND('Bonding Program'!$S$46=1,'Bonding Program'!$H$46&lt;='Bonding Program'!$C$8,L$3=IF('Bonding Program'!$P$46&lt;&gt;"",'Bonding Program'!$P$46,'Bonding Program'!$C$8)),'Bonding Program'!$Z$46,0)+IF(AND('Bonding Program'!$P$46&lt;&gt;"",L$3='Bonding Program'!$P$46,L$3&lt;='Bonding Program'!$C$8),N('Bonding Program'!$O$46),0)</f>
        <v>0</v>
      </c>
      <c r="M187" s="19" t="n">
        <f aca="false">IF(AND('Bonding Program'!$S$46=1,'Bonding Program'!$H$46&gt;'Bonding Program'!$C$8,M$3='Bonding Program'!$H$46),'Bonding Program'!$T$46-'Bonding Program'!$U$46-'Bonding Program'!$Z$46,0)-IF(AND('Bonding Program'!$S$46=1,'Bonding Program'!$H$46&lt;='Bonding Program'!$C$8,M$3=IF('Bonding Program'!$P$46&lt;&gt;"",'Bonding Program'!$P$46,'Bonding Program'!$C$8)),'Bonding Program'!$Z$46,0)+IF(AND('Bonding Program'!$P$46&lt;&gt;"",M$3='Bonding Program'!$P$46,M$3&lt;='Bonding Program'!$C$8),N('Bonding Program'!$O$46),0)</f>
        <v>0</v>
      </c>
      <c r="N187" s="19" t="n">
        <f aca="false">IF(AND('Bonding Program'!$S$46=1,'Bonding Program'!$H$46&gt;'Bonding Program'!$C$8,N$3='Bonding Program'!$H$46),'Bonding Program'!$T$46-'Bonding Program'!$U$46-'Bonding Program'!$Z$46,0)-IF(AND('Bonding Program'!$S$46=1,'Bonding Program'!$H$46&lt;='Bonding Program'!$C$8,N$3=IF('Bonding Program'!$P$46&lt;&gt;"",'Bonding Program'!$P$46,'Bonding Program'!$C$8)),'Bonding Program'!$Z$46,0)+IF(AND('Bonding Program'!$P$46&lt;&gt;"",N$3='Bonding Program'!$P$46,N$3&lt;='Bonding Program'!$C$8),N('Bonding Program'!$O$46),0)</f>
        <v>0</v>
      </c>
      <c r="O187" s="19" t="n">
        <f aca="false">IF(AND('Bonding Program'!$S$46=1,'Bonding Program'!$H$46&gt;'Bonding Program'!$C$8,O$3='Bonding Program'!$H$46),'Bonding Program'!$T$46-'Bonding Program'!$U$46-'Bonding Program'!$Z$46,0)-IF(AND('Bonding Program'!$S$46=1,'Bonding Program'!$H$46&lt;='Bonding Program'!$C$8,O$3=IF('Bonding Program'!$P$46&lt;&gt;"",'Bonding Program'!$P$46,'Bonding Program'!$C$8)),'Bonding Program'!$Z$46,0)+IF(AND('Bonding Program'!$P$46&lt;&gt;"",O$3='Bonding Program'!$P$46,O$3&lt;='Bonding Program'!$C$8),N('Bonding Program'!$O$46),0)</f>
        <v>0</v>
      </c>
      <c r="P187" s="19" t="n">
        <f aca="false">IF(AND('Bonding Program'!$S$46=1,'Bonding Program'!$H$46&gt;'Bonding Program'!$C$8,P$3='Bonding Program'!$H$46),'Bonding Program'!$T$46-'Bonding Program'!$U$46-'Bonding Program'!$Z$46,0)-IF(AND('Bonding Program'!$S$46=1,'Bonding Program'!$H$46&lt;='Bonding Program'!$C$8,P$3=IF('Bonding Program'!$P$46&lt;&gt;"",'Bonding Program'!$P$46,'Bonding Program'!$C$8)),'Bonding Program'!$Z$46,0)+IF(AND('Bonding Program'!$P$46&lt;&gt;"",P$3='Bonding Program'!$P$46,P$3&lt;='Bonding Program'!$C$8),N('Bonding Program'!$O$46),0)</f>
        <v>0</v>
      </c>
      <c r="Q187" s="19" t="n">
        <f aca="false">IF(AND('Bonding Program'!$S$46=1,'Bonding Program'!$H$46&gt;'Bonding Program'!$C$8,Q$3='Bonding Program'!$H$46),'Bonding Program'!$T$46-'Bonding Program'!$U$46-'Bonding Program'!$Z$46,0)-IF(AND('Bonding Program'!$S$46=1,'Bonding Program'!$H$46&lt;='Bonding Program'!$C$8,Q$3=IF('Bonding Program'!$P$46&lt;&gt;"",'Bonding Program'!$P$46,'Bonding Program'!$C$8)),'Bonding Program'!$Z$46,0)+IF(AND('Bonding Program'!$P$46&lt;&gt;"",Q$3='Bonding Program'!$P$46,Q$3&lt;='Bonding Program'!$C$8),N('Bonding Program'!$O$46),0)</f>
        <v>0</v>
      </c>
      <c r="R187" s="19" t="n">
        <f aca="false">IF(AND('Bonding Program'!$S$46=1,'Bonding Program'!$H$46&gt;'Bonding Program'!$C$8,R$3='Bonding Program'!$H$46),'Bonding Program'!$T$46-'Bonding Program'!$U$46-'Bonding Program'!$Z$46,0)-IF(AND('Bonding Program'!$S$46=1,'Bonding Program'!$H$46&lt;='Bonding Program'!$C$8,R$3=IF('Bonding Program'!$P$46&lt;&gt;"",'Bonding Program'!$P$46,'Bonding Program'!$C$8)),'Bonding Program'!$Z$46,0)+IF(AND('Bonding Program'!$P$46&lt;&gt;"",R$3='Bonding Program'!$P$46,R$3&lt;='Bonding Program'!$C$8),N('Bonding Program'!$O$46),0)</f>
        <v>0</v>
      </c>
      <c r="S187" s="19" t="n">
        <f aca="false">IF(AND('Bonding Program'!$S$46=1,'Bonding Program'!$H$46&gt;'Bonding Program'!$C$8,S$3='Bonding Program'!$H$46),'Bonding Program'!$T$46-'Bonding Program'!$U$46-'Bonding Program'!$Z$46,0)-IF(AND('Bonding Program'!$S$46=1,'Bonding Program'!$H$46&lt;='Bonding Program'!$C$8,S$3=IF('Bonding Program'!$P$46&lt;&gt;"",'Bonding Program'!$P$46,'Bonding Program'!$C$8)),'Bonding Program'!$Z$46,0)+IF(AND('Bonding Program'!$P$46&lt;&gt;"",S$3='Bonding Program'!$P$46,S$3&lt;='Bonding Program'!$C$8),N('Bonding Program'!$O$46),0)</f>
        <v>0</v>
      </c>
      <c r="T187" s="19" t="n">
        <f aca="false">IF(AND('Bonding Program'!$S$46=1,'Bonding Program'!$H$46&gt;'Bonding Program'!$C$8,T$3='Bonding Program'!$H$46),'Bonding Program'!$T$46-'Bonding Program'!$U$46-'Bonding Program'!$Z$46,0)-IF(AND('Bonding Program'!$S$46=1,'Bonding Program'!$H$46&lt;='Bonding Program'!$C$8,T$3=IF('Bonding Program'!$P$46&lt;&gt;"",'Bonding Program'!$P$46,'Bonding Program'!$C$8)),'Bonding Program'!$Z$46,0)+IF(AND('Bonding Program'!$P$46&lt;&gt;"",T$3='Bonding Program'!$P$46,T$3&lt;='Bonding Program'!$C$8),N('Bonding Program'!$O$46),0)</f>
        <v>0</v>
      </c>
      <c r="U187" s="19" t="n">
        <f aca="false">IF(AND('Bonding Program'!$S$46=1,'Bonding Program'!$H$46&gt;'Bonding Program'!$C$8,U$3='Bonding Program'!$H$46),'Bonding Program'!$T$46-'Bonding Program'!$U$46-'Bonding Program'!$Z$46,0)-IF(AND('Bonding Program'!$S$46=1,'Bonding Program'!$H$46&lt;='Bonding Program'!$C$8,U$3=IF('Bonding Program'!$P$46&lt;&gt;"",'Bonding Program'!$P$46,'Bonding Program'!$C$8)),'Bonding Program'!$Z$46,0)+IF(AND('Bonding Program'!$P$46&lt;&gt;"",U$3='Bonding Program'!$P$46,U$3&lt;='Bonding Program'!$C$8),N('Bonding Program'!$O$46),0)</f>
        <v>0</v>
      </c>
      <c r="V187" s="19" t="n">
        <f aca="false">IF(AND('Bonding Program'!$S$46=1,'Bonding Program'!$H$46&gt;'Bonding Program'!$C$8,V$3='Bonding Program'!$H$46),'Bonding Program'!$T$46-'Bonding Program'!$U$46-'Bonding Program'!$Z$46,0)-IF(AND('Bonding Program'!$S$46=1,'Bonding Program'!$H$46&lt;='Bonding Program'!$C$8,V$3=IF('Bonding Program'!$P$46&lt;&gt;"",'Bonding Program'!$P$46,'Bonding Program'!$C$8)),'Bonding Program'!$Z$46,0)+IF(AND('Bonding Program'!$P$46&lt;&gt;"",V$3='Bonding Program'!$P$46,V$3&lt;='Bonding Program'!$C$8),N('Bonding Program'!$O$46),0)</f>
        <v>0</v>
      </c>
      <c r="W187" s="19" t="n">
        <f aca="false">IF(AND('Bonding Program'!$S$46=1,'Bonding Program'!$H$46&gt;'Bonding Program'!$C$8,W$3='Bonding Program'!$H$46),'Bonding Program'!$T$46-'Bonding Program'!$U$46-'Bonding Program'!$Z$46,0)-IF(AND('Bonding Program'!$S$46=1,'Bonding Program'!$H$46&lt;='Bonding Program'!$C$8,W$3=IF('Bonding Program'!$P$46&lt;&gt;"",'Bonding Program'!$P$46,'Bonding Program'!$C$8)),'Bonding Program'!$Z$46,0)+IF(AND('Bonding Program'!$P$46&lt;&gt;"",W$3='Bonding Program'!$P$46,W$3&lt;='Bonding Program'!$C$8),N('Bonding Program'!$O$46),0)</f>
        <v>0</v>
      </c>
      <c r="X187" s="19" t="n">
        <f aca="false">IF(AND('Bonding Program'!$S$46=1,'Bonding Program'!$H$46&gt;'Bonding Program'!$C$8,X$3='Bonding Program'!$H$46),'Bonding Program'!$T$46-'Bonding Program'!$U$46-'Bonding Program'!$Z$46,0)-IF(AND('Bonding Program'!$S$46=1,'Bonding Program'!$H$46&lt;='Bonding Program'!$C$8,X$3=IF('Bonding Program'!$P$46&lt;&gt;"",'Bonding Program'!$P$46,'Bonding Program'!$C$8)),'Bonding Program'!$Z$46,0)+IF(AND('Bonding Program'!$P$46&lt;&gt;"",X$3='Bonding Program'!$P$46,X$3&lt;='Bonding Program'!$C$8),N('Bonding Program'!$O$46),0)</f>
        <v>0</v>
      </c>
      <c r="Y187" s="19" t="n">
        <f aca="false">IF(AND('Bonding Program'!$S$46=1,'Bonding Program'!$H$46&gt;'Bonding Program'!$C$8,Y$3='Bonding Program'!$H$46),'Bonding Program'!$T$46-'Bonding Program'!$U$46-'Bonding Program'!$Z$46,0)-IF(AND('Bonding Program'!$S$46=1,'Bonding Program'!$H$46&lt;='Bonding Program'!$C$8,Y$3=IF('Bonding Program'!$P$46&lt;&gt;"",'Bonding Program'!$P$46,'Bonding Program'!$C$8)),'Bonding Program'!$Z$46,0)+IF(AND('Bonding Program'!$P$46&lt;&gt;"",Y$3='Bonding Program'!$P$46,Y$3&lt;='Bonding Program'!$C$8),N('Bonding Program'!$O$46),0)</f>
        <v>0</v>
      </c>
      <c r="Z187" s="19" t="n">
        <f aca="false">IF(AND('Bonding Program'!$S$46=1,'Bonding Program'!$H$46&gt;'Bonding Program'!$C$8,Z$3='Bonding Program'!$H$46),'Bonding Program'!$T$46-'Bonding Program'!$U$46-'Bonding Program'!$Z$46,0)-IF(AND('Bonding Program'!$S$46=1,'Bonding Program'!$H$46&lt;='Bonding Program'!$C$8,Z$3=IF('Bonding Program'!$P$46&lt;&gt;"",'Bonding Program'!$P$46,'Bonding Program'!$C$8)),'Bonding Program'!$Z$46,0)+IF(AND('Bonding Program'!$P$46&lt;&gt;"",Z$3='Bonding Program'!$P$46,Z$3&lt;='Bonding Program'!$C$8),N('Bonding Program'!$O$46),0)</f>
        <v>0</v>
      </c>
      <c r="AA187" s="19" t="n">
        <f aca="false">IF(AND('Bonding Program'!$S$46=1,'Bonding Program'!$H$46&gt;'Bonding Program'!$C$8,AA$3='Bonding Program'!$H$46),'Bonding Program'!$T$46-'Bonding Program'!$U$46-'Bonding Program'!$Z$46,0)-IF(AND('Bonding Program'!$S$46=1,'Bonding Program'!$H$46&lt;='Bonding Program'!$C$8,AA$3=IF('Bonding Program'!$P$46&lt;&gt;"",'Bonding Program'!$P$46,'Bonding Program'!$C$8)),'Bonding Program'!$Z$46,0)+IF(AND('Bonding Program'!$P$46&lt;&gt;"",AA$3='Bonding Program'!$P$46,AA$3&lt;='Bonding Program'!$C$8),N('Bonding Program'!$O$46),0)</f>
        <v>0</v>
      </c>
      <c r="AB187" s="19" t="n">
        <f aca="false">IF(AND('Bonding Program'!$S$46=1,'Bonding Program'!$H$46&gt;'Bonding Program'!$C$8,AB$3='Bonding Program'!$H$46),'Bonding Program'!$T$46-'Bonding Program'!$U$46-'Bonding Program'!$Z$46,0)-IF(AND('Bonding Program'!$S$46=1,'Bonding Program'!$H$46&lt;='Bonding Program'!$C$8,AB$3=IF('Bonding Program'!$P$46&lt;&gt;"",'Bonding Program'!$P$46,'Bonding Program'!$C$8)),'Bonding Program'!$Z$46,0)+IF(AND('Bonding Program'!$P$46&lt;&gt;"",AB$3='Bonding Program'!$P$46,AB$3&lt;='Bonding Program'!$C$8),N('Bonding Program'!$O$46),0)</f>
        <v>0</v>
      </c>
      <c r="AC187" s="19" t="n">
        <f aca="false">IF(AND('Bonding Program'!$S$46=1,'Bonding Program'!$H$46&gt;'Bonding Program'!$C$8,AC$3='Bonding Program'!$H$46),'Bonding Program'!$T$46-'Bonding Program'!$U$46-'Bonding Program'!$Z$46,0)-IF(AND('Bonding Program'!$S$46=1,'Bonding Program'!$H$46&lt;='Bonding Program'!$C$8,AC$3=IF('Bonding Program'!$P$46&lt;&gt;"",'Bonding Program'!$P$46,'Bonding Program'!$C$8)),'Bonding Program'!$Z$46,0)+IF(AND('Bonding Program'!$P$46&lt;&gt;"",AC$3='Bonding Program'!$P$46,AC$3&lt;='Bonding Program'!$C$8),N('Bonding Program'!$O$46),0)</f>
        <v>0</v>
      </c>
      <c r="AD187" s="19" t="n">
        <f aca="false">IF(AND('Bonding Program'!$S$46=1,'Bonding Program'!$H$46&gt;'Bonding Program'!$C$8,AD$3='Bonding Program'!$H$46),'Bonding Program'!$T$46-'Bonding Program'!$U$46-'Bonding Program'!$Z$46,0)-IF(AND('Bonding Program'!$S$46=1,'Bonding Program'!$H$46&lt;='Bonding Program'!$C$8,AD$3=IF('Bonding Program'!$P$46&lt;&gt;"",'Bonding Program'!$P$46,'Bonding Program'!$C$8)),'Bonding Program'!$Z$46,0)+IF(AND('Bonding Program'!$P$46&lt;&gt;"",AD$3='Bonding Program'!$P$46,AD$3&lt;='Bonding Program'!$C$8),N('Bonding Program'!$O$46),0)</f>
        <v>0</v>
      </c>
      <c r="AE187" s="19" t="n">
        <f aca="false">IF(AND('Bonding Program'!$S$46=1,'Bonding Program'!$H$46&gt;'Bonding Program'!$C$8,AE$3='Bonding Program'!$H$46),'Bonding Program'!$T$46-'Bonding Program'!$U$46-'Bonding Program'!$Z$46,0)-IF(AND('Bonding Program'!$S$46=1,'Bonding Program'!$H$46&lt;='Bonding Program'!$C$8,AE$3=IF('Bonding Program'!$P$46&lt;&gt;"",'Bonding Program'!$P$46,'Bonding Program'!$C$8)),'Bonding Program'!$Z$46,0)+IF(AND('Bonding Program'!$P$46&lt;&gt;"",AE$3='Bonding Program'!$P$46,AE$3&lt;='Bonding Program'!$C$8),N('Bonding Program'!$O$46),0)</f>
        <v>0</v>
      </c>
      <c r="AF187" s="19" t="n">
        <f aca="false">IF(AND('Bonding Program'!$S$46=1,'Bonding Program'!$H$46&gt;'Bonding Program'!$C$8,AF$3='Bonding Program'!$H$46),'Bonding Program'!$T$46-'Bonding Program'!$U$46-'Bonding Program'!$Z$46,0)-IF(AND('Bonding Program'!$S$46=1,'Bonding Program'!$H$46&lt;='Bonding Program'!$C$8,AF$3=IF('Bonding Program'!$P$46&lt;&gt;"",'Bonding Program'!$P$46,'Bonding Program'!$C$8)),'Bonding Program'!$Z$46,0)+IF(AND('Bonding Program'!$P$46&lt;&gt;"",AF$3='Bonding Program'!$P$46,AF$3&lt;='Bonding Program'!$C$8),N('Bonding Program'!$O$46),0)</f>
        <v>0</v>
      </c>
      <c r="AG187" s="19" t="n">
        <f aca="false">IF(AND('Bonding Program'!$S$46=1,'Bonding Program'!$H$46&gt;'Bonding Program'!$C$8,AG$3='Bonding Program'!$H$46),'Bonding Program'!$T$46-'Bonding Program'!$U$46-'Bonding Program'!$Z$46,0)-IF(AND('Bonding Program'!$S$46=1,'Bonding Program'!$H$46&lt;='Bonding Program'!$C$8,AG$3=IF('Bonding Program'!$P$46&lt;&gt;"",'Bonding Program'!$P$46,'Bonding Program'!$C$8)),'Bonding Program'!$Z$46,0)+IF(AND('Bonding Program'!$P$46&lt;&gt;"",AG$3='Bonding Program'!$P$46,AG$3&lt;='Bonding Program'!$C$8),N('Bonding Program'!$O$46),0)</f>
        <v>0</v>
      </c>
      <c r="AH187" s="19" t="n">
        <f aca="false">IF(AND('Bonding Program'!$S$46=1,'Bonding Program'!$H$46&gt;'Bonding Program'!$C$8,AH$3='Bonding Program'!$H$46),'Bonding Program'!$T$46-'Bonding Program'!$U$46-'Bonding Program'!$Z$46,0)-IF(AND('Bonding Program'!$S$46=1,'Bonding Program'!$H$46&lt;='Bonding Program'!$C$8,AH$3=IF('Bonding Program'!$P$46&lt;&gt;"",'Bonding Program'!$P$46,'Bonding Program'!$C$8)),'Bonding Program'!$Z$46,0)+IF(AND('Bonding Program'!$P$46&lt;&gt;"",AH$3='Bonding Program'!$P$46,AH$3&lt;='Bonding Program'!$C$8),N('Bonding Program'!$O$46),0)</f>
        <v>0</v>
      </c>
      <c r="AI187" s="19" t="n">
        <f aca="false">IF(AND('Bonding Program'!$S$46=1,'Bonding Program'!$H$46&gt;'Bonding Program'!$C$8,AI$3='Bonding Program'!$H$46),'Bonding Program'!$T$46-'Bonding Program'!$U$46-'Bonding Program'!$Z$46,0)-IF(AND('Bonding Program'!$S$46=1,'Bonding Program'!$H$46&lt;='Bonding Program'!$C$8,AI$3=IF('Bonding Program'!$P$46&lt;&gt;"",'Bonding Program'!$P$46,'Bonding Program'!$C$8)),'Bonding Program'!$Z$46,0)+IF(AND('Bonding Program'!$P$46&lt;&gt;"",AI$3='Bonding Program'!$P$46,AI$3&lt;='Bonding Program'!$C$8),N('Bonding Program'!$O$46),0)</f>
        <v>0</v>
      </c>
      <c r="AJ187" s="19" t="n">
        <f aca="false">IF(AND('Bonding Program'!$S$46=1,'Bonding Program'!$H$46&gt;'Bonding Program'!$C$8,AJ$3='Bonding Program'!$H$46),'Bonding Program'!$T$46-'Bonding Program'!$U$46-'Bonding Program'!$Z$46,0)-IF(AND('Bonding Program'!$S$46=1,'Bonding Program'!$H$46&lt;='Bonding Program'!$C$8,AJ$3=IF('Bonding Program'!$P$46&lt;&gt;"",'Bonding Program'!$P$46,'Bonding Program'!$C$8)),'Bonding Program'!$Z$46,0)+IF(AND('Bonding Program'!$P$46&lt;&gt;"",AJ$3='Bonding Program'!$P$46,AJ$3&lt;='Bonding Program'!$C$8),N('Bonding Program'!$O$46),0)</f>
        <v>0</v>
      </c>
      <c r="AK187" s="19" t="n">
        <f aca="false">IF(AND('Bonding Program'!$S$46=1,'Bonding Program'!$H$46&gt;'Bonding Program'!$C$8,AK$3='Bonding Program'!$H$46),'Bonding Program'!$T$46-'Bonding Program'!$U$46-'Bonding Program'!$Z$46,0)-IF(AND('Bonding Program'!$S$46=1,'Bonding Program'!$H$46&lt;='Bonding Program'!$C$8,AK$3=IF('Bonding Program'!$P$46&lt;&gt;"",'Bonding Program'!$P$46,'Bonding Program'!$C$8)),'Bonding Program'!$Z$46,0)+IF(AND('Bonding Program'!$P$46&lt;&gt;"",AK$3='Bonding Program'!$P$46,AK$3&lt;='Bonding Program'!$C$8),N('Bonding Program'!$O$46),0)</f>
        <v>0</v>
      </c>
      <c r="AL187" s="19" t="n">
        <f aca="false">IF(AND('Bonding Program'!$S$46=1,'Bonding Program'!$H$46&gt;'Bonding Program'!$C$8,AL$3='Bonding Program'!$H$46),'Bonding Program'!$T$46-'Bonding Program'!$U$46-'Bonding Program'!$Z$46,0)-IF(AND('Bonding Program'!$S$46=1,'Bonding Program'!$H$46&lt;='Bonding Program'!$C$8,AL$3=IF('Bonding Program'!$P$46&lt;&gt;"",'Bonding Program'!$P$46,'Bonding Program'!$C$8)),'Bonding Program'!$Z$46,0)+IF(AND('Bonding Program'!$P$46&lt;&gt;"",AL$3='Bonding Program'!$P$46,AL$3&lt;='Bonding Program'!$C$8),N('Bonding Program'!$O$46),0)</f>
        <v>0</v>
      </c>
      <c r="AM187" s="19" t="n">
        <f aca="false">IF(AND('Bonding Program'!$S$46=1,'Bonding Program'!$H$46&gt;'Bonding Program'!$C$8,AM$3='Bonding Program'!$H$46),'Bonding Program'!$T$46-'Bonding Program'!$U$46-'Bonding Program'!$Z$46,0)-IF(AND('Bonding Program'!$S$46=1,'Bonding Program'!$H$46&lt;='Bonding Program'!$C$8,AM$3=IF('Bonding Program'!$P$46&lt;&gt;"",'Bonding Program'!$P$46,'Bonding Program'!$C$8)),'Bonding Program'!$Z$46,0)+IF(AND('Bonding Program'!$P$46&lt;&gt;"",AM$3='Bonding Program'!$P$46,AM$3&lt;='Bonding Program'!$C$8),N('Bonding Program'!$O$46),0)</f>
        <v>0</v>
      </c>
      <c r="AN187" s="19" t="n">
        <f aca="false">IF(AND('Bonding Program'!$S$46=1,'Bonding Program'!$H$46&gt;'Bonding Program'!$C$8,AN$3='Bonding Program'!$H$46),'Bonding Program'!$T$46-'Bonding Program'!$U$46-'Bonding Program'!$Z$46,0)-IF(AND('Bonding Program'!$S$46=1,'Bonding Program'!$H$46&lt;='Bonding Program'!$C$8,AN$3=IF('Bonding Program'!$P$46&lt;&gt;"",'Bonding Program'!$P$46,'Bonding Program'!$C$8)),'Bonding Program'!$Z$46,0)+IF(AND('Bonding Program'!$P$46&lt;&gt;"",AN$3='Bonding Program'!$P$46,AN$3&lt;='Bonding Program'!$C$8),N('Bonding Program'!$O$46),0)</f>
        <v>0</v>
      </c>
      <c r="AO187" s="19" t="n">
        <f aca="false">IF(AND('Bonding Program'!$S$46=1,'Bonding Program'!$H$46&gt;'Bonding Program'!$C$8,AO$3='Bonding Program'!$H$46),'Bonding Program'!$T$46-'Bonding Program'!$U$46-'Bonding Program'!$Z$46,0)-IF(AND('Bonding Program'!$S$46=1,'Bonding Program'!$H$46&lt;='Bonding Program'!$C$8,AO$3=IF('Bonding Program'!$P$46&lt;&gt;"",'Bonding Program'!$P$46,'Bonding Program'!$C$8)),'Bonding Program'!$Z$46,0)+IF(AND('Bonding Program'!$P$46&lt;&gt;"",AO$3='Bonding Program'!$P$46,AO$3&lt;='Bonding Program'!$C$8),N('Bonding Program'!$O$46),0)</f>
        <v>0</v>
      </c>
      <c r="AP187" s="19" t="n">
        <f aca="false">IF(AND('Bonding Program'!$S$46=1,'Bonding Program'!$H$46&gt;'Bonding Program'!$C$8,AP$3='Bonding Program'!$H$46),'Bonding Program'!$T$46-'Bonding Program'!$U$46-'Bonding Program'!$Z$46,0)-IF(AND('Bonding Program'!$S$46=1,'Bonding Program'!$H$46&lt;='Bonding Program'!$C$8,AP$3=IF('Bonding Program'!$P$46&lt;&gt;"",'Bonding Program'!$P$46,'Bonding Program'!$C$8)),'Bonding Program'!$Z$46,0)+IF(AND('Bonding Program'!$P$46&lt;&gt;"",AP$3='Bonding Program'!$P$46,AP$3&lt;='Bonding Program'!$C$8),N('Bonding Program'!$O$46),0)</f>
        <v>0</v>
      </c>
      <c r="AQ187" s="19" t="n">
        <f aca="false">IF(AND('Bonding Program'!$S$46=1,'Bonding Program'!$H$46&gt;'Bonding Program'!$C$8,AQ$3='Bonding Program'!$H$46),'Bonding Program'!$T$46-'Bonding Program'!$U$46-'Bonding Program'!$Z$46,0)-IF(AND('Bonding Program'!$S$46=1,'Bonding Program'!$H$46&lt;='Bonding Program'!$C$8,AQ$3=IF('Bonding Program'!$P$46&lt;&gt;"",'Bonding Program'!$P$46,'Bonding Program'!$C$8)),'Bonding Program'!$Z$46,0)+IF(AND('Bonding Program'!$P$46&lt;&gt;"",AQ$3='Bonding Program'!$P$46,AQ$3&lt;='Bonding Program'!$C$8),N('Bonding Program'!$O$46),0)</f>
        <v>0</v>
      </c>
      <c r="AR187" s="19" t="n">
        <f aca="false">IF(AND('Bonding Program'!$S$46=1,'Bonding Program'!$H$46&gt;'Bonding Program'!$C$8,AR$3='Bonding Program'!$H$46),'Bonding Program'!$T$46-'Bonding Program'!$U$46-'Bonding Program'!$Z$46,0)-IF(AND('Bonding Program'!$S$46=1,'Bonding Program'!$H$46&lt;='Bonding Program'!$C$8,AR$3=IF('Bonding Program'!$P$46&lt;&gt;"",'Bonding Program'!$P$46,'Bonding Program'!$C$8)),'Bonding Program'!$Z$46,0)+IF(AND('Bonding Program'!$P$46&lt;&gt;"",AR$3='Bonding Program'!$P$46,AR$3&lt;='Bonding Program'!$C$8),N('Bonding Program'!$O$46),0)</f>
        <v>0</v>
      </c>
      <c r="AS187" s="19" t="n">
        <f aca="false">IF(AND('Bonding Program'!$S$46=1,'Bonding Program'!$H$46&gt;'Bonding Program'!$C$8,AS$3='Bonding Program'!$H$46),'Bonding Program'!$T$46-'Bonding Program'!$U$46-'Bonding Program'!$Z$46,0)-IF(AND('Bonding Program'!$S$46=1,'Bonding Program'!$H$46&lt;='Bonding Program'!$C$8,AS$3=IF('Bonding Program'!$P$46&lt;&gt;"",'Bonding Program'!$P$46,'Bonding Program'!$C$8)),'Bonding Program'!$Z$46,0)+IF(AND('Bonding Program'!$P$46&lt;&gt;"",AS$3='Bonding Program'!$P$46,AS$3&lt;='Bonding Program'!$C$8),N('Bonding Program'!$O$46),0)</f>
        <v>0</v>
      </c>
      <c r="AT187" s="19" t="n">
        <f aca="false">IF(AND('Bonding Program'!$S$46=1,'Bonding Program'!$H$46&gt;'Bonding Program'!$C$8,AT$3='Bonding Program'!$H$46),'Bonding Program'!$T$46-'Bonding Program'!$U$46-'Bonding Program'!$Z$46,0)-IF(AND('Bonding Program'!$S$46=1,'Bonding Program'!$H$46&lt;='Bonding Program'!$C$8,AT$3=IF('Bonding Program'!$P$46&lt;&gt;"",'Bonding Program'!$P$46,'Bonding Program'!$C$8)),'Bonding Program'!$Z$46,0)+IF(AND('Bonding Program'!$P$46&lt;&gt;"",AT$3='Bonding Program'!$P$46,AT$3&lt;='Bonding Program'!$C$8),N('Bonding Program'!$O$46),0)</f>
        <v>0</v>
      </c>
      <c r="AU187" s="19" t="n">
        <f aca="false">IF(AND('Bonding Program'!$S$46=1,'Bonding Program'!$H$46&gt;'Bonding Program'!$C$8,AU$3='Bonding Program'!$H$46),'Bonding Program'!$T$46-'Bonding Program'!$U$46-'Bonding Program'!$Z$46,0)-IF(AND('Bonding Program'!$S$46=1,'Bonding Program'!$H$46&lt;='Bonding Program'!$C$8,AU$3=IF('Bonding Program'!$P$46&lt;&gt;"",'Bonding Program'!$P$46,'Bonding Program'!$C$8)),'Bonding Program'!$Z$46,0)+IF(AND('Bonding Program'!$P$46&lt;&gt;"",AU$3='Bonding Program'!$P$46,AU$3&lt;='Bonding Program'!$C$8),N('Bonding Program'!$O$46),0)</f>
        <v>0</v>
      </c>
      <c r="AV187" s="19" t="n">
        <f aca="false">IF(AND('Bonding Program'!$S$46=1,'Bonding Program'!$H$46&gt;'Bonding Program'!$C$8,AV$3='Bonding Program'!$H$46),'Bonding Program'!$T$46-'Bonding Program'!$U$46-'Bonding Program'!$Z$46,0)-IF(AND('Bonding Program'!$S$46=1,'Bonding Program'!$H$46&lt;='Bonding Program'!$C$8,AV$3=IF('Bonding Program'!$P$46&lt;&gt;"",'Bonding Program'!$P$46,'Bonding Program'!$C$8)),'Bonding Program'!$Z$46,0)+IF(AND('Bonding Program'!$P$46&lt;&gt;"",AV$3='Bonding Program'!$P$46,AV$3&lt;='Bonding Program'!$C$8),N('Bonding Program'!$O$46),0)</f>
        <v>0</v>
      </c>
      <c r="AW187" s="19" t="n">
        <f aca="false">IF(AND('Bonding Program'!$S$46=1,'Bonding Program'!$H$46&gt;'Bonding Program'!$C$8,AW$3='Bonding Program'!$H$46),'Bonding Program'!$T$46-'Bonding Program'!$U$46-'Bonding Program'!$Z$46,0)-IF(AND('Bonding Program'!$S$46=1,'Bonding Program'!$H$46&lt;='Bonding Program'!$C$8,AW$3=IF('Bonding Program'!$P$46&lt;&gt;"",'Bonding Program'!$P$46,'Bonding Program'!$C$8)),'Bonding Program'!$Z$46,0)+IF(AND('Bonding Program'!$P$46&lt;&gt;"",AW$3='Bonding Program'!$P$46,AW$3&lt;='Bonding Program'!$C$8),N('Bonding Program'!$O$46),0)</f>
        <v>0</v>
      </c>
      <c r="AX187" s="19" t="n">
        <f aca="false">IF(AND('Bonding Program'!$S$46=1,'Bonding Program'!$H$46&gt;'Bonding Program'!$C$8,AX$3='Bonding Program'!$H$46),'Bonding Program'!$T$46-'Bonding Program'!$U$46-'Bonding Program'!$Z$46,0)-IF(AND('Bonding Program'!$S$46=1,'Bonding Program'!$H$46&lt;='Bonding Program'!$C$8,AX$3=IF('Bonding Program'!$P$46&lt;&gt;"",'Bonding Program'!$P$46,'Bonding Program'!$C$8)),'Bonding Program'!$Z$46,0)+IF(AND('Bonding Program'!$P$46&lt;&gt;"",AX$3='Bonding Program'!$P$46,AX$3&lt;='Bonding Program'!$C$8),N('Bonding Program'!$O$46),0)</f>
        <v>0</v>
      </c>
      <c r="AY187" s="19" t="n">
        <f aca="false">IF(AND('Bonding Program'!$S$46=1,'Bonding Program'!$H$46&gt;'Bonding Program'!$C$8,AY$3='Bonding Program'!$H$46),'Bonding Program'!$T$46-'Bonding Program'!$U$46-'Bonding Program'!$Z$46,0)-IF(AND('Bonding Program'!$S$46=1,'Bonding Program'!$H$46&lt;='Bonding Program'!$C$8,AY$3=IF('Bonding Program'!$P$46&lt;&gt;"",'Bonding Program'!$P$46,'Bonding Program'!$C$8)),'Bonding Program'!$Z$46,0)+IF(AND('Bonding Program'!$P$46&lt;&gt;"",AY$3='Bonding Program'!$P$46,AY$3&lt;='Bonding Program'!$C$8),N('Bonding Program'!$O$46),0)</f>
        <v>0</v>
      </c>
      <c r="AZ187" s="19" t="n">
        <f aca="false">IF(AND('Bonding Program'!$S$46=1,'Bonding Program'!$H$46&gt;'Bonding Program'!$C$8,AZ$3='Bonding Program'!$H$46),'Bonding Program'!$T$46-'Bonding Program'!$U$46-'Bonding Program'!$Z$46,0)-IF(AND('Bonding Program'!$S$46=1,'Bonding Program'!$H$46&lt;='Bonding Program'!$C$8,AZ$3=IF('Bonding Program'!$P$46&lt;&gt;"",'Bonding Program'!$P$46,'Bonding Program'!$C$8)),'Bonding Program'!$Z$46,0)+IF(AND('Bonding Program'!$P$46&lt;&gt;"",AZ$3='Bonding Program'!$P$46,AZ$3&lt;='Bonding Program'!$C$8),N('Bonding Program'!$O$46),0)</f>
        <v>0</v>
      </c>
      <c r="BA187" s="19" t="n">
        <f aca="false">IF(AND('Bonding Program'!$S$46=1,'Bonding Program'!$H$46&gt;'Bonding Program'!$C$8,BA$3='Bonding Program'!$H$46),'Bonding Program'!$T$46-'Bonding Program'!$U$46-'Bonding Program'!$Z$46,0)-IF(AND('Bonding Program'!$S$46=1,'Bonding Program'!$H$46&lt;='Bonding Program'!$C$8,BA$3=IF('Bonding Program'!$P$46&lt;&gt;"",'Bonding Program'!$P$46,'Bonding Program'!$C$8)),'Bonding Program'!$Z$46,0)+IF(AND('Bonding Program'!$P$46&lt;&gt;"",BA$3='Bonding Program'!$P$46,BA$3&lt;='Bonding Program'!$C$8),N('Bonding Program'!$O$46),0)</f>
        <v>0</v>
      </c>
      <c r="BB187" s="19" t="n">
        <f aca="false">IF(AND('Bonding Program'!$S$46=1,'Bonding Program'!$H$46&gt;'Bonding Program'!$C$8,BB$3='Bonding Program'!$H$46),'Bonding Program'!$T$46-'Bonding Program'!$U$46-'Bonding Program'!$Z$46,0)-IF(AND('Bonding Program'!$S$46=1,'Bonding Program'!$H$46&lt;='Bonding Program'!$C$8,BB$3=IF('Bonding Program'!$P$46&lt;&gt;"",'Bonding Program'!$P$46,'Bonding Program'!$C$8)),'Bonding Program'!$Z$46,0)+IF(AND('Bonding Program'!$P$46&lt;&gt;"",BB$3='Bonding Program'!$P$46,BB$3&lt;='Bonding Program'!$C$8),N('Bonding Program'!$O$46),0)</f>
        <v>0</v>
      </c>
      <c r="BC187" s="19" t="n">
        <f aca="false">IF(AND('Bonding Program'!$S$46=1,'Bonding Program'!$H$46&gt;'Bonding Program'!$C$8,BC$3='Bonding Program'!$H$46),'Bonding Program'!$T$46-'Bonding Program'!$U$46-'Bonding Program'!$Z$46,0)-IF(AND('Bonding Program'!$S$46=1,'Bonding Program'!$H$46&lt;='Bonding Program'!$C$8,BC$3=IF('Bonding Program'!$P$46&lt;&gt;"",'Bonding Program'!$P$46,'Bonding Program'!$C$8)),'Bonding Program'!$Z$46,0)+IF(AND('Bonding Program'!$P$46&lt;&gt;"",BC$3='Bonding Program'!$P$46,BC$3&lt;='Bonding Program'!$C$8),N('Bonding Program'!$O$46),0)</f>
        <v>0</v>
      </c>
      <c r="BD187" s="19" t="n">
        <f aca="false">IF(AND('Bonding Program'!$S$46=1,'Bonding Program'!$H$46&gt;'Bonding Program'!$C$8,BD$3='Bonding Program'!$H$46),'Bonding Program'!$T$46-'Bonding Program'!$U$46-'Bonding Program'!$Z$46,0)-IF(AND('Bonding Program'!$S$46=1,'Bonding Program'!$H$46&lt;='Bonding Program'!$C$8,BD$3=IF('Bonding Program'!$P$46&lt;&gt;"",'Bonding Program'!$P$46,'Bonding Program'!$C$8)),'Bonding Program'!$Z$46,0)+IF(AND('Bonding Program'!$P$46&lt;&gt;"",BD$3='Bonding Program'!$P$46,BD$3&lt;='Bonding Program'!$C$8),N('Bonding Program'!$O$46),0)</f>
        <v>0</v>
      </c>
      <c r="BE187" s="19" t="n">
        <f aca="false">IF(AND('Bonding Program'!$S$46=1,'Bonding Program'!$H$46&gt;'Bonding Program'!$C$8,BE$3='Bonding Program'!$H$46),'Bonding Program'!$T$46-'Bonding Program'!$U$46-'Bonding Program'!$Z$46,0)-IF(AND('Bonding Program'!$S$46=1,'Bonding Program'!$H$46&lt;='Bonding Program'!$C$8,BE$3=IF('Bonding Program'!$P$46&lt;&gt;"",'Bonding Program'!$P$46,'Bonding Program'!$C$8)),'Bonding Program'!$Z$46,0)+IF(AND('Bonding Program'!$P$46&lt;&gt;"",BE$3='Bonding Program'!$P$46,BE$3&lt;='Bonding Program'!$C$8),N('Bonding Program'!$O$46),0)</f>
        <v>0</v>
      </c>
      <c r="BF187" s="19" t="n">
        <f aca="false">IF(AND('Bonding Program'!$S$46=1,'Bonding Program'!$H$46&gt;'Bonding Program'!$C$8,BF$3='Bonding Program'!$H$46),'Bonding Program'!$T$46-'Bonding Program'!$U$46-'Bonding Program'!$Z$46,0)-IF(AND('Bonding Program'!$S$46=1,'Bonding Program'!$H$46&lt;='Bonding Program'!$C$8,BF$3=IF('Bonding Program'!$P$46&lt;&gt;"",'Bonding Program'!$P$46,'Bonding Program'!$C$8)),'Bonding Program'!$Z$46,0)+IF(AND('Bonding Program'!$P$46&lt;&gt;"",BF$3='Bonding Program'!$P$46,BF$3&lt;='Bonding Program'!$C$8),N('Bonding Program'!$O$46),0)</f>
        <v>0</v>
      </c>
      <c r="BG187" s="19" t="n">
        <f aca="false">IF(AND('Bonding Program'!$S$46=1,'Bonding Program'!$H$46&gt;'Bonding Program'!$C$8,BG$3='Bonding Program'!$H$46),'Bonding Program'!$T$46-'Bonding Program'!$U$46-'Bonding Program'!$Z$46,0)-IF(AND('Bonding Program'!$S$46=1,'Bonding Program'!$H$46&lt;='Bonding Program'!$C$8,BG$3=IF('Bonding Program'!$P$46&lt;&gt;"",'Bonding Program'!$P$46,'Bonding Program'!$C$8)),'Bonding Program'!$Z$46,0)+IF(AND('Bonding Program'!$P$46&lt;&gt;"",BG$3='Bonding Program'!$P$46,BG$3&lt;='Bonding Program'!$C$8),N('Bonding Program'!$O$46),0)</f>
        <v>0</v>
      </c>
      <c r="BH187" s="19" t="n">
        <f aca="false">IF(AND('Bonding Program'!$S$46=1,'Bonding Program'!$H$46&gt;'Bonding Program'!$C$8,BH$3='Bonding Program'!$H$46),'Bonding Program'!$T$46-'Bonding Program'!$U$46-'Bonding Program'!$Z$46,0)-IF(AND('Bonding Program'!$S$46=1,'Bonding Program'!$H$46&lt;='Bonding Program'!$C$8,BH$3=IF('Bonding Program'!$P$46&lt;&gt;"",'Bonding Program'!$P$46,'Bonding Program'!$C$8)),'Bonding Program'!$Z$46,0)+IF(AND('Bonding Program'!$P$46&lt;&gt;"",BH$3='Bonding Program'!$P$46,BH$3&lt;='Bonding Program'!$C$8),N('Bonding Program'!$O$46),0)</f>
        <v>0</v>
      </c>
      <c r="BI187" s="19" t="n">
        <f aca="false">IF(AND('Bonding Program'!$S$46=1,'Bonding Program'!$H$46&gt;'Bonding Program'!$C$8,BI$3='Bonding Program'!$H$46),'Bonding Program'!$T$46-'Bonding Program'!$U$46-'Bonding Program'!$Z$46,0)-IF(AND('Bonding Program'!$S$46=1,'Bonding Program'!$H$46&lt;='Bonding Program'!$C$8,BI$3=IF('Bonding Program'!$P$46&lt;&gt;"",'Bonding Program'!$P$46,'Bonding Program'!$C$8)),'Bonding Program'!$Z$46,0)+IF(AND('Bonding Program'!$P$46&lt;&gt;"",BI$3='Bonding Program'!$P$46,BI$3&lt;='Bonding Program'!$C$8),N('Bonding Program'!$O$46),0)</f>
        <v>0</v>
      </c>
      <c r="BJ187" s="19" t="n">
        <f aca="false">IF(AND('Bonding Program'!$S$46=1,'Bonding Program'!$H$46&gt;'Bonding Program'!$C$8,BJ$3='Bonding Program'!$H$46),'Bonding Program'!$T$46-'Bonding Program'!$U$46-'Bonding Program'!$Z$46,0)-IF(AND('Bonding Program'!$S$46=1,'Bonding Program'!$H$46&lt;='Bonding Program'!$C$8,BJ$3=IF('Bonding Program'!$P$46&lt;&gt;"",'Bonding Program'!$P$46,'Bonding Program'!$C$8)),'Bonding Program'!$Z$46,0)+IF(AND('Bonding Program'!$P$46&lt;&gt;"",BJ$3='Bonding Program'!$P$46,BJ$3&lt;='Bonding Program'!$C$8),N('Bonding Program'!$O$46),0)</f>
        <v>0</v>
      </c>
      <c r="BK187" s="19" t="n">
        <f aca="false">IF(AND('Bonding Program'!$S$46=1,'Bonding Program'!$H$46&gt;'Bonding Program'!$C$8,BK$3='Bonding Program'!$H$46),'Bonding Program'!$T$46-'Bonding Program'!$U$46-'Bonding Program'!$Z$46,0)-IF(AND('Bonding Program'!$S$46=1,'Bonding Program'!$H$46&lt;='Bonding Program'!$C$8,BK$3=IF('Bonding Program'!$P$46&lt;&gt;"",'Bonding Program'!$P$46,'Bonding Program'!$C$8)),'Bonding Program'!$Z$46,0)+IF(AND('Bonding Program'!$P$46&lt;&gt;"",BK$3='Bonding Program'!$P$46,BK$3&lt;='Bonding Program'!$C$8),N('Bonding Program'!$O$46),0)</f>
        <v>0</v>
      </c>
      <c r="BL187" s="19" t="n">
        <f aca="false">IF(AND('Bonding Program'!$S$46=1,'Bonding Program'!$H$46&gt;'Bonding Program'!$C$8,BL$3='Bonding Program'!$H$46),'Bonding Program'!$T$46-'Bonding Program'!$U$46-'Bonding Program'!$Z$46,0)-IF(AND('Bonding Program'!$S$46=1,'Bonding Program'!$H$46&lt;='Bonding Program'!$C$8,BL$3=IF('Bonding Program'!$P$46&lt;&gt;"",'Bonding Program'!$P$46,'Bonding Program'!$C$8)),'Bonding Program'!$Z$46,0)+IF(AND('Bonding Program'!$P$46&lt;&gt;"",BL$3='Bonding Program'!$P$46,BL$3&lt;='Bonding Program'!$C$8),N('Bonding Program'!$O$46),0)</f>
        <v>0</v>
      </c>
      <c r="BM187" s="19" t="n">
        <f aca="false">IF(AND('Bonding Program'!$S$46=1,'Bonding Program'!$H$46&gt;'Bonding Program'!$C$8,BM$3='Bonding Program'!$H$46),'Bonding Program'!$T$46-'Bonding Program'!$U$46-'Bonding Program'!$Z$46,0)-IF(AND('Bonding Program'!$S$46=1,'Bonding Program'!$H$46&lt;='Bonding Program'!$C$8,BM$3=IF('Bonding Program'!$P$46&lt;&gt;"",'Bonding Program'!$P$46,'Bonding Program'!$C$8)),'Bonding Program'!$Z$46,0)+IF(AND('Bonding Program'!$P$46&lt;&gt;"",BM$3='Bonding Program'!$P$46,BM$3&lt;='Bonding Program'!$C$8),N('Bonding Program'!$O$46),0)</f>
        <v>0</v>
      </c>
      <c r="BN187" s="19" t="n">
        <f aca="false">IF(AND('Bonding Program'!$S$46=1,'Bonding Program'!$H$46&gt;'Bonding Program'!$C$8,BN$3='Bonding Program'!$H$46),'Bonding Program'!$T$46-'Bonding Program'!$U$46-'Bonding Program'!$Z$46,0)-IF(AND('Bonding Program'!$S$46=1,'Bonding Program'!$H$46&lt;='Bonding Program'!$C$8,BN$3=IF('Bonding Program'!$P$46&lt;&gt;"",'Bonding Program'!$P$46,'Bonding Program'!$C$8)),'Bonding Program'!$Z$46,0)+IF(AND('Bonding Program'!$P$46&lt;&gt;"",BN$3='Bonding Program'!$P$46,BN$3&lt;='Bonding Program'!$C$8),N('Bonding Program'!$O$46),0)</f>
        <v>0</v>
      </c>
      <c r="BO187" s="19" t="n">
        <f aca="false">IF(AND('Bonding Program'!$S$46=1,'Bonding Program'!$H$46&gt;'Bonding Program'!$C$8,BO$3='Bonding Program'!$H$46),'Bonding Program'!$T$46-'Bonding Program'!$U$46-'Bonding Program'!$Z$46,0)-IF(AND('Bonding Program'!$S$46=1,'Bonding Program'!$H$46&lt;='Bonding Program'!$C$8,BO$3=IF('Bonding Program'!$P$46&lt;&gt;"",'Bonding Program'!$P$46,'Bonding Program'!$C$8)),'Bonding Program'!$Z$46,0)+IF(AND('Bonding Program'!$P$46&lt;&gt;"",BO$3='Bonding Program'!$P$46,BO$3&lt;='Bonding Program'!$C$8),N('Bonding Program'!$O$46),0)</f>
        <v>0</v>
      </c>
      <c r="BP187" s="19" t="n">
        <f aca="false">IF(AND('Bonding Program'!$S$46=1,'Bonding Program'!$H$46&gt;'Bonding Program'!$C$8,BP$3='Bonding Program'!$H$46),'Bonding Program'!$T$46-'Bonding Program'!$U$46-'Bonding Program'!$Z$46,0)-IF(AND('Bonding Program'!$S$46=1,'Bonding Program'!$H$46&lt;='Bonding Program'!$C$8,BP$3=IF('Bonding Program'!$P$46&lt;&gt;"",'Bonding Program'!$P$46,'Bonding Program'!$C$8)),'Bonding Program'!$Z$46,0)+IF(AND('Bonding Program'!$P$46&lt;&gt;"",BP$3='Bonding Program'!$P$46,BP$3&lt;='Bonding Program'!$C$8),N('Bonding Program'!$O$46),0)</f>
        <v>0</v>
      </c>
      <c r="BQ187" s="19" t="n">
        <f aca="false">IF(AND('Bonding Program'!$S$46=1,'Bonding Program'!$H$46&gt;'Bonding Program'!$C$8,BQ$3='Bonding Program'!$H$46),'Bonding Program'!$T$46-'Bonding Program'!$U$46-'Bonding Program'!$Z$46,0)-IF(AND('Bonding Program'!$S$46=1,'Bonding Program'!$H$46&lt;='Bonding Program'!$C$8,BQ$3=IF('Bonding Program'!$P$46&lt;&gt;"",'Bonding Program'!$P$46,'Bonding Program'!$C$8)),'Bonding Program'!$Z$46,0)+IF(AND('Bonding Program'!$P$46&lt;&gt;"",BQ$3='Bonding Program'!$P$46,BQ$3&lt;='Bonding Program'!$C$8),N('Bonding Program'!$O$46),0)</f>
        <v>0</v>
      </c>
      <c r="BR187" s="19" t="n">
        <f aca="false">IF(AND('Bonding Program'!$S$46=1,'Bonding Program'!$H$46&gt;'Bonding Program'!$C$8,BR$3='Bonding Program'!$H$46),'Bonding Program'!$T$46-'Bonding Program'!$U$46-'Bonding Program'!$Z$46,0)-IF(AND('Bonding Program'!$S$46=1,'Bonding Program'!$H$46&lt;='Bonding Program'!$C$8,BR$3=IF('Bonding Program'!$P$46&lt;&gt;"",'Bonding Program'!$P$46,'Bonding Program'!$C$8)),'Bonding Program'!$Z$46,0)+IF(AND('Bonding Program'!$P$46&lt;&gt;"",BR$3='Bonding Program'!$P$46,BR$3&lt;='Bonding Program'!$C$8),N('Bonding Program'!$O$46),0)</f>
        <v>0</v>
      </c>
      <c r="BS187" s="19" t="n">
        <f aca="false">IF(AND('Bonding Program'!$S$46=1,'Bonding Program'!$H$46&gt;'Bonding Program'!$C$8,BS$3='Bonding Program'!$H$46),'Bonding Program'!$T$46-'Bonding Program'!$U$46-'Bonding Program'!$Z$46,0)-IF(AND('Bonding Program'!$S$46=1,'Bonding Program'!$H$46&lt;='Bonding Program'!$C$8,BS$3=IF('Bonding Program'!$P$46&lt;&gt;"",'Bonding Program'!$P$46,'Bonding Program'!$C$8)),'Bonding Program'!$Z$46,0)+IF(AND('Bonding Program'!$P$46&lt;&gt;"",BS$3='Bonding Program'!$P$46,BS$3&lt;='Bonding Program'!$C$8),N('Bonding Program'!$O$46),0)</f>
        <v>0</v>
      </c>
      <c r="BT187" s="19" t="n">
        <f aca="false">IF(AND('Bonding Program'!$S$46=1,'Bonding Program'!$H$46&gt;'Bonding Program'!$C$8,BT$3='Bonding Program'!$H$46),'Bonding Program'!$T$46-'Bonding Program'!$U$46-'Bonding Program'!$Z$46,0)-IF(AND('Bonding Program'!$S$46=1,'Bonding Program'!$H$46&lt;='Bonding Program'!$C$8,BT$3=IF('Bonding Program'!$P$46&lt;&gt;"",'Bonding Program'!$P$46,'Bonding Program'!$C$8)),'Bonding Program'!$Z$46,0)+IF(AND('Bonding Program'!$P$46&lt;&gt;"",BT$3='Bonding Program'!$P$46,BT$3&lt;='Bonding Program'!$C$8),N('Bonding Program'!$O$46),0)</f>
        <v>0</v>
      </c>
      <c r="BU187" s="19" t="n">
        <f aca="false">IF(AND('Bonding Program'!$S$46=1,'Bonding Program'!$H$46&gt;'Bonding Program'!$C$8,BU$3='Bonding Program'!$H$46),'Bonding Program'!$T$46-'Bonding Program'!$U$46-'Bonding Program'!$Z$46,0)-IF(AND('Bonding Program'!$S$46=1,'Bonding Program'!$H$46&lt;='Bonding Program'!$C$8,BU$3=IF('Bonding Program'!$P$46&lt;&gt;"",'Bonding Program'!$P$46,'Bonding Program'!$C$8)),'Bonding Program'!$Z$46,0)+IF(AND('Bonding Program'!$P$46&lt;&gt;"",BU$3='Bonding Program'!$P$46,BU$3&lt;='Bonding Program'!$C$8),N('Bonding Program'!$O$46),0)</f>
        <v>0</v>
      </c>
      <c r="BV187" s="19" t="n">
        <f aca="false">IF(AND('Bonding Program'!$S$46=1,'Bonding Program'!$H$46&gt;'Bonding Program'!$C$8,BV$3='Bonding Program'!$H$46),'Bonding Program'!$T$46-'Bonding Program'!$U$46-'Bonding Program'!$Z$46,0)-IF(AND('Bonding Program'!$S$46=1,'Bonding Program'!$H$46&lt;='Bonding Program'!$C$8,BV$3=IF('Bonding Program'!$P$46&lt;&gt;"",'Bonding Program'!$P$46,'Bonding Program'!$C$8)),'Bonding Program'!$Z$46,0)+IF(AND('Bonding Program'!$P$46&lt;&gt;"",BV$3='Bonding Program'!$P$46,BV$3&lt;='Bonding Program'!$C$8),N('Bonding Program'!$O$46),0)</f>
        <v>0</v>
      </c>
      <c r="BW187" s="19" t="n">
        <f aca="false">IF(AND('Bonding Program'!$S$46=1,'Bonding Program'!$H$46&gt;'Bonding Program'!$C$8,BW$3='Bonding Program'!$H$46),'Bonding Program'!$T$46-'Bonding Program'!$U$46-'Bonding Program'!$Z$46,0)-IF(AND('Bonding Program'!$S$46=1,'Bonding Program'!$H$46&lt;='Bonding Program'!$C$8,BW$3=IF('Bonding Program'!$P$46&lt;&gt;"",'Bonding Program'!$P$46,'Bonding Program'!$C$8)),'Bonding Program'!$Z$46,0)+IF(AND('Bonding Program'!$P$46&lt;&gt;"",BW$3='Bonding Program'!$P$46,BW$3&lt;='Bonding Program'!$C$8),N('Bonding Program'!$O$46),0)</f>
        <v>0</v>
      </c>
      <c r="BX187" s="19" t="n">
        <f aca="false">IF(AND('Bonding Program'!$S$46=1,'Bonding Program'!$H$46&gt;'Bonding Program'!$C$8,BX$3='Bonding Program'!$H$46),'Bonding Program'!$T$46-'Bonding Program'!$U$46-'Bonding Program'!$Z$46,0)-IF(AND('Bonding Program'!$S$46=1,'Bonding Program'!$H$46&lt;='Bonding Program'!$C$8,BX$3=IF('Bonding Program'!$P$46&lt;&gt;"",'Bonding Program'!$P$46,'Bonding Program'!$C$8)),'Bonding Program'!$Z$46,0)+IF(AND('Bonding Program'!$P$46&lt;&gt;"",BX$3='Bonding Program'!$P$46,BX$3&lt;='Bonding Program'!$C$8),N('Bonding Program'!$O$46),0)</f>
        <v>0</v>
      </c>
      <c r="BY187" s="19" t="n">
        <f aca="false">IF(AND('Bonding Program'!$S$46=1,'Bonding Program'!$H$46&gt;'Bonding Program'!$C$8,BY$3='Bonding Program'!$H$46),'Bonding Program'!$T$46-'Bonding Program'!$U$46-'Bonding Program'!$Z$46,0)-IF(AND('Bonding Program'!$S$46=1,'Bonding Program'!$H$46&lt;='Bonding Program'!$C$8,BY$3=IF('Bonding Program'!$P$46&lt;&gt;"",'Bonding Program'!$P$46,'Bonding Program'!$C$8)),'Bonding Program'!$Z$46,0)+IF(AND('Bonding Program'!$P$46&lt;&gt;"",BY$3='Bonding Program'!$P$46,BY$3&lt;='Bonding Program'!$C$8),N('Bonding Program'!$O$46),0)</f>
        <v>0</v>
      </c>
      <c r="BZ187" s="19" t="n">
        <f aca="false">IF(AND('Bonding Program'!$S$46=1,'Bonding Program'!$H$46&gt;'Bonding Program'!$C$8,BZ$3='Bonding Program'!$H$46),'Bonding Program'!$T$46-'Bonding Program'!$U$46-'Bonding Program'!$Z$46,0)-IF(AND('Bonding Program'!$S$46=1,'Bonding Program'!$H$46&lt;='Bonding Program'!$C$8,BZ$3=IF('Bonding Program'!$P$46&lt;&gt;"",'Bonding Program'!$P$46,'Bonding Program'!$C$8)),'Bonding Program'!$Z$46,0)+IF(AND('Bonding Program'!$P$46&lt;&gt;"",BZ$3='Bonding Program'!$P$46,BZ$3&lt;='Bonding Program'!$C$8),N('Bonding Program'!$O$46),0)</f>
        <v>0</v>
      </c>
      <c r="CA187" s="19" t="n">
        <f aca="false">IF(AND('Bonding Program'!$S$46=1,'Bonding Program'!$H$46&gt;'Bonding Program'!$C$8,CA$3='Bonding Program'!$H$46),'Bonding Program'!$T$46-'Bonding Program'!$U$46-'Bonding Program'!$Z$46,0)-IF(AND('Bonding Program'!$S$46=1,'Bonding Program'!$H$46&lt;='Bonding Program'!$C$8,CA$3=IF('Bonding Program'!$P$46&lt;&gt;"",'Bonding Program'!$P$46,'Bonding Program'!$C$8)),'Bonding Program'!$Z$46,0)+IF(AND('Bonding Program'!$P$46&lt;&gt;"",CA$3='Bonding Program'!$P$46,CA$3&lt;='Bonding Program'!$C$8),N('Bonding Program'!$O$46),0)</f>
        <v>0</v>
      </c>
      <c r="CB187" s="19" t="n">
        <f aca="false">IF(AND('Bonding Program'!$S$46=1,'Bonding Program'!$H$46&gt;'Bonding Program'!$C$8,CB$3='Bonding Program'!$H$46),'Bonding Program'!$T$46-'Bonding Program'!$U$46-'Bonding Program'!$Z$46,0)-IF(AND('Bonding Program'!$S$46=1,'Bonding Program'!$H$46&lt;='Bonding Program'!$C$8,CB$3=IF('Bonding Program'!$P$46&lt;&gt;"",'Bonding Program'!$P$46,'Bonding Program'!$C$8)),'Bonding Program'!$Z$46,0)+IF(AND('Bonding Program'!$P$46&lt;&gt;"",CB$3='Bonding Program'!$P$46,CB$3&lt;='Bonding Program'!$C$8),N('Bonding Program'!$O$46),0)</f>
        <v>0</v>
      </c>
      <c r="CC187" s="19" t="n">
        <f aca="false">IF(AND('Bonding Program'!$S$46=1,'Bonding Program'!$H$46&gt;'Bonding Program'!$C$8,CC$3='Bonding Program'!$H$46),'Bonding Program'!$T$46-'Bonding Program'!$U$46-'Bonding Program'!$Z$46,0)-IF(AND('Bonding Program'!$S$46=1,'Bonding Program'!$H$46&lt;='Bonding Program'!$C$8,CC$3=IF('Bonding Program'!$P$46&lt;&gt;"",'Bonding Program'!$P$46,'Bonding Program'!$C$8)),'Bonding Program'!$Z$46,0)+IF(AND('Bonding Program'!$P$46&lt;&gt;"",CC$3='Bonding Program'!$P$46,CC$3&lt;='Bonding Program'!$C$8),N('Bonding Program'!$O$46),0)</f>
        <v>0</v>
      </c>
      <c r="CD187" s="19" t="n">
        <f aca="false">IF(AND('Bonding Program'!$S$46=1,'Bonding Program'!$H$46&gt;'Bonding Program'!$C$8,CD$3='Bonding Program'!$H$46),'Bonding Program'!$T$46-'Bonding Program'!$U$46-'Bonding Program'!$Z$46,0)-IF(AND('Bonding Program'!$S$46=1,'Bonding Program'!$H$46&lt;='Bonding Program'!$C$8,CD$3=IF('Bonding Program'!$P$46&lt;&gt;"",'Bonding Program'!$P$46,'Bonding Program'!$C$8)),'Bonding Program'!$Z$46,0)+IF(AND('Bonding Program'!$P$46&lt;&gt;"",CD$3='Bonding Program'!$P$46,CD$3&lt;='Bonding Program'!$C$8),N('Bonding Program'!$O$46),0)</f>
        <v>0</v>
      </c>
      <c r="CE187" s="19" t="n">
        <f aca="false">IF(AND('Bonding Program'!$S$46=1,'Bonding Program'!$H$46&gt;'Bonding Program'!$C$8,CE$3='Bonding Program'!$H$46),'Bonding Program'!$T$46-'Bonding Program'!$U$46-'Bonding Program'!$Z$46,0)-IF(AND('Bonding Program'!$S$46=1,'Bonding Program'!$H$46&lt;='Bonding Program'!$C$8,CE$3=IF('Bonding Program'!$P$46&lt;&gt;"",'Bonding Program'!$P$46,'Bonding Program'!$C$8)),'Bonding Program'!$Z$46,0)+IF(AND('Bonding Program'!$P$46&lt;&gt;"",CE$3='Bonding Program'!$P$46,CE$3&lt;='Bonding Program'!$C$8),N('Bonding Program'!$O$46),0)</f>
        <v>0</v>
      </c>
      <c r="CF187" s="19" t="n">
        <f aca="false">IF(AND('Bonding Program'!$S$46=1,'Bonding Program'!$H$46&gt;'Bonding Program'!$C$8,CF$3='Bonding Program'!$H$46),'Bonding Program'!$T$46-'Bonding Program'!$U$46-'Bonding Program'!$Z$46,0)-IF(AND('Bonding Program'!$S$46=1,'Bonding Program'!$H$46&lt;='Bonding Program'!$C$8,CF$3=IF('Bonding Program'!$P$46&lt;&gt;"",'Bonding Program'!$P$46,'Bonding Program'!$C$8)),'Bonding Program'!$Z$46,0)+IF(AND('Bonding Program'!$P$46&lt;&gt;"",CF$3='Bonding Program'!$P$46,CF$3&lt;='Bonding Program'!$C$8),N('Bonding Program'!$O$46),0)</f>
        <v>0</v>
      </c>
      <c r="CG187" s="19" t="n">
        <f aca="false">IF(AND('Bonding Program'!$S$46=1,'Bonding Program'!$H$46&gt;'Bonding Program'!$C$8,CG$3='Bonding Program'!$H$46),'Bonding Program'!$T$46-'Bonding Program'!$U$46-'Bonding Program'!$Z$46,0)-IF(AND('Bonding Program'!$S$46=1,'Bonding Program'!$H$46&lt;='Bonding Program'!$C$8,CG$3=IF('Bonding Program'!$P$46&lt;&gt;"",'Bonding Program'!$P$46,'Bonding Program'!$C$8)),'Bonding Program'!$Z$46,0)+IF(AND('Bonding Program'!$P$46&lt;&gt;"",CG$3='Bonding Program'!$P$46,CG$3&lt;='Bonding Program'!$C$8),N('Bonding Program'!$O$46),0)</f>
        <v>0</v>
      </c>
      <c r="CH187" s="19" t="n">
        <f aca="false">IF(AND('Bonding Program'!$S$46=1,'Bonding Program'!$H$46&gt;'Bonding Program'!$C$8,CH$3='Bonding Program'!$H$46),'Bonding Program'!$T$46-'Bonding Program'!$U$46-'Bonding Program'!$Z$46,0)-IF(AND('Bonding Program'!$S$46=1,'Bonding Program'!$H$46&lt;='Bonding Program'!$C$8,CH$3=IF('Bonding Program'!$P$46&lt;&gt;"",'Bonding Program'!$P$46,'Bonding Program'!$C$8)),'Bonding Program'!$Z$46,0)+IF(AND('Bonding Program'!$P$46&lt;&gt;"",CH$3='Bonding Program'!$P$46,CH$3&lt;='Bonding Program'!$C$8),N('Bonding Program'!$O$46),0)</f>
        <v>0</v>
      </c>
      <c r="CI187" s="19" t="n">
        <f aca="false">IF(AND('Bonding Program'!$S$46=1,'Bonding Program'!$H$46&gt;'Bonding Program'!$C$8,CI$3='Bonding Program'!$H$46),'Bonding Program'!$T$46-'Bonding Program'!$U$46-'Bonding Program'!$Z$46,0)-IF(AND('Bonding Program'!$S$46=1,'Bonding Program'!$H$46&lt;='Bonding Program'!$C$8,CI$3=IF('Bonding Program'!$P$46&lt;&gt;"",'Bonding Program'!$P$46,'Bonding Program'!$C$8)),'Bonding Program'!$Z$46,0)+IF(AND('Bonding Program'!$P$46&lt;&gt;"",CI$3='Bonding Program'!$P$46,CI$3&lt;='Bonding Program'!$C$8),N('Bonding Program'!$O$46),0)</f>
        <v>0</v>
      </c>
      <c r="CJ187" s="19" t="n">
        <f aca="false">IF(AND('Bonding Program'!$S$46=1,'Bonding Program'!$H$46&gt;'Bonding Program'!$C$8,CJ$3='Bonding Program'!$H$46),'Bonding Program'!$T$46-'Bonding Program'!$U$46-'Bonding Program'!$Z$46,0)-IF(AND('Bonding Program'!$S$46=1,'Bonding Program'!$H$46&lt;='Bonding Program'!$C$8,CJ$3=IF('Bonding Program'!$P$46&lt;&gt;"",'Bonding Program'!$P$46,'Bonding Program'!$C$8)),'Bonding Program'!$Z$46,0)+IF(AND('Bonding Program'!$P$46&lt;&gt;"",CJ$3='Bonding Program'!$P$46,CJ$3&lt;='Bonding Program'!$C$8),N('Bonding Program'!$O$46),0)</f>
        <v>0</v>
      </c>
      <c r="CK187" s="19" t="n">
        <f aca="false">IF(AND('Bonding Program'!$S$46=1,'Bonding Program'!$H$46&gt;'Bonding Program'!$C$8,CK$3='Bonding Program'!$H$46),'Bonding Program'!$T$46-'Bonding Program'!$U$46-'Bonding Program'!$Z$46,0)-IF(AND('Bonding Program'!$S$46=1,'Bonding Program'!$H$46&lt;='Bonding Program'!$C$8,CK$3=IF('Bonding Program'!$P$46&lt;&gt;"",'Bonding Program'!$P$46,'Bonding Program'!$C$8)),'Bonding Program'!$Z$46,0)+IF(AND('Bonding Program'!$P$46&lt;&gt;"",CK$3='Bonding Program'!$P$46,CK$3&lt;='Bonding Program'!$C$8),N('Bonding Program'!$O$46),0)</f>
        <v>0</v>
      </c>
      <c r="CL187" s="19" t="n">
        <f aca="false">IF(AND('Bonding Program'!$S$46=1,'Bonding Program'!$H$46&gt;'Bonding Program'!$C$8,CL$3='Bonding Program'!$H$46),'Bonding Program'!$T$46-'Bonding Program'!$U$46-'Bonding Program'!$Z$46,0)-IF(AND('Bonding Program'!$S$46=1,'Bonding Program'!$H$46&lt;='Bonding Program'!$C$8,CL$3=IF('Bonding Program'!$P$46&lt;&gt;"",'Bonding Program'!$P$46,'Bonding Program'!$C$8)),'Bonding Program'!$Z$46,0)+IF(AND('Bonding Program'!$P$46&lt;&gt;"",CL$3='Bonding Program'!$P$46,CL$3&lt;='Bonding Program'!$C$8),N('Bonding Program'!$O$46),0)</f>
        <v>0</v>
      </c>
      <c r="CM187" s="19" t="n">
        <f aca="false">IF(AND('Bonding Program'!$S$46=1,'Bonding Program'!$H$46&gt;'Bonding Program'!$C$8,CM$3='Bonding Program'!$H$46),'Bonding Program'!$T$46-'Bonding Program'!$U$46-'Bonding Program'!$Z$46,0)-IF(AND('Bonding Program'!$S$46=1,'Bonding Program'!$H$46&lt;='Bonding Program'!$C$8,CM$3=IF('Bonding Program'!$P$46&lt;&gt;"",'Bonding Program'!$P$46,'Bonding Program'!$C$8)),'Bonding Program'!$Z$46,0)+IF(AND('Bonding Program'!$P$46&lt;&gt;"",CM$3='Bonding Program'!$P$46,CM$3&lt;='Bonding Program'!$C$8),N('Bonding Program'!$O$46),0)</f>
        <v>0</v>
      </c>
      <c r="CN187" s="19" t="n">
        <f aca="false">IF(AND('Bonding Program'!$S$46=1,'Bonding Program'!$H$46&gt;'Bonding Program'!$C$8,CN$3='Bonding Program'!$H$46),'Bonding Program'!$T$46-'Bonding Program'!$U$46-'Bonding Program'!$Z$46,0)-IF(AND('Bonding Program'!$S$46=1,'Bonding Program'!$H$46&lt;='Bonding Program'!$C$8,CN$3=IF('Bonding Program'!$P$46&lt;&gt;"",'Bonding Program'!$P$46,'Bonding Program'!$C$8)),'Bonding Program'!$Z$46,0)+IF(AND('Bonding Program'!$P$46&lt;&gt;"",CN$3='Bonding Program'!$P$46,CN$3&lt;='Bonding Program'!$C$8),N('Bonding Program'!$O$46),0)</f>
        <v>0</v>
      </c>
      <c r="CO187" s="19" t="n">
        <f aca="false">IF(AND('Bonding Program'!$S$46=1,'Bonding Program'!$H$46&gt;'Bonding Program'!$C$8,CO$3='Bonding Program'!$H$46),'Bonding Program'!$T$46-'Bonding Program'!$U$46-'Bonding Program'!$Z$46,0)-IF(AND('Bonding Program'!$S$46=1,'Bonding Program'!$H$46&lt;='Bonding Program'!$C$8,CO$3=IF('Bonding Program'!$P$46&lt;&gt;"",'Bonding Program'!$P$46,'Bonding Program'!$C$8)),'Bonding Program'!$Z$46,0)+IF(AND('Bonding Program'!$P$46&lt;&gt;"",CO$3='Bonding Program'!$P$46,CO$3&lt;='Bonding Program'!$C$8),N('Bonding Program'!$O$46),0)</f>
        <v>0</v>
      </c>
      <c r="CP187" s="19" t="n">
        <f aca="false">IF(AND('Bonding Program'!$S$46=1,'Bonding Program'!$H$46&gt;'Bonding Program'!$C$8,CP$3='Bonding Program'!$H$46),'Bonding Program'!$T$46-'Bonding Program'!$U$46-'Bonding Program'!$Z$46,0)-IF(AND('Bonding Program'!$S$46=1,'Bonding Program'!$H$46&lt;='Bonding Program'!$C$8,CP$3=IF('Bonding Program'!$P$46&lt;&gt;"",'Bonding Program'!$P$46,'Bonding Program'!$C$8)),'Bonding Program'!$Z$46,0)+IF(AND('Bonding Program'!$P$46&lt;&gt;"",CP$3='Bonding Program'!$P$46,CP$3&lt;='Bonding Program'!$C$8),N('Bonding Program'!$O$46),0)</f>
        <v>0</v>
      </c>
      <c r="CQ187" s="19" t="n">
        <f aca="false">IF(AND('Bonding Program'!$S$46=1,'Bonding Program'!$H$46&gt;'Bonding Program'!$C$8,CQ$3='Bonding Program'!$H$46),'Bonding Program'!$T$46-'Bonding Program'!$U$46-'Bonding Program'!$Z$46,0)-IF(AND('Bonding Program'!$S$46=1,'Bonding Program'!$H$46&lt;='Bonding Program'!$C$8,CQ$3=IF('Bonding Program'!$P$46&lt;&gt;"",'Bonding Program'!$P$46,'Bonding Program'!$C$8)),'Bonding Program'!$Z$46,0)+IF(AND('Bonding Program'!$P$46&lt;&gt;"",CQ$3='Bonding Program'!$P$46,CQ$3&lt;='Bonding Program'!$C$8),N('Bonding Program'!$O$46),0)</f>
        <v>0</v>
      </c>
      <c r="CR187" s="19" t="n">
        <f aca="false">IF(AND('Bonding Program'!$S$46=1,'Bonding Program'!$H$46&gt;'Bonding Program'!$C$8,CR$3='Bonding Program'!$H$46),'Bonding Program'!$T$46-'Bonding Program'!$U$46-'Bonding Program'!$Z$46,0)-IF(AND('Bonding Program'!$S$46=1,'Bonding Program'!$H$46&lt;='Bonding Program'!$C$8,CR$3=IF('Bonding Program'!$P$46&lt;&gt;"",'Bonding Program'!$P$46,'Bonding Program'!$C$8)),'Bonding Program'!$Z$46,0)+IF(AND('Bonding Program'!$P$46&lt;&gt;"",CR$3='Bonding Program'!$P$46,CR$3&lt;='Bonding Program'!$C$8),N('Bonding Program'!$O$46),0)</f>
        <v>0</v>
      </c>
      <c r="CS187" s="19" t="n">
        <f aca="false">IF(AND('Bonding Program'!$S$46=1,'Bonding Program'!$H$46&gt;'Bonding Program'!$C$8,CS$3='Bonding Program'!$H$46),'Bonding Program'!$T$46-'Bonding Program'!$U$46-'Bonding Program'!$Z$46,0)-IF(AND('Bonding Program'!$S$46=1,'Bonding Program'!$H$46&lt;='Bonding Program'!$C$8,CS$3=IF('Bonding Program'!$P$46&lt;&gt;"",'Bonding Program'!$P$46,'Bonding Program'!$C$8)),'Bonding Program'!$Z$46,0)+IF(AND('Bonding Program'!$P$46&lt;&gt;"",CS$3='Bonding Program'!$P$46,CS$3&lt;='Bonding Program'!$C$8),N('Bonding Program'!$O$46),0)</f>
        <v>0</v>
      </c>
      <c r="CT187" s="19" t="n">
        <f aca="false">IF(AND('Bonding Program'!$S$46=1,'Bonding Program'!$H$46&gt;'Bonding Program'!$C$8,CT$3='Bonding Program'!$H$46),'Bonding Program'!$T$46-'Bonding Program'!$U$46-'Bonding Program'!$Z$46,0)-IF(AND('Bonding Program'!$S$46=1,'Bonding Program'!$H$46&lt;='Bonding Program'!$C$8,CT$3=IF('Bonding Program'!$P$46&lt;&gt;"",'Bonding Program'!$P$46,'Bonding Program'!$C$8)),'Bonding Program'!$Z$46,0)+IF(AND('Bonding Program'!$P$46&lt;&gt;"",CT$3='Bonding Program'!$P$46,CT$3&lt;='Bonding Program'!$C$8),N('Bonding Program'!$O$46),0)</f>
        <v>0</v>
      </c>
      <c r="CU187" s="19" t="n">
        <f aca="false">IF(AND('Bonding Program'!$S$46=1,'Bonding Program'!$H$46&gt;'Bonding Program'!$C$8,CU$3='Bonding Program'!$H$46),'Bonding Program'!$T$46-'Bonding Program'!$U$46-'Bonding Program'!$Z$46,0)-IF(AND('Bonding Program'!$S$46=1,'Bonding Program'!$H$46&lt;='Bonding Program'!$C$8,CU$3=IF('Bonding Program'!$P$46&lt;&gt;"",'Bonding Program'!$P$46,'Bonding Program'!$C$8)),'Bonding Program'!$Z$46,0)+IF(AND('Bonding Program'!$P$46&lt;&gt;"",CU$3='Bonding Program'!$P$46,CU$3&lt;='Bonding Program'!$C$8),N('Bonding Program'!$O$46),0)</f>
        <v>0</v>
      </c>
      <c r="CV187" s="19" t="n">
        <f aca="false">IF(AND('Bonding Program'!$S$46=1,'Bonding Program'!$H$46&gt;'Bonding Program'!$C$8,CV$3='Bonding Program'!$H$46),'Bonding Program'!$T$46-'Bonding Program'!$U$46-'Bonding Program'!$Z$46,0)-IF(AND('Bonding Program'!$S$46=1,'Bonding Program'!$H$46&lt;='Bonding Program'!$C$8,CV$3=IF('Bonding Program'!$P$46&lt;&gt;"",'Bonding Program'!$P$46,'Bonding Program'!$C$8)),'Bonding Program'!$Z$46,0)+IF(AND('Bonding Program'!$P$46&lt;&gt;"",CV$3='Bonding Program'!$P$46,CV$3&lt;='Bonding Program'!$C$8),N('Bonding Program'!$O$46),0)</f>
        <v>0</v>
      </c>
      <c r="CW187" s="19" t="n">
        <f aca="false">IF(AND('Bonding Program'!$S$46=1,'Bonding Program'!$H$46&gt;'Bonding Program'!$C$8,CW$3='Bonding Program'!$H$46),'Bonding Program'!$T$46-'Bonding Program'!$U$46-'Bonding Program'!$Z$46,0)-IF(AND('Bonding Program'!$S$46=1,'Bonding Program'!$H$46&lt;='Bonding Program'!$C$8,CW$3=IF('Bonding Program'!$P$46&lt;&gt;"",'Bonding Program'!$P$46,'Bonding Program'!$C$8)),'Bonding Program'!$Z$46,0)+IF(AND('Bonding Program'!$P$46&lt;&gt;"",CW$3='Bonding Program'!$P$46,CW$3&lt;='Bonding Program'!$C$8),N('Bonding Program'!$O$46),0)</f>
        <v>0</v>
      </c>
      <c r="CX187" s="19" t="n">
        <f aca="false">IF(AND('Bonding Program'!$S$46=1,'Bonding Program'!$H$46&gt;'Bonding Program'!$C$8,CX$3='Bonding Program'!$H$46),'Bonding Program'!$T$46-'Bonding Program'!$U$46-'Bonding Program'!$Z$46,0)-IF(AND('Bonding Program'!$S$46=1,'Bonding Program'!$H$46&lt;='Bonding Program'!$C$8,CX$3=IF('Bonding Program'!$P$46&lt;&gt;"",'Bonding Program'!$P$46,'Bonding Program'!$C$8)),'Bonding Program'!$Z$46,0)+IF(AND('Bonding Program'!$P$46&lt;&gt;"",CX$3='Bonding Program'!$P$46,CX$3&lt;='Bonding Program'!$C$8),N('Bonding Program'!$O$46),0)</f>
        <v>0</v>
      </c>
      <c r="CY187" s="19" t="n">
        <f aca="false">IF(AND('Bonding Program'!$S$46=1,'Bonding Program'!$H$46&gt;'Bonding Program'!$C$8,CY$3='Bonding Program'!$H$46),'Bonding Program'!$T$46-'Bonding Program'!$U$46-'Bonding Program'!$Z$46,0)-IF(AND('Bonding Program'!$S$46=1,'Bonding Program'!$H$46&lt;='Bonding Program'!$C$8,CY$3=IF('Bonding Program'!$P$46&lt;&gt;"",'Bonding Program'!$P$46,'Bonding Program'!$C$8)),'Bonding Program'!$Z$46,0)+IF(AND('Bonding Program'!$P$46&lt;&gt;"",CY$3='Bonding Program'!$P$46,CY$3&lt;='Bonding Program'!$C$8),N('Bonding Program'!$O$46),0)</f>
        <v>0</v>
      </c>
      <c r="CZ187" s="19" t="n">
        <f aca="false">IF(AND('Bonding Program'!$S$46=1,'Bonding Program'!$H$46&gt;'Bonding Program'!$C$8,CZ$3='Bonding Program'!$H$46),'Bonding Program'!$T$46-'Bonding Program'!$U$46-'Bonding Program'!$Z$46,0)-IF(AND('Bonding Program'!$S$46=1,'Bonding Program'!$H$46&lt;='Bonding Program'!$C$8,CZ$3=IF('Bonding Program'!$P$46&lt;&gt;"",'Bonding Program'!$P$46,'Bonding Program'!$C$8)),'Bonding Program'!$Z$46,0)+IF(AND('Bonding Program'!$P$46&lt;&gt;"",CZ$3='Bonding Program'!$P$46,CZ$3&lt;='Bonding Program'!$C$8),N('Bonding Program'!$O$46),0)</f>
        <v>0</v>
      </c>
      <c r="DA187" s="19" t="n">
        <f aca="false">IF(AND('Bonding Program'!$S$46=1,'Bonding Program'!$H$46&gt;'Bonding Program'!$C$8,DA$3='Bonding Program'!$H$46),'Bonding Program'!$T$46-'Bonding Program'!$U$46-'Bonding Program'!$Z$46,0)-IF(AND('Bonding Program'!$S$46=1,'Bonding Program'!$H$46&lt;='Bonding Program'!$C$8,DA$3=IF('Bonding Program'!$P$46&lt;&gt;"",'Bonding Program'!$P$46,'Bonding Program'!$C$8)),'Bonding Program'!$Z$46,0)+IF(AND('Bonding Program'!$P$46&lt;&gt;"",DA$3='Bonding Program'!$P$46,DA$3&lt;='Bonding Program'!$C$8),N('Bonding Program'!$O$46),0)</f>
        <v>0</v>
      </c>
      <c r="DB187" s="19" t="n">
        <f aca="false">IF(AND('Bonding Program'!$S$46=1,'Bonding Program'!$H$46&gt;'Bonding Program'!$C$8,DB$3='Bonding Program'!$H$46),'Bonding Program'!$T$46-'Bonding Program'!$U$46-'Bonding Program'!$Z$46,0)-IF(AND('Bonding Program'!$S$46=1,'Bonding Program'!$H$46&lt;='Bonding Program'!$C$8,DB$3=IF('Bonding Program'!$P$46&lt;&gt;"",'Bonding Program'!$P$46,'Bonding Program'!$C$8)),'Bonding Program'!$Z$46,0)+IF(AND('Bonding Program'!$P$46&lt;&gt;"",DB$3='Bonding Program'!$P$46,DB$3&lt;='Bonding Program'!$C$8),N('Bonding Program'!$O$46),0)</f>
        <v>0</v>
      </c>
      <c r="DC187" s="19" t="n">
        <f aca="false">IF(AND('Bonding Program'!$S$46=1,'Bonding Program'!$H$46&gt;'Bonding Program'!$C$8,DC$3='Bonding Program'!$H$46),'Bonding Program'!$T$46-'Bonding Program'!$U$46-'Bonding Program'!$Z$46,0)-IF(AND('Bonding Program'!$S$46=1,'Bonding Program'!$H$46&lt;='Bonding Program'!$C$8,DC$3=IF('Bonding Program'!$P$46&lt;&gt;"",'Bonding Program'!$P$46,'Bonding Program'!$C$8)),'Bonding Program'!$Z$46,0)+IF(AND('Bonding Program'!$P$46&lt;&gt;"",DC$3='Bonding Program'!$P$46,DC$3&lt;='Bonding Program'!$C$8),N('Bonding Program'!$O$46),0)</f>
        <v>0</v>
      </c>
      <c r="DD187" s="19" t="n">
        <f aca="false">IF(AND('Bonding Program'!$S$46=1,'Bonding Program'!$H$46&gt;'Bonding Program'!$C$8,DD$3='Bonding Program'!$H$46),'Bonding Program'!$T$46-'Bonding Program'!$U$46-'Bonding Program'!$Z$46,0)-IF(AND('Bonding Program'!$S$46=1,'Bonding Program'!$H$46&lt;='Bonding Program'!$C$8,DD$3=IF('Bonding Program'!$P$46&lt;&gt;"",'Bonding Program'!$P$46,'Bonding Program'!$C$8)),'Bonding Program'!$Z$46,0)+IF(AND('Bonding Program'!$P$46&lt;&gt;"",DD$3='Bonding Program'!$P$46,DD$3&lt;='Bonding Program'!$C$8),N('Bonding Program'!$O$46),0)</f>
        <v>0</v>
      </c>
      <c r="DE187" s="19" t="n">
        <f aca="false">IF(AND('Bonding Program'!$S$46=1,'Bonding Program'!$H$46&gt;'Bonding Program'!$C$8,DE$3='Bonding Program'!$H$46),'Bonding Program'!$T$46-'Bonding Program'!$U$46-'Bonding Program'!$Z$46,0)-IF(AND('Bonding Program'!$S$46=1,'Bonding Program'!$H$46&lt;='Bonding Program'!$C$8,DE$3=IF('Bonding Program'!$P$46&lt;&gt;"",'Bonding Program'!$P$46,'Bonding Program'!$C$8)),'Bonding Program'!$Z$46,0)+IF(AND('Bonding Program'!$P$46&lt;&gt;"",DE$3='Bonding Program'!$P$46,DE$3&lt;='Bonding Program'!$C$8),N('Bonding Program'!$O$46),0)</f>
        <v>0</v>
      </c>
    </row>
    <row r="188" customFormat="false" ht="15" hidden="false" customHeight="true" outlineLevel="1" collapsed="false">
      <c r="A188" s="28" t="s">
        <v>43</v>
      </c>
      <c r="B188" s="19" t="n">
        <f aca="false">IF(AND('Bonding Program'!$S$47=1,'Bonding Program'!$H$47&gt;'Bonding Program'!$C$8,B$3='Bonding Program'!$H$47),'Bonding Program'!$T$47-'Bonding Program'!$U$47-'Bonding Program'!$Z$47,0)-IF(AND('Bonding Program'!$S$47=1,'Bonding Program'!$H$47&lt;='Bonding Program'!$C$8,B$3=IF('Bonding Program'!$P$47&lt;&gt;"",'Bonding Program'!$P$47,'Bonding Program'!$C$8)),'Bonding Program'!$Z$47,0)+IF(AND('Bonding Program'!$P$47&lt;&gt;"",B$3='Bonding Program'!$P$47,B$3&lt;='Bonding Program'!$C$8),N('Bonding Program'!$O$47),0)</f>
        <v>0</v>
      </c>
      <c r="C188" s="19" t="n">
        <f aca="false">IF(AND('Bonding Program'!$S$47=1,'Bonding Program'!$H$47&gt;'Bonding Program'!$C$8,C$3='Bonding Program'!$H$47),'Bonding Program'!$T$47-'Bonding Program'!$U$47-'Bonding Program'!$Z$47,0)-IF(AND('Bonding Program'!$S$47=1,'Bonding Program'!$H$47&lt;='Bonding Program'!$C$8,C$3=IF('Bonding Program'!$P$47&lt;&gt;"",'Bonding Program'!$P$47,'Bonding Program'!$C$8)),'Bonding Program'!$Z$47,0)+IF(AND('Bonding Program'!$P$47&lt;&gt;"",C$3='Bonding Program'!$P$47,C$3&lt;='Bonding Program'!$C$8),N('Bonding Program'!$O$47),0)</f>
        <v>0</v>
      </c>
      <c r="D188" s="19" t="n">
        <f aca="false">IF(AND('Bonding Program'!$S$47=1,'Bonding Program'!$H$47&gt;'Bonding Program'!$C$8,D$3='Bonding Program'!$H$47),'Bonding Program'!$T$47-'Bonding Program'!$U$47-'Bonding Program'!$Z$47,0)-IF(AND('Bonding Program'!$S$47=1,'Bonding Program'!$H$47&lt;='Bonding Program'!$C$8,D$3=IF('Bonding Program'!$P$47&lt;&gt;"",'Bonding Program'!$P$47,'Bonding Program'!$C$8)),'Bonding Program'!$Z$47,0)+IF(AND('Bonding Program'!$P$47&lt;&gt;"",D$3='Bonding Program'!$P$47,D$3&lt;='Bonding Program'!$C$8),N('Bonding Program'!$O$47),0)</f>
        <v>0</v>
      </c>
      <c r="E188" s="19" t="n">
        <f aca="false">IF(AND('Bonding Program'!$S$47=1,'Bonding Program'!$H$47&gt;'Bonding Program'!$C$8,E$3='Bonding Program'!$H$47),'Bonding Program'!$T$47-'Bonding Program'!$U$47-'Bonding Program'!$Z$47,0)-IF(AND('Bonding Program'!$S$47=1,'Bonding Program'!$H$47&lt;='Bonding Program'!$C$8,E$3=IF('Bonding Program'!$P$47&lt;&gt;"",'Bonding Program'!$P$47,'Bonding Program'!$C$8)),'Bonding Program'!$Z$47,0)+IF(AND('Bonding Program'!$P$47&lt;&gt;"",E$3='Bonding Program'!$P$47,E$3&lt;='Bonding Program'!$C$8),N('Bonding Program'!$O$47),0)</f>
        <v>0</v>
      </c>
      <c r="F188" s="19" t="n">
        <f aca="false">IF(AND('Bonding Program'!$S$47=1,'Bonding Program'!$H$47&gt;'Bonding Program'!$C$8,F$3='Bonding Program'!$H$47),'Bonding Program'!$T$47-'Bonding Program'!$U$47-'Bonding Program'!$Z$47,0)-IF(AND('Bonding Program'!$S$47=1,'Bonding Program'!$H$47&lt;='Bonding Program'!$C$8,F$3=IF('Bonding Program'!$P$47&lt;&gt;"",'Bonding Program'!$P$47,'Bonding Program'!$C$8)),'Bonding Program'!$Z$47,0)+IF(AND('Bonding Program'!$P$47&lt;&gt;"",F$3='Bonding Program'!$P$47,F$3&lt;='Bonding Program'!$C$8),N('Bonding Program'!$O$47),0)</f>
        <v>0</v>
      </c>
      <c r="G188" s="19" t="n">
        <f aca="false">IF(AND('Bonding Program'!$S$47=1,'Bonding Program'!$H$47&gt;'Bonding Program'!$C$8,G$3='Bonding Program'!$H$47),'Bonding Program'!$T$47-'Bonding Program'!$U$47-'Bonding Program'!$Z$47,0)-IF(AND('Bonding Program'!$S$47=1,'Bonding Program'!$H$47&lt;='Bonding Program'!$C$8,G$3=IF('Bonding Program'!$P$47&lt;&gt;"",'Bonding Program'!$P$47,'Bonding Program'!$C$8)),'Bonding Program'!$Z$47,0)+IF(AND('Bonding Program'!$P$47&lt;&gt;"",G$3='Bonding Program'!$P$47,G$3&lt;='Bonding Program'!$C$8),N('Bonding Program'!$O$47),0)</f>
        <v>0</v>
      </c>
      <c r="H188" s="19" t="n">
        <f aca="false">IF(AND('Bonding Program'!$S$47=1,'Bonding Program'!$H$47&gt;'Bonding Program'!$C$8,H$3='Bonding Program'!$H$47),'Bonding Program'!$T$47-'Bonding Program'!$U$47-'Bonding Program'!$Z$47,0)-IF(AND('Bonding Program'!$S$47=1,'Bonding Program'!$H$47&lt;='Bonding Program'!$C$8,H$3=IF('Bonding Program'!$P$47&lt;&gt;"",'Bonding Program'!$P$47,'Bonding Program'!$C$8)),'Bonding Program'!$Z$47,0)+IF(AND('Bonding Program'!$P$47&lt;&gt;"",H$3='Bonding Program'!$P$47,H$3&lt;='Bonding Program'!$C$8),N('Bonding Program'!$O$47),0)</f>
        <v>0</v>
      </c>
      <c r="I188" s="19" t="n">
        <f aca="false">IF(AND('Bonding Program'!$S$47=1,'Bonding Program'!$H$47&gt;'Bonding Program'!$C$8,I$3='Bonding Program'!$H$47),'Bonding Program'!$T$47-'Bonding Program'!$U$47-'Bonding Program'!$Z$47,0)-IF(AND('Bonding Program'!$S$47=1,'Bonding Program'!$H$47&lt;='Bonding Program'!$C$8,I$3=IF('Bonding Program'!$P$47&lt;&gt;"",'Bonding Program'!$P$47,'Bonding Program'!$C$8)),'Bonding Program'!$Z$47,0)+IF(AND('Bonding Program'!$P$47&lt;&gt;"",I$3='Bonding Program'!$P$47,I$3&lt;='Bonding Program'!$C$8),N('Bonding Program'!$O$47),0)</f>
        <v>0</v>
      </c>
      <c r="J188" s="19" t="n">
        <f aca="false">IF(AND('Bonding Program'!$S$47=1,'Bonding Program'!$H$47&gt;'Bonding Program'!$C$8,J$3='Bonding Program'!$H$47),'Bonding Program'!$T$47-'Bonding Program'!$U$47-'Bonding Program'!$Z$47,0)-IF(AND('Bonding Program'!$S$47=1,'Bonding Program'!$H$47&lt;='Bonding Program'!$C$8,J$3=IF('Bonding Program'!$P$47&lt;&gt;"",'Bonding Program'!$P$47,'Bonding Program'!$C$8)),'Bonding Program'!$Z$47,0)+IF(AND('Bonding Program'!$P$47&lt;&gt;"",J$3='Bonding Program'!$P$47,J$3&lt;='Bonding Program'!$C$8),N('Bonding Program'!$O$47),0)</f>
        <v>0</v>
      </c>
      <c r="K188" s="19" t="n">
        <f aca="false">IF(AND('Bonding Program'!$S$47=1,'Bonding Program'!$H$47&gt;'Bonding Program'!$C$8,K$3='Bonding Program'!$H$47),'Bonding Program'!$T$47-'Bonding Program'!$U$47-'Bonding Program'!$Z$47,0)-IF(AND('Bonding Program'!$S$47=1,'Bonding Program'!$H$47&lt;='Bonding Program'!$C$8,K$3=IF('Bonding Program'!$P$47&lt;&gt;"",'Bonding Program'!$P$47,'Bonding Program'!$C$8)),'Bonding Program'!$Z$47,0)+IF(AND('Bonding Program'!$P$47&lt;&gt;"",K$3='Bonding Program'!$P$47,K$3&lt;='Bonding Program'!$C$8),N('Bonding Program'!$O$47),0)</f>
        <v>0</v>
      </c>
      <c r="L188" s="19" t="n">
        <f aca="false">IF(AND('Bonding Program'!$S$47=1,'Bonding Program'!$H$47&gt;'Bonding Program'!$C$8,L$3='Bonding Program'!$H$47),'Bonding Program'!$T$47-'Bonding Program'!$U$47-'Bonding Program'!$Z$47,0)-IF(AND('Bonding Program'!$S$47=1,'Bonding Program'!$H$47&lt;='Bonding Program'!$C$8,L$3=IF('Bonding Program'!$P$47&lt;&gt;"",'Bonding Program'!$P$47,'Bonding Program'!$C$8)),'Bonding Program'!$Z$47,0)+IF(AND('Bonding Program'!$P$47&lt;&gt;"",L$3='Bonding Program'!$P$47,L$3&lt;='Bonding Program'!$C$8),N('Bonding Program'!$O$47),0)</f>
        <v>0</v>
      </c>
      <c r="M188" s="19" t="n">
        <f aca="false">IF(AND('Bonding Program'!$S$47=1,'Bonding Program'!$H$47&gt;'Bonding Program'!$C$8,M$3='Bonding Program'!$H$47),'Bonding Program'!$T$47-'Bonding Program'!$U$47-'Bonding Program'!$Z$47,0)-IF(AND('Bonding Program'!$S$47=1,'Bonding Program'!$H$47&lt;='Bonding Program'!$C$8,M$3=IF('Bonding Program'!$P$47&lt;&gt;"",'Bonding Program'!$P$47,'Bonding Program'!$C$8)),'Bonding Program'!$Z$47,0)+IF(AND('Bonding Program'!$P$47&lt;&gt;"",M$3='Bonding Program'!$P$47,M$3&lt;='Bonding Program'!$C$8),N('Bonding Program'!$O$47),0)</f>
        <v>0</v>
      </c>
      <c r="N188" s="19" t="n">
        <f aca="false">IF(AND('Bonding Program'!$S$47=1,'Bonding Program'!$H$47&gt;'Bonding Program'!$C$8,N$3='Bonding Program'!$H$47),'Bonding Program'!$T$47-'Bonding Program'!$U$47-'Bonding Program'!$Z$47,0)-IF(AND('Bonding Program'!$S$47=1,'Bonding Program'!$H$47&lt;='Bonding Program'!$C$8,N$3=IF('Bonding Program'!$P$47&lt;&gt;"",'Bonding Program'!$P$47,'Bonding Program'!$C$8)),'Bonding Program'!$Z$47,0)+IF(AND('Bonding Program'!$P$47&lt;&gt;"",N$3='Bonding Program'!$P$47,N$3&lt;='Bonding Program'!$C$8),N('Bonding Program'!$O$47),0)</f>
        <v>0</v>
      </c>
      <c r="O188" s="19" t="n">
        <f aca="false">IF(AND('Bonding Program'!$S$47=1,'Bonding Program'!$H$47&gt;'Bonding Program'!$C$8,O$3='Bonding Program'!$H$47),'Bonding Program'!$T$47-'Bonding Program'!$U$47-'Bonding Program'!$Z$47,0)-IF(AND('Bonding Program'!$S$47=1,'Bonding Program'!$H$47&lt;='Bonding Program'!$C$8,O$3=IF('Bonding Program'!$P$47&lt;&gt;"",'Bonding Program'!$P$47,'Bonding Program'!$C$8)),'Bonding Program'!$Z$47,0)+IF(AND('Bonding Program'!$P$47&lt;&gt;"",O$3='Bonding Program'!$P$47,O$3&lt;='Bonding Program'!$C$8),N('Bonding Program'!$O$47),0)</f>
        <v>0</v>
      </c>
      <c r="P188" s="19" t="n">
        <f aca="false">IF(AND('Bonding Program'!$S$47=1,'Bonding Program'!$H$47&gt;'Bonding Program'!$C$8,P$3='Bonding Program'!$H$47),'Bonding Program'!$T$47-'Bonding Program'!$U$47-'Bonding Program'!$Z$47,0)-IF(AND('Bonding Program'!$S$47=1,'Bonding Program'!$H$47&lt;='Bonding Program'!$C$8,P$3=IF('Bonding Program'!$P$47&lt;&gt;"",'Bonding Program'!$P$47,'Bonding Program'!$C$8)),'Bonding Program'!$Z$47,0)+IF(AND('Bonding Program'!$P$47&lt;&gt;"",P$3='Bonding Program'!$P$47,P$3&lt;='Bonding Program'!$C$8),N('Bonding Program'!$O$47),0)</f>
        <v>0</v>
      </c>
      <c r="Q188" s="19" t="n">
        <f aca="false">IF(AND('Bonding Program'!$S$47=1,'Bonding Program'!$H$47&gt;'Bonding Program'!$C$8,Q$3='Bonding Program'!$H$47),'Bonding Program'!$T$47-'Bonding Program'!$U$47-'Bonding Program'!$Z$47,0)-IF(AND('Bonding Program'!$S$47=1,'Bonding Program'!$H$47&lt;='Bonding Program'!$C$8,Q$3=IF('Bonding Program'!$P$47&lt;&gt;"",'Bonding Program'!$P$47,'Bonding Program'!$C$8)),'Bonding Program'!$Z$47,0)+IF(AND('Bonding Program'!$P$47&lt;&gt;"",Q$3='Bonding Program'!$P$47,Q$3&lt;='Bonding Program'!$C$8),N('Bonding Program'!$O$47),0)</f>
        <v>0</v>
      </c>
      <c r="R188" s="19" t="n">
        <f aca="false">IF(AND('Bonding Program'!$S$47=1,'Bonding Program'!$H$47&gt;'Bonding Program'!$C$8,R$3='Bonding Program'!$H$47),'Bonding Program'!$T$47-'Bonding Program'!$U$47-'Bonding Program'!$Z$47,0)-IF(AND('Bonding Program'!$S$47=1,'Bonding Program'!$H$47&lt;='Bonding Program'!$C$8,R$3=IF('Bonding Program'!$P$47&lt;&gt;"",'Bonding Program'!$P$47,'Bonding Program'!$C$8)),'Bonding Program'!$Z$47,0)+IF(AND('Bonding Program'!$P$47&lt;&gt;"",R$3='Bonding Program'!$P$47,R$3&lt;='Bonding Program'!$C$8),N('Bonding Program'!$O$47),0)</f>
        <v>0</v>
      </c>
      <c r="S188" s="19" t="n">
        <f aca="false">IF(AND('Bonding Program'!$S$47=1,'Bonding Program'!$H$47&gt;'Bonding Program'!$C$8,S$3='Bonding Program'!$H$47),'Bonding Program'!$T$47-'Bonding Program'!$U$47-'Bonding Program'!$Z$47,0)-IF(AND('Bonding Program'!$S$47=1,'Bonding Program'!$H$47&lt;='Bonding Program'!$C$8,S$3=IF('Bonding Program'!$P$47&lt;&gt;"",'Bonding Program'!$P$47,'Bonding Program'!$C$8)),'Bonding Program'!$Z$47,0)+IF(AND('Bonding Program'!$P$47&lt;&gt;"",S$3='Bonding Program'!$P$47,S$3&lt;='Bonding Program'!$C$8),N('Bonding Program'!$O$47),0)</f>
        <v>0</v>
      </c>
      <c r="T188" s="19" t="n">
        <f aca="false">IF(AND('Bonding Program'!$S$47=1,'Bonding Program'!$H$47&gt;'Bonding Program'!$C$8,T$3='Bonding Program'!$H$47),'Bonding Program'!$T$47-'Bonding Program'!$U$47-'Bonding Program'!$Z$47,0)-IF(AND('Bonding Program'!$S$47=1,'Bonding Program'!$H$47&lt;='Bonding Program'!$C$8,T$3=IF('Bonding Program'!$P$47&lt;&gt;"",'Bonding Program'!$P$47,'Bonding Program'!$C$8)),'Bonding Program'!$Z$47,0)+IF(AND('Bonding Program'!$P$47&lt;&gt;"",T$3='Bonding Program'!$P$47,T$3&lt;='Bonding Program'!$C$8),N('Bonding Program'!$O$47),0)</f>
        <v>0</v>
      </c>
      <c r="U188" s="19" t="n">
        <f aca="false">IF(AND('Bonding Program'!$S$47=1,'Bonding Program'!$H$47&gt;'Bonding Program'!$C$8,U$3='Bonding Program'!$H$47),'Bonding Program'!$T$47-'Bonding Program'!$U$47-'Bonding Program'!$Z$47,0)-IF(AND('Bonding Program'!$S$47=1,'Bonding Program'!$H$47&lt;='Bonding Program'!$C$8,U$3=IF('Bonding Program'!$P$47&lt;&gt;"",'Bonding Program'!$P$47,'Bonding Program'!$C$8)),'Bonding Program'!$Z$47,0)+IF(AND('Bonding Program'!$P$47&lt;&gt;"",U$3='Bonding Program'!$P$47,U$3&lt;='Bonding Program'!$C$8),N('Bonding Program'!$O$47),0)</f>
        <v>0</v>
      </c>
      <c r="V188" s="19" t="n">
        <f aca="false">IF(AND('Bonding Program'!$S$47=1,'Bonding Program'!$H$47&gt;'Bonding Program'!$C$8,V$3='Bonding Program'!$H$47),'Bonding Program'!$T$47-'Bonding Program'!$U$47-'Bonding Program'!$Z$47,0)-IF(AND('Bonding Program'!$S$47=1,'Bonding Program'!$H$47&lt;='Bonding Program'!$C$8,V$3=IF('Bonding Program'!$P$47&lt;&gt;"",'Bonding Program'!$P$47,'Bonding Program'!$C$8)),'Bonding Program'!$Z$47,0)+IF(AND('Bonding Program'!$P$47&lt;&gt;"",V$3='Bonding Program'!$P$47,V$3&lt;='Bonding Program'!$C$8),N('Bonding Program'!$O$47),0)</f>
        <v>0</v>
      </c>
      <c r="W188" s="19" t="n">
        <f aca="false">IF(AND('Bonding Program'!$S$47=1,'Bonding Program'!$H$47&gt;'Bonding Program'!$C$8,W$3='Bonding Program'!$H$47),'Bonding Program'!$T$47-'Bonding Program'!$U$47-'Bonding Program'!$Z$47,0)-IF(AND('Bonding Program'!$S$47=1,'Bonding Program'!$H$47&lt;='Bonding Program'!$C$8,W$3=IF('Bonding Program'!$P$47&lt;&gt;"",'Bonding Program'!$P$47,'Bonding Program'!$C$8)),'Bonding Program'!$Z$47,0)+IF(AND('Bonding Program'!$P$47&lt;&gt;"",W$3='Bonding Program'!$P$47,W$3&lt;='Bonding Program'!$C$8),N('Bonding Program'!$O$47),0)</f>
        <v>0</v>
      </c>
      <c r="X188" s="19" t="n">
        <f aca="false">IF(AND('Bonding Program'!$S$47=1,'Bonding Program'!$H$47&gt;'Bonding Program'!$C$8,X$3='Bonding Program'!$H$47),'Bonding Program'!$T$47-'Bonding Program'!$U$47-'Bonding Program'!$Z$47,0)-IF(AND('Bonding Program'!$S$47=1,'Bonding Program'!$H$47&lt;='Bonding Program'!$C$8,X$3=IF('Bonding Program'!$P$47&lt;&gt;"",'Bonding Program'!$P$47,'Bonding Program'!$C$8)),'Bonding Program'!$Z$47,0)+IF(AND('Bonding Program'!$P$47&lt;&gt;"",X$3='Bonding Program'!$P$47,X$3&lt;='Bonding Program'!$C$8),N('Bonding Program'!$O$47),0)</f>
        <v>0</v>
      </c>
      <c r="Y188" s="19" t="n">
        <f aca="false">IF(AND('Bonding Program'!$S$47=1,'Bonding Program'!$H$47&gt;'Bonding Program'!$C$8,Y$3='Bonding Program'!$H$47),'Bonding Program'!$T$47-'Bonding Program'!$U$47-'Bonding Program'!$Z$47,0)-IF(AND('Bonding Program'!$S$47=1,'Bonding Program'!$H$47&lt;='Bonding Program'!$C$8,Y$3=IF('Bonding Program'!$P$47&lt;&gt;"",'Bonding Program'!$P$47,'Bonding Program'!$C$8)),'Bonding Program'!$Z$47,0)+IF(AND('Bonding Program'!$P$47&lt;&gt;"",Y$3='Bonding Program'!$P$47,Y$3&lt;='Bonding Program'!$C$8),N('Bonding Program'!$O$47),0)</f>
        <v>0</v>
      </c>
      <c r="Z188" s="19" t="n">
        <f aca="false">IF(AND('Bonding Program'!$S$47=1,'Bonding Program'!$H$47&gt;'Bonding Program'!$C$8,Z$3='Bonding Program'!$H$47),'Bonding Program'!$T$47-'Bonding Program'!$U$47-'Bonding Program'!$Z$47,0)-IF(AND('Bonding Program'!$S$47=1,'Bonding Program'!$H$47&lt;='Bonding Program'!$C$8,Z$3=IF('Bonding Program'!$P$47&lt;&gt;"",'Bonding Program'!$P$47,'Bonding Program'!$C$8)),'Bonding Program'!$Z$47,0)+IF(AND('Bonding Program'!$P$47&lt;&gt;"",Z$3='Bonding Program'!$P$47,Z$3&lt;='Bonding Program'!$C$8),N('Bonding Program'!$O$47),0)</f>
        <v>0</v>
      </c>
      <c r="AA188" s="19" t="n">
        <f aca="false">IF(AND('Bonding Program'!$S$47=1,'Bonding Program'!$H$47&gt;'Bonding Program'!$C$8,AA$3='Bonding Program'!$H$47),'Bonding Program'!$T$47-'Bonding Program'!$U$47-'Bonding Program'!$Z$47,0)-IF(AND('Bonding Program'!$S$47=1,'Bonding Program'!$H$47&lt;='Bonding Program'!$C$8,AA$3=IF('Bonding Program'!$P$47&lt;&gt;"",'Bonding Program'!$P$47,'Bonding Program'!$C$8)),'Bonding Program'!$Z$47,0)+IF(AND('Bonding Program'!$P$47&lt;&gt;"",AA$3='Bonding Program'!$P$47,AA$3&lt;='Bonding Program'!$C$8),N('Bonding Program'!$O$47),0)</f>
        <v>0</v>
      </c>
      <c r="AB188" s="19" t="n">
        <f aca="false">IF(AND('Bonding Program'!$S$47=1,'Bonding Program'!$H$47&gt;'Bonding Program'!$C$8,AB$3='Bonding Program'!$H$47),'Bonding Program'!$T$47-'Bonding Program'!$U$47-'Bonding Program'!$Z$47,0)-IF(AND('Bonding Program'!$S$47=1,'Bonding Program'!$H$47&lt;='Bonding Program'!$C$8,AB$3=IF('Bonding Program'!$P$47&lt;&gt;"",'Bonding Program'!$P$47,'Bonding Program'!$C$8)),'Bonding Program'!$Z$47,0)+IF(AND('Bonding Program'!$P$47&lt;&gt;"",AB$3='Bonding Program'!$P$47,AB$3&lt;='Bonding Program'!$C$8),N('Bonding Program'!$O$47),0)</f>
        <v>0</v>
      </c>
      <c r="AC188" s="19" t="n">
        <f aca="false">IF(AND('Bonding Program'!$S$47=1,'Bonding Program'!$H$47&gt;'Bonding Program'!$C$8,AC$3='Bonding Program'!$H$47),'Bonding Program'!$T$47-'Bonding Program'!$U$47-'Bonding Program'!$Z$47,0)-IF(AND('Bonding Program'!$S$47=1,'Bonding Program'!$H$47&lt;='Bonding Program'!$C$8,AC$3=IF('Bonding Program'!$P$47&lt;&gt;"",'Bonding Program'!$P$47,'Bonding Program'!$C$8)),'Bonding Program'!$Z$47,0)+IF(AND('Bonding Program'!$P$47&lt;&gt;"",AC$3='Bonding Program'!$P$47,AC$3&lt;='Bonding Program'!$C$8),N('Bonding Program'!$O$47),0)</f>
        <v>0</v>
      </c>
      <c r="AD188" s="19" t="n">
        <f aca="false">IF(AND('Bonding Program'!$S$47=1,'Bonding Program'!$H$47&gt;'Bonding Program'!$C$8,AD$3='Bonding Program'!$H$47),'Bonding Program'!$T$47-'Bonding Program'!$U$47-'Bonding Program'!$Z$47,0)-IF(AND('Bonding Program'!$S$47=1,'Bonding Program'!$H$47&lt;='Bonding Program'!$C$8,AD$3=IF('Bonding Program'!$P$47&lt;&gt;"",'Bonding Program'!$P$47,'Bonding Program'!$C$8)),'Bonding Program'!$Z$47,0)+IF(AND('Bonding Program'!$P$47&lt;&gt;"",AD$3='Bonding Program'!$P$47,AD$3&lt;='Bonding Program'!$C$8),N('Bonding Program'!$O$47),0)</f>
        <v>0</v>
      </c>
      <c r="AE188" s="19" t="n">
        <f aca="false">IF(AND('Bonding Program'!$S$47=1,'Bonding Program'!$H$47&gt;'Bonding Program'!$C$8,AE$3='Bonding Program'!$H$47),'Bonding Program'!$T$47-'Bonding Program'!$U$47-'Bonding Program'!$Z$47,0)-IF(AND('Bonding Program'!$S$47=1,'Bonding Program'!$H$47&lt;='Bonding Program'!$C$8,AE$3=IF('Bonding Program'!$P$47&lt;&gt;"",'Bonding Program'!$P$47,'Bonding Program'!$C$8)),'Bonding Program'!$Z$47,0)+IF(AND('Bonding Program'!$P$47&lt;&gt;"",AE$3='Bonding Program'!$P$47,AE$3&lt;='Bonding Program'!$C$8),N('Bonding Program'!$O$47),0)</f>
        <v>0</v>
      </c>
      <c r="AF188" s="19" t="n">
        <f aca="false">IF(AND('Bonding Program'!$S$47=1,'Bonding Program'!$H$47&gt;'Bonding Program'!$C$8,AF$3='Bonding Program'!$H$47),'Bonding Program'!$T$47-'Bonding Program'!$U$47-'Bonding Program'!$Z$47,0)-IF(AND('Bonding Program'!$S$47=1,'Bonding Program'!$H$47&lt;='Bonding Program'!$C$8,AF$3=IF('Bonding Program'!$P$47&lt;&gt;"",'Bonding Program'!$P$47,'Bonding Program'!$C$8)),'Bonding Program'!$Z$47,0)+IF(AND('Bonding Program'!$P$47&lt;&gt;"",AF$3='Bonding Program'!$P$47,AF$3&lt;='Bonding Program'!$C$8),N('Bonding Program'!$O$47),0)</f>
        <v>0</v>
      </c>
      <c r="AG188" s="19" t="n">
        <f aca="false">IF(AND('Bonding Program'!$S$47=1,'Bonding Program'!$H$47&gt;'Bonding Program'!$C$8,AG$3='Bonding Program'!$H$47),'Bonding Program'!$T$47-'Bonding Program'!$U$47-'Bonding Program'!$Z$47,0)-IF(AND('Bonding Program'!$S$47=1,'Bonding Program'!$H$47&lt;='Bonding Program'!$C$8,AG$3=IF('Bonding Program'!$P$47&lt;&gt;"",'Bonding Program'!$P$47,'Bonding Program'!$C$8)),'Bonding Program'!$Z$47,0)+IF(AND('Bonding Program'!$P$47&lt;&gt;"",AG$3='Bonding Program'!$P$47,AG$3&lt;='Bonding Program'!$C$8),N('Bonding Program'!$O$47),0)</f>
        <v>0</v>
      </c>
      <c r="AH188" s="19" t="n">
        <f aca="false">IF(AND('Bonding Program'!$S$47=1,'Bonding Program'!$H$47&gt;'Bonding Program'!$C$8,AH$3='Bonding Program'!$H$47),'Bonding Program'!$T$47-'Bonding Program'!$U$47-'Bonding Program'!$Z$47,0)-IF(AND('Bonding Program'!$S$47=1,'Bonding Program'!$H$47&lt;='Bonding Program'!$C$8,AH$3=IF('Bonding Program'!$P$47&lt;&gt;"",'Bonding Program'!$P$47,'Bonding Program'!$C$8)),'Bonding Program'!$Z$47,0)+IF(AND('Bonding Program'!$P$47&lt;&gt;"",AH$3='Bonding Program'!$P$47,AH$3&lt;='Bonding Program'!$C$8),N('Bonding Program'!$O$47),0)</f>
        <v>0</v>
      </c>
      <c r="AI188" s="19" t="n">
        <f aca="false">IF(AND('Bonding Program'!$S$47=1,'Bonding Program'!$H$47&gt;'Bonding Program'!$C$8,AI$3='Bonding Program'!$H$47),'Bonding Program'!$T$47-'Bonding Program'!$U$47-'Bonding Program'!$Z$47,0)-IF(AND('Bonding Program'!$S$47=1,'Bonding Program'!$H$47&lt;='Bonding Program'!$C$8,AI$3=IF('Bonding Program'!$P$47&lt;&gt;"",'Bonding Program'!$P$47,'Bonding Program'!$C$8)),'Bonding Program'!$Z$47,0)+IF(AND('Bonding Program'!$P$47&lt;&gt;"",AI$3='Bonding Program'!$P$47,AI$3&lt;='Bonding Program'!$C$8),N('Bonding Program'!$O$47),0)</f>
        <v>0</v>
      </c>
      <c r="AJ188" s="19" t="n">
        <f aca="false">IF(AND('Bonding Program'!$S$47=1,'Bonding Program'!$H$47&gt;'Bonding Program'!$C$8,AJ$3='Bonding Program'!$H$47),'Bonding Program'!$T$47-'Bonding Program'!$U$47-'Bonding Program'!$Z$47,0)-IF(AND('Bonding Program'!$S$47=1,'Bonding Program'!$H$47&lt;='Bonding Program'!$C$8,AJ$3=IF('Bonding Program'!$P$47&lt;&gt;"",'Bonding Program'!$P$47,'Bonding Program'!$C$8)),'Bonding Program'!$Z$47,0)+IF(AND('Bonding Program'!$P$47&lt;&gt;"",AJ$3='Bonding Program'!$P$47,AJ$3&lt;='Bonding Program'!$C$8),N('Bonding Program'!$O$47),0)</f>
        <v>0</v>
      </c>
      <c r="AK188" s="19" t="n">
        <f aca="false">IF(AND('Bonding Program'!$S$47=1,'Bonding Program'!$H$47&gt;'Bonding Program'!$C$8,AK$3='Bonding Program'!$H$47),'Bonding Program'!$T$47-'Bonding Program'!$U$47-'Bonding Program'!$Z$47,0)-IF(AND('Bonding Program'!$S$47=1,'Bonding Program'!$H$47&lt;='Bonding Program'!$C$8,AK$3=IF('Bonding Program'!$P$47&lt;&gt;"",'Bonding Program'!$P$47,'Bonding Program'!$C$8)),'Bonding Program'!$Z$47,0)+IF(AND('Bonding Program'!$P$47&lt;&gt;"",AK$3='Bonding Program'!$P$47,AK$3&lt;='Bonding Program'!$C$8),N('Bonding Program'!$O$47),0)</f>
        <v>0</v>
      </c>
      <c r="AL188" s="19" t="n">
        <f aca="false">IF(AND('Bonding Program'!$S$47=1,'Bonding Program'!$H$47&gt;'Bonding Program'!$C$8,AL$3='Bonding Program'!$H$47),'Bonding Program'!$T$47-'Bonding Program'!$U$47-'Bonding Program'!$Z$47,0)-IF(AND('Bonding Program'!$S$47=1,'Bonding Program'!$H$47&lt;='Bonding Program'!$C$8,AL$3=IF('Bonding Program'!$P$47&lt;&gt;"",'Bonding Program'!$P$47,'Bonding Program'!$C$8)),'Bonding Program'!$Z$47,0)+IF(AND('Bonding Program'!$P$47&lt;&gt;"",AL$3='Bonding Program'!$P$47,AL$3&lt;='Bonding Program'!$C$8),N('Bonding Program'!$O$47),0)</f>
        <v>0</v>
      </c>
      <c r="AM188" s="19" t="n">
        <f aca="false">IF(AND('Bonding Program'!$S$47=1,'Bonding Program'!$H$47&gt;'Bonding Program'!$C$8,AM$3='Bonding Program'!$H$47),'Bonding Program'!$T$47-'Bonding Program'!$U$47-'Bonding Program'!$Z$47,0)-IF(AND('Bonding Program'!$S$47=1,'Bonding Program'!$H$47&lt;='Bonding Program'!$C$8,AM$3=IF('Bonding Program'!$P$47&lt;&gt;"",'Bonding Program'!$P$47,'Bonding Program'!$C$8)),'Bonding Program'!$Z$47,0)+IF(AND('Bonding Program'!$P$47&lt;&gt;"",AM$3='Bonding Program'!$P$47,AM$3&lt;='Bonding Program'!$C$8),N('Bonding Program'!$O$47),0)</f>
        <v>0</v>
      </c>
      <c r="AN188" s="19" t="n">
        <f aca="false">IF(AND('Bonding Program'!$S$47=1,'Bonding Program'!$H$47&gt;'Bonding Program'!$C$8,AN$3='Bonding Program'!$H$47),'Bonding Program'!$T$47-'Bonding Program'!$U$47-'Bonding Program'!$Z$47,0)-IF(AND('Bonding Program'!$S$47=1,'Bonding Program'!$H$47&lt;='Bonding Program'!$C$8,AN$3=IF('Bonding Program'!$P$47&lt;&gt;"",'Bonding Program'!$P$47,'Bonding Program'!$C$8)),'Bonding Program'!$Z$47,0)+IF(AND('Bonding Program'!$P$47&lt;&gt;"",AN$3='Bonding Program'!$P$47,AN$3&lt;='Bonding Program'!$C$8),N('Bonding Program'!$O$47),0)</f>
        <v>0</v>
      </c>
      <c r="AO188" s="19" t="n">
        <f aca="false">IF(AND('Bonding Program'!$S$47=1,'Bonding Program'!$H$47&gt;'Bonding Program'!$C$8,AO$3='Bonding Program'!$H$47),'Bonding Program'!$T$47-'Bonding Program'!$U$47-'Bonding Program'!$Z$47,0)-IF(AND('Bonding Program'!$S$47=1,'Bonding Program'!$H$47&lt;='Bonding Program'!$C$8,AO$3=IF('Bonding Program'!$P$47&lt;&gt;"",'Bonding Program'!$P$47,'Bonding Program'!$C$8)),'Bonding Program'!$Z$47,0)+IF(AND('Bonding Program'!$P$47&lt;&gt;"",AO$3='Bonding Program'!$P$47,AO$3&lt;='Bonding Program'!$C$8),N('Bonding Program'!$O$47),0)</f>
        <v>0</v>
      </c>
      <c r="AP188" s="19" t="n">
        <f aca="false">IF(AND('Bonding Program'!$S$47=1,'Bonding Program'!$H$47&gt;'Bonding Program'!$C$8,AP$3='Bonding Program'!$H$47),'Bonding Program'!$T$47-'Bonding Program'!$U$47-'Bonding Program'!$Z$47,0)-IF(AND('Bonding Program'!$S$47=1,'Bonding Program'!$H$47&lt;='Bonding Program'!$C$8,AP$3=IF('Bonding Program'!$P$47&lt;&gt;"",'Bonding Program'!$P$47,'Bonding Program'!$C$8)),'Bonding Program'!$Z$47,0)+IF(AND('Bonding Program'!$P$47&lt;&gt;"",AP$3='Bonding Program'!$P$47,AP$3&lt;='Bonding Program'!$C$8),N('Bonding Program'!$O$47),0)</f>
        <v>0</v>
      </c>
      <c r="AQ188" s="19" t="n">
        <f aca="false">IF(AND('Bonding Program'!$S$47=1,'Bonding Program'!$H$47&gt;'Bonding Program'!$C$8,AQ$3='Bonding Program'!$H$47),'Bonding Program'!$T$47-'Bonding Program'!$U$47-'Bonding Program'!$Z$47,0)-IF(AND('Bonding Program'!$S$47=1,'Bonding Program'!$H$47&lt;='Bonding Program'!$C$8,AQ$3=IF('Bonding Program'!$P$47&lt;&gt;"",'Bonding Program'!$P$47,'Bonding Program'!$C$8)),'Bonding Program'!$Z$47,0)+IF(AND('Bonding Program'!$P$47&lt;&gt;"",AQ$3='Bonding Program'!$P$47,AQ$3&lt;='Bonding Program'!$C$8),N('Bonding Program'!$O$47),0)</f>
        <v>0</v>
      </c>
      <c r="AR188" s="19" t="n">
        <f aca="false">IF(AND('Bonding Program'!$S$47=1,'Bonding Program'!$H$47&gt;'Bonding Program'!$C$8,AR$3='Bonding Program'!$H$47),'Bonding Program'!$T$47-'Bonding Program'!$U$47-'Bonding Program'!$Z$47,0)-IF(AND('Bonding Program'!$S$47=1,'Bonding Program'!$H$47&lt;='Bonding Program'!$C$8,AR$3=IF('Bonding Program'!$P$47&lt;&gt;"",'Bonding Program'!$P$47,'Bonding Program'!$C$8)),'Bonding Program'!$Z$47,0)+IF(AND('Bonding Program'!$P$47&lt;&gt;"",AR$3='Bonding Program'!$P$47,AR$3&lt;='Bonding Program'!$C$8),N('Bonding Program'!$O$47),0)</f>
        <v>0</v>
      </c>
      <c r="AS188" s="19" t="n">
        <f aca="false">IF(AND('Bonding Program'!$S$47=1,'Bonding Program'!$H$47&gt;'Bonding Program'!$C$8,AS$3='Bonding Program'!$H$47),'Bonding Program'!$T$47-'Bonding Program'!$U$47-'Bonding Program'!$Z$47,0)-IF(AND('Bonding Program'!$S$47=1,'Bonding Program'!$H$47&lt;='Bonding Program'!$C$8,AS$3=IF('Bonding Program'!$P$47&lt;&gt;"",'Bonding Program'!$P$47,'Bonding Program'!$C$8)),'Bonding Program'!$Z$47,0)+IF(AND('Bonding Program'!$P$47&lt;&gt;"",AS$3='Bonding Program'!$P$47,AS$3&lt;='Bonding Program'!$C$8),N('Bonding Program'!$O$47),0)</f>
        <v>0</v>
      </c>
      <c r="AT188" s="19" t="n">
        <f aca="false">IF(AND('Bonding Program'!$S$47=1,'Bonding Program'!$H$47&gt;'Bonding Program'!$C$8,AT$3='Bonding Program'!$H$47),'Bonding Program'!$T$47-'Bonding Program'!$U$47-'Bonding Program'!$Z$47,0)-IF(AND('Bonding Program'!$S$47=1,'Bonding Program'!$H$47&lt;='Bonding Program'!$C$8,AT$3=IF('Bonding Program'!$P$47&lt;&gt;"",'Bonding Program'!$P$47,'Bonding Program'!$C$8)),'Bonding Program'!$Z$47,0)+IF(AND('Bonding Program'!$P$47&lt;&gt;"",AT$3='Bonding Program'!$P$47,AT$3&lt;='Bonding Program'!$C$8),N('Bonding Program'!$O$47),0)</f>
        <v>0</v>
      </c>
      <c r="AU188" s="19" t="n">
        <f aca="false">IF(AND('Bonding Program'!$S$47=1,'Bonding Program'!$H$47&gt;'Bonding Program'!$C$8,AU$3='Bonding Program'!$H$47),'Bonding Program'!$T$47-'Bonding Program'!$U$47-'Bonding Program'!$Z$47,0)-IF(AND('Bonding Program'!$S$47=1,'Bonding Program'!$H$47&lt;='Bonding Program'!$C$8,AU$3=IF('Bonding Program'!$P$47&lt;&gt;"",'Bonding Program'!$P$47,'Bonding Program'!$C$8)),'Bonding Program'!$Z$47,0)+IF(AND('Bonding Program'!$P$47&lt;&gt;"",AU$3='Bonding Program'!$P$47,AU$3&lt;='Bonding Program'!$C$8),N('Bonding Program'!$O$47),0)</f>
        <v>0</v>
      </c>
      <c r="AV188" s="19" t="n">
        <f aca="false">IF(AND('Bonding Program'!$S$47=1,'Bonding Program'!$H$47&gt;'Bonding Program'!$C$8,AV$3='Bonding Program'!$H$47),'Bonding Program'!$T$47-'Bonding Program'!$U$47-'Bonding Program'!$Z$47,0)-IF(AND('Bonding Program'!$S$47=1,'Bonding Program'!$H$47&lt;='Bonding Program'!$C$8,AV$3=IF('Bonding Program'!$P$47&lt;&gt;"",'Bonding Program'!$P$47,'Bonding Program'!$C$8)),'Bonding Program'!$Z$47,0)+IF(AND('Bonding Program'!$P$47&lt;&gt;"",AV$3='Bonding Program'!$P$47,AV$3&lt;='Bonding Program'!$C$8),N('Bonding Program'!$O$47),0)</f>
        <v>0</v>
      </c>
      <c r="AW188" s="19" t="n">
        <f aca="false">IF(AND('Bonding Program'!$S$47=1,'Bonding Program'!$H$47&gt;'Bonding Program'!$C$8,AW$3='Bonding Program'!$H$47),'Bonding Program'!$T$47-'Bonding Program'!$U$47-'Bonding Program'!$Z$47,0)-IF(AND('Bonding Program'!$S$47=1,'Bonding Program'!$H$47&lt;='Bonding Program'!$C$8,AW$3=IF('Bonding Program'!$P$47&lt;&gt;"",'Bonding Program'!$P$47,'Bonding Program'!$C$8)),'Bonding Program'!$Z$47,0)+IF(AND('Bonding Program'!$P$47&lt;&gt;"",AW$3='Bonding Program'!$P$47,AW$3&lt;='Bonding Program'!$C$8),N('Bonding Program'!$O$47),0)</f>
        <v>0</v>
      </c>
      <c r="AX188" s="19" t="n">
        <f aca="false">IF(AND('Bonding Program'!$S$47=1,'Bonding Program'!$H$47&gt;'Bonding Program'!$C$8,AX$3='Bonding Program'!$H$47),'Bonding Program'!$T$47-'Bonding Program'!$U$47-'Bonding Program'!$Z$47,0)-IF(AND('Bonding Program'!$S$47=1,'Bonding Program'!$H$47&lt;='Bonding Program'!$C$8,AX$3=IF('Bonding Program'!$P$47&lt;&gt;"",'Bonding Program'!$P$47,'Bonding Program'!$C$8)),'Bonding Program'!$Z$47,0)+IF(AND('Bonding Program'!$P$47&lt;&gt;"",AX$3='Bonding Program'!$P$47,AX$3&lt;='Bonding Program'!$C$8),N('Bonding Program'!$O$47),0)</f>
        <v>0</v>
      </c>
      <c r="AY188" s="19" t="n">
        <f aca="false">IF(AND('Bonding Program'!$S$47=1,'Bonding Program'!$H$47&gt;'Bonding Program'!$C$8,AY$3='Bonding Program'!$H$47),'Bonding Program'!$T$47-'Bonding Program'!$U$47-'Bonding Program'!$Z$47,0)-IF(AND('Bonding Program'!$S$47=1,'Bonding Program'!$H$47&lt;='Bonding Program'!$C$8,AY$3=IF('Bonding Program'!$P$47&lt;&gt;"",'Bonding Program'!$P$47,'Bonding Program'!$C$8)),'Bonding Program'!$Z$47,0)+IF(AND('Bonding Program'!$P$47&lt;&gt;"",AY$3='Bonding Program'!$P$47,AY$3&lt;='Bonding Program'!$C$8),N('Bonding Program'!$O$47),0)</f>
        <v>0</v>
      </c>
      <c r="AZ188" s="19" t="n">
        <f aca="false">IF(AND('Bonding Program'!$S$47=1,'Bonding Program'!$H$47&gt;'Bonding Program'!$C$8,AZ$3='Bonding Program'!$H$47),'Bonding Program'!$T$47-'Bonding Program'!$U$47-'Bonding Program'!$Z$47,0)-IF(AND('Bonding Program'!$S$47=1,'Bonding Program'!$H$47&lt;='Bonding Program'!$C$8,AZ$3=IF('Bonding Program'!$P$47&lt;&gt;"",'Bonding Program'!$P$47,'Bonding Program'!$C$8)),'Bonding Program'!$Z$47,0)+IF(AND('Bonding Program'!$P$47&lt;&gt;"",AZ$3='Bonding Program'!$P$47,AZ$3&lt;='Bonding Program'!$C$8),N('Bonding Program'!$O$47),0)</f>
        <v>0</v>
      </c>
      <c r="BA188" s="19" t="n">
        <f aca="false">IF(AND('Bonding Program'!$S$47=1,'Bonding Program'!$H$47&gt;'Bonding Program'!$C$8,BA$3='Bonding Program'!$H$47),'Bonding Program'!$T$47-'Bonding Program'!$U$47-'Bonding Program'!$Z$47,0)-IF(AND('Bonding Program'!$S$47=1,'Bonding Program'!$H$47&lt;='Bonding Program'!$C$8,BA$3=IF('Bonding Program'!$P$47&lt;&gt;"",'Bonding Program'!$P$47,'Bonding Program'!$C$8)),'Bonding Program'!$Z$47,0)+IF(AND('Bonding Program'!$P$47&lt;&gt;"",BA$3='Bonding Program'!$P$47,BA$3&lt;='Bonding Program'!$C$8),N('Bonding Program'!$O$47),0)</f>
        <v>0</v>
      </c>
      <c r="BB188" s="19" t="n">
        <f aca="false">IF(AND('Bonding Program'!$S$47=1,'Bonding Program'!$H$47&gt;'Bonding Program'!$C$8,BB$3='Bonding Program'!$H$47),'Bonding Program'!$T$47-'Bonding Program'!$U$47-'Bonding Program'!$Z$47,0)-IF(AND('Bonding Program'!$S$47=1,'Bonding Program'!$H$47&lt;='Bonding Program'!$C$8,BB$3=IF('Bonding Program'!$P$47&lt;&gt;"",'Bonding Program'!$P$47,'Bonding Program'!$C$8)),'Bonding Program'!$Z$47,0)+IF(AND('Bonding Program'!$P$47&lt;&gt;"",BB$3='Bonding Program'!$P$47,BB$3&lt;='Bonding Program'!$C$8),N('Bonding Program'!$O$47),0)</f>
        <v>0</v>
      </c>
      <c r="BC188" s="19" t="n">
        <f aca="false">IF(AND('Bonding Program'!$S$47=1,'Bonding Program'!$H$47&gt;'Bonding Program'!$C$8,BC$3='Bonding Program'!$H$47),'Bonding Program'!$T$47-'Bonding Program'!$U$47-'Bonding Program'!$Z$47,0)-IF(AND('Bonding Program'!$S$47=1,'Bonding Program'!$H$47&lt;='Bonding Program'!$C$8,BC$3=IF('Bonding Program'!$P$47&lt;&gt;"",'Bonding Program'!$P$47,'Bonding Program'!$C$8)),'Bonding Program'!$Z$47,0)+IF(AND('Bonding Program'!$P$47&lt;&gt;"",BC$3='Bonding Program'!$P$47,BC$3&lt;='Bonding Program'!$C$8),N('Bonding Program'!$O$47),0)</f>
        <v>0</v>
      </c>
      <c r="BD188" s="19" t="n">
        <f aca="false">IF(AND('Bonding Program'!$S$47=1,'Bonding Program'!$H$47&gt;'Bonding Program'!$C$8,BD$3='Bonding Program'!$H$47),'Bonding Program'!$T$47-'Bonding Program'!$U$47-'Bonding Program'!$Z$47,0)-IF(AND('Bonding Program'!$S$47=1,'Bonding Program'!$H$47&lt;='Bonding Program'!$C$8,BD$3=IF('Bonding Program'!$P$47&lt;&gt;"",'Bonding Program'!$P$47,'Bonding Program'!$C$8)),'Bonding Program'!$Z$47,0)+IF(AND('Bonding Program'!$P$47&lt;&gt;"",BD$3='Bonding Program'!$P$47,BD$3&lt;='Bonding Program'!$C$8),N('Bonding Program'!$O$47),0)</f>
        <v>0</v>
      </c>
      <c r="BE188" s="19" t="n">
        <f aca="false">IF(AND('Bonding Program'!$S$47=1,'Bonding Program'!$H$47&gt;'Bonding Program'!$C$8,BE$3='Bonding Program'!$H$47),'Bonding Program'!$T$47-'Bonding Program'!$U$47-'Bonding Program'!$Z$47,0)-IF(AND('Bonding Program'!$S$47=1,'Bonding Program'!$H$47&lt;='Bonding Program'!$C$8,BE$3=IF('Bonding Program'!$P$47&lt;&gt;"",'Bonding Program'!$P$47,'Bonding Program'!$C$8)),'Bonding Program'!$Z$47,0)+IF(AND('Bonding Program'!$P$47&lt;&gt;"",BE$3='Bonding Program'!$P$47,BE$3&lt;='Bonding Program'!$C$8),N('Bonding Program'!$O$47),0)</f>
        <v>0</v>
      </c>
      <c r="BF188" s="19" t="n">
        <f aca="false">IF(AND('Bonding Program'!$S$47=1,'Bonding Program'!$H$47&gt;'Bonding Program'!$C$8,BF$3='Bonding Program'!$H$47),'Bonding Program'!$T$47-'Bonding Program'!$U$47-'Bonding Program'!$Z$47,0)-IF(AND('Bonding Program'!$S$47=1,'Bonding Program'!$H$47&lt;='Bonding Program'!$C$8,BF$3=IF('Bonding Program'!$P$47&lt;&gt;"",'Bonding Program'!$P$47,'Bonding Program'!$C$8)),'Bonding Program'!$Z$47,0)+IF(AND('Bonding Program'!$P$47&lt;&gt;"",BF$3='Bonding Program'!$P$47,BF$3&lt;='Bonding Program'!$C$8),N('Bonding Program'!$O$47),0)</f>
        <v>0</v>
      </c>
      <c r="BG188" s="19" t="n">
        <f aca="false">IF(AND('Bonding Program'!$S$47=1,'Bonding Program'!$H$47&gt;'Bonding Program'!$C$8,BG$3='Bonding Program'!$H$47),'Bonding Program'!$T$47-'Bonding Program'!$U$47-'Bonding Program'!$Z$47,0)-IF(AND('Bonding Program'!$S$47=1,'Bonding Program'!$H$47&lt;='Bonding Program'!$C$8,BG$3=IF('Bonding Program'!$P$47&lt;&gt;"",'Bonding Program'!$P$47,'Bonding Program'!$C$8)),'Bonding Program'!$Z$47,0)+IF(AND('Bonding Program'!$P$47&lt;&gt;"",BG$3='Bonding Program'!$P$47,BG$3&lt;='Bonding Program'!$C$8),N('Bonding Program'!$O$47),0)</f>
        <v>0</v>
      </c>
      <c r="BH188" s="19" t="n">
        <f aca="false">IF(AND('Bonding Program'!$S$47=1,'Bonding Program'!$H$47&gt;'Bonding Program'!$C$8,BH$3='Bonding Program'!$H$47),'Bonding Program'!$T$47-'Bonding Program'!$U$47-'Bonding Program'!$Z$47,0)-IF(AND('Bonding Program'!$S$47=1,'Bonding Program'!$H$47&lt;='Bonding Program'!$C$8,BH$3=IF('Bonding Program'!$P$47&lt;&gt;"",'Bonding Program'!$P$47,'Bonding Program'!$C$8)),'Bonding Program'!$Z$47,0)+IF(AND('Bonding Program'!$P$47&lt;&gt;"",BH$3='Bonding Program'!$P$47,BH$3&lt;='Bonding Program'!$C$8),N('Bonding Program'!$O$47),0)</f>
        <v>0</v>
      </c>
      <c r="BI188" s="19" t="n">
        <f aca="false">IF(AND('Bonding Program'!$S$47=1,'Bonding Program'!$H$47&gt;'Bonding Program'!$C$8,BI$3='Bonding Program'!$H$47),'Bonding Program'!$T$47-'Bonding Program'!$U$47-'Bonding Program'!$Z$47,0)-IF(AND('Bonding Program'!$S$47=1,'Bonding Program'!$H$47&lt;='Bonding Program'!$C$8,BI$3=IF('Bonding Program'!$P$47&lt;&gt;"",'Bonding Program'!$P$47,'Bonding Program'!$C$8)),'Bonding Program'!$Z$47,0)+IF(AND('Bonding Program'!$P$47&lt;&gt;"",BI$3='Bonding Program'!$P$47,BI$3&lt;='Bonding Program'!$C$8),N('Bonding Program'!$O$47),0)</f>
        <v>0</v>
      </c>
      <c r="BJ188" s="19" t="n">
        <f aca="false">IF(AND('Bonding Program'!$S$47=1,'Bonding Program'!$H$47&gt;'Bonding Program'!$C$8,BJ$3='Bonding Program'!$H$47),'Bonding Program'!$T$47-'Bonding Program'!$U$47-'Bonding Program'!$Z$47,0)-IF(AND('Bonding Program'!$S$47=1,'Bonding Program'!$H$47&lt;='Bonding Program'!$C$8,BJ$3=IF('Bonding Program'!$P$47&lt;&gt;"",'Bonding Program'!$P$47,'Bonding Program'!$C$8)),'Bonding Program'!$Z$47,0)+IF(AND('Bonding Program'!$P$47&lt;&gt;"",BJ$3='Bonding Program'!$P$47,BJ$3&lt;='Bonding Program'!$C$8),N('Bonding Program'!$O$47),0)</f>
        <v>0</v>
      </c>
      <c r="BK188" s="19" t="n">
        <f aca="false">IF(AND('Bonding Program'!$S$47=1,'Bonding Program'!$H$47&gt;'Bonding Program'!$C$8,BK$3='Bonding Program'!$H$47),'Bonding Program'!$T$47-'Bonding Program'!$U$47-'Bonding Program'!$Z$47,0)-IF(AND('Bonding Program'!$S$47=1,'Bonding Program'!$H$47&lt;='Bonding Program'!$C$8,BK$3=IF('Bonding Program'!$P$47&lt;&gt;"",'Bonding Program'!$P$47,'Bonding Program'!$C$8)),'Bonding Program'!$Z$47,0)+IF(AND('Bonding Program'!$P$47&lt;&gt;"",BK$3='Bonding Program'!$P$47,BK$3&lt;='Bonding Program'!$C$8),N('Bonding Program'!$O$47),0)</f>
        <v>0</v>
      </c>
      <c r="BL188" s="19" t="n">
        <f aca="false">IF(AND('Bonding Program'!$S$47=1,'Bonding Program'!$H$47&gt;'Bonding Program'!$C$8,BL$3='Bonding Program'!$H$47),'Bonding Program'!$T$47-'Bonding Program'!$U$47-'Bonding Program'!$Z$47,0)-IF(AND('Bonding Program'!$S$47=1,'Bonding Program'!$H$47&lt;='Bonding Program'!$C$8,BL$3=IF('Bonding Program'!$P$47&lt;&gt;"",'Bonding Program'!$P$47,'Bonding Program'!$C$8)),'Bonding Program'!$Z$47,0)+IF(AND('Bonding Program'!$P$47&lt;&gt;"",BL$3='Bonding Program'!$P$47,BL$3&lt;='Bonding Program'!$C$8),N('Bonding Program'!$O$47),0)</f>
        <v>0</v>
      </c>
      <c r="BM188" s="19" t="n">
        <f aca="false">IF(AND('Bonding Program'!$S$47=1,'Bonding Program'!$H$47&gt;'Bonding Program'!$C$8,BM$3='Bonding Program'!$H$47),'Bonding Program'!$T$47-'Bonding Program'!$U$47-'Bonding Program'!$Z$47,0)-IF(AND('Bonding Program'!$S$47=1,'Bonding Program'!$H$47&lt;='Bonding Program'!$C$8,BM$3=IF('Bonding Program'!$P$47&lt;&gt;"",'Bonding Program'!$P$47,'Bonding Program'!$C$8)),'Bonding Program'!$Z$47,0)+IF(AND('Bonding Program'!$P$47&lt;&gt;"",BM$3='Bonding Program'!$P$47,BM$3&lt;='Bonding Program'!$C$8),N('Bonding Program'!$O$47),0)</f>
        <v>0</v>
      </c>
      <c r="BN188" s="19" t="n">
        <f aca="false">IF(AND('Bonding Program'!$S$47=1,'Bonding Program'!$H$47&gt;'Bonding Program'!$C$8,BN$3='Bonding Program'!$H$47),'Bonding Program'!$T$47-'Bonding Program'!$U$47-'Bonding Program'!$Z$47,0)-IF(AND('Bonding Program'!$S$47=1,'Bonding Program'!$H$47&lt;='Bonding Program'!$C$8,BN$3=IF('Bonding Program'!$P$47&lt;&gt;"",'Bonding Program'!$P$47,'Bonding Program'!$C$8)),'Bonding Program'!$Z$47,0)+IF(AND('Bonding Program'!$P$47&lt;&gt;"",BN$3='Bonding Program'!$P$47,BN$3&lt;='Bonding Program'!$C$8),N('Bonding Program'!$O$47),0)</f>
        <v>0</v>
      </c>
      <c r="BO188" s="19" t="n">
        <f aca="false">IF(AND('Bonding Program'!$S$47=1,'Bonding Program'!$H$47&gt;'Bonding Program'!$C$8,BO$3='Bonding Program'!$H$47),'Bonding Program'!$T$47-'Bonding Program'!$U$47-'Bonding Program'!$Z$47,0)-IF(AND('Bonding Program'!$S$47=1,'Bonding Program'!$H$47&lt;='Bonding Program'!$C$8,BO$3=IF('Bonding Program'!$P$47&lt;&gt;"",'Bonding Program'!$P$47,'Bonding Program'!$C$8)),'Bonding Program'!$Z$47,0)+IF(AND('Bonding Program'!$P$47&lt;&gt;"",BO$3='Bonding Program'!$P$47,BO$3&lt;='Bonding Program'!$C$8),N('Bonding Program'!$O$47),0)</f>
        <v>0</v>
      </c>
      <c r="BP188" s="19" t="n">
        <f aca="false">IF(AND('Bonding Program'!$S$47=1,'Bonding Program'!$H$47&gt;'Bonding Program'!$C$8,BP$3='Bonding Program'!$H$47),'Bonding Program'!$T$47-'Bonding Program'!$U$47-'Bonding Program'!$Z$47,0)-IF(AND('Bonding Program'!$S$47=1,'Bonding Program'!$H$47&lt;='Bonding Program'!$C$8,BP$3=IF('Bonding Program'!$P$47&lt;&gt;"",'Bonding Program'!$P$47,'Bonding Program'!$C$8)),'Bonding Program'!$Z$47,0)+IF(AND('Bonding Program'!$P$47&lt;&gt;"",BP$3='Bonding Program'!$P$47,BP$3&lt;='Bonding Program'!$C$8),N('Bonding Program'!$O$47),0)</f>
        <v>0</v>
      </c>
      <c r="BQ188" s="19" t="n">
        <f aca="false">IF(AND('Bonding Program'!$S$47=1,'Bonding Program'!$H$47&gt;'Bonding Program'!$C$8,BQ$3='Bonding Program'!$H$47),'Bonding Program'!$T$47-'Bonding Program'!$U$47-'Bonding Program'!$Z$47,0)-IF(AND('Bonding Program'!$S$47=1,'Bonding Program'!$H$47&lt;='Bonding Program'!$C$8,BQ$3=IF('Bonding Program'!$P$47&lt;&gt;"",'Bonding Program'!$P$47,'Bonding Program'!$C$8)),'Bonding Program'!$Z$47,0)+IF(AND('Bonding Program'!$P$47&lt;&gt;"",BQ$3='Bonding Program'!$P$47,BQ$3&lt;='Bonding Program'!$C$8),N('Bonding Program'!$O$47),0)</f>
        <v>0</v>
      </c>
      <c r="BR188" s="19" t="n">
        <f aca="false">IF(AND('Bonding Program'!$S$47=1,'Bonding Program'!$H$47&gt;'Bonding Program'!$C$8,BR$3='Bonding Program'!$H$47),'Bonding Program'!$T$47-'Bonding Program'!$U$47-'Bonding Program'!$Z$47,0)-IF(AND('Bonding Program'!$S$47=1,'Bonding Program'!$H$47&lt;='Bonding Program'!$C$8,BR$3=IF('Bonding Program'!$P$47&lt;&gt;"",'Bonding Program'!$P$47,'Bonding Program'!$C$8)),'Bonding Program'!$Z$47,0)+IF(AND('Bonding Program'!$P$47&lt;&gt;"",BR$3='Bonding Program'!$P$47,BR$3&lt;='Bonding Program'!$C$8),N('Bonding Program'!$O$47),0)</f>
        <v>0</v>
      </c>
      <c r="BS188" s="19" t="n">
        <f aca="false">IF(AND('Bonding Program'!$S$47=1,'Bonding Program'!$H$47&gt;'Bonding Program'!$C$8,BS$3='Bonding Program'!$H$47),'Bonding Program'!$T$47-'Bonding Program'!$U$47-'Bonding Program'!$Z$47,0)-IF(AND('Bonding Program'!$S$47=1,'Bonding Program'!$H$47&lt;='Bonding Program'!$C$8,BS$3=IF('Bonding Program'!$P$47&lt;&gt;"",'Bonding Program'!$P$47,'Bonding Program'!$C$8)),'Bonding Program'!$Z$47,0)+IF(AND('Bonding Program'!$P$47&lt;&gt;"",BS$3='Bonding Program'!$P$47,BS$3&lt;='Bonding Program'!$C$8),N('Bonding Program'!$O$47),0)</f>
        <v>0</v>
      </c>
      <c r="BT188" s="19" t="n">
        <f aca="false">IF(AND('Bonding Program'!$S$47=1,'Bonding Program'!$H$47&gt;'Bonding Program'!$C$8,BT$3='Bonding Program'!$H$47),'Bonding Program'!$T$47-'Bonding Program'!$U$47-'Bonding Program'!$Z$47,0)-IF(AND('Bonding Program'!$S$47=1,'Bonding Program'!$H$47&lt;='Bonding Program'!$C$8,BT$3=IF('Bonding Program'!$P$47&lt;&gt;"",'Bonding Program'!$P$47,'Bonding Program'!$C$8)),'Bonding Program'!$Z$47,0)+IF(AND('Bonding Program'!$P$47&lt;&gt;"",BT$3='Bonding Program'!$P$47,BT$3&lt;='Bonding Program'!$C$8),N('Bonding Program'!$O$47),0)</f>
        <v>0</v>
      </c>
      <c r="BU188" s="19" t="n">
        <f aca="false">IF(AND('Bonding Program'!$S$47=1,'Bonding Program'!$H$47&gt;'Bonding Program'!$C$8,BU$3='Bonding Program'!$H$47),'Bonding Program'!$T$47-'Bonding Program'!$U$47-'Bonding Program'!$Z$47,0)-IF(AND('Bonding Program'!$S$47=1,'Bonding Program'!$H$47&lt;='Bonding Program'!$C$8,BU$3=IF('Bonding Program'!$P$47&lt;&gt;"",'Bonding Program'!$P$47,'Bonding Program'!$C$8)),'Bonding Program'!$Z$47,0)+IF(AND('Bonding Program'!$P$47&lt;&gt;"",BU$3='Bonding Program'!$P$47,BU$3&lt;='Bonding Program'!$C$8),N('Bonding Program'!$O$47),0)</f>
        <v>0</v>
      </c>
      <c r="BV188" s="19" t="n">
        <f aca="false">IF(AND('Bonding Program'!$S$47=1,'Bonding Program'!$H$47&gt;'Bonding Program'!$C$8,BV$3='Bonding Program'!$H$47),'Bonding Program'!$T$47-'Bonding Program'!$U$47-'Bonding Program'!$Z$47,0)-IF(AND('Bonding Program'!$S$47=1,'Bonding Program'!$H$47&lt;='Bonding Program'!$C$8,BV$3=IF('Bonding Program'!$P$47&lt;&gt;"",'Bonding Program'!$P$47,'Bonding Program'!$C$8)),'Bonding Program'!$Z$47,0)+IF(AND('Bonding Program'!$P$47&lt;&gt;"",BV$3='Bonding Program'!$P$47,BV$3&lt;='Bonding Program'!$C$8),N('Bonding Program'!$O$47),0)</f>
        <v>0</v>
      </c>
      <c r="BW188" s="19" t="n">
        <f aca="false">IF(AND('Bonding Program'!$S$47=1,'Bonding Program'!$H$47&gt;'Bonding Program'!$C$8,BW$3='Bonding Program'!$H$47),'Bonding Program'!$T$47-'Bonding Program'!$U$47-'Bonding Program'!$Z$47,0)-IF(AND('Bonding Program'!$S$47=1,'Bonding Program'!$H$47&lt;='Bonding Program'!$C$8,BW$3=IF('Bonding Program'!$P$47&lt;&gt;"",'Bonding Program'!$P$47,'Bonding Program'!$C$8)),'Bonding Program'!$Z$47,0)+IF(AND('Bonding Program'!$P$47&lt;&gt;"",BW$3='Bonding Program'!$P$47,BW$3&lt;='Bonding Program'!$C$8),N('Bonding Program'!$O$47),0)</f>
        <v>0</v>
      </c>
      <c r="BX188" s="19" t="n">
        <f aca="false">IF(AND('Bonding Program'!$S$47=1,'Bonding Program'!$H$47&gt;'Bonding Program'!$C$8,BX$3='Bonding Program'!$H$47),'Bonding Program'!$T$47-'Bonding Program'!$U$47-'Bonding Program'!$Z$47,0)-IF(AND('Bonding Program'!$S$47=1,'Bonding Program'!$H$47&lt;='Bonding Program'!$C$8,BX$3=IF('Bonding Program'!$P$47&lt;&gt;"",'Bonding Program'!$P$47,'Bonding Program'!$C$8)),'Bonding Program'!$Z$47,0)+IF(AND('Bonding Program'!$P$47&lt;&gt;"",BX$3='Bonding Program'!$P$47,BX$3&lt;='Bonding Program'!$C$8),N('Bonding Program'!$O$47),0)</f>
        <v>0</v>
      </c>
      <c r="BY188" s="19" t="n">
        <f aca="false">IF(AND('Bonding Program'!$S$47=1,'Bonding Program'!$H$47&gt;'Bonding Program'!$C$8,BY$3='Bonding Program'!$H$47),'Bonding Program'!$T$47-'Bonding Program'!$U$47-'Bonding Program'!$Z$47,0)-IF(AND('Bonding Program'!$S$47=1,'Bonding Program'!$H$47&lt;='Bonding Program'!$C$8,BY$3=IF('Bonding Program'!$P$47&lt;&gt;"",'Bonding Program'!$P$47,'Bonding Program'!$C$8)),'Bonding Program'!$Z$47,0)+IF(AND('Bonding Program'!$P$47&lt;&gt;"",BY$3='Bonding Program'!$P$47,BY$3&lt;='Bonding Program'!$C$8),N('Bonding Program'!$O$47),0)</f>
        <v>0</v>
      </c>
      <c r="BZ188" s="19" t="n">
        <f aca="false">IF(AND('Bonding Program'!$S$47=1,'Bonding Program'!$H$47&gt;'Bonding Program'!$C$8,BZ$3='Bonding Program'!$H$47),'Bonding Program'!$T$47-'Bonding Program'!$U$47-'Bonding Program'!$Z$47,0)-IF(AND('Bonding Program'!$S$47=1,'Bonding Program'!$H$47&lt;='Bonding Program'!$C$8,BZ$3=IF('Bonding Program'!$P$47&lt;&gt;"",'Bonding Program'!$P$47,'Bonding Program'!$C$8)),'Bonding Program'!$Z$47,0)+IF(AND('Bonding Program'!$P$47&lt;&gt;"",BZ$3='Bonding Program'!$P$47,BZ$3&lt;='Bonding Program'!$C$8),N('Bonding Program'!$O$47),0)</f>
        <v>0</v>
      </c>
      <c r="CA188" s="19" t="n">
        <f aca="false">IF(AND('Bonding Program'!$S$47=1,'Bonding Program'!$H$47&gt;'Bonding Program'!$C$8,CA$3='Bonding Program'!$H$47),'Bonding Program'!$T$47-'Bonding Program'!$U$47-'Bonding Program'!$Z$47,0)-IF(AND('Bonding Program'!$S$47=1,'Bonding Program'!$H$47&lt;='Bonding Program'!$C$8,CA$3=IF('Bonding Program'!$P$47&lt;&gt;"",'Bonding Program'!$P$47,'Bonding Program'!$C$8)),'Bonding Program'!$Z$47,0)+IF(AND('Bonding Program'!$P$47&lt;&gt;"",CA$3='Bonding Program'!$P$47,CA$3&lt;='Bonding Program'!$C$8),N('Bonding Program'!$O$47),0)</f>
        <v>0</v>
      </c>
      <c r="CB188" s="19" t="n">
        <f aca="false">IF(AND('Bonding Program'!$S$47=1,'Bonding Program'!$H$47&gt;'Bonding Program'!$C$8,CB$3='Bonding Program'!$H$47),'Bonding Program'!$T$47-'Bonding Program'!$U$47-'Bonding Program'!$Z$47,0)-IF(AND('Bonding Program'!$S$47=1,'Bonding Program'!$H$47&lt;='Bonding Program'!$C$8,CB$3=IF('Bonding Program'!$P$47&lt;&gt;"",'Bonding Program'!$P$47,'Bonding Program'!$C$8)),'Bonding Program'!$Z$47,0)+IF(AND('Bonding Program'!$P$47&lt;&gt;"",CB$3='Bonding Program'!$P$47,CB$3&lt;='Bonding Program'!$C$8),N('Bonding Program'!$O$47),0)</f>
        <v>0</v>
      </c>
      <c r="CC188" s="19" t="n">
        <f aca="false">IF(AND('Bonding Program'!$S$47=1,'Bonding Program'!$H$47&gt;'Bonding Program'!$C$8,CC$3='Bonding Program'!$H$47),'Bonding Program'!$T$47-'Bonding Program'!$U$47-'Bonding Program'!$Z$47,0)-IF(AND('Bonding Program'!$S$47=1,'Bonding Program'!$H$47&lt;='Bonding Program'!$C$8,CC$3=IF('Bonding Program'!$P$47&lt;&gt;"",'Bonding Program'!$P$47,'Bonding Program'!$C$8)),'Bonding Program'!$Z$47,0)+IF(AND('Bonding Program'!$P$47&lt;&gt;"",CC$3='Bonding Program'!$P$47,CC$3&lt;='Bonding Program'!$C$8),N('Bonding Program'!$O$47),0)</f>
        <v>0</v>
      </c>
      <c r="CD188" s="19" t="n">
        <f aca="false">IF(AND('Bonding Program'!$S$47=1,'Bonding Program'!$H$47&gt;'Bonding Program'!$C$8,CD$3='Bonding Program'!$H$47),'Bonding Program'!$T$47-'Bonding Program'!$U$47-'Bonding Program'!$Z$47,0)-IF(AND('Bonding Program'!$S$47=1,'Bonding Program'!$H$47&lt;='Bonding Program'!$C$8,CD$3=IF('Bonding Program'!$P$47&lt;&gt;"",'Bonding Program'!$P$47,'Bonding Program'!$C$8)),'Bonding Program'!$Z$47,0)+IF(AND('Bonding Program'!$P$47&lt;&gt;"",CD$3='Bonding Program'!$P$47,CD$3&lt;='Bonding Program'!$C$8),N('Bonding Program'!$O$47),0)</f>
        <v>0</v>
      </c>
      <c r="CE188" s="19" t="n">
        <f aca="false">IF(AND('Bonding Program'!$S$47=1,'Bonding Program'!$H$47&gt;'Bonding Program'!$C$8,CE$3='Bonding Program'!$H$47),'Bonding Program'!$T$47-'Bonding Program'!$U$47-'Bonding Program'!$Z$47,0)-IF(AND('Bonding Program'!$S$47=1,'Bonding Program'!$H$47&lt;='Bonding Program'!$C$8,CE$3=IF('Bonding Program'!$P$47&lt;&gt;"",'Bonding Program'!$P$47,'Bonding Program'!$C$8)),'Bonding Program'!$Z$47,0)+IF(AND('Bonding Program'!$P$47&lt;&gt;"",CE$3='Bonding Program'!$P$47,CE$3&lt;='Bonding Program'!$C$8),N('Bonding Program'!$O$47),0)</f>
        <v>0</v>
      </c>
      <c r="CF188" s="19" t="n">
        <f aca="false">IF(AND('Bonding Program'!$S$47=1,'Bonding Program'!$H$47&gt;'Bonding Program'!$C$8,CF$3='Bonding Program'!$H$47),'Bonding Program'!$T$47-'Bonding Program'!$U$47-'Bonding Program'!$Z$47,0)-IF(AND('Bonding Program'!$S$47=1,'Bonding Program'!$H$47&lt;='Bonding Program'!$C$8,CF$3=IF('Bonding Program'!$P$47&lt;&gt;"",'Bonding Program'!$P$47,'Bonding Program'!$C$8)),'Bonding Program'!$Z$47,0)+IF(AND('Bonding Program'!$P$47&lt;&gt;"",CF$3='Bonding Program'!$P$47,CF$3&lt;='Bonding Program'!$C$8),N('Bonding Program'!$O$47),0)</f>
        <v>0</v>
      </c>
      <c r="CG188" s="19" t="n">
        <f aca="false">IF(AND('Bonding Program'!$S$47=1,'Bonding Program'!$H$47&gt;'Bonding Program'!$C$8,CG$3='Bonding Program'!$H$47),'Bonding Program'!$T$47-'Bonding Program'!$U$47-'Bonding Program'!$Z$47,0)-IF(AND('Bonding Program'!$S$47=1,'Bonding Program'!$H$47&lt;='Bonding Program'!$C$8,CG$3=IF('Bonding Program'!$P$47&lt;&gt;"",'Bonding Program'!$P$47,'Bonding Program'!$C$8)),'Bonding Program'!$Z$47,0)+IF(AND('Bonding Program'!$P$47&lt;&gt;"",CG$3='Bonding Program'!$P$47,CG$3&lt;='Bonding Program'!$C$8),N('Bonding Program'!$O$47),0)</f>
        <v>0</v>
      </c>
      <c r="CH188" s="19" t="n">
        <f aca="false">IF(AND('Bonding Program'!$S$47=1,'Bonding Program'!$H$47&gt;'Bonding Program'!$C$8,CH$3='Bonding Program'!$H$47),'Bonding Program'!$T$47-'Bonding Program'!$U$47-'Bonding Program'!$Z$47,0)-IF(AND('Bonding Program'!$S$47=1,'Bonding Program'!$H$47&lt;='Bonding Program'!$C$8,CH$3=IF('Bonding Program'!$P$47&lt;&gt;"",'Bonding Program'!$P$47,'Bonding Program'!$C$8)),'Bonding Program'!$Z$47,0)+IF(AND('Bonding Program'!$P$47&lt;&gt;"",CH$3='Bonding Program'!$P$47,CH$3&lt;='Bonding Program'!$C$8),N('Bonding Program'!$O$47),0)</f>
        <v>0</v>
      </c>
      <c r="CI188" s="19" t="n">
        <f aca="false">IF(AND('Bonding Program'!$S$47=1,'Bonding Program'!$H$47&gt;'Bonding Program'!$C$8,CI$3='Bonding Program'!$H$47),'Bonding Program'!$T$47-'Bonding Program'!$U$47-'Bonding Program'!$Z$47,0)-IF(AND('Bonding Program'!$S$47=1,'Bonding Program'!$H$47&lt;='Bonding Program'!$C$8,CI$3=IF('Bonding Program'!$P$47&lt;&gt;"",'Bonding Program'!$P$47,'Bonding Program'!$C$8)),'Bonding Program'!$Z$47,0)+IF(AND('Bonding Program'!$P$47&lt;&gt;"",CI$3='Bonding Program'!$P$47,CI$3&lt;='Bonding Program'!$C$8),N('Bonding Program'!$O$47),0)</f>
        <v>0</v>
      </c>
      <c r="CJ188" s="19" t="n">
        <f aca="false">IF(AND('Bonding Program'!$S$47=1,'Bonding Program'!$H$47&gt;'Bonding Program'!$C$8,CJ$3='Bonding Program'!$H$47),'Bonding Program'!$T$47-'Bonding Program'!$U$47-'Bonding Program'!$Z$47,0)-IF(AND('Bonding Program'!$S$47=1,'Bonding Program'!$H$47&lt;='Bonding Program'!$C$8,CJ$3=IF('Bonding Program'!$P$47&lt;&gt;"",'Bonding Program'!$P$47,'Bonding Program'!$C$8)),'Bonding Program'!$Z$47,0)+IF(AND('Bonding Program'!$P$47&lt;&gt;"",CJ$3='Bonding Program'!$P$47,CJ$3&lt;='Bonding Program'!$C$8),N('Bonding Program'!$O$47),0)</f>
        <v>0</v>
      </c>
      <c r="CK188" s="19" t="n">
        <f aca="false">IF(AND('Bonding Program'!$S$47=1,'Bonding Program'!$H$47&gt;'Bonding Program'!$C$8,CK$3='Bonding Program'!$H$47),'Bonding Program'!$T$47-'Bonding Program'!$U$47-'Bonding Program'!$Z$47,0)-IF(AND('Bonding Program'!$S$47=1,'Bonding Program'!$H$47&lt;='Bonding Program'!$C$8,CK$3=IF('Bonding Program'!$P$47&lt;&gt;"",'Bonding Program'!$P$47,'Bonding Program'!$C$8)),'Bonding Program'!$Z$47,0)+IF(AND('Bonding Program'!$P$47&lt;&gt;"",CK$3='Bonding Program'!$P$47,CK$3&lt;='Bonding Program'!$C$8),N('Bonding Program'!$O$47),0)</f>
        <v>0</v>
      </c>
      <c r="CL188" s="19" t="n">
        <f aca="false">IF(AND('Bonding Program'!$S$47=1,'Bonding Program'!$H$47&gt;'Bonding Program'!$C$8,CL$3='Bonding Program'!$H$47),'Bonding Program'!$T$47-'Bonding Program'!$U$47-'Bonding Program'!$Z$47,0)-IF(AND('Bonding Program'!$S$47=1,'Bonding Program'!$H$47&lt;='Bonding Program'!$C$8,CL$3=IF('Bonding Program'!$P$47&lt;&gt;"",'Bonding Program'!$P$47,'Bonding Program'!$C$8)),'Bonding Program'!$Z$47,0)+IF(AND('Bonding Program'!$P$47&lt;&gt;"",CL$3='Bonding Program'!$P$47,CL$3&lt;='Bonding Program'!$C$8),N('Bonding Program'!$O$47),0)</f>
        <v>0</v>
      </c>
      <c r="CM188" s="19" t="n">
        <f aca="false">IF(AND('Bonding Program'!$S$47=1,'Bonding Program'!$H$47&gt;'Bonding Program'!$C$8,CM$3='Bonding Program'!$H$47),'Bonding Program'!$T$47-'Bonding Program'!$U$47-'Bonding Program'!$Z$47,0)-IF(AND('Bonding Program'!$S$47=1,'Bonding Program'!$H$47&lt;='Bonding Program'!$C$8,CM$3=IF('Bonding Program'!$P$47&lt;&gt;"",'Bonding Program'!$P$47,'Bonding Program'!$C$8)),'Bonding Program'!$Z$47,0)+IF(AND('Bonding Program'!$P$47&lt;&gt;"",CM$3='Bonding Program'!$P$47,CM$3&lt;='Bonding Program'!$C$8),N('Bonding Program'!$O$47),0)</f>
        <v>0</v>
      </c>
      <c r="CN188" s="19" t="n">
        <f aca="false">IF(AND('Bonding Program'!$S$47=1,'Bonding Program'!$H$47&gt;'Bonding Program'!$C$8,CN$3='Bonding Program'!$H$47),'Bonding Program'!$T$47-'Bonding Program'!$U$47-'Bonding Program'!$Z$47,0)-IF(AND('Bonding Program'!$S$47=1,'Bonding Program'!$H$47&lt;='Bonding Program'!$C$8,CN$3=IF('Bonding Program'!$P$47&lt;&gt;"",'Bonding Program'!$P$47,'Bonding Program'!$C$8)),'Bonding Program'!$Z$47,0)+IF(AND('Bonding Program'!$P$47&lt;&gt;"",CN$3='Bonding Program'!$P$47,CN$3&lt;='Bonding Program'!$C$8),N('Bonding Program'!$O$47),0)</f>
        <v>0</v>
      </c>
      <c r="CO188" s="19" t="n">
        <f aca="false">IF(AND('Bonding Program'!$S$47=1,'Bonding Program'!$H$47&gt;'Bonding Program'!$C$8,CO$3='Bonding Program'!$H$47),'Bonding Program'!$T$47-'Bonding Program'!$U$47-'Bonding Program'!$Z$47,0)-IF(AND('Bonding Program'!$S$47=1,'Bonding Program'!$H$47&lt;='Bonding Program'!$C$8,CO$3=IF('Bonding Program'!$P$47&lt;&gt;"",'Bonding Program'!$P$47,'Bonding Program'!$C$8)),'Bonding Program'!$Z$47,0)+IF(AND('Bonding Program'!$P$47&lt;&gt;"",CO$3='Bonding Program'!$P$47,CO$3&lt;='Bonding Program'!$C$8),N('Bonding Program'!$O$47),0)</f>
        <v>0</v>
      </c>
      <c r="CP188" s="19" t="n">
        <f aca="false">IF(AND('Bonding Program'!$S$47=1,'Bonding Program'!$H$47&gt;'Bonding Program'!$C$8,CP$3='Bonding Program'!$H$47),'Bonding Program'!$T$47-'Bonding Program'!$U$47-'Bonding Program'!$Z$47,0)-IF(AND('Bonding Program'!$S$47=1,'Bonding Program'!$H$47&lt;='Bonding Program'!$C$8,CP$3=IF('Bonding Program'!$P$47&lt;&gt;"",'Bonding Program'!$P$47,'Bonding Program'!$C$8)),'Bonding Program'!$Z$47,0)+IF(AND('Bonding Program'!$P$47&lt;&gt;"",CP$3='Bonding Program'!$P$47,CP$3&lt;='Bonding Program'!$C$8),N('Bonding Program'!$O$47),0)</f>
        <v>0</v>
      </c>
      <c r="CQ188" s="19" t="n">
        <f aca="false">IF(AND('Bonding Program'!$S$47=1,'Bonding Program'!$H$47&gt;'Bonding Program'!$C$8,CQ$3='Bonding Program'!$H$47),'Bonding Program'!$T$47-'Bonding Program'!$U$47-'Bonding Program'!$Z$47,0)-IF(AND('Bonding Program'!$S$47=1,'Bonding Program'!$H$47&lt;='Bonding Program'!$C$8,CQ$3=IF('Bonding Program'!$P$47&lt;&gt;"",'Bonding Program'!$P$47,'Bonding Program'!$C$8)),'Bonding Program'!$Z$47,0)+IF(AND('Bonding Program'!$P$47&lt;&gt;"",CQ$3='Bonding Program'!$P$47,CQ$3&lt;='Bonding Program'!$C$8),N('Bonding Program'!$O$47),0)</f>
        <v>0</v>
      </c>
      <c r="CR188" s="19" t="n">
        <f aca="false">IF(AND('Bonding Program'!$S$47=1,'Bonding Program'!$H$47&gt;'Bonding Program'!$C$8,CR$3='Bonding Program'!$H$47),'Bonding Program'!$T$47-'Bonding Program'!$U$47-'Bonding Program'!$Z$47,0)-IF(AND('Bonding Program'!$S$47=1,'Bonding Program'!$H$47&lt;='Bonding Program'!$C$8,CR$3=IF('Bonding Program'!$P$47&lt;&gt;"",'Bonding Program'!$P$47,'Bonding Program'!$C$8)),'Bonding Program'!$Z$47,0)+IF(AND('Bonding Program'!$P$47&lt;&gt;"",CR$3='Bonding Program'!$P$47,CR$3&lt;='Bonding Program'!$C$8),N('Bonding Program'!$O$47),0)</f>
        <v>0</v>
      </c>
      <c r="CS188" s="19" t="n">
        <f aca="false">IF(AND('Bonding Program'!$S$47=1,'Bonding Program'!$H$47&gt;'Bonding Program'!$C$8,CS$3='Bonding Program'!$H$47),'Bonding Program'!$T$47-'Bonding Program'!$U$47-'Bonding Program'!$Z$47,0)-IF(AND('Bonding Program'!$S$47=1,'Bonding Program'!$H$47&lt;='Bonding Program'!$C$8,CS$3=IF('Bonding Program'!$P$47&lt;&gt;"",'Bonding Program'!$P$47,'Bonding Program'!$C$8)),'Bonding Program'!$Z$47,0)+IF(AND('Bonding Program'!$P$47&lt;&gt;"",CS$3='Bonding Program'!$P$47,CS$3&lt;='Bonding Program'!$C$8),N('Bonding Program'!$O$47),0)</f>
        <v>0</v>
      </c>
      <c r="CT188" s="19" t="n">
        <f aca="false">IF(AND('Bonding Program'!$S$47=1,'Bonding Program'!$H$47&gt;'Bonding Program'!$C$8,CT$3='Bonding Program'!$H$47),'Bonding Program'!$T$47-'Bonding Program'!$U$47-'Bonding Program'!$Z$47,0)-IF(AND('Bonding Program'!$S$47=1,'Bonding Program'!$H$47&lt;='Bonding Program'!$C$8,CT$3=IF('Bonding Program'!$P$47&lt;&gt;"",'Bonding Program'!$P$47,'Bonding Program'!$C$8)),'Bonding Program'!$Z$47,0)+IF(AND('Bonding Program'!$P$47&lt;&gt;"",CT$3='Bonding Program'!$P$47,CT$3&lt;='Bonding Program'!$C$8),N('Bonding Program'!$O$47),0)</f>
        <v>0</v>
      </c>
      <c r="CU188" s="19" t="n">
        <f aca="false">IF(AND('Bonding Program'!$S$47=1,'Bonding Program'!$H$47&gt;'Bonding Program'!$C$8,CU$3='Bonding Program'!$H$47),'Bonding Program'!$T$47-'Bonding Program'!$U$47-'Bonding Program'!$Z$47,0)-IF(AND('Bonding Program'!$S$47=1,'Bonding Program'!$H$47&lt;='Bonding Program'!$C$8,CU$3=IF('Bonding Program'!$P$47&lt;&gt;"",'Bonding Program'!$P$47,'Bonding Program'!$C$8)),'Bonding Program'!$Z$47,0)+IF(AND('Bonding Program'!$P$47&lt;&gt;"",CU$3='Bonding Program'!$P$47,CU$3&lt;='Bonding Program'!$C$8),N('Bonding Program'!$O$47),0)</f>
        <v>0</v>
      </c>
      <c r="CV188" s="19" t="n">
        <f aca="false">IF(AND('Bonding Program'!$S$47=1,'Bonding Program'!$H$47&gt;'Bonding Program'!$C$8,CV$3='Bonding Program'!$H$47),'Bonding Program'!$T$47-'Bonding Program'!$U$47-'Bonding Program'!$Z$47,0)-IF(AND('Bonding Program'!$S$47=1,'Bonding Program'!$H$47&lt;='Bonding Program'!$C$8,CV$3=IF('Bonding Program'!$P$47&lt;&gt;"",'Bonding Program'!$P$47,'Bonding Program'!$C$8)),'Bonding Program'!$Z$47,0)+IF(AND('Bonding Program'!$P$47&lt;&gt;"",CV$3='Bonding Program'!$P$47,CV$3&lt;='Bonding Program'!$C$8),N('Bonding Program'!$O$47),0)</f>
        <v>0</v>
      </c>
      <c r="CW188" s="19" t="n">
        <f aca="false">IF(AND('Bonding Program'!$S$47=1,'Bonding Program'!$H$47&gt;'Bonding Program'!$C$8,CW$3='Bonding Program'!$H$47),'Bonding Program'!$T$47-'Bonding Program'!$U$47-'Bonding Program'!$Z$47,0)-IF(AND('Bonding Program'!$S$47=1,'Bonding Program'!$H$47&lt;='Bonding Program'!$C$8,CW$3=IF('Bonding Program'!$P$47&lt;&gt;"",'Bonding Program'!$P$47,'Bonding Program'!$C$8)),'Bonding Program'!$Z$47,0)+IF(AND('Bonding Program'!$P$47&lt;&gt;"",CW$3='Bonding Program'!$P$47,CW$3&lt;='Bonding Program'!$C$8),N('Bonding Program'!$O$47),0)</f>
        <v>0</v>
      </c>
      <c r="CX188" s="19" t="n">
        <f aca="false">IF(AND('Bonding Program'!$S$47=1,'Bonding Program'!$H$47&gt;'Bonding Program'!$C$8,CX$3='Bonding Program'!$H$47),'Bonding Program'!$T$47-'Bonding Program'!$U$47-'Bonding Program'!$Z$47,0)-IF(AND('Bonding Program'!$S$47=1,'Bonding Program'!$H$47&lt;='Bonding Program'!$C$8,CX$3=IF('Bonding Program'!$P$47&lt;&gt;"",'Bonding Program'!$P$47,'Bonding Program'!$C$8)),'Bonding Program'!$Z$47,0)+IF(AND('Bonding Program'!$P$47&lt;&gt;"",CX$3='Bonding Program'!$P$47,CX$3&lt;='Bonding Program'!$C$8),N('Bonding Program'!$O$47),0)</f>
        <v>0</v>
      </c>
      <c r="CY188" s="19" t="n">
        <f aca="false">IF(AND('Bonding Program'!$S$47=1,'Bonding Program'!$H$47&gt;'Bonding Program'!$C$8,CY$3='Bonding Program'!$H$47),'Bonding Program'!$T$47-'Bonding Program'!$U$47-'Bonding Program'!$Z$47,0)-IF(AND('Bonding Program'!$S$47=1,'Bonding Program'!$H$47&lt;='Bonding Program'!$C$8,CY$3=IF('Bonding Program'!$P$47&lt;&gt;"",'Bonding Program'!$P$47,'Bonding Program'!$C$8)),'Bonding Program'!$Z$47,0)+IF(AND('Bonding Program'!$P$47&lt;&gt;"",CY$3='Bonding Program'!$P$47,CY$3&lt;='Bonding Program'!$C$8),N('Bonding Program'!$O$47),0)</f>
        <v>0</v>
      </c>
      <c r="CZ188" s="19" t="n">
        <f aca="false">IF(AND('Bonding Program'!$S$47=1,'Bonding Program'!$H$47&gt;'Bonding Program'!$C$8,CZ$3='Bonding Program'!$H$47),'Bonding Program'!$T$47-'Bonding Program'!$U$47-'Bonding Program'!$Z$47,0)-IF(AND('Bonding Program'!$S$47=1,'Bonding Program'!$H$47&lt;='Bonding Program'!$C$8,CZ$3=IF('Bonding Program'!$P$47&lt;&gt;"",'Bonding Program'!$P$47,'Bonding Program'!$C$8)),'Bonding Program'!$Z$47,0)+IF(AND('Bonding Program'!$P$47&lt;&gt;"",CZ$3='Bonding Program'!$P$47,CZ$3&lt;='Bonding Program'!$C$8),N('Bonding Program'!$O$47),0)</f>
        <v>0</v>
      </c>
      <c r="DA188" s="19" t="n">
        <f aca="false">IF(AND('Bonding Program'!$S$47=1,'Bonding Program'!$H$47&gt;'Bonding Program'!$C$8,DA$3='Bonding Program'!$H$47),'Bonding Program'!$T$47-'Bonding Program'!$U$47-'Bonding Program'!$Z$47,0)-IF(AND('Bonding Program'!$S$47=1,'Bonding Program'!$H$47&lt;='Bonding Program'!$C$8,DA$3=IF('Bonding Program'!$P$47&lt;&gt;"",'Bonding Program'!$P$47,'Bonding Program'!$C$8)),'Bonding Program'!$Z$47,0)+IF(AND('Bonding Program'!$P$47&lt;&gt;"",DA$3='Bonding Program'!$P$47,DA$3&lt;='Bonding Program'!$C$8),N('Bonding Program'!$O$47),0)</f>
        <v>0</v>
      </c>
      <c r="DB188" s="19" t="n">
        <f aca="false">IF(AND('Bonding Program'!$S$47=1,'Bonding Program'!$H$47&gt;'Bonding Program'!$C$8,DB$3='Bonding Program'!$H$47),'Bonding Program'!$T$47-'Bonding Program'!$U$47-'Bonding Program'!$Z$47,0)-IF(AND('Bonding Program'!$S$47=1,'Bonding Program'!$H$47&lt;='Bonding Program'!$C$8,DB$3=IF('Bonding Program'!$P$47&lt;&gt;"",'Bonding Program'!$P$47,'Bonding Program'!$C$8)),'Bonding Program'!$Z$47,0)+IF(AND('Bonding Program'!$P$47&lt;&gt;"",DB$3='Bonding Program'!$P$47,DB$3&lt;='Bonding Program'!$C$8),N('Bonding Program'!$O$47),0)</f>
        <v>0</v>
      </c>
      <c r="DC188" s="19" t="n">
        <f aca="false">IF(AND('Bonding Program'!$S$47=1,'Bonding Program'!$H$47&gt;'Bonding Program'!$C$8,DC$3='Bonding Program'!$H$47),'Bonding Program'!$T$47-'Bonding Program'!$U$47-'Bonding Program'!$Z$47,0)-IF(AND('Bonding Program'!$S$47=1,'Bonding Program'!$H$47&lt;='Bonding Program'!$C$8,DC$3=IF('Bonding Program'!$P$47&lt;&gt;"",'Bonding Program'!$P$47,'Bonding Program'!$C$8)),'Bonding Program'!$Z$47,0)+IF(AND('Bonding Program'!$P$47&lt;&gt;"",DC$3='Bonding Program'!$P$47,DC$3&lt;='Bonding Program'!$C$8),N('Bonding Program'!$O$47),0)</f>
        <v>0</v>
      </c>
      <c r="DD188" s="19" t="n">
        <f aca="false">IF(AND('Bonding Program'!$S$47=1,'Bonding Program'!$H$47&gt;'Bonding Program'!$C$8,DD$3='Bonding Program'!$H$47),'Bonding Program'!$T$47-'Bonding Program'!$U$47-'Bonding Program'!$Z$47,0)-IF(AND('Bonding Program'!$S$47=1,'Bonding Program'!$H$47&lt;='Bonding Program'!$C$8,DD$3=IF('Bonding Program'!$P$47&lt;&gt;"",'Bonding Program'!$P$47,'Bonding Program'!$C$8)),'Bonding Program'!$Z$47,0)+IF(AND('Bonding Program'!$P$47&lt;&gt;"",DD$3='Bonding Program'!$P$47,DD$3&lt;='Bonding Program'!$C$8),N('Bonding Program'!$O$47),0)</f>
        <v>0</v>
      </c>
      <c r="DE188" s="19" t="n">
        <f aca="false">IF(AND('Bonding Program'!$S$47=1,'Bonding Program'!$H$47&gt;'Bonding Program'!$C$8,DE$3='Bonding Program'!$H$47),'Bonding Program'!$T$47-'Bonding Program'!$U$47-'Bonding Program'!$Z$47,0)-IF(AND('Bonding Program'!$S$47=1,'Bonding Program'!$H$47&lt;='Bonding Program'!$C$8,DE$3=IF('Bonding Program'!$P$47&lt;&gt;"",'Bonding Program'!$P$47,'Bonding Program'!$C$8)),'Bonding Program'!$Z$47,0)+IF(AND('Bonding Program'!$P$47&lt;&gt;"",DE$3='Bonding Program'!$P$47,DE$3&lt;='Bonding Program'!$C$8),N('Bonding Program'!$O$47),0)</f>
        <v>0</v>
      </c>
    </row>
    <row r="189" customFormat="false" ht="15" hidden="false" customHeight="true" outlineLevel="1" collapsed="false">
      <c r="A189" s="28" t="s">
        <v>44</v>
      </c>
      <c r="B189" s="19" t="n">
        <f aca="false">IF(AND('Bonding Program'!$S$48=1,'Bonding Program'!$H$48&gt;'Bonding Program'!$C$8,B$3='Bonding Program'!$H$48),'Bonding Program'!$T$48-'Bonding Program'!$U$48-'Bonding Program'!$Z$48,0)-IF(AND('Bonding Program'!$S$48=1,'Bonding Program'!$H$48&lt;='Bonding Program'!$C$8,B$3=IF('Bonding Program'!$P$48&lt;&gt;"",'Bonding Program'!$P$48,'Bonding Program'!$C$8)),'Bonding Program'!$Z$48,0)+IF(AND('Bonding Program'!$P$48&lt;&gt;"",B$3='Bonding Program'!$P$48,B$3&lt;='Bonding Program'!$C$8),N('Bonding Program'!$O$48),0)</f>
        <v>0</v>
      </c>
      <c r="C189" s="19" t="n">
        <f aca="false">IF(AND('Bonding Program'!$S$48=1,'Bonding Program'!$H$48&gt;'Bonding Program'!$C$8,C$3='Bonding Program'!$H$48),'Bonding Program'!$T$48-'Bonding Program'!$U$48-'Bonding Program'!$Z$48,0)-IF(AND('Bonding Program'!$S$48=1,'Bonding Program'!$H$48&lt;='Bonding Program'!$C$8,C$3=IF('Bonding Program'!$P$48&lt;&gt;"",'Bonding Program'!$P$48,'Bonding Program'!$C$8)),'Bonding Program'!$Z$48,0)+IF(AND('Bonding Program'!$P$48&lt;&gt;"",C$3='Bonding Program'!$P$48,C$3&lt;='Bonding Program'!$C$8),N('Bonding Program'!$O$48),0)</f>
        <v>0</v>
      </c>
      <c r="D189" s="19" t="n">
        <f aca="false">IF(AND('Bonding Program'!$S$48=1,'Bonding Program'!$H$48&gt;'Bonding Program'!$C$8,D$3='Bonding Program'!$H$48),'Bonding Program'!$T$48-'Bonding Program'!$U$48-'Bonding Program'!$Z$48,0)-IF(AND('Bonding Program'!$S$48=1,'Bonding Program'!$H$48&lt;='Bonding Program'!$C$8,D$3=IF('Bonding Program'!$P$48&lt;&gt;"",'Bonding Program'!$P$48,'Bonding Program'!$C$8)),'Bonding Program'!$Z$48,0)+IF(AND('Bonding Program'!$P$48&lt;&gt;"",D$3='Bonding Program'!$P$48,D$3&lt;='Bonding Program'!$C$8),N('Bonding Program'!$O$48),0)</f>
        <v>0</v>
      </c>
      <c r="E189" s="19" t="n">
        <f aca="false">IF(AND('Bonding Program'!$S$48=1,'Bonding Program'!$H$48&gt;'Bonding Program'!$C$8,E$3='Bonding Program'!$H$48),'Bonding Program'!$T$48-'Bonding Program'!$U$48-'Bonding Program'!$Z$48,0)-IF(AND('Bonding Program'!$S$48=1,'Bonding Program'!$H$48&lt;='Bonding Program'!$C$8,E$3=IF('Bonding Program'!$P$48&lt;&gt;"",'Bonding Program'!$P$48,'Bonding Program'!$C$8)),'Bonding Program'!$Z$48,0)+IF(AND('Bonding Program'!$P$48&lt;&gt;"",E$3='Bonding Program'!$P$48,E$3&lt;='Bonding Program'!$C$8),N('Bonding Program'!$O$48),0)</f>
        <v>0</v>
      </c>
      <c r="F189" s="19" t="n">
        <f aca="false">IF(AND('Bonding Program'!$S$48=1,'Bonding Program'!$H$48&gt;'Bonding Program'!$C$8,F$3='Bonding Program'!$H$48),'Bonding Program'!$T$48-'Bonding Program'!$U$48-'Bonding Program'!$Z$48,0)-IF(AND('Bonding Program'!$S$48=1,'Bonding Program'!$H$48&lt;='Bonding Program'!$C$8,F$3=IF('Bonding Program'!$P$48&lt;&gt;"",'Bonding Program'!$P$48,'Bonding Program'!$C$8)),'Bonding Program'!$Z$48,0)+IF(AND('Bonding Program'!$P$48&lt;&gt;"",F$3='Bonding Program'!$P$48,F$3&lt;='Bonding Program'!$C$8),N('Bonding Program'!$O$48),0)</f>
        <v>0</v>
      </c>
      <c r="G189" s="19" t="n">
        <f aca="false">IF(AND('Bonding Program'!$S$48=1,'Bonding Program'!$H$48&gt;'Bonding Program'!$C$8,G$3='Bonding Program'!$H$48),'Bonding Program'!$T$48-'Bonding Program'!$U$48-'Bonding Program'!$Z$48,0)-IF(AND('Bonding Program'!$S$48=1,'Bonding Program'!$H$48&lt;='Bonding Program'!$C$8,G$3=IF('Bonding Program'!$P$48&lt;&gt;"",'Bonding Program'!$P$48,'Bonding Program'!$C$8)),'Bonding Program'!$Z$48,0)+IF(AND('Bonding Program'!$P$48&lt;&gt;"",G$3='Bonding Program'!$P$48,G$3&lt;='Bonding Program'!$C$8),N('Bonding Program'!$O$48),0)</f>
        <v>0</v>
      </c>
      <c r="H189" s="19" t="n">
        <f aca="false">IF(AND('Bonding Program'!$S$48=1,'Bonding Program'!$H$48&gt;'Bonding Program'!$C$8,H$3='Bonding Program'!$H$48),'Bonding Program'!$T$48-'Bonding Program'!$U$48-'Bonding Program'!$Z$48,0)-IF(AND('Bonding Program'!$S$48=1,'Bonding Program'!$H$48&lt;='Bonding Program'!$C$8,H$3=IF('Bonding Program'!$P$48&lt;&gt;"",'Bonding Program'!$P$48,'Bonding Program'!$C$8)),'Bonding Program'!$Z$48,0)+IF(AND('Bonding Program'!$P$48&lt;&gt;"",H$3='Bonding Program'!$P$48,H$3&lt;='Bonding Program'!$C$8),N('Bonding Program'!$O$48),0)</f>
        <v>0</v>
      </c>
      <c r="I189" s="19" t="n">
        <f aca="false">IF(AND('Bonding Program'!$S$48=1,'Bonding Program'!$H$48&gt;'Bonding Program'!$C$8,I$3='Bonding Program'!$H$48),'Bonding Program'!$T$48-'Bonding Program'!$U$48-'Bonding Program'!$Z$48,0)-IF(AND('Bonding Program'!$S$48=1,'Bonding Program'!$H$48&lt;='Bonding Program'!$C$8,I$3=IF('Bonding Program'!$P$48&lt;&gt;"",'Bonding Program'!$P$48,'Bonding Program'!$C$8)),'Bonding Program'!$Z$48,0)+IF(AND('Bonding Program'!$P$48&lt;&gt;"",I$3='Bonding Program'!$P$48,I$3&lt;='Bonding Program'!$C$8),N('Bonding Program'!$O$48),0)</f>
        <v>0</v>
      </c>
      <c r="J189" s="19" t="n">
        <f aca="false">IF(AND('Bonding Program'!$S$48=1,'Bonding Program'!$H$48&gt;'Bonding Program'!$C$8,J$3='Bonding Program'!$H$48),'Bonding Program'!$T$48-'Bonding Program'!$U$48-'Bonding Program'!$Z$48,0)-IF(AND('Bonding Program'!$S$48=1,'Bonding Program'!$H$48&lt;='Bonding Program'!$C$8,J$3=IF('Bonding Program'!$P$48&lt;&gt;"",'Bonding Program'!$P$48,'Bonding Program'!$C$8)),'Bonding Program'!$Z$48,0)+IF(AND('Bonding Program'!$P$48&lt;&gt;"",J$3='Bonding Program'!$P$48,J$3&lt;='Bonding Program'!$C$8),N('Bonding Program'!$O$48),0)</f>
        <v>0</v>
      </c>
      <c r="K189" s="19" t="n">
        <f aca="false">IF(AND('Bonding Program'!$S$48=1,'Bonding Program'!$H$48&gt;'Bonding Program'!$C$8,K$3='Bonding Program'!$H$48),'Bonding Program'!$T$48-'Bonding Program'!$U$48-'Bonding Program'!$Z$48,0)-IF(AND('Bonding Program'!$S$48=1,'Bonding Program'!$H$48&lt;='Bonding Program'!$C$8,K$3=IF('Bonding Program'!$P$48&lt;&gt;"",'Bonding Program'!$P$48,'Bonding Program'!$C$8)),'Bonding Program'!$Z$48,0)+IF(AND('Bonding Program'!$P$48&lt;&gt;"",K$3='Bonding Program'!$P$48,K$3&lt;='Bonding Program'!$C$8),N('Bonding Program'!$O$48),0)</f>
        <v>0</v>
      </c>
      <c r="L189" s="19" t="n">
        <f aca="false">IF(AND('Bonding Program'!$S$48=1,'Bonding Program'!$H$48&gt;'Bonding Program'!$C$8,L$3='Bonding Program'!$H$48),'Bonding Program'!$T$48-'Bonding Program'!$U$48-'Bonding Program'!$Z$48,0)-IF(AND('Bonding Program'!$S$48=1,'Bonding Program'!$H$48&lt;='Bonding Program'!$C$8,L$3=IF('Bonding Program'!$P$48&lt;&gt;"",'Bonding Program'!$P$48,'Bonding Program'!$C$8)),'Bonding Program'!$Z$48,0)+IF(AND('Bonding Program'!$P$48&lt;&gt;"",L$3='Bonding Program'!$P$48,L$3&lt;='Bonding Program'!$C$8),N('Bonding Program'!$O$48),0)</f>
        <v>0</v>
      </c>
      <c r="M189" s="19" t="n">
        <f aca="false">IF(AND('Bonding Program'!$S$48=1,'Bonding Program'!$H$48&gt;'Bonding Program'!$C$8,M$3='Bonding Program'!$H$48),'Bonding Program'!$T$48-'Bonding Program'!$U$48-'Bonding Program'!$Z$48,0)-IF(AND('Bonding Program'!$S$48=1,'Bonding Program'!$H$48&lt;='Bonding Program'!$C$8,M$3=IF('Bonding Program'!$P$48&lt;&gt;"",'Bonding Program'!$P$48,'Bonding Program'!$C$8)),'Bonding Program'!$Z$48,0)+IF(AND('Bonding Program'!$P$48&lt;&gt;"",M$3='Bonding Program'!$P$48,M$3&lt;='Bonding Program'!$C$8),N('Bonding Program'!$O$48),0)</f>
        <v>0</v>
      </c>
      <c r="N189" s="19" t="n">
        <f aca="false">IF(AND('Bonding Program'!$S$48=1,'Bonding Program'!$H$48&gt;'Bonding Program'!$C$8,N$3='Bonding Program'!$H$48),'Bonding Program'!$T$48-'Bonding Program'!$U$48-'Bonding Program'!$Z$48,0)-IF(AND('Bonding Program'!$S$48=1,'Bonding Program'!$H$48&lt;='Bonding Program'!$C$8,N$3=IF('Bonding Program'!$P$48&lt;&gt;"",'Bonding Program'!$P$48,'Bonding Program'!$C$8)),'Bonding Program'!$Z$48,0)+IF(AND('Bonding Program'!$P$48&lt;&gt;"",N$3='Bonding Program'!$P$48,N$3&lt;='Bonding Program'!$C$8),N('Bonding Program'!$O$48),0)</f>
        <v>0</v>
      </c>
      <c r="O189" s="19" t="n">
        <f aca="false">IF(AND('Bonding Program'!$S$48=1,'Bonding Program'!$H$48&gt;'Bonding Program'!$C$8,O$3='Bonding Program'!$H$48),'Bonding Program'!$T$48-'Bonding Program'!$U$48-'Bonding Program'!$Z$48,0)-IF(AND('Bonding Program'!$S$48=1,'Bonding Program'!$H$48&lt;='Bonding Program'!$C$8,O$3=IF('Bonding Program'!$P$48&lt;&gt;"",'Bonding Program'!$P$48,'Bonding Program'!$C$8)),'Bonding Program'!$Z$48,0)+IF(AND('Bonding Program'!$P$48&lt;&gt;"",O$3='Bonding Program'!$P$48,O$3&lt;='Bonding Program'!$C$8),N('Bonding Program'!$O$48),0)</f>
        <v>0</v>
      </c>
      <c r="P189" s="19" t="n">
        <f aca="false">IF(AND('Bonding Program'!$S$48=1,'Bonding Program'!$H$48&gt;'Bonding Program'!$C$8,P$3='Bonding Program'!$H$48),'Bonding Program'!$T$48-'Bonding Program'!$U$48-'Bonding Program'!$Z$48,0)-IF(AND('Bonding Program'!$S$48=1,'Bonding Program'!$H$48&lt;='Bonding Program'!$C$8,P$3=IF('Bonding Program'!$P$48&lt;&gt;"",'Bonding Program'!$P$48,'Bonding Program'!$C$8)),'Bonding Program'!$Z$48,0)+IF(AND('Bonding Program'!$P$48&lt;&gt;"",P$3='Bonding Program'!$P$48,P$3&lt;='Bonding Program'!$C$8),N('Bonding Program'!$O$48),0)</f>
        <v>0</v>
      </c>
      <c r="Q189" s="19" t="n">
        <f aca="false">IF(AND('Bonding Program'!$S$48=1,'Bonding Program'!$H$48&gt;'Bonding Program'!$C$8,Q$3='Bonding Program'!$H$48),'Bonding Program'!$T$48-'Bonding Program'!$U$48-'Bonding Program'!$Z$48,0)-IF(AND('Bonding Program'!$S$48=1,'Bonding Program'!$H$48&lt;='Bonding Program'!$C$8,Q$3=IF('Bonding Program'!$P$48&lt;&gt;"",'Bonding Program'!$P$48,'Bonding Program'!$C$8)),'Bonding Program'!$Z$48,0)+IF(AND('Bonding Program'!$P$48&lt;&gt;"",Q$3='Bonding Program'!$P$48,Q$3&lt;='Bonding Program'!$C$8),N('Bonding Program'!$O$48),0)</f>
        <v>0</v>
      </c>
      <c r="R189" s="19" t="n">
        <f aca="false">IF(AND('Bonding Program'!$S$48=1,'Bonding Program'!$H$48&gt;'Bonding Program'!$C$8,R$3='Bonding Program'!$H$48),'Bonding Program'!$T$48-'Bonding Program'!$U$48-'Bonding Program'!$Z$48,0)-IF(AND('Bonding Program'!$S$48=1,'Bonding Program'!$H$48&lt;='Bonding Program'!$C$8,R$3=IF('Bonding Program'!$P$48&lt;&gt;"",'Bonding Program'!$P$48,'Bonding Program'!$C$8)),'Bonding Program'!$Z$48,0)+IF(AND('Bonding Program'!$P$48&lt;&gt;"",R$3='Bonding Program'!$P$48,R$3&lt;='Bonding Program'!$C$8),N('Bonding Program'!$O$48),0)</f>
        <v>0</v>
      </c>
      <c r="S189" s="19" t="n">
        <f aca="false">IF(AND('Bonding Program'!$S$48=1,'Bonding Program'!$H$48&gt;'Bonding Program'!$C$8,S$3='Bonding Program'!$H$48),'Bonding Program'!$T$48-'Bonding Program'!$U$48-'Bonding Program'!$Z$48,0)-IF(AND('Bonding Program'!$S$48=1,'Bonding Program'!$H$48&lt;='Bonding Program'!$C$8,S$3=IF('Bonding Program'!$P$48&lt;&gt;"",'Bonding Program'!$P$48,'Bonding Program'!$C$8)),'Bonding Program'!$Z$48,0)+IF(AND('Bonding Program'!$P$48&lt;&gt;"",S$3='Bonding Program'!$P$48,S$3&lt;='Bonding Program'!$C$8),N('Bonding Program'!$O$48),0)</f>
        <v>0</v>
      </c>
      <c r="T189" s="19" t="n">
        <f aca="false">IF(AND('Bonding Program'!$S$48=1,'Bonding Program'!$H$48&gt;'Bonding Program'!$C$8,T$3='Bonding Program'!$H$48),'Bonding Program'!$T$48-'Bonding Program'!$U$48-'Bonding Program'!$Z$48,0)-IF(AND('Bonding Program'!$S$48=1,'Bonding Program'!$H$48&lt;='Bonding Program'!$C$8,T$3=IF('Bonding Program'!$P$48&lt;&gt;"",'Bonding Program'!$P$48,'Bonding Program'!$C$8)),'Bonding Program'!$Z$48,0)+IF(AND('Bonding Program'!$P$48&lt;&gt;"",T$3='Bonding Program'!$P$48,T$3&lt;='Bonding Program'!$C$8),N('Bonding Program'!$O$48),0)</f>
        <v>0</v>
      </c>
      <c r="U189" s="19" t="n">
        <f aca="false">IF(AND('Bonding Program'!$S$48=1,'Bonding Program'!$H$48&gt;'Bonding Program'!$C$8,U$3='Bonding Program'!$H$48),'Bonding Program'!$T$48-'Bonding Program'!$U$48-'Bonding Program'!$Z$48,0)-IF(AND('Bonding Program'!$S$48=1,'Bonding Program'!$H$48&lt;='Bonding Program'!$C$8,U$3=IF('Bonding Program'!$P$48&lt;&gt;"",'Bonding Program'!$P$48,'Bonding Program'!$C$8)),'Bonding Program'!$Z$48,0)+IF(AND('Bonding Program'!$P$48&lt;&gt;"",U$3='Bonding Program'!$P$48,U$3&lt;='Bonding Program'!$C$8),N('Bonding Program'!$O$48),0)</f>
        <v>0</v>
      </c>
      <c r="V189" s="19" t="n">
        <f aca="false">IF(AND('Bonding Program'!$S$48=1,'Bonding Program'!$H$48&gt;'Bonding Program'!$C$8,V$3='Bonding Program'!$H$48),'Bonding Program'!$T$48-'Bonding Program'!$U$48-'Bonding Program'!$Z$48,0)-IF(AND('Bonding Program'!$S$48=1,'Bonding Program'!$H$48&lt;='Bonding Program'!$C$8,V$3=IF('Bonding Program'!$P$48&lt;&gt;"",'Bonding Program'!$P$48,'Bonding Program'!$C$8)),'Bonding Program'!$Z$48,0)+IF(AND('Bonding Program'!$P$48&lt;&gt;"",V$3='Bonding Program'!$P$48,V$3&lt;='Bonding Program'!$C$8),N('Bonding Program'!$O$48),0)</f>
        <v>0</v>
      </c>
      <c r="W189" s="19" t="n">
        <f aca="false">IF(AND('Bonding Program'!$S$48=1,'Bonding Program'!$H$48&gt;'Bonding Program'!$C$8,W$3='Bonding Program'!$H$48),'Bonding Program'!$T$48-'Bonding Program'!$U$48-'Bonding Program'!$Z$48,0)-IF(AND('Bonding Program'!$S$48=1,'Bonding Program'!$H$48&lt;='Bonding Program'!$C$8,W$3=IF('Bonding Program'!$P$48&lt;&gt;"",'Bonding Program'!$P$48,'Bonding Program'!$C$8)),'Bonding Program'!$Z$48,0)+IF(AND('Bonding Program'!$P$48&lt;&gt;"",W$3='Bonding Program'!$P$48,W$3&lt;='Bonding Program'!$C$8),N('Bonding Program'!$O$48),0)</f>
        <v>0</v>
      </c>
      <c r="X189" s="19" t="n">
        <f aca="false">IF(AND('Bonding Program'!$S$48=1,'Bonding Program'!$H$48&gt;'Bonding Program'!$C$8,X$3='Bonding Program'!$H$48),'Bonding Program'!$T$48-'Bonding Program'!$U$48-'Bonding Program'!$Z$48,0)-IF(AND('Bonding Program'!$S$48=1,'Bonding Program'!$H$48&lt;='Bonding Program'!$C$8,X$3=IF('Bonding Program'!$P$48&lt;&gt;"",'Bonding Program'!$P$48,'Bonding Program'!$C$8)),'Bonding Program'!$Z$48,0)+IF(AND('Bonding Program'!$P$48&lt;&gt;"",X$3='Bonding Program'!$P$48,X$3&lt;='Bonding Program'!$C$8),N('Bonding Program'!$O$48),0)</f>
        <v>0</v>
      </c>
      <c r="Y189" s="19" t="n">
        <f aca="false">IF(AND('Bonding Program'!$S$48=1,'Bonding Program'!$H$48&gt;'Bonding Program'!$C$8,Y$3='Bonding Program'!$H$48),'Bonding Program'!$T$48-'Bonding Program'!$U$48-'Bonding Program'!$Z$48,0)-IF(AND('Bonding Program'!$S$48=1,'Bonding Program'!$H$48&lt;='Bonding Program'!$C$8,Y$3=IF('Bonding Program'!$P$48&lt;&gt;"",'Bonding Program'!$P$48,'Bonding Program'!$C$8)),'Bonding Program'!$Z$48,0)+IF(AND('Bonding Program'!$P$48&lt;&gt;"",Y$3='Bonding Program'!$P$48,Y$3&lt;='Bonding Program'!$C$8),N('Bonding Program'!$O$48),0)</f>
        <v>0</v>
      </c>
      <c r="Z189" s="19" t="n">
        <f aca="false">IF(AND('Bonding Program'!$S$48=1,'Bonding Program'!$H$48&gt;'Bonding Program'!$C$8,Z$3='Bonding Program'!$H$48),'Bonding Program'!$T$48-'Bonding Program'!$U$48-'Bonding Program'!$Z$48,0)-IF(AND('Bonding Program'!$S$48=1,'Bonding Program'!$H$48&lt;='Bonding Program'!$C$8,Z$3=IF('Bonding Program'!$P$48&lt;&gt;"",'Bonding Program'!$P$48,'Bonding Program'!$C$8)),'Bonding Program'!$Z$48,0)+IF(AND('Bonding Program'!$P$48&lt;&gt;"",Z$3='Bonding Program'!$P$48,Z$3&lt;='Bonding Program'!$C$8),N('Bonding Program'!$O$48),0)</f>
        <v>0</v>
      </c>
      <c r="AA189" s="19" t="n">
        <f aca="false">IF(AND('Bonding Program'!$S$48=1,'Bonding Program'!$H$48&gt;'Bonding Program'!$C$8,AA$3='Bonding Program'!$H$48),'Bonding Program'!$T$48-'Bonding Program'!$U$48-'Bonding Program'!$Z$48,0)-IF(AND('Bonding Program'!$S$48=1,'Bonding Program'!$H$48&lt;='Bonding Program'!$C$8,AA$3=IF('Bonding Program'!$P$48&lt;&gt;"",'Bonding Program'!$P$48,'Bonding Program'!$C$8)),'Bonding Program'!$Z$48,0)+IF(AND('Bonding Program'!$P$48&lt;&gt;"",AA$3='Bonding Program'!$P$48,AA$3&lt;='Bonding Program'!$C$8),N('Bonding Program'!$O$48),0)</f>
        <v>0</v>
      </c>
      <c r="AB189" s="19" t="n">
        <f aca="false">IF(AND('Bonding Program'!$S$48=1,'Bonding Program'!$H$48&gt;'Bonding Program'!$C$8,AB$3='Bonding Program'!$H$48),'Bonding Program'!$T$48-'Bonding Program'!$U$48-'Bonding Program'!$Z$48,0)-IF(AND('Bonding Program'!$S$48=1,'Bonding Program'!$H$48&lt;='Bonding Program'!$C$8,AB$3=IF('Bonding Program'!$P$48&lt;&gt;"",'Bonding Program'!$P$48,'Bonding Program'!$C$8)),'Bonding Program'!$Z$48,0)+IF(AND('Bonding Program'!$P$48&lt;&gt;"",AB$3='Bonding Program'!$P$48,AB$3&lt;='Bonding Program'!$C$8),N('Bonding Program'!$O$48),0)</f>
        <v>0</v>
      </c>
      <c r="AC189" s="19" t="n">
        <f aca="false">IF(AND('Bonding Program'!$S$48=1,'Bonding Program'!$H$48&gt;'Bonding Program'!$C$8,AC$3='Bonding Program'!$H$48),'Bonding Program'!$T$48-'Bonding Program'!$U$48-'Bonding Program'!$Z$48,0)-IF(AND('Bonding Program'!$S$48=1,'Bonding Program'!$H$48&lt;='Bonding Program'!$C$8,AC$3=IF('Bonding Program'!$P$48&lt;&gt;"",'Bonding Program'!$P$48,'Bonding Program'!$C$8)),'Bonding Program'!$Z$48,0)+IF(AND('Bonding Program'!$P$48&lt;&gt;"",AC$3='Bonding Program'!$P$48,AC$3&lt;='Bonding Program'!$C$8),N('Bonding Program'!$O$48),0)</f>
        <v>0</v>
      </c>
      <c r="AD189" s="19" t="n">
        <f aca="false">IF(AND('Bonding Program'!$S$48=1,'Bonding Program'!$H$48&gt;'Bonding Program'!$C$8,AD$3='Bonding Program'!$H$48),'Bonding Program'!$T$48-'Bonding Program'!$U$48-'Bonding Program'!$Z$48,0)-IF(AND('Bonding Program'!$S$48=1,'Bonding Program'!$H$48&lt;='Bonding Program'!$C$8,AD$3=IF('Bonding Program'!$P$48&lt;&gt;"",'Bonding Program'!$P$48,'Bonding Program'!$C$8)),'Bonding Program'!$Z$48,0)+IF(AND('Bonding Program'!$P$48&lt;&gt;"",AD$3='Bonding Program'!$P$48,AD$3&lt;='Bonding Program'!$C$8),N('Bonding Program'!$O$48),0)</f>
        <v>0</v>
      </c>
      <c r="AE189" s="19" t="n">
        <f aca="false">IF(AND('Bonding Program'!$S$48=1,'Bonding Program'!$H$48&gt;'Bonding Program'!$C$8,AE$3='Bonding Program'!$H$48),'Bonding Program'!$T$48-'Bonding Program'!$U$48-'Bonding Program'!$Z$48,0)-IF(AND('Bonding Program'!$S$48=1,'Bonding Program'!$H$48&lt;='Bonding Program'!$C$8,AE$3=IF('Bonding Program'!$P$48&lt;&gt;"",'Bonding Program'!$P$48,'Bonding Program'!$C$8)),'Bonding Program'!$Z$48,0)+IF(AND('Bonding Program'!$P$48&lt;&gt;"",AE$3='Bonding Program'!$P$48,AE$3&lt;='Bonding Program'!$C$8),N('Bonding Program'!$O$48),0)</f>
        <v>0</v>
      </c>
      <c r="AF189" s="19" t="n">
        <f aca="false">IF(AND('Bonding Program'!$S$48=1,'Bonding Program'!$H$48&gt;'Bonding Program'!$C$8,AF$3='Bonding Program'!$H$48),'Bonding Program'!$T$48-'Bonding Program'!$U$48-'Bonding Program'!$Z$48,0)-IF(AND('Bonding Program'!$S$48=1,'Bonding Program'!$H$48&lt;='Bonding Program'!$C$8,AF$3=IF('Bonding Program'!$P$48&lt;&gt;"",'Bonding Program'!$P$48,'Bonding Program'!$C$8)),'Bonding Program'!$Z$48,0)+IF(AND('Bonding Program'!$P$48&lt;&gt;"",AF$3='Bonding Program'!$P$48,AF$3&lt;='Bonding Program'!$C$8),N('Bonding Program'!$O$48),0)</f>
        <v>0</v>
      </c>
      <c r="AG189" s="19" t="n">
        <f aca="false">IF(AND('Bonding Program'!$S$48=1,'Bonding Program'!$H$48&gt;'Bonding Program'!$C$8,AG$3='Bonding Program'!$H$48),'Bonding Program'!$T$48-'Bonding Program'!$U$48-'Bonding Program'!$Z$48,0)-IF(AND('Bonding Program'!$S$48=1,'Bonding Program'!$H$48&lt;='Bonding Program'!$C$8,AG$3=IF('Bonding Program'!$P$48&lt;&gt;"",'Bonding Program'!$P$48,'Bonding Program'!$C$8)),'Bonding Program'!$Z$48,0)+IF(AND('Bonding Program'!$P$48&lt;&gt;"",AG$3='Bonding Program'!$P$48,AG$3&lt;='Bonding Program'!$C$8),N('Bonding Program'!$O$48),0)</f>
        <v>0</v>
      </c>
      <c r="AH189" s="19" t="n">
        <f aca="false">IF(AND('Bonding Program'!$S$48=1,'Bonding Program'!$H$48&gt;'Bonding Program'!$C$8,AH$3='Bonding Program'!$H$48),'Bonding Program'!$T$48-'Bonding Program'!$U$48-'Bonding Program'!$Z$48,0)-IF(AND('Bonding Program'!$S$48=1,'Bonding Program'!$H$48&lt;='Bonding Program'!$C$8,AH$3=IF('Bonding Program'!$P$48&lt;&gt;"",'Bonding Program'!$P$48,'Bonding Program'!$C$8)),'Bonding Program'!$Z$48,0)+IF(AND('Bonding Program'!$P$48&lt;&gt;"",AH$3='Bonding Program'!$P$48,AH$3&lt;='Bonding Program'!$C$8),N('Bonding Program'!$O$48),0)</f>
        <v>0</v>
      </c>
      <c r="AI189" s="19" t="n">
        <f aca="false">IF(AND('Bonding Program'!$S$48=1,'Bonding Program'!$H$48&gt;'Bonding Program'!$C$8,AI$3='Bonding Program'!$H$48),'Bonding Program'!$T$48-'Bonding Program'!$U$48-'Bonding Program'!$Z$48,0)-IF(AND('Bonding Program'!$S$48=1,'Bonding Program'!$H$48&lt;='Bonding Program'!$C$8,AI$3=IF('Bonding Program'!$P$48&lt;&gt;"",'Bonding Program'!$P$48,'Bonding Program'!$C$8)),'Bonding Program'!$Z$48,0)+IF(AND('Bonding Program'!$P$48&lt;&gt;"",AI$3='Bonding Program'!$P$48,AI$3&lt;='Bonding Program'!$C$8),N('Bonding Program'!$O$48),0)</f>
        <v>0</v>
      </c>
      <c r="AJ189" s="19" t="n">
        <f aca="false">IF(AND('Bonding Program'!$S$48=1,'Bonding Program'!$H$48&gt;'Bonding Program'!$C$8,AJ$3='Bonding Program'!$H$48),'Bonding Program'!$T$48-'Bonding Program'!$U$48-'Bonding Program'!$Z$48,0)-IF(AND('Bonding Program'!$S$48=1,'Bonding Program'!$H$48&lt;='Bonding Program'!$C$8,AJ$3=IF('Bonding Program'!$P$48&lt;&gt;"",'Bonding Program'!$P$48,'Bonding Program'!$C$8)),'Bonding Program'!$Z$48,0)+IF(AND('Bonding Program'!$P$48&lt;&gt;"",AJ$3='Bonding Program'!$P$48,AJ$3&lt;='Bonding Program'!$C$8),N('Bonding Program'!$O$48),0)</f>
        <v>0</v>
      </c>
      <c r="AK189" s="19" t="n">
        <f aca="false">IF(AND('Bonding Program'!$S$48=1,'Bonding Program'!$H$48&gt;'Bonding Program'!$C$8,AK$3='Bonding Program'!$H$48),'Bonding Program'!$T$48-'Bonding Program'!$U$48-'Bonding Program'!$Z$48,0)-IF(AND('Bonding Program'!$S$48=1,'Bonding Program'!$H$48&lt;='Bonding Program'!$C$8,AK$3=IF('Bonding Program'!$P$48&lt;&gt;"",'Bonding Program'!$P$48,'Bonding Program'!$C$8)),'Bonding Program'!$Z$48,0)+IF(AND('Bonding Program'!$P$48&lt;&gt;"",AK$3='Bonding Program'!$P$48,AK$3&lt;='Bonding Program'!$C$8),N('Bonding Program'!$O$48),0)</f>
        <v>0</v>
      </c>
      <c r="AL189" s="19" t="n">
        <f aca="false">IF(AND('Bonding Program'!$S$48=1,'Bonding Program'!$H$48&gt;'Bonding Program'!$C$8,AL$3='Bonding Program'!$H$48),'Bonding Program'!$T$48-'Bonding Program'!$U$48-'Bonding Program'!$Z$48,0)-IF(AND('Bonding Program'!$S$48=1,'Bonding Program'!$H$48&lt;='Bonding Program'!$C$8,AL$3=IF('Bonding Program'!$P$48&lt;&gt;"",'Bonding Program'!$P$48,'Bonding Program'!$C$8)),'Bonding Program'!$Z$48,0)+IF(AND('Bonding Program'!$P$48&lt;&gt;"",AL$3='Bonding Program'!$P$48,AL$3&lt;='Bonding Program'!$C$8),N('Bonding Program'!$O$48),0)</f>
        <v>0</v>
      </c>
      <c r="AM189" s="19" t="n">
        <f aca="false">IF(AND('Bonding Program'!$S$48=1,'Bonding Program'!$H$48&gt;'Bonding Program'!$C$8,AM$3='Bonding Program'!$H$48),'Bonding Program'!$T$48-'Bonding Program'!$U$48-'Bonding Program'!$Z$48,0)-IF(AND('Bonding Program'!$S$48=1,'Bonding Program'!$H$48&lt;='Bonding Program'!$C$8,AM$3=IF('Bonding Program'!$P$48&lt;&gt;"",'Bonding Program'!$P$48,'Bonding Program'!$C$8)),'Bonding Program'!$Z$48,0)+IF(AND('Bonding Program'!$P$48&lt;&gt;"",AM$3='Bonding Program'!$P$48,AM$3&lt;='Bonding Program'!$C$8),N('Bonding Program'!$O$48),0)</f>
        <v>0</v>
      </c>
      <c r="AN189" s="19" t="n">
        <f aca="false">IF(AND('Bonding Program'!$S$48=1,'Bonding Program'!$H$48&gt;'Bonding Program'!$C$8,AN$3='Bonding Program'!$H$48),'Bonding Program'!$T$48-'Bonding Program'!$U$48-'Bonding Program'!$Z$48,0)-IF(AND('Bonding Program'!$S$48=1,'Bonding Program'!$H$48&lt;='Bonding Program'!$C$8,AN$3=IF('Bonding Program'!$P$48&lt;&gt;"",'Bonding Program'!$P$48,'Bonding Program'!$C$8)),'Bonding Program'!$Z$48,0)+IF(AND('Bonding Program'!$P$48&lt;&gt;"",AN$3='Bonding Program'!$P$48,AN$3&lt;='Bonding Program'!$C$8),N('Bonding Program'!$O$48),0)</f>
        <v>0</v>
      </c>
      <c r="AO189" s="19" t="n">
        <f aca="false">IF(AND('Bonding Program'!$S$48=1,'Bonding Program'!$H$48&gt;'Bonding Program'!$C$8,AO$3='Bonding Program'!$H$48),'Bonding Program'!$T$48-'Bonding Program'!$U$48-'Bonding Program'!$Z$48,0)-IF(AND('Bonding Program'!$S$48=1,'Bonding Program'!$H$48&lt;='Bonding Program'!$C$8,AO$3=IF('Bonding Program'!$P$48&lt;&gt;"",'Bonding Program'!$P$48,'Bonding Program'!$C$8)),'Bonding Program'!$Z$48,0)+IF(AND('Bonding Program'!$P$48&lt;&gt;"",AO$3='Bonding Program'!$P$48,AO$3&lt;='Bonding Program'!$C$8),N('Bonding Program'!$O$48),0)</f>
        <v>0</v>
      </c>
      <c r="AP189" s="19" t="n">
        <f aca="false">IF(AND('Bonding Program'!$S$48=1,'Bonding Program'!$H$48&gt;'Bonding Program'!$C$8,AP$3='Bonding Program'!$H$48),'Bonding Program'!$T$48-'Bonding Program'!$U$48-'Bonding Program'!$Z$48,0)-IF(AND('Bonding Program'!$S$48=1,'Bonding Program'!$H$48&lt;='Bonding Program'!$C$8,AP$3=IF('Bonding Program'!$P$48&lt;&gt;"",'Bonding Program'!$P$48,'Bonding Program'!$C$8)),'Bonding Program'!$Z$48,0)+IF(AND('Bonding Program'!$P$48&lt;&gt;"",AP$3='Bonding Program'!$P$48,AP$3&lt;='Bonding Program'!$C$8),N('Bonding Program'!$O$48),0)</f>
        <v>0</v>
      </c>
      <c r="AQ189" s="19" t="n">
        <f aca="false">IF(AND('Bonding Program'!$S$48=1,'Bonding Program'!$H$48&gt;'Bonding Program'!$C$8,AQ$3='Bonding Program'!$H$48),'Bonding Program'!$T$48-'Bonding Program'!$U$48-'Bonding Program'!$Z$48,0)-IF(AND('Bonding Program'!$S$48=1,'Bonding Program'!$H$48&lt;='Bonding Program'!$C$8,AQ$3=IF('Bonding Program'!$P$48&lt;&gt;"",'Bonding Program'!$P$48,'Bonding Program'!$C$8)),'Bonding Program'!$Z$48,0)+IF(AND('Bonding Program'!$P$48&lt;&gt;"",AQ$3='Bonding Program'!$P$48,AQ$3&lt;='Bonding Program'!$C$8),N('Bonding Program'!$O$48),0)</f>
        <v>0</v>
      </c>
      <c r="AR189" s="19" t="n">
        <f aca="false">IF(AND('Bonding Program'!$S$48=1,'Bonding Program'!$H$48&gt;'Bonding Program'!$C$8,AR$3='Bonding Program'!$H$48),'Bonding Program'!$T$48-'Bonding Program'!$U$48-'Bonding Program'!$Z$48,0)-IF(AND('Bonding Program'!$S$48=1,'Bonding Program'!$H$48&lt;='Bonding Program'!$C$8,AR$3=IF('Bonding Program'!$P$48&lt;&gt;"",'Bonding Program'!$P$48,'Bonding Program'!$C$8)),'Bonding Program'!$Z$48,0)+IF(AND('Bonding Program'!$P$48&lt;&gt;"",AR$3='Bonding Program'!$P$48,AR$3&lt;='Bonding Program'!$C$8),N('Bonding Program'!$O$48),0)</f>
        <v>0</v>
      </c>
      <c r="AS189" s="19" t="n">
        <f aca="false">IF(AND('Bonding Program'!$S$48=1,'Bonding Program'!$H$48&gt;'Bonding Program'!$C$8,AS$3='Bonding Program'!$H$48),'Bonding Program'!$T$48-'Bonding Program'!$U$48-'Bonding Program'!$Z$48,0)-IF(AND('Bonding Program'!$S$48=1,'Bonding Program'!$H$48&lt;='Bonding Program'!$C$8,AS$3=IF('Bonding Program'!$P$48&lt;&gt;"",'Bonding Program'!$P$48,'Bonding Program'!$C$8)),'Bonding Program'!$Z$48,0)+IF(AND('Bonding Program'!$P$48&lt;&gt;"",AS$3='Bonding Program'!$P$48,AS$3&lt;='Bonding Program'!$C$8),N('Bonding Program'!$O$48),0)</f>
        <v>0</v>
      </c>
      <c r="AT189" s="19" t="n">
        <f aca="false">IF(AND('Bonding Program'!$S$48=1,'Bonding Program'!$H$48&gt;'Bonding Program'!$C$8,AT$3='Bonding Program'!$H$48),'Bonding Program'!$T$48-'Bonding Program'!$U$48-'Bonding Program'!$Z$48,0)-IF(AND('Bonding Program'!$S$48=1,'Bonding Program'!$H$48&lt;='Bonding Program'!$C$8,AT$3=IF('Bonding Program'!$P$48&lt;&gt;"",'Bonding Program'!$P$48,'Bonding Program'!$C$8)),'Bonding Program'!$Z$48,0)+IF(AND('Bonding Program'!$P$48&lt;&gt;"",AT$3='Bonding Program'!$P$48,AT$3&lt;='Bonding Program'!$C$8),N('Bonding Program'!$O$48),0)</f>
        <v>0</v>
      </c>
      <c r="AU189" s="19" t="n">
        <f aca="false">IF(AND('Bonding Program'!$S$48=1,'Bonding Program'!$H$48&gt;'Bonding Program'!$C$8,AU$3='Bonding Program'!$H$48),'Bonding Program'!$T$48-'Bonding Program'!$U$48-'Bonding Program'!$Z$48,0)-IF(AND('Bonding Program'!$S$48=1,'Bonding Program'!$H$48&lt;='Bonding Program'!$C$8,AU$3=IF('Bonding Program'!$P$48&lt;&gt;"",'Bonding Program'!$P$48,'Bonding Program'!$C$8)),'Bonding Program'!$Z$48,0)+IF(AND('Bonding Program'!$P$48&lt;&gt;"",AU$3='Bonding Program'!$P$48,AU$3&lt;='Bonding Program'!$C$8),N('Bonding Program'!$O$48),0)</f>
        <v>0</v>
      </c>
      <c r="AV189" s="19" t="n">
        <f aca="false">IF(AND('Bonding Program'!$S$48=1,'Bonding Program'!$H$48&gt;'Bonding Program'!$C$8,AV$3='Bonding Program'!$H$48),'Bonding Program'!$T$48-'Bonding Program'!$U$48-'Bonding Program'!$Z$48,0)-IF(AND('Bonding Program'!$S$48=1,'Bonding Program'!$H$48&lt;='Bonding Program'!$C$8,AV$3=IF('Bonding Program'!$P$48&lt;&gt;"",'Bonding Program'!$P$48,'Bonding Program'!$C$8)),'Bonding Program'!$Z$48,0)+IF(AND('Bonding Program'!$P$48&lt;&gt;"",AV$3='Bonding Program'!$P$48,AV$3&lt;='Bonding Program'!$C$8),N('Bonding Program'!$O$48),0)</f>
        <v>0</v>
      </c>
      <c r="AW189" s="19" t="n">
        <f aca="false">IF(AND('Bonding Program'!$S$48=1,'Bonding Program'!$H$48&gt;'Bonding Program'!$C$8,AW$3='Bonding Program'!$H$48),'Bonding Program'!$T$48-'Bonding Program'!$U$48-'Bonding Program'!$Z$48,0)-IF(AND('Bonding Program'!$S$48=1,'Bonding Program'!$H$48&lt;='Bonding Program'!$C$8,AW$3=IF('Bonding Program'!$P$48&lt;&gt;"",'Bonding Program'!$P$48,'Bonding Program'!$C$8)),'Bonding Program'!$Z$48,0)+IF(AND('Bonding Program'!$P$48&lt;&gt;"",AW$3='Bonding Program'!$P$48,AW$3&lt;='Bonding Program'!$C$8),N('Bonding Program'!$O$48),0)</f>
        <v>0</v>
      </c>
      <c r="AX189" s="19" t="n">
        <f aca="false">IF(AND('Bonding Program'!$S$48=1,'Bonding Program'!$H$48&gt;'Bonding Program'!$C$8,AX$3='Bonding Program'!$H$48),'Bonding Program'!$T$48-'Bonding Program'!$U$48-'Bonding Program'!$Z$48,0)-IF(AND('Bonding Program'!$S$48=1,'Bonding Program'!$H$48&lt;='Bonding Program'!$C$8,AX$3=IF('Bonding Program'!$P$48&lt;&gt;"",'Bonding Program'!$P$48,'Bonding Program'!$C$8)),'Bonding Program'!$Z$48,0)+IF(AND('Bonding Program'!$P$48&lt;&gt;"",AX$3='Bonding Program'!$P$48,AX$3&lt;='Bonding Program'!$C$8),N('Bonding Program'!$O$48),0)</f>
        <v>0</v>
      </c>
      <c r="AY189" s="19" t="n">
        <f aca="false">IF(AND('Bonding Program'!$S$48=1,'Bonding Program'!$H$48&gt;'Bonding Program'!$C$8,AY$3='Bonding Program'!$H$48),'Bonding Program'!$T$48-'Bonding Program'!$U$48-'Bonding Program'!$Z$48,0)-IF(AND('Bonding Program'!$S$48=1,'Bonding Program'!$H$48&lt;='Bonding Program'!$C$8,AY$3=IF('Bonding Program'!$P$48&lt;&gt;"",'Bonding Program'!$P$48,'Bonding Program'!$C$8)),'Bonding Program'!$Z$48,0)+IF(AND('Bonding Program'!$P$48&lt;&gt;"",AY$3='Bonding Program'!$P$48,AY$3&lt;='Bonding Program'!$C$8),N('Bonding Program'!$O$48),0)</f>
        <v>0</v>
      </c>
      <c r="AZ189" s="19" t="n">
        <f aca="false">IF(AND('Bonding Program'!$S$48=1,'Bonding Program'!$H$48&gt;'Bonding Program'!$C$8,AZ$3='Bonding Program'!$H$48),'Bonding Program'!$T$48-'Bonding Program'!$U$48-'Bonding Program'!$Z$48,0)-IF(AND('Bonding Program'!$S$48=1,'Bonding Program'!$H$48&lt;='Bonding Program'!$C$8,AZ$3=IF('Bonding Program'!$P$48&lt;&gt;"",'Bonding Program'!$P$48,'Bonding Program'!$C$8)),'Bonding Program'!$Z$48,0)+IF(AND('Bonding Program'!$P$48&lt;&gt;"",AZ$3='Bonding Program'!$P$48,AZ$3&lt;='Bonding Program'!$C$8),N('Bonding Program'!$O$48),0)</f>
        <v>0</v>
      </c>
      <c r="BA189" s="19" t="n">
        <f aca="false">IF(AND('Bonding Program'!$S$48=1,'Bonding Program'!$H$48&gt;'Bonding Program'!$C$8,BA$3='Bonding Program'!$H$48),'Bonding Program'!$T$48-'Bonding Program'!$U$48-'Bonding Program'!$Z$48,0)-IF(AND('Bonding Program'!$S$48=1,'Bonding Program'!$H$48&lt;='Bonding Program'!$C$8,BA$3=IF('Bonding Program'!$P$48&lt;&gt;"",'Bonding Program'!$P$48,'Bonding Program'!$C$8)),'Bonding Program'!$Z$48,0)+IF(AND('Bonding Program'!$P$48&lt;&gt;"",BA$3='Bonding Program'!$P$48,BA$3&lt;='Bonding Program'!$C$8),N('Bonding Program'!$O$48),0)</f>
        <v>0</v>
      </c>
      <c r="BB189" s="19" t="n">
        <f aca="false">IF(AND('Bonding Program'!$S$48=1,'Bonding Program'!$H$48&gt;'Bonding Program'!$C$8,BB$3='Bonding Program'!$H$48),'Bonding Program'!$T$48-'Bonding Program'!$U$48-'Bonding Program'!$Z$48,0)-IF(AND('Bonding Program'!$S$48=1,'Bonding Program'!$H$48&lt;='Bonding Program'!$C$8,BB$3=IF('Bonding Program'!$P$48&lt;&gt;"",'Bonding Program'!$P$48,'Bonding Program'!$C$8)),'Bonding Program'!$Z$48,0)+IF(AND('Bonding Program'!$P$48&lt;&gt;"",BB$3='Bonding Program'!$P$48,BB$3&lt;='Bonding Program'!$C$8),N('Bonding Program'!$O$48),0)</f>
        <v>0</v>
      </c>
      <c r="BC189" s="19" t="n">
        <f aca="false">IF(AND('Bonding Program'!$S$48=1,'Bonding Program'!$H$48&gt;'Bonding Program'!$C$8,BC$3='Bonding Program'!$H$48),'Bonding Program'!$T$48-'Bonding Program'!$U$48-'Bonding Program'!$Z$48,0)-IF(AND('Bonding Program'!$S$48=1,'Bonding Program'!$H$48&lt;='Bonding Program'!$C$8,BC$3=IF('Bonding Program'!$P$48&lt;&gt;"",'Bonding Program'!$P$48,'Bonding Program'!$C$8)),'Bonding Program'!$Z$48,0)+IF(AND('Bonding Program'!$P$48&lt;&gt;"",BC$3='Bonding Program'!$P$48,BC$3&lt;='Bonding Program'!$C$8),N('Bonding Program'!$O$48),0)</f>
        <v>0</v>
      </c>
      <c r="BD189" s="19" t="n">
        <f aca="false">IF(AND('Bonding Program'!$S$48=1,'Bonding Program'!$H$48&gt;'Bonding Program'!$C$8,BD$3='Bonding Program'!$H$48),'Bonding Program'!$T$48-'Bonding Program'!$U$48-'Bonding Program'!$Z$48,0)-IF(AND('Bonding Program'!$S$48=1,'Bonding Program'!$H$48&lt;='Bonding Program'!$C$8,BD$3=IF('Bonding Program'!$P$48&lt;&gt;"",'Bonding Program'!$P$48,'Bonding Program'!$C$8)),'Bonding Program'!$Z$48,0)+IF(AND('Bonding Program'!$P$48&lt;&gt;"",BD$3='Bonding Program'!$P$48,BD$3&lt;='Bonding Program'!$C$8),N('Bonding Program'!$O$48),0)</f>
        <v>0</v>
      </c>
      <c r="BE189" s="19" t="n">
        <f aca="false">IF(AND('Bonding Program'!$S$48=1,'Bonding Program'!$H$48&gt;'Bonding Program'!$C$8,BE$3='Bonding Program'!$H$48),'Bonding Program'!$T$48-'Bonding Program'!$U$48-'Bonding Program'!$Z$48,0)-IF(AND('Bonding Program'!$S$48=1,'Bonding Program'!$H$48&lt;='Bonding Program'!$C$8,BE$3=IF('Bonding Program'!$P$48&lt;&gt;"",'Bonding Program'!$P$48,'Bonding Program'!$C$8)),'Bonding Program'!$Z$48,0)+IF(AND('Bonding Program'!$P$48&lt;&gt;"",BE$3='Bonding Program'!$P$48,BE$3&lt;='Bonding Program'!$C$8),N('Bonding Program'!$O$48),0)</f>
        <v>0</v>
      </c>
      <c r="BF189" s="19" t="n">
        <f aca="false">IF(AND('Bonding Program'!$S$48=1,'Bonding Program'!$H$48&gt;'Bonding Program'!$C$8,BF$3='Bonding Program'!$H$48),'Bonding Program'!$T$48-'Bonding Program'!$U$48-'Bonding Program'!$Z$48,0)-IF(AND('Bonding Program'!$S$48=1,'Bonding Program'!$H$48&lt;='Bonding Program'!$C$8,BF$3=IF('Bonding Program'!$P$48&lt;&gt;"",'Bonding Program'!$P$48,'Bonding Program'!$C$8)),'Bonding Program'!$Z$48,0)+IF(AND('Bonding Program'!$P$48&lt;&gt;"",BF$3='Bonding Program'!$P$48,BF$3&lt;='Bonding Program'!$C$8),N('Bonding Program'!$O$48),0)</f>
        <v>0</v>
      </c>
      <c r="BG189" s="19" t="n">
        <f aca="false">IF(AND('Bonding Program'!$S$48=1,'Bonding Program'!$H$48&gt;'Bonding Program'!$C$8,BG$3='Bonding Program'!$H$48),'Bonding Program'!$T$48-'Bonding Program'!$U$48-'Bonding Program'!$Z$48,0)-IF(AND('Bonding Program'!$S$48=1,'Bonding Program'!$H$48&lt;='Bonding Program'!$C$8,BG$3=IF('Bonding Program'!$P$48&lt;&gt;"",'Bonding Program'!$P$48,'Bonding Program'!$C$8)),'Bonding Program'!$Z$48,0)+IF(AND('Bonding Program'!$P$48&lt;&gt;"",BG$3='Bonding Program'!$P$48,BG$3&lt;='Bonding Program'!$C$8),N('Bonding Program'!$O$48),0)</f>
        <v>0</v>
      </c>
      <c r="BH189" s="19" t="n">
        <f aca="false">IF(AND('Bonding Program'!$S$48=1,'Bonding Program'!$H$48&gt;'Bonding Program'!$C$8,BH$3='Bonding Program'!$H$48),'Bonding Program'!$T$48-'Bonding Program'!$U$48-'Bonding Program'!$Z$48,0)-IF(AND('Bonding Program'!$S$48=1,'Bonding Program'!$H$48&lt;='Bonding Program'!$C$8,BH$3=IF('Bonding Program'!$P$48&lt;&gt;"",'Bonding Program'!$P$48,'Bonding Program'!$C$8)),'Bonding Program'!$Z$48,0)+IF(AND('Bonding Program'!$P$48&lt;&gt;"",BH$3='Bonding Program'!$P$48,BH$3&lt;='Bonding Program'!$C$8),N('Bonding Program'!$O$48),0)</f>
        <v>0</v>
      </c>
      <c r="BI189" s="19" t="n">
        <f aca="false">IF(AND('Bonding Program'!$S$48=1,'Bonding Program'!$H$48&gt;'Bonding Program'!$C$8,BI$3='Bonding Program'!$H$48),'Bonding Program'!$T$48-'Bonding Program'!$U$48-'Bonding Program'!$Z$48,0)-IF(AND('Bonding Program'!$S$48=1,'Bonding Program'!$H$48&lt;='Bonding Program'!$C$8,BI$3=IF('Bonding Program'!$P$48&lt;&gt;"",'Bonding Program'!$P$48,'Bonding Program'!$C$8)),'Bonding Program'!$Z$48,0)+IF(AND('Bonding Program'!$P$48&lt;&gt;"",BI$3='Bonding Program'!$P$48,BI$3&lt;='Bonding Program'!$C$8),N('Bonding Program'!$O$48),0)</f>
        <v>0</v>
      </c>
      <c r="BJ189" s="19" t="n">
        <f aca="false">IF(AND('Bonding Program'!$S$48=1,'Bonding Program'!$H$48&gt;'Bonding Program'!$C$8,BJ$3='Bonding Program'!$H$48),'Bonding Program'!$T$48-'Bonding Program'!$U$48-'Bonding Program'!$Z$48,0)-IF(AND('Bonding Program'!$S$48=1,'Bonding Program'!$H$48&lt;='Bonding Program'!$C$8,BJ$3=IF('Bonding Program'!$P$48&lt;&gt;"",'Bonding Program'!$P$48,'Bonding Program'!$C$8)),'Bonding Program'!$Z$48,0)+IF(AND('Bonding Program'!$P$48&lt;&gt;"",BJ$3='Bonding Program'!$P$48,BJ$3&lt;='Bonding Program'!$C$8),N('Bonding Program'!$O$48),0)</f>
        <v>0</v>
      </c>
      <c r="BK189" s="19" t="n">
        <f aca="false">IF(AND('Bonding Program'!$S$48=1,'Bonding Program'!$H$48&gt;'Bonding Program'!$C$8,BK$3='Bonding Program'!$H$48),'Bonding Program'!$T$48-'Bonding Program'!$U$48-'Bonding Program'!$Z$48,0)-IF(AND('Bonding Program'!$S$48=1,'Bonding Program'!$H$48&lt;='Bonding Program'!$C$8,BK$3=IF('Bonding Program'!$P$48&lt;&gt;"",'Bonding Program'!$P$48,'Bonding Program'!$C$8)),'Bonding Program'!$Z$48,0)+IF(AND('Bonding Program'!$P$48&lt;&gt;"",BK$3='Bonding Program'!$P$48,BK$3&lt;='Bonding Program'!$C$8),N('Bonding Program'!$O$48),0)</f>
        <v>0</v>
      </c>
      <c r="BL189" s="19" t="n">
        <f aca="false">IF(AND('Bonding Program'!$S$48=1,'Bonding Program'!$H$48&gt;'Bonding Program'!$C$8,BL$3='Bonding Program'!$H$48),'Bonding Program'!$T$48-'Bonding Program'!$U$48-'Bonding Program'!$Z$48,0)-IF(AND('Bonding Program'!$S$48=1,'Bonding Program'!$H$48&lt;='Bonding Program'!$C$8,BL$3=IF('Bonding Program'!$P$48&lt;&gt;"",'Bonding Program'!$P$48,'Bonding Program'!$C$8)),'Bonding Program'!$Z$48,0)+IF(AND('Bonding Program'!$P$48&lt;&gt;"",BL$3='Bonding Program'!$P$48,BL$3&lt;='Bonding Program'!$C$8),N('Bonding Program'!$O$48),0)</f>
        <v>0</v>
      </c>
      <c r="BM189" s="19" t="n">
        <f aca="false">IF(AND('Bonding Program'!$S$48=1,'Bonding Program'!$H$48&gt;'Bonding Program'!$C$8,BM$3='Bonding Program'!$H$48),'Bonding Program'!$T$48-'Bonding Program'!$U$48-'Bonding Program'!$Z$48,0)-IF(AND('Bonding Program'!$S$48=1,'Bonding Program'!$H$48&lt;='Bonding Program'!$C$8,BM$3=IF('Bonding Program'!$P$48&lt;&gt;"",'Bonding Program'!$P$48,'Bonding Program'!$C$8)),'Bonding Program'!$Z$48,0)+IF(AND('Bonding Program'!$P$48&lt;&gt;"",BM$3='Bonding Program'!$P$48,BM$3&lt;='Bonding Program'!$C$8),N('Bonding Program'!$O$48),0)</f>
        <v>0</v>
      </c>
      <c r="BN189" s="19" t="n">
        <f aca="false">IF(AND('Bonding Program'!$S$48=1,'Bonding Program'!$H$48&gt;'Bonding Program'!$C$8,BN$3='Bonding Program'!$H$48),'Bonding Program'!$T$48-'Bonding Program'!$U$48-'Bonding Program'!$Z$48,0)-IF(AND('Bonding Program'!$S$48=1,'Bonding Program'!$H$48&lt;='Bonding Program'!$C$8,BN$3=IF('Bonding Program'!$P$48&lt;&gt;"",'Bonding Program'!$P$48,'Bonding Program'!$C$8)),'Bonding Program'!$Z$48,0)+IF(AND('Bonding Program'!$P$48&lt;&gt;"",BN$3='Bonding Program'!$P$48,BN$3&lt;='Bonding Program'!$C$8),N('Bonding Program'!$O$48),0)</f>
        <v>0</v>
      </c>
      <c r="BO189" s="19" t="n">
        <f aca="false">IF(AND('Bonding Program'!$S$48=1,'Bonding Program'!$H$48&gt;'Bonding Program'!$C$8,BO$3='Bonding Program'!$H$48),'Bonding Program'!$T$48-'Bonding Program'!$U$48-'Bonding Program'!$Z$48,0)-IF(AND('Bonding Program'!$S$48=1,'Bonding Program'!$H$48&lt;='Bonding Program'!$C$8,BO$3=IF('Bonding Program'!$P$48&lt;&gt;"",'Bonding Program'!$P$48,'Bonding Program'!$C$8)),'Bonding Program'!$Z$48,0)+IF(AND('Bonding Program'!$P$48&lt;&gt;"",BO$3='Bonding Program'!$P$48,BO$3&lt;='Bonding Program'!$C$8),N('Bonding Program'!$O$48),0)</f>
        <v>0</v>
      </c>
      <c r="BP189" s="19" t="n">
        <f aca="false">IF(AND('Bonding Program'!$S$48=1,'Bonding Program'!$H$48&gt;'Bonding Program'!$C$8,BP$3='Bonding Program'!$H$48),'Bonding Program'!$T$48-'Bonding Program'!$U$48-'Bonding Program'!$Z$48,0)-IF(AND('Bonding Program'!$S$48=1,'Bonding Program'!$H$48&lt;='Bonding Program'!$C$8,BP$3=IF('Bonding Program'!$P$48&lt;&gt;"",'Bonding Program'!$P$48,'Bonding Program'!$C$8)),'Bonding Program'!$Z$48,0)+IF(AND('Bonding Program'!$P$48&lt;&gt;"",BP$3='Bonding Program'!$P$48,BP$3&lt;='Bonding Program'!$C$8),N('Bonding Program'!$O$48),0)</f>
        <v>0</v>
      </c>
      <c r="BQ189" s="19" t="n">
        <f aca="false">IF(AND('Bonding Program'!$S$48=1,'Bonding Program'!$H$48&gt;'Bonding Program'!$C$8,BQ$3='Bonding Program'!$H$48),'Bonding Program'!$T$48-'Bonding Program'!$U$48-'Bonding Program'!$Z$48,0)-IF(AND('Bonding Program'!$S$48=1,'Bonding Program'!$H$48&lt;='Bonding Program'!$C$8,BQ$3=IF('Bonding Program'!$P$48&lt;&gt;"",'Bonding Program'!$P$48,'Bonding Program'!$C$8)),'Bonding Program'!$Z$48,0)+IF(AND('Bonding Program'!$P$48&lt;&gt;"",BQ$3='Bonding Program'!$P$48,BQ$3&lt;='Bonding Program'!$C$8),N('Bonding Program'!$O$48),0)</f>
        <v>0</v>
      </c>
      <c r="BR189" s="19" t="n">
        <f aca="false">IF(AND('Bonding Program'!$S$48=1,'Bonding Program'!$H$48&gt;'Bonding Program'!$C$8,BR$3='Bonding Program'!$H$48),'Bonding Program'!$T$48-'Bonding Program'!$U$48-'Bonding Program'!$Z$48,0)-IF(AND('Bonding Program'!$S$48=1,'Bonding Program'!$H$48&lt;='Bonding Program'!$C$8,BR$3=IF('Bonding Program'!$P$48&lt;&gt;"",'Bonding Program'!$P$48,'Bonding Program'!$C$8)),'Bonding Program'!$Z$48,0)+IF(AND('Bonding Program'!$P$48&lt;&gt;"",BR$3='Bonding Program'!$P$48,BR$3&lt;='Bonding Program'!$C$8),N('Bonding Program'!$O$48),0)</f>
        <v>0</v>
      </c>
      <c r="BS189" s="19" t="n">
        <f aca="false">IF(AND('Bonding Program'!$S$48=1,'Bonding Program'!$H$48&gt;'Bonding Program'!$C$8,BS$3='Bonding Program'!$H$48),'Bonding Program'!$T$48-'Bonding Program'!$U$48-'Bonding Program'!$Z$48,0)-IF(AND('Bonding Program'!$S$48=1,'Bonding Program'!$H$48&lt;='Bonding Program'!$C$8,BS$3=IF('Bonding Program'!$P$48&lt;&gt;"",'Bonding Program'!$P$48,'Bonding Program'!$C$8)),'Bonding Program'!$Z$48,0)+IF(AND('Bonding Program'!$P$48&lt;&gt;"",BS$3='Bonding Program'!$P$48,BS$3&lt;='Bonding Program'!$C$8),N('Bonding Program'!$O$48),0)</f>
        <v>0</v>
      </c>
      <c r="BT189" s="19" t="n">
        <f aca="false">IF(AND('Bonding Program'!$S$48=1,'Bonding Program'!$H$48&gt;'Bonding Program'!$C$8,BT$3='Bonding Program'!$H$48),'Bonding Program'!$T$48-'Bonding Program'!$U$48-'Bonding Program'!$Z$48,0)-IF(AND('Bonding Program'!$S$48=1,'Bonding Program'!$H$48&lt;='Bonding Program'!$C$8,BT$3=IF('Bonding Program'!$P$48&lt;&gt;"",'Bonding Program'!$P$48,'Bonding Program'!$C$8)),'Bonding Program'!$Z$48,0)+IF(AND('Bonding Program'!$P$48&lt;&gt;"",BT$3='Bonding Program'!$P$48,BT$3&lt;='Bonding Program'!$C$8),N('Bonding Program'!$O$48),0)</f>
        <v>0</v>
      </c>
      <c r="BU189" s="19" t="n">
        <f aca="false">IF(AND('Bonding Program'!$S$48=1,'Bonding Program'!$H$48&gt;'Bonding Program'!$C$8,BU$3='Bonding Program'!$H$48),'Bonding Program'!$T$48-'Bonding Program'!$U$48-'Bonding Program'!$Z$48,0)-IF(AND('Bonding Program'!$S$48=1,'Bonding Program'!$H$48&lt;='Bonding Program'!$C$8,BU$3=IF('Bonding Program'!$P$48&lt;&gt;"",'Bonding Program'!$P$48,'Bonding Program'!$C$8)),'Bonding Program'!$Z$48,0)+IF(AND('Bonding Program'!$P$48&lt;&gt;"",BU$3='Bonding Program'!$P$48,BU$3&lt;='Bonding Program'!$C$8),N('Bonding Program'!$O$48),0)</f>
        <v>0</v>
      </c>
      <c r="BV189" s="19" t="n">
        <f aca="false">IF(AND('Bonding Program'!$S$48=1,'Bonding Program'!$H$48&gt;'Bonding Program'!$C$8,BV$3='Bonding Program'!$H$48),'Bonding Program'!$T$48-'Bonding Program'!$U$48-'Bonding Program'!$Z$48,0)-IF(AND('Bonding Program'!$S$48=1,'Bonding Program'!$H$48&lt;='Bonding Program'!$C$8,BV$3=IF('Bonding Program'!$P$48&lt;&gt;"",'Bonding Program'!$P$48,'Bonding Program'!$C$8)),'Bonding Program'!$Z$48,0)+IF(AND('Bonding Program'!$P$48&lt;&gt;"",BV$3='Bonding Program'!$P$48,BV$3&lt;='Bonding Program'!$C$8),N('Bonding Program'!$O$48),0)</f>
        <v>0</v>
      </c>
      <c r="BW189" s="19" t="n">
        <f aca="false">IF(AND('Bonding Program'!$S$48=1,'Bonding Program'!$H$48&gt;'Bonding Program'!$C$8,BW$3='Bonding Program'!$H$48),'Bonding Program'!$T$48-'Bonding Program'!$U$48-'Bonding Program'!$Z$48,0)-IF(AND('Bonding Program'!$S$48=1,'Bonding Program'!$H$48&lt;='Bonding Program'!$C$8,BW$3=IF('Bonding Program'!$P$48&lt;&gt;"",'Bonding Program'!$P$48,'Bonding Program'!$C$8)),'Bonding Program'!$Z$48,0)+IF(AND('Bonding Program'!$P$48&lt;&gt;"",BW$3='Bonding Program'!$P$48,BW$3&lt;='Bonding Program'!$C$8),N('Bonding Program'!$O$48),0)</f>
        <v>0</v>
      </c>
      <c r="BX189" s="19" t="n">
        <f aca="false">IF(AND('Bonding Program'!$S$48=1,'Bonding Program'!$H$48&gt;'Bonding Program'!$C$8,BX$3='Bonding Program'!$H$48),'Bonding Program'!$T$48-'Bonding Program'!$U$48-'Bonding Program'!$Z$48,0)-IF(AND('Bonding Program'!$S$48=1,'Bonding Program'!$H$48&lt;='Bonding Program'!$C$8,BX$3=IF('Bonding Program'!$P$48&lt;&gt;"",'Bonding Program'!$P$48,'Bonding Program'!$C$8)),'Bonding Program'!$Z$48,0)+IF(AND('Bonding Program'!$P$48&lt;&gt;"",BX$3='Bonding Program'!$P$48,BX$3&lt;='Bonding Program'!$C$8),N('Bonding Program'!$O$48),0)</f>
        <v>0</v>
      </c>
      <c r="BY189" s="19" t="n">
        <f aca="false">IF(AND('Bonding Program'!$S$48=1,'Bonding Program'!$H$48&gt;'Bonding Program'!$C$8,BY$3='Bonding Program'!$H$48),'Bonding Program'!$T$48-'Bonding Program'!$U$48-'Bonding Program'!$Z$48,0)-IF(AND('Bonding Program'!$S$48=1,'Bonding Program'!$H$48&lt;='Bonding Program'!$C$8,BY$3=IF('Bonding Program'!$P$48&lt;&gt;"",'Bonding Program'!$P$48,'Bonding Program'!$C$8)),'Bonding Program'!$Z$48,0)+IF(AND('Bonding Program'!$P$48&lt;&gt;"",BY$3='Bonding Program'!$P$48,BY$3&lt;='Bonding Program'!$C$8),N('Bonding Program'!$O$48),0)</f>
        <v>0</v>
      </c>
      <c r="BZ189" s="19" t="n">
        <f aca="false">IF(AND('Bonding Program'!$S$48=1,'Bonding Program'!$H$48&gt;'Bonding Program'!$C$8,BZ$3='Bonding Program'!$H$48),'Bonding Program'!$T$48-'Bonding Program'!$U$48-'Bonding Program'!$Z$48,0)-IF(AND('Bonding Program'!$S$48=1,'Bonding Program'!$H$48&lt;='Bonding Program'!$C$8,BZ$3=IF('Bonding Program'!$P$48&lt;&gt;"",'Bonding Program'!$P$48,'Bonding Program'!$C$8)),'Bonding Program'!$Z$48,0)+IF(AND('Bonding Program'!$P$48&lt;&gt;"",BZ$3='Bonding Program'!$P$48,BZ$3&lt;='Bonding Program'!$C$8),N('Bonding Program'!$O$48),0)</f>
        <v>0</v>
      </c>
      <c r="CA189" s="19" t="n">
        <f aca="false">IF(AND('Bonding Program'!$S$48=1,'Bonding Program'!$H$48&gt;'Bonding Program'!$C$8,CA$3='Bonding Program'!$H$48),'Bonding Program'!$T$48-'Bonding Program'!$U$48-'Bonding Program'!$Z$48,0)-IF(AND('Bonding Program'!$S$48=1,'Bonding Program'!$H$48&lt;='Bonding Program'!$C$8,CA$3=IF('Bonding Program'!$P$48&lt;&gt;"",'Bonding Program'!$P$48,'Bonding Program'!$C$8)),'Bonding Program'!$Z$48,0)+IF(AND('Bonding Program'!$P$48&lt;&gt;"",CA$3='Bonding Program'!$P$48,CA$3&lt;='Bonding Program'!$C$8),N('Bonding Program'!$O$48),0)</f>
        <v>0</v>
      </c>
      <c r="CB189" s="19" t="n">
        <f aca="false">IF(AND('Bonding Program'!$S$48=1,'Bonding Program'!$H$48&gt;'Bonding Program'!$C$8,CB$3='Bonding Program'!$H$48),'Bonding Program'!$T$48-'Bonding Program'!$U$48-'Bonding Program'!$Z$48,0)-IF(AND('Bonding Program'!$S$48=1,'Bonding Program'!$H$48&lt;='Bonding Program'!$C$8,CB$3=IF('Bonding Program'!$P$48&lt;&gt;"",'Bonding Program'!$P$48,'Bonding Program'!$C$8)),'Bonding Program'!$Z$48,0)+IF(AND('Bonding Program'!$P$48&lt;&gt;"",CB$3='Bonding Program'!$P$48,CB$3&lt;='Bonding Program'!$C$8),N('Bonding Program'!$O$48),0)</f>
        <v>0</v>
      </c>
      <c r="CC189" s="19" t="n">
        <f aca="false">IF(AND('Bonding Program'!$S$48=1,'Bonding Program'!$H$48&gt;'Bonding Program'!$C$8,CC$3='Bonding Program'!$H$48),'Bonding Program'!$T$48-'Bonding Program'!$U$48-'Bonding Program'!$Z$48,0)-IF(AND('Bonding Program'!$S$48=1,'Bonding Program'!$H$48&lt;='Bonding Program'!$C$8,CC$3=IF('Bonding Program'!$P$48&lt;&gt;"",'Bonding Program'!$P$48,'Bonding Program'!$C$8)),'Bonding Program'!$Z$48,0)+IF(AND('Bonding Program'!$P$48&lt;&gt;"",CC$3='Bonding Program'!$P$48,CC$3&lt;='Bonding Program'!$C$8),N('Bonding Program'!$O$48),0)</f>
        <v>0</v>
      </c>
      <c r="CD189" s="19" t="n">
        <f aca="false">IF(AND('Bonding Program'!$S$48=1,'Bonding Program'!$H$48&gt;'Bonding Program'!$C$8,CD$3='Bonding Program'!$H$48),'Bonding Program'!$T$48-'Bonding Program'!$U$48-'Bonding Program'!$Z$48,0)-IF(AND('Bonding Program'!$S$48=1,'Bonding Program'!$H$48&lt;='Bonding Program'!$C$8,CD$3=IF('Bonding Program'!$P$48&lt;&gt;"",'Bonding Program'!$P$48,'Bonding Program'!$C$8)),'Bonding Program'!$Z$48,0)+IF(AND('Bonding Program'!$P$48&lt;&gt;"",CD$3='Bonding Program'!$P$48,CD$3&lt;='Bonding Program'!$C$8),N('Bonding Program'!$O$48),0)</f>
        <v>0</v>
      </c>
      <c r="CE189" s="19" t="n">
        <f aca="false">IF(AND('Bonding Program'!$S$48=1,'Bonding Program'!$H$48&gt;'Bonding Program'!$C$8,CE$3='Bonding Program'!$H$48),'Bonding Program'!$T$48-'Bonding Program'!$U$48-'Bonding Program'!$Z$48,0)-IF(AND('Bonding Program'!$S$48=1,'Bonding Program'!$H$48&lt;='Bonding Program'!$C$8,CE$3=IF('Bonding Program'!$P$48&lt;&gt;"",'Bonding Program'!$P$48,'Bonding Program'!$C$8)),'Bonding Program'!$Z$48,0)+IF(AND('Bonding Program'!$P$48&lt;&gt;"",CE$3='Bonding Program'!$P$48,CE$3&lt;='Bonding Program'!$C$8),N('Bonding Program'!$O$48),0)</f>
        <v>0</v>
      </c>
      <c r="CF189" s="19" t="n">
        <f aca="false">IF(AND('Bonding Program'!$S$48=1,'Bonding Program'!$H$48&gt;'Bonding Program'!$C$8,CF$3='Bonding Program'!$H$48),'Bonding Program'!$T$48-'Bonding Program'!$U$48-'Bonding Program'!$Z$48,0)-IF(AND('Bonding Program'!$S$48=1,'Bonding Program'!$H$48&lt;='Bonding Program'!$C$8,CF$3=IF('Bonding Program'!$P$48&lt;&gt;"",'Bonding Program'!$P$48,'Bonding Program'!$C$8)),'Bonding Program'!$Z$48,0)+IF(AND('Bonding Program'!$P$48&lt;&gt;"",CF$3='Bonding Program'!$P$48,CF$3&lt;='Bonding Program'!$C$8),N('Bonding Program'!$O$48),0)</f>
        <v>0</v>
      </c>
      <c r="CG189" s="19" t="n">
        <f aca="false">IF(AND('Bonding Program'!$S$48=1,'Bonding Program'!$H$48&gt;'Bonding Program'!$C$8,CG$3='Bonding Program'!$H$48),'Bonding Program'!$T$48-'Bonding Program'!$U$48-'Bonding Program'!$Z$48,0)-IF(AND('Bonding Program'!$S$48=1,'Bonding Program'!$H$48&lt;='Bonding Program'!$C$8,CG$3=IF('Bonding Program'!$P$48&lt;&gt;"",'Bonding Program'!$P$48,'Bonding Program'!$C$8)),'Bonding Program'!$Z$48,0)+IF(AND('Bonding Program'!$P$48&lt;&gt;"",CG$3='Bonding Program'!$P$48,CG$3&lt;='Bonding Program'!$C$8),N('Bonding Program'!$O$48),0)</f>
        <v>0</v>
      </c>
      <c r="CH189" s="19" t="n">
        <f aca="false">IF(AND('Bonding Program'!$S$48=1,'Bonding Program'!$H$48&gt;'Bonding Program'!$C$8,CH$3='Bonding Program'!$H$48),'Bonding Program'!$T$48-'Bonding Program'!$U$48-'Bonding Program'!$Z$48,0)-IF(AND('Bonding Program'!$S$48=1,'Bonding Program'!$H$48&lt;='Bonding Program'!$C$8,CH$3=IF('Bonding Program'!$P$48&lt;&gt;"",'Bonding Program'!$P$48,'Bonding Program'!$C$8)),'Bonding Program'!$Z$48,0)+IF(AND('Bonding Program'!$P$48&lt;&gt;"",CH$3='Bonding Program'!$P$48,CH$3&lt;='Bonding Program'!$C$8),N('Bonding Program'!$O$48),0)</f>
        <v>0</v>
      </c>
      <c r="CI189" s="19" t="n">
        <f aca="false">IF(AND('Bonding Program'!$S$48=1,'Bonding Program'!$H$48&gt;'Bonding Program'!$C$8,CI$3='Bonding Program'!$H$48),'Bonding Program'!$T$48-'Bonding Program'!$U$48-'Bonding Program'!$Z$48,0)-IF(AND('Bonding Program'!$S$48=1,'Bonding Program'!$H$48&lt;='Bonding Program'!$C$8,CI$3=IF('Bonding Program'!$P$48&lt;&gt;"",'Bonding Program'!$P$48,'Bonding Program'!$C$8)),'Bonding Program'!$Z$48,0)+IF(AND('Bonding Program'!$P$48&lt;&gt;"",CI$3='Bonding Program'!$P$48,CI$3&lt;='Bonding Program'!$C$8),N('Bonding Program'!$O$48),0)</f>
        <v>0</v>
      </c>
      <c r="CJ189" s="19" t="n">
        <f aca="false">IF(AND('Bonding Program'!$S$48=1,'Bonding Program'!$H$48&gt;'Bonding Program'!$C$8,CJ$3='Bonding Program'!$H$48),'Bonding Program'!$T$48-'Bonding Program'!$U$48-'Bonding Program'!$Z$48,0)-IF(AND('Bonding Program'!$S$48=1,'Bonding Program'!$H$48&lt;='Bonding Program'!$C$8,CJ$3=IF('Bonding Program'!$P$48&lt;&gt;"",'Bonding Program'!$P$48,'Bonding Program'!$C$8)),'Bonding Program'!$Z$48,0)+IF(AND('Bonding Program'!$P$48&lt;&gt;"",CJ$3='Bonding Program'!$P$48,CJ$3&lt;='Bonding Program'!$C$8),N('Bonding Program'!$O$48),0)</f>
        <v>0</v>
      </c>
      <c r="CK189" s="19" t="n">
        <f aca="false">IF(AND('Bonding Program'!$S$48=1,'Bonding Program'!$H$48&gt;'Bonding Program'!$C$8,CK$3='Bonding Program'!$H$48),'Bonding Program'!$T$48-'Bonding Program'!$U$48-'Bonding Program'!$Z$48,0)-IF(AND('Bonding Program'!$S$48=1,'Bonding Program'!$H$48&lt;='Bonding Program'!$C$8,CK$3=IF('Bonding Program'!$P$48&lt;&gt;"",'Bonding Program'!$P$48,'Bonding Program'!$C$8)),'Bonding Program'!$Z$48,0)+IF(AND('Bonding Program'!$P$48&lt;&gt;"",CK$3='Bonding Program'!$P$48,CK$3&lt;='Bonding Program'!$C$8),N('Bonding Program'!$O$48),0)</f>
        <v>0</v>
      </c>
      <c r="CL189" s="19" t="n">
        <f aca="false">IF(AND('Bonding Program'!$S$48=1,'Bonding Program'!$H$48&gt;'Bonding Program'!$C$8,CL$3='Bonding Program'!$H$48),'Bonding Program'!$T$48-'Bonding Program'!$U$48-'Bonding Program'!$Z$48,0)-IF(AND('Bonding Program'!$S$48=1,'Bonding Program'!$H$48&lt;='Bonding Program'!$C$8,CL$3=IF('Bonding Program'!$P$48&lt;&gt;"",'Bonding Program'!$P$48,'Bonding Program'!$C$8)),'Bonding Program'!$Z$48,0)+IF(AND('Bonding Program'!$P$48&lt;&gt;"",CL$3='Bonding Program'!$P$48,CL$3&lt;='Bonding Program'!$C$8),N('Bonding Program'!$O$48),0)</f>
        <v>0</v>
      </c>
      <c r="CM189" s="19" t="n">
        <f aca="false">IF(AND('Bonding Program'!$S$48=1,'Bonding Program'!$H$48&gt;'Bonding Program'!$C$8,CM$3='Bonding Program'!$H$48),'Bonding Program'!$T$48-'Bonding Program'!$U$48-'Bonding Program'!$Z$48,0)-IF(AND('Bonding Program'!$S$48=1,'Bonding Program'!$H$48&lt;='Bonding Program'!$C$8,CM$3=IF('Bonding Program'!$P$48&lt;&gt;"",'Bonding Program'!$P$48,'Bonding Program'!$C$8)),'Bonding Program'!$Z$48,0)+IF(AND('Bonding Program'!$P$48&lt;&gt;"",CM$3='Bonding Program'!$P$48,CM$3&lt;='Bonding Program'!$C$8),N('Bonding Program'!$O$48),0)</f>
        <v>0</v>
      </c>
      <c r="CN189" s="19" t="n">
        <f aca="false">IF(AND('Bonding Program'!$S$48=1,'Bonding Program'!$H$48&gt;'Bonding Program'!$C$8,CN$3='Bonding Program'!$H$48),'Bonding Program'!$T$48-'Bonding Program'!$U$48-'Bonding Program'!$Z$48,0)-IF(AND('Bonding Program'!$S$48=1,'Bonding Program'!$H$48&lt;='Bonding Program'!$C$8,CN$3=IF('Bonding Program'!$P$48&lt;&gt;"",'Bonding Program'!$P$48,'Bonding Program'!$C$8)),'Bonding Program'!$Z$48,0)+IF(AND('Bonding Program'!$P$48&lt;&gt;"",CN$3='Bonding Program'!$P$48,CN$3&lt;='Bonding Program'!$C$8),N('Bonding Program'!$O$48),0)</f>
        <v>0</v>
      </c>
      <c r="CO189" s="19" t="n">
        <f aca="false">IF(AND('Bonding Program'!$S$48=1,'Bonding Program'!$H$48&gt;'Bonding Program'!$C$8,CO$3='Bonding Program'!$H$48),'Bonding Program'!$T$48-'Bonding Program'!$U$48-'Bonding Program'!$Z$48,0)-IF(AND('Bonding Program'!$S$48=1,'Bonding Program'!$H$48&lt;='Bonding Program'!$C$8,CO$3=IF('Bonding Program'!$P$48&lt;&gt;"",'Bonding Program'!$P$48,'Bonding Program'!$C$8)),'Bonding Program'!$Z$48,0)+IF(AND('Bonding Program'!$P$48&lt;&gt;"",CO$3='Bonding Program'!$P$48,CO$3&lt;='Bonding Program'!$C$8),N('Bonding Program'!$O$48),0)</f>
        <v>0</v>
      </c>
      <c r="CP189" s="19" t="n">
        <f aca="false">IF(AND('Bonding Program'!$S$48=1,'Bonding Program'!$H$48&gt;'Bonding Program'!$C$8,CP$3='Bonding Program'!$H$48),'Bonding Program'!$T$48-'Bonding Program'!$U$48-'Bonding Program'!$Z$48,0)-IF(AND('Bonding Program'!$S$48=1,'Bonding Program'!$H$48&lt;='Bonding Program'!$C$8,CP$3=IF('Bonding Program'!$P$48&lt;&gt;"",'Bonding Program'!$P$48,'Bonding Program'!$C$8)),'Bonding Program'!$Z$48,0)+IF(AND('Bonding Program'!$P$48&lt;&gt;"",CP$3='Bonding Program'!$P$48,CP$3&lt;='Bonding Program'!$C$8),N('Bonding Program'!$O$48),0)</f>
        <v>0</v>
      </c>
      <c r="CQ189" s="19" t="n">
        <f aca="false">IF(AND('Bonding Program'!$S$48=1,'Bonding Program'!$H$48&gt;'Bonding Program'!$C$8,CQ$3='Bonding Program'!$H$48),'Bonding Program'!$T$48-'Bonding Program'!$U$48-'Bonding Program'!$Z$48,0)-IF(AND('Bonding Program'!$S$48=1,'Bonding Program'!$H$48&lt;='Bonding Program'!$C$8,CQ$3=IF('Bonding Program'!$P$48&lt;&gt;"",'Bonding Program'!$P$48,'Bonding Program'!$C$8)),'Bonding Program'!$Z$48,0)+IF(AND('Bonding Program'!$P$48&lt;&gt;"",CQ$3='Bonding Program'!$P$48,CQ$3&lt;='Bonding Program'!$C$8),N('Bonding Program'!$O$48),0)</f>
        <v>0</v>
      </c>
      <c r="CR189" s="19" t="n">
        <f aca="false">IF(AND('Bonding Program'!$S$48=1,'Bonding Program'!$H$48&gt;'Bonding Program'!$C$8,CR$3='Bonding Program'!$H$48),'Bonding Program'!$T$48-'Bonding Program'!$U$48-'Bonding Program'!$Z$48,0)-IF(AND('Bonding Program'!$S$48=1,'Bonding Program'!$H$48&lt;='Bonding Program'!$C$8,CR$3=IF('Bonding Program'!$P$48&lt;&gt;"",'Bonding Program'!$P$48,'Bonding Program'!$C$8)),'Bonding Program'!$Z$48,0)+IF(AND('Bonding Program'!$P$48&lt;&gt;"",CR$3='Bonding Program'!$P$48,CR$3&lt;='Bonding Program'!$C$8),N('Bonding Program'!$O$48),0)</f>
        <v>0</v>
      </c>
      <c r="CS189" s="19" t="n">
        <f aca="false">IF(AND('Bonding Program'!$S$48=1,'Bonding Program'!$H$48&gt;'Bonding Program'!$C$8,CS$3='Bonding Program'!$H$48),'Bonding Program'!$T$48-'Bonding Program'!$U$48-'Bonding Program'!$Z$48,0)-IF(AND('Bonding Program'!$S$48=1,'Bonding Program'!$H$48&lt;='Bonding Program'!$C$8,CS$3=IF('Bonding Program'!$P$48&lt;&gt;"",'Bonding Program'!$P$48,'Bonding Program'!$C$8)),'Bonding Program'!$Z$48,0)+IF(AND('Bonding Program'!$P$48&lt;&gt;"",CS$3='Bonding Program'!$P$48,CS$3&lt;='Bonding Program'!$C$8),N('Bonding Program'!$O$48),0)</f>
        <v>0</v>
      </c>
      <c r="CT189" s="19" t="n">
        <f aca="false">IF(AND('Bonding Program'!$S$48=1,'Bonding Program'!$H$48&gt;'Bonding Program'!$C$8,CT$3='Bonding Program'!$H$48),'Bonding Program'!$T$48-'Bonding Program'!$U$48-'Bonding Program'!$Z$48,0)-IF(AND('Bonding Program'!$S$48=1,'Bonding Program'!$H$48&lt;='Bonding Program'!$C$8,CT$3=IF('Bonding Program'!$P$48&lt;&gt;"",'Bonding Program'!$P$48,'Bonding Program'!$C$8)),'Bonding Program'!$Z$48,0)+IF(AND('Bonding Program'!$P$48&lt;&gt;"",CT$3='Bonding Program'!$P$48,CT$3&lt;='Bonding Program'!$C$8),N('Bonding Program'!$O$48),0)</f>
        <v>0</v>
      </c>
      <c r="CU189" s="19" t="n">
        <f aca="false">IF(AND('Bonding Program'!$S$48=1,'Bonding Program'!$H$48&gt;'Bonding Program'!$C$8,CU$3='Bonding Program'!$H$48),'Bonding Program'!$T$48-'Bonding Program'!$U$48-'Bonding Program'!$Z$48,0)-IF(AND('Bonding Program'!$S$48=1,'Bonding Program'!$H$48&lt;='Bonding Program'!$C$8,CU$3=IF('Bonding Program'!$P$48&lt;&gt;"",'Bonding Program'!$P$48,'Bonding Program'!$C$8)),'Bonding Program'!$Z$48,0)+IF(AND('Bonding Program'!$P$48&lt;&gt;"",CU$3='Bonding Program'!$P$48,CU$3&lt;='Bonding Program'!$C$8),N('Bonding Program'!$O$48),0)</f>
        <v>0</v>
      </c>
      <c r="CV189" s="19" t="n">
        <f aca="false">IF(AND('Bonding Program'!$S$48=1,'Bonding Program'!$H$48&gt;'Bonding Program'!$C$8,CV$3='Bonding Program'!$H$48),'Bonding Program'!$T$48-'Bonding Program'!$U$48-'Bonding Program'!$Z$48,0)-IF(AND('Bonding Program'!$S$48=1,'Bonding Program'!$H$48&lt;='Bonding Program'!$C$8,CV$3=IF('Bonding Program'!$P$48&lt;&gt;"",'Bonding Program'!$P$48,'Bonding Program'!$C$8)),'Bonding Program'!$Z$48,0)+IF(AND('Bonding Program'!$P$48&lt;&gt;"",CV$3='Bonding Program'!$P$48,CV$3&lt;='Bonding Program'!$C$8),N('Bonding Program'!$O$48),0)</f>
        <v>0</v>
      </c>
      <c r="CW189" s="19" t="n">
        <f aca="false">IF(AND('Bonding Program'!$S$48=1,'Bonding Program'!$H$48&gt;'Bonding Program'!$C$8,CW$3='Bonding Program'!$H$48),'Bonding Program'!$T$48-'Bonding Program'!$U$48-'Bonding Program'!$Z$48,0)-IF(AND('Bonding Program'!$S$48=1,'Bonding Program'!$H$48&lt;='Bonding Program'!$C$8,CW$3=IF('Bonding Program'!$P$48&lt;&gt;"",'Bonding Program'!$P$48,'Bonding Program'!$C$8)),'Bonding Program'!$Z$48,0)+IF(AND('Bonding Program'!$P$48&lt;&gt;"",CW$3='Bonding Program'!$P$48,CW$3&lt;='Bonding Program'!$C$8),N('Bonding Program'!$O$48),0)</f>
        <v>0</v>
      </c>
      <c r="CX189" s="19" t="n">
        <f aca="false">IF(AND('Bonding Program'!$S$48=1,'Bonding Program'!$H$48&gt;'Bonding Program'!$C$8,CX$3='Bonding Program'!$H$48),'Bonding Program'!$T$48-'Bonding Program'!$U$48-'Bonding Program'!$Z$48,0)-IF(AND('Bonding Program'!$S$48=1,'Bonding Program'!$H$48&lt;='Bonding Program'!$C$8,CX$3=IF('Bonding Program'!$P$48&lt;&gt;"",'Bonding Program'!$P$48,'Bonding Program'!$C$8)),'Bonding Program'!$Z$48,0)+IF(AND('Bonding Program'!$P$48&lt;&gt;"",CX$3='Bonding Program'!$P$48,CX$3&lt;='Bonding Program'!$C$8),N('Bonding Program'!$O$48),0)</f>
        <v>0</v>
      </c>
      <c r="CY189" s="19" t="n">
        <f aca="false">IF(AND('Bonding Program'!$S$48=1,'Bonding Program'!$H$48&gt;'Bonding Program'!$C$8,CY$3='Bonding Program'!$H$48),'Bonding Program'!$T$48-'Bonding Program'!$U$48-'Bonding Program'!$Z$48,0)-IF(AND('Bonding Program'!$S$48=1,'Bonding Program'!$H$48&lt;='Bonding Program'!$C$8,CY$3=IF('Bonding Program'!$P$48&lt;&gt;"",'Bonding Program'!$P$48,'Bonding Program'!$C$8)),'Bonding Program'!$Z$48,0)+IF(AND('Bonding Program'!$P$48&lt;&gt;"",CY$3='Bonding Program'!$P$48,CY$3&lt;='Bonding Program'!$C$8),N('Bonding Program'!$O$48),0)</f>
        <v>0</v>
      </c>
      <c r="CZ189" s="19" t="n">
        <f aca="false">IF(AND('Bonding Program'!$S$48=1,'Bonding Program'!$H$48&gt;'Bonding Program'!$C$8,CZ$3='Bonding Program'!$H$48),'Bonding Program'!$T$48-'Bonding Program'!$U$48-'Bonding Program'!$Z$48,0)-IF(AND('Bonding Program'!$S$48=1,'Bonding Program'!$H$48&lt;='Bonding Program'!$C$8,CZ$3=IF('Bonding Program'!$P$48&lt;&gt;"",'Bonding Program'!$P$48,'Bonding Program'!$C$8)),'Bonding Program'!$Z$48,0)+IF(AND('Bonding Program'!$P$48&lt;&gt;"",CZ$3='Bonding Program'!$P$48,CZ$3&lt;='Bonding Program'!$C$8),N('Bonding Program'!$O$48),0)</f>
        <v>0</v>
      </c>
      <c r="DA189" s="19" t="n">
        <f aca="false">IF(AND('Bonding Program'!$S$48=1,'Bonding Program'!$H$48&gt;'Bonding Program'!$C$8,DA$3='Bonding Program'!$H$48),'Bonding Program'!$T$48-'Bonding Program'!$U$48-'Bonding Program'!$Z$48,0)-IF(AND('Bonding Program'!$S$48=1,'Bonding Program'!$H$48&lt;='Bonding Program'!$C$8,DA$3=IF('Bonding Program'!$P$48&lt;&gt;"",'Bonding Program'!$P$48,'Bonding Program'!$C$8)),'Bonding Program'!$Z$48,0)+IF(AND('Bonding Program'!$P$48&lt;&gt;"",DA$3='Bonding Program'!$P$48,DA$3&lt;='Bonding Program'!$C$8),N('Bonding Program'!$O$48),0)</f>
        <v>0</v>
      </c>
      <c r="DB189" s="19" t="n">
        <f aca="false">IF(AND('Bonding Program'!$S$48=1,'Bonding Program'!$H$48&gt;'Bonding Program'!$C$8,DB$3='Bonding Program'!$H$48),'Bonding Program'!$T$48-'Bonding Program'!$U$48-'Bonding Program'!$Z$48,0)-IF(AND('Bonding Program'!$S$48=1,'Bonding Program'!$H$48&lt;='Bonding Program'!$C$8,DB$3=IF('Bonding Program'!$P$48&lt;&gt;"",'Bonding Program'!$P$48,'Bonding Program'!$C$8)),'Bonding Program'!$Z$48,0)+IF(AND('Bonding Program'!$P$48&lt;&gt;"",DB$3='Bonding Program'!$P$48,DB$3&lt;='Bonding Program'!$C$8),N('Bonding Program'!$O$48),0)</f>
        <v>0</v>
      </c>
      <c r="DC189" s="19" t="n">
        <f aca="false">IF(AND('Bonding Program'!$S$48=1,'Bonding Program'!$H$48&gt;'Bonding Program'!$C$8,DC$3='Bonding Program'!$H$48),'Bonding Program'!$T$48-'Bonding Program'!$U$48-'Bonding Program'!$Z$48,0)-IF(AND('Bonding Program'!$S$48=1,'Bonding Program'!$H$48&lt;='Bonding Program'!$C$8,DC$3=IF('Bonding Program'!$P$48&lt;&gt;"",'Bonding Program'!$P$48,'Bonding Program'!$C$8)),'Bonding Program'!$Z$48,0)+IF(AND('Bonding Program'!$P$48&lt;&gt;"",DC$3='Bonding Program'!$P$48,DC$3&lt;='Bonding Program'!$C$8),N('Bonding Program'!$O$48),0)</f>
        <v>0</v>
      </c>
      <c r="DD189" s="19" t="n">
        <f aca="false">IF(AND('Bonding Program'!$S$48=1,'Bonding Program'!$H$48&gt;'Bonding Program'!$C$8,DD$3='Bonding Program'!$H$48),'Bonding Program'!$T$48-'Bonding Program'!$U$48-'Bonding Program'!$Z$48,0)-IF(AND('Bonding Program'!$S$48=1,'Bonding Program'!$H$48&lt;='Bonding Program'!$C$8,DD$3=IF('Bonding Program'!$P$48&lt;&gt;"",'Bonding Program'!$P$48,'Bonding Program'!$C$8)),'Bonding Program'!$Z$48,0)+IF(AND('Bonding Program'!$P$48&lt;&gt;"",DD$3='Bonding Program'!$P$48,DD$3&lt;='Bonding Program'!$C$8),N('Bonding Program'!$O$48),0)</f>
        <v>0</v>
      </c>
      <c r="DE189" s="19" t="n">
        <f aca="false">IF(AND('Bonding Program'!$S$48=1,'Bonding Program'!$H$48&gt;'Bonding Program'!$C$8,DE$3='Bonding Program'!$H$48),'Bonding Program'!$T$48-'Bonding Program'!$U$48-'Bonding Program'!$Z$48,0)-IF(AND('Bonding Program'!$S$48=1,'Bonding Program'!$H$48&lt;='Bonding Program'!$C$8,DE$3=IF('Bonding Program'!$P$48&lt;&gt;"",'Bonding Program'!$P$48,'Bonding Program'!$C$8)),'Bonding Program'!$Z$48,0)+IF(AND('Bonding Program'!$P$48&lt;&gt;"",DE$3='Bonding Program'!$P$48,DE$3&lt;='Bonding Program'!$C$8),N('Bonding Program'!$O$48),0)</f>
        <v>0</v>
      </c>
    </row>
    <row r="190" customFormat="false" ht="15" hidden="false" customHeight="true" outlineLevel="1" collapsed="false">
      <c r="A190" s="28" t="s">
        <v>45</v>
      </c>
      <c r="B190" s="19" t="n">
        <f aca="false">IF(AND('Bonding Program'!$S$49=1,'Bonding Program'!$H$49&gt;'Bonding Program'!$C$8,B$3='Bonding Program'!$H$49),'Bonding Program'!$T$49-'Bonding Program'!$U$49-'Bonding Program'!$Z$49,0)-IF(AND('Bonding Program'!$S$49=1,'Bonding Program'!$H$49&lt;='Bonding Program'!$C$8,B$3=IF('Bonding Program'!$P$49&lt;&gt;"",'Bonding Program'!$P$49,'Bonding Program'!$C$8)),'Bonding Program'!$Z$49,0)+IF(AND('Bonding Program'!$P$49&lt;&gt;"",B$3='Bonding Program'!$P$49,B$3&lt;='Bonding Program'!$C$8),N('Bonding Program'!$O$49),0)</f>
        <v>0</v>
      </c>
      <c r="C190" s="19" t="n">
        <f aca="false">IF(AND('Bonding Program'!$S$49=1,'Bonding Program'!$H$49&gt;'Bonding Program'!$C$8,C$3='Bonding Program'!$H$49),'Bonding Program'!$T$49-'Bonding Program'!$U$49-'Bonding Program'!$Z$49,0)-IF(AND('Bonding Program'!$S$49=1,'Bonding Program'!$H$49&lt;='Bonding Program'!$C$8,C$3=IF('Bonding Program'!$P$49&lt;&gt;"",'Bonding Program'!$P$49,'Bonding Program'!$C$8)),'Bonding Program'!$Z$49,0)+IF(AND('Bonding Program'!$P$49&lt;&gt;"",C$3='Bonding Program'!$P$49,C$3&lt;='Bonding Program'!$C$8),N('Bonding Program'!$O$49),0)</f>
        <v>0</v>
      </c>
      <c r="D190" s="19" t="n">
        <f aca="false">IF(AND('Bonding Program'!$S$49=1,'Bonding Program'!$H$49&gt;'Bonding Program'!$C$8,D$3='Bonding Program'!$H$49),'Bonding Program'!$T$49-'Bonding Program'!$U$49-'Bonding Program'!$Z$49,0)-IF(AND('Bonding Program'!$S$49=1,'Bonding Program'!$H$49&lt;='Bonding Program'!$C$8,D$3=IF('Bonding Program'!$P$49&lt;&gt;"",'Bonding Program'!$P$49,'Bonding Program'!$C$8)),'Bonding Program'!$Z$49,0)+IF(AND('Bonding Program'!$P$49&lt;&gt;"",D$3='Bonding Program'!$P$49,D$3&lt;='Bonding Program'!$C$8),N('Bonding Program'!$O$49),0)</f>
        <v>0</v>
      </c>
      <c r="E190" s="19" t="n">
        <f aca="false">IF(AND('Bonding Program'!$S$49=1,'Bonding Program'!$H$49&gt;'Bonding Program'!$C$8,E$3='Bonding Program'!$H$49),'Bonding Program'!$T$49-'Bonding Program'!$U$49-'Bonding Program'!$Z$49,0)-IF(AND('Bonding Program'!$S$49=1,'Bonding Program'!$H$49&lt;='Bonding Program'!$C$8,E$3=IF('Bonding Program'!$P$49&lt;&gt;"",'Bonding Program'!$P$49,'Bonding Program'!$C$8)),'Bonding Program'!$Z$49,0)+IF(AND('Bonding Program'!$P$49&lt;&gt;"",E$3='Bonding Program'!$P$49,E$3&lt;='Bonding Program'!$C$8),N('Bonding Program'!$O$49),0)</f>
        <v>0</v>
      </c>
      <c r="F190" s="19" t="n">
        <f aca="false">IF(AND('Bonding Program'!$S$49=1,'Bonding Program'!$H$49&gt;'Bonding Program'!$C$8,F$3='Bonding Program'!$H$49),'Bonding Program'!$T$49-'Bonding Program'!$U$49-'Bonding Program'!$Z$49,0)-IF(AND('Bonding Program'!$S$49=1,'Bonding Program'!$H$49&lt;='Bonding Program'!$C$8,F$3=IF('Bonding Program'!$P$49&lt;&gt;"",'Bonding Program'!$P$49,'Bonding Program'!$C$8)),'Bonding Program'!$Z$49,0)+IF(AND('Bonding Program'!$P$49&lt;&gt;"",F$3='Bonding Program'!$P$49,F$3&lt;='Bonding Program'!$C$8),N('Bonding Program'!$O$49),0)</f>
        <v>0</v>
      </c>
      <c r="G190" s="19" t="n">
        <f aca="false">IF(AND('Bonding Program'!$S$49=1,'Bonding Program'!$H$49&gt;'Bonding Program'!$C$8,G$3='Bonding Program'!$H$49),'Bonding Program'!$T$49-'Bonding Program'!$U$49-'Bonding Program'!$Z$49,0)-IF(AND('Bonding Program'!$S$49=1,'Bonding Program'!$H$49&lt;='Bonding Program'!$C$8,G$3=IF('Bonding Program'!$P$49&lt;&gt;"",'Bonding Program'!$P$49,'Bonding Program'!$C$8)),'Bonding Program'!$Z$49,0)+IF(AND('Bonding Program'!$P$49&lt;&gt;"",G$3='Bonding Program'!$P$49,G$3&lt;='Bonding Program'!$C$8),N('Bonding Program'!$O$49),0)</f>
        <v>0</v>
      </c>
      <c r="H190" s="19" t="n">
        <f aca="false">IF(AND('Bonding Program'!$S$49=1,'Bonding Program'!$H$49&gt;'Bonding Program'!$C$8,H$3='Bonding Program'!$H$49),'Bonding Program'!$T$49-'Bonding Program'!$U$49-'Bonding Program'!$Z$49,0)-IF(AND('Bonding Program'!$S$49=1,'Bonding Program'!$H$49&lt;='Bonding Program'!$C$8,H$3=IF('Bonding Program'!$P$49&lt;&gt;"",'Bonding Program'!$P$49,'Bonding Program'!$C$8)),'Bonding Program'!$Z$49,0)+IF(AND('Bonding Program'!$P$49&lt;&gt;"",H$3='Bonding Program'!$P$49,H$3&lt;='Bonding Program'!$C$8),N('Bonding Program'!$O$49),0)</f>
        <v>0</v>
      </c>
      <c r="I190" s="19" t="n">
        <f aca="false">IF(AND('Bonding Program'!$S$49=1,'Bonding Program'!$H$49&gt;'Bonding Program'!$C$8,I$3='Bonding Program'!$H$49),'Bonding Program'!$T$49-'Bonding Program'!$U$49-'Bonding Program'!$Z$49,0)-IF(AND('Bonding Program'!$S$49=1,'Bonding Program'!$H$49&lt;='Bonding Program'!$C$8,I$3=IF('Bonding Program'!$P$49&lt;&gt;"",'Bonding Program'!$P$49,'Bonding Program'!$C$8)),'Bonding Program'!$Z$49,0)+IF(AND('Bonding Program'!$P$49&lt;&gt;"",I$3='Bonding Program'!$P$49,I$3&lt;='Bonding Program'!$C$8),N('Bonding Program'!$O$49),0)</f>
        <v>0</v>
      </c>
      <c r="J190" s="19" t="n">
        <f aca="false">IF(AND('Bonding Program'!$S$49=1,'Bonding Program'!$H$49&gt;'Bonding Program'!$C$8,J$3='Bonding Program'!$H$49),'Bonding Program'!$T$49-'Bonding Program'!$U$49-'Bonding Program'!$Z$49,0)-IF(AND('Bonding Program'!$S$49=1,'Bonding Program'!$H$49&lt;='Bonding Program'!$C$8,J$3=IF('Bonding Program'!$P$49&lt;&gt;"",'Bonding Program'!$P$49,'Bonding Program'!$C$8)),'Bonding Program'!$Z$49,0)+IF(AND('Bonding Program'!$P$49&lt;&gt;"",J$3='Bonding Program'!$P$49,J$3&lt;='Bonding Program'!$C$8),N('Bonding Program'!$O$49),0)</f>
        <v>0</v>
      </c>
      <c r="K190" s="19" t="n">
        <f aca="false">IF(AND('Bonding Program'!$S$49=1,'Bonding Program'!$H$49&gt;'Bonding Program'!$C$8,K$3='Bonding Program'!$H$49),'Bonding Program'!$T$49-'Bonding Program'!$U$49-'Bonding Program'!$Z$49,0)-IF(AND('Bonding Program'!$S$49=1,'Bonding Program'!$H$49&lt;='Bonding Program'!$C$8,K$3=IF('Bonding Program'!$P$49&lt;&gt;"",'Bonding Program'!$P$49,'Bonding Program'!$C$8)),'Bonding Program'!$Z$49,0)+IF(AND('Bonding Program'!$P$49&lt;&gt;"",K$3='Bonding Program'!$P$49,K$3&lt;='Bonding Program'!$C$8),N('Bonding Program'!$O$49),0)</f>
        <v>0</v>
      </c>
      <c r="L190" s="19" t="n">
        <f aca="false">IF(AND('Bonding Program'!$S$49=1,'Bonding Program'!$H$49&gt;'Bonding Program'!$C$8,L$3='Bonding Program'!$H$49),'Bonding Program'!$T$49-'Bonding Program'!$U$49-'Bonding Program'!$Z$49,0)-IF(AND('Bonding Program'!$S$49=1,'Bonding Program'!$H$49&lt;='Bonding Program'!$C$8,L$3=IF('Bonding Program'!$P$49&lt;&gt;"",'Bonding Program'!$P$49,'Bonding Program'!$C$8)),'Bonding Program'!$Z$49,0)+IF(AND('Bonding Program'!$P$49&lt;&gt;"",L$3='Bonding Program'!$P$49,L$3&lt;='Bonding Program'!$C$8),N('Bonding Program'!$O$49),0)</f>
        <v>0</v>
      </c>
      <c r="M190" s="19" t="n">
        <f aca="false">IF(AND('Bonding Program'!$S$49=1,'Bonding Program'!$H$49&gt;'Bonding Program'!$C$8,M$3='Bonding Program'!$H$49),'Bonding Program'!$T$49-'Bonding Program'!$U$49-'Bonding Program'!$Z$49,0)-IF(AND('Bonding Program'!$S$49=1,'Bonding Program'!$H$49&lt;='Bonding Program'!$C$8,M$3=IF('Bonding Program'!$P$49&lt;&gt;"",'Bonding Program'!$P$49,'Bonding Program'!$C$8)),'Bonding Program'!$Z$49,0)+IF(AND('Bonding Program'!$P$49&lt;&gt;"",M$3='Bonding Program'!$P$49,M$3&lt;='Bonding Program'!$C$8),N('Bonding Program'!$O$49),0)</f>
        <v>0</v>
      </c>
      <c r="N190" s="19" t="n">
        <f aca="false">IF(AND('Bonding Program'!$S$49=1,'Bonding Program'!$H$49&gt;'Bonding Program'!$C$8,N$3='Bonding Program'!$H$49),'Bonding Program'!$T$49-'Bonding Program'!$U$49-'Bonding Program'!$Z$49,0)-IF(AND('Bonding Program'!$S$49=1,'Bonding Program'!$H$49&lt;='Bonding Program'!$C$8,N$3=IF('Bonding Program'!$P$49&lt;&gt;"",'Bonding Program'!$P$49,'Bonding Program'!$C$8)),'Bonding Program'!$Z$49,0)+IF(AND('Bonding Program'!$P$49&lt;&gt;"",N$3='Bonding Program'!$P$49,N$3&lt;='Bonding Program'!$C$8),N('Bonding Program'!$O$49),0)</f>
        <v>0</v>
      </c>
      <c r="O190" s="19" t="n">
        <f aca="false">IF(AND('Bonding Program'!$S$49=1,'Bonding Program'!$H$49&gt;'Bonding Program'!$C$8,O$3='Bonding Program'!$H$49),'Bonding Program'!$T$49-'Bonding Program'!$U$49-'Bonding Program'!$Z$49,0)-IF(AND('Bonding Program'!$S$49=1,'Bonding Program'!$H$49&lt;='Bonding Program'!$C$8,O$3=IF('Bonding Program'!$P$49&lt;&gt;"",'Bonding Program'!$P$49,'Bonding Program'!$C$8)),'Bonding Program'!$Z$49,0)+IF(AND('Bonding Program'!$P$49&lt;&gt;"",O$3='Bonding Program'!$P$49,O$3&lt;='Bonding Program'!$C$8),N('Bonding Program'!$O$49),0)</f>
        <v>0</v>
      </c>
      <c r="P190" s="19" t="n">
        <f aca="false">IF(AND('Bonding Program'!$S$49=1,'Bonding Program'!$H$49&gt;'Bonding Program'!$C$8,P$3='Bonding Program'!$H$49),'Bonding Program'!$T$49-'Bonding Program'!$U$49-'Bonding Program'!$Z$49,0)-IF(AND('Bonding Program'!$S$49=1,'Bonding Program'!$H$49&lt;='Bonding Program'!$C$8,P$3=IF('Bonding Program'!$P$49&lt;&gt;"",'Bonding Program'!$P$49,'Bonding Program'!$C$8)),'Bonding Program'!$Z$49,0)+IF(AND('Bonding Program'!$P$49&lt;&gt;"",P$3='Bonding Program'!$P$49,P$3&lt;='Bonding Program'!$C$8),N('Bonding Program'!$O$49),0)</f>
        <v>0</v>
      </c>
      <c r="Q190" s="19" t="n">
        <f aca="false">IF(AND('Bonding Program'!$S$49=1,'Bonding Program'!$H$49&gt;'Bonding Program'!$C$8,Q$3='Bonding Program'!$H$49),'Bonding Program'!$T$49-'Bonding Program'!$U$49-'Bonding Program'!$Z$49,0)-IF(AND('Bonding Program'!$S$49=1,'Bonding Program'!$H$49&lt;='Bonding Program'!$C$8,Q$3=IF('Bonding Program'!$P$49&lt;&gt;"",'Bonding Program'!$P$49,'Bonding Program'!$C$8)),'Bonding Program'!$Z$49,0)+IF(AND('Bonding Program'!$P$49&lt;&gt;"",Q$3='Bonding Program'!$P$49,Q$3&lt;='Bonding Program'!$C$8),N('Bonding Program'!$O$49),0)</f>
        <v>0</v>
      </c>
      <c r="R190" s="19" t="n">
        <f aca="false">IF(AND('Bonding Program'!$S$49=1,'Bonding Program'!$H$49&gt;'Bonding Program'!$C$8,R$3='Bonding Program'!$H$49),'Bonding Program'!$T$49-'Bonding Program'!$U$49-'Bonding Program'!$Z$49,0)-IF(AND('Bonding Program'!$S$49=1,'Bonding Program'!$H$49&lt;='Bonding Program'!$C$8,R$3=IF('Bonding Program'!$P$49&lt;&gt;"",'Bonding Program'!$P$49,'Bonding Program'!$C$8)),'Bonding Program'!$Z$49,0)+IF(AND('Bonding Program'!$P$49&lt;&gt;"",R$3='Bonding Program'!$P$49,R$3&lt;='Bonding Program'!$C$8),N('Bonding Program'!$O$49),0)</f>
        <v>0</v>
      </c>
      <c r="S190" s="19" t="n">
        <f aca="false">IF(AND('Bonding Program'!$S$49=1,'Bonding Program'!$H$49&gt;'Bonding Program'!$C$8,S$3='Bonding Program'!$H$49),'Bonding Program'!$T$49-'Bonding Program'!$U$49-'Bonding Program'!$Z$49,0)-IF(AND('Bonding Program'!$S$49=1,'Bonding Program'!$H$49&lt;='Bonding Program'!$C$8,S$3=IF('Bonding Program'!$P$49&lt;&gt;"",'Bonding Program'!$P$49,'Bonding Program'!$C$8)),'Bonding Program'!$Z$49,0)+IF(AND('Bonding Program'!$P$49&lt;&gt;"",S$3='Bonding Program'!$P$49,S$3&lt;='Bonding Program'!$C$8),N('Bonding Program'!$O$49),0)</f>
        <v>0</v>
      </c>
      <c r="T190" s="19" t="n">
        <f aca="false">IF(AND('Bonding Program'!$S$49=1,'Bonding Program'!$H$49&gt;'Bonding Program'!$C$8,T$3='Bonding Program'!$H$49),'Bonding Program'!$T$49-'Bonding Program'!$U$49-'Bonding Program'!$Z$49,0)-IF(AND('Bonding Program'!$S$49=1,'Bonding Program'!$H$49&lt;='Bonding Program'!$C$8,T$3=IF('Bonding Program'!$P$49&lt;&gt;"",'Bonding Program'!$P$49,'Bonding Program'!$C$8)),'Bonding Program'!$Z$49,0)+IF(AND('Bonding Program'!$P$49&lt;&gt;"",T$3='Bonding Program'!$P$49,T$3&lt;='Bonding Program'!$C$8),N('Bonding Program'!$O$49),0)</f>
        <v>0</v>
      </c>
      <c r="U190" s="19" t="n">
        <f aca="false">IF(AND('Bonding Program'!$S$49=1,'Bonding Program'!$H$49&gt;'Bonding Program'!$C$8,U$3='Bonding Program'!$H$49),'Bonding Program'!$T$49-'Bonding Program'!$U$49-'Bonding Program'!$Z$49,0)-IF(AND('Bonding Program'!$S$49=1,'Bonding Program'!$H$49&lt;='Bonding Program'!$C$8,U$3=IF('Bonding Program'!$P$49&lt;&gt;"",'Bonding Program'!$P$49,'Bonding Program'!$C$8)),'Bonding Program'!$Z$49,0)+IF(AND('Bonding Program'!$P$49&lt;&gt;"",U$3='Bonding Program'!$P$49,U$3&lt;='Bonding Program'!$C$8),N('Bonding Program'!$O$49),0)</f>
        <v>0</v>
      </c>
      <c r="V190" s="19" t="n">
        <f aca="false">IF(AND('Bonding Program'!$S$49=1,'Bonding Program'!$H$49&gt;'Bonding Program'!$C$8,V$3='Bonding Program'!$H$49),'Bonding Program'!$T$49-'Bonding Program'!$U$49-'Bonding Program'!$Z$49,0)-IF(AND('Bonding Program'!$S$49=1,'Bonding Program'!$H$49&lt;='Bonding Program'!$C$8,V$3=IF('Bonding Program'!$P$49&lt;&gt;"",'Bonding Program'!$P$49,'Bonding Program'!$C$8)),'Bonding Program'!$Z$49,0)+IF(AND('Bonding Program'!$P$49&lt;&gt;"",V$3='Bonding Program'!$P$49,V$3&lt;='Bonding Program'!$C$8),N('Bonding Program'!$O$49),0)</f>
        <v>0</v>
      </c>
      <c r="W190" s="19" t="n">
        <f aca="false">IF(AND('Bonding Program'!$S$49=1,'Bonding Program'!$H$49&gt;'Bonding Program'!$C$8,W$3='Bonding Program'!$H$49),'Bonding Program'!$T$49-'Bonding Program'!$U$49-'Bonding Program'!$Z$49,0)-IF(AND('Bonding Program'!$S$49=1,'Bonding Program'!$H$49&lt;='Bonding Program'!$C$8,W$3=IF('Bonding Program'!$P$49&lt;&gt;"",'Bonding Program'!$P$49,'Bonding Program'!$C$8)),'Bonding Program'!$Z$49,0)+IF(AND('Bonding Program'!$P$49&lt;&gt;"",W$3='Bonding Program'!$P$49,W$3&lt;='Bonding Program'!$C$8),N('Bonding Program'!$O$49),0)</f>
        <v>0</v>
      </c>
      <c r="X190" s="19" t="n">
        <f aca="false">IF(AND('Bonding Program'!$S$49=1,'Bonding Program'!$H$49&gt;'Bonding Program'!$C$8,X$3='Bonding Program'!$H$49),'Bonding Program'!$T$49-'Bonding Program'!$U$49-'Bonding Program'!$Z$49,0)-IF(AND('Bonding Program'!$S$49=1,'Bonding Program'!$H$49&lt;='Bonding Program'!$C$8,X$3=IF('Bonding Program'!$P$49&lt;&gt;"",'Bonding Program'!$P$49,'Bonding Program'!$C$8)),'Bonding Program'!$Z$49,0)+IF(AND('Bonding Program'!$P$49&lt;&gt;"",X$3='Bonding Program'!$P$49,X$3&lt;='Bonding Program'!$C$8),N('Bonding Program'!$O$49),0)</f>
        <v>0</v>
      </c>
      <c r="Y190" s="19" t="n">
        <f aca="false">IF(AND('Bonding Program'!$S$49=1,'Bonding Program'!$H$49&gt;'Bonding Program'!$C$8,Y$3='Bonding Program'!$H$49),'Bonding Program'!$T$49-'Bonding Program'!$U$49-'Bonding Program'!$Z$49,0)-IF(AND('Bonding Program'!$S$49=1,'Bonding Program'!$H$49&lt;='Bonding Program'!$C$8,Y$3=IF('Bonding Program'!$P$49&lt;&gt;"",'Bonding Program'!$P$49,'Bonding Program'!$C$8)),'Bonding Program'!$Z$49,0)+IF(AND('Bonding Program'!$P$49&lt;&gt;"",Y$3='Bonding Program'!$P$49,Y$3&lt;='Bonding Program'!$C$8),N('Bonding Program'!$O$49),0)</f>
        <v>0</v>
      </c>
      <c r="Z190" s="19" t="n">
        <f aca="false">IF(AND('Bonding Program'!$S$49=1,'Bonding Program'!$H$49&gt;'Bonding Program'!$C$8,Z$3='Bonding Program'!$H$49),'Bonding Program'!$T$49-'Bonding Program'!$U$49-'Bonding Program'!$Z$49,0)-IF(AND('Bonding Program'!$S$49=1,'Bonding Program'!$H$49&lt;='Bonding Program'!$C$8,Z$3=IF('Bonding Program'!$P$49&lt;&gt;"",'Bonding Program'!$P$49,'Bonding Program'!$C$8)),'Bonding Program'!$Z$49,0)+IF(AND('Bonding Program'!$P$49&lt;&gt;"",Z$3='Bonding Program'!$P$49,Z$3&lt;='Bonding Program'!$C$8),N('Bonding Program'!$O$49),0)</f>
        <v>0</v>
      </c>
      <c r="AA190" s="19" t="n">
        <f aca="false">IF(AND('Bonding Program'!$S$49=1,'Bonding Program'!$H$49&gt;'Bonding Program'!$C$8,AA$3='Bonding Program'!$H$49),'Bonding Program'!$T$49-'Bonding Program'!$U$49-'Bonding Program'!$Z$49,0)-IF(AND('Bonding Program'!$S$49=1,'Bonding Program'!$H$49&lt;='Bonding Program'!$C$8,AA$3=IF('Bonding Program'!$P$49&lt;&gt;"",'Bonding Program'!$P$49,'Bonding Program'!$C$8)),'Bonding Program'!$Z$49,0)+IF(AND('Bonding Program'!$P$49&lt;&gt;"",AA$3='Bonding Program'!$P$49,AA$3&lt;='Bonding Program'!$C$8),N('Bonding Program'!$O$49),0)</f>
        <v>0</v>
      </c>
      <c r="AB190" s="19" t="n">
        <f aca="false">IF(AND('Bonding Program'!$S$49=1,'Bonding Program'!$H$49&gt;'Bonding Program'!$C$8,AB$3='Bonding Program'!$H$49),'Bonding Program'!$T$49-'Bonding Program'!$U$49-'Bonding Program'!$Z$49,0)-IF(AND('Bonding Program'!$S$49=1,'Bonding Program'!$H$49&lt;='Bonding Program'!$C$8,AB$3=IF('Bonding Program'!$P$49&lt;&gt;"",'Bonding Program'!$P$49,'Bonding Program'!$C$8)),'Bonding Program'!$Z$49,0)+IF(AND('Bonding Program'!$P$49&lt;&gt;"",AB$3='Bonding Program'!$P$49,AB$3&lt;='Bonding Program'!$C$8),N('Bonding Program'!$O$49),0)</f>
        <v>0</v>
      </c>
      <c r="AC190" s="19" t="n">
        <f aca="false">IF(AND('Bonding Program'!$S$49=1,'Bonding Program'!$H$49&gt;'Bonding Program'!$C$8,AC$3='Bonding Program'!$H$49),'Bonding Program'!$T$49-'Bonding Program'!$U$49-'Bonding Program'!$Z$49,0)-IF(AND('Bonding Program'!$S$49=1,'Bonding Program'!$H$49&lt;='Bonding Program'!$C$8,AC$3=IF('Bonding Program'!$P$49&lt;&gt;"",'Bonding Program'!$P$49,'Bonding Program'!$C$8)),'Bonding Program'!$Z$49,0)+IF(AND('Bonding Program'!$P$49&lt;&gt;"",AC$3='Bonding Program'!$P$49,AC$3&lt;='Bonding Program'!$C$8),N('Bonding Program'!$O$49),0)</f>
        <v>0</v>
      </c>
      <c r="AD190" s="19" t="n">
        <f aca="false">IF(AND('Bonding Program'!$S$49=1,'Bonding Program'!$H$49&gt;'Bonding Program'!$C$8,AD$3='Bonding Program'!$H$49),'Bonding Program'!$T$49-'Bonding Program'!$U$49-'Bonding Program'!$Z$49,0)-IF(AND('Bonding Program'!$S$49=1,'Bonding Program'!$H$49&lt;='Bonding Program'!$C$8,AD$3=IF('Bonding Program'!$P$49&lt;&gt;"",'Bonding Program'!$P$49,'Bonding Program'!$C$8)),'Bonding Program'!$Z$49,0)+IF(AND('Bonding Program'!$P$49&lt;&gt;"",AD$3='Bonding Program'!$P$49,AD$3&lt;='Bonding Program'!$C$8),N('Bonding Program'!$O$49),0)</f>
        <v>0</v>
      </c>
      <c r="AE190" s="19" t="n">
        <f aca="false">IF(AND('Bonding Program'!$S$49=1,'Bonding Program'!$H$49&gt;'Bonding Program'!$C$8,AE$3='Bonding Program'!$H$49),'Bonding Program'!$T$49-'Bonding Program'!$U$49-'Bonding Program'!$Z$49,0)-IF(AND('Bonding Program'!$S$49=1,'Bonding Program'!$H$49&lt;='Bonding Program'!$C$8,AE$3=IF('Bonding Program'!$P$49&lt;&gt;"",'Bonding Program'!$P$49,'Bonding Program'!$C$8)),'Bonding Program'!$Z$49,0)+IF(AND('Bonding Program'!$P$49&lt;&gt;"",AE$3='Bonding Program'!$P$49,AE$3&lt;='Bonding Program'!$C$8),N('Bonding Program'!$O$49),0)</f>
        <v>0</v>
      </c>
      <c r="AF190" s="19" t="n">
        <f aca="false">IF(AND('Bonding Program'!$S$49=1,'Bonding Program'!$H$49&gt;'Bonding Program'!$C$8,AF$3='Bonding Program'!$H$49),'Bonding Program'!$T$49-'Bonding Program'!$U$49-'Bonding Program'!$Z$49,0)-IF(AND('Bonding Program'!$S$49=1,'Bonding Program'!$H$49&lt;='Bonding Program'!$C$8,AF$3=IF('Bonding Program'!$P$49&lt;&gt;"",'Bonding Program'!$P$49,'Bonding Program'!$C$8)),'Bonding Program'!$Z$49,0)+IF(AND('Bonding Program'!$P$49&lt;&gt;"",AF$3='Bonding Program'!$P$49,AF$3&lt;='Bonding Program'!$C$8),N('Bonding Program'!$O$49),0)</f>
        <v>0</v>
      </c>
      <c r="AG190" s="19" t="n">
        <f aca="false">IF(AND('Bonding Program'!$S$49=1,'Bonding Program'!$H$49&gt;'Bonding Program'!$C$8,AG$3='Bonding Program'!$H$49),'Bonding Program'!$T$49-'Bonding Program'!$U$49-'Bonding Program'!$Z$49,0)-IF(AND('Bonding Program'!$S$49=1,'Bonding Program'!$H$49&lt;='Bonding Program'!$C$8,AG$3=IF('Bonding Program'!$P$49&lt;&gt;"",'Bonding Program'!$P$49,'Bonding Program'!$C$8)),'Bonding Program'!$Z$49,0)+IF(AND('Bonding Program'!$P$49&lt;&gt;"",AG$3='Bonding Program'!$P$49,AG$3&lt;='Bonding Program'!$C$8),N('Bonding Program'!$O$49),0)</f>
        <v>0</v>
      </c>
      <c r="AH190" s="19" t="n">
        <f aca="false">IF(AND('Bonding Program'!$S$49=1,'Bonding Program'!$H$49&gt;'Bonding Program'!$C$8,AH$3='Bonding Program'!$H$49),'Bonding Program'!$T$49-'Bonding Program'!$U$49-'Bonding Program'!$Z$49,0)-IF(AND('Bonding Program'!$S$49=1,'Bonding Program'!$H$49&lt;='Bonding Program'!$C$8,AH$3=IF('Bonding Program'!$P$49&lt;&gt;"",'Bonding Program'!$P$49,'Bonding Program'!$C$8)),'Bonding Program'!$Z$49,0)+IF(AND('Bonding Program'!$P$49&lt;&gt;"",AH$3='Bonding Program'!$P$49,AH$3&lt;='Bonding Program'!$C$8),N('Bonding Program'!$O$49),0)</f>
        <v>0</v>
      </c>
      <c r="AI190" s="19" t="n">
        <f aca="false">IF(AND('Bonding Program'!$S$49=1,'Bonding Program'!$H$49&gt;'Bonding Program'!$C$8,AI$3='Bonding Program'!$H$49),'Bonding Program'!$T$49-'Bonding Program'!$U$49-'Bonding Program'!$Z$49,0)-IF(AND('Bonding Program'!$S$49=1,'Bonding Program'!$H$49&lt;='Bonding Program'!$C$8,AI$3=IF('Bonding Program'!$P$49&lt;&gt;"",'Bonding Program'!$P$49,'Bonding Program'!$C$8)),'Bonding Program'!$Z$49,0)+IF(AND('Bonding Program'!$P$49&lt;&gt;"",AI$3='Bonding Program'!$P$49,AI$3&lt;='Bonding Program'!$C$8),N('Bonding Program'!$O$49),0)</f>
        <v>0</v>
      </c>
      <c r="AJ190" s="19" t="n">
        <f aca="false">IF(AND('Bonding Program'!$S$49=1,'Bonding Program'!$H$49&gt;'Bonding Program'!$C$8,AJ$3='Bonding Program'!$H$49),'Bonding Program'!$T$49-'Bonding Program'!$U$49-'Bonding Program'!$Z$49,0)-IF(AND('Bonding Program'!$S$49=1,'Bonding Program'!$H$49&lt;='Bonding Program'!$C$8,AJ$3=IF('Bonding Program'!$P$49&lt;&gt;"",'Bonding Program'!$P$49,'Bonding Program'!$C$8)),'Bonding Program'!$Z$49,0)+IF(AND('Bonding Program'!$P$49&lt;&gt;"",AJ$3='Bonding Program'!$P$49,AJ$3&lt;='Bonding Program'!$C$8),N('Bonding Program'!$O$49),0)</f>
        <v>0</v>
      </c>
      <c r="AK190" s="19" t="n">
        <f aca="false">IF(AND('Bonding Program'!$S$49=1,'Bonding Program'!$H$49&gt;'Bonding Program'!$C$8,AK$3='Bonding Program'!$H$49),'Bonding Program'!$T$49-'Bonding Program'!$U$49-'Bonding Program'!$Z$49,0)-IF(AND('Bonding Program'!$S$49=1,'Bonding Program'!$H$49&lt;='Bonding Program'!$C$8,AK$3=IF('Bonding Program'!$P$49&lt;&gt;"",'Bonding Program'!$P$49,'Bonding Program'!$C$8)),'Bonding Program'!$Z$49,0)+IF(AND('Bonding Program'!$P$49&lt;&gt;"",AK$3='Bonding Program'!$P$49,AK$3&lt;='Bonding Program'!$C$8),N('Bonding Program'!$O$49),0)</f>
        <v>0</v>
      </c>
      <c r="AL190" s="19" t="n">
        <f aca="false">IF(AND('Bonding Program'!$S$49=1,'Bonding Program'!$H$49&gt;'Bonding Program'!$C$8,AL$3='Bonding Program'!$H$49),'Bonding Program'!$T$49-'Bonding Program'!$U$49-'Bonding Program'!$Z$49,0)-IF(AND('Bonding Program'!$S$49=1,'Bonding Program'!$H$49&lt;='Bonding Program'!$C$8,AL$3=IF('Bonding Program'!$P$49&lt;&gt;"",'Bonding Program'!$P$49,'Bonding Program'!$C$8)),'Bonding Program'!$Z$49,0)+IF(AND('Bonding Program'!$P$49&lt;&gt;"",AL$3='Bonding Program'!$P$49,AL$3&lt;='Bonding Program'!$C$8),N('Bonding Program'!$O$49),0)</f>
        <v>0</v>
      </c>
      <c r="AM190" s="19" t="n">
        <f aca="false">IF(AND('Bonding Program'!$S$49=1,'Bonding Program'!$H$49&gt;'Bonding Program'!$C$8,AM$3='Bonding Program'!$H$49),'Bonding Program'!$T$49-'Bonding Program'!$U$49-'Bonding Program'!$Z$49,0)-IF(AND('Bonding Program'!$S$49=1,'Bonding Program'!$H$49&lt;='Bonding Program'!$C$8,AM$3=IF('Bonding Program'!$P$49&lt;&gt;"",'Bonding Program'!$P$49,'Bonding Program'!$C$8)),'Bonding Program'!$Z$49,0)+IF(AND('Bonding Program'!$P$49&lt;&gt;"",AM$3='Bonding Program'!$P$49,AM$3&lt;='Bonding Program'!$C$8),N('Bonding Program'!$O$49),0)</f>
        <v>0</v>
      </c>
      <c r="AN190" s="19" t="n">
        <f aca="false">IF(AND('Bonding Program'!$S$49=1,'Bonding Program'!$H$49&gt;'Bonding Program'!$C$8,AN$3='Bonding Program'!$H$49),'Bonding Program'!$T$49-'Bonding Program'!$U$49-'Bonding Program'!$Z$49,0)-IF(AND('Bonding Program'!$S$49=1,'Bonding Program'!$H$49&lt;='Bonding Program'!$C$8,AN$3=IF('Bonding Program'!$P$49&lt;&gt;"",'Bonding Program'!$P$49,'Bonding Program'!$C$8)),'Bonding Program'!$Z$49,0)+IF(AND('Bonding Program'!$P$49&lt;&gt;"",AN$3='Bonding Program'!$P$49,AN$3&lt;='Bonding Program'!$C$8),N('Bonding Program'!$O$49),0)</f>
        <v>0</v>
      </c>
      <c r="AO190" s="19" t="n">
        <f aca="false">IF(AND('Bonding Program'!$S$49=1,'Bonding Program'!$H$49&gt;'Bonding Program'!$C$8,AO$3='Bonding Program'!$H$49),'Bonding Program'!$T$49-'Bonding Program'!$U$49-'Bonding Program'!$Z$49,0)-IF(AND('Bonding Program'!$S$49=1,'Bonding Program'!$H$49&lt;='Bonding Program'!$C$8,AO$3=IF('Bonding Program'!$P$49&lt;&gt;"",'Bonding Program'!$P$49,'Bonding Program'!$C$8)),'Bonding Program'!$Z$49,0)+IF(AND('Bonding Program'!$P$49&lt;&gt;"",AO$3='Bonding Program'!$P$49,AO$3&lt;='Bonding Program'!$C$8),N('Bonding Program'!$O$49),0)</f>
        <v>0</v>
      </c>
      <c r="AP190" s="19" t="n">
        <f aca="false">IF(AND('Bonding Program'!$S$49=1,'Bonding Program'!$H$49&gt;'Bonding Program'!$C$8,AP$3='Bonding Program'!$H$49),'Bonding Program'!$T$49-'Bonding Program'!$U$49-'Bonding Program'!$Z$49,0)-IF(AND('Bonding Program'!$S$49=1,'Bonding Program'!$H$49&lt;='Bonding Program'!$C$8,AP$3=IF('Bonding Program'!$P$49&lt;&gt;"",'Bonding Program'!$P$49,'Bonding Program'!$C$8)),'Bonding Program'!$Z$49,0)+IF(AND('Bonding Program'!$P$49&lt;&gt;"",AP$3='Bonding Program'!$P$49,AP$3&lt;='Bonding Program'!$C$8),N('Bonding Program'!$O$49),0)</f>
        <v>0</v>
      </c>
      <c r="AQ190" s="19" t="n">
        <f aca="false">IF(AND('Bonding Program'!$S$49=1,'Bonding Program'!$H$49&gt;'Bonding Program'!$C$8,AQ$3='Bonding Program'!$H$49),'Bonding Program'!$T$49-'Bonding Program'!$U$49-'Bonding Program'!$Z$49,0)-IF(AND('Bonding Program'!$S$49=1,'Bonding Program'!$H$49&lt;='Bonding Program'!$C$8,AQ$3=IF('Bonding Program'!$P$49&lt;&gt;"",'Bonding Program'!$P$49,'Bonding Program'!$C$8)),'Bonding Program'!$Z$49,0)+IF(AND('Bonding Program'!$P$49&lt;&gt;"",AQ$3='Bonding Program'!$P$49,AQ$3&lt;='Bonding Program'!$C$8),N('Bonding Program'!$O$49),0)</f>
        <v>0</v>
      </c>
      <c r="AR190" s="19" t="n">
        <f aca="false">IF(AND('Bonding Program'!$S$49=1,'Bonding Program'!$H$49&gt;'Bonding Program'!$C$8,AR$3='Bonding Program'!$H$49),'Bonding Program'!$T$49-'Bonding Program'!$U$49-'Bonding Program'!$Z$49,0)-IF(AND('Bonding Program'!$S$49=1,'Bonding Program'!$H$49&lt;='Bonding Program'!$C$8,AR$3=IF('Bonding Program'!$P$49&lt;&gt;"",'Bonding Program'!$P$49,'Bonding Program'!$C$8)),'Bonding Program'!$Z$49,0)+IF(AND('Bonding Program'!$P$49&lt;&gt;"",AR$3='Bonding Program'!$P$49,AR$3&lt;='Bonding Program'!$C$8),N('Bonding Program'!$O$49),0)</f>
        <v>0</v>
      </c>
      <c r="AS190" s="19" t="n">
        <f aca="false">IF(AND('Bonding Program'!$S$49=1,'Bonding Program'!$H$49&gt;'Bonding Program'!$C$8,AS$3='Bonding Program'!$H$49),'Bonding Program'!$T$49-'Bonding Program'!$U$49-'Bonding Program'!$Z$49,0)-IF(AND('Bonding Program'!$S$49=1,'Bonding Program'!$H$49&lt;='Bonding Program'!$C$8,AS$3=IF('Bonding Program'!$P$49&lt;&gt;"",'Bonding Program'!$P$49,'Bonding Program'!$C$8)),'Bonding Program'!$Z$49,0)+IF(AND('Bonding Program'!$P$49&lt;&gt;"",AS$3='Bonding Program'!$P$49,AS$3&lt;='Bonding Program'!$C$8),N('Bonding Program'!$O$49),0)</f>
        <v>0</v>
      </c>
      <c r="AT190" s="19" t="n">
        <f aca="false">IF(AND('Bonding Program'!$S$49=1,'Bonding Program'!$H$49&gt;'Bonding Program'!$C$8,AT$3='Bonding Program'!$H$49),'Bonding Program'!$T$49-'Bonding Program'!$U$49-'Bonding Program'!$Z$49,0)-IF(AND('Bonding Program'!$S$49=1,'Bonding Program'!$H$49&lt;='Bonding Program'!$C$8,AT$3=IF('Bonding Program'!$P$49&lt;&gt;"",'Bonding Program'!$P$49,'Bonding Program'!$C$8)),'Bonding Program'!$Z$49,0)+IF(AND('Bonding Program'!$P$49&lt;&gt;"",AT$3='Bonding Program'!$P$49,AT$3&lt;='Bonding Program'!$C$8),N('Bonding Program'!$O$49),0)</f>
        <v>0</v>
      </c>
      <c r="AU190" s="19" t="n">
        <f aca="false">IF(AND('Bonding Program'!$S$49=1,'Bonding Program'!$H$49&gt;'Bonding Program'!$C$8,AU$3='Bonding Program'!$H$49),'Bonding Program'!$T$49-'Bonding Program'!$U$49-'Bonding Program'!$Z$49,0)-IF(AND('Bonding Program'!$S$49=1,'Bonding Program'!$H$49&lt;='Bonding Program'!$C$8,AU$3=IF('Bonding Program'!$P$49&lt;&gt;"",'Bonding Program'!$P$49,'Bonding Program'!$C$8)),'Bonding Program'!$Z$49,0)+IF(AND('Bonding Program'!$P$49&lt;&gt;"",AU$3='Bonding Program'!$P$49,AU$3&lt;='Bonding Program'!$C$8),N('Bonding Program'!$O$49),0)</f>
        <v>0</v>
      </c>
      <c r="AV190" s="19" t="n">
        <f aca="false">IF(AND('Bonding Program'!$S$49=1,'Bonding Program'!$H$49&gt;'Bonding Program'!$C$8,AV$3='Bonding Program'!$H$49),'Bonding Program'!$T$49-'Bonding Program'!$U$49-'Bonding Program'!$Z$49,0)-IF(AND('Bonding Program'!$S$49=1,'Bonding Program'!$H$49&lt;='Bonding Program'!$C$8,AV$3=IF('Bonding Program'!$P$49&lt;&gt;"",'Bonding Program'!$P$49,'Bonding Program'!$C$8)),'Bonding Program'!$Z$49,0)+IF(AND('Bonding Program'!$P$49&lt;&gt;"",AV$3='Bonding Program'!$P$49,AV$3&lt;='Bonding Program'!$C$8),N('Bonding Program'!$O$49),0)</f>
        <v>0</v>
      </c>
      <c r="AW190" s="19" t="n">
        <f aca="false">IF(AND('Bonding Program'!$S$49=1,'Bonding Program'!$H$49&gt;'Bonding Program'!$C$8,AW$3='Bonding Program'!$H$49),'Bonding Program'!$T$49-'Bonding Program'!$U$49-'Bonding Program'!$Z$49,0)-IF(AND('Bonding Program'!$S$49=1,'Bonding Program'!$H$49&lt;='Bonding Program'!$C$8,AW$3=IF('Bonding Program'!$P$49&lt;&gt;"",'Bonding Program'!$P$49,'Bonding Program'!$C$8)),'Bonding Program'!$Z$49,0)+IF(AND('Bonding Program'!$P$49&lt;&gt;"",AW$3='Bonding Program'!$P$49,AW$3&lt;='Bonding Program'!$C$8),N('Bonding Program'!$O$49),0)</f>
        <v>0</v>
      </c>
      <c r="AX190" s="19" t="n">
        <f aca="false">IF(AND('Bonding Program'!$S$49=1,'Bonding Program'!$H$49&gt;'Bonding Program'!$C$8,AX$3='Bonding Program'!$H$49),'Bonding Program'!$T$49-'Bonding Program'!$U$49-'Bonding Program'!$Z$49,0)-IF(AND('Bonding Program'!$S$49=1,'Bonding Program'!$H$49&lt;='Bonding Program'!$C$8,AX$3=IF('Bonding Program'!$P$49&lt;&gt;"",'Bonding Program'!$P$49,'Bonding Program'!$C$8)),'Bonding Program'!$Z$49,0)+IF(AND('Bonding Program'!$P$49&lt;&gt;"",AX$3='Bonding Program'!$P$49,AX$3&lt;='Bonding Program'!$C$8),N('Bonding Program'!$O$49),0)</f>
        <v>0</v>
      </c>
      <c r="AY190" s="19" t="n">
        <f aca="false">IF(AND('Bonding Program'!$S$49=1,'Bonding Program'!$H$49&gt;'Bonding Program'!$C$8,AY$3='Bonding Program'!$H$49),'Bonding Program'!$T$49-'Bonding Program'!$U$49-'Bonding Program'!$Z$49,0)-IF(AND('Bonding Program'!$S$49=1,'Bonding Program'!$H$49&lt;='Bonding Program'!$C$8,AY$3=IF('Bonding Program'!$P$49&lt;&gt;"",'Bonding Program'!$P$49,'Bonding Program'!$C$8)),'Bonding Program'!$Z$49,0)+IF(AND('Bonding Program'!$P$49&lt;&gt;"",AY$3='Bonding Program'!$P$49,AY$3&lt;='Bonding Program'!$C$8),N('Bonding Program'!$O$49),0)</f>
        <v>0</v>
      </c>
      <c r="AZ190" s="19" t="n">
        <f aca="false">IF(AND('Bonding Program'!$S$49=1,'Bonding Program'!$H$49&gt;'Bonding Program'!$C$8,AZ$3='Bonding Program'!$H$49),'Bonding Program'!$T$49-'Bonding Program'!$U$49-'Bonding Program'!$Z$49,0)-IF(AND('Bonding Program'!$S$49=1,'Bonding Program'!$H$49&lt;='Bonding Program'!$C$8,AZ$3=IF('Bonding Program'!$P$49&lt;&gt;"",'Bonding Program'!$P$49,'Bonding Program'!$C$8)),'Bonding Program'!$Z$49,0)+IF(AND('Bonding Program'!$P$49&lt;&gt;"",AZ$3='Bonding Program'!$P$49,AZ$3&lt;='Bonding Program'!$C$8),N('Bonding Program'!$O$49),0)</f>
        <v>0</v>
      </c>
      <c r="BA190" s="19" t="n">
        <f aca="false">IF(AND('Bonding Program'!$S$49=1,'Bonding Program'!$H$49&gt;'Bonding Program'!$C$8,BA$3='Bonding Program'!$H$49),'Bonding Program'!$T$49-'Bonding Program'!$U$49-'Bonding Program'!$Z$49,0)-IF(AND('Bonding Program'!$S$49=1,'Bonding Program'!$H$49&lt;='Bonding Program'!$C$8,BA$3=IF('Bonding Program'!$P$49&lt;&gt;"",'Bonding Program'!$P$49,'Bonding Program'!$C$8)),'Bonding Program'!$Z$49,0)+IF(AND('Bonding Program'!$P$49&lt;&gt;"",BA$3='Bonding Program'!$P$49,BA$3&lt;='Bonding Program'!$C$8),N('Bonding Program'!$O$49),0)</f>
        <v>0</v>
      </c>
      <c r="BB190" s="19" t="n">
        <f aca="false">IF(AND('Bonding Program'!$S$49=1,'Bonding Program'!$H$49&gt;'Bonding Program'!$C$8,BB$3='Bonding Program'!$H$49),'Bonding Program'!$T$49-'Bonding Program'!$U$49-'Bonding Program'!$Z$49,0)-IF(AND('Bonding Program'!$S$49=1,'Bonding Program'!$H$49&lt;='Bonding Program'!$C$8,BB$3=IF('Bonding Program'!$P$49&lt;&gt;"",'Bonding Program'!$P$49,'Bonding Program'!$C$8)),'Bonding Program'!$Z$49,0)+IF(AND('Bonding Program'!$P$49&lt;&gt;"",BB$3='Bonding Program'!$P$49,BB$3&lt;='Bonding Program'!$C$8),N('Bonding Program'!$O$49),0)</f>
        <v>0</v>
      </c>
      <c r="BC190" s="19" t="n">
        <f aca="false">IF(AND('Bonding Program'!$S$49=1,'Bonding Program'!$H$49&gt;'Bonding Program'!$C$8,BC$3='Bonding Program'!$H$49),'Bonding Program'!$T$49-'Bonding Program'!$U$49-'Bonding Program'!$Z$49,0)-IF(AND('Bonding Program'!$S$49=1,'Bonding Program'!$H$49&lt;='Bonding Program'!$C$8,BC$3=IF('Bonding Program'!$P$49&lt;&gt;"",'Bonding Program'!$P$49,'Bonding Program'!$C$8)),'Bonding Program'!$Z$49,0)+IF(AND('Bonding Program'!$P$49&lt;&gt;"",BC$3='Bonding Program'!$P$49,BC$3&lt;='Bonding Program'!$C$8),N('Bonding Program'!$O$49),0)</f>
        <v>0</v>
      </c>
      <c r="BD190" s="19" t="n">
        <f aca="false">IF(AND('Bonding Program'!$S$49=1,'Bonding Program'!$H$49&gt;'Bonding Program'!$C$8,BD$3='Bonding Program'!$H$49),'Bonding Program'!$T$49-'Bonding Program'!$U$49-'Bonding Program'!$Z$49,0)-IF(AND('Bonding Program'!$S$49=1,'Bonding Program'!$H$49&lt;='Bonding Program'!$C$8,BD$3=IF('Bonding Program'!$P$49&lt;&gt;"",'Bonding Program'!$P$49,'Bonding Program'!$C$8)),'Bonding Program'!$Z$49,0)+IF(AND('Bonding Program'!$P$49&lt;&gt;"",BD$3='Bonding Program'!$P$49,BD$3&lt;='Bonding Program'!$C$8),N('Bonding Program'!$O$49),0)</f>
        <v>0</v>
      </c>
      <c r="BE190" s="19" t="n">
        <f aca="false">IF(AND('Bonding Program'!$S$49=1,'Bonding Program'!$H$49&gt;'Bonding Program'!$C$8,BE$3='Bonding Program'!$H$49),'Bonding Program'!$T$49-'Bonding Program'!$U$49-'Bonding Program'!$Z$49,0)-IF(AND('Bonding Program'!$S$49=1,'Bonding Program'!$H$49&lt;='Bonding Program'!$C$8,BE$3=IF('Bonding Program'!$P$49&lt;&gt;"",'Bonding Program'!$P$49,'Bonding Program'!$C$8)),'Bonding Program'!$Z$49,0)+IF(AND('Bonding Program'!$P$49&lt;&gt;"",BE$3='Bonding Program'!$P$49,BE$3&lt;='Bonding Program'!$C$8),N('Bonding Program'!$O$49),0)</f>
        <v>0</v>
      </c>
      <c r="BF190" s="19" t="n">
        <f aca="false">IF(AND('Bonding Program'!$S$49=1,'Bonding Program'!$H$49&gt;'Bonding Program'!$C$8,BF$3='Bonding Program'!$H$49),'Bonding Program'!$T$49-'Bonding Program'!$U$49-'Bonding Program'!$Z$49,0)-IF(AND('Bonding Program'!$S$49=1,'Bonding Program'!$H$49&lt;='Bonding Program'!$C$8,BF$3=IF('Bonding Program'!$P$49&lt;&gt;"",'Bonding Program'!$P$49,'Bonding Program'!$C$8)),'Bonding Program'!$Z$49,0)+IF(AND('Bonding Program'!$P$49&lt;&gt;"",BF$3='Bonding Program'!$P$49,BF$3&lt;='Bonding Program'!$C$8),N('Bonding Program'!$O$49),0)</f>
        <v>0</v>
      </c>
      <c r="BG190" s="19" t="n">
        <f aca="false">IF(AND('Bonding Program'!$S$49=1,'Bonding Program'!$H$49&gt;'Bonding Program'!$C$8,BG$3='Bonding Program'!$H$49),'Bonding Program'!$T$49-'Bonding Program'!$U$49-'Bonding Program'!$Z$49,0)-IF(AND('Bonding Program'!$S$49=1,'Bonding Program'!$H$49&lt;='Bonding Program'!$C$8,BG$3=IF('Bonding Program'!$P$49&lt;&gt;"",'Bonding Program'!$P$49,'Bonding Program'!$C$8)),'Bonding Program'!$Z$49,0)+IF(AND('Bonding Program'!$P$49&lt;&gt;"",BG$3='Bonding Program'!$P$49,BG$3&lt;='Bonding Program'!$C$8),N('Bonding Program'!$O$49),0)</f>
        <v>0</v>
      </c>
      <c r="BH190" s="19" t="n">
        <f aca="false">IF(AND('Bonding Program'!$S$49=1,'Bonding Program'!$H$49&gt;'Bonding Program'!$C$8,BH$3='Bonding Program'!$H$49),'Bonding Program'!$T$49-'Bonding Program'!$U$49-'Bonding Program'!$Z$49,0)-IF(AND('Bonding Program'!$S$49=1,'Bonding Program'!$H$49&lt;='Bonding Program'!$C$8,BH$3=IF('Bonding Program'!$P$49&lt;&gt;"",'Bonding Program'!$P$49,'Bonding Program'!$C$8)),'Bonding Program'!$Z$49,0)+IF(AND('Bonding Program'!$P$49&lt;&gt;"",BH$3='Bonding Program'!$P$49,BH$3&lt;='Bonding Program'!$C$8),N('Bonding Program'!$O$49),0)</f>
        <v>0</v>
      </c>
      <c r="BI190" s="19" t="n">
        <f aca="false">IF(AND('Bonding Program'!$S$49=1,'Bonding Program'!$H$49&gt;'Bonding Program'!$C$8,BI$3='Bonding Program'!$H$49),'Bonding Program'!$T$49-'Bonding Program'!$U$49-'Bonding Program'!$Z$49,0)-IF(AND('Bonding Program'!$S$49=1,'Bonding Program'!$H$49&lt;='Bonding Program'!$C$8,BI$3=IF('Bonding Program'!$P$49&lt;&gt;"",'Bonding Program'!$P$49,'Bonding Program'!$C$8)),'Bonding Program'!$Z$49,0)+IF(AND('Bonding Program'!$P$49&lt;&gt;"",BI$3='Bonding Program'!$P$49,BI$3&lt;='Bonding Program'!$C$8),N('Bonding Program'!$O$49),0)</f>
        <v>0</v>
      </c>
      <c r="BJ190" s="19" t="n">
        <f aca="false">IF(AND('Bonding Program'!$S$49=1,'Bonding Program'!$H$49&gt;'Bonding Program'!$C$8,BJ$3='Bonding Program'!$H$49),'Bonding Program'!$T$49-'Bonding Program'!$U$49-'Bonding Program'!$Z$49,0)-IF(AND('Bonding Program'!$S$49=1,'Bonding Program'!$H$49&lt;='Bonding Program'!$C$8,BJ$3=IF('Bonding Program'!$P$49&lt;&gt;"",'Bonding Program'!$P$49,'Bonding Program'!$C$8)),'Bonding Program'!$Z$49,0)+IF(AND('Bonding Program'!$P$49&lt;&gt;"",BJ$3='Bonding Program'!$P$49,BJ$3&lt;='Bonding Program'!$C$8),N('Bonding Program'!$O$49),0)</f>
        <v>0</v>
      </c>
      <c r="BK190" s="19" t="n">
        <f aca="false">IF(AND('Bonding Program'!$S$49=1,'Bonding Program'!$H$49&gt;'Bonding Program'!$C$8,BK$3='Bonding Program'!$H$49),'Bonding Program'!$T$49-'Bonding Program'!$U$49-'Bonding Program'!$Z$49,0)-IF(AND('Bonding Program'!$S$49=1,'Bonding Program'!$H$49&lt;='Bonding Program'!$C$8,BK$3=IF('Bonding Program'!$P$49&lt;&gt;"",'Bonding Program'!$P$49,'Bonding Program'!$C$8)),'Bonding Program'!$Z$49,0)+IF(AND('Bonding Program'!$P$49&lt;&gt;"",BK$3='Bonding Program'!$P$49,BK$3&lt;='Bonding Program'!$C$8),N('Bonding Program'!$O$49),0)</f>
        <v>0</v>
      </c>
      <c r="BL190" s="19" t="n">
        <f aca="false">IF(AND('Bonding Program'!$S$49=1,'Bonding Program'!$H$49&gt;'Bonding Program'!$C$8,BL$3='Bonding Program'!$H$49),'Bonding Program'!$T$49-'Bonding Program'!$U$49-'Bonding Program'!$Z$49,0)-IF(AND('Bonding Program'!$S$49=1,'Bonding Program'!$H$49&lt;='Bonding Program'!$C$8,BL$3=IF('Bonding Program'!$P$49&lt;&gt;"",'Bonding Program'!$P$49,'Bonding Program'!$C$8)),'Bonding Program'!$Z$49,0)+IF(AND('Bonding Program'!$P$49&lt;&gt;"",BL$3='Bonding Program'!$P$49,BL$3&lt;='Bonding Program'!$C$8),N('Bonding Program'!$O$49),0)</f>
        <v>0</v>
      </c>
      <c r="BM190" s="19" t="n">
        <f aca="false">IF(AND('Bonding Program'!$S$49=1,'Bonding Program'!$H$49&gt;'Bonding Program'!$C$8,BM$3='Bonding Program'!$H$49),'Bonding Program'!$T$49-'Bonding Program'!$U$49-'Bonding Program'!$Z$49,0)-IF(AND('Bonding Program'!$S$49=1,'Bonding Program'!$H$49&lt;='Bonding Program'!$C$8,BM$3=IF('Bonding Program'!$P$49&lt;&gt;"",'Bonding Program'!$P$49,'Bonding Program'!$C$8)),'Bonding Program'!$Z$49,0)+IF(AND('Bonding Program'!$P$49&lt;&gt;"",BM$3='Bonding Program'!$P$49,BM$3&lt;='Bonding Program'!$C$8),N('Bonding Program'!$O$49),0)</f>
        <v>0</v>
      </c>
      <c r="BN190" s="19" t="n">
        <f aca="false">IF(AND('Bonding Program'!$S$49=1,'Bonding Program'!$H$49&gt;'Bonding Program'!$C$8,BN$3='Bonding Program'!$H$49),'Bonding Program'!$T$49-'Bonding Program'!$U$49-'Bonding Program'!$Z$49,0)-IF(AND('Bonding Program'!$S$49=1,'Bonding Program'!$H$49&lt;='Bonding Program'!$C$8,BN$3=IF('Bonding Program'!$P$49&lt;&gt;"",'Bonding Program'!$P$49,'Bonding Program'!$C$8)),'Bonding Program'!$Z$49,0)+IF(AND('Bonding Program'!$P$49&lt;&gt;"",BN$3='Bonding Program'!$P$49,BN$3&lt;='Bonding Program'!$C$8),N('Bonding Program'!$O$49),0)</f>
        <v>0</v>
      </c>
      <c r="BO190" s="19" t="n">
        <f aca="false">IF(AND('Bonding Program'!$S$49=1,'Bonding Program'!$H$49&gt;'Bonding Program'!$C$8,BO$3='Bonding Program'!$H$49),'Bonding Program'!$T$49-'Bonding Program'!$U$49-'Bonding Program'!$Z$49,0)-IF(AND('Bonding Program'!$S$49=1,'Bonding Program'!$H$49&lt;='Bonding Program'!$C$8,BO$3=IF('Bonding Program'!$P$49&lt;&gt;"",'Bonding Program'!$P$49,'Bonding Program'!$C$8)),'Bonding Program'!$Z$49,0)+IF(AND('Bonding Program'!$P$49&lt;&gt;"",BO$3='Bonding Program'!$P$49,BO$3&lt;='Bonding Program'!$C$8),N('Bonding Program'!$O$49),0)</f>
        <v>0</v>
      </c>
      <c r="BP190" s="19" t="n">
        <f aca="false">IF(AND('Bonding Program'!$S$49=1,'Bonding Program'!$H$49&gt;'Bonding Program'!$C$8,BP$3='Bonding Program'!$H$49),'Bonding Program'!$T$49-'Bonding Program'!$U$49-'Bonding Program'!$Z$49,0)-IF(AND('Bonding Program'!$S$49=1,'Bonding Program'!$H$49&lt;='Bonding Program'!$C$8,BP$3=IF('Bonding Program'!$P$49&lt;&gt;"",'Bonding Program'!$P$49,'Bonding Program'!$C$8)),'Bonding Program'!$Z$49,0)+IF(AND('Bonding Program'!$P$49&lt;&gt;"",BP$3='Bonding Program'!$P$49,BP$3&lt;='Bonding Program'!$C$8),N('Bonding Program'!$O$49),0)</f>
        <v>0</v>
      </c>
      <c r="BQ190" s="19" t="n">
        <f aca="false">IF(AND('Bonding Program'!$S$49=1,'Bonding Program'!$H$49&gt;'Bonding Program'!$C$8,BQ$3='Bonding Program'!$H$49),'Bonding Program'!$T$49-'Bonding Program'!$U$49-'Bonding Program'!$Z$49,0)-IF(AND('Bonding Program'!$S$49=1,'Bonding Program'!$H$49&lt;='Bonding Program'!$C$8,BQ$3=IF('Bonding Program'!$P$49&lt;&gt;"",'Bonding Program'!$P$49,'Bonding Program'!$C$8)),'Bonding Program'!$Z$49,0)+IF(AND('Bonding Program'!$P$49&lt;&gt;"",BQ$3='Bonding Program'!$P$49,BQ$3&lt;='Bonding Program'!$C$8),N('Bonding Program'!$O$49),0)</f>
        <v>0</v>
      </c>
      <c r="BR190" s="19" t="n">
        <f aca="false">IF(AND('Bonding Program'!$S$49=1,'Bonding Program'!$H$49&gt;'Bonding Program'!$C$8,BR$3='Bonding Program'!$H$49),'Bonding Program'!$T$49-'Bonding Program'!$U$49-'Bonding Program'!$Z$49,0)-IF(AND('Bonding Program'!$S$49=1,'Bonding Program'!$H$49&lt;='Bonding Program'!$C$8,BR$3=IF('Bonding Program'!$P$49&lt;&gt;"",'Bonding Program'!$P$49,'Bonding Program'!$C$8)),'Bonding Program'!$Z$49,0)+IF(AND('Bonding Program'!$P$49&lt;&gt;"",BR$3='Bonding Program'!$P$49,BR$3&lt;='Bonding Program'!$C$8),N('Bonding Program'!$O$49),0)</f>
        <v>0</v>
      </c>
      <c r="BS190" s="19" t="n">
        <f aca="false">IF(AND('Bonding Program'!$S$49=1,'Bonding Program'!$H$49&gt;'Bonding Program'!$C$8,BS$3='Bonding Program'!$H$49),'Bonding Program'!$T$49-'Bonding Program'!$U$49-'Bonding Program'!$Z$49,0)-IF(AND('Bonding Program'!$S$49=1,'Bonding Program'!$H$49&lt;='Bonding Program'!$C$8,BS$3=IF('Bonding Program'!$P$49&lt;&gt;"",'Bonding Program'!$P$49,'Bonding Program'!$C$8)),'Bonding Program'!$Z$49,0)+IF(AND('Bonding Program'!$P$49&lt;&gt;"",BS$3='Bonding Program'!$P$49,BS$3&lt;='Bonding Program'!$C$8),N('Bonding Program'!$O$49),0)</f>
        <v>0</v>
      </c>
      <c r="BT190" s="19" t="n">
        <f aca="false">IF(AND('Bonding Program'!$S$49=1,'Bonding Program'!$H$49&gt;'Bonding Program'!$C$8,BT$3='Bonding Program'!$H$49),'Bonding Program'!$T$49-'Bonding Program'!$U$49-'Bonding Program'!$Z$49,0)-IF(AND('Bonding Program'!$S$49=1,'Bonding Program'!$H$49&lt;='Bonding Program'!$C$8,BT$3=IF('Bonding Program'!$P$49&lt;&gt;"",'Bonding Program'!$P$49,'Bonding Program'!$C$8)),'Bonding Program'!$Z$49,0)+IF(AND('Bonding Program'!$P$49&lt;&gt;"",BT$3='Bonding Program'!$P$49,BT$3&lt;='Bonding Program'!$C$8),N('Bonding Program'!$O$49),0)</f>
        <v>0</v>
      </c>
      <c r="BU190" s="19" t="n">
        <f aca="false">IF(AND('Bonding Program'!$S$49=1,'Bonding Program'!$H$49&gt;'Bonding Program'!$C$8,BU$3='Bonding Program'!$H$49),'Bonding Program'!$T$49-'Bonding Program'!$U$49-'Bonding Program'!$Z$49,0)-IF(AND('Bonding Program'!$S$49=1,'Bonding Program'!$H$49&lt;='Bonding Program'!$C$8,BU$3=IF('Bonding Program'!$P$49&lt;&gt;"",'Bonding Program'!$P$49,'Bonding Program'!$C$8)),'Bonding Program'!$Z$49,0)+IF(AND('Bonding Program'!$P$49&lt;&gt;"",BU$3='Bonding Program'!$P$49,BU$3&lt;='Bonding Program'!$C$8),N('Bonding Program'!$O$49),0)</f>
        <v>0</v>
      </c>
      <c r="BV190" s="19" t="n">
        <f aca="false">IF(AND('Bonding Program'!$S$49=1,'Bonding Program'!$H$49&gt;'Bonding Program'!$C$8,BV$3='Bonding Program'!$H$49),'Bonding Program'!$T$49-'Bonding Program'!$U$49-'Bonding Program'!$Z$49,0)-IF(AND('Bonding Program'!$S$49=1,'Bonding Program'!$H$49&lt;='Bonding Program'!$C$8,BV$3=IF('Bonding Program'!$P$49&lt;&gt;"",'Bonding Program'!$P$49,'Bonding Program'!$C$8)),'Bonding Program'!$Z$49,0)+IF(AND('Bonding Program'!$P$49&lt;&gt;"",BV$3='Bonding Program'!$P$49,BV$3&lt;='Bonding Program'!$C$8),N('Bonding Program'!$O$49),0)</f>
        <v>0</v>
      </c>
      <c r="BW190" s="19" t="n">
        <f aca="false">IF(AND('Bonding Program'!$S$49=1,'Bonding Program'!$H$49&gt;'Bonding Program'!$C$8,BW$3='Bonding Program'!$H$49),'Bonding Program'!$T$49-'Bonding Program'!$U$49-'Bonding Program'!$Z$49,0)-IF(AND('Bonding Program'!$S$49=1,'Bonding Program'!$H$49&lt;='Bonding Program'!$C$8,BW$3=IF('Bonding Program'!$P$49&lt;&gt;"",'Bonding Program'!$P$49,'Bonding Program'!$C$8)),'Bonding Program'!$Z$49,0)+IF(AND('Bonding Program'!$P$49&lt;&gt;"",BW$3='Bonding Program'!$P$49,BW$3&lt;='Bonding Program'!$C$8),N('Bonding Program'!$O$49),0)</f>
        <v>0</v>
      </c>
      <c r="BX190" s="19" t="n">
        <f aca="false">IF(AND('Bonding Program'!$S$49=1,'Bonding Program'!$H$49&gt;'Bonding Program'!$C$8,BX$3='Bonding Program'!$H$49),'Bonding Program'!$T$49-'Bonding Program'!$U$49-'Bonding Program'!$Z$49,0)-IF(AND('Bonding Program'!$S$49=1,'Bonding Program'!$H$49&lt;='Bonding Program'!$C$8,BX$3=IF('Bonding Program'!$P$49&lt;&gt;"",'Bonding Program'!$P$49,'Bonding Program'!$C$8)),'Bonding Program'!$Z$49,0)+IF(AND('Bonding Program'!$P$49&lt;&gt;"",BX$3='Bonding Program'!$P$49,BX$3&lt;='Bonding Program'!$C$8),N('Bonding Program'!$O$49),0)</f>
        <v>0</v>
      </c>
      <c r="BY190" s="19" t="n">
        <f aca="false">IF(AND('Bonding Program'!$S$49=1,'Bonding Program'!$H$49&gt;'Bonding Program'!$C$8,BY$3='Bonding Program'!$H$49),'Bonding Program'!$T$49-'Bonding Program'!$U$49-'Bonding Program'!$Z$49,0)-IF(AND('Bonding Program'!$S$49=1,'Bonding Program'!$H$49&lt;='Bonding Program'!$C$8,BY$3=IF('Bonding Program'!$P$49&lt;&gt;"",'Bonding Program'!$P$49,'Bonding Program'!$C$8)),'Bonding Program'!$Z$49,0)+IF(AND('Bonding Program'!$P$49&lt;&gt;"",BY$3='Bonding Program'!$P$49,BY$3&lt;='Bonding Program'!$C$8),N('Bonding Program'!$O$49),0)</f>
        <v>0</v>
      </c>
      <c r="BZ190" s="19" t="n">
        <f aca="false">IF(AND('Bonding Program'!$S$49=1,'Bonding Program'!$H$49&gt;'Bonding Program'!$C$8,BZ$3='Bonding Program'!$H$49),'Bonding Program'!$T$49-'Bonding Program'!$U$49-'Bonding Program'!$Z$49,0)-IF(AND('Bonding Program'!$S$49=1,'Bonding Program'!$H$49&lt;='Bonding Program'!$C$8,BZ$3=IF('Bonding Program'!$P$49&lt;&gt;"",'Bonding Program'!$P$49,'Bonding Program'!$C$8)),'Bonding Program'!$Z$49,0)+IF(AND('Bonding Program'!$P$49&lt;&gt;"",BZ$3='Bonding Program'!$P$49,BZ$3&lt;='Bonding Program'!$C$8),N('Bonding Program'!$O$49),0)</f>
        <v>0</v>
      </c>
      <c r="CA190" s="19" t="n">
        <f aca="false">IF(AND('Bonding Program'!$S$49=1,'Bonding Program'!$H$49&gt;'Bonding Program'!$C$8,CA$3='Bonding Program'!$H$49),'Bonding Program'!$T$49-'Bonding Program'!$U$49-'Bonding Program'!$Z$49,0)-IF(AND('Bonding Program'!$S$49=1,'Bonding Program'!$H$49&lt;='Bonding Program'!$C$8,CA$3=IF('Bonding Program'!$P$49&lt;&gt;"",'Bonding Program'!$P$49,'Bonding Program'!$C$8)),'Bonding Program'!$Z$49,0)+IF(AND('Bonding Program'!$P$49&lt;&gt;"",CA$3='Bonding Program'!$P$49,CA$3&lt;='Bonding Program'!$C$8),N('Bonding Program'!$O$49),0)</f>
        <v>0</v>
      </c>
      <c r="CB190" s="19" t="n">
        <f aca="false">IF(AND('Bonding Program'!$S$49=1,'Bonding Program'!$H$49&gt;'Bonding Program'!$C$8,CB$3='Bonding Program'!$H$49),'Bonding Program'!$T$49-'Bonding Program'!$U$49-'Bonding Program'!$Z$49,0)-IF(AND('Bonding Program'!$S$49=1,'Bonding Program'!$H$49&lt;='Bonding Program'!$C$8,CB$3=IF('Bonding Program'!$P$49&lt;&gt;"",'Bonding Program'!$P$49,'Bonding Program'!$C$8)),'Bonding Program'!$Z$49,0)+IF(AND('Bonding Program'!$P$49&lt;&gt;"",CB$3='Bonding Program'!$P$49,CB$3&lt;='Bonding Program'!$C$8),N('Bonding Program'!$O$49),0)</f>
        <v>0</v>
      </c>
      <c r="CC190" s="19" t="n">
        <f aca="false">IF(AND('Bonding Program'!$S$49=1,'Bonding Program'!$H$49&gt;'Bonding Program'!$C$8,CC$3='Bonding Program'!$H$49),'Bonding Program'!$T$49-'Bonding Program'!$U$49-'Bonding Program'!$Z$49,0)-IF(AND('Bonding Program'!$S$49=1,'Bonding Program'!$H$49&lt;='Bonding Program'!$C$8,CC$3=IF('Bonding Program'!$P$49&lt;&gt;"",'Bonding Program'!$P$49,'Bonding Program'!$C$8)),'Bonding Program'!$Z$49,0)+IF(AND('Bonding Program'!$P$49&lt;&gt;"",CC$3='Bonding Program'!$P$49,CC$3&lt;='Bonding Program'!$C$8),N('Bonding Program'!$O$49),0)</f>
        <v>0</v>
      </c>
      <c r="CD190" s="19" t="n">
        <f aca="false">IF(AND('Bonding Program'!$S$49=1,'Bonding Program'!$H$49&gt;'Bonding Program'!$C$8,CD$3='Bonding Program'!$H$49),'Bonding Program'!$T$49-'Bonding Program'!$U$49-'Bonding Program'!$Z$49,0)-IF(AND('Bonding Program'!$S$49=1,'Bonding Program'!$H$49&lt;='Bonding Program'!$C$8,CD$3=IF('Bonding Program'!$P$49&lt;&gt;"",'Bonding Program'!$P$49,'Bonding Program'!$C$8)),'Bonding Program'!$Z$49,0)+IF(AND('Bonding Program'!$P$49&lt;&gt;"",CD$3='Bonding Program'!$P$49,CD$3&lt;='Bonding Program'!$C$8),N('Bonding Program'!$O$49),0)</f>
        <v>0</v>
      </c>
      <c r="CE190" s="19" t="n">
        <f aca="false">IF(AND('Bonding Program'!$S$49=1,'Bonding Program'!$H$49&gt;'Bonding Program'!$C$8,CE$3='Bonding Program'!$H$49),'Bonding Program'!$T$49-'Bonding Program'!$U$49-'Bonding Program'!$Z$49,0)-IF(AND('Bonding Program'!$S$49=1,'Bonding Program'!$H$49&lt;='Bonding Program'!$C$8,CE$3=IF('Bonding Program'!$P$49&lt;&gt;"",'Bonding Program'!$P$49,'Bonding Program'!$C$8)),'Bonding Program'!$Z$49,0)+IF(AND('Bonding Program'!$P$49&lt;&gt;"",CE$3='Bonding Program'!$P$49,CE$3&lt;='Bonding Program'!$C$8),N('Bonding Program'!$O$49),0)</f>
        <v>0</v>
      </c>
      <c r="CF190" s="19" t="n">
        <f aca="false">IF(AND('Bonding Program'!$S$49=1,'Bonding Program'!$H$49&gt;'Bonding Program'!$C$8,CF$3='Bonding Program'!$H$49),'Bonding Program'!$T$49-'Bonding Program'!$U$49-'Bonding Program'!$Z$49,0)-IF(AND('Bonding Program'!$S$49=1,'Bonding Program'!$H$49&lt;='Bonding Program'!$C$8,CF$3=IF('Bonding Program'!$P$49&lt;&gt;"",'Bonding Program'!$P$49,'Bonding Program'!$C$8)),'Bonding Program'!$Z$49,0)+IF(AND('Bonding Program'!$P$49&lt;&gt;"",CF$3='Bonding Program'!$P$49,CF$3&lt;='Bonding Program'!$C$8),N('Bonding Program'!$O$49),0)</f>
        <v>0</v>
      </c>
      <c r="CG190" s="19" t="n">
        <f aca="false">IF(AND('Bonding Program'!$S$49=1,'Bonding Program'!$H$49&gt;'Bonding Program'!$C$8,CG$3='Bonding Program'!$H$49),'Bonding Program'!$T$49-'Bonding Program'!$U$49-'Bonding Program'!$Z$49,0)-IF(AND('Bonding Program'!$S$49=1,'Bonding Program'!$H$49&lt;='Bonding Program'!$C$8,CG$3=IF('Bonding Program'!$P$49&lt;&gt;"",'Bonding Program'!$P$49,'Bonding Program'!$C$8)),'Bonding Program'!$Z$49,0)+IF(AND('Bonding Program'!$P$49&lt;&gt;"",CG$3='Bonding Program'!$P$49,CG$3&lt;='Bonding Program'!$C$8),N('Bonding Program'!$O$49),0)</f>
        <v>0</v>
      </c>
      <c r="CH190" s="19" t="n">
        <f aca="false">IF(AND('Bonding Program'!$S$49=1,'Bonding Program'!$H$49&gt;'Bonding Program'!$C$8,CH$3='Bonding Program'!$H$49),'Bonding Program'!$T$49-'Bonding Program'!$U$49-'Bonding Program'!$Z$49,0)-IF(AND('Bonding Program'!$S$49=1,'Bonding Program'!$H$49&lt;='Bonding Program'!$C$8,CH$3=IF('Bonding Program'!$P$49&lt;&gt;"",'Bonding Program'!$P$49,'Bonding Program'!$C$8)),'Bonding Program'!$Z$49,0)+IF(AND('Bonding Program'!$P$49&lt;&gt;"",CH$3='Bonding Program'!$P$49,CH$3&lt;='Bonding Program'!$C$8),N('Bonding Program'!$O$49),0)</f>
        <v>0</v>
      </c>
      <c r="CI190" s="19" t="n">
        <f aca="false">IF(AND('Bonding Program'!$S$49=1,'Bonding Program'!$H$49&gt;'Bonding Program'!$C$8,CI$3='Bonding Program'!$H$49),'Bonding Program'!$T$49-'Bonding Program'!$U$49-'Bonding Program'!$Z$49,0)-IF(AND('Bonding Program'!$S$49=1,'Bonding Program'!$H$49&lt;='Bonding Program'!$C$8,CI$3=IF('Bonding Program'!$P$49&lt;&gt;"",'Bonding Program'!$P$49,'Bonding Program'!$C$8)),'Bonding Program'!$Z$49,0)+IF(AND('Bonding Program'!$P$49&lt;&gt;"",CI$3='Bonding Program'!$P$49,CI$3&lt;='Bonding Program'!$C$8),N('Bonding Program'!$O$49),0)</f>
        <v>0</v>
      </c>
      <c r="CJ190" s="19" t="n">
        <f aca="false">IF(AND('Bonding Program'!$S$49=1,'Bonding Program'!$H$49&gt;'Bonding Program'!$C$8,CJ$3='Bonding Program'!$H$49),'Bonding Program'!$T$49-'Bonding Program'!$U$49-'Bonding Program'!$Z$49,0)-IF(AND('Bonding Program'!$S$49=1,'Bonding Program'!$H$49&lt;='Bonding Program'!$C$8,CJ$3=IF('Bonding Program'!$P$49&lt;&gt;"",'Bonding Program'!$P$49,'Bonding Program'!$C$8)),'Bonding Program'!$Z$49,0)+IF(AND('Bonding Program'!$P$49&lt;&gt;"",CJ$3='Bonding Program'!$P$49,CJ$3&lt;='Bonding Program'!$C$8),N('Bonding Program'!$O$49),0)</f>
        <v>0</v>
      </c>
      <c r="CK190" s="19" t="n">
        <f aca="false">IF(AND('Bonding Program'!$S$49=1,'Bonding Program'!$H$49&gt;'Bonding Program'!$C$8,CK$3='Bonding Program'!$H$49),'Bonding Program'!$T$49-'Bonding Program'!$U$49-'Bonding Program'!$Z$49,0)-IF(AND('Bonding Program'!$S$49=1,'Bonding Program'!$H$49&lt;='Bonding Program'!$C$8,CK$3=IF('Bonding Program'!$P$49&lt;&gt;"",'Bonding Program'!$P$49,'Bonding Program'!$C$8)),'Bonding Program'!$Z$49,0)+IF(AND('Bonding Program'!$P$49&lt;&gt;"",CK$3='Bonding Program'!$P$49,CK$3&lt;='Bonding Program'!$C$8),N('Bonding Program'!$O$49),0)</f>
        <v>0</v>
      </c>
      <c r="CL190" s="19" t="n">
        <f aca="false">IF(AND('Bonding Program'!$S$49=1,'Bonding Program'!$H$49&gt;'Bonding Program'!$C$8,CL$3='Bonding Program'!$H$49),'Bonding Program'!$T$49-'Bonding Program'!$U$49-'Bonding Program'!$Z$49,0)-IF(AND('Bonding Program'!$S$49=1,'Bonding Program'!$H$49&lt;='Bonding Program'!$C$8,CL$3=IF('Bonding Program'!$P$49&lt;&gt;"",'Bonding Program'!$P$49,'Bonding Program'!$C$8)),'Bonding Program'!$Z$49,0)+IF(AND('Bonding Program'!$P$49&lt;&gt;"",CL$3='Bonding Program'!$P$49,CL$3&lt;='Bonding Program'!$C$8),N('Bonding Program'!$O$49),0)</f>
        <v>0</v>
      </c>
      <c r="CM190" s="19" t="n">
        <f aca="false">IF(AND('Bonding Program'!$S$49=1,'Bonding Program'!$H$49&gt;'Bonding Program'!$C$8,CM$3='Bonding Program'!$H$49),'Bonding Program'!$T$49-'Bonding Program'!$U$49-'Bonding Program'!$Z$49,0)-IF(AND('Bonding Program'!$S$49=1,'Bonding Program'!$H$49&lt;='Bonding Program'!$C$8,CM$3=IF('Bonding Program'!$P$49&lt;&gt;"",'Bonding Program'!$P$49,'Bonding Program'!$C$8)),'Bonding Program'!$Z$49,0)+IF(AND('Bonding Program'!$P$49&lt;&gt;"",CM$3='Bonding Program'!$P$49,CM$3&lt;='Bonding Program'!$C$8),N('Bonding Program'!$O$49),0)</f>
        <v>0</v>
      </c>
      <c r="CN190" s="19" t="n">
        <f aca="false">IF(AND('Bonding Program'!$S$49=1,'Bonding Program'!$H$49&gt;'Bonding Program'!$C$8,CN$3='Bonding Program'!$H$49),'Bonding Program'!$T$49-'Bonding Program'!$U$49-'Bonding Program'!$Z$49,0)-IF(AND('Bonding Program'!$S$49=1,'Bonding Program'!$H$49&lt;='Bonding Program'!$C$8,CN$3=IF('Bonding Program'!$P$49&lt;&gt;"",'Bonding Program'!$P$49,'Bonding Program'!$C$8)),'Bonding Program'!$Z$49,0)+IF(AND('Bonding Program'!$P$49&lt;&gt;"",CN$3='Bonding Program'!$P$49,CN$3&lt;='Bonding Program'!$C$8),N('Bonding Program'!$O$49),0)</f>
        <v>0</v>
      </c>
      <c r="CO190" s="19" t="n">
        <f aca="false">IF(AND('Bonding Program'!$S$49=1,'Bonding Program'!$H$49&gt;'Bonding Program'!$C$8,CO$3='Bonding Program'!$H$49),'Bonding Program'!$T$49-'Bonding Program'!$U$49-'Bonding Program'!$Z$49,0)-IF(AND('Bonding Program'!$S$49=1,'Bonding Program'!$H$49&lt;='Bonding Program'!$C$8,CO$3=IF('Bonding Program'!$P$49&lt;&gt;"",'Bonding Program'!$P$49,'Bonding Program'!$C$8)),'Bonding Program'!$Z$49,0)+IF(AND('Bonding Program'!$P$49&lt;&gt;"",CO$3='Bonding Program'!$P$49,CO$3&lt;='Bonding Program'!$C$8),N('Bonding Program'!$O$49),0)</f>
        <v>0</v>
      </c>
      <c r="CP190" s="19" t="n">
        <f aca="false">IF(AND('Bonding Program'!$S$49=1,'Bonding Program'!$H$49&gt;'Bonding Program'!$C$8,CP$3='Bonding Program'!$H$49),'Bonding Program'!$T$49-'Bonding Program'!$U$49-'Bonding Program'!$Z$49,0)-IF(AND('Bonding Program'!$S$49=1,'Bonding Program'!$H$49&lt;='Bonding Program'!$C$8,CP$3=IF('Bonding Program'!$P$49&lt;&gt;"",'Bonding Program'!$P$49,'Bonding Program'!$C$8)),'Bonding Program'!$Z$49,0)+IF(AND('Bonding Program'!$P$49&lt;&gt;"",CP$3='Bonding Program'!$P$49,CP$3&lt;='Bonding Program'!$C$8),N('Bonding Program'!$O$49),0)</f>
        <v>0</v>
      </c>
      <c r="CQ190" s="19" t="n">
        <f aca="false">IF(AND('Bonding Program'!$S$49=1,'Bonding Program'!$H$49&gt;'Bonding Program'!$C$8,CQ$3='Bonding Program'!$H$49),'Bonding Program'!$T$49-'Bonding Program'!$U$49-'Bonding Program'!$Z$49,0)-IF(AND('Bonding Program'!$S$49=1,'Bonding Program'!$H$49&lt;='Bonding Program'!$C$8,CQ$3=IF('Bonding Program'!$P$49&lt;&gt;"",'Bonding Program'!$P$49,'Bonding Program'!$C$8)),'Bonding Program'!$Z$49,0)+IF(AND('Bonding Program'!$P$49&lt;&gt;"",CQ$3='Bonding Program'!$P$49,CQ$3&lt;='Bonding Program'!$C$8),N('Bonding Program'!$O$49),0)</f>
        <v>0</v>
      </c>
      <c r="CR190" s="19" t="n">
        <f aca="false">IF(AND('Bonding Program'!$S$49=1,'Bonding Program'!$H$49&gt;'Bonding Program'!$C$8,CR$3='Bonding Program'!$H$49),'Bonding Program'!$T$49-'Bonding Program'!$U$49-'Bonding Program'!$Z$49,0)-IF(AND('Bonding Program'!$S$49=1,'Bonding Program'!$H$49&lt;='Bonding Program'!$C$8,CR$3=IF('Bonding Program'!$P$49&lt;&gt;"",'Bonding Program'!$P$49,'Bonding Program'!$C$8)),'Bonding Program'!$Z$49,0)+IF(AND('Bonding Program'!$P$49&lt;&gt;"",CR$3='Bonding Program'!$P$49,CR$3&lt;='Bonding Program'!$C$8),N('Bonding Program'!$O$49),0)</f>
        <v>0</v>
      </c>
      <c r="CS190" s="19" t="n">
        <f aca="false">IF(AND('Bonding Program'!$S$49=1,'Bonding Program'!$H$49&gt;'Bonding Program'!$C$8,CS$3='Bonding Program'!$H$49),'Bonding Program'!$T$49-'Bonding Program'!$U$49-'Bonding Program'!$Z$49,0)-IF(AND('Bonding Program'!$S$49=1,'Bonding Program'!$H$49&lt;='Bonding Program'!$C$8,CS$3=IF('Bonding Program'!$P$49&lt;&gt;"",'Bonding Program'!$P$49,'Bonding Program'!$C$8)),'Bonding Program'!$Z$49,0)+IF(AND('Bonding Program'!$P$49&lt;&gt;"",CS$3='Bonding Program'!$P$49,CS$3&lt;='Bonding Program'!$C$8),N('Bonding Program'!$O$49),0)</f>
        <v>0</v>
      </c>
      <c r="CT190" s="19" t="n">
        <f aca="false">IF(AND('Bonding Program'!$S$49=1,'Bonding Program'!$H$49&gt;'Bonding Program'!$C$8,CT$3='Bonding Program'!$H$49),'Bonding Program'!$T$49-'Bonding Program'!$U$49-'Bonding Program'!$Z$49,0)-IF(AND('Bonding Program'!$S$49=1,'Bonding Program'!$H$49&lt;='Bonding Program'!$C$8,CT$3=IF('Bonding Program'!$P$49&lt;&gt;"",'Bonding Program'!$P$49,'Bonding Program'!$C$8)),'Bonding Program'!$Z$49,0)+IF(AND('Bonding Program'!$P$49&lt;&gt;"",CT$3='Bonding Program'!$P$49,CT$3&lt;='Bonding Program'!$C$8),N('Bonding Program'!$O$49),0)</f>
        <v>0</v>
      </c>
      <c r="CU190" s="19" t="n">
        <f aca="false">IF(AND('Bonding Program'!$S$49=1,'Bonding Program'!$H$49&gt;'Bonding Program'!$C$8,CU$3='Bonding Program'!$H$49),'Bonding Program'!$T$49-'Bonding Program'!$U$49-'Bonding Program'!$Z$49,0)-IF(AND('Bonding Program'!$S$49=1,'Bonding Program'!$H$49&lt;='Bonding Program'!$C$8,CU$3=IF('Bonding Program'!$P$49&lt;&gt;"",'Bonding Program'!$P$49,'Bonding Program'!$C$8)),'Bonding Program'!$Z$49,0)+IF(AND('Bonding Program'!$P$49&lt;&gt;"",CU$3='Bonding Program'!$P$49,CU$3&lt;='Bonding Program'!$C$8),N('Bonding Program'!$O$49),0)</f>
        <v>0</v>
      </c>
      <c r="CV190" s="19" t="n">
        <f aca="false">IF(AND('Bonding Program'!$S$49=1,'Bonding Program'!$H$49&gt;'Bonding Program'!$C$8,CV$3='Bonding Program'!$H$49),'Bonding Program'!$T$49-'Bonding Program'!$U$49-'Bonding Program'!$Z$49,0)-IF(AND('Bonding Program'!$S$49=1,'Bonding Program'!$H$49&lt;='Bonding Program'!$C$8,CV$3=IF('Bonding Program'!$P$49&lt;&gt;"",'Bonding Program'!$P$49,'Bonding Program'!$C$8)),'Bonding Program'!$Z$49,0)+IF(AND('Bonding Program'!$P$49&lt;&gt;"",CV$3='Bonding Program'!$P$49,CV$3&lt;='Bonding Program'!$C$8),N('Bonding Program'!$O$49),0)</f>
        <v>0</v>
      </c>
      <c r="CW190" s="19" t="n">
        <f aca="false">IF(AND('Bonding Program'!$S$49=1,'Bonding Program'!$H$49&gt;'Bonding Program'!$C$8,CW$3='Bonding Program'!$H$49),'Bonding Program'!$T$49-'Bonding Program'!$U$49-'Bonding Program'!$Z$49,0)-IF(AND('Bonding Program'!$S$49=1,'Bonding Program'!$H$49&lt;='Bonding Program'!$C$8,CW$3=IF('Bonding Program'!$P$49&lt;&gt;"",'Bonding Program'!$P$49,'Bonding Program'!$C$8)),'Bonding Program'!$Z$49,0)+IF(AND('Bonding Program'!$P$49&lt;&gt;"",CW$3='Bonding Program'!$P$49,CW$3&lt;='Bonding Program'!$C$8),N('Bonding Program'!$O$49),0)</f>
        <v>0</v>
      </c>
      <c r="CX190" s="19" t="n">
        <f aca="false">IF(AND('Bonding Program'!$S$49=1,'Bonding Program'!$H$49&gt;'Bonding Program'!$C$8,CX$3='Bonding Program'!$H$49),'Bonding Program'!$T$49-'Bonding Program'!$U$49-'Bonding Program'!$Z$49,0)-IF(AND('Bonding Program'!$S$49=1,'Bonding Program'!$H$49&lt;='Bonding Program'!$C$8,CX$3=IF('Bonding Program'!$P$49&lt;&gt;"",'Bonding Program'!$P$49,'Bonding Program'!$C$8)),'Bonding Program'!$Z$49,0)+IF(AND('Bonding Program'!$P$49&lt;&gt;"",CX$3='Bonding Program'!$P$49,CX$3&lt;='Bonding Program'!$C$8),N('Bonding Program'!$O$49),0)</f>
        <v>0</v>
      </c>
      <c r="CY190" s="19" t="n">
        <f aca="false">IF(AND('Bonding Program'!$S$49=1,'Bonding Program'!$H$49&gt;'Bonding Program'!$C$8,CY$3='Bonding Program'!$H$49),'Bonding Program'!$T$49-'Bonding Program'!$U$49-'Bonding Program'!$Z$49,0)-IF(AND('Bonding Program'!$S$49=1,'Bonding Program'!$H$49&lt;='Bonding Program'!$C$8,CY$3=IF('Bonding Program'!$P$49&lt;&gt;"",'Bonding Program'!$P$49,'Bonding Program'!$C$8)),'Bonding Program'!$Z$49,0)+IF(AND('Bonding Program'!$P$49&lt;&gt;"",CY$3='Bonding Program'!$P$49,CY$3&lt;='Bonding Program'!$C$8),N('Bonding Program'!$O$49),0)</f>
        <v>0</v>
      </c>
      <c r="CZ190" s="19" t="n">
        <f aca="false">IF(AND('Bonding Program'!$S$49=1,'Bonding Program'!$H$49&gt;'Bonding Program'!$C$8,CZ$3='Bonding Program'!$H$49),'Bonding Program'!$T$49-'Bonding Program'!$U$49-'Bonding Program'!$Z$49,0)-IF(AND('Bonding Program'!$S$49=1,'Bonding Program'!$H$49&lt;='Bonding Program'!$C$8,CZ$3=IF('Bonding Program'!$P$49&lt;&gt;"",'Bonding Program'!$P$49,'Bonding Program'!$C$8)),'Bonding Program'!$Z$49,0)+IF(AND('Bonding Program'!$P$49&lt;&gt;"",CZ$3='Bonding Program'!$P$49,CZ$3&lt;='Bonding Program'!$C$8),N('Bonding Program'!$O$49),0)</f>
        <v>0</v>
      </c>
      <c r="DA190" s="19" t="n">
        <f aca="false">IF(AND('Bonding Program'!$S$49=1,'Bonding Program'!$H$49&gt;'Bonding Program'!$C$8,DA$3='Bonding Program'!$H$49),'Bonding Program'!$T$49-'Bonding Program'!$U$49-'Bonding Program'!$Z$49,0)-IF(AND('Bonding Program'!$S$49=1,'Bonding Program'!$H$49&lt;='Bonding Program'!$C$8,DA$3=IF('Bonding Program'!$P$49&lt;&gt;"",'Bonding Program'!$P$49,'Bonding Program'!$C$8)),'Bonding Program'!$Z$49,0)+IF(AND('Bonding Program'!$P$49&lt;&gt;"",DA$3='Bonding Program'!$P$49,DA$3&lt;='Bonding Program'!$C$8),N('Bonding Program'!$O$49),0)</f>
        <v>0</v>
      </c>
      <c r="DB190" s="19" t="n">
        <f aca="false">IF(AND('Bonding Program'!$S$49=1,'Bonding Program'!$H$49&gt;'Bonding Program'!$C$8,DB$3='Bonding Program'!$H$49),'Bonding Program'!$T$49-'Bonding Program'!$U$49-'Bonding Program'!$Z$49,0)-IF(AND('Bonding Program'!$S$49=1,'Bonding Program'!$H$49&lt;='Bonding Program'!$C$8,DB$3=IF('Bonding Program'!$P$49&lt;&gt;"",'Bonding Program'!$P$49,'Bonding Program'!$C$8)),'Bonding Program'!$Z$49,0)+IF(AND('Bonding Program'!$P$49&lt;&gt;"",DB$3='Bonding Program'!$P$49,DB$3&lt;='Bonding Program'!$C$8),N('Bonding Program'!$O$49),0)</f>
        <v>0</v>
      </c>
      <c r="DC190" s="19" t="n">
        <f aca="false">IF(AND('Bonding Program'!$S$49=1,'Bonding Program'!$H$49&gt;'Bonding Program'!$C$8,DC$3='Bonding Program'!$H$49),'Bonding Program'!$T$49-'Bonding Program'!$U$49-'Bonding Program'!$Z$49,0)-IF(AND('Bonding Program'!$S$49=1,'Bonding Program'!$H$49&lt;='Bonding Program'!$C$8,DC$3=IF('Bonding Program'!$P$49&lt;&gt;"",'Bonding Program'!$P$49,'Bonding Program'!$C$8)),'Bonding Program'!$Z$49,0)+IF(AND('Bonding Program'!$P$49&lt;&gt;"",DC$3='Bonding Program'!$P$49,DC$3&lt;='Bonding Program'!$C$8),N('Bonding Program'!$O$49),0)</f>
        <v>0</v>
      </c>
      <c r="DD190" s="19" t="n">
        <f aca="false">IF(AND('Bonding Program'!$S$49=1,'Bonding Program'!$H$49&gt;'Bonding Program'!$C$8,DD$3='Bonding Program'!$H$49),'Bonding Program'!$T$49-'Bonding Program'!$U$49-'Bonding Program'!$Z$49,0)-IF(AND('Bonding Program'!$S$49=1,'Bonding Program'!$H$49&lt;='Bonding Program'!$C$8,DD$3=IF('Bonding Program'!$P$49&lt;&gt;"",'Bonding Program'!$P$49,'Bonding Program'!$C$8)),'Bonding Program'!$Z$49,0)+IF(AND('Bonding Program'!$P$49&lt;&gt;"",DD$3='Bonding Program'!$P$49,DD$3&lt;='Bonding Program'!$C$8),N('Bonding Program'!$O$49),0)</f>
        <v>0</v>
      </c>
      <c r="DE190" s="19" t="n">
        <f aca="false">IF(AND('Bonding Program'!$S$49=1,'Bonding Program'!$H$49&gt;'Bonding Program'!$C$8,DE$3='Bonding Program'!$H$49),'Bonding Program'!$T$49-'Bonding Program'!$U$49-'Bonding Program'!$Z$49,0)-IF(AND('Bonding Program'!$S$49=1,'Bonding Program'!$H$49&lt;='Bonding Program'!$C$8,DE$3=IF('Bonding Program'!$P$49&lt;&gt;"",'Bonding Program'!$P$49,'Bonding Program'!$C$8)),'Bonding Program'!$Z$49,0)+IF(AND('Bonding Program'!$P$49&lt;&gt;"",DE$3='Bonding Program'!$P$49,DE$3&lt;='Bonding Program'!$C$8),N('Bonding Program'!$O$49),0)</f>
        <v>0</v>
      </c>
    </row>
    <row r="191" customFormat="false" ht="15" hidden="false" customHeight="true" outlineLevel="1" collapsed="false">
      <c r="A191" s="28" t="s">
        <v>46</v>
      </c>
      <c r="B191" s="19" t="n">
        <f aca="false">IF(AND('Bonding Program'!$S$50=1,'Bonding Program'!$H$50&gt;'Bonding Program'!$C$8,B$3='Bonding Program'!$H$50),'Bonding Program'!$T$50-'Bonding Program'!$U$50-'Bonding Program'!$Z$50,0)-IF(AND('Bonding Program'!$S$50=1,'Bonding Program'!$H$50&lt;='Bonding Program'!$C$8,B$3=IF('Bonding Program'!$P$50&lt;&gt;"",'Bonding Program'!$P$50,'Bonding Program'!$C$8)),'Bonding Program'!$Z$50,0)+IF(AND('Bonding Program'!$P$50&lt;&gt;"",B$3='Bonding Program'!$P$50,B$3&lt;='Bonding Program'!$C$8),N('Bonding Program'!$O$50),0)</f>
        <v>0</v>
      </c>
      <c r="C191" s="19" t="n">
        <f aca="false">IF(AND('Bonding Program'!$S$50=1,'Bonding Program'!$H$50&gt;'Bonding Program'!$C$8,C$3='Bonding Program'!$H$50),'Bonding Program'!$T$50-'Bonding Program'!$U$50-'Bonding Program'!$Z$50,0)-IF(AND('Bonding Program'!$S$50=1,'Bonding Program'!$H$50&lt;='Bonding Program'!$C$8,C$3=IF('Bonding Program'!$P$50&lt;&gt;"",'Bonding Program'!$P$50,'Bonding Program'!$C$8)),'Bonding Program'!$Z$50,0)+IF(AND('Bonding Program'!$P$50&lt;&gt;"",C$3='Bonding Program'!$P$50,C$3&lt;='Bonding Program'!$C$8),N('Bonding Program'!$O$50),0)</f>
        <v>0</v>
      </c>
      <c r="D191" s="19" t="n">
        <f aca="false">IF(AND('Bonding Program'!$S$50=1,'Bonding Program'!$H$50&gt;'Bonding Program'!$C$8,D$3='Bonding Program'!$H$50),'Bonding Program'!$T$50-'Bonding Program'!$U$50-'Bonding Program'!$Z$50,0)-IF(AND('Bonding Program'!$S$50=1,'Bonding Program'!$H$50&lt;='Bonding Program'!$C$8,D$3=IF('Bonding Program'!$P$50&lt;&gt;"",'Bonding Program'!$P$50,'Bonding Program'!$C$8)),'Bonding Program'!$Z$50,0)+IF(AND('Bonding Program'!$P$50&lt;&gt;"",D$3='Bonding Program'!$P$50,D$3&lt;='Bonding Program'!$C$8),N('Bonding Program'!$O$50),0)</f>
        <v>0</v>
      </c>
      <c r="E191" s="19" t="n">
        <f aca="false">IF(AND('Bonding Program'!$S$50=1,'Bonding Program'!$H$50&gt;'Bonding Program'!$C$8,E$3='Bonding Program'!$H$50),'Bonding Program'!$T$50-'Bonding Program'!$U$50-'Bonding Program'!$Z$50,0)-IF(AND('Bonding Program'!$S$50=1,'Bonding Program'!$H$50&lt;='Bonding Program'!$C$8,E$3=IF('Bonding Program'!$P$50&lt;&gt;"",'Bonding Program'!$P$50,'Bonding Program'!$C$8)),'Bonding Program'!$Z$50,0)+IF(AND('Bonding Program'!$P$50&lt;&gt;"",E$3='Bonding Program'!$P$50,E$3&lt;='Bonding Program'!$C$8),N('Bonding Program'!$O$50),0)</f>
        <v>0</v>
      </c>
      <c r="F191" s="19" t="n">
        <f aca="false">IF(AND('Bonding Program'!$S$50=1,'Bonding Program'!$H$50&gt;'Bonding Program'!$C$8,F$3='Bonding Program'!$H$50),'Bonding Program'!$T$50-'Bonding Program'!$U$50-'Bonding Program'!$Z$50,0)-IF(AND('Bonding Program'!$S$50=1,'Bonding Program'!$H$50&lt;='Bonding Program'!$C$8,F$3=IF('Bonding Program'!$P$50&lt;&gt;"",'Bonding Program'!$P$50,'Bonding Program'!$C$8)),'Bonding Program'!$Z$50,0)+IF(AND('Bonding Program'!$P$50&lt;&gt;"",F$3='Bonding Program'!$P$50,F$3&lt;='Bonding Program'!$C$8),N('Bonding Program'!$O$50),0)</f>
        <v>0</v>
      </c>
      <c r="G191" s="19" t="n">
        <f aca="false">IF(AND('Bonding Program'!$S$50=1,'Bonding Program'!$H$50&gt;'Bonding Program'!$C$8,G$3='Bonding Program'!$H$50),'Bonding Program'!$T$50-'Bonding Program'!$U$50-'Bonding Program'!$Z$50,0)-IF(AND('Bonding Program'!$S$50=1,'Bonding Program'!$H$50&lt;='Bonding Program'!$C$8,G$3=IF('Bonding Program'!$P$50&lt;&gt;"",'Bonding Program'!$P$50,'Bonding Program'!$C$8)),'Bonding Program'!$Z$50,0)+IF(AND('Bonding Program'!$P$50&lt;&gt;"",G$3='Bonding Program'!$P$50,G$3&lt;='Bonding Program'!$C$8),N('Bonding Program'!$O$50),0)</f>
        <v>0</v>
      </c>
      <c r="H191" s="19" t="n">
        <f aca="false">IF(AND('Bonding Program'!$S$50=1,'Bonding Program'!$H$50&gt;'Bonding Program'!$C$8,H$3='Bonding Program'!$H$50),'Bonding Program'!$T$50-'Bonding Program'!$U$50-'Bonding Program'!$Z$50,0)-IF(AND('Bonding Program'!$S$50=1,'Bonding Program'!$H$50&lt;='Bonding Program'!$C$8,H$3=IF('Bonding Program'!$P$50&lt;&gt;"",'Bonding Program'!$P$50,'Bonding Program'!$C$8)),'Bonding Program'!$Z$50,0)+IF(AND('Bonding Program'!$P$50&lt;&gt;"",H$3='Bonding Program'!$P$50,H$3&lt;='Bonding Program'!$C$8),N('Bonding Program'!$O$50),0)</f>
        <v>0</v>
      </c>
      <c r="I191" s="19" t="n">
        <f aca="false">IF(AND('Bonding Program'!$S$50=1,'Bonding Program'!$H$50&gt;'Bonding Program'!$C$8,I$3='Bonding Program'!$H$50),'Bonding Program'!$T$50-'Bonding Program'!$U$50-'Bonding Program'!$Z$50,0)-IF(AND('Bonding Program'!$S$50=1,'Bonding Program'!$H$50&lt;='Bonding Program'!$C$8,I$3=IF('Bonding Program'!$P$50&lt;&gt;"",'Bonding Program'!$P$50,'Bonding Program'!$C$8)),'Bonding Program'!$Z$50,0)+IF(AND('Bonding Program'!$P$50&lt;&gt;"",I$3='Bonding Program'!$P$50,I$3&lt;='Bonding Program'!$C$8),N('Bonding Program'!$O$50),0)</f>
        <v>0</v>
      </c>
      <c r="J191" s="19" t="n">
        <f aca="false">IF(AND('Bonding Program'!$S$50=1,'Bonding Program'!$H$50&gt;'Bonding Program'!$C$8,J$3='Bonding Program'!$H$50),'Bonding Program'!$T$50-'Bonding Program'!$U$50-'Bonding Program'!$Z$50,0)-IF(AND('Bonding Program'!$S$50=1,'Bonding Program'!$H$50&lt;='Bonding Program'!$C$8,J$3=IF('Bonding Program'!$P$50&lt;&gt;"",'Bonding Program'!$P$50,'Bonding Program'!$C$8)),'Bonding Program'!$Z$50,0)+IF(AND('Bonding Program'!$P$50&lt;&gt;"",J$3='Bonding Program'!$P$50,J$3&lt;='Bonding Program'!$C$8),N('Bonding Program'!$O$50),0)</f>
        <v>0</v>
      </c>
      <c r="K191" s="19" t="n">
        <f aca="false">IF(AND('Bonding Program'!$S$50=1,'Bonding Program'!$H$50&gt;'Bonding Program'!$C$8,K$3='Bonding Program'!$H$50),'Bonding Program'!$T$50-'Bonding Program'!$U$50-'Bonding Program'!$Z$50,0)-IF(AND('Bonding Program'!$S$50=1,'Bonding Program'!$H$50&lt;='Bonding Program'!$C$8,K$3=IF('Bonding Program'!$P$50&lt;&gt;"",'Bonding Program'!$P$50,'Bonding Program'!$C$8)),'Bonding Program'!$Z$50,0)+IF(AND('Bonding Program'!$P$50&lt;&gt;"",K$3='Bonding Program'!$P$50,K$3&lt;='Bonding Program'!$C$8),N('Bonding Program'!$O$50),0)</f>
        <v>0</v>
      </c>
      <c r="L191" s="19" t="n">
        <f aca="false">IF(AND('Bonding Program'!$S$50=1,'Bonding Program'!$H$50&gt;'Bonding Program'!$C$8,L$3='Bonding Program'!$H$50),'Bonding Program'!$T$50-'Bonding Program'!$U$50-'Bonding Program'!$Z$50,0)-IF(AND('Bonding Program'!$S$50=1,'Bonding Program'!$H$50&lt;='Bonding Program'!$C$8,L$3=IF('Bonding Program'!$P$50&lt;&gt;"",'Bonding Program'!$P$50,'Bonding Program'!$C$8)),'Bonding Program'!$Z$50,0)+IF(AND('Bonding Program'!$P$50&lt;&gt;"",L$3='Bonding Program'!$P$50,L$3&lt;='Bonding Program'!$C$8),N('Bonding Program'!$O$50),0)</f>
        <v>0</v>
      </c>
      <c r="M191" s="19" t="n">
        <f aca="false">IF(AND('Bonding Program'!$S$50=1,'Bonding Program'!$H$50&gt;'Bonding Program'!$C$8,M$3='Bonding Program'!$H$50),'Bonding Program'!$T$50-'Bonding Program'!$U$50-'Bonding Program'!$Z$50,0)-IF(AND('Bonding Program'!$S$50=1,'Bonding Program'!$H$50&lt;='Bonding Program'!$C$8,M$3=IF('Bonding Program'!$P$50&lt;&gt;"",'Bonding Program'!$P$50,'Bonding Program'!$C$8)),'Bonding Program'!$Z$50,0)+IF(AND('Bonding Program'!$P$50&lt;&gt;"",M$3='Bonding Program'!$P$50,M$3&lt;='Bonding Program'!$C$8),N('Bonding Program'!$O$50),0)</f>
        <v>0</v>
      </c>
      <c r="N191" s="19" t="n">
        <f aca="false">IF(AND('Bonding Program'!$S$50=1,'Bonding Program'!$H$50&gt;'Bonding Program'!$C$8,N$3='Bonding Program'!$H$50),'Bonding Program'!$T$50-'Bonding Program'!$U$50-'Bonding Program'!$Z$50,0)-IF(AND('Bonding Program'!$S$50=1,'Bonding Program'!$H$50&lt;='Bonding Program'!$C$8,N$3=IF('Bonding Program'!$P$50&lt;&gt;"",'Bonding Program'!$P$50,'Bonding Program'!$C$8)),'Bonding Program'!$Z$50,0)+IF(AND('Bonding Program'!$P$50&lt;&gt;"",N$3='Bonding Program'!$P$50,N$3&lt;='Bonding Program'!$C$8),N('Bonding Program'!$O$50),0)</f>
        <v>0</v>
      </c>
      <c r="O191" s="19" t="n">
        <f aca="false">IF(AND('Bonding Program'!$S$50=1,'Bonding Program'!$H$50&gt;'Bonding Program'!$C$8,O$3='Bonding Program'!$H$50),'Bonding Program'!$T$50-'Bonding Program'!$U$50-'Bonding Program'!$Z$50,0)-IF(AND('Bonding Program'!$S$50=1,'Bonding Program'!$H$50&lt;='Bonding Program'!$C$8,O$3=IF('Bonding Program'!$P$50&lt;&gt;"",'Bonding Program'!$P$50,'Bonding Program'!$C$8)),'Bonding Program'!$Z$50,0)+IF(AND('Bonding Program'!$P$50&lt;&gt;"",O$3='Bonding Program'!$P$50,O$3&lt;='Bonding Program'!$C$8),N('Bonding Program'!$O$50),0)</f>
        <v>0</v>
      </c>
      <c r="P191" s="19" t="n">
        <f aca="false">IF(AND('Bonding Program'!$S$50=1,'Bonding Program'!$H$50&gt;'Bonding Program'!$C$8,P$3='Bonding Program'!$H$50),'Bonding Program'!$T$50-'Bonding Program'!$U$50-'Bonding Program'!$Z$50,0)-IF(AND('Bonding Program'!$S$50=1,'Bonding Program'!$H$50&lt;='Bonding Program'!$C$8,P$3=IF('Bonding Program'!$P$50&lt;&gt;"",'Bonding Program'!$P$50,'Bonding Program'!$C$8)),'Bonding Program'!$Z$50,0)+IF(AND('Bonding Program'!$P$50&lt;&gt;"",P$3='Bonding Program'!$P$50,P$3&lt;='Bonding Program'!$C$8),N('Bonding Program'!$O$50),0)</f>
        <v>0</v>
      </c>
      <c r="Q191" s="19" t="n">
        <f aca="false">IF(AND('Bonding Program'!$S$50=1,'Bonding Program'!$H$50&gt;'Bonding Program'!$C$8,Q$3='Bonding Program'!$H$50),'Bonding Program'!$T$50-'Bonding Program'!$U$50-'Bonding Program'!$Z$50,0)-IF(AND('Bonding Program'!$S$50=1,'Bonding Program'!$H$50&lt;='Bonding Program'!$C$8,Q$3=IF('Bonding Program'!$P$50&lt;&gt;"",'Bonding Program'!$P$50,'Bonding Program'!$C$8)),'Bonding Program'!$Z$50,0)+IF(AND('Bonding Program'!$P$50&lt;&gt;"",Q$3='Bonding Program'!$P$50,Q$3&lt;='Bonding Program'!$C$8),N('Bonding Program'!$O$50),0)</f>
        <v>0</v>
      </c>
      <c r="R191" s="19" t="n">
        <f aca="false">IF(AND('Bonding Program'!$S$50=1,'Bonding Program'!$H$50&gt;'Bonding Program'!$C$8,R$3='Bonding Program'!$H$50),'Bonding Program'!$T$50-'Bonding Program'!$U$50-'Bonding Program'!$Z$50,0)-IF(AND('Bonding Program'!$S$50=1,'Bonding Program'!$H$50&lt;='Bonding Program'!$C$8,R$3=IF('Bonding Program'!$P$50&lt;&gt;"",'Bonding Program'!$P$50,'Bonding Program'!$C$8)),'Bonding Program'!$Z$50,0)+IF(AND('Bonding Program'!$P$50&lt;&gt;"",R$3='Bonding Program'!$P$50,R$3&lt;='Bonding Program'!$C$8),N('Bonding Program'!$O$50),0)</f>
        <v>0</v>
      </c>
      <c r="S191" s="19" t="n">
        <f aca="false">IF(AND('Bonding Program'!$S$50=1,'Bonding Program'!$H$50&gt;'Bonding Program'!$C$8,S$3='Bonding Program'!$H$50),'Bonding Program'!$T$50-'Bonding Program'!$U$50-'Bonding Program'!$Z$50,0)-IF(AND('Bonding Program'!$S$50=1,'Bonding Program'!$H$50&lt;='Bonding Program'!$C$8,S$3=IF('Bonding Program'!$P$50&lt;&gt;"",'Bonding Program'!$P$50,'Bonding Program'!$C$8)),'Bonding Program'!$Z$50,0)+IF(AND('Bonding Program'!$P$50&lt;&gt;"",S$3='Bonding Program'!$P$50,S$3&lt;='Bonding Program'!$C$8),N('Bonding Program'!$O$50),0)</f>
        <v>0</v>
      </c>
      <c r="T191" s="19" t="n">
        <f aca="false">IF(AND('Bonding Program'!$S$50=1,'Bonding Program'!$H$50&gt;'Bonding Program'!$C$8,T$3='Bonding Program'!$H$50),'Bonding Program'!$T$50-'Bonding Program'!$U$50-'Bonding Program'!$Z$50,0)-IF(AND('Bonding Program'!$S$50=1,'Bonding Program'!$H$50&lt;='Bonding Program'!$C$8,T$3=IF('Bonding Program'!$P$50&lt;&gt;"",'Bonding Program'!$P$50,'Bonding Program'!$C$8)),'Bonding Program'!$Z$50,0)+IF(AND('Bonding Program'!$P$50&lt;&gt;"",T$3='Bonding Program'!$P$50,T$3&lt;='Bonding Program'!$C$8),N('Bonding Program'!$O$50),0)</f>
        <v>0</v>
      </c>
      <c r="U191" s="19" t="n">
        <f aca="false">IF(AND('Bonding Program'!$S$50=1,'Bonding Program'!$H$50&gt;'Bonding Program'!$C$8,U$3='Bonding Program'!$H$50),'Bonding Program'!$T$50-'Bonding Program'!$U$50-'Bonding Program'!$Z$50,0)-IF(AND('Bonding Program'!$S$50=1,'Bonding Program'!$H$50&lt;='Bonding Program'!$C$8,U$3=IF('Bonding Program'!$P$50&lt;&gt;"",'Bonding Program'!$P$50,'Bonding Program'!$C$8)),'Bonding Program'!$Z$50,0)+IF(AND('Bonding Program'!$P$50&lt;&gt;"",U$3='Bonding Program'!$P$50,U$3&lt;='Bonding Program'!$C$8),N('Bonding Program'!$O$50),0)</f>
        <v>0</v>
      </c>
      <c r="V191" s="19" t="n">
        <f aca="false">IF(AND('Bonding Program'!$S$50=1,'Bonding Program'!$H$50&gt;'Bonding Program'!$C$8,V$3='Bonding Program'!$H$50),'Bonding Program'!$T$50-'Bonding Program'!$U$50-'Bonding Program'!$Z$50,0)-IF(AND('Bonding Program'!$S$50=1,'Bonding Program'!$H$50&lt;='Bonding Program'!$C$8,V$3=IF('Bonding Program'!$P$50&lt;&gt;"",'Bonding Program'!$P$50,'Bonding Program'!$C$8)),'Bonding Program'!$Z$50,0)+IF(AND('Bonding Program'!$P$50&lt;&gt;"",V$3='Bonding Program'!$P$50,V$3&lt;='Bonding Program'!$C$8),N('Bonding Program'!$O$50),0)</f>
        <v>0</v>
      </c>
      <c r="W191" s="19" t="n">
        <f aca="false">IF(AND('Bonding Program'!$S$50=1,'Bonding Program'!$H$50&gt;'Bonding Program'!$C$8,W$3='Bonding Program'!$H$50),'Bonding Program'!$T$50-'Bonding Program'!$U$50-'Bonding Program'!$Z$50,0)-IF(AND('Bonding Program'!$S$50=1,'Bonding Program'!$H$50&lt;='Bonding Program'!$C$8,W$3=IF('Bonding Program'!$P$50&lt;&gt;"",'Bonding Program'!$P$50,'Bonding Program'!$C$8)),'Bonding Program'!$Z$50,0)+IF(AND('Bonding Program'!$P$50&lt;&gt;"",W$3='Bonding Program'!$P$50,W$3&lt;='Bonding Program'!$C$8),N('Bonding Program'!$O$50),0)</f>
        <v>0</v>
      </c>
      <c r="X191" s="19" t="n">
        <f aca="false">IF(AND('Bonding Program'!$S$50=1,'Bonding Program'!$H$50&gt;'Bonding Program'!$C$8,X$3='Bonding Program'!$H$50),'Bonding Program'!$T$50-'Bonding Program'!$U$50-'Bonding Program'!$Z$50,0)-IF(AND('Bonding Program'!$S$50=1,'Bonding Program'!$H$50&lt;='Bonding Program'!$C$8,X$3=IF('Bonding Program'!$P$50&lt;&gt;"",'Bonding Program'!$P$50,'Bonding Program'!$C$8)),'Bonding Program'!$Z$50,0)+IF(AND('Bonding Program'!$P$50&lt;&gt;"",X$3='Bonding Program'!$P$50,X$3&lt;='Bonding Program'!$C$8),N('Bonding Program'!$O$50),0)</f>
        <v>0</v>
      </c>
      <c r="Y191" s="19" t="n">
        <f aca="false">IF(AND('Bonding Program'!$S$50=1,'Bonding Program'!$H$50&gt;'Bonding Program'!$C$8,Y$3='Bonding Program'!$H$50),'Bonding Program'!$T$50-'Bonding Program'!$U$50-'Bonding Program'!$Z$50,0)-IF(AND('Bonding Program'!$S$50=1,'Bonding Program'!$H$50&lt;='Bonding Program'!$C$8,Y$3=IF('Bonding Program'!$P$50&lt;&gt;"",'Bonding Program'!$P$50,'Bonding Program'!$C$8)),'Bonding Program'!$Z$50,0)+IF(AND('Bonding Program'!$P$50&lt;&gt;"",Y$3='Bonding Program'!$P$50,Y$3&lt;='Bonding Program'!$C$8),N('Bonding Program'!$O$50),0)</f>
        <v>0</v>
      </c>
      <c r="Z191" s="19" t="n">
        <f aca="false">IF(AND('Bonding Program'!$S$50=1,'Bonding Program'!$H$50&gt;'Bonding Program'!$C$8,Z$3='Bonding Program'!$H$50),'Bonding Program'!$T$50-'Bonding Program'!$U$50-'Bonding Program'!$Z$50,0)-IF(AND('Bonding Program'!$S$50=1,'Bonding Program'!$H$50&lt;='Bonding Program'!$C$8,Z$3=IF('Bonding Program'!$P$50&lt;&gt;"",'Bonding Program'!$P$50,'Bonding Program'!$C$8)),'Bonding Program'!$Z$50,0)+IF(AND('Bonding Program'!$P$50&lt;&gt;"",Z$3='Bonding Program'!$P$50,Z$3&lt;='Bonding Program'!$C$8),N('Bonding Program'!$O$50),0)</f>
        <v>0</v>
      </c>
      <c r="AA191" s="19" t="n">
        <f aca="false">IF(AND('Bonding Program'!$S$50=1,'Bonding Program'!$H$50&gt;'Bonding Program'!$C$8,AA$3='Bonding Program'!$H$50),'Bonding Program'!$T$50-'Bonding Program'!$U$50-'Bonding Program'!$Z$50,0)-IF(AND('Bonding Program'!$S$50=1,'Bonding Program'!$H$50&lt;='Bonding Program'!$C$8,AA$3=IF('Bonding Program'!$P$50&lt;&gt;"",'Bonding Program'!$P$50,'Bonding Program'!$C$8)),'Bonding Program'!$Z$50,0)+IF(AND('Bonding Program'!$P$50&lt;&gt;"",AA$3='Bonding Program'!$P$50,AA$3&lt;='Bonding Program'!$C$8),N('Bonding Program'!$O$50),0)</f>
        <v>0</v>
      </c>
      <c r="AB191" s="19" t="n">
        <f aca="false">IF(AND('Bonding Program'!$S$50=1,'Bonding Program'!$H$50&gt;'Bonding Program'!$C$8,AB$3='Bonding Program'!$H$50),'Bonding Program'!$T$50-'Bonding Program'!$U$50-'Bonding Program'!$Z$50,0)-IF(AND('Bonding Program'!$S$50=1,'Bonding Program'!$H$50&lt;='Bonding Program'!$C$8,AB$3=IF('Bonding Program'!$P$50&lt;&gt;"",'Bonding Program'!$P$50,'Bonding Program'!$C$8)),'Bonding Program'!$Z$50,0)+IF(AND('Bonding Program'!$P$50&lt;&gt;"",AB$3='Bonding Program'!$P$50,AB$3&lt;='Bonding Program'!$C$8),N('Bonding Program'!$O$50),0)</f>
        <v>0</v>
      </c>
      <c r="AC191" s="19" t="n">
        <f aca="false">IF(AND('Bonding Program'!$S$50=1,'Bonding Program'!$H$50&gt;'Bonding Program'!$C$8,AC$3='Bonding Program'!$H$50),'Bonding Program'!$T$50-'Bonding Program'!$U$50-'Bonding Program'!$Z$50,0)-IF(AND('Bonding Program'!$S$50=1,'Bonding Program'!$H$50&lt;='Bonding Program'!$C$8,AC$3=IF('Bonding Program'!$P$50&lt;&gt;"",'Bonding Program'!$P$50,'Bonding Program'!$C$8)),'Bonding Program'!$Z$50,0)+IF(AND('Bonding Program'!$P$50&lt;&gt;"",AC$3='Bonding Program'!$P$50,AC$3&lt;='Bonding Program'!$C$8),N('Bonding Program'!$O$50),0)</f>
        <v>0</v>
      </c>
      <c r="AD191" s="19" t="n">
        <f aca="false">IF(AND('Bonding Program'!$S$50=1,'Bonding Program'!$H$50&gt;'Bonding Program'!$C$8,AD$3='Bonding Program'!$H$50),'Bonding Program'!$T$50-'Bonding Program'!$U$50-'Bonding Program'!$Z$50,0)-IF(AND('Bonding Program'!$S$50=1,'Bonding Program'!$H$50&lt;='Bonding Program'!$C$8,AD$3=IF('Bonding Program'!$P$50&lt;&gt;"",'Bonding Program'!$P$50,'Bonding Program'!$C$8)),'Bonding Program'!$Z$50,0)+IF(AND('Bonding Program'!$P$50&lt;&gt;"",AD$3='Bonding Program'!$P$50,AD$3&lt;='Bonding Program'!$C$8),N('Bonding Program'!$O$50),0)</f>
        <v>0</v>
      </c>
      <c r="AE191" s="19" t="n">
        <f aca="false">IF(AND('Bonding Program'!$S$50=1,'Bonding Program'!$H$50&gt;'Bonding Program'!$C$8,AE$3='Bonding Program'!$H$50),'Bonding Program'!$T$50-'Bonding Program'!$U$50-'Bonding Program'!$Z$50,0)-IF(AND('Bonding Program'!$S$50=1,'Bonding Program'!$H$50&lt;='Bonding Program'!$C$8,AE$3=IF('Bonding Program'!$P$50&lt;&gt;"",'Bonding Program'!$P$50,'Bonding Program'!$C$8)),'Bonding Program'!$Z$50,0)+IF(AND('Bonding Program'!$P$50&lt;&gt;"",AE$3='Bonding Program'!$P$50,AE$3&lt;='Bonding Program'!$C$8),N('Bonding Program'!$O$50),0)</f>
        <v>0</v>
      </c>
      <c r="AF191" s="19" t="n">
        <f aca="false">IF(AND('Bonding Program'!$S$50=1,'Bonding Program'!$H$50&gt;'Bonding Program'!$C$8,AF$3='Bonding Program'!$H$50),'Bonding Program'!$T$50-'Bonding Program'!$U$50-'Bonding Program'!$Z$50,0)-IF(AND('Bonding Program'!$S$50=1,'Bonding Program'!$H$50&lt;='Bonding Program'!$C$8,AF$3=IF('Bonding Program'!$P$50&lt;&gt;"",'Bonding Program'!$P$50,'Bonding Program'!$C$8)),'Bonding Program'!$Z$50,0)+IF(AND('Bonding Program'!$P$50&lt;&gt;"",AF$3='Bonding Program'!$P$50,AF$3&lt;='Bonding Program'!$C$8),N('Bonding Program'!$O$50),0)</f>
        <v>0</v>
      </c>
      <c r="AG191" s="19" t="n">
        <f aca="false">IF(AND('Bonding Program'!$S$50=1,'Bonding Program'!$H$50&gt;'Bonding Program'!$C$8,AG$3='Bonding Program'!$H$50),'Bonding Program'!$T$50-'Bonding Program'!$U$50-'Bonding Program'!$Z$50,0)-IF(AND('Bonding Program'!$S$50=1,'Bonding Program'!$H$50&lt;='Bonding Program'!$C$8,AG$3=IF('Bonding Program'!$P$50&lt;&gt;"",'Bonding Program'!$P$50,'Bonding Program'!$C$8)),'Bonding Program'!$Z$50,0)+IF(AND('Bonding Program'!$P$50&lt;&gt;"",AG$3='Bonding Program'!$P$50,AG$3&lt;='Bonding Program'!$C$8),N('Bonding Program'!$O$50),0)</f>
        <v>0</v>
      </c>
      <c r="AH191" s="19" t="n">
        <f aca="false">IF(AND('Bonding Program'!$S$50=1,'Bonding Program'!$H$50&gt;'Bonding Program'!$C$8,AH$3='Bonding Program'!$H$50),'Bonding Program'!$T$50-'Bonding Program'!$U$50-'Bonding Program'!$Z$50,0)-IF(AND('Bonding Program'!$S$50=1,'Bonding Program'!$H$50&lt;='Bonding Program'!$C$8,AH$3=IF('Bonding Program'!$P$50&lt;&gt;"",'Bonding Program'!$P$50,'Bonding Program'!$C$8)),'Bonding Program'!$Z$50,0)+IF(AND('Bonding Program'!$P$50&lt;&gt;"",AH$3='Bonding Program'!$P$50,AH$3&lt;='Bonding Program'!$C$8),N('Bonding Program'!$O$50),0)</f>
        <v>0</v>
      </c>
      <c r="AI191" s="19" t="n">
        <f aca="false">IF(AND('Bonding Program'!$S$50=1,'Bonding Program'!$H$50&gt;'Bonding Program'!$C$8,AI$3='Bonding Program'!$H$50),'Bonding Program'!$T$50-'Bonding Program'!$U$50-'Bonding Program'!$Z$50,0)-IF(AND('Bonding Program'!$S$50=1,'Bonding Program'!$H$50&lt;='Bonding Program'!$C$8,AI$3=IF('Bonding Program'!$P$50&lt;&gt;"",'Bonding Program'!$P$50,'Bonding Program'!$C$8)),'Bonding Program'!$Z$50,0)+IF(AND('Bonding Program'!$P$50&lt;&gt;"",AI$3='Bonding Program'!$P$50,AI$3&lt;='Bonding Program'!$C$8),N('Bonding Program'!$O$50),0)</f>
        <v>0</v>
      </c>
      <c r="AJ191" s="19" t="n">
        <f aca="false">IF(AND('Bonding Program'!$S$50=1,'Bonding Program'!$H$50&gt;'Bonding Program'!$C$8,AJ$3='Bonding Program'!$H$50),'Bonding Program'!$T$50-'Bonding Program'!$U$50-'Bonding Program'!$Z$50,0)-IF(AND('Bonding Program'!$S$50=1,'Bonding Program'!$H$50&lt;='Bonding Program'!$C$8,AJ$3=IF('Bonding Program'!$P$50&lt;&gt;"",'Bonding Program'!$P$50,'Bonding Program'!$C$8)),'Bonding Program'!$Z$50,0)+IF(AND('Bonding Program'!$P$50&lt;&gt;"",AJ$3='Bonding Program'!$P$50,AJ$3&lt;='Bonding Program'!$C$8),N('Bonding Program'!$O$50),0)</f>
        <v>0</v>
      </c>
      <c r="AK191" s="19" t="n">
        <f aca="false">IF(AND('Bonding Program'!$S$50=1,'Bonding Program'!$H$50&gt;'Bonding Program'!$C$8,AK$3='Bonding Program'!$H$50),'Bonding Program'!$T$50-'Bonding Program'!$U$50-'Bonding Program'!$Z$50,0)-IF(AND('Bonding Program'!$S$50=1,'Bonding Program'!$H$50&lt;='Bonding Program'!$C$8,AK$3=IF('Bonding Program'!$P$50&lt;&gt;"",'Bonding Program'!$P$50,'Bonding Program'!$C$8)),'Bonding Program'!$Z$50,0)+IF(AND('Bonding Program'!$P$50&lt;&gt;"",AK$3='Bonding Program'!$P$50,AK$3&lt;='Bonding Program'!$C$8),N('Bonding Program'!$O$50),0)</f>
        <v>0</v>
      </c>
      <c r="AL191" s="19" t="n">
        <f aca="false">IF(AND('Bonding Program'!$S$50=1,'Bonding Program'!$H$50&gt;'Bonding Program'!$C$8,AL$3='Bonding Program'!$H$50),'Bonding Program'!$T$50-'Bonding Program'!$U$50-'Bonding Program'!$Z$50,0)-IF(AND('Bonding Program'!$S$50=1,'Bonding Program'!$H$50&lt;='Bonding Program'!$C$8,AL$3=IF('Bonding Program'!$P$50&lt;&gt;"",'Bonding Program'!$P$50,'Bonding Program'!$C$8)),'Bonding Program'!$Z$50,0)+IF(AND('Bonding Program'!$P$50&lt;&gt;"",AL$3='Bonding Program'!$P$50,AL$3&lt;='Bonding Program'!$C$8),N('Bonding Program'!$O$50),0)</f>
        <v>0</v>
      </c>
      <c r="AM191" s="19" t="n">
        <f aca="false">IF(AND('Bonding Program'!$S$50=1,'Bonding Program'!$H$50&gt;'Bonding Program'!$C$8,AM$3='Bonding Program'!$H$50),'Bonding Program'!$T$50-'Bonding Program'!$U$50-'Bonding Program'!$Z$50,0)-IF(AND('Bonding Program'!$S$50=1,'Bonding Program'!$H$50&lt;='Bonding Program'!$C$8,AM$3=IF('Bonding Program'!$P$50&lt;&gt;"",'Bonding Program'!$P$50,'Bonding Program'!$C$8)),'Bonding Program'!$Z$50,0)+IF(AND('Bonding Program'!$P$50&lt;&gt;"",AM$3='Bonding Program'!$P$50,AM$3&lt;='Bonding Program'!$C$8),N('Bonding Program'!$O$50),0)</f>
        <v>0</v>
      </c>
      <c r="AN191" s="19" t="n">
        <f aca="false">IF(AND('Bonding Program'!$S$50=1,'Bonding Program'!$H$50&gt;'Bonding Program'!$C$8,AN$3='Bonding Program'!$H$50),'Bonding Program'!$T$50-'Bonding Program'!$U$50-'Bonding Program'!$Z$50,0)-IF(AND('Bonding Program'!$S$50=1,'Bonding Program'!$H$50&lt;='Bonding Program'!$C$8,AN$3=IF('Bonding Program'!$P$50&lt;&gt;"",'Bonding Program'!$P$50,'Bonding Program'!$C$8)),'Bonding Program'!$Z$50,0)+IF(AND('Bonding Program'!$P$50&lt;&gt;"",AN$3='Bonding Program'!$P$50,AN$3&lt;='Bonding Program'!$C$8),N('Bonding Program'!$O$50),0)</f>
        <v>0</v>
      </c>
      <c r="AO191" s="19" t="n">
        <f aca="false">IF(AND('Bonding Program'!$S$50=1,'Bonding Program'!$H$50&gt;'Bonding Program'!$C$8,AO$3='Bonding Program'!$H$50),'Bonding Program'!$T$50-'Bonding Program'!$U$50-'Bonding Program'!$Z$50,0)-IF(AND('Bonding Program'!$S$50=1,'Bonding Program'!$H$50&lt;='Bonding Program'!$C$8,AO$3=IF('Bonding Program'!$P$50&lt;&gt;"",'Bonding Program'!$P$50,'Bonding Program'!$C$8)),'Bonding Program'!$Z$50,0)+IF(AND('Bonding Program'!$P$50&lt;&gt;"",AO$3='Bonding Program'!$P$50,AO$3&lt;='Bonding Program'!$C$8),N('Bonding Program'!$O$50),0)</f>
        <v>0</v>
      </c>
      <c r="AP191" s="19" t="n">
        <f aca="false">IF(AND('Bonding Program'!$S$50=1,'Bonding Program'!$H$50&gt;'Bonding Program'!$C$8,AP$3='Bonding Program'!$H$50),'Bonding Program'!$T$50-'Bonding Program'!$U$50-'Bonding Program'!$Z$50,0)-IF(AND('Bonding Program'!$S$50=1,'Bonding Program'!$H$50&lt;='Bonding Program'!$C$8,AP$3=IF('Bonding Program'!$P$50&lt;&gt;"",'Bonding Program'!$P$50,'Bonding Program'!$C$8)),'Bonding Program'!$Z$50,0)+IF(AND('Bonding Program'!$P$50&lt;&gt;"",AP$3='Bonding Program'!$P$50,AP$3&lt;='Bonding Program'!$C$8),N('Bonding Program'!$O$50),0)</f>
        <v>0</v>
      </c>
      <c r="AQ191" s="19" t="n">
        <f aca="false">IF(AND('Bonding Program'!$S$50=1,'Bonding Program'!$H$50&gt;'Bonding Program'!$C$8,AQ$3='Bonding Program'!$H$50),'Bonding Program'!$T$50-'Bonding Program'!$U$50-'Bonding Program'!$Z$50,0)-IF(AND('Bonding Program'!$S$50=1,'Bonding Program'!$H$50&lt;='Bonding Program'!$C$8,AQ$3=IF('Bonding Program'!$P$50&lt;&gt;"",'Bonding Program'!$P$50,'Bonding Program'!$C$8)),'Bonding Program'!$Z$50,0)+IF(AND('Bonding Program'!$P$50&lt;&gt;"",AQ$3='Bonding Program'!$P$50,AQ$3&lt;='Bonding Program'!$C$8),N('Bonding Program'!$O$50),0)</f>
        <v>0</v>
      </c>
      <c r="AR191" s="19" t="n">
        <f aca="false">IF(AND('Bonding Program'!$S$50=1,'Bonding Program'!$H$50&gt;'Bonding Program'!$C$8,AR$3='Bonding Program'!$H$50),'Bonding Program'!$T$50-'Bonding Program'!$U$50-'Bonding Program'!$Z$50,0)-IF(AND('Bonding Program'!$S$50=1,'Bonding Program'!$H$50&lt;='Bonding Program'!$C$8,AR$3=IF('Bonding Program'!$P$50&lt;&gt;"",'Bonding Program'!$P$50,'Bonding Program'!$C$8)),'Bonding Program'!$Z$50,0)+IF(AND('Bonding Program'!$P$50&lt;&gt;"",AR$3='Bonding Program'!$P$50,AR$3&lt;='Bonding Program'!$C$8),N('Bonding Program'!$O$50),0)</f>
        <v>0</v>
      </c>
      <c r="AS191" s="19" t="n">
        <f aca="false">IF(AND('Bonding Program'!$S$50=1,'Bonding Program'!$H$50&gt;'Bonding Program'!$C$8,AS$3='Bonding Program'!$H$50),'Bonding Program'!$T$50-'Bonding Program'!$U$50-'Bonding Program'!$Z$50,0)-IF(AND('Bonding Program'!$S$50=1,'Bonding Program'!$H$50&lt;='Bonding Program'!$C$8,AS$3=IF('Bonding Program'!$P$50&lt;&gt;"",'Bonding Program'!$P$50,'Bonding Program'!$C$8)),'Bonding Program'!$Z$50,0)+IF(AND('Bonding Program'!$P$50&lt;&gt;"",AS$3='Bonding Program'!$P$50,AS$3&lt;='Bonding Program'!$C$8),N('Bonding Program'!$O$50),0)</f>
        <v>0</v>
      </c>
      <c r="AT191" s="19" t="n">
        <f aca="false">IF(AND('Bonding Program'!$S$50=1,'Bonding Program'!$H$50&gt;'Bonding Program'!$C$8,AT$3='Bonding Program'!$H$50),'Bonding Program'!$T$50-'Bonding Program'!$U$50-'Bonding Program'!$Z$50,0)-IF(AND('Bonding Program'!$S$50=1,'Bonding Program'!$H$50&lt;='Bonding Program'!$C$8,AT$3=IF('Bonding Program'!$P$50&lt;&gt;"",'Bonding Program'!$P$50,'Bonding Program'!$C$8)),'Bonding Program'!$Z$50,0)+IF(AND('Bonding Program'!$P$50&lt;&gt;"",AT$3='Bonding Program'!$P$50,AT$3&lt;='Bonding Program'!$C$8),N('Bonding Program'!$O$50),0)</f>
        <v>0</v>
      </c>
      <c r="AU191" s="19" t="n">
        <f aca="false">IF(AND('Bonding Program'!$S$50=1,'Bonding Program'!$H$50&gt;'Bonding Program'!$C$8,AU$3='Bonding Program'!$H$50),'Bonding Program'!$T$50-'Bonding Program'!$U$50-'Bonding Program'!$Z$50,0)-IF(AND('Bonding Program'!$S$50=1,'Bonding Program'!$H$50&lt;='Bonding Program'!$C$8,AU$3=IF('Bonding Program'!$P$50&lt;&gt;"",'Bonding Program'!$P$50,'Bonding Program'!$C$8)),'Bonding Program'!$Z$50,0)+IF(AND('Bonding Program'!$P$50&lt;&gt;"",AU$3='Bonding Program'!$P$50,AU$3&lt;='Bonding Program'!$C$8),N('Bonding Program'!$O$50),0)</f>
        <v>0</v>
      </c>
      <c r="AV191" s="19" t="n">
        <f aca="false">IF(AND('Bonding Program'!$S$50=1,'Bonding Program'!$H$50&gt;'Bonding Program'!$C$8,AV$3='Bonding Program'!$H$50),'Bonding Program'!$T$50-'Bonding Program'!$U$50-'Bonding Program'!$Z$50,0)-IF(AND('Bonding Program'!$S$50=1,'Bonding Program'!$H$50&lt;='Bonding Program'!$C$8,AV$3=IF('Bonding Program'!$P$50&lt;&gt;"",'Bonding Program'!$P$50,'Bonding Program'!$C$8)),'Bonding Program'!$Z$50,0)+IF(AND('Bonding Program'!$P$50&lt;&gt;"",AV$3='Bonding Program'!$P$50,AV$3&lt;='Bonding Program'!$C$8),N('Bonding Program'!$O$50),0)</f>
        <v>0</v>
      </c>
      <c r="AW191" s="19" t="n">
        <f aca="false">IF(AND('Bonding Program'!$S$50=1,'Bonding Program'!$H$50&gt;'Bonding Program'!$C$8,AW$3='Bonding Program'!$H$50),'Bonding Program'!$T$50-'Bonding Program'!$U$50-'Bonding Program'!$Z$50,0)-IF(AND('Bonding Program'!$S$50=1,'Bonding Program'!$H$50&lt;='Bonding Program'!$C$8,AW$3=IF('Bonding Program'!$P$50&lt;&gt;"",'Bonding Program'!$P$50,'Bonding Program'!$C$8)),'Bonding Program'!$Z$50,0)+IF(AND('Bonding Program'!$P$50&lt;&gt;"",AW$3='Bonding Program'!$P$50,AW$3&lt;='Bonding Program'!$C$8),N('Bonding Program'!$O$50),0)</f>
        <v>0</v>
      </c>
      <c r="AX191" s="19" t="n">
        <f aca="false">IF(AND('Bonding Program'!$S$50=1,'Bonding Program'!$H$50&gt;'Bonding Program'!$C$8,AX$3='Bonding Program'!$H$50),'Bonding Program'!$T$50-'Bonding Program'!$U$50-'Bonding Program'!$Z$50,0)-IF(AND('Bonding Program'!$S$50=1,'Bonding Program'!$H$50&lt;='Bonding Program'!$C$8,AX$3=IF('Bonding Program'!$P$50&lt;&gt;"",'Bonding Program'!$P$50,'Bonding Program'!$C$8)),'Bonding Program'!$Z$50,0)+IF(AND('Bonding Program'!$P$50&lt;&gt;"",AX$3='Bonding Program'!$P$50,AX$3&lt;='Bonding Program'!$C$8),N('Bonding Program'!$O$50),0)</f>
        <v>0</v>
      </c>
      <c r="AY191" s="19" t="n">
        <f aca="false">IF(AND('Bonding Program'!$S$50=1,'Bonding Program'!$H$50&gt;'Bonding Program'!$C$8,AY$3='Bonding Program'!$H$50),'Bonding Program'!$T$50-'Bonding Program'!$U$50-'Bonding Program'!$Z$50,0)-IF(AND('Bonding Program'!$S$50=1,'Bonding Program'!$H$50&lt;='Bonding Program'!$C$8,AY$3=IF('Bonding Program'!$P$50&lt;&gt;"",'Bonding Program'!$P$50,'Bonding Program'!$C$8)),'Bonding Program'!$Z$50,0)+IF(AND('Bonding Program'!$P$50&lt;&gt;"",AY$3='Bonding Program'!$P$50,AY$3&lt;='Bonding Program'!$C$8),N('Bonding Program'!$O$50),0)</f>
        <v>0</v>
      </c>
      <c r="AZ191" s="19" t="n">
        <f aca="false">IF(AND('Bonding Program'!$S$50=1,'Bonding Program'!$H$50&gt;'Bonding Program'!$C$8,AZ$3='Bonding Program'!$H$50),'Bonding Program'!$T$50-'Bonding Program'!$U$50-'Bonding Program'!$Z$50,0)-IF(AND('Bonding Program'!$S$50=1,'Bonding Program'!$H$50&lt;='Bonding Program'!$C$8,AZ$3=IF('Bonding Program'!$P$50&lt;&gt;"",'Bonding Program'!$P$50,'Bonding Program'!$C$8)),'Bonding Program'!$Z$50,0)+IF(AND('Bonding Program'!$P$50&lt;&gt;"",AZ$3='Bonding Program'!$P$50,AZ$3&lt;='Bonding Program'!$C$8),N('Bonding Program'!$O$50),0)</f>
        <v>0</v>
      </c>
      <c r="BA191" s="19" t="n">
        <f aca="false">IF(AND('Bonding Program'!$S$50=1,'Bonding Program'!$H$50&gt;'Bonding Program'!$C$8,BA$3='Bonding Program'!$H$50),'Bonding Program'!$T$50-'Bonding Program'!$U$50-'Bonding Program'!$Z$50,0)-IF(AND('Bonding Program'!$S$50=1,'Bonding Program'!$H$50&lt;='Bonding Program'!$C$8,BA$3=IF('Bonding Program'!$P$50&lt;&gt;"",'Bonding Program'!$P$50,'Bonding Program'!$C$8)),'Bonding Program'!$Z$50,0)+IF(AND('Bonding Program'!$P$50&lt;&gt;"",BA$3='Bonding Program'!$P$50,BA$3&lt;='Bonding Program'!$C$8),N('Bonding Program'!$O$50),0)</f>
        <v>0</v>
      </c>
      <c r="BB191" s="19" t="n">
        <f aca="false">IF(AND('Bonding Program'!$S$50=1,'Bonding Program'!$H$50&gt;'Bonding Program'!$C$8,BB$3='Bonding Program'!$H$50),'Bonding Program'!$T$50-'Bonding Program'!$U$50-'Bonding Program'!$Z$50,0)-IF(AND('Bonding Program'!$S$50=1,'Bonding Program'!$H$50&lt;='Bonding Program'!$C$8,BB$3=IF('Bonding Program'!$P$50&lt;&gt;"",'Bonding Program'!$P$50,'Bonding Program'!$C$8)),'Bonding Program'!$Z$50,0)+IF(AND('Bonding Program'!$P$50&lt;&gt;"",BB$3='Bonding Program'!$P$50,BB$3&lt;='Bonding Program'!$C$8),N('Bonding Program'!$O$50),0)</f>
        <v>0</v>
      </c>
      <c r="BC191" s="19" t="n">
        <f aca="false">IF(AND('Bonding Program'!$S$50=1,'Bonding Program'!$H$50&gt;'Bonding Program'!$C$8,BC$3='Bonding Program'!$H$50),'Bonding Program'!$T$50-'Bonding Program'!$U$50-'Bonding Program'!$Z$50,0)-IF(AND('Bonding Program'!$S$50=1,'Bonding Program'!$H$50&lt;='Bonding Program'!$C$8,BC$3=IF('Bonding Program'!$P$50&lt;&gt;"",'Bonding Program'!$P$50,'Bonding Program'!$C$8)),'Bonding Program'!$Z$50,0)+IF(AND('Bonding Program'!$P$50&lt;&gt;"",BC$3='Bonding Program'!$P$50,BC$3&lt;='Bonding Program'!$C$8),N('Bonding Program'!$O$50),0)</f>
        <v>0</v>
      </c>
      <c r="BD191" s="19" t="n">
        <f aca="false">IF(AND('Bonding Program'!$S$50=1,'Bonding Program'!$H$50&gt;'Bonding Program'!$C$8,BD$3='Bonding Program'!$H$50),'Bonding Program'!$T$50-'Bonding Program'!$U$50-'Bonding Program'!$Z$50,0)-IF(AND('Bonding Program'!$S$50=1,'Bonding Program'!$H$50&lt;='Bonding Program'!$C$8,BD$3=IF('Bonding Program'!$P$50&lt;&gt;"",'Bonding Program'!$P$50,'Bonding Program'!$C$8)),'Bonding Program'!$Z$50,0)+IF(AND('Bonding Program'!$P$50&lt;&gt;"",BD$3='Bonding Program'!$P$50,BD$3&lt;='Bonding Program'!$C$8),N('Bonding Program'!$O$50),0)</f>
        <v>0</v>
      </c>
      <c r="BE191" s="19" t="n">
        <f aca="false">IF(AND('Bonding Program'!$S$50=1,'Bonding Program'!$H$50&gt;'Bonding Program'!$C$8,BE$3='Bonding Program'!$H$50),'Bonding Program'!$T$50-'Bonding Program'!$U$50-'Bonding Program'!$Z$50,0)-IF(AND('Bonding Program'!$S$50=1,'Bonding Program'!$H$50&lt;='Bonding Program'!$C$8,BE$3=IF('Bonding Program'!$P$50&lt;&gt;"",'Bonding Program'!$P$50,'Bonding Program'!$C$8)),'Bonding Program'!$Z$50,0)+IF(AND('Bonding Program'!$P$50&lt;&gt;"",BE$3='Bonding Program'!$P$50,BE$3&lt;='Bonding Program'!$C$8),N('Bonding Program'!$O$50),0)</f>
        <v>0</v>
      </c>
      <c r="BF191" s="19" t="n">
        <f aca="false">IF(AND('Bonding Program'!$S$50=1,'Bonding Program'!$H$50&gt;'Bonding Program'!$C$8,BF$3='Bonding Program'!$H$50),'Bonding Program'!$T$50-'Bonding Program'!$U$50-'Bonding Program'!$Z$50,0)-IF(AND('Bonding Program'!$S$50=1,'Bonding Program'!$H$50&lt;='Bonding Program'!$C$8,BF$3=IF('Bonding Program'!$P$50&lt;&gt;"",'Bonding Program'!$P$50,'Bonding Program'!$C$8)),'Bonding Program'!$Z$50,0)+IF(AND('Bonding Program'!$P$50&lt;&gt;"",BF$3='Bonding Program'!$P$50,BF$3&lt;='Bonding Program'!$C$8),N('Bonding Program'!$O$50),0)</f>
        <v>0</v>
      </c>
      <c r="BG191" s="19" t="n">
        <f aca="false">IF(AND('Bonding Program'!$S$50=1,'Bonding Program'!$H$50&gt;'Bonding Program'!$C$8,BG$3='Bonding Program'!$H$50),'Bonding Program'!$T$50-'Bonding Program'!$U$50-'Bonding Program'!$Z$50,0)-IF(AND('Bonding Program'!$S$50=1,'Bonding Program'!$H$50&lt;='Bonding Program'!$C$8,BG$3=IF('Bonding Program'!$P$50&lt;&gt;"",'Bonding Program'!$P$50,'Bonding Program'!$C$8)),'Bonding Program'!$Z$50,0)+IF(AND('Bonding Program'!$P$50&lt;&gt;"",BG$3='Bonding Program'!$P$50,BG$3&lt;='Bonding Program'!$C$8),N('Bonding Program'!$O$50),0)</f>
        <v>0</v>
      </c>
      <c r="BH191" s="19" t="n">
        <f aca="false">IF(AND('Bonding Program'!$S$50=1,'Bonding Program'!$H$50&gt;'Bonding Program'!$C$8,BH$3='Bonding Program'!$H$50),'Bonding Program'!$T$50-'Bonding Program'!$U$50-'Bonding Program'!$Z$50,0)-IF(AND('Bonding Program'!$S$50=1,'Bonding Program'!$H$50&lt;='Bonding Program'!$C$8,BH$3=IF('Bonding Program'!$P$50&lt;&gt;"",'Bonding Program'!$P$50,'Bonding Program'!$C$8)),'Bonding Program'!$Z$50,0)+IF(AND('Bonding Program'!$P$50&lt;&gt;"",BH$3='Bonding Program'!$P$50,BH$3&lt;='Bonding Program'!$C$8),N('Bonding Program'!$O$50),0)</f>
        <v>0</v>
      </c>
      <c r="BI191" s="19" t="n">
        <f aca="false">IF(AND('Bonding Program'!$S$50=1,'Bonding Program'!$H$50&gt;'Bonding Program'!$C$8,BI$3='Bonding Program'!$H$50),'Bonding Program'!$T$50-'Bonding Program'!$U$50-'Bonding Program'!$Z$50,0)-IF(AND('Bonding Program'!$S$50=1,'Bonding Program'!$H$50&lt;='Bonding Program'!$C$8,BI$3=IF('Bonding Program'!$P$50&lt;&gt;"",'Bonding Program'!$P$50,'Bonding Program'!$C$8)),'Bonding Program'!$Z$50,0)+IF(AND('Bonding Program'!$P$50&lt;&gt;"",BI$3='Bonding Program'!$P$50,BI$3&lt;='Bonding Program'!$C$8),N('Bonding Program'!$O$50),0)</f>
        <v>0</v>
      </c>
      <c r="BJ191" s="19" t="n">
        <f aca="false">IF(AND('Bonding Program'!$S$50=1,'Bonding Program'!$H$50&gt;'Bonding Program'!$C$8,BJ$3='Bonding Program'!$H$50),'Bonding Program'!$T$50-'Bonding Program'!$U$50-'Bonding Program'!$Z$50,0)-IF(AND('Bonding Program'!$S$50=1,'Bonding Program'!$H$50&lt;='Bonding Program'!$C$8,BJ$3=IF('Bonding Program'!$P$50&lt;&gt;"",'Bonding Program'!$P$50,'Bonding Program'!$C$8)),'Bonding Program'!$Z$50,0)+IF(AND('Bonding Program'!$P$50&lt;&gt;"",BJ$3='Bonding Program'!$P$50,BJ$3&lt;='Bonding Program'!$C$8),N('Bonding Program'!$O$50),0)</f>
        <v>0</v>
      </c>
      <c r="BK191" s="19" t="n">
        <f aca="false">IF(AND('Bonding Program'!$S$50=1,'Bonding Program'!$H$50&gt;'Bonding Program'!$C$8,BK$3='Bonding Program'!$H$50),'Bonding Program'!$T$50-'Bonding Program'!$U$50-'Bonding Program'!$Z$50,0)-IF(AND('Bonding Program'!$S$50=1,'Bonding Program'!$H$50&lt;='Bonding Program'!$C$8,BK$3=IF('Bonding Program'!$P$50&lt;&gt;"",'Bonding Program'!$P$50,'Bonding Program'!$C$8)),'Bonding Program'!$Z$50,0)+IF(AND('Bonding Program'!$P$50&lt;&gt;"",BK$3='Bonding Program'!$P$50,BK$3&lt;='Bonding Program'!$C$8),N('Bonding Program'!$O$50),0)</f>
        <v>0</v>
      </c>
      <c r="BL191" s="19" t="n">
        <f aca="false">IF(AND('Bonding Program'!$S$50=1,'Bonding Program'!$H$50&gt;'Bonding Program'!$C$8,BL$3='Bonding Program'!$H$50),'Bonding Program'!$T$50-'Bonding Program'!$U$50-'Bonding Program'!$Z$50,0)-IF(AND('Bonding Program'!$S$50=1,'Bonding Program'!$H$50&lt;='Bonding Program'!$C$8,BL$3=IF('Bonding Program'!$P$50&lt;&gt;"",'Bonding Program'!$P$50,'Bonding Program'!$C$8)),'Bonding Program'!$Z$50,0)+IF(AND('Bonding Program'!$P$50&lt;&gt;"",BL$3='Bonding Program'!$P$50,BL$3&lt;='Bonding Program'!$C$8),N('Bonding Program'!$O$50),0)</f>
        <v>0</v>
      </c>
      <c r="BM191" s="19" t="n">
        <f aca="false">IF(AND('Bonding Program'!$S$50=1,'Bonding Program'!$H$50&gt;'Bonding Program'!$C$8,BM$3='Bonding Program'!$H$50),'Bonding Program'!$T$50-'Bonding Program'!$U$50-'Bonding Program'!$Z$50,0)-IF(AND('Bonding Program'!$S$50=1,'Bonding Program'!$H$50&lt;='Bonding Program'!$C$8,BM$3=IF('Bonding Program'!$P$50&lt;&gt;"",'Bonding Program'!$P$50,'Bonding Program'!$C$8)),'Bonding Program'!$Z$50,0)+IF(AND('Bonding Program'!$P$50&lt;&gt;"",BM$3='Bonding Program'!$P$50,BM$3&lt;='Bonding Program'!$C$8),N('Bonding Program'!$O$50),0)</f>
        <v>0</v>
      </c>
      <c r="BN191" s="19" t="n">
        <f aca="false">IF(AND('Bonding Program'!$S$50=1,'Bonding Program'!$H$50&gt;'Bonding Program'!$C$8,BN$3='Bonding Program'!$H$50),'Bonding Program'!$T$50-'Bonding Program'!$U$50-'Bonding Program'!$Z$50,0)-IF(AND('Bonding Program'!$S$50=1,'Bonding Program'!$H$50&lt;='Bonding Program'!$C$8,BN$3=IF('Bonding Program'!$P$50&lt;&gt;"",'Bonding Program'!$P$50,'Bonding Program'!$C$8)),'Bonding Program'!$Z$50,0)+IF(AND('Bonding Program'!$P$50&lt;&gt;"",BN$3='Bonding Program'!$P$50,BN$3&lt;='Bonding Program'!$C$8),N('Bonding Program'!$O$50),0)</f>
        <v>0</v>
      </c>
      <c r="BO191" s="19" t="n">
        <f aca="false">IF(AND('Bonding Program'!$S$50=1,'Bonding Program'!$H$50&gt;'Bonding Program'!$C$8,BO$3='Bonding Program'!$H$50),'Bonding Program'!$T$50-'Bonding Program'!$U$50-'Bonding Program'!$Z$50,0)-IF(AND('Bonding Program'!$S$50=1,'Bonding Program'!$H$50&lt;='Bonding Program'!$C$8,BO$3=IF('Bonding Program'!$P$50&lt;&gt;"",'Bonding Program'!$P$50,'Bonding Program'!$C$8)),'Bonding Program'!$Z$50,0)+IF(AND('Bonding Program'!$P$50&lt;&gt;"",BO$3='Bonding Program'!$P$50,BO$3&lt;='Bonding Program'!$C$8),N('Bonding Program'!$O$50),0)</f>
        <v>0</v>
      </c>
      <c r="BP191" s="19" t="n">
        <f aca="false">IF(AND('Bonding Program'!$S$50=1,'Bonding Program'!$H$50&gt;'Bonding Program'!$C$8,BP$3='Bonding Program'!$H$50),'Bonding Program'!$T$50-'Bonding Program'!$U$50-'Bonding Program'!$Z$50,0)-IF(AND('Bonding Program'!$S$50=1,'Bonding Program'!$H$50&lt;='Bonding Program'!$C$8,BP$3=IF('Bonding Program'!$P$50&lt;&gt;"",'Bonding Program'!$P$50,'Bonding Program'!$C$8)),'Bonding Program'!$Z$50,0)+IF(AND('Bonding Program'!$P$50&lt;&gt;"",BP$3='Bonding Program'!$P$50,BP$3&lt;='Bonding Program'!$C$8),N('Bonding Program'!$O$50),0)</f>
        <v>0</v>
      </c>
      <c r="BQ191" s="19" t="n">
        <f aca="false">IF(AND('Bonding Program'!$S$50=1,'Bonding Program'!$H$50&gt;'Bonding Program'!$C$8,BQ$3='Bonding Program'!$H$50),'Bonding Program'!$T$50-'Bonding Program'!$U$50-'Bonding Program'!$Z$50,0)-IF(AND('Bonding Program'!$S$50=1,'Bonding Program'!$H$50&lt;='Bonding Program'!$C$8,BQ$3=IF('Bonding Program'!$P$50&lt;&gt;"",'Bonding Program'!$P$50,'Bonding Program'!$C$8)),'Bonding Program'!$Z$50,0)+IF(AND('Bonding Program'!$P$50&lt;&gt;"",BQ$3='Bonding Program'!$P$50,BQ$3&lt;='Bonding Program'!$C$8),N('Bonding Program'!$O$50),0)</f>
        <v>0</v>
      </c>
      <c r="BR191" s="19" t="n">
        <f aca="false">IF(AND('Bonding Program'!$S$50=1,'Bonding Program'!$H$50&gt;'Bonding Program'!$C$8,BR$3='Bonding Program'!$H$50),'Bonding Program'!$T$50-'Bonding Program'!$U$50-'Bonding Program'!$Z$50,0)-IF(AND('Bonding Program'!$S$50=1,'Bonding Program'!$H$50&lt;='Bonding Program'!$C$8,BR$3=IF('Bonding Program'!$P$50&lt;&gt;"",'Bonding Program'!$P$50,'Bonding Program'!$C$8)),'Bonding Program'!$Z$50,0)+IF(AND('Bonding Program'!$P$50&lt;&gt;"",BR$3='Bonding Program'!$P$50,BR$3&lt;='Bonding Program'!$C$8),N('Bonding Program'!$O$50),0)</f>
        <v>0</v>
      </c>
      <c r="BS191" s="19" t="n">
        <f aca="false">IF(AND('Bonding Program'!$S$50=1,'Bonding Program'!$H$50&gt;'Bonding Program'!$C$8,BS$3='Bonding Program'!$H$50),'Bonding Program'!$T$50-'Bonding Program'!$U$50-'Bonding Program'!$Z$50,0)-IF(AND('Bonding Program'!$S$50=1,'Bonding Program'!$H$50&lt;='Bonding Program'!$C$8,BS$3=IF('Bonding Program'!$P$50&lt;&gt;"",'Bonding Program'!$P$50,'Bonding Program'!$C$8)),'Bonding Program'!$Z$50,0)+IF(AND('Bonding Program'!$P$50&lt;&gt;"",BS$3='Bonding Program'!$P$50,BS$3&lt;='Bonding Program'!$C$8),N('Bonding Program'!$O$50),0)</f>
        <v>0</v>
      </c>
      <c r="BT191" s="19" t="n">
        <f aca="false">IF(AND('Bonding Program'!$S$50=1,'Bonding Program'!$H$50&gt;'Bonding Program'!$C$8,BT$3='Bonding Program'!$H$50),'Bonding Program'!$T$50-'Bonding Program'!$U$50-'Bonding Program'!$Z$50,0)-IF(AND('Bonding Program'!$S$50=1,'Bonding Program'!$H$50&lt;='Bonding Program'!$C$8,BT$3=IF('Bonding Program'!$P$50&lt;&gt;"",'Bonding Program'!$P$50,'Bonding Program'!$C$8)),'Bonding Program'!$Z$50,0)+IF(AND('Bonding Program'!$P$50&lt;&gt;"",BT$3='Bonding Program'!$P$50,BT$3&lt;='Bonding Program'!$C$8),N('Bonding Program'!$O$50),0)</f>
        <v>0</v>
      </c>
      <c r="BU191" s="19" t="n">
        <f aca="false">IF(AND('Bonding Program'!$S$50=1,'Bonding Program'!$H$50&gt;'Bonding Program'!$C$8,BU$3='Bonding Program'!$H$50),'Bonding Program'!$T$50-'Bonding Program'!$U$50-'Bonding Program'!$Z$50,0)-IF(AND('Bonding Program'!$S$50=1,'Bonding Program'!$H$50&lt;='Bonding Program'!$C$8,BU$3=IF('Bonding Program'!$P$50&lt;&gt;"",'Bonding Program'!$P$50,'Bonding Program'!$C$8)),'Bonding Program'!$Z$50,0)+IF(AND('Bonding Program'!$P$50&lt;&gt;"",BU$3='Bonding Program'!$P$50,BU$3&lt;='Bonding Program'!$C$8),N('Bonding Program'!$O$50),0)</f>
        <v>0</v>
      </c>
      <c r="BV191" s="19" t="n">
        <f aca="false">IF(AND('Bonding Program'!$S$50=1,'Bonding Program'!$H$50&gt;'Bonding Program'!$C$8,BV$3='Bonding Program'!$H$50),'Bonding Program'!$T$50-'Bonding Program'!$U$50-'Bonding Program'!$Z$50,0)-IF(AND('Bonding Program'!$S$50=1,'Bonding Program'!$H$50&lt;='Bonding Program'!$C$8,BV$3=IF('Bonding Program'!$P$50&lt;&gt;"",'Bonding Program'!$P$50,'Bonding Program'!$C$8)),'Bonding Program'!$Z$50,0)+IF(AND('Bonding Program'!$P$50&lt;&gt;"",BV$3='Bonding Program'!$P$50,BV$3&lt;='Bonding Program'!$C$8),N('Bonding Program'!$O$50),0)</f>
        <v>0</v>
      </c>
      <c r="BW191" s="19" t="n">
        <f aca="false">IF(AND('Bonding Program'!$S$50=1,'Bonding Program'!$H$50&gt;'Bonding Program'!$C$8,BW$3='Bonding Program'!$H$50),'Bonding Program'!$T$50-'Bonding Program'!$U$50-'Bonding Program'!$Z$50,0)-IF(AND('Bonding Program'!$S$50=1,'Bonding Program'!$H$50&lt;='Bonding Program'!$C$8,BW$3=IF('Bonding Program'!$P$50&lt;&gt;"",'Bonding Program'!$P$50,'Bonding Program'!$C$8)),'Bonding Program'!$Z$50,0)+IF(AND('Bonding Program'!$P$50&lt;&gt;"",BW$3='Bonding Program'!$P$50,BW$3&lt;='Bonding Program'!$C$8),N('Bonding Program'!$O$50),0)</f>
        <v>0</v>
      </c>
      <c r="BX191" s="19" t="n">
        <f aca="false">IF(AND('Bonding Program'!$S$50=1,'Bonding Program'!$H$50&gt;'Bonding Program'!$C$8,BX$3='Bonding Program'!$H$50),'Bonding Program'!$T$50-'Bonding Program'!$U$50-'Bonding Program'!$Z$50,0)-IF(AND('Bonding Program'!$S$50=1,'Bonding Program'!$H$50&lt;='Bonding Program'!$C$8,BX$3=IF('Bonding Program'!$P$50&lt;&gt;"",'Bonding Program'!$P$50,'Bonding Program'!$C$8)),'Bonding Program'!$Z$50,0)+IF(AND('Bonding Program'!$P$50&lt;&gt;"",BX$3='Bonding Program'!$P$50,BX$3&lt;='Bonding Program'!$C$8),N('Bonding Program'!$O$50),0)</f>
        <v>0</v>
      </c>
      <c r="BY191" s="19" t="n">
        <f aca="false">IF(AND('Bonding Program'!$S$50=1,'Bonding Program'!$H$50&gt;'Bonding Program'!$C$8,BY$3='Bonding Program'!$H$50),'Bonding Program'!$T$50-'Bonding Program'!$U$50-'Bonding Program'!$Z$50,0)-IF(AND('Bonding Program'!$S$50=1,'Bonding Program'!$H$50&lt;='Bonding Program'!$C$8,BY$3=IF('Bonding Program'!$P$50&lt;&gt;"",'Bonding Program'!$P$50,'Bonding Program'!$C$8)),'Bonding Program'!$Z$50,0)+IF(AND('Bonding Program'!$P$50&lt;&gt;"",BY$3='Bonding Program'!$P$50,BY$3&lt;='Bonding Program'!$C$8),N('Bonding Program'!$O$50),0)</f>
        <v>0</v>
      </c>
      <c r="BZ191" s="19" t="n">
        <f aca="false">IF(AND('Bonding Program'!$S$50=1,'Bonding Program'!$H$50&gt;'Bonding Program'!$C$8,BZ$3='Bonding Program'!$H$50),'Bonding Program'!$T$50-'Bonding Program'!$U$50-'Bonding Program'!$Z$50,0)-IF(AND('Bonding Program'!$S$50=1,'Bonding Program'!$H$50&lt;='Bonding Program'!$C$8,BZ$3=IF('Bonding Program'!$P$50&lt;&gt;"",'Bonding Program'!$P$50,'Bonding Program'!$C$8)),'Bonding Program'!$Z$50,0)+IF(AND('Bonding Program'!$P$50&lt;&gt;"",BZ$3='Bonding Program'!$P$50,BZ$3&lt;='Bonding Program'!$C$8),N('Bonding Program'!$O$50),0)</f>
        <v>0</v>
      </c>
      <c r="CA191" s="19" t="n">
        <f aca="false">IF(AND('Bonding Program'!$S$50=1,'Bonding Program'!$H$50&gt;'Bonding Program'!$C$8,CA$3='Bonding Program'!$H$50),'Bonding Program'!$T$50-'Bonding Program'!$U$50-'Bonding Program'!$Z$50,0)-IF(AND('Bonding Program'!$S$50=1,'Bonding Program'!$H$50&lt;='Bonding Program'!$C$8,CA$3=IF('Bonding Program'!$P$50&lt;&gt;"",'Bonding Program'!$P$50,'Bonding Program'!$C$8)),'Bonding Program'!$Z$50,0)+IF(AND('Bonding Program'!$P$50&lt;&gt;"",CA$3='Bonding Program'!$P$50,CA$3&lt;='Bonding Program'!$C$8),N('Bonding Program'!$O$50),0)</f>
        <v>0</v>
      </c>
      <c r="CB191" s="19" t="n">
        <f aca="false">IF(AND('Bonding Program'!$S$50=1,'Bonding Program'!$H$50&gt;'Bonding Program'!$C$8,CB$3='Bonding Program'!$H$50),'Bonding Program'!$T$50-'Bonding Program'!$U$50-'Bonding Program'!$Z$50,0)-IF(AND('Bonding Program'!$S$50=1,'Bonding Program'!$H$50&lt;='Bonding Program'!$C$8,CB$3=IF('Bonding Program'!$P$50&lt;&gt;"",'Bonding Program'!$P$50,'Bonding Program'!$C$8)),'Bonding Program'!$Z$50,0)+IF(AND('Bonding Program'!$P$50&lt;&gt;"",CB$3='Bonding Program'!$P$50,CB$3&lt;='Bonding Program'!$C$8),N('Bonding Program'!$O$50),0)</f>
        <v>0</v>
      </c>
      <c r="CC191" s="19" t="n">
        <f aca="false">IF(AND('Bonding Program'!$S$50=1,'Bonding Program'!$H$50&gt;'Bonding Program'!$C$8,CC$3='Bonding Program'!$H$50),'Bonding Program'!$T$50-'Bonding Program'!$U$50-'Bonding Program'!$Z$50,0)-IF(AND('Bonding Program'!$S$50=1,'Bonding Program'!$H$50&lt;='Bonding Program'!$C$8,CC$3=IF('Bonding Program'!$P$50&lt;&gt;"",'Bonding Program'!$P$50,'Bonding Program'!$C$8)),'Bonding Program'!$Z$50,0)+IF(AND('Bonding Program'!$P$50&lt;&gt;"",CC$3='Bonding Program'!$P$50,CC$3&lt;='Bonding Program'!$C$8),N('Bonding Program'!$O$50),0)</f>
        <v>0</v>
      </c>
      <c r="CD191" s="19" t="n">
        <f aca="false">IF(AND('Bonding Program'!$S$50=1,'Bonding Program'!$H$50&gt;'Bonding Program'!$C$8,CD$3='Bonding Program'!$H$50),'Bonding Program'!$T$50-'Bonding Program'!$U$50-'Bonding Program'!$Z$50,0)-IF(AND('Bonding Program'!$S$50=1,'Bonding Program'!$H$50&lt;='Bonding Program'!$C$8,CD$3=IF('Bonding Program'!$P$50&lt;&gt;"",'Bonding Program'!$P$50,'Bonding Program'!$C$8)),'Bonding Program'!$Z$50,0)+IF(AND('Bonding Program'!$P$50&lt;&gt;"",CD$3='Bonding Program'!$P$50,CD$3&lt;='Bonding Program'!$C$8),N('Bonding Program'!$O$50),0)</f>
        <v>0</v>
      </c>
      <c r="CE191" s="19" t="n">
        <f aca="false">IF(AND('Bonding Program'!$S$50=1,'Bonding Program'!$H$50&gt;'Bonding Program'!$C$8,CE$3='Bonding Program'!$H$50),'Bonding Program'!$T$50-'Bonding Program'!$U$50-'Bonding Program'!$Z$50,0)-IF(AND('Bonding Program'!$S$50=1,'Bonding Program'!$H$50&lt;='Bonding Program'!$C$8,CE$3=IF('Bonding Program'!$P$50&lt;&gt;"",'Bonding Program'!$P$50,'Bonding Program'!$C$8)),'Bonding Program'!$Z$50,0)+IF(AND('Bonding Program'!$P$50&lt;&gt;"",CE$3='Bonding Program'!$P$50,CE$3&lt;='Bonding Program'!$C$8),N('Bonding Program'!$O$50),0)</f>
        <v>0</v>
      </c>
      <c r="CF191" s="19" t="n">
        <f aca="false">IF(AND('Bonding Program'!$S$50=1,'Bonding Program'!$H$50&gt;'Bonding Program'!$C$8,CF$3='Bonding Program'!$H$50),'Bonding Program'!$T$50-'Bonding Program'!$U$50-'Bonding Program'!$Z$50,0)-IF(AND('Bonding Program'!$S$50=1,'Bonding Program'!$H$50&lt;='Bonding Program'!$C$8,CF$3=IF('Bonding Program'!$P$50&lt;&gt;"",'Bonding Program'!$P$50,'Bonding Program'!$C$8)),'Bonding Program'!$Z$50,0)+IF(AND('Bonding Program'!$P$50&lt;&gt;"",CF$3='Bonding Program'!$P$50,CF$3&lt;='Bonding Program'!$C$8),N('Bonding Program'!$O$50),0)</f>
        <v>0</v>
      </c>
      <c r="CG191" s="19" t="n">
        <f aca="false">IF(AND('Bonding Program'!$S$50=1,'Bonding Program'!$H$50&gt;'Bonding Program'!$C$8,CG$3='Bonding Program'!$H$50),'Bonding Program'!$T$50-'Bonding Program'!$U$50-'Bonding Program'!$Z$50,0)-IF(AND('Bonding Program'!$S$50=1,'Bonding Program'!$H$50&lt;='Bonding Program'!$C$8,CG$3=IF('Bonding Program'!$P$50&lt;&gt;"",'Bonding Program'!$P$50,'Bonding Program'!$C$8)),'Bonding Program'!$Z$50,0)+IF(AND('Bonding Program'!$P$50&lt;&gt;"",CG$3='Bonding Program'!$P$50,CG$3&lt;='Bonding Program'!$C$8),N('Bonding Program'!$O$50),0)</f>
        <v>0</v>
      </c>
      <c r="CH191" s="19" t="n">
        <f aca="false">IF(AND('Bonding Program'!$S$50=1,'Bonding Program'!$H$50&gt;'Bonding Program'!$C$8,CH$3='Bonding Program'!$H$50),'Bonding Program'!$T$50-'Bonding Program'!$U$50-'Bonding Program'!$Z$50,0)-IF(AND('Bonding Program'!$S$50=1,'Bonding Program'!$H$50&lt;='Bonding Program'!$C$8,CH$3=IF('Bonding Program'!$P$50&lt;&gt;"",'Bonding Program'!$P$50,'Bonding Program'!$C$8)),'Bonding Program'!$Z$50,0)+IF(AND('Bonding Program'!$P$50&lt;&gt;"",CH$3='Bonding Program'!$P$50,CH$3&lt;='Bonding Program'!$C$8),N('Bonding Program'!$O$50),0)</f>
        <v>0</v>
      </c>
      <c r="CI191" s="19" t="n">
        <f aca="false">IF(AND('Bonding Program'!$S$50=1,'Bonding Program'!$H$50&gt;'Bonding Program'!$C$8,CI$3='Bonding Program'!$H$50),'Bonding Program'!$T$50-'Bonding Program'!$U$50-'Bonding Program'!$Z$50,0)-IF(AND('Bonding Program'!$S$50=1,'Bonding Program'!$H$50&lt;='Bonding Program'!$C$8,CI$3=IF('Bonding Program'!$P$50&lt;&gt;"",'Bonding Program'!$P$50,'Bonding Program'!$C$8)),'Bonding Program'!$Z$50,0)+IF(AND('Bonding Program'!$P$50&lt;&gt;"",CI$3='Bonding Program'!$P$50,CI$3&lt;='Bonding Program'!$C$8),N('Bonding Program'!$O$50),0)</f>
        <v>0</v>
      </c>
      <c r="CJ191" s="19" t="n">
        <f aca="false">IF(AND('Bonding Program'!$S$50=1,'Bonding Program'!$H$50&gt;'Bonding Program'!$C$8,CJ$3='Bonding Program'!$H$50),'Bonding Program'!$T$50-'Bonding Program'!$U$50-'Bonding Program'!$Z$50,0)-IF(AND('Bonding Program'!$S$50=1,'Bonding Program'!$H$50&lt;='Bonding Program'!$C$8,CJ$3=IF('Bonding Program'!$P$50&lt;&gt;"",'Bonding Program'!$P$50,'Bonding Program'!$C$8)),'Bonding Program'!$Z$50,0)+IF(AND('Bonding Program'!$P$50&lt;&gt;"",CJ$3='Bonding Program'!$P$50,CJ$3&lt;='Bonding Program'!$C$8),N('Bonding Program'!$O$50),0)</f>
        <v>0</v>
      </c>
      <c r="CK191" s="19" t="n">
        <f aca="false">IF(AND('Bonding Program'!$S$50=1,'Bonding Program'!$H$50&gt;'Bonding Program'!$C$8,CK$3='Bonding Program'!$H$50),'Bonding Program'!$T$50-'Bonding Program'!$U$50-'Bonding Program'!$Z$50,0)-IF(AND('Bonding Program'!$S$50=1,'Bonding Program'!$H$50&lt;='Bonding Program'!$C$8,CK$3=IF('Bonding Program'!$P$50&lt;&gt;"",'Bonding Program'!$P$50,'Bonding Program'!$C$8)),'Bonding Program'!$Z$50,0)+IF(AND('Bonding Program'!$P$50&lt;&gt;"",CK$3='Bonding Program'!$P$50,CK$3&lt;='Bonding Program'!$C$8),N('Bonding Program'!$O$50),0)</f>
        <v>0</v>
      </c>
      <c r="CL191" s="19" t="n">
        <f aca="false">IF(AND('Bonding Program'!$S$50=1,'Bonding Program'!$H$50&gt;'Bonding Program'!$C$8,CL$3='Bonding Program'!$H$50),'Bonding Program'!$T$50-'Bonding Program'!$U$50-'Bonding Program'!$Z$50,0)-IF(AND('Bonding Program'!$S$50=1,'Bonding Program'!$H$50&lt;='Bonding Program'!$C$8,CL$3=IF('Bonding Program'!$P$50&lt;&gt;"",'Bonding Program'!$P$50,'Bonding Program'!$C$8)),'Bonding Program'!$Z$50,0)+IF(AND('Bonding Program'!$P$50&lt;&gt;"",CL$3='Bonding Program'!$P$50,CL$3&lt;='Bonding Program'!$C$8),N('Bonding Program'!$O$50),0)</f>
        <v>0</v>
      </c>
      <c r="CM191" s="19" t="n">
        <f aca="false">IF(AND('Bonding Program'!$S$50=1,'Bonding Program'!$H$50&gt;'Bonding Program'!$C$8,CM$3='Bonding Program'!$H$50),'Bonding Program'!$T$50-'Bonding Program'!$U$50-'Bonding Program'!$Z$50,0)-IF(AND('Bonding Program'!$S$50=1,'Bonding Program'!$H$50&lt;='Bonding Program'!$C$8,CM$3=IF('Bonding Program'!$P$50&lt;&gt;"",'Bonding Program'!$P$50,'Bonding Program'!$C$8)),'Bonding Program'!$Z$50,0)+IF(AND('Bonding Program'!$P$50&lt;&gt;"",CM$3='Bonding Program'!$P$50,CM$3&lt;='Bonding Program'!$C$8),N('Bonding Program'!$O$50),0)</f>
        <v>0</v>
      </c>
      <c r="CN191" s="19" t="n">
        <f aca="false">IF(AND('Bonding Program'!$S$50=1,'Bonding Program'!$H$50&gt;'Bonding Program'!$C$8,CN$3='Bonding Program'!$H$50),'Bonding Program'!$T$50-'Bonding Program'!$U$50-'Bonding Program'!$Z$50,0)-IF(AND('Bonding Program'!$S$50=1,'Bonding Program'!$H$50&lt;='Bonding Program'!$C$8,CN$3=IF('Bonding Program'!$P$50&lt;&gt;"",'Bonding Program'!$P$50,'Bonding Program'!$C$8)),'Bonding Program'!$Z$50,0)+IF(AND('Bonding Program'!$P$50&lt;&gt;"",CN$3='Bonding Program'!$P$50,CN$3&lt;='Bonding Program'!$C$8),N('Bonding Program'!$O$50),0)</f>
        <v>0</v>
      </c>
      <c r="CO191" s="19" t="n">
        <f aca="false">IF(AND('Bonding Program'!$S$50=1,'Bonding Program'!$H$50&gt;'Bonding Program'!$C$8,CO$3='Bonding Program'!$H$50),'Bonding Program'!$T$50-'Bonding Program'!$U$50-'Bonding Program'!$Z$50,0)-IF(AND('Bonding Program'!$S$50=1,'Bonding Program'!$H$50&lt;='Bonding Program'!$C$8,CO$3=IF('Bonding Program'!$P$50&lt;&gt;"",'Bonding Program'!$P$50,'Bonding Program'!$C$8)),'Bonding Program'!$Z$50,0)+IF(AND('Bonding Program'!$P$50&lt;&gt;"",CO$3='Bonding Program'!$P$50,CO$3&lt;='Bonding Program'!$C$8),N('Bonding Program'!$O$50),0)</f>
        <v>0</v>
      </c>
      <c r="CP191" s="19" t="n">
        <f aca="false">IF(AND('Bonding Program'!$S$50=1,'Bonding Program'!$H$50&gt;'Bonding Program'!$C$8,CP$3='Bonding Program'!$H$50),'Bonding Program'!$T$50-'Bonding Program'!$U$50-'Bonding Program'!$Z$50,0)-IF(AND('Bonding Program'!$S$50=1,'Bonding Program'!$H$50&lt;='Bonding Program'!$C$8,CP$3=IF('Bonding Program'!$P$50&lt;&gt;"",'Bonding Program'!$P$50,'Bonding Program'!$C$8)),'Bonding Program'!$Z$50,0)+IF(AND('Bonding Program'!$P$50&lt;&gt;"",CP$3='Bonding Program'!$P$50,CP$3&lt;='Bonding Program'!$C$8),N('Bonding Program'!$O$50),0)</f>
        <v>0</v>
      </c>
      <c r="CQ191" s="19" t="n">
        <f aca="false">IF(AND('Bonding Program'!$S$50=1,'Bonding Program'!$H$50&gt;'Bonding Program'!$C$8,CQ$3='Bonding Program'!$H$50),'Bonding Program'!$T$50-'Bonding Program'!$U$50-'Bonding Program'!$Z$50,0)-IF(AND('Bonding Program'!$S$50=1,'Bonding Program'!$H$50&lt;='Bonding Program'!$C$8,CQ$3=IF('Bonding Program'!$P$50&lt;&gt;"",'Bonding Program'!$P$50,'Bonding Program'!$C$8)),'Bonding Program'!$Z$50,0)+IF(AND('Bonding Program'!$P$50&lt;&gt;"",CQ$3='Bonding Program'!$P$50,CQ$3&lt;='Bonding Program'!$C$8),N('Bonding Program'!$O$50),0)</f>
        <v>0</v>
      </c>
      <c r="CR191" s="19" t="n">
        <f aca="false">IF(AND('Bonding Program'!$S$50=1,'Bonding Program'!$H$50&gt;'Bonding Program'!$C$8,CR$3='Bonding Program'!$H$50),'Bonding Program'!$T$50-'Bonding Program'!$U$50-'Bonding Program'!$Z$50,0)-IF(AND('Bonding Program'!$S$50=1,'Bonding Program'!$H$50&lt;='Bonding Program'!$C$8,CR$3=IF('Bonding Program'!$P$50&lt;&gt;"",'Bonding Program'!$P$50,'Bonding Program'!$C$8)),'Bonding Program'!$Z$50,0)+IF(AND('Bonding Program'!$P$50&lt;&gt;"",CR$3='Bonding Program'!$P$50,CR$3&lt;='Bonding Program'!$C$8),N('Bonding Program'!$O$50),0)</f>
        <v>0</v>
      </c>
      <c r="CS191" s="19" t="n">
        <f aca="false">IF(AND('Bonding Program'!$S$50=1,'Bonding Program'!$H$50&gt;'Bonding Program'!$C$8,CS$3='Bonding Program'!$H$50),'Bonding Program'!$T$50-'Bonding Program'!$U$50-'Bonding Program'!$Z$50,0)-IF(AND('Bonding Program'!$S$50=1,'Bonding Program'!$H$50&lt;='Bonding Program'!$C$8,CS$3=IF('Bonding Program'!$P$50&lt;&gt;"",'Bonding Program'!$P$50,'Bonding Program'!$C$8)),'Bonding Program'!$Z$50,0)+IF(AND('Bonding Program'!$P$50&lt;&gt;"",CS$3='Bonding Program'!$P$50,CS$3&lt;='Bonding Program'!$C$8),N('Bonding Program'!$O$50),0)</f>
        <v>0</v>
      </c>
      <c r="CT191" s="19" t="n">
        <f aca="false">IF(AND('Bonding Program'!$S$50=1,'Bonding Program'!$H$50&gt;'Bonding Program'!$C$8,CT$3='Bonding Program'!$H$50),'Bonding Program'!$T$50-'Bonding Program'!$U$50-'Bonding Program'!$Z$50,0)-IF(AND('Bonding Program'!$S$50=1,'Bonding Program'!$H$50&lt;='Bonding Program'!$C$8,CT$3=IF('Bonding Program'!$P$50&lt;&gt;"",'Bonding Program'!$P$50,'Bonding Program'!$C$8)),'Bonding Program'!$Z$50,0)+IF(AND('Bonding Program'!$P$50&lt;&gt;"",CT$3='Bonding Program'!$P$50,CT$3&lt;='Bonding Program'!$C$8),N('Bonding Program'!$O$50),0)</f>
        <v>0</v>
      </c>
      <c r="CU191" s="19" t="n">
        <f aca="false">IF(AND('Bonding Program'!$S$50=1,'Bonding Program'!$H$50&gt;'Bonding Program'!$C$8,CU$3='Bonding Program'!$H$50),'Bonding Program'!$T$50-'Bonding Program'!$U$50-'Bonding Program'!$Z$50,0)-IF(AND('Bonding Program'!$S$50=1,'Bonding Program'!$H$50&lt;='Bonding Program'!$C$8,CU$3=IF('Bonding Program'!$P$50&lt;&gt;"",'Bonding Program'!$P$50,'Bonding Program'!$C$8)),'Bonding Program'!$Z$50,0)+IF(AND('Bonding Program'!$P$50&lt;&gt;"",CU$3='Bonding Program'!$P$50,CU$3&lt;='Bonding Program'!$C$8),N('Bonding Program'!$O$50),0)</f>
        <v>0</v>
      </c>
      <c r="CV191" s="19" t="n">
        <f aca="false">IF(AND('Bonding Program'!$S$50=1,'Bonding Program'!$H$50&gt;'Bonding Program'!$C$8,CV$3='Bonding Program'!$H$50),'Bonding Program'!$T$50-'Bonding Program'!$U$50-'Bonding Program'!$Z$50,0)-IF(AND('Bonding Program'!$S$50=1,'Bonding Program'!$H$50&lt;='Bonding Program'!$C$8,CV$3=IF('Bonding Program'!$P$50&lt;&gt;"",'Bonding Program'!$P$50,'Bonding Program'!$C$8)),'Bonding Program'!$Z$50,0)+IF(AND('Bonding Program'!$P$50&lt;&gt;"",CV$3='Bonding Program'!$P$50,CV$3&lt;='Bonding Program'!$C$8),N('Bonding Program'!$O$50),0)</f>
        <v>0</v>
      </c>
      <c r="CW191" s="19" t="n">
        <f aca="false">IF(AND('Bonding Program'!$S$50=1,'Bonding Program'!$H$50&gt;'Bonding Program'!$C$8,CW$3='Bonding Program'!$H$50),'Bonding Program'!$T$50-'Bonding Program'!$U$50-'Bonding Program'!$Z$50,0)-IF(AND('Bonding Program'!$S$50=1,'Bonding Program'!$H$50&lt;='Bonding Program'!$C$8,CW$3=IF('Bonding Program'!$P$50&lt;&gt;"",'Bonding Program'!$P$50,'Bonding Program'!$C$8)),'Bonding Program'!$Z$50,0)+IF(AND('Bonding Program'!$P$50&lt;&gt;"",CW$3='Bonding Program'!$P$50,CW$3&lt;='Bonding Program'!$C$8),N('Bonding Program'!$O$50),0)</f>
        <v>0</v>
      </c>
      <c r="CX191" s="19" t="n">
        <f aca="false">IF(AND('Bonding Program'!$S$50=1,'Bonding Program'!$H$50&gt;'Bonding Program'!$C$8,CX$3='Bonding Program'!$H$50),'Bonding Program'!$T$50-'Bonding Program'!$U$50-'Bonding Program'!$Z$50,0)-IF(AND('Bonding Program'!$S$50=1,'Bonding Program'!$H$50&lt;='Bonding Program'!$C$8,CX$3=IF('Bonding Program'!$P$50&lt;&gt;"",'Bonding Program'!$P$50,'Bonding Program'!$C$8)),'Bonding Program'!$Z$50,0)+IF(AND('Bonding Program'!$P$50&lt;&gt;"",CX$3='Bonding Program'!$P$50,CX$3&lt;='Bonding Program'!$C$8),N('Bonding Program'!$O$50),0)</f>
        <v>0</v>
      </c>
      <c r="CY191" s="19" t="n">
        <f aca="false">IF(AND('Bonding Program'!$S$50=1,'Bonding Program'!$H$50&gt;'Bonding Program'!$C$8,CY$3='Bonding Program'!$H$50),'Bonding Program'!$T$50-'Bonding Program'!$U$50-'Bonding Program'!$Z$50,0)-IF(AND('Bonding Program'!$S$50=1,'Bonding Program'!$H$50&lt;='Bonding Program'!$C$8,CY$3=IF('Bonding Program'!$P$50&lt;&gt;"",'Bonding Program'!$P$50,'Bonding Program'!$C$8)),'Bonding Program'!$Z$50,0)+IF(AND('Bonding Program'!$P$50&lt;&gt;"",CY$3='Bonding Program'!$P$50,CY$3&lt;='Bonding Program'!$C$8),N('Bonding Program'!$O$50),0)</f>
        <v>0</v>
      </c>
      <c r="CZ191" s="19" t="n">
        <f aca="false">IF(AND('Bonding Program'!$S$50=1,'Bonding Program'!$H$50&gt;'Bonding Program'!$C$8,CZ$3='Bonding Program'!$H$50),'Bonding Program'!$T$50-'Bonding Program'!$U$50-'Bonding Program'!$Z$50,0)-IF(AND('Bonding Program'!$S$50=1,'Bonding Program'!$H$50&lt;='Bonding Program'!$C$8,CZ$3=IF('Bonding Program'!$P$50&lt;&gt;"",'Bonding Program'!$P$50,'Bonding Program'!$C$8)),'Bonding Program'!$Z$50,0)+IF(AND('Bonding Program'!$P$50&lt;&gt;"",CZ$3='Bonding Program'!$P$50,CZ$3&lt;='Bonding Program'!$C$8),N('Bonding Program'!$O$50),0)</f>
        <v>0</v>
      </c>
      <c r="DA191" s="19" t="n">
        <f aca="false">IF(AND('Bonding Program'!$S$50=1,'Bonding Program'!$H$50&gt;'Bonding Program'!$C$8,DA$3='Bonding Program'!$H$50),'Bonding Program'!$T$50-'Bonding Program'!$U$50-'Bonding Program'!$Z$50,0)-IF(AND('Bonding Program'!$S$50=1,'Bonding Program'!$H$50&lt;='Bonding Program'!$C$8,DA$3=IF('Bonding Program'!$P$50&lt;&gt;"",'Bonding Program'!$P$50,'Bonding Program'!$C$8)),'Bonding Program'!$Z$50,0)+IF(AND('Bonding Program'!$P$50&lt;&gt;"",DA$3='Bonding Program'!$P$50,DA$3&lt;='Bonding Program'!$C$8),N('Bonding Program'!$O$50),0)</f>
        <v>0</v>
      </c>
      <c r="DB191" s="19" t="n">
        <f aca="false">IF(AND('Bonding Program'!$S$50=1,'Bonding Program'!$H$50&gt;'Bonding Program'!$C$8,DB$3='Bonding Program'!$H$50),'Bonding Program'!$T$50-'Bonding Program'!$U$50-'Bonding Program'!$Z$50,0)-IF(AND('Bonding Program'!$S$50=1,'Bonding Program'!$H$50&lt;='Bonding Program'!$C$8,DB$3=IF('Bonding Program'!$P$50&lt;&gt;"",'Bonding Program'!$P$50,'Bonding Program'!$C$8)),'Bonding Program'!$Z$50,0)+IF(AND('Bonding Program'!$P$50&lt;&gt;"",DB$3='Bonding Program'!$P$50,DB$3&lt;='Bonding Program'!$C$8),N('Bonding Program'!$O$50),0)</f>
        <v>0</v>
      </c>
      <c r="DC191" s="19" t="n">
        <f aca="false">IF(AND('Bonding Program'!$S$50=1,'Bonding Program'!$H$50&gt;'Bonding Program'!$C$8,DC$3='Bonding Program'!$H$50),'Bonding Program'!$T$50-'Bonding Program'!$U$50-'Bonding Program'!$Z$50,0)-IF(AND('Bonding Program'!$S$50=1,'Bonding Program'!$H$50&lt;='Bonding Program'!$C$8,DC$3=IF('Bonding Program'!$P$50&lt;&gt;"",'Bonding Program'!$P$50,'Bonding Program'!$C$8)),'Bonding Program'!$Z$50,0)+IF(AND('Bonding Program'!$P$50&lt;&gt;"",DC$3='Bonding Program'!$P$50,DC$3&lt;='Bonding Program'!$C$8),N('Bonding Program'!$O$50),0)</f>
        <v>0</v>
      </c>
      <c r="DD191" s="19" t="n">
        <f aca="false">IF(AND('Bonding Program'!$S$50=1,'Bonding Program'!$H$50&gt;'Bonding Program'!$C$8,DD$3='Bonding Program'!$H$50),'Bonding Program'!$T$50-'Bonding Program'!$U$50-'Bonding Program'!$Z$50,0)-IF(AND('Bonding Program'!$S$50=1,'Bonding Program'!$H$50&lt;='Bonding Program'!$C$8,DD$3=IF('Bonding Program'!$P$50&lt;&gt;"",'Bonding Program'!$P$50,'Bonding Program'!$C$8)),'Bonding Program'!$Z$50,0)+IF(AND('Bonding Program'!$P$50&lt;&gt;"",DD$3='Bonding Program'!$P$50,DD$3&lt;='Bonding Program'!$C$8),N('Bonding Program'!$O$50),0)</f>
        <v>0</v>
      </c>
      <c r="DE191" s="19" t="n">
        <f aca="false">IF(AND('Bonding Program'!$S$50=1,'Bonding Program'!$H$50&gt;'Bonding Program'!$C$8,DE$3='Bonding Program'!$H$50),'Bonding Program'!$T$50-'Bonding Program'!$U$50-'Bonding Program'!$Z$50,0)-IF(AND('Bonding Program'!$S$50=1,'Bonding Program'!$H$50&lt;='Bonding Program'!$C$8,DE$3=IF('Bonding Program'!$P$50&lt;&gt;"",'Bonding Program'!$P$50,'Bonding Program'!$C$8)),'Bonding Program'!$Z$50,0)+IF(AND('Bonding Program'!$P$50&lt;&gt;"",DE$3='Bonding Program'!$P$50,DE$3&lt;='Bonding Program'!$C$8),N('Bonding Program'!$O$50),0)</f>
        <v>0</v>
      </c>
    </row>
    <row r="192" customFormat="false" ht="15" hidden="false" customHeight="true" outlineLevel="1" collapsed="false">
      <c r="A192" s="28" t="s">
        <v>47</v>
      </c>
      <c r="B192" s="19" t="n">
        <f aca="false">IF(AND('Bonding Program'!$S$51=1,'Bonding Program'!$H$51&gt;'Bonding Program'!$C$8,B$3='Bonding Program'!$H$51),'Bonding Program'!$T$51-'Bonding Program'!$U$51-'Bonding Program'!$Z$51,0)-IF(AND('Bonding Program'!$S$51=1,'Bonding Program'!$H$51&lt;='Bonding Program'!$C$8,B$3=IF('Bonding Program'!$P$51&lt;&gt;"",'Bonding Program'!$P$51,'Bonding Program'!$C$8)),'Bonding Program'!$Z$51,0)+IF(AND('Bonding Program'!$P$51&lt;&gt;"",B$3='Bonding Program'!$P$51,B$3&lt;='Bonding Program'!$C$8),N('Bonding Program'!$O$51),0)</f>
        <v>0</v>
      </c>
      <c r="C192" s="19" t="n">
        <f aca="false">IF(AND('Bonding Program'!$S$51=1,'Bonding Program'!$H$51&gt;'Bonding Program'!$C$8,C$3='Bonding Program'!$H$51),'Bonding Program'!$T$51-'Bonding Program'!$U$51-'Bonding Program'!$Z$51,0)-IF(AND('Bonding Program'!$S$51=1,'Bonding Program'!$H$51&lt;='Bonding Program'!$C$8,C$3=IF('Bonding Program'!$P$51&lt;&gt;"",'Bonding Program'!$P$51,'Bonding Program'!$C$8)),'Bonding Program'!$Z$51,0)+IF(AND('Bonding Program'!$P$51&lt;&gt;"",C$3='Bonding Program'!$P$51,C$3&lt;='Bonding Program'!$C$8),N('Bonding Program'!$O$51),0)</f>
        <v>0</v>
      </c>
      <c r="D192" s="19" t="n">
        <f aca="false">IF(AND('Bonding Program'!$S$51=1,'Bonding Program'!$H$51&gt;'Bonding Program'!$C$8,D$3='Bonding Program'!$H$51),'Bonding Program'!$T$51-'Bonding Program'!$U$51-'Bonding Program'!$Z$51,0)-IF(AND('Bonding Program'!$S$51=1,'Bonding Program'!$H$51&lt;='Bonding Program'!$C$8,D$3=IF('Bonding Program'!$P$51&lt;&gt;"",'Bonding Program'!$P$51,'Bonding Program'!$C$8)),'Bonding Program'!$Z$51,0)+IF(AND('Bonding Program'!$P$51&lt;&gt;"",D$3='Bonding Program'!$P$51,D$3&lt;='Bonding Program'!$C$8),N('Bonding Program'!$O$51),0)</f>
        <v>0</v>
      </c>
      <c r="E192" s="19" t="n">
        <f aca="false">IF(AND('Bonding Program'!$S$51=1,'Bonding Program'!$H$51&gt;'Bonding Program'!$C$8,E$3='Bonding Program'!$H$51),'Bonding Program'!$T$51-'Bonding Program'!$U$51-'Bonding Program'!$Z$51,0)-IF(AND('Bonding Program'!$S$51=1,'Bonding Program'!$H$51&lt;='Bonding Program'!$C$8,E$3=IF('Bonding Program'!$P$51&lt;&gt;"",'Bonding Program'!$P$51,'Bonding Program'!$C$8)),'Bonding Program'!$Z$51,0)+IF(AND('Bonding Program'!$P$51&lt;&gt;"",E$3='Bonding Program'!$P$51,E$3&lt;='Bonding Program'!$C$8),N('Bonding Program'!$O$51),0)</f>
        <v>0</v>
      </c>
      <c r="F192" s="19" t="n">
        <f aca="false">IF(AND('Bonding Program'!$S$51=1,'Bonding Program'!$H$51&gt;'Bonding Program'!$C$8,F$3='Bonding Program'!$H$51),'Bonding Program'!$T$51-'Bonding Program'!$U$51-'Bonding Program'!$Z$51,0)-IF(AND('Bonding Program'!$S$51=1,'Bonding Program'!$H$51&lt;='Bonding Program'!$C$8,F$3=IF('Bonding Program'!$P$51&lt;&gt;"",'Bonding Program'!$P$51,'Bonding Program'!$C$8)),'Bonding Program'!$Z$51,0)+IF(AND('Bonding Program'!$P$51&lt;&gt;"",F$3='Bonding Program'!$P$51,F$3&lt;='Bonding Program'!$C$8),N('Bonding Program'!$O$51),0)</f>
        <v>0</v>
      </c>
      <c r="G192" s="19" t="n">
        <f aca="false">IF(AND('Bonding Program'!$S$51=1,'Bonding Program'!$H$51&gt;'Bonding Program'!$C$8,G$3='Bonding Program'!$H$51),'Bonding Program'!$T$51-'Bonding Program'!$U$51-'Bonding Program'!$Z$51,0)-IF(AND('Bonding Program'!$S$51=1,'Bonding Program'!$H$51&lt;='Bonding Program'!$C$8,G$3=IF('Bonding Program'!$P$51&lt;&gt;"",'Bonding Program'!$P$51,'Bonding Program'!$C$8)),'Bonding Program'!$Z$51,0)+IF(AND('Bonding Program'!$P$51&lt;&gt;"",G$3='Bonding Program'!$P$51,G$3&lt;='Bonding Program'!$C$8),N('Bonding Program'!$O$51),0)</f>
        <v>0</v>
      </c>
      <c r="H192" s="19" t="n">
        <f aca="false">IF(AND('Bonding Program'!$S$51=1,'Bonding Program'!$H$51&gt;'Bonding Program'!$C$8,H$3='Bonding Program'!$H$51),'Bonding Program'!$T$51-'Bonding Program'!$U$51-'Bonding Program'!$Z$51,0)-IF(AND('Bonding Program'!$S$51=1,'Bonding Program'!$H$51&lt;='Bonding Program'!$C$8,H$3=IF('Bonding Program'!$P$51&lt;&gt;"",'Bonding Program'!$P$51,'Bonding Program'!$C$8)),'Bonding Program'!$Z$51,0)+IF(AND('Bonding Program'!$P$51&lt;&gt;"",H$3='Bonding Program'!$P$51,H$3&lt;='Bonding Program'!$C$8),N('Bonding Program'!$O$51),0)</f>
        <v>0</v>
      </c>
      <c r="I192" s="19" t="n">
        <f aca="false">IF(AND('Bonding Program'!$S$51=1,'Bonding Program'!$H$51&gt;'Bonding Program'!$C$8,I$3='Bonding Program'!$H$51),'Bonding Program'!$T$51-'Bonding Program'!$U$51-'Bonding Program'!$Z$51,0)-IF(AND('Bonding Program'!$S$51=1,'Bonding Program'!$H$51&lt;='Bonding Program'!$C$8,I$3=IF('Bonding Program'!$P$51&lt;&gt;"",'Bonding Program'!$P$51,'Bonding Program'!$C$8)),'Bonding Program'!$Z$51,0)+IF(AND('Bonding Program'!$P$51&lt;&gt;"",I$3='Bonding Program'!$P$51,I$3&lt;='Bonding Program'!$C$8),N('Bonding Program'!$O$51),0)</f>
        <v>0</v>
      </c>
      <c r="J192" s="19" t="n">
        <f aca="false">IF(AND('Bonding Program'!$S$51=1,'Bonding Program'!$H$51&gt;'Bonding Program'!$C$8,J$3='Bonding Program'!$H$51),'Bonding Program'!$T$51-'Bonding Program'!$U$51-'Bonding Program'!$Z$51,0)-IF(AND('Bonding Program'!$S$51=1,'Bonding Program'!$H$51&lt;='Bonding Program'!$C$8,J$3=IF('Bonding Program'!$P$51&lt;&gt;"",'Bonding Program'!$P$51,'Bonding Program'!$C$8)),'Bonding Program'!$Z$51,0)+IF(AND('Bonding Program'!$P$51&lt;&gt;"",J$3='Bonding Program'!$P$51,J$3&lt;='Bonding Program'!$C$8),N('Bonding Program'!$O$51),0)</f>
        <v>0</v>
      </c>
      <c r="K192" s="19" t="n">
        <f aca="false">IF(AND('Bonding Program'!$S$51=1,'Bonding Program'!$H$51&gt;'Bonding Program'!$C$8,K$3='Bonding Program'!$H$51),'Bonding Program'!$T$51-'Bonding Program'!$U$51-'Bonding Program'!$Z$51,0)-IF(AND('Bonding Program'!$S$51=1,'Bonding Program'!$H$51&lt;='Bonding Program'!$C$8,K$3=IF('Bonding Program'!$P$51&lt;&gt;"",'Bonding Program'!$P$51,'Bonding Program'!$C$8)),'Bonding Program'!$Z$51,0)+IF(AND('Bonding Program'!$P$51&lt;&gt;"",K$3='Bonding Program'!$P$51,K$3&lt;='Bonding Program'!$C$8),N('Bonding Program'!$O$51),0)</f>
        <v>0</v>
      </c>
      <c r="L192" s="19" t="n">
        <f aca="false">IF(AND('Bonding Program'!$S$51=1,'Bonding Program'!$H$51&gt;'Bonding Program'!$C$8,L$3='Bonding Program'!$H$51),'Bonding Program'!$T$51-'Bonding Program'!$U$51-'Bonding Program'!$Z$51,0)-IF(AND('Bonding Program'!$S$51=1,'Bonding Program'!$H$51&lt;='Bonding Program'!$C$8,L$3=IF('Bonding Program'!$P$51&lt;&gt;"",'Bonding Program'!$P$51,'Bonding Program'!$C$8)),'Bonding Program'!$Z$51,0)+IF(AND('Bonding Program'!$P$51&lt;&gt;"",L$3='Bonding Program'!$P$51,L$3&lt;='Bonding Program'!$C$8),N('Bonding Program'!$O$51),0)</f>
        <v>0</v>
      </c>
      <c r="M192" s="19" t="n">
        <f aca="false">IF(AND('Bonding Program'!$S$51=1,'Bonding Program'!$H$51&gt;'Bonding Program'!$C$8,M$3='Bonding Program'!$H$51),'Bonding Program'!$T$51-'Bonding Program'!$U$51-'Bonding Program'!$Z$51,0)-IF(AND('Bonding Program'!$S$51=1,'Bonding Program'!$H$51&lt;='Bonding Program'!$C$8,M$3=IF('Bonding Program'!$P$51&lt;&gt;"",'Bonding Program'!$P$51,'Bonding Program'!$C$8)),'Bonding Program'!$Z$51,0)+IF(AND('Bonding Program'!$P$51&lt;&gt;"",M$3='Bonding Program'!$P$51,M$3&lt;='Bonding Program'!$C$8),N('Bonding Program'!$O$51),0)</f>
        <v>0</v>
      </c>
      <c r="N192" s="19" t="n">
        <f aca="false">IF(AND('Bonding Program'!$S$51=1,'Bonding Program'!$H$51&gt;'Bonding Program'!$C$8,N$3='Bonding Program'!$H$51),'Bonding Program'!$T$51-'Bonding Program'!$U$51-'Bonding Program'!$Z$51,0)-IF(AND('Bonding Program'!$S$51=1,'Bonding Program'!$H$51&lt;='Bonding Program'!$C$8,N$3=IF('Bonding Program'!$P$51&lt;&gt;"",'Bonding Program'!$P$51,'Bonding Program'!$C$8)),'Bonding Program'!$Z$51,0)+IF(AND('Bonding Program'!$P$51&lt;&gt;"",N$3='Bonding Program'!$P$51,N$3&lt;='Bonding Program'!$C$8),N('Bonding Program'!$O$51),0)</f>
        <v>0</v>
      </c>
      <c r="O192" s="19" t="n">
        <f aca="false">IF(AND('Bonding Program'!$S$51=1,'Bonding Program'!$H$51&gt;'Bonding Program'!$C$8,O$3='Bonding Program'!$H$51),'Bonding Program'!$T$51-'Bonding Program'!$U$51-'Bonding Program'!$Z$51,0)-IF(AND('Bonding Program'!$S$51=1,'Bonding Program'!$H$51&lt;='Bonding Program'!$C$8,O$3=IF('Bonding Program'!$P$51&lt;&gt;"",'Bonding Program'!$P$51,'Bonding Program'!$C$8)),'Bonding Program'!$Z$51,0)+IF(AND('Bonding Program'!$P$51&lt;&gt;"",O$3='Bonding Program'!$P$51,O$3&lt;='Bonding Program'!$C$8),N('Bonding Program'!$O$51),0)</f>
        <v>0</v>
      </c>
      <c r="P192" s="19" t="n">
        <f aca="false">IF(AND('Bonding Program'!$S$51=1,'Bonding Program'!$H$51&gt;'Bonding Program'!$C$8,P$3='Bonding Program'!$H$51),'Bonding Program'!$T$51-'Bonding Program'!$U$51-'Bonding Program'!$Z$51,0)-IF(AND('Bonding Program'!$S$51=1,'Bonding Program'!$H$51&lt;='Bonding Program'!$C$8,P$3=IF('Bonding Program'!$P$51&lt;&gt;"",'Bonding Program'!$P$51,'Bonding Program'!$C$8)),'Bonding Program'!$Z$51,0)+IF(AND('Bonding Program'!$P$51&lt;&gt;"",P$3='Bonding Program'!$P$51,P$3&lt;='Bonding Program'!$C$8),N('Bonding Program'!$O$51),0)</f>
        <v>0</v>
      </c>
      <c r="Q192" s="19" t="n">
        <f aca="false">IF(AND('Bonding Program'!$S$51=1,'Bonding Program'!$H$51&gt;'Bonding Program'!$C$8,Q$3='Bonding Program'!$H$51),'Bonding Program'!$T$51-'Bonding Program'!$U$51-'Bonding Program'!$Z$51,0)-IF(AND('Bonding Program'!$S$51=1,'Bonding Program'!$H$51&lt;='Bonding Program'!$C$8,Q$3=IF('Bonding Program'!$P$51&lt;&gt;"",'Bonding Program'!$P$51,'Bonding Program'!$C$8)),'Bonding Program'!$Z$51,0)+IF(AND('Bonding Program'!$P$51&lt;&gt;"",Q$3='Bonding Program'!$P$51,Q$3&lt;='Bonding Program'!$C$8),N('Bonding Program'!$O$51),0)</f>
        <v>0</v>
      </c>
      <c r="R192" s="19" t="n">
        <f aca="false">IF(AND('Bonding Program'!$S$51=1,'Bonding Program'!$H$51&gt;'Bonding Program'!$C$8,R$3='Bonding Program'!$H$51),'Bonding Program'!$T$51-'Bonding Program'!$U$51-'Bonding Program'!$Z$51,0)-IF(AND('Bonding Program'!$S$51=1,'Bonding Program'!$H$51&lt;='Bonding Program'!$C$8,R$3=IF('Bonding Program'!$P$51&lt;&gt;"",'Bonding Program'!$P$51,'Bonding Program'!$C$8)),'Bonding Program'!$Z$51,0)+IF(AND('Bonding Program'!$P$51&lt;&gt;"",R$3='Bonding Program'!$P$51,R$3&lt;='Bonding Program'!$C$8),N('Bonding Program'!$O$51),0)</f>
        <v>0</v>
      </c>
      <c r="S192" s="19" t="n">
        <f aca="false">IF(AND('Bonding Program'!$S$51=1,'Bonding Program'!$H$51&gt;'Bonding Program'!$C$8,S$3='Bonding Program'!$H$51),'Bonding Program'!$T$51-'Bonding Program'!$U$51-'Bonding Program'!$Z$51,0)-IF(AND('Bonding Program'!$S$51=1,'Bonding Program'!$H$51&lt;='Bonding Program'!$C$8,S$3=IF('Bonding Program'!$P$51&lt;&gt;"",'Bonding Program'!$P$51,'Bonding Program'!$C$8)),'Bonding Program'!$Z$51,0)+IF(AND('Bonding Program'!$P$51&lt;&gt;"",S$3='Bonding Program'!$P$51,S$3&lt;='Bonding Program'!$C$8),N('Bonding Program'!$O$51),0)</f>
        <v>0</v>
      </c>
      <c r="T192" s="19" t="n">
        <f aca="false">IF(AND('Bonding Program'!$S$51=1,'Bonding Program'!$H$51&gt;'Bonding Program'!$C$8,T$3='Bonding Program'!$H$51),'Bonding Program'!$T$51-'Bonding Program'!$U$51-'Bonding Program'!$Z$51,0)-IF(AND('Bonding Program'!$S$51=1,'Bonding Program'!$H$51&lt;='Bonding Program'!$C$8,T$3=IF('Bonding Program'!$P$51&lt;&gt;"",'Bonding Program'!$P$51,'Bonding Program'!$C$8)),'Bonding Program'!$Z$51,0)+IF(AND('Bonding Program'!$P$51&lt;&gt;"",T$3='Bonding Program'!$P$51,T$3&lt;='Bonding Program'!$C$8),N('Bonding Program'!$O$51),0)</f>
        <v>0</v>
      </c>
      <c r="U192" s="19" t="n">
        <f aca="false">IF(AND('Bonding Program'!$S$51=1,'Bonding Program'!$H$51&gt;'Bonding Program'!$C$8,U$3='Bonding Program'!$H$51),'Bonding Program'!$T$51-'Bonding Program'!$U$51-'Bonding Program'!$Z$51,0)-IF(AND('Bonding Program'!$S$51=1,'Bonding Program'!$H$51&lt;='Bonding Program'!$C$8,U$3=IF('Bonding Program'!$P$51&lt;&gt;"",'Bonding Program'!$P$51,'Bonding Program'!$C$8)),'Bonding Program'!$Z$51,0)+IF(AND('Bonding Program'!$P$51&lt;&gt;"",U$3='Bonding Program'!$P$51,U$3&lt;='Bonding Program'!$C$8),N('Bonding Program'!$O$51),0)</f>
        <v>0</v>
      </c>
      <c r="V192" s="19" t="n">
        <f aca="false">IF(AND('Bonding Program'!$S$51=1,'Bonding Program'!$H$51&gt;'Bonding Program'!$C$8,V$3='Bonding Program'!$H$51),'Bonding Program'!$T$51-'Bonding Program'!$U$51-'Bonding Program'!$Z$51,0)-IF(AND('Bonding Program'!$S$51=1,'Bonding Program'!$H$51&lt;='Bonding Program'!$C$8,V$3=IF('Bonding Program'!$P$51&lt;&gt;"",'Bonding Program'!$P$51,'Bonding Program'!$C$8)),'Bonding Program'!$Z$51,0)+IF(AND('Bonding Program'!$P$51&lt;&gt;"",V$3='Bonding Program'!$P$51,V$3&lt;='Bonding Program'!$C$8),N('Bonding Program'!$O$51),0)</f>
        <v>0</v>
      </c>
      <c r="W192" s="19" t="n">
        <f aca="false">IF(AND('Bonding Program'!$S$51=1,'Bonding Program'!$H$51&gt;'Bonding Program'!$C$8,W$3='Bonding Program'!$H$51),'Bonding Program'!$T$51-'Bonding Program'!$U$51-'Bonding Program'!$Z$51,0)-IF(AND('Bonding Program'!$S$51=1,'Bonding Program'!$H$51&lt;='Bonding Program'!$C$8,W$3=IF('Bonding Program'!$P$51&lt;&gt;"",'Bonding Program'!$P$51,'Bonding Program'!$C$8)),'Bonding Program'!$Z$51,0)+IF(AND('Bonding Program'!$P$51&lt;&gt;"",W$3='Bonding Program'!$P$51,W$3&lt;='Bonding Program'!$C$8),N('Bonding Program'!$O$51),0)</f>
        <v>0</v>
      </c>
      <c r="X192" s="19" t="n">
        <f aca="false">IF(AND('Bonding Program'!$S$51=1,'Bonding Program'!$H$51&gt;'Bonding Program'!$C$8,X$3='Bonding Program'!$H$51),'Bonding Program'!$T$51-'Bonding Program'!$U$51-'Bonding Program'!$Z$51,0)-IF(AND('Bonding Program'!$S$51=1,'Bonding Program'!$H$51&lt;='Bonding Program'!$C$8,X$3=IF('Bonding Program'!$P$51&lt;&gt;"",'Bonding Program'!$P$51,'Bonding Program'!$C$8)),'Bonding Program'!$Z$51,0)+IF(AND('Bonding Program'!$P$51&lt;&gt;"",X$3='Bonding Program'!$P$51,X$3&lt;='Bonding Program'!$C$8),N('Bonding Program'!$O$51),0)</f>
        <v>0</v>
      </c>
      <c r="Y192" s="19" t="n">
        <f aca="false">IF(AND('Bonding Program'!$S$51=1,'Bonding Program'!$H$51&gt;'Bonding Program'!$C$8,Y$3='Bonding Program'!$H$51),'Bonding Program'!$T$51-'Bonding Program'!$U$51-'Bonding Program'!$Z$51,0)-IF(AND('Bonding Program'!$S$51=1,'Bonding Program'!$H$51&lt;='Bonding Program'!$C$8,Y$3=IF('Bonding Program'!$P$51&lt;&gt;"",'Bonding Program'!$P$51,'Bonding Program'!$C$8)),'Bonding Program'!$Z$51,0)+IF(AND('Bonding Program'!$P$51&lt;&gt;"",Y$3='Bonding Program'!$P$51,Y$3&lt;='Bonding Program'!$C$8),N('Bonding Program'!$O$51),0)</f>
        <v>0</v>
      </c>
      <c r="Z192" s="19" t="n">
        <f aca="false">IF(AND('Bonding Program'!$S$51=1,'Bonding Program'!$H$51&gt;'Bonding Program'!$C$8,Z$3='Bonding Program'!$H$51),'Bonding Program'!$T$51-'Bonding Program'!$U$51-'Bonding Program'!$Z$51,0)-IF(AND('Bonding Program'!$S$51=1,'Bonding Program'!$H$51&lt;='Bonding Program'!$C$8,Z$3=IF('Bonding Program'!$P$51&lt;&gt;"",'Bonding Program'!$P$51,'Bonding Program'!$C$8)),'Bonding Program'!$Z$51,0)+IF(AND('Bonding Program'!$P$51&lt;&gt;"",Z$3='Bonding Program'!$P$51,Z$3&lt;='Bonding Program'!$C$8),N('Bonding Program'!$O$51),0)</f>
        <v>0</v>
      </c>
      <c r="AA192" s="19" t="n">
        <f aca="false">IF(AND('Bonding Program'!$S$51=1,'Bonding Program'!$H$51&gt;'Bonding Program'!$C$8,AA$3='Bonding Program'!$H$51),'Bonding Program'!$T$51-'Bonding Program'!$U$51-'Bonding Program'!$Z$51,0)-IF(AND('Bonding Program'!$S$51=1,'Bonding Program'!$H$51&lt;='Bonding Program'!$C$8,AA$3=IF('Bonding Program'!$P$51&lt;&gt;"",'Bonding Program'!$P$51,'Bonding Program'!$C$8)),'Bonding Program'!$Z$51,0)+IF(AND('Bonding Program'!$P$51&lt;&gt;"",AA$3='Bonding Program'!$P$51,AA$3&lt;='Bonding Program'!$C$8),N('Bonding Program'!$O$51),0)</f>
        <v>0</v>
      </c>
      <c r="AB192" s="19" t="n">
        <f aca="false">IF(AND('Bonding Program'!$S$51=1,'Bonding Program'!$H$51&gt;'Bonding Program'!$C$8,AB$3='Bonding Program'!$H$51),'Bonding Program'!$T$51-'Bonding Program'!$U$51-'Bonding Program'!$Z$51,0)-IF(AND('Bonding Program'!$S$51=1,'Bonding Program'!$H$51&lt;='Bonding Program'!$C$8,AB$3=IF('Bonding Program'!$P$51&lt;&gt;"",'Bonding Program'!$P$51,'Bonding Program'!$C$8)),'Bonding Program'!$Z$51,0)+IF(AND('Bonding Program'!$P$51&lt;&gt;"",AB$3='Bonding Program'!$P$51,AB$3&lt;='Bonding Program'!$C$8),N('Bonding Program'!$O$51),0)</f>
        <v>0</v>
      </c>
      <c r="AC192" s="19" t="n">
        <f aca="false">IF(AND('Bonding Program'!$S$51=1,'Bonding Program'!$H$51&gt;'Bonding Program'!$C$8,AC$3='Bonding Program'!$H$51),'Bonding Program'!$T$51-'Bonding Program'!$U$51-'Bonding Program'!$Z$51,0)-IF(AND('Bonding Program'!$S$51=1,'Bonding Program'!$H$51&lt;='Bonding Program'!$C$8,AC$3=IF('Bonding Program'!$P$51&lt;&gt;"",'Bonding Program'!$P$51,'Bonding Program'!$C$8)),'Bonding Program'!$Z$51,0)+IF(AND('Bonding Program'!$P$51&lt;&gt;"",AC$3='Bonding Program'!$P$51,AC$3&lt;='Bonding Program'!$C$8),N('Bonding Program'!$O$51),0)</f>
        <v>0</v>
      </c>
      <c r="AD192" s="19" t="n">
        <f aca="false">IF(AND('Bonding Program'!$S$51=1,'Bonding Program'!$H$51&gt;'Bonding Program'!$C$8,AD$3='Bonding Program'!$H$51),'Bonding Program'!$T$51-'Bonding Program'!$U$51-'Bonding Program'!$Z$51,0)-IF(AND('Bonding Program'!$S$51=1,'Bonding Program'!$H$51&lt;='Bonding Program'!$C$8,AD$3=IF('Bonding Program'!$P$51&lt;&gt;"",'Bonding Program'!$P$51,'Bonding Program'!$C$8)),'Bonding Program'!$Z$51,0)+IF(AND('Bonding Program'!$P$51&lt;&gt;"",AD$3='Bonding Program'!$P$51,AD$3&lt;='Bonding Program'!$C$8),N('Bonding Program'!$O$51),0)</f>
        <v>0</v>
      </c>
      <c r="AE192" s="19" t="n">
        <f aca="false">IF(AND('Bonding Program'!$S$51=1,'Bonding Program'!$H$51&gt;'Bonding Program'!$C$8,AE$3='Bonding Program'!$H$51),'Bonding Program'!$T$51-'Bonding Program'!$U$51-'Bonding Program'!$Z$51,0)-IF(AND('Bonding Program'!$S$51=1,'Bonding Program'!$H$51&lt;='Bonding Program'!$C$8,AE$3=IF('Bonding Program'!$P$51&lt;&gt;"",'Bonding Program'!$P$51,'Bonding Program'!$C$8)),'Bonding Program'!$Z$51,0)+IF(AND('Bonding Program'!$P$51&lt;&gt;"",AE$3='Bonding Program'!$P$51,AE$3&lt;='Bonding Program'!$C$8),N('Bonding Program'!$O$51),0)</f>
        <v>0</v>
      </c>
      <c r="AF192" s="19" t="n">
        <f aca="false">IF(AND('Bonding Program'!$S$51=1,'Bonding Program'!$H$51&gt;'Bonding Program'!$C$8,AF$3='Bonding Program'!$H$51),'Bonding Program'!$T$51-'Bonding Program'!$U$51-'Bonding Program'!$Z$51,0)-IF(AND('Bonding Program'!$S$51=1,'Bonding Program'!$H$51&lt;='Bonding Program'!$C$8,AF$3=IF('Bonding Program'!$P$51&lt;&gt;"",'Bonding Program'!$P$51,'Bonding Program'!$C$8)),'Bonding Program'!$Z$51,0)+IF(AND('Bonding Program'!$P$51&lt;&gt;"",AF$3='Bonding Program'!$P$51,AF$3&lt;='Bonding Program'!$C$8),N('Bonding Program'!$O$51),0)</f>
        <v>0</v>
      </c>
      <c r="AG192" s="19" t="n">
        <f aca="false">IF(AND('Bonding Program'!$S$51=1,'Bonding Program'!$H$51&gt;'Bonding Program'!$C$8,AG$3='Bonding Program'!$H$51),'Bonding Program'!$T$51-'Bonding Program'!$U$51-'Bonding Program'!$Z$51,0)-IF(AND('Bonding Program'!$S$51=1,'Bonding Program'!$H$51&lt;='Bonding Program'!$C$8,AG$3=IF('Bonding Program'!$P$51&lt;&gt;"",'Bonding Program'!$P$51,'Bonding Program'!$C$8)),'Bonding Program'!$Z$51,0)+IF(AND('Bonding Program'!$P$51&lt;&gt;"",AG$3='Bonding Program'!$P$51,AG$3&lt;='Bonding Program'!$C$8),N('Bonding Program'!$O$51),0)</f>
        <v>0</v>
      </c>
      <c r="AH192" s="19" t="n">
        <f aca="false">IF(AND('Bonding Program'!$S$51=1,'Bonding Program'!$H$51&gt;'Bonding Program'!$C$8,AH$3='Bonding Program'!$H$51),'Bonding Program'!$T$51-'Bonding Program'!$U$51-'Bonding Program'!$Z$51,0)-IF(AND('Bonding Program'!$S$51=1,'Bonding Program'!$H$51&lt;='Bonding Program'!$C$8,AH$3=IF('Bonding Program'!$P$51&lt;&gt;"",'Bonding Program'!$P$51,'Bonding Program'!$C$8)),'Bonding Program'!$Z$51,0)+IF(AND('Bonding Program'!$P$51&lt;&gt;"",AH$3='Bonding Program'!$P$51,AH$3&lt;='Bonding Program'!$C$8),N('Bonding Program'!$O$51),0)</f>
        <v>0</v>
      </c>
      <c r="AI192" s="19" t="n">
        <f aca="false">IF(AND('Bonding Program'!$S$51=1,'Bonding Program'!$H$51&gt;'Bonding Program'!$C$8,AI$3='Bonding Program'!$H$51),'Bonding Program'!$T$51-'Bonding Program'!$U$51-'Bonding Program'!$Z$51,0)-IF(AND('Bonding Program'!$S$51=1,'Bonding Program'!$H$51&lt;='Bonding Program'!$C$8,AI$3=IF('Bonding Program'!$P$51&lt;&gt;"",'Bonding Program'!$P$51,'Bonding Program'!$C$8)),'Bonding Program'!$Z$51,0)+IF(AND('Bonding Program'!$P$51&lt;&gt;"",AI$3='Bonding Program'!$P$51,AI$3&lt;='Bonding Program'!$C$8),N('Bonding Program'!$O$51),0)</f>
        <v>0</v>
      </c>
      <c r="AJ192" s="19" t="n">
        <f aca="false">IF(AND('Bonding Program'!$S$51=1,'Bonding Program'!$H$51&gt;'Bonding Program'!$C$8,AJ$3='Bonding Program'!$H$51),'Bonding Program'!$T$51-'Bonding Program'!$U$51-'Bonding Program'!$Z$51,0)-IF(AND('Bonding Program'!$S$51=1,'Bonding Program'!$H$51&lt;='Bonding Program'!$C$8,AJ$3=IF('Bonding Program'!$P$51&lt;&gt;"",'Bonding Program'!$P$51,'Bonding Program'!$C$8)),'Bonding Program'!$Z$51,0)+IF(AND('Bonding Program'!$P$51&lt;&gt;"",AJ$3='Bonding Program'!$P$51,AJ$3&lt;='Bonding Program'!$C$8),N('Bonding Program'!$O$51),0)</f>
        <v>0</v>
      </c>
      <c r="AK192" s="19" t="n">
        <f aca="false">IF(AND('Bonding Program'!$S$51=1,'Bonding Program'!$H$51&gt;'Bonding Program'!$C$8,AK$3='Bonding Program'!$H$51),'Bonding Program'!$T$51-'Bonding Program'!$U$51-'Bonding Program'!$Z$51,0)-IF(AND('Bonding Program'!$S$51=1,'Bonding Program'!$H$51&lt;='Bonding Program'!$C$8,AK$3=IF('Bonding Program'!$P$51&lt;&gt;"",'Bonding Program'!$P$51,'Bonding Program'!$C$8)),'Bonding Program'!$Z$51,0)+IF(AND('Bonding Program'!$P$51&lt;&gt;"",AK$3='Bonding Program'!$P$51,AK$3&lt;='Bonding Program'!$C$8),N('Bonding Program'!$O$51),0)</f>
        <v>0</v>
      </c>
      <c r="AL192" s="19" t="n">
        <f aca="false">IF(AND('Bonding Program'!$S$51=1,'Bonding Program'!$H$51&gt;'Bonding Program'!$C$8,AL$3='Bonding Program'!$H$51),'Bonding Program'!$T$51-'Bonding Program'!$U$51-'Bonding Program'!$Z$51,0)-IF(AND('Bonding Program'!$S$51=1,'Bonding Program'!$H$51&lt;='Bonding Program'!$C$8,AL$3=IF('Bonding Program'!$P$51&lt;&gt;"",'Bonding Program'!$P$51,'Bonding Program'!$C$8)),'Bonding Program'!$Z$51,0)+IF(AND('Bonding Program'!$P$51&lt;&gt;"",AL$3='Bonding Program'!$P$51,AL$3&lt;='Bonding Program'!$C$8),N('Bonding Program'!$O$51),0)</f>
        <v>0</v>
      </c>
      <c r="AM192" s="19" t="n">
        <f aca="false">IF(AND('Bonding Program'!$S$51=1,'Bonding Program'!$H$51&gt;'Bonding Program'!$C$8,AM$3='Bonding Program'!$H$51),'Bonding Program'!$T$51-'Bonding Program'!$U$51-'Bonding Program'!$Z$51,0)-IF(AND('Bonding Program'!$S$51=1,'Bonding Program'!$H$51&lt;='Bonding Program'!$C$8,AM$3=IF('Bonding Program'!$P$51&lt;&gt;"",'Bonding Program'!$P$51,'Bonding Program'!$C$8)),'Bonding Program'!$Z$51,0)+IF(AND('Bonding Program'!$P$51&lt;&gt;"",AM$3='Bonding Program'!$P$51,AM$3&lt;='Bonding Program'!$C$8),N('Bonding Program'!$O$51),0)</f>
        <v>0</v>
      </c>
      <c r="AN192" s="19" t="n">
        <f aca="false">IF(AND('Bonding Program'!$S$51=1,'Bonding Program'!$H$51&gt;'Bonding Program'!$C$8,AN$3='Bonding Program'!$H$51),'Bonding Program'!$T$51-'Bonding Program'!$U$51-'Bonding Program'!$Z$51,0)-IF(AND('Bonding Program'!$S$51=1,'Bonding Program'!$H$51&lt;='Bonding Program'!$C$8,AN$3=IF('Bonding Program'!$P$51&lt;&gt;"",'Bonding Program'!$P$51,'Bonding Program'!$C$8)),'Bonding Program'!$Z$51,0)+IF(AND('Bonding Program'!$P$51&lt;&gt;"",AN$3='Bonding Program'!$P$51,AN$3&lt;='Bonding Program'!$C$8),N('Bonding Program'!$O$51),0)</f>
        <v>0</v>
      </c>
      <c r="AO192" s="19" t="n">
        <f aca="false">IF(AND('Bonding Program'!$S$51=1,'Bonding Program'!$H$51&gt;'Bonding Program'!$C$8,AO$3='Bonding Program'!$H$51),'Bonding Program'!$T$51-'Bonding Program'!$U$51-'Bonding Program'!$Z$51,0)-IF(AND('Bonding Program'!$S$51=1,'Bonding Program'!$H$51&lt;='Bonding Program'!$C$8,AO$3=IF('Bonding Program'!$P$51&lt;&gt;"",'Bonding Program'!$P$51,'Bonding Program'!$C$8)),'Bonding Program'!$Z$51,0)+IF(AND('Bonding Program'!$P$51&lt;&gt;"",AO$3='Bonding Program'!$P$51,AO$3&lt;='Bonding Program'!$C$8),N('Bonding Program'!$O$51),0)</f>
        <v>0</v>
      </c>
      <c r="AP192" s="19" t="n">
        <f aca="false">IF(AND('Bonding Program'!$S$51=1,'Bonding Program'!$H$51&gt;'Bonding Program'!$C$8,AP$3='Bonding Program'!$H$51),'Bonding Program'!$T$51-'Bonding Program'!$U$51-'Bonding Program'!$Z$51,0)-IF(AND('Bonding Program'!$S$51=1,'Bonding Program'!$H$51&lt;='Bonding Program'!$C$8,AP$3=IF('Bonding Program'!$P$51&lt;&gt;"",'Bonding Program'!$P$51,'Bonding Program'!$C$8)),'Bonding Program'!$Z$51,0)+IF(AND('Bonding Program'!$P$51&lt;&gt;"",AP$3='Bonding Program'!$P$51,AP$3&lt;='Bonding Program'!$C$8),N('Bonding Program'!$O$51),0)</f>
        <v>0</v>
      </c>
      <c r="AQ192" s="19" t="n">
        <f aca="false">IF(AND('Bonding Program'!$S$51=1,'Bonding Program'!$H$51&gt;'Bonding Program'!$C$8,AQ$3='Bonding Program'!$H$51),'Bonding Program'!$T$51-'Bonding Program'!$U$51-'Bonding Program'!$Z$51,0)-IF(AND('Bonding Program'!$S$51=1,'Bonding Program'!$H$51&lt;='Bonding Program'!$C$8,AQ$3=IF('Bonding Program'!$P$51&lt;&gt;"",'Bonding Program'!$P$51,'Bonding Program'!$C$8)),'Bonding Program'!$Z$51,0)+IF(AND('Bonding Program'!$P$51&lt;&gt;"",AQ$3='Bonding Program'!$P$51,AQ$3&lt;='Bonding Program'!$C$8),N('Bonding Program'!$O$51),0)</f>
        <v>0</v>
      </c>
      <c r="AR192" s="19" t="n">
        <f aca="false">IF(AND('Bonding Program'!$S$51=1,'Bonding Program'!$H$51&gt;'Bonding Program'!$C$8,AR$3='Bonding Program'!$H$51),'Bonding Program'!$T$51-'Bonding Program'!$U$51-'Bonding Program'!$Z$51,0)-IF(AND('Bonding Program'!$S$51=1,'Bonding Program'!$H$51&lt;='Bonding Program'!$C$8,AR$3=IF('Bonding Program'!$P$51&lt;&gt;"",'Bonding Program'!$P$51,'Bonding Program'!$C$8)),'Bonding Program'!$Z$51,0)+IF(AND('Bonding Program'!$P$51&lt;&gt;"",AR$3='Bonding Program'!$P$51,AR$3&lt;='Bonding Program'!$C$8),N('Bonding Program'!$O$51),0)</f>
        <v>0</v>
      </c>
      <c r="AS192" s="19" t="n">
        <f aca="false">IF(AND('Bonding Program'!$S$51=1,'Bonding Program'!$H$51&gt;'Bonding Program'!$C$8,AS$3='Bonding Program'!$H$51),'Bonding Program'!$T$51-'Bonding Program'!$U$51-'Bonding Program'!$Z$51,0)-IF(AND('Bonding Program'!$S$51=1,'Bonding Program'!$H$51&lt;='Bonding Program'!$C$8,AS$3=IF('Bonding Program'!$P$51&lt;&gt;"",'Bonding Program'!$P$51,'Bonding Program'!$C$8)),'Bonding Program'!$Z$51,0)+IF(AND('Bonding Program'!$P$51&lt;&gt;"",AS$3='Bonding Program'!$P$51,AS$3&lt;='Bonding Program'!$C$8),N('Bonding Program'!$O$51),0)</f>
        <v>0</v>
      </c>
      <c r="AT192" s="19" t="n">
        <f aca="false">IF(AND('Bonding Program'!$S$51=1,'Bonding Program'!$H$51&gt;'Bonding Program'!$C$8,AT$3='Bonding Program'!$H$51),'Bonding Program'!$T$51-'Bonding Program'!$U$51-'Bonding Program'!$Z$51,0)-IF(AND('Bonding Program'!$S$51=1,'Bonding Program'!$H$51&lt;='Bonding Program'!$C$8,AT$3=IF('Bonding Program'!$P$51&lt;&gt;"",'Bonding Program'!$P$51,'Bonding Program'!$C$8)),'Bonding Program'!$Z$51,0)+IF(AND('Bonding Program'!$P$51&lt;&gt;"",AT$3='Bonding Program'!$P$51,AT$3&lt;='Bonding Program'!$C$8),N('Bonding Program'!$O$51),0)</f>
        <v>0</v>
      </c>
      <c r="AU192" s="19" t="n">
        <f aca="false">IF(AND('Bonding Program'!$S$51=1,'Bonding Program'!$H$51&gt;'Bonding Program'!$C$8,AU$3='Bonding Program'!$H$51),'Bonding Program'!$T$51-'Bonding Program'!$U$51-'Bonding Program'!$Z$51,0)-IF(AND('Bonding Program'!$S$51=1,'Bonding Program'!$H$51&lt;='Bonding Program'!$C$8,AU$3=IF('Bonding Program'!$P$51&lt;&gt;"",'Bonding Program'!$P$51,'Bonding Program'!$C$8)),'Bonding Program'!$Z$51,0)+IF(AND('Bonding Program'!$P$51&lt;&gt;"",AU$3='Bonding Program'!$P$51,AU$3&lt;='Bonding Program'!$C$8),N('Bonding Program'!$O$51),0)</f>
        <v>0</v>
      </c>
      <c r="AV192" s="19" t="n">
        <f aca="false">IF(AND('Bonding Program'!$S$51=1,'Bonding Program'!$H$51&gt;'Bonding Program'!$C$8,AV$3='Bonding Program'!$H$51),'Bonding Program'!$T$51-'Bonding Program'!$U$51-'Bonding Program'!$Z$51,0)-IF(AND('Bonding Program'!$S$51=1,'Bonding Program'!$H$51&lt;='Bonding Program'!$C$8,AV$3=IF('Bonding Program'!$P$51&lt;&gt;"",'Bonding Program'!$P$51,'Bonding Program'!$C$8)),'Bonding Program'!$Z$51,0)+IF(AND('Bonding Program'!$P$51&lt;&gt;"",AV$3='Bonding Program'!$P$51,AV$3&lt;='Bonding Program'!$C$8),N('Bonding Program'!$O$51),0)</f>
        <v>0</v>
      </c>
      <c r="AW192" s="19" t="n">
        <f aca="false">IF(AND('Bonding Program'!$S$51=1,'Bonding Program'!$H$51&gt;'Bonding Program'!$C$8,AW$3='Bonding Program'!$H$51),'Bonding Program'!$T$51-'Bonding Program'!$U$51-'Bonding Program'!$Z$51,0)-IF(AND('Bonding Program'!$S$51=1,'Bonding Program'!$H$51&lt;='Bonding Program'!$C$8,AW$3=IF('Bonding Program'!$P$51&lt;&gt;"",'Bonding Program'!$P$51,'Bonding Program'!$C$8)),'Bonding Program'!$Z$51,0)+IF(AND('Bonding Program'!$P$51&lt;&gt;"",AW$3='Bonding Program'!$P$51,AW$3&lt;='Bonding Program'!$C$8),N('Bonding Program'!$O$51),0)</f>
        <v>0</v>
      </c>
      <c r="AX192" s="19" t="n">
        <f aca="false">IF(AND('Bonding Program'!$S$51=1,'Bonding Program'!$H$51&gt;'Bonding Program'!$C$8,AX$3='Bonding Program'!$H$51),'Bonding Program'!$T$51-'Bonding Program'!$U$51-'Bonding Program'!$Z$51,0)-IF(AND('Bonding Program'!$S$51=1,'Bonding Program'!$H$51&lt;='Bonding Program'!$C$8,AX$3=IF('Bonding Program'!$P$51&lt;&gt;"",'Bonding Program'!$P$51,'Bonding Program'!$C$8)),'Bonding Program'!$Z$51,0)+IF(AND('Bonding Program'!$P$51&lt;&gt;"",AX$3='Bonding Program'!$P$51,AX$3&lt;='Bonding Program'!$C$8),N('Bonding Program'!$O$51),0)</f>
        <v>0</v>
      </c>
      <c r="AY192" s="19" t="n">
        <f aca="false">IF(AND('Bonding Program'!$S$51=1,'Bonding Program'!$H$51&gt;'Bonding Program'!$C$8,AY$3='Bonding Program'!$H$51),'Bonding Program'!$T$51-'Bonding Program'!$U$51-'Bonding Program'!$Z$51,0)-IF(AND('Bonding Program'!$S$51=1,'Bonding Program'!$H$51&lt;='Bonding Program'!$C$8,AY$3=IF('Bonding Program'!$P$51&lt;&gt;"",'Bonding Program'!$P$51,'Bonding Program'!$C$8)),'Bonding Program'!$Z$51,0)+IF(AND('Bonding Program'!$P$51&lt;&gt;"",AY$3='Bonding Program'!$P$51,AY$3&lt;='Bonding Program'!$C$8),N('Bonding Program'!$O$51),0)</f>
        <v>0</v>
      </c>
      <c r="AZ192" s="19" t="n">
        <f aca="false">IF(AND('Bonding Program'!$S$51=1,'Bonding Program'!$H$51&gt;'Bonding Program'!$C$8,AZ$3='Bonding Program'!$H$51),'Bonding Program'!$T$51-'Bonding Program'!$U$51-'Bonding Program'!$Z$51,0)-IF(AND('Bonding Program'!$S$51=1,'Bonding Program'!$H$51&lt;='Bonding Program'!$C$8,AZ$3=IF('Bonding Program'!$P$51&lt;&gt;"",'Bonding Program'!$P$51,'Bonding Program'!$C$8)),'Bonding Program'!$Z$51,0)+IF(AND('Bonding Program'!$P$51&lt;&gt;"",AZ$3='Bonding Program'!$P$51,AZ$3&lt;='Bonding Program'!$C$8),N('Bonding Program'!$O$51),0)</f>
        <v>0</v>
      </c>
      <c r="BA192" s="19" t="n">
        <f aca="false">IF(AND('Bonding Program'!$S$51=1,'Bonding Program'!$H$51&gt;'Bonding Program'!$C$8,BA$3='Bonding Program'!$H$51),'Bonding Program'!$T$51-'Bonding Program'!$U$51-'Bonding Program'!$Z$51,0)-IF(AND('Bonding Program'!$S$51=1,'Bonding Program'!$H$51&lt;='Bonding Program'!$C$8,BA$3=IF('Bonding Program'!$P$51&lt;&gt;"",'Bonding Program'!$P$51,'Bonding Program'!$C$8)),'Bonding Program'!$Z$51,0)+IF(AND('Bonding Program'!$P$51&lt;&gt;"",BA$3='Bonding Program'!$P$51,BA$3&lt;='Bonding Program'!$C$8),N('Bonding Program'!$O$51),0)</f>
        <v>0</v>
      </c>
      <c r="BB192" s="19" t="n">
        <f aca="false">IF(AND('Bonding Program'!$S$51=1,'Bonding Program'!$H$51&gt;'Bonding Program'!$C$8,BB$3='Bonding Program'!$H$51),'Bonding Program'!$T$51-'Bonding Program'!$U$51-'Bonding Program'!$Z$51,0)-IF(AND('Bonding Program'!$S$51=1,'Bonding Program'!$H$51&lt;='Bonding Program'!$C$8,BB$3=IF('Bonding Program'!$P$51&lt;&gt;"",'Bonding Program'!$P$51,'Bonding Program'!$C$8)),'Bonding Program'!$Z$51,0)+IF(AND('Bonding Program'!$P$51&lt;&gt;"",BB$3='Bonding Program'!$P$51,BB$3&lt;='Bonding Program'!$C$8),N('Bonding Program'!$O$51),0)</f>
        <v>0</v>
      </c>
      <c r="BC192" s="19" t="n">
        <f aca="false">IF(AND('Bonding Program'!$S$51=1,'Bonding Program'!$H$51&gt;'Bonding Program'!$C$8,BC$3='Bonding Program'!$H$51),'Bonding Program'!$T$51-'Bonding Program'!$U$51-'Bonding Program'!$Z$51,0)-IF(AND('Bonding Program'!$S$51=1,'Bonding Program'!$H$51&lt;='Bonding Program'!$C$8,BC$3=IF('Bonding Program'!$P$51&lt;&gt;"",'Bonding Program'!$P$51,'Bonding Program'!$C$8)),'Bonding Program'!$Z$51,0)+IF(AND('Bonding Program'!$P$51&lt;&gt;"",BC$3='Bonding Program'!$P$51,BC$3&lt;='Bonding Program'!$C$8),N('Bonding Program'!$O$51),0)</f>
        <v>0</v>
      </c>
      <c r="BD192" s="19" t="n">
        <f aca="false">IF(AND('Bonding Program'!$S$51=1,'Bonding Program'!$H$51&gt;'Bonding Program'!$C$8,BD$3='Bonding Program'!$H$51),'Bonding Program'!$T$51-'Bonding Program'!$U$51-'Bonding Program'!$Z$51,0)-IF(AND('Bonding Program'!$S$51=1,'Bonding Program'!$H$51&lt;='Bonding Program'!$C$8,BD$3=IF('Bonding Program'!$P$51&lt;&gt;"",'Bonding Program'!$P$51,'Bonding Program'!$C$8)),'Bonding Program'!$Z$51,0)+IF(AND('Bonding Program'!$P$51&lt;&gt;"",BD$3='Bonding Program'!$P$51,BD$3&lt;='Bonding Program'!$C$8),N('Bonding Program'!$O$51),0)</f>
        <v>0</v>
      </c>
      <c r="BE192" s="19" t="n">
        <f aca="false">IF(AND('Bonding Program'!$S$51=1,'Bonding Program'!$H$51&gt;'Bonding Program'!$C$8,BE$3='Bonding Program'!$H$51),'Bonding Program'!$T$51-'Bonding Program'!$U$51-'Bonding Program'!$Z$51,0)-IF(AND('Bonding Program'!$S$51=1,'Bonding Program'!$H$51&lt;='Bonding Program'!$C$8,BE$3=IF('Bonding Program'!$P$51&lt;&gt;"",'Bonding Program'!$P$51,'Bonding Program'!$C$8)),'Bonding Program'!$Z$51,0)+IF(AND('Bonding Program'!$P$51&lt;&gt;"",BE$3='Bonding Program'!$P$51,BE$3&lt;='Bonding Program'!$C$8),N('Bonding Program'!$O$51),0)</f>
        <v>0</v>
      </c>
      <c r="BF192" s="19" t="n">
        <f aca="false">IF(AND('Bonding Program'!$S$51=1,'Bonding Program'!$H$51&gt;'Bonding Program'!$C$8,BF$3='Bonding Program'!$H$51),'Bonding Program'!$T$51-'Bonding Program'!$U$51-'Bonding Program'!$Z$51,0)-IF(AND('Bonding Program'!$S$51=1,'Bonding Program'!$H$51&lt;='Bonding Program'!$C$8,BF$3=IF('Bonding Program'!$P$51&lt;&gt;"",'Bonding Program'!$P$51,'Bonding Program'!$C$8)),'Bonding Program'!$Z$51,0)+IF(AND('Bonding Program'!$P$51&lt;&gt;"",BF$3='Bonding Program'!$P$51,BF$3&lt;='Bonding Program'!$C$8),N('Bonding Program'!$O$51),0)</f>
        <v>0</v>
      </c>
      <c r="BG192" s="19" t="n">
        <f aca="false">IF(AND('Bonding Program'!$S$51=1,'Bonding Program'!$H$51&gt;'Bonding Program'!$C$8,BG$3='Bonding Program'!$H$51),'Bonding Program'!$T$51-'Bonding Program'!$U$51-'Bonding Program'!$Z$51,0)-IF(AND('Bonding Program'!$S$51=1,'Bonding Program'!$H$51&lt;='Bonding Program'!$C$8,BG$3=IF('Bonding Program'!$P$51&lt;&gt;"",'Bonding Program'!$P$51,'Bonding Program'!$C$8)),'Bonding Program'!$Z$51,0)+IF(AND('Bonding Program'!$P$51&lt;&gt;"",BG$3='Bonding Program'!$P$51,BG$3&lt;='Bonding Program'!$C$8),N('Bonding Program'!$O$51),0)</f>
        <v>0</v>
      </c>
      <c r="BH192" s="19" t="n">
        <f aca="false">IF(AND('Bonding Program'!$S$51=1,'Bonding Program'!$H$51&gt;'Bonding Program'!$C$8,BH$3='Bonding Program'!$H$51),'Bonding Program'!$T$51-'Bonding Program'!$U$51-'Bonding Program'!$Z$51,0)-IF(AND('Bonding Program'!$S$51=1,'Bonding Program'!$H$51&lt;='Bonding Program'!$C$8,BH$3=IF('Bonding Program'!$P$51&lt;&gt;"",'Bonding Program'!$P$51,'Bonding Program'!$C$8)),'Bonding Program'!$Z$51,0)+IF(AND('Bonding Program'!$P$51&lt;&gt;"",BH$3='Bonding Program'!$P$51,BH$3&lt;='Bonding Program'!$C$8),N('Bonding Program'!$O$51),0)</f>
        <v>0</v>
      </c>
      <c r="BI192" s="19" t="n">
        <f aca="false">IF(AND('Bonding Program'!$S$51=1,'Bonding Program'!$H$51&gt;'Bonding Program'!$C$8,BI$3='Bonding Program'!$H$51),'Bonding Program'!$T$51-'Bonding Program'!$U$51-'Bonding Program'!$Z$51,0)-IF(AND('Bonding Program'!$S$51=1,'Bonding Program'!$H$51&lt;='Bonding Program'!$C$8,BI$3=IF('Bonding Program'!$P$51&lt;&gt;"",'Bonding Program'!$P$51,'Bonding Program'!$C$8)),'Bonding Program'!$Z$51,0)+IF(AND('Bonding Program'!$P$51&lt;&gt;"",BI$3='Bonding Program'!$P$51,BI$3&lt;='Bonding Program'!$C$8),N('Bonding Program'!$O$51),0)</f>
        <v>0</v>
      </c>
      <c r="BJ192" s="19" t="n">
        <f aca="false">IF(AND('Bonding Program'!$S$51=1,'Bonding Program'!$H$51&gt;'Bonding Program'!$C$8,BJ$3='Bonding Program'!$H$51),'Bonding Program'!$T$51-'Bonding Program'!$U$51-'Bonding Program'!$Z$51,0)-IF(AND('Bonding Program'!$S$51=1,'Bonding Program'!$H$51&lt;='Bonding Program'!$C$8,BJ$3=IF('Bonding Program'!$P$51&lt;&gt;"",'Bonding Program'!$P$51,'Bonding Program'!$C$8)),'Bonding Program'!$Z$51,0)+IF(AND('Bonding Program'!$P$51&lt;&gt;"",BJ$3='Bonding Program'!$P$51,BJ$3&lt;='Bonding Program'!$C$8),N('Bonding Program'!$O$51),0)</f>
        <v>0</v>
      </c>
      <c r="BK192" s="19" t="n">
        <f aca="false">IF(AND('Bonding Program'!$S$51=1,'Bonding Program'!$H$51&gt;'Bonding Program'!$C$8,BK$3='Bonding Program'!$H$51),'Bonding Program'!$T$51-'Bonding Program'!$U$51-'Bonding Program'!$Z$51,0)-IF(AND('Bonding Program'!$S$51=1,'Bonding Program'!$H$51&lt;='Bonding Program'!$C$8,BK$3=IF('Bonding Program'!$P$51&lt;&gt;"",'Bonding Program'!$P$51,'Bonding Program'!$C$8)),'Bonding Program'!$Z$51,0)+IF(AND('Bonding Program'!$P$51&lt;&gt;"",BK$3='Bonding Program'!$P$51,BK$3&lt;='Bonding Program'!$C$8),N('Bonding Program'!$O$51),0)</f>
        <v>0</v>
      </c>
      <c r="BL192" s="19" t="n">
        <f aca="false">IF(AND('Bonding Program'!$S$51=1,'Bonding Program'!$H$51&gt;'Bonding Program'!$C$8,BL$3='Bonding Program'!$H$51),'Bonding Program'!$T$51-'Bonding Program'!$U$51-'Bonding Program'!$Z$51,0)-IF(AND('Bonding Program'!$S$51=1,'Bonding Program'!$H$51&lt;='Bonding Program'!$C$8,BL$3=IF('Bonding Program'!$P$51&lt;&gt;"",'Bonding Program'!$P$51,'Bonding Program'!$C$8)),'Bonding Program'!$Z$51,0)+IF(AND('Bonding Program'!$P$51&lt;&gt;"",BL$3='Bonding Program'!$P$51,BL$3&lt;='Bonding Program'!$C$8),N('Bonding Program'!$O$51),0)</f>
        <v>0</v>
      </c>
      <c r="BM192" s="19" t="n">
        <f aca="false">IF(AND('Bonding Program'!$S$51=1,'Bonding Program'!$H$51&gt;'Bonding Program'!$C$8,BM$3='Bonding Program'!$H$51),'Bonding Program'!$T$51-'Bonding Program'!$U$51-'Bonding Program'!$Z$51,0)-IF(AND('Bonding Program'!$S$51=1,'Bonding Program'!$H$51&lt;='Bonding Program'!$C$8,BM$3=IF('Bonding Program'!$P$51&lt;&gt;"",'Bonding Program'!$P$51,'Bonding Program'!$C$8)),'Bonding Program'!$Z$51,0)+IF(AND('Bonding Program'!$P$51&lt;&gt;"",BM$3='Bonding Program'!$P$51,BM$3&lt;='Bonding Program'!$C$8),N('Bonding Program'!$O$51),0)</f>
        <v>0</v>
      </c>
      <c r="BN192" s="19" t="n">
        <f aca="false">IF(AND('Bonding Program'!$S$51=1,'Bonding Program'!$H$51&gt;'Bonding Program'!$C$8,BN$3='Bonding Program'!$H$51),'Bonding Program'!$T$51-'Bonding Program'!$U$51-'Bonding Program'!$Z$51,0)-IF(AND('Bonding Program'!$S$51=1,'Bonding Program'!$H$51&lt;='Bonding Program'!$C$8,BN$3=IF('Bonding Program'!$P$51&lt;&gt;"",'Bonding Program'!$P$51,'Bonding Program'!$C$8)),'Bonding Program'!$Z$51,0)+IF(AND('Bonding Program'!$P$51&lt;&gt;"",BN$3='Bonding Program'!$P$51,BN$3&lt;='Bonding Program'!$C$8),N('Bonding Program'!$O$51),0)</f>
        <v>0</v>
      </c>
      <c r="BO192" s="19" t="n">
        <f aca="false">IF(AND('Bonding Program'!$S$51=1,'Bonding Program'!$H$51&gt;'Bonding Program'!$C$8,BO$3='Bonding Program'!$H$51),'Bonding Program'!$T$51-'Bonding Program'!$U$51-'Bonding Program'!$Z$51,0)-IF(AND('Bonding Program'!$S$51=1,'Bonding Program'!$H$51&lt;='Bonding Program'!$C$8,BO$3=IF('Bonding Program'!$P$51&lt;&gt;"",'Bonding Program'!$P$51,'Bonding Program'!$C$8)),'Bonding Program'!$Z$51,0)+IF(AND('Bonding Program'!$P$51&lt;&gt;"",BO$3='Bonding Program'!$P$51,BO$3&lt;='Bonding Program'!$C$8),N('Bonding Program'!$O$51),0)</f>
        <v>0</v>
      </c>
      <c r="BP192" s="19" t="n">
        <f aca="false">IF(AND('Bonding Program'!$S$51=1,'Bonding Program'!$H$51&gt;'Bonding Program'!$C$8,BP$3='Bonding Program'!$H$51),'Bonding Program'!$T$51-'Bonding Program'!$U$51-'Bonding Program'!$Z$51,0)-IF(AND('Bonding Program'!$S$51=1,'Bonding Program'!$H$51&lt;='Bonding Program'!$C$8,BP$3=IF('Bonding Program'!$P$51&lt;&gt;"",'Bonding Program'!$P$51,'Bonding Program'!$C$8)),'Bonding Program'!$Z$51,0)+IF(AND('Bonding Program'!$P$51&lt;&gt;"",BP$3='Bonding Program'!$P$51,BP$3&lt;='Bonding Program'!$C$8),N('Bonding Program'!$O$51),0)</f>
        <v>0</v>
      </c>
      <c r="BQ192" s="19" t="n">
        <f aca="false">IF(AND('Bonding Program'!$S$51=1,'Bonding Program'!$H$51&gt;'Bonding Program'!$C$8,BQ$3='Bonding Program'!$H$51),'Bonding Program'!$T$51-'Bonding Program'!$U$51-'Bonding Program'!$Z$51,0)-IF(AND('Bonding Program'!$S$51=1,'Bonding Program'!$H$51&lt;='Bonding Program'!$C$8,BQ$3=IF('Bonding Program'!$P$51&lt;&gt;"",'Bonding Program'!$P$51,'Bonding Program'!$C$8)),'Bonding Program'!$Z$51,0)+IF(AND('Bonding Program'!$P$51&lt;&gt;"",BQ$3='Bonding Program'!$P$51,BQ$3&lt;='Bonding Program'!$C$8),N('Bonding Program'!$O$51),0)</f>
        <v>0</v>
      </c>
      <c r="BR192" s="19" t="n">
        <f aca="false">IF(AND('Bonding Program'!$S$51=1,'Bonding Program'!$H$51&gt;'Bonding Program'!$C$8,BR$3='Bonding Program'!$H$51),'Bonding Program'!$T$51-'Bonding Program'!$U$51-'Bonding Program'!$Z$51,0)-IF(AND('Bonding Program'!$S$51=1,'Bonding Program'!$H$51&lt;='Bonding Program'!$C$8,BR$3=IF('Bonding Program'!$P$51&lt;&gt;"",'Bonding Program'!$P$51,'Bonding Program'!$C$8)),'Bonding Program'!$Z$51,0)+IF(AND('Bonding Program'!$P$51&lt;&gt;"",BR$3='Bonding Program'!$P$51,BR$3&lt;='Bonding Program'!$C$8),N('Bonding Program'!$O$51),0)</f>
        <v>0</v>
      </c>
      <c r="BS192" s="19" t="n">
        <f aca="false">IF(AND('Bonding Program'!$S$51=1,'Bonding Program'!$H$51&gt;'Bonding Program'!$C$8,BS$3='Bonding Program'!$H$51),'Bonding Program'!$T$51-'Bonding Program'!$U$51-'Bonding Program'!$Z$51,0)-IF(AND('Bonding Program'!$S$51=1,'Bonding Program'!$H$51&lt;='Bonding Program'!$C$8,BS$3=IF('Bonding Program'!$P$51&lt;&gt;"",'Bonding Program'!$P$51,'Bonding Program'!$C$8)),'Bonding Program'!$Z$51,0)+IF(AND('Bonding Program'!$P$51&lt;&gt;"",BS$3='Bonding Program'!$P$51,BS$3&lt;='Bonding Program'!$C$8),N('Bonding Program'!$O$51),0)</f>
        <v>0</v>
      </c>
      <c r="BT192" s="19" t="n">
        <f aca="false">IF(AND('Bonding Program'!$S$51=1,'Bonding Program'!$H$51&gt;'Bonding Program'!$C$8,BT$3='Bonding Program'!$H$51),'Bonding Program'!$T$51-'Bonding Program'!$U$51-'Bonding Program'!$Z$51,0)-IF(AND('Bonding Program'!$S$51=1,'Bonding Program'!$H$51&lt;='Bonding Program'!$C$8,BT$3=IF('Bonding Program'!$P$51&lt;&gt;"",'Bonding Program'!$P$51,'Bonding Program'!$C$8)),'Bonding Program'!$Z$51,0)+IF(AND('Bonding Program'!$P$51&lt;&gt;"",BT$3='Bonding Program'!$P$51,BT$3&lt;='Bonding Program'!$C$8),N('Bonding Program'!$O$51),0)</f>
        <v>0</v>
      </c>
      <c r="BU192" s="19" t="n">
        <f aca="false">IF(AND('Bonding Program'!$S$51=1,'Bonding Program'!$H$51&gt;'Bonding Program'!$C$8,BU$3='Bonding Program'!$H$51),'Bonding Program'!$T$51-'Bonding Program'!$U$51-'Bonding Program'!$Z$51,0)-IF(AND('Bonding Program'!$S$51=1,'Bonding Program'!$H$51&lt;='Bonding Program'!$C$8,BU$3=IF('Bonding Program'!$P$51&lt;&gt;"",'Bonding Program'!$P$51,'Bonding Program'!$C$8)),'Bonding Program'!$Z$51,0)+IF(AND('Bonding Program'!$P$51&lt;&gt;"",BU$3='Bonding Program'!$P$51,BU$3&lt;='Bonding Program'!$C$8),N('Bonding Program'!$O$51),0)</f>
        <v>0</v>
      </c>
      <c r="BV192" s="19" t="n">
        <f aca="false">IF(AND('Bonding Program'!$S$51=1,'Bonding Program'!$H$51&gt;'Bonding Program'!$C$8,BV$3='Bonding Program'!$H$51),'Bonding Program'!$T$51-'Bonding Program'!$U$51-'Bonding Program'!$Z$51,0)-IF(AND('Bonding Program'!$S$51=1,'Bonding Program'!$H$51&lt;='Bonding Program'!$C$8,BV$3=IF('Bonding Program'!$P$51&lt;&gt;"",'Bonding Program'!$P$51,'Bonding Program'!$C$8)),'Bonding Program'!$Z$51,0)+IF(AND('Bonding Program'!$P$51&lt;&gt;"",BV$3='Bonding Program'!$P$51,BV$3&lt;='Bonding Program'!$C$8),N('Bonding Program'!$O$51),0)</f>
        <v>0</v>
      </c>
      <c r="BW192" s="19" t="n">
        <f aca="false">IF(AND('Bonding Program'!$S$51=1,'Bonding Program'!$H$51&gt;'Bonding Program'!$C$8,BW$3='Bonding Program'!$H$51),'Bonding Program'!$T$51-'Bonding Program'!$U$51-'Bonding Program'!$Z$51,0)-IF(AND('Bonding Program'!$S$51=1,'Bonding Program'!$H$51&lt;='Bonding Program'!$C$8,BW$3=IF('Bonding Program'!$P$51&lt;&gt;"",'Bonding Program'!$P$51,'Bonding Program'!$C$8)),'Bonding Program'!$Z$51,0)+IF(AND('Bonding Program'!$P$51&lt;&gt;"",BW$3='Bonding Program'!$P$51,BW$3&lt;='Bonding Program'!$C$8),N('Bonding Program'!$O$51),0)</f>
        <v>0</v>
      </c>
      <c r="BX192" s="19" t="n">
        <f aca="false">IF(AND('Bonding Program'!$S$51=1,'Bonding Program'!$H$51&gt;'Bonding Program'!$C$8,BX$3='Bonding Program'!$H$51),'Bonding Program'!$T$51-'Bonding Program'!$U$51-'Bonding Program'!$Z$51,0)-IF(AND('Bonding Program'!$S$51=1,'Bonding Program'!$H$51&lt;='Bonding Program'!$C$8,BX$3=IF('Bonding Program'!$P$51&lt;&gt;"",'Bonding Program'!$P$51,'Bonding Program'!$C$8)),'Bonding Program'!$Z$51,0)+IF(AND('Bonding Program'!$P$51&lt;&gt;"",BX$3='Bonding Program'!$P$51,BX$3&lt;='Bonding Program'!$C$8),N('Bonding Program'!$O$51),0)</f>
        <v>0</v>
      </c>
      <c r="BY192" s="19" t="n">
        <f aca="false">IF(AND('Bonding Program'!$S$51=1,'Bonding Program'!$H$51&gt;'Bonding Program'!$C$8,BY$3='Bonding Program'!$H$51),'Bonding Program'!$T$51-'Bonding Program'!$U$51-'Bonding Program'!$Z$51,0)-IF(AND('Bonding Program'!$S$51=1,'Bonding Program'!$H$51&lt;='Bonding Program'!$C$8,BY$3=IF('Bonding Program'!$P$51&lt;&gt;"",'Bonding Program'!$P$51,'Bonding Program'!$C$8)),'Bonding Program'!$Z$51,0)+IF(AND('Bonding Program'!$P$51&lt;&gt;"",BY$3='Bonding Program'!$P$51,BY$3&lt;='Bonding Program'!$C$8),N('Bonding Program'!$O$51),0)</f>
        <v>0</v>
      </c>
      <c r="BZ192" s="19" t="n">
        <f aca="false">IF(AND('Bonding Program'!$S$51=1,'Bonding Program'!$H$51&gt;'Bonding Program'!$C$8,BZ$3='Bonding Program'!$H$51),'Bonding Program'!$T$51-'Bonding Program'!$U$51-'Bonding Program'!$Z$51,0)-IF(AND('Bonding Program'!$S$51=1,'Bonding Program'!$H$51&lt;='Bonding Program'!$C$8,BZ$3=IF('Bonding Program'!$P$51&lt;&gt;"",'Bonding Program'!$P$51,'Bonding Program'!$C$8)),'Bonding Program'!$Z$51,0)+IF(AND('Bonding Program'!$P$51&lt;&gt;"",BZ$3='Bonding Program'!$P$51,BZ$3&lt;='Bonding Program'!$C$8),N('Bonding Program'!$O$51),0)</f>
        <v>0</v>
      </c>
      <c r="CA192" s="19" t="n">
        <f aca="false">IF(AND('Bonding Program'!$S$51=1,'Bonding Program'!$H$51&gt;'Bonding Program'!$C$8,CA$3='Bonding Program'!$H$51),'Bonding Program'!$T$51-'Bonding Program'!$U$51-'Bonding Program'!$Z$51,0)-IF(AND('Bonding Program'!$S$51=1,'Bonding Program'!$H$51&lt;='Bonding Program'!$C$8,CA$3=IF('Bonding Program'!$P$51&lt;&gt;"",'Bonding Program'!$P$51,'Bonding Program'!$C$8)),'Bonding Program'!$Z$51,0)+IF(AND('Bonding Program'!$P$51&lt;&gt;"",CA$3='Bonding Program'!$P$51,CA$3&lt;='Bonding Program'!$C$8),N('Bonding Program'!$O$51),0)</f>
        <v>0</v>
      </c>
      <c r="CB192" s="19" t="n">
        <f aca="false">IF(AND('Bonding Program'!$S$51=1,'Bonding Program'!$H$51&gt;'Bonding Program'!$C$8,CB$3='Bonding Program'!$H$51),'Bonding Program'!$T$51-'Bonding Program'!$U$51-'Bonding Program'!$Z$51,0)-IF(AND('Bonding Program'!$S$51=1,'Bonding Program'!$H$51&lt;='Bonding Program'!$C$8,CB$3=IF('Bonding Program'!$P$51&lt;&gt;"",'Bonding Program'!$P$51,'Bonding Program'!$C$8)),'Bonding Program'!$Z$51,0)+IF(AND('Bonding Program'!$P$51&lt;&gt;"",CB$3='Bonding Program'!$P$51,CB$3&lt;='Bonding Program'!$C$8),N('Bonding Program'!$O$51),0)</f>
        <v>0</v>
      </c>
      <c r="CC192" s="19" t="n">
        <f aca="false">IF(AND('Bonding Program'!$S$51=1,'Bonding Program'!$H$51&gt;'Bonding Program'!$C$8,CC$3='Bonding Program'!$H$51),'Bonding Program'!$T$51-'Bonding Program'!$U$51-'Bonding Program'!$Z$51,0)-IF(AND('Bonding Program'!$S$51=1,'Bonding Program'!$H$51&lt;='Bonding Program'!$C$8,CC$3=IF('Bonding Program'!$P$51&lt;&gt;"",'Bonding Program'!$P$51,'Bonding Program'!$C$8)),'Bonding Program'!$Z$51,0)+IF(AND('Bonding Program'!$P$51&lt;&gt;"",CC$3='Bonding Program'!$P$51,CC$3&lt;='Bonding Program'!$C$8),N('Bonding Program'!$O$51),0)</f>
        <v>0</v>
      </c>
      <c r="CD192" s="19" t="n">
        <f aca="false">IF(AND('Bonding Program'!$S$51=1,'Bonding Program'!$H$51&gt;'Bonding Program'!$C$8,CD$3='Bonding Program'!$H$51),'Bonding Program'!$T$51-'Bonding Program'!$U$51-'Bonding Program'!$Z$51,0)-IF(AND('Bonding Program'!$S$51=1,'Bonding Program'!$H$51&lt;='Bonding Program'!$C$8,CD$3=IF('Bonding Program'!$P$51&lt;&gt;"",'Bonding Program'!$P$51,'Bonding Program'!$C$8)),'Bonding Program'!$Z$51,0)+IF(AND('Bonding Program'!$P$51&lt;&gt;"",CD$3='Bonding Program'!$P$51,CD$3&lt;='Bonding Program'!$C$8),N('Bonding Program'!$O$51),0)</f>
        <v>0</v>
      </c>
      <c r="CE192" s="19" t="n">
        <f aca="false">IF(AND('Bonding Program'!$S$51=1,'Bonding Program'!$H$51&gt;'Bonding Program'!$C$8,CE$3='Bonding Program'!$H$51),'Bonding Program'!$T$51-'Bonding Program'!$U$51-'Bonding Program'!$Z$51,0)-IF(AND('Bonding Program'!$S$51=1,'Bonding Program'!$H$51&lt;='Bonding Program'!$C$8,CE$3=IF('Bonding Program'!$P$51&lt;&gt;"",'Bonding Program'!$P$51,'Bonding Program'!$C$8)),'Bonding Program'!$Z$51,0)+IF(AND('Bonding Program'!$P$51&lt;&gt;"",CE$3='Bonding Program'!$P$51,CE$3&lt;='Bonding Program'!$C$8),N('Bonding Program'!$O$51),0)</f>
        <v>0</v>
      </c>
      <c r="CF192" s="19" t="n">
        <f aca="false">IF(AND('Bonding Program'!$S$51=1,'Bonding Program'!$H$51&gt;'Bonding Program'!$C$8,CF$3='Bonding Program'!$H$51),'Bonding Program'!$T$51-'Bonding Program'!$U$51-'Bonding Program'!$Z$51,0)-IF(AND('Bonding Program'!$S$51=1,'Bonding Program'!$H$51&lt;='Bonding Program'!$C$8,CF$3=IF('Bonding Program'!$P$51&lt;&gt;"",'Bonding Program'!$P$51,'Bonding Program'!$C$8)),'Bonding Program'!$Z$51,0)+IF(AND('Bonding Program'!$P$51&lt;&gt;"",CF$3='Bonding Program'!$P$51,CF$3&lt;='Bonding Program'!$C$8),N('Bonding Program'!$O$51),0)</f>
        <v>0</v>
      </c>
      <c r="CG192" s="19" t="n">
        <f aca="false">IF(AND('Bonding Program'!$S$51=1,'Bonding Program'!$H$51&gt;'Bonding Program'!$C$8,CG$3='Bonding Program'!$H$51),'Bonding Program'!$T$51-'Bonding Program'!$U$51-'Bonding Program'!$Z$51,0)-IF(AND('Bonding Program'!$S$51=1,'Bonding Program'!$H$51&lt;='Bonding Program'!$C$8,CG$3=IF('Bonding Program'!$P$51&lt;&gt;"",'Bonding Program'!$P$51,'Bonding Program'!$C$8)),'Bonding Program'!$Z$51,0)+IF(AND('Bonding Program'!$P$51&lt;&gt;"",CG$3='Bonding Program'!$P$51,CG$3&lt;='Bonding Program'!$C$8),N('Bonding Program'!$O$51),0)</f>
        <v>0</v>
      </c>
      <c r="CH192" s="19" t="n">
        <f aca="false">IF(AND('Bonding Program'!$S$51=1,'Bonding Program'!$H$51&gt;'Bonding Program'!$C$8,CH$3='Bonding Program'!$H$51),'Bonding Program'!$T$51-'Bonding Program'!$U$51-'Bonding Program'!$Z$51,0)-IF(AND('Bonding Program'!$S$51=1,'Bonding Program'!$H$51&lt;='Bonding Program'!$C$8,CH$3=IF('Bonding Program'!$P$51&lt;&gt;"",'Bonding Program'!$P$51,'Bonding Program'!$C$8)),'Bonding Program'!$Z$51,0)+IF(AND('Bonding Program'!$P$51&lt;&gt;"",CH$3='Bonding Program'!$P$51,CH$3&lt;='Bonding Program'!$C$8),N('Bonding Program'!$O$51),0)</f>
        <v>0</v>
      </c>
      <c r="CI192" s="19" t="n">
        <f aca="false">IF(AND('Bonding Program'!$S$51=1,'Bonding Program'!$H$51&gt;'Bonding Program'!$C$8,CI$3='Bonding Program'!$H$51),'Bonding Program'!$T$51-'Bonding Program'!$U$51-'Bonding Program'!$Z$51,0)-IF(AND('Bonding Program'!$S$51=1,'Bonding Program'!$H$51&lt;='Bonding Program'!$C$8,CI$3=IF('Bonding Program'!$P$51&lt;&gt;"",'Bonding Program'!$P$51,'Bonding Program'!$C$8)),'Bonding Program'!$Z$51,0)+IF(AND('Bonding Program'!$P$51&lt;&gt;"",CI$3='Bonding Program'!$P$51,CI$3&lt;='Bonding Program'!$C$8),N('Bonding Program'!$O$51),0)</f>
        <v>0</v>
      </c>
      <c r="CJ192" s="19" t="n">
        <f aca="false">IF(AND('Bonding Program'!$S$51=1,'Bonding Program'!$H$51&gt;'Bonding Program'!$C$8,CJ$3='Bonding Program'!$H$51),'Bonding Program'!$T$51-'Bonding Program'!$U$51-'Bonding Program'!$Z$51,0)-IF(AND('Bonding Program'!$S$51=1,'Bonding Program'!$H$51&lt;='Bonding Program'!$C$8,CJ$3=IF('Bonding Program'!$P$51&lt;&gt;"",'Bonding Program'!$P$51,'Bonding Program'!$C$8)),'Bonding Program'!$Z$51,0)+IF(AND('Bonding Program'!$P$51&lt;&gt;"",CJ$3='Bonding Program'!$P$51,CJ$3&lt;='Bonding Program'!$C$8),N('Bonding Program'!$O$51),0)</f>
        <v>0</v>
      </c>
      <c r="CK192" s="19" t="n">
        <f aca="false">IF(AND('Bonding Program'!$S$51=1,'Bonding Program'!$H$51&gt;'Bonding Program'!$C$8,CK$3='Bonding Program'!$H$51),'Bonding Program'!$T$51-'Bonding Program'!$U$51-'Bonding Program'!$Z$51,0)-IF(AND('Bonding Program'!$S$51=1,'Bonding Program'!$H$51&lt;='Bonding Program'!$C$8,CK$3=IF('Bonding Program'!$P$51&lt;&gt;"",'Bonding Program'!$P$51,'Bonding Program'!$C$8)),'Bonding Program'!$Z$51,0)+IF(AND('Bonding Program'!$P$51&lt;&gt;"",CK$3='Bonding Program'!$P$51,CK$3&lt;='Bonding Program'!$C$8),N('Bonding Program'!$O$51),0)</f>
        <v>0</v>
      </c>
      <c r="CL192" s="19" t="n">
        <f aca="false">IF(AND('Bonding Program'!$S$51=1,'Bonding Program'!$H$51&gt;'Bonding Program'!$C$8,CL$3='Bonding Program'!$H$51),'Bonding Program'!$T$51-'Bonding Program'!$U$51-'Bonding Program'!$Z$51,0)-IF(AND('Bonding Program'!$S$51=1,'Bonding Program'!$H$51&lt;='Bonding Program'!$C$8,CL$3=IF('Bonding Program'!$P$51&lt;&gt;"",'Bonding Program'!$P$51,'Bonding Program'!$C$8)),'Bonding Program'!$Z$51,0)+IF(AND('Bonding Program'!$P$51&lt;&gt;"",CL$3='Bonding Program'!$P$51,CL$3&lt;='Bonding Program'!$C$8),N('Bonding Program'!$O$51),0)</f>
        <v>0</v>
      </c>
      <c r="CM192" s="19" t="n">
        <f aca="false">IF(AND('Bonding Program'!$S$51=1,'Bonding Program'!$H$51&gt;'Bonding Program'!$C$8,CM$3='Bonding Program'!$H$51),'Bonding Program'!$T$51-'Bonding Program'!$U$51-'Bonding Program'!$Z$51,0)-IF(AND('Bonding Program'!$S$51=1,'Bonding Program'!$H$51&lt;='Bonding Program'!$C$8,CM$3=IF('Bonding Program'!$P$51&lt;&gt;"",'Bonding Program'!$P$51,'Bonding Program'!$C$8)),'Bonding Program'!$Z$51,0)+IF(AND('Bonding Program'!$P$51&lt;&gt;"",CM$3='Bonding Program'!$P$51,CM$3&lt;='Bonding Program'!$C$8),N('Bonding Program'!$O$51),0)</f>
        <v>0</v>
      </c>
      <c r="CN192" s="19" t="n">
        <f aca="false">IF(AND('Bonding Program'!$S$51=1,'Bonding Program'!$H$51&gt;'Bonding Program'!$C$8,CN$3='Bonding Program'!$H$51),'Bonding Program'!$T$51-'Bonding Program'!$U$51-'Bonding Program'!$Z$51,0)-IF(AND('Bonding Program'!$S$51=1,'Bonding Program'!$H$51&lt;='Bonding Program'!$C$8,CN$3=IF('Bonding Program'!$P$51&lt;&gt;"",'Bonding Program'!$P$51,'Bonding Program'!$C$8)),'Bonding Program'!$Z$51,0)+IF(AND('Bonding Program'!$P$51&lt;&gt;"",CN$3='Bonding Program'!$P$51,CN$3&lt;='Bonding Program'!$C$8),N('Bonding Program'!$O$51),0)</f>
        <v>0</v>
      </c>
      <c r="CO192" s="19" t="n">
        <f aca="false">IF(AND('Bonding Program'!$S$51=1,'Bonding Program'!$H$51&gt;'Bonding Program'!$C$8,CO$3='Bonding Program'!$H$51),'Bonding Program'!$T$51-'Bonding Program'!$U$51-'Bonding Program'!$Z$51,0)-IF(AND('Bonding Program'!$S$51=1,'Bonding Program'!$H$51&lt;='Bonding Program'!$C$8,CO$3=IF('Bonding Program'!$P$51&lt;&gt;"",'Bonding Program'!$P$51,'Bonding Program'!$C$8)),'Bonding Program'!$Z$51,0)+IF(AND('Bonding Program'!$P$51&lt;&gt;"",CO$3='Bonding Program'!$P$51,CO$3&lt;='Bonding Program'!$C$8),N('Bonding Program'!$O$51),0)</f>
        <v>0</v>
      </c>
      <c r="CP192" s="19" t="n">
        <f aca="false">IF(AND('Bonding Program'!$S$51=1,'Bonding Program'!$H$51&gt;'Bonding Program'!$C$8,CP$3='Bonding Program'!$H$51),'Bonding Program'!$T$51-'Bonding Program'!$U$51-'Bonding Program'!$Z$51,0)-IF(AND('Bonding Program'!$S$51=1,'Bonding Program'!$H$51&lt;='Bonding Program'!$C$8,CP$3=IF('Bonding Program'!$P$51&lt;&gt;"",'Bonding Program'!$P$51,'Bonding Program'!$C$8)),'Bonding Program'!$Z$51,0)+IF(AND('Bonding Program'!$P$51&lt;&gt;"",CP$3='Bonding Program'!$P$51,CP$3&lt;='Bonding Program'!$C$8),N('Bonding Program'!$O$51),0)</f>
        <v>0</v>
      </c>
      <c r="CQ192" s="19" t="n">
        <f aca="false">IF(AND('Bonding Program'!$S$51=1,'Bonding Program'!$H$51&gt;'Bonding Program'!$C$8,CQ$3='Bonding Program'!$H$51),'Bonding Program'!$T$51-'Bonding Program'!$U$51-'Bonding Program'!$Z$51,0)-IF(AND('Bonding Program'!$S$51=1,'Bonding Program'!$H$51&lt;='Bonding Program'!$C$8,CQ$3=IF('Bonding Program'!$P$51&lt;&gt;"",'Bonding Program'!$P$51,'Bonding Program'!$C$8)),'Bonding Program'!$Z$51,0)+IF(AND('Bonding Program'!$P$51&lt;&gt;"",CQ$3='Bonding Program'!$P$51,CQ$3&lt;='Bonding Program'!$C$8),N('Bonding Program'!$O$51),0)</f>
        <v>0</v>
      </c>
      <c r="CR192" s="19" t="n">
        <f aca="false">IF(AND('Bonding Program'!$S$51=1,'Bonding Program'!$H$51&gt;'Bonding Program'!$C$8,CR$3='Bonding Program'!$H$51),'Bonding Program'!$T$51-'Bonding Program'!$U$51-'Bonding Program'!$Z$51,0)-IF(AND('Bonding Program'!$S$51=1,'Bonding Program'!$H$51&lt;='Bonding Program'!$C$8,CR$3=IF('Bonding Program'!$P$51&lt;&gt;"",'Bonding Program'!$P$51,'Bonding Program'!$C$8)),'Bonding Program'!$Z$51,0)+IF(AND('Bonding Program'!$P$51&lt;&gt;"",CR$3='Bonding Program'!$P$51,CR$3&lt;='Bonding Program'!$C$8),N('Bonding Program'!$O$51),0)</f>
        <v>0</v>
      </c>
      <c r="CS192" s="19" t="n">
        <f aca="false">IF(AND('Bonding Program'!$S$51=1,'Bonding Program'!$H$51&gt;'Bonding Program'!$C$8,CS$3='Bonding Program'!$H$51),'Bonding Program'!$T$51-'Bonding Program'!$U$51-'Bonding Program'!$Z$51,0)-IF(AND('Bonding Program'!$S$51=1,'Bonding Program'!$H$51&lt;='Bonding Program'!$C$8,CS$3=IF('Bonding Program'!$P$51&lt;&gt;"",'Bonding Program'!$P$51,'Bonding Program'!$C$8)),'Bonding Program'!$Z$51,0)+IF(AND('Bonding Program'!$P$51&lt;&gt;"",CS$3='Bonding Program'!$P$51,CS$3&lt;='Bonding Program'!$C$8),N('Bonding Program'!$O$51),0)</f>
        <v>0</v>
      </c>
      <c r="CT192" s="19" t="n">
        <f aca="false">IF(AND('Bonding Program'!$S$51=1,'Bonding Program'!$H$51&gt;'Bonding Program'!$C$8,CT$3='Bonding Program'!$H$51),'Bonding Program'!$T$51-'Bonding Program'!$U$51-'Bonding Program'!$Z$51,0)-IF(AND('Bonding Program'!$S$51=1,'Bonding Program'!$H$51&lt;='Bonding Program'!$C$8,CT$3=IF('Bonding Program'!$P$51&lt;&gt;"",'Bonding Program'!$P$51,'Bonding Program'!$C$8)),'Bonding Program'!$Z$51,0)+IF(AND('Bonding Program'!$P$51&lt;&gt;"",CT$3='Bonding Program'!$P$51,CT$3&lt;='Bonding Program'!$C$8),N('Bonding Program'!$O$51),0)</f>
        <v>0</v>
      </c>
      <c r="CU192" s="19" t="n">
        <f aca="false">IF(AND('Bonding Program'!$S$51=1,'Bonding Program'!$H$51&gt;'Bonding Program'!$C$8,CU$3='Bonding Program'!$H$51),'Bonding Program'!$T$51-'Bonding Program'!$U$51-'Bonding Program'!$Z$51,0)-IF(AND('Bonding Program'!$S$51=1,'Bonding Program'!$H$51&lt;='Bonding Program'!$C$8,CU$3=IF('Bonding Program'!$P$51&lt;&gt;"",'Bonding Program'!$P$51,'Bonding Program'!$C$8)),'Bonding Program'!$Z$51,0)+IF(AND('Bonding Program'!$P$51&lt;&gt;"",CU$3='Bonding Program'!$P$51,CU$3&lt;='Bonding Program'!$C$8),N('Bonding Program'!$O$51),0)</f>
        <v>0</v>
      </c>
      <c r="CV192" s="19" t="n">
        <f aca="false">IF(AND('Bonding Program'!$S$51=1,'Bonding Program'!$H$51&gt;'Bonding Program'!$C$8,CV$3='Bonding Program'!$H$51),'Bonding Program'!$T$51-'Bonding Program'!$U$51-'Bonding Program'!$Z$51,0)-IF(AND('Bonding Program'!$S$51=1,'Bonding Program'!$H$51&lt;='Bonding Program'!$C$8,CV$3=IF('Bonding Program'!$P$51&lt;&gt;"",'Bonding Program'!$P$51,'Bonding Program'!$C$8)),'Bonding Program'!$Z$51,0)+IF(AND('Bonding Program'!$P$51&lt;&gt;"",CV$3='Bonding Program'!$P$51,CV$3&lt;='Bonding Program'!$C$8),N('Bonding Program'!$O$51),0)</f>
        <v>0</v>
      </c>
      <c r="CW192" s="19" t="n">
        <f aca="false">IF(AND('Bonding Program'!$S$51=1,'Bonding Program'!$H$51&gt;'Bonding Program'!$C$8,CW$3='Bonding Program'!$H$51),'Bonding Program'!$T$51-'Bonding Program'!$U$51-'Bonding Program'!$Z$51,0)-IF(AND('Bonding Program'!$S$51=1,'Bonding Program'!$H$51&lt;='Bonding Program'!$C$8,CW$3=IF('Bonding Program'!$P$51&lt;&gt;"",'Bonding Program'!$P$51,'Bonding Program'!$C$8)),'Bonding Program'!$Z$51,0)+IF(AND('Bonding Program'!$P$51&lt;&gt;"",CW$3='Bonding Program'!$P$51,CW$3&lt;='Bonding Program'!$C$8),N('Bonding Program'!$O$51),0)</f>
        <v>0</v>
      </c>
      <c r="CX192" s="19" t="n">
        <f aca="false">IF(AND('Bonding Program'!$S$51=1,'Bonding Program'!$H$51&gt;'Bonding Program'!$C$8,CX$3='Bonding Program'!$H$51),'Bonding Program'!$T$51-'Bonding Program'!$U$51-'Bonding Program'!$Z$51,0)-IF(AND('Bonding Program'!$S$51=1,'Bonding Program'!$H$51&lt;='Bonding Program'!$C$8,CX$3=IF('Bonding Program'!$P$51&lt;&gt;"",'Bonding Program'!$P$51,'Bonding Program'!$C$8)),'Bonding Program'!$Z$51,0)+IF(AND('Bonding Program'!$P$51&lt;&gt;"",CX$3='Bonding Program'!$P$51,CX$3&lt;='Bonding Program'!$C$8),N('Bonding Program'!$O$51),0)</f>
        <v>0</v>
      </c>
      <c r="CY192" s="19" t="n">
        <f aca="false">IF(AND('Bonding Program'!$S$51=1,'Bonding Program'!$H$51&gt;'Bonding Program'!$C$8,CY$3='Bonding Program'!$H$51),'Bonding Program'!$T$51-'Bonding Program'!$U$51-'Bonding Program'!$Z$51,0)-IF(AND('Bonding Program'!$S$51=1,'Bonding Program'!$H$51&lt;='Bonding Program'!$C$8,CY$3=IF('Bonding Program'!$P$51&lt;&gt;"",'Bonding Program'!$P$51,'Bonding Program'!$C$8)),'Bonding Program'!$Z$51,0)+IF(AND('Bonding Program'!$P$51&lt;&gt;"",CY$3='Bonding Program'!$P$51,CY$3&lt;='Bonding Program'!$C$8),N('Bonding Program'!$O$51),0)</f>
        <v>0</v>
      </c>
      <c r="CZ192" s="19" t="n">
        <f aca="false">IF(AND('Bonding Program'!$S$51=1,'Bonding Program'!$H$51&gt;'Bonding Program'!$C$8,CZ$3='Bonding Program'!$H$51),'Bonding Program'!$T$51-'Bonding Program'!$U$51-'Bonding Program'!$Z$51,0)-IF(AND('Bonding Program'!$S$51=1,'Bonding Program'!$H$51&lt;='Bonding Program'!$C$8,CZ$3=IF('Bonding Program'!$P$51&lt;&gt;"",'Bonding Program'!$P$51,'Bonding Program'!$C$8)),'Bonding Program'!$Z$51,0)+IF(AND('Bonding Program'!$P$51&lt;&gt;"",CZ$3='Bonding Program'!$P$51,CZ$3&lt;='Bonding Program'!$C$8),N('Bonding Program'!$O$51),0)</f>
        <v>0</v>
      </c>
      <c r="DA192" s="19" t="n">
        <f aca="false">IF(AND('Bonding Program'!$S$51=1,'Bonding Program'!$H$51&gt;'Bonding Program'!$C$8,DA$3='Bonding Program'!$H$51),'Bonding Program'!$T$51-'Bonding Program'!$U$51-'Bonding Program'!$Z$51,0)-IF(AND('Bonding Program'!$S$51=1,'Bonding Program'!$H$51&lt;='Bonding Program'!$C$8,DA$3=IF('Bonding Program'!$P$51&lt;&gt;"",'Bonding Program'!$P$51,'Bonding Program'!$C$8)),'Bonding Program'!$Z$51,0)+IF(AND('Bonding Program'!$P$51&lt;&gt;"",DA$3='Bonding Program'!$P$51,DA$3&lt;='Bonding Program'!$C$8),N('Bonding Program'!$O$51),0)</f>
        <v>0</v>
      </c>
      <c r="DB192" s="19" t="n">
        <f aca="false">IF(AND('Bonding Program'!$S$51=1,'Bonding Program'!$H$51&gt;'Bonding Program'!$C$8,DB$3='Bonding Program'!$H$51),'Bonding Program'!$T$51-'Bonding Program'!$U$51-'Bonding Program'!$Z$51,0)-IF(AND('Bonding Program'!$S$51=1,'Bonding Program'!$H$51&lt;='Bonding Program'!$C$8,DB$3=IF('Bonding Program'!$P$51&lt;&gt;"",'Bonding Program'!$P$51,'Bonding Program'!$C$8)),'Bonding Program'!$Z$51,0)+IF(AND('Bonding Program'!$P$51&lt;&gt;"",DB$3='Bonding Program'!$P$51,DB$3&lt;='Bonding Program'!$C$8),N('Bonding Program'!$O$51),0)</f>
        <v>0</v>
      </c>
      <c r="DC192" s="19" t="n">
        <f aca="false">IF(AND('Bonding Program'!$S$51=1,'Bonding Program'!$H$51&gt;'Bonding Program'!$C$8,DC$3='Bonding Program'!$H$51),'Bonding Program'!$T$51-'Bonding Program'!$U$51-'Bonding Program'!$Z$51,0)-IF(AND('Bonding Program'!$S$51=1,'Bonding Program'!$H$51&lt;='Bonding Program'!$C$8,DC$3=IF('Bonding Program'!$P$51&lt;&gt;"",'Bonding Program'!$P$51,'Bonding Program'!$C$8)),'Bonding Program'!$Z$51,0)+IF(AND('Bonding Program'!$P$51&lt;&gt;"",DC$3='Bonding Program'!$P$51,DC$3&lt;='Bonding Program'!$C$8),N('Bonding Program'!$O$51),0)</f>
        <v>0</v>
      </c>
      <c r="DD192" s="19" t="n">
        <f aca="false">IF(AND('Bonding Program'!$S$51=1,'Bonding Program'!$H$51&gt;'Bonding Program'!$C$8,DD$3='Bonding Program'!$H$51),'Bonding Program'!$T$51-'Bonding Program'!$U$51-'Bonding Program'!$Z$51,0)-IF(AND('Bonding Program'!$S$51=1,'Bonding Program'!$H$51&lt;='Bonding Program'!$C$8,DD$3=IF('Bonding Program'!$P$51&lt;&gt;"",'Bonding Program'!$P$51,'Bonding Program'!$C$8)),'Bonding Program'!$Z$51,0)+IF(AND('Bonding Program'!$P$51&lt;&gt;"",DD$3='Bonding Program'!$P$51,DD$3&lt;='Bonding Program'!$C$8),N('Bonding Program'!$O$51),0)</f>
        <v>0</v>
      </c>
      <c r="DE192" s="19" t="n">
        <f aca="false">IF(AND('Bonding Program'!$S$51=1,'Bonding Program'!$H$51&gt;'Bonding Program'!$C$8,DE$3='Bonding Program'!$H$51),'Bonding Program'!$T$51-'Bonding Program'!$U$51-'Bonding Program'!$Z$51,0)-IF(AND('Bonding Program'!$S$51=1,'Bonding Program'!$H$51&lt;='Bonding Program'!$C$8,DE$3=IF('Bonding Program'!$P$51&lt;&gt;"",'Bonding Program'!$P$51,'Bonding Program'!$C$8)),'Bonding Program'!$Z$51,0)+IF(AND('Bonding Program'!$P$51&lt;&gt;"",DE$3='Bonding Program'!$P$51,DE$3&lt;='Bonding Program'!$C$8),N('Bonding Program'!$O$51),0)</f>
        <v>0</v>
      </c>
    </row>
    <row r="193" customFormat="false" ht="15" hidden="false" customHeight="true" outlineLevel="1" collapsed="false">
      <c r="A193" s="28" t="s">
        <v>48</v>
      </c>
      <c r="B193" s="19" t="n">
        <f aca="false">IF(AND('Bonding Program'!$S$52=1,'Bonding Program'!$H$52&gt;'Bonding Program'!$C$8,B$3='Bonding Program'!$H$52),'Bonding Program'!$T$52-'Bonding Program'!$U$52-'Bonding Program'!$Z$52,0)-IF(AND('Bonding Program'!$S$52=1,'Bonding Program'!$H$52&lt;='Bonding Program'!$C$8,B$3=IF('Bonding Program'!$P$52&lt;&gt;"",'Bonding Program'!$P$52,'Bonding Program'!$C$8)),'Bonding Program'!$Z$52,0)+IF(AND('Bonding Program'!$P$52&lt;&gt;"",B$3='Bonding Program'!$P$52,B$3&lt;='Bonding Program'!$C$8),N('Bonding Program'!$O$52),0)</f>
        <v>0</v>
      </c>
      <c r="C193" s="19" t="n">
        <f aca="false">IF(AND('Bonding Program'!$S$52=1,'Bonding Program'!$H$52&gt;'Bonding Program'!$C$8,C$3='Bonding Program'!$H$52),'Bonding Program'!$T$52-'Bonding Program'!$U$52-'Bonding Program'!$Z$52,0)-IF(AND('Bonding Program'!$S$52=1,'Bonding Program'!$H$52&lt;='Bonding Program'!$C$8,C$3=IF('Bonding Program'!$P$52&lt;&gt;"",'Bonding Program'!$P$52,'Bonding Program'!$C$8)),'Bonding Program'!$Z$52,0)+IF(AND('Bonding Program'!$P$52&lt;&gt;"",C$3='Bonding Program'!$P$52,C$3&lt;='Bonding Program'!$C$8),N('Bonding Program'!$O$52),0)</f>
        <v>0</v>
      </c>
      <c r="D193" s="19" t="n">
        <f aca="false">IF(AND('Bonding Program'!$S$52=1,'Bonding Program'!$H$52&gt;'Bonding Program'!$C$8,D$3='Bonding Program'!$H$52),'Bonding Program'!$T$52-'Bonding Program'!$U$52-'Bonding Program'!$Z$52,0)-IF(AND('Bonding Program'!$S$52=1,'Bonding Program'!$H$52&lt;='Bonding Program'!$C$8,D$3=IF('Bonding Program'!$P$52&lt;&gt;"",'Bonding Program'!$P$52,'Bonding Program'!$C$8)),'Bonding Program'!$Z$52,0)+IF(AND('Bonding Program'!$P$52&lt;&gt;"",D$3='Bonding Program'!$P$52,D$3&lt;='Bonding Program'!$C$8),N('Bonding Program'!$O$52),0)</f>
        <v>0</v>
      </c>
      <c r="E193" s="19" t="n">
        <f aca="false">IF(AND('Bonding Program'!$S$52=1,'Bonding Program'!$H$52&gt;'Bonding Program'!$C$8,E$3='Bonding Program'!$H$52),'Bonding Program'!$T$52-'Bonding Program'!$U$52-'Bonding Program'!$Z$52,0)-IF(AND('Bonding Program'!$S$52=1,'Bonding Program'!$H$52&lt;='Bonding Program'!$C$8,E$3=IF('Bonding Program'!$P$52&lt;&gt;"",'Bonding Program'!$P$52,'Bonding Program'!$C$8)),'Bonding Program'!$Z$52,0)+IF(AND('Bonding Program'!$P$52&lt;&gt;"",E$3='Bonding Program'!$P$52,E$3&lt;='Bonding Program'!$C$8),N('Bonding Program'!$O$52),0)</f>
        <v>0</v>
      </c>
      <c r="F193" s="19" t="n">
        <f aca="false">IF(AND('Bonding Program'!$S$52=1,'Bonding Program'!$H$52&gt;'Bonding Program'!$C$8,F$3='Bonding Program'!$H$52),'Bonding Program'!$T$52-'Bonding Program'!$U$52-'Bonding Program'!$Z$52,0)-IF(AND('Bonding Program'!$S$52=1,'Bonding Program'!$H$52&lt;='Bonding Program'!$C$8,F$3=IF('Bonding Program'!$P$52&lt;&gt;"",'Bonding Program'!$P$52,'Bonding Program'!$C$8)),'Bonding Program'!$Z$52,0)+IF(AND('Bonding Program'!$P$52&lt;&gt;"",F$3='Bonding Program'!$P$52,F$3&lt;='Bonding Program'!$C$8),N('Bonding Program'!$O$52),0)</f>
        <v>0</v>
      </c>
      <c r="G193" s="19" t="n">
        <f aca="false">IF(AND('Bonding Program'!$S$52=1,'Bonding Program'!$H$52&gt;'Bonding Program'!$C$8,G$3='Bonding Program'!$H$52),'Bonding Program'!$T$52-'Bonding Program'!$U$52-'Bonding Program'!$Z$52,0)-IF(AND('Bonding Program'!$S$52=1,'Bonding Program'!$H$52&lt;='Bonding Program'!$C$8,G$3=IF('Bonding Program'!$P$52&lt;&gt;"",'Bonding Program'!$P$52,'Bonding Program'!$C$8)),'Bonding Program'!$Z$52,0)+IF(AND('Bonding Program'!$P$52&lt;&gt;"",G$3='Bonding Program'!$P$52,G$3&lt;='Bonding Program'!$C$8),N('Bonding Program'!$O$52),0)</f>
        <v>0</v>
      </c>
      <c r="H193" s="19" t="n">
        <f aca="false">IF(AND('Bonding Program'!$S$52=1,'Bonding Program'!$H$52&gt;'Bonding Program'!$C$8,H$3='Bonding Program'!$H$52),'Bonding Program'!$T$52-'Bonding Program'!$U$52-'Bonding Program'!$Z$52,0)-IF(AND('Bonding Program'!$S$52=1,'Bonding Program'!$H$52&lt;='Bonding Program'!$C$8,H$3=IF('Bonding Program'!$P$52&lt;&gt;"",'Bonding Program'!$P$52,'Bonding Program'!$C$8)),'Bonding Program'!$Z$52,0)+IF(AND('Bonding Program'!$P$52&lt;&gt;"",H$3='Bonding Program'!$P$52,H$3&lt;='Bonding Program'!$C$8),N('Bonding Program'!$O$52),0)</f>
        <v>0</v>
      </c>
      <c r="I193" s="19" t="n">
        <f aca="false">IF(AND('Bonding Program'!$S$52=1,'Bonding Program'!$H$52&gt;'Bonding Program'!$C$8,I$3='Bonding Program'!$H$52),'Bonding Program'!$T$52-'Bonding Program'!$U$52-'Bonding Program'!$Z$52,0)-IF(AND('Bonding Program'!$S$52=1,'Bonding Program'!$H$52&lt;='Bonding Program'!$C$8,I$3=IF('Bonding Program'!$P$52&lt;&gt;"",'Bonding Program'!$P$52,'Bonding Program'!$C$8)),'Bonding Program'!$Z$52,0)+IF(AND('Bonding Program'!$P$52&lt;&gt;"",I$3='Bonding Program'!$P$52,I$3&lt;='Bonding Program'!$C$8),N('Bonding Program'!$O$52),0)</f>
        <v>0</v>
      </c>
      <c r="J193" s="19" t="n">
        <f aca="false">IF(AND('Bonding Program'!$S$52=1,'Bonding Program'!$H$52&gt;'Bonding Program'!$C$8,J$3='Bonding Program'!$H$52),'Bonding Program'!$T$52-'Bonding Program'!$U$52-'Bonding Program'!$Z$52,0)-IF(AND('Bonding Program'!$S$52=1,'Bonding Program'!$H$52&lt;='Bonding Program'!$C$8,J$3=IF('Bonding Program'!$P$52&lt;&gt;"",'Bonding Program'!$P$52,'Bonding Program'!$C$8)),'Bonding Program'!$Z$52,0)+IF(AND('Bonding Program'!$P$52&lt;&gt;"",J$3='Bonding Program'!$P$52,J$3&lt;='Bonding Program'!$C$8),N('Bonding Program'!$O$52),0)</f>
        <v>0</v>
      </c>
      <c r="K193" s="19" t="n">
        <f aca="false">IF(AND('Bonding Program'!$S$52=1,'Bonding Program'!$H$52&gt;'Bonding Program'!$C$8,K$3='Bonding Program'!$H$52),'Bonding Program'!$T$52-'Bonding Program'!$U$52-'Bonding Program'!$Z$52,0)-IF(AND('Bonding Program'!$S$52=1,'Bonding Program'!$H$52&lt;='Bonding Program'!$C$8,K$3=IF('Bonding Program'!$P$52&lt;&gt;"",'Bonding Program'!$P$52,'Bonding Program'!$C$8)),'Bonding Program'!$Z$52,0)+IF(AND('Bonding Program'!$P$52&lt;&gt;"",K$3='Bonding Program'!$P$52,K$3&lt;='Bonding Program'!$C$8),N('Bonding Program'!$O$52),0)</f>
        <v>0</v>
      </c>
      <c r="L193" s="19" t="n">
        <f aca="false">IF(AND('Bonding Program'!$S$52=1,'Bonding Program'!$H$52&gt;'Bonding Program'!$C$8,L$3='Bonding Program'!$H$52),'Bonding Program'!$T$52-'Bonding Program'!$U$52-'Bonding Program'!$Z$52,0)-IF(AND('Bonding Program'!$S$52=1,'Bonding Program'!$H$52&lt;='Bonding Program'!$C$8,L$3=IF('Bonding Program'!$P$52&lt;&gt;"",'Bonding Program'!$P$52,'Bonding Program'!$C$8)),'Bonding Program'!$Z$52,0)+IF(AND('Bonding Program'!$P$52&lt;&gt;"",L$3='Bonding Program'!$P$52,L$3&lt;='Bonding Program'!$C$8),N('Bonding Program'!$O$52),0)</f>
        <v>0</v>
      </c>
      <c r="M193" s="19" t="n">
        <f aca="false">IF(AND('Bonding Program'!$S$52=1,'Bonding Program'!$H$52&gt;'Bonding Program'!$C$8,M$3='Bonding Program'!$H$52),'Bonding Program'!$T$52-'Bonding Program'!$U$52-'Bonding Program'!$Z$52,0)-IF(AND('Bonding Program'!$S$52=1,'Bonding Program'!$H$52&lt;='Bonding Program'!$C$8,M$3=IF('Bonding Program'!$P$52&lt;&gt;"",'Bonding Program'!$P$52,'Bonding Program'!$C$8)),'Bonding Program'!$Z$52,0)+IF(AND('Bonding Program'!$P$52&lt;&gt;"",M$3='Bonding Program'!$P$52,M$3&lt;='Bonding Program'!$C$8),N('Bonding Program'!$O$52),0)</f>
        <v>0</v>
      </c>
      <c r="N193" s="19" t="n">
        <f aca="false">IF(AND('Bonding Program'!$S$52=1,'Bonding Program'!$H$52&gt;'Bonding Program'!$C$8,N$3='Bonding Program'!$H$52),'Bonding Program'!$T$52-'Bonding Program'!$U$52-'Bonding Program'!$Z$52,0)-IF(AND('Bonding Program'!$S$52=1,'Bonding Program'!$H$52&lt;='Bonding Program'!$C$8,N$3=IF('Bonding Program'!$P$52&lt;&gt;"",'Bonding Program'!$P$52,'Bonding Program'!$C$8)),'Bonding Program'!$Z$52,0)+IF(AND('Bonding Program'!$P$52&lt;&gt;"",N$3='Bonding Program'!$P$52,N$3&lt;='Bonding Program'!$C$8),N('Bonding Program'!$O$52),0)</f>
        <v>0</v>
      </c>
      <c r="O193" s="19" t="n">
        <f aca="false">IF(AND('Bonding Program'!$S$52=1,'Bonding Program'!$H$52&gt;'Bonding Program'!$C$8,O$3='Bonding Program'!$H$52),'Bonding Program'!$T$52-'Bonding Program'!$U$52-'Bonding Program'!$Z$52,0)-IF(AND('Bonding Program'!$S$52=1,'Bonding Program'!$H$52&lt;='Bonding Program'!$C$8,O$3=IF('Bonding Program'!$P$52&lt;&gt;"",'Bonding Program'!$P$52,'Bonding Program'!$C$8)),'Bonding Program'!$Z$52,0)+IF(AND('Bonding Program'!$P$52&lt;&gt;"",O$3='Bonding Program'!$P$52,O$3&lt;='Bonding Program'!$C$8),N('Bonding Program'!$O$52),0)</f>
        <v>0</v>
      </c>
      <c r="P193" s="19" t="n">
        <f aca="false">IF(AND('Bonding Program'!$S$52=1,'Bonding Program'!$H$52&gt;'Bonding Program'!$C$8,P$3='Bonding Program'!$H$52),'Bonding Program'!$T$52-'Bonding Program'!$U$52-'Bonding Program'!$Z$52,0)-IF(AND('Bonding Program'!$S$52=1,'Bonding Program'!$H$52&lt;='Bonding Program'!$C$8,P$3=IF('Bonding Program'!$P$52&lt;&gt;"",'Bonding Program'!$P$52,'Bonding Program'!$C$8)),'Bonding Program'!$Z$52,0)+IF(AND('Bonding Program'!$P$52&lt;&gt;"",P$3='Bonding Program'!$P$52,P$3&lt;='Bonding Program'!$C$8),N('Bonding Program'!$O$52),0)</f>
        <v>0</v>
      </c>
      <c r="Q193" s="19" t="n">
        <f aca="false">IF(AND('Bonding Program'!$S$52=1,'Bonding Program'!$H$52&gt;'Bonding Program'!$C$8,Q$3='Bonding Program'!$H$52),'Bonding Program'!$T$52-'Bonding Program'!$U$52-'Bonding Program'!$Z$52,0)-IF(AND('Bonding Program'!$S$52=1,'Bonding Program'!$H$52&lt;='Bonding Program'!$C$8,Q$3=IF('Bonding Program'!$P$52&lt;&gt;"",'Bonding Program'!$P$52,'Bonding Program'!$C$8)),'Bonding Program'!$Z$52,0)+IF(AND('Bonding Program'!$P$52&lt;&gt;"",Q$3='Bonding Program'!$P$52,Q$3&lt;='Bonding Program'!$C$8),N('Bonding Program'!$O$52),0)</f>
        <v>0</v>
      </c>
      <c r="R193" s="19" t="n">
        <f aca="false">IF(AND('Bonding Program'!$S$52=1,'Bonding Program'!$H$52&gt;'Bonding Program'!$C$8,R$3='Bonding Program'!$H$52),'Bonding Program'!$T$52-'Bonding Program'!$U$52-'Bonding Program'!$Z$52,0)-IF(AND('Bonding Program'!$S$52=1,'Bonding Program'!$H$52&lt;='Bonding Program'!$C$8,R$3=IF('Bonding Program'!$P$52&lt;&gt;"",'Bonding Program'!$P$52,'Bonding Program'!$C$8)),'Bonding Program'!$Z$52,0)+IF(AND('Bonding Program'!$P$52&lt;&gt;"",R$3='Bonding Program'!$P$52,R$3&lt;='Bonding Program'!$C$8),N('Bonding Program'!$O$52),0)</f>
        <v>0</v>
      </c>
      <c r="S193" s="19" t="n">
        <f aca="false">IF(AND('Bonding Program'!$S$52=1,'Bonding Program'!$H$52&gt;'Bonding Program'!$C$8,S$3='Bonding Program'!$H$52),'Bonding Program'!$T$52-'Bonding Program'!$U$52-'Bonding Program'!$Z$52,0)-IF(AND('Bonding Program'!$S$52=1,'Bonding Program'!$H$52&lt;='Bonding Program'!$C$8,S$3=IF('Bonding Program'!$P$52&lt;&gt;"",'Bonding Program'!$P$52,'Bonding Program'!$C$8)),'Bonding Program'!$Z$52,0)+IF(AND('Bonding Program'!$P$52&lt;&gt;"",S$3='Bonding Program'!$P$52,S$3&lt;='Bonding Program'!$C$8),N('Bonding Program'!$O$52),0)</f>
        <v>0</v>
      </c>
      <c r="T193" s="19" t="n">
        <f aca="false">IF(AND('Bonding Program'!$S$52=1,'Bonding Program'!$H$52&gt;'Bonding Program'!$C$8,T$3='Bonding Program'!$H$52),'Bonding Program'!$T$52-'Bonding Program'!$U$52-'Bonding Program'!$Z$52,0)-IF(AND('Bonding Program'!$S$52=1,'Bonding Program'!$H$52&lt;='Bonding Program'!$C$8,T$3=IF('Bonding Program'!$P$52&lt;&gt;"",'Bonding Program'!$P$52,'Bonding Program'!$C$8)),'Bonding Program'!$Z$52,0)+IF(AND('Bonding Program'!$P$52&lt;&gt;"",T$3='Bonding Program'!$P$52,T$3&lt;='Bonding Program'!$C$8),N('Bonding Program'!$O$52),0)</f>
        <v>0</v>
      </c>
      <c r="U193" s="19" t="n">
        <f aca="false">IF(AND('Bonding Program'!$S$52=1,'Bonding Program'!$H$52&gt;'Bonding Program'!$C$8,U$3='Bonding Program'!$H$52),'Bonding Program'!$T$52-'Bonding Program'!$U$52-'Bonding Program'!$Z$52,0)-IF(AND('Bonding Program'!$S$52=1,'Bonding Program'!$H$52&lt;='Bonding Program'!$C$8,U$3=IF('Bonding Program'!$P$52&lt;&gt;"",'Bonding Program'!$P$52,'Bonding Program'!$C$8)),'Bonding Program'!$Z$52,0)+IF(AND('Bonding Program'!$P$52&lt;&gt;"",U$3='Bonding Program'!$P$52,U$3&lt;='Bonding Program'!$C$8),N('Bonding Program'!$O$52),0)</f>
        <v>0</v>
      </c>
      <c r="V193" s="19" t="n">
        <f aca="false">IF(AND('Bonding Program'!$S$52=1,'Bonding Program'!$H$52&gt;'Bonding Program'!$C$8,V$3='Bonding Program'!$H$52),'Bonding Program'!$T$52-'Bonding Program'!$U$52-'Bonding Program'!$Z$52,0)-IF(AND('Bonding Program'!$S$52=1,'Bonding Program'!$H$52&lt;='Bonding Program'!$C$8,V$3=IF('Bonding Program'!$P$52&lt;&gt;"",'Bonding Program'!$P$52,'Bonding Program'!$C$8)),'Bonding Program'!$Z$52,0)+IF(AND('Bonding Program'!$P$52&lt;&gt;"",V$3='Bonding Program'!$P$52,V$3&lt;='Bonding Program'!$C$8),N('Bonding Program'!$O$52),0)</f>
        <v>0</v>
      </c>
      <c r="W193" s="19" t="n">
        <f aca="false">IF(AND('Bonding Program'!$S$52=1,'Bonding Program'!$H$52&gt;'Bonding Program'!$C$8,W$3='Bonding Program'!$H$52),'Bonding Program'!$T$52-'Bonding Program'!$U$52-'Bonding Program'!$Z$52,0)-IF(AND('Bonding Program'!$S$52=1,'Bonding Program'!$H$52&lt;='Bonding Program'!$C$8,W$3=IF('Bonding Program'!$P$52&lt;&gt;"",'Bonding Program'!$P$52,'Bonding Program'!$C$8)),'Bonding Program'!$Z$52,0)+IF(AND('Bonding Program'!$P$52&lt;&gt;"",W$3='Bonding Program'!$P$52,W$3&lt;='Bonding Program'!$C$8),N('Bonding Program'!$O$52),0)</f>
        <v>0</v>
      </c>
      <c r="X193" s="19" t="n">
        <f aca="false">IF(AND('Bonding Program'!$S$52=1,'Bonding Program'!$H$52&gt;'Bonding Program'!$C$8,X$3='Bonding Program'!$H$52),'Bonding Program'!$T$52-'Bonding Program'!$U$52-'Bonding Program'!$Z$52,0)-IF(AND('Bonding Program'!$S$52=1,'Bonding Program'!$H$52&lt;='Bonding Program'!$C$8,X$3=IF('Bonding Program'!$P$52&lt;&gt;"",'Bonding Program'!$P$52,'Bonding Program'!$C$8)),'Bonding Program'!$Z$52,0)+IF(AND('Bonding Program'!$P$52&lt;&gt;"",X$3='Bonding Program'!$P$52,X$3&lt;='Bonding Program'!$C$8),N('Bonding Program'!$O$52),0)</f>
        <v>0</v>
      </c>
      <c r="Y193" s="19" t="n">
        <f aca="false">IF(AND('Bonding Program'!$S$52=1,'Bonding Program'!$H$52&gt;'Bonding Program'!$C$8,Y$3='Bonding Program'!$H$52),'Bonding Program'!$T$52-'Bonding Program'!$U$52-'Bonding Program'!$Z$52,0)-IF(AND('Bonding Program'!$S$52=1,'Bonding Program'!$H$52&lt;='Bonding Program'!$C$8,Y$3=IF('Bonding Program'!$P$52&lt;&gt;"",'Bonding Program'!$P$52,'Bonding Program'!$C$8)),'Bonding Program'!$Z$52,0)+IF(AND('Bonding Program'!$P$52&lt;&gt;"",Y$3='Bonding Program'!$P$52,Y$3&lt;='Bonding Program'!$C$8),N('Bonding Program'!$O$52),0)</f>
        <v>0</v>
      </c>
      <c r="Z193" s="19" t="n">
        <f aca="false">IF(AND('Bonding Program'!$S$52=1,'Bonding Program'!$H$52&gt;'Bonding Program'!$C$8,Z$3='Bonding Program'!$H$52),'Bonding Program'!$T$52-'Bonding Program'!$U$52-'Bonding Program'!$Z$52,0)-IF(AND('Bonding Program'!$S$52=1,'Bonding Program'!$H$52&lt;='Bonding Program'!$C$8,Z$3=IF('Bonding Program'!$P$52&lt;&gt;"",'Bonding Program'!$P$52,'Bonding Program'!$C$8)),'Bonding Program'!$Z$52,0)+IF(AND('Bonding Program'!$P$52&lt;&gt;"",Z$3='Bonding Program'!$P$52,Z$3&lt;='Bonding Program'!$C$8),N('Bonding Program'!$O$52),0)</f>
        <v>0</v>
      </c>
      <c r="AA193" s="19" t="n">
        <f aca="false">IF(AND('Bonding Program'!$S$52=1,'Bonding Program'!$H$52&gt;'Bonding Program'!$C$8,AA$3='Bonding Program'!$H$52),'Bonding Program'!$T$52-'Bonding Program'!$U$52-'Bonding Program'!$Z$52,0)-IF(AND('Bonding Program'!$S$52=1,'Bonding Program'!$H$52&lt;='Bonding Program'!$C$8,AA$3=IF('Bonding Program'!$P$52&lt;&gt;"",'Bonding Program'!$P$52,'Bonding Program'!$C$8)),'Bonding Program'!$Z$52,0)+IF(AND('Bonding Program'!$P$52&lt;&gt;"",AA$3='Bonding Program'!$P$52,AA$3&lt;='Bonding Program'!$C$8),N('Bonding Program'!$O$52),0)</f>
        <v>0</v>
      </c>
      <c r="AB193" s="19" t="n">
        <f aca="false">IF(AND('Bonding Program'!$S$52=1,'Bonding Program'!$H$52&gt;'Bonding Program'!$C$8,AB$3='Bonding Program'!$H$52),'Bonding Program'!$T$52-'Bonding Program'!$U$52-'Bonding Program'!$Z$52,0)-IF(AND('Bonding Program'!$S$52=1,'Bonding Program'!$H$52&lt;='Bonding Program'!$C$8,AB$3=IF('Bonding Program'!$P$52&lt;&gt;"",'Bonding Program'!$P$52,'Bonding Program'!$C$8)),'Bonding Program'!$Z$52,0)+IF(AND('Bonding Program'!$P$52&lt;&gt;"",AB$3='Bonding Program'!$P$52,AB$3&lt;='Bonding Program'!$C$8),N('Bonding Program'!$O$52),0)</f>
        <v>0</v>
      </c>
      <c r="AC193" s="19" t="n">
        <f aca="false">IF(AND('Bonding Program'!$S$52=1,'Bonding Program'!$H$52&gt;'Bonding Program'!$C$8,AC$3='Bonding Program'!$H$52),'Bonding Program'!$T$52-'Bonding Program'!$U$52-'Bonding Program'!$Z$52,0)-IF(AND('Bonding Program'!$S$52=1,'Bonding Program'!$H$52&lt;='Bonding Program'!$C$8,AC$3=IF('Bonding Program'!$P$52&lt;&gt;"",'Bonding Program'!$P$52,'Bonding Program'!$C$8)),'Bonding Program'!$Z$52,0)+IF(AND('Bonding Program'!$P$52&lt;&gt;"",AC$3='Bonding Program'!$P$52,AC$3&lt;='Bonding Program'!$C$8),N('Bonding Program'!$O$52),0)</f>
        <v>0</v>
      </c>
      <c r="AD193" s="19" t="n">
        <f aca="false">IF(AND('Bonding Program'!$S$52=1,'Bonding Program'!$H$52&gt;'Bonding Program'!$C$8,AD$3='Bonding Program'!$H$52),'Bonding Program'!$T$52-'Bonding Program'!$U$52-'Bonding Program'!$Z$52,0)-IF(AND('Bonding Program'!$S$52=1,'Bonding Program'!$H$52&lt;='Bonding Program'!$C$8,AD$3=IF('Bonding Program'!$P$52&lt;&gt;"",'Bonding Program'!$P$52,'Bonding Program'!$C$8)),'Bonding Program'!$Z$52,0)+IF(AND('Bonding Program'!$P$52&lt;&gt;"",AD$3='Bonding Program'!$P$52,AD$3&lt;='Bonding Program'!$C$8),N('Bonding Program'!$O$52),0)</f>
        <v>0</v>
      </c>
      <c r="AE193" s="19" t="n">
        <f aca="false">IF(AND('Bonding Program'!$S$52=1,'Bonding Program'!$H$52&gt;'Bonding Program'!$C$8,AE$3='Bonding Program'!$H$52),'Bonding Program'!$T$52-'Bonding Program'!$U$52-'Bonding Program'!$Z$52,0)-IF(AND('Bonding Program'!$S$52=1,'Bonding Program'!$H$52&lt;='Bonding Program'!$C$8,AE$3=IF('Bonding Program'!$P$52&lt;&gt;"",'Bonding Program'!$P$52,'Bonding Program'!$C$8)),'Bonding Program'!$Z$52,0)+IF(AND('Bonding Program'!$P$52&lt;&gt;"",AE$3='Bonding Program'!$P$52,AE$3&lt;='Bonding Program'!$C$8),N('Bonding Program'!$O$52),0)</f>
        <v>0</v>
      </c>
      <c r="AF193" s="19" t="n">
        <f aca="false">IF(AND('Bonding Program'!$S$52=1,'Bonding Program'!$H$52&gt;'Bonding Program'!$C$8,AF$3='Bonding Program'!$H$52),'Bonding Program'!$T$52-'Bonding Program'!$U$52-'Bonding Program'!$Z$52,0)-IF(AND('Bonding Program'!$S$52=1,'Bonding Program'!$H$52&lt;='Bonding Program'!$C$8,AF$3=IF('Bonding Program'!$P$52&lt;&gt;"",'Bonding Program'!$P$52,'Bonding Program'!$C$8)),'Bonding Program'!$Z$52,0)+IF(AND('Bonding Program'!$P$52&lt;&gt;"",AF$3='Bonding Program'!$P$52,AF$3&lt;='Bonding Program'!$C$8),N('Bonding Program'!$O$52),0)</f>
        <v>0</v>
      </c>
      <c r="AG193" s="19" t="n">
        <f aca="false">IF(AND('Bonding Program'!$S$52=1,'Bonding Program'!$H$52&gt;'Bonding Program'!$C$8,AG$3='Bonding Program'!$H$52),'Bonding Program'!$T$52-'Bonding Program'!$U$52-'Bonding Program'!$Z$52,0)-IF(AND('Bonding Program'!$S$52=1,'Bonding Program'!$H$52&lt;='Bonding Program'!$C$8,AG$3=IF('Bonding Program'!$P$52&lt;&gt;"",'Bonding Program'!$P$52,'Bonding Program'!$C$8)),'Bonding Program'!$Z$52,0)+IF(AND('Bonding Program'!$P$52&lt;&gt;"",AG$3='Bonding Program'!$P$52,AG$3&lt;='Bonding Program'!$C$8),N('Bonding Program'!$O$52),0)</f>
        <v>0</v>
      </c>
      <c r="AH193" s="19" t="n">
        <f aca="false">IF(AND('Bonding Program'!$S$52=1,'Bonding Program'!$H$52&gt;'Bonding Program'!$C$8,AH$3='Bonding Program'!$H$52),'Bonding Program'!$T$52-'Bonding Program'!$U$52-'Bonding Program'!$Z$52,0)-IF(AND('Bonding Program'!$S$52=1,'Bonding Program'!$H$52&lt;='Bonding Program'!$C$8,AH$3=IF('Bonding Program'!$P$52&lt;&gt;"",'Bonding Program'!$P$52,'Bonding Program'!$C$8)),'Bonding Program'!$Z$52,0)+IF(AND('Bonding Program'!$P$52&lt;&gt;"",AH$3='Bonding Program'!$P$52,AH$3&lt;='Bonding Program'!$C$8),N('Bonding Program'!$O$52),0)</f>
        <v>0</v>
      </c>
      <c r="AI193" s="19" t="n">
        <f aca="false">IF(AND('Bonding Program'!$S$52=1,'Bonding Program'!$H$52&gt;'Bonding Program'!$C$8,AI$3='Bonding Program'!$H$52),'Bonding Program'!$T$52-'Bonding Program'!$U$52-'Bonding Program'!$Z$52,0)-IF(AND('Bonding Program'!$S$52=1,'Bonding Program'!$H$52&lt;='Bonding Program'!$C$8,AI$3=IF('Bonding Program'!$P$52&lt;&gt;"",'Bonding Program'!$P$52,'Bonding Program'!$C$8)),'Bonding Program'!$Z$52,0)+IF(AND('Bonding Program'!$P$52&lt;&gt;"",AI$3='Bonding Program'!$P$52,AI$3&lt;='Bonding Program'!$C$8),N('Bonding Program'!$O$52),0)</f>
        <v>0</v>
      </c>
      <c r="AJ193" s="19" t="n">
        <f aca="false">IF(AND('Bonding Program'!$S$52=1,'Bonding Program'!$H$52&gt;'Bonding Program'!$C$8,AJ$3='Bonding Program'!$H$52),'Bonding Program'!$T$52-'Bonding Program'!$U$52-'Bonding Program'!$Z$52,0)-IF(AND('Bonding Program'!$S$52=1,'Bonding Program'!$H$52&lt;='Bonding Program'!$C$8,AJ$3=IF('Bonding Program'!$P$52&lt;&gt;"",'Bonding Program'!$P$52,'Bonding Program'!$C$8)),'Bonding Program'!$Z$52,0)+IF(AND('Bonding Program'!$P$52&lt;&gt;"",AJ$3='Bonding Program'!$P$52,AJ$3&lt;='Bonding Program'!$C$8),N('Bonding Program'!$O$52),0)</f>
        <v>0</v>
      </c>
      <c r="AK193" s="19" t="n">
        <f aca="false">IF(AND('Bonding Program'!$S$52=1,'Bonding Program'!$H$52&gt;'Bonding Program'!$C$8,AK$3='Bonding Program'!$H$52),'Bonding Program'!$T$52-'Bonding Program'!$U$52-'Bonding Program'!$Z$52,0)-IF(AND('Bonding Program'!$S$52=1,'Bonding Program'!$H$52&lt;='Bonding Program'!$C$8,AK$3=IF('Bonding Program'!$P$52&lt;&gt;"",'Bonding Program'!$P$52,'Bonding Program'!$C$8)),'Bonding Program'!$Z$52,0)+IF(AND('Bonding Program'!$P$52&lt;&gt;"",AK$3='Bonding Program'!$P$52,AK$3&lt;='Bonding Program'!$C$8),N('Bonding Program'!$O$52),0)</f>
        <v>0</v>
      </c>
      <c r="AL193" s="19" t="n">
        <f aca="false">IF(AND('Bonding Program'!$S$52=1,'Bonding Program'!$H$52&gt;'Bonding Program'!$C$8,AL$3='Bonding Program'!$H$52),'Bonding Program'!$T$52-'Bonding Program'!$U$52-'Bonding Program'!$Z$52,0)-IF(AND('Bonding Program'!$S$52=1,'Bonding Program'!$H$52&lt;='Bonding Program'!$C$8,AL$3=IF('Bonding Program'!$P$52&lt;&gt;"",'Bonding Program'!$P$52,'Bonding Program'!$C$8)),'Bonding Program'!$Z$52,0)+IF(AND('Bonding Program'!$P$52&lt;&gt;"",AL$3='Bonding Program'!$P$52,AL$3&lt;='Bonding Program'!$C$8),N('Bonding Program'!$O$52),0)</f>
        <v>0</v>
      </c>
      <c r="AM193" s="19" t="n">
        <f aca="false">IF(AND('Bonding Program'!$S$52=1,'Bonding Program'!$H$52&gt;'Bonding Program'!$C$8,AM$3='Bonding Program'!$H$52),'Bonding Program'!$T$52-'Bonding Program'!$U$52-'Bonding Program'!$Z$52,0)-IF(AND('Bonding Program'!$S$52=1,'Bonding Program'!$H$52&lt;='Bonding Program'!$C$8,AM$3=IF('Bonding Program'!$P$52&lt;&gt;"",'Bonding Program'!$P$52,'Bonding Program'!$C$8)),'Bonding Program'!$Z$52,0)+IF(AND('Bonding Program'!$P$52&lt;&gt;"",AM$3='Bonding Program'!$P$52,AM$3&lt;='Bonding Program'!$C$8),N('Bonding Program'!$O$52),0)</f>
        <v>0</v>
      </c>
      <c r="AN193" s="19" t="n">
        <f aca="false">IF(AND('Bonding Program'!$S$52=1,'Bonding Program'!$H$52&gt;'Bonding Program'!$C$8,AN$3='Bonding Program'!$H$52),'Bonding Program'!$T$52-'Bonding Program'!$U$52-'Bonding Program'!$Z$52,0)-IF(AND('Bonding Program'!$S$52=1,'Bonding Program'!$H$52&lt;='Bonding Program'!$C$8,AN$3=IF('Bonding Program'!$P$52&lt;&gt;"",'Bonding Program'!$P$52,'Bonding Program'!$C$8)),'Bonding Program'!$Z$52,0)+IF(AND('Bonding Program'!$P$52&lt;&gt;"",AN$3='Bonding Program'!$P$52,AN$3&lt;='Bonding Program'!$C$8),N('Bonding Program'!$O$52),0)</f>
        <v>0</v>
      </c>
      <c r="AO193" s="19" t="n">
        <f aca="false">IF(AND('Bonding Program'!$S$52=1,'Bonding Program'!$H$52&gt;'Bonding Program'!$C$8,AO$3='Bonding Program'!$H$52),'Bonding Program'!$T$52-'Bonding Program'!$U$52-'Bonding Program'!$Z$52,0)-IF(AND('Bonding Program'!$S$52=1,'Bonding Program'!$H$52&lt;='Bonding Program'!$C$8,AO$3=IF('Bonding Program'!$P$52&lt;&gt;"",'Bonding Program'!$P$52,'Bonding Program'!$C$8)),'Bonding Program'!$Z$52,0)+IF(AND('Bonding Program'!$P$52&lt;&gt;"",AO$3='Bonding Program'!$P$52,AO$3&lt;='Bonding Program'!$C$8),N('Bonding Program'!$O$52),0)</f>
        <v>0</v>
      </c>
      <c r="AP193" s="19" t="n">
        <f aca="false">IF(AND('Bonding Program'!$S$52=1,'Bonding Program'!$H$52&gt;'Bonding Program'!$C$8,AP$3='Bonding Program'!$H$52),'Bonding Program'!$T$52-'Bonding Program'!$U$52-'Bonding Program'!$Z$52,0)-IF(AND('Bonding Program'!$S$52=1,'Bonding Program'!$H$52&lt;='Bonding Program'!$C$8,AP$3=IF('Bonding Program'!$P$52&lt;&gt;"",'Bonding Program'!$P$52,'Bonding Program'!$C$8)),'Bonding Program'!$Z$52,0)+IF(AND('Bonding Program'!$P$52&lt;&gt;"",AP$3='Bonding Program'!$P$52,AP$3&lt;='Bonding Program'!$C$8),N('Bonding Program'!$O$52),0)</f>
        <v>0</v>
      </c>
      <c r="AQ193" s="19" t="n">
        <f aca="false">IF(AND('Bonding Program'!$S$52=1,'Bonding Program'!$H$52&gt;'Bonding Program'!$C$8,AQ$3='Bonding Program'!$H$52),'Bonding Program'!$T$52-'Bonding Program'!$U$52-'Bonding Program'!$Z$52,0)-IF(AND('Bonding Program'!$S$52=1,'Bonding Program'!$H$52&lt;='Bonding Program'!$C$8,AQ$3=IF('Bonding Program'!$P$52&lt;&gt;"",'Bonding Program'!$P$52,'Bonding Program'!$C$8)),'Bonding Program'!$Z$52,0)+IF(AND('Bonding Program'!$P$52&lt;&gt;"",AQ$3='Bonding Program'!$P$52,AQ$3&lt;='Bonding Program'!$C$8),N('Bonding Program'!$O$52),0)</f>
        <v>0</v>
      </c>
      <c r="AR193" s="19" t="n">
        <f aca="false">IF(AND('Bonding Program'!$S$52=1,'Bonding Program'!$H$52&gt;'Bonding Program'!$C$8,AR$3='Bonding Program'!$H$52),'Bonding Program'!$T$52-'Bonding Program'!$U$52-'Bonding Program'!$Z$52,0)-IF(AND('Bonding Program'!$S$52=1,'Bonding Program'!$H$52&lt;='Bonding Program'!$C$8,AR$3=IF('Bonding Program'!$P$52&lt;&gt;"",'Bonding Program'!$P$52,'Bonding Program'!$C$8)),'Bonding Program'!$Z$52,0)+IF(AND('Bonding Program'!$P$52&lt;&gt;"",AR$3='Bonding Program'!$P$52,AR$3&lt;='Bonding Program'!$C$8),N('Bonding Program'!$O$52),0)</f>
        <v>0</v>
      </c>
      <c r="AS193" s="19" t="n">
        <f aca="false">IF(AND('Bonding Program'!$S$52=1,'Bonding Program'!$H$52&gt;'Bonding Program'!$C$8,AS$3='Bonding Program'!$H$52),'Bonding Program'!$T$52-'Bonding Program'!$U$52-'Bonding Program'!$Z$52,0)-IF(AND('Bonding Program'!$S$52=1,'Bonding Program'!$H$52&lt;='Bonding Program'!$C$8,AS$3=IF('Bonding Program'!$P$52&lt;&gt;"",'Bonding Program'!$P$52,'Bonding Program'!$C$8)),'Bonding Program'!$Z$52,0)+IF(AND('Bonding Program'!$P$52&lt;&gt;"",AS$3='Bonding Program'!$P$52,AS$3&lt;='Bonding Program'!$C$8),N('Bonding Program'!$O$52),0)</f>
        <v>0</v>
      </c>
      <c r="AT193" s="19" t="n">
        <f aca="false">IF(AND('Bonding Program'!$S$52=1,'Bonding Program'!$H$52&gt;'Bonding Program'!$C$8,AT$3='Bonding Program'!$H$52),'Bonding Program'!$T$52-'Bonding Program'!$U$52-'Bonding Program'!$Z$52,0)-IF(AND('Bonding Program'!$S$52=1,'Bonding Program'!$H$52&lt;='Bonding Program'!$C$8,AT$3=IF('Bonding Program'!$P$52&lt;&gt;"",'Bonding Program'!$P$52,'Bonding Program'!$C$8)),'Bonding Program'!$Z$52,0)+IF(AND('Bonding Program'!$P$52&lt;&gt;"",AT$3='Bonding Program'!$P$52,AT$3&lt;='Bonding Program'!$C$8),N('Bonding Program'!$O$52),0)</f>
        <v>0</v>
      </c>
      <c r="AU193" s="19" t="n">
        <f aca="false">IF(AND('Bonding Program'!$S$52=1,'Bonding Program'!$H$52&gt;'Bonding Program'!$C$8,AU$3='Bonding Program'!$H$52),'Bonding Program'!$T$52-'Bonding Program'!$U$52-'Bonding Program'!$Z$52,0)-IF(AND('Bonding Program'!$S$52=1,'Bonding Program'!$H$52&lt;='Bonding Program'!$C$8,AU$3=IF('Bonding Program'!$P$52&lt;&gt;"",'Bonding Program'!$P$52,'Bonding Program'!$C$8)),'Bonding Program'!$Z$52,0)+IF(AND('Bonding Program'!$P$52&lt;&gt;"",AU$3='Bonding Program'!$P$52,AU$3&lt;='Bonding Program'!$C$8),N('Bonding Program'!$O$52),0)</f>
        <v>0</v>
      </c>
      <c r="AV193" s="19" t="n">
        <f aca="false">IF(AND('Bonding Program'!$S$52=1,'Bonding Program'!$H$52&gt;'Bonding Program'!$C$8,AV$3='Bonding Program'!$H$52),'Bonding Program'!$T$52-'Bonding Program'!$U$52-'Bonding Program'!$Z$52,0)-IF(AND('Bonding Program'!$S$52=1,'Bonding Program'!$H$52&lt;='Bonding Program'!$C$8,AV$3=IF('Bonding Program'!$P$52&lt;&gt;"",'Bonding Program'!$P$52,'Bonding Program'!$C$8)),'Bonding Program'!$Z$52,0)+IF(AND('Bonding Program'!$P$52&lt;&gt;"",AV$3='Bonding Program'!$P$52,AV$3&lt;='Bonding Program'!$C$8),N('Bonding Program'!$O$52),0)</f>
        <v>0</v>
      </c>
      <c r="AW193" s="19" t="n">
        <f aca="false">IF(AND('Bonding Program'!$S$52=1,'Bonding Program'!$H$52&gt;'Bonding Program'!$C$8,AW$3='Bonding Program'!$H$52),'Bonding Program'!$T$52-'Bonding Program'!$U$52-'Bonding Program'!$Z$52,0)-IF(AND('Bonding Program'!$S$52=1,'Bonding Program'!$H$52&lt;='Bonding Program'!$C$8,AW$3=IF('Bonding Program'!$P$52&lt;&gt;"",'Bonding Program'!$P$52,'Bonding Program'!$C$8)),'Bonding Program'!$Z$52,0)+IF(AND('Bonding Program'!$P$52&lt;&gt;"",AW$3='Bonding Program'!$P$52,AW$3&lt;='Bonding Program'!$C$8),N('Bonding Program'!$O$52),0)</f>
        <v>0</v>
      </c>
      <c r="AX193" s="19" t="n">
        <f aca="false">IF(AND('Bonding Program'!$S$52=1,'Bonding Program'!$H$52&gt;'Bonding Program'!$C$8,AX$3='Bonding Program'!$H$52),'Bonding Program'!$T$52-'Bonding Program'!$U$52-'Bonding Program'!$Z$52,0)-IF(AND('Bonding Program'!$S$52=1,'Bonding Program'!$H$52&lt;='Bonding Program'!$C$8,AX$3=IF('Bonding Program'!$P$52&lt;&gt;"",'Bonding Program'!$P$52,'Bonding Program'!$C$8)),'Bonding Program'!$Z$52,0)+IF(AND('Bonding Program'!$P$52&lt;&gt;"",AX$3='Bonding Program'!$P$52,AX$3&lt;='Bonding Program'!$C$8),N('Bonding Program'!$O$52),0)</f>
        <v>0</v>
      </c>
      <c r="AY193" s="19" t="n">
        <f aca="false">IF(AND('Bonding Program'!$S$52=1,'Bonding Program'!$H$52&gt;'Bonding Program'!$C$8,AY$3='Bonding Program'!$H$52),'Bonding Program'!$T$52-'Bonding Program'!$U$52-'Bonding Program'!$Z$52,0)-IF(AND('Bonding Program'!$S$52=1,'Bonding Program'!$H$52&lt;='Bonding Program'!$C$8,AY$3=IF('Bonding Program'!$P$52&lt;&gt;"",'Bonding Program'!$P$52,'Bonding Program'!$C$8)),'Bonding Program'!$Z$52,0)+IF(AND('Bonding Program'!$P$52&lt;&gt;"",AY$3='Bonding Program'!$P$52,AY$3&lt;='Bonding Program'!$C$8),N('Bonding Program'!$O$52),0)</f>
        <v>0</v>
      </c>
      <c r="AZ193" s="19" t="n">
        <f aca="false">IF(AND('Bonding Program'!$S$52=1,'Bonding Program'!$H$52&gt;'Bonding Program'!$C$8,AZ$3='Bonding Program'!$H$52),'Bonding Program'!$T$52-'Bonding Program'!$U$52-'Bonding Program'!$Z$52,0)-IF(AND('Bonding Program'!$S$52=1,'Bonding Program'!$H$52&lt;='Bonding Program'!$C$8,AZ$3=IF('Bonding Program'!$P$52&lt;&gt;"",'Bonding Program'!$P$52,'Bonding Program'!$C$8)),'Bonding Program'!$Z$52,0)+IF(AND('Bonding Program'!$P$52&lt;&gt;"",AZ$3='Bonding Program'!$P$52,AZ$3&lt;='Bonding Program'!$C$8),N('Bonding Program'!$O$52),0)</f>
        <v>0</v>
      </c>
      <c r="BA193" s="19" t="n">
        <f aca="false">IF(AND('Bonding Program'!$S$52=1,'Bonding Program'!$H$52&gt;'Bonding Program'!$C$8,BA$3='Bonding Program'!$H$52),'Bonding Program'!$T$52-'Bonding Program'!$U$52-'Bonding Program'!$Z$52,0)-IF(AND('Bonding Program'!$S$52=1,'Bonding Program'!$H$52&lt;='Bonding Program'!$C$8,BA$3=IF('Bonding Program'!$P$52&lt;&gt;"",'Bonding Program'!$P$52,'Bonding Program'!$C$8)),'Bonding Program'!$Z$52,0)+IF(AND('Bonding Program'!$P$52&lt;&gt;"",BA$3='Bonding Program'!$P$52,BA$3&lt;='Bonding Program'!$C$8),N('Bonding Program'!$O$52),0)</f>
        <v>0</v>
      </c>
      <c r="BB193" s="19" t="n">
        <f aca="false">IF(AND('Bonding Program'!$S$52=1,'Bonding Program'!$H$52&gt;'Bonding Program'!$C$8,BB$3='Bonding Program'!$H$52),'Bonding Program'!$T$52-'Bonding Program'!$U$52-'Bonding Program'!$Z$52,0)-IF(AND('Bonding Program'!$S$52=1,'Bonding Program'!$H$52&lt;='Bonding Program'!$C$8,BB$3=IF('Bonding Program'!$P$52&lt;&gt;"",'Bonding Program'!$P$52,'Bonding Program'!$C$8)),'Bonding Program'!$Z$52,0)+IF(AND('Bonding Program'!$P$52&lt;&gt;"",BB$3='Bonding Program'!$P$52,BB$3&lt;='Bonding Program'!$C$8),N('Bonding Program'!$O$52),0)</f>
        <v>0</v>
      </c>
      <c r="BC193" s="19" t="n">
        <f aca="false">IF(AND('Bonding Program'!$S$52=1,'Bonding Program'!$H$52&gt;'Bonding Program'!$C$8,BC$3='Bonding Program'!$H$52),'Bonding Program'!$T$52-'Bonding Program'!$U$52-'Bonding Program'!$Z$52,0)-IF(AND('Bonding Program'!$S$52=1,'Bonding Program'!$H$52&lt;='Bonding Program'!$C$8,BC$3=IF('Bonding Program'!$P$52&lt;&gt;"",'Bonding Program'!$P$52,'Bonding Program'!$C$8)),'Bonding Program'!$Z$52,0)+IF(AND('Bonding Program'!$P$52&lt;&gt;"",BC$3='Bonding Program'!$P$52,BC$3&lt;='Bonding Program'!$C$8),N('Bonding Program'!$O$52),0)</f>
        <v>0</v>
      </c>
      <c r="BD193" s="19" t="n">
        <f aca="false">IF(AND('Bonding Program'!$S$52=1,'Bonding Program'!$H$52&gt;'Bonding Program'!$C$8,BD$3='Bonding Program'!$H$52),'Bonding Program'!$T$52-'Bonding Program'!$U$52-'Bonding Program'!$Z$52,0)-IF(AND('Bonding Program'!$S$52=1,'Bonding Program'!$H$52&lt;='Bonding Program'!$C$8,BD$3=IF('Bonding Program'!$P$52&lt;&gt;"",'Bonding Program'!$P$52,'Bonding Program'!$C$8)),'Bonding Program'!$Z$52,0)+IF(AND('Bonding Program'!$P$52&lt;&gt;"",BD$3='Bonding Program'!$P$52,BD$3&lt;='Bonding Program'!$C$8),N('Bonding Program'!$O$52),0)</f>
        <v>0</v>
      </c>
      <c r="BE193" s="19" t="n">
        <f aca="false">IF(AND('Bonding Program'!$S$52=1,'Bonding Program'!$H$52&gt;'Bonding Program'!$C$8,BE$3='Bonding Program'!$H$52),'Bonding Program'!$T$52-'Bonding Program'!$U$52-'Bonding Program'!$Z$52,0)-IF(AND('Bonding Program'!$S$52=1,'Bonding Program'!$H$52&lt;='Bonding Program'!$C$8,BE$3=IF('Bonding Program'!$P$52&lt;&gt;"",'Bonding Program'!$P$52,'Bonding Program'!$C$8)),'Bonding Program'!$Z$52,0)+IF(AND('Bonding Program'!$P$52&lt;&gt;"",BE$3='Bonding Program'!$P$52,BE$3&lt;='Bonding Program'!$C$8),N('Bonding Program'!$O$52),0)</f>
        <v>0</v>
      </c>
      <c r="BF193" s="19" t="n">
        <f aca="false">IF(AND('Bonding Program'!$S$52=1,'Bonding Program'!$H$52&gt;'Bonding Program'!$C$8,BF$3='Bonding Program'!$H$52),'Bonding Program'!$T$52-'Bonding Program'!$U$52-'Bonding Program'!$Z$52,0)-IF(AND('Bonding Program'!$S$52=1,'Bonding Program'!$H$52&lt;='Bonding Program'!$C$8,BF$3=IF('Bonding Program'!$P$52&lt;&gt;"",'Bonding Program'!$P$52,'Bonding Program'!$C$8)),'Bonding Program'!$Z$52,0)+IF(AND('Bonding Program'!$P$52&lt;&gt;"",BF$3='Bonding Program'!$P$52,BF$3&lt;='Bonding Program'!$C$8),N('Bonding Program'!$O$52),0)</f>
        <v>0</v>
      </c>
      <c r="BG193" s="19" t="n">
        <f aca="false">IF(AND('Bonding Program'!$S$52=1,'Bonding Program'!$H$52&gt;'Bonding Program'!$C$8,BG$3='Bonding Program'!$H$52),'Bonding Program'!$T$52-'Bonding Program'!$U$52-'Bonding Program'!$Z$52,0)-IF(AND('Bonding Program'!$S$52=1,'Bonding Program'!$H$52&lt;='Bonding Program'!$C$8,BG$3=IF('Bonding Program'!$P$52&lt;&gt;"",'Bonding Program'!$P$52,'Bonding Program'!$C$8)),'Bonding Program'!$Z$52,0)+IF(AND('Bonding Program'!$P$52&lt;&gt;"",BG$3='Bonding Program'!$P$52,BG$3&lt;='Bonding Program'!$C$8),N('Bonding Program'!$O$52),0)</f>
        <v>0</v>
      </c>
      <c r="BH193" s="19" t="n">
        <f aca="false">IF(AND('Bonding Program'!$S$52=1,'Bonding Program'!$H$52&gt;'Bonding Program'!$C$8,BH$3='Bonding Program'!$H$52),'Bonding Program'!$T$52-'Bonding Program'!$U$52-'Bonding Program'!$Z$52,0)-IF(AND('Bonding Program'!$S$52=1,'Bonding Program'!$H$52&lt;='Bonding Program'!$C$8,BH$3=IF('Bonding Program'!$P$52&lt;&gt;"",'Bonding Program'!$P$52,'Bonding Program'!$C$8)),'Bonding Program'!$Z$52,0)+IF(AND('Bonding Program'!$P$52&lt;&gt;"",BH$3='Bonding Program'!$P$52,BH$3&lt;='Bonding Program'!$C$8),N('Bonding Program'!$O$52),0)</f>
        <v>0</v>
      </c>
      <c r="BI193" s="19" t="n">
        <f aca="false">IF(AND('Bonding Program'!$S$52=1,'Bonding Program'!$H$52&gt;'Bonding Program'!$C$8,BI$3='Bonding Program'!$H$52),'Bonding Program'!$T$52-'Bonding Program'!$U$52-'Bonding Program'!$Z$52,0)-IF(AND('Bonding Program'!$S$52=1,'Bonding Program'!$H$52&lt;='Bonding Program'!$C$8,BI$3=IF('Bonding Program'!$P$52&lt;&gt;"",'Bonding Program'!$P$52,'Bonding Program'!$C$8)),'Bonding Program'!$Z$52,0)+IF(AND('Bonding Program'!$P$52&lt;&gt;"",BI$3='Bonding Program'!$P$52,BI$3&lt;='Bonding Program'!$C$8),N('Bonding Program'!$O$52),0)</f>
        <v>0</v>
      </c>
      <c r="BJ193" s="19" t="n">
        <f aca="false">IF(AND('Bonding Program'!$S$52=1,'Bonding Program'!$H$52&gt;'Bonding Program'!$C$8,BJ$3='Bonding Program'!$H$52),'Bonding Program'!$T$52-'Bonding Program'!$U$52-'Bonding Program'!$Z$52,0)-IF(AND('Bonding Program'!$S$52=1,'Bonding Program'!$H$52&lt;='Bonding Program'!$C$8,BJ$3=IF('Bonding Program'!$P$52&lt;&gt;"",'Bonding Program'!$P$52,'Bonding Program'!$C$8)),'Bonding Program'!$Z$52,0)+IF(AND('Bonding Program'!$P$52&lt;&gt;"",BJ$3='Bonding Program'!$P$52,BJ$3&lt;='Bonding Program'!$C$8),N('Bonding Program'!$O$52),0)</f>
        <v>0</v>
      </c>
      <c r="BK193" s="19" t="n">
        <f aca="false">IF(AND('Bonding Program'!$S$52=1,'Bonding Program'!$H$52&gt;'Bonding Program'!$C$8,BK$3='Bonding Program'!$H$52),'Bonding Program'!$T$52-'Bonding Program'!$U$52-'Bonding Program'!$Z$52,0)-IF(AND('Bonding Program'!$S$52=1,'Bonding Program'!$H$52&lt;='Bonding Program'!$C$8,BK$3=IF('Bonding Program'!$P$52&lt;&gt;"",'Bonding Program'!$P$52,'Bonding Program'!$C$8)),'Bonding Program'!$Z$52,0)+IF(AND('Bonding Program'!$P$52&lt;&gt;"",BK$3='Bonding Program'!$P$52,BK$3&lt;='Bonding Program'!$C$8),N('Bonding Program'!$O$52),0)</f>
        <v>0</v>
      </c>
      <c r="BL193" s="19" t="n">
        <f aca="false">IF(AND('Bonding Program'!$S$52=1,'Bonding Program'!$H$52&gt;'Bonding Program'!$C$8,BL$3='Bonding Program'!$H$52),'Bonding Program'!$T$52-'Bonding Program'!$U$52-'Bonding Program'!$Z$52,0)-IF(AND('Bonding Program'!$S$52=1,'Bonding Program'!$H$52&lt;='Bonding Program'!$C$8,BL$3=IF('Bonding Program'!$P$52&lt;&gt;"",'Bonding Program'!$P$52,'Bonding Program'!$C$8)),'Bonding Program'!$Z$52,0)+IF(AND('Bonding Program'!$P$52&lt;&gt;"",BL$3='Bonding Program'!$P$52,BL$3&lt;='Bonding Program'!$C$8),N('Bonding Program'!$O$52),0)</f>
        <v>0</v>
      </c>
      <c r="BM193" s="19" t="n">
        <f aca="false">IF(AND('Bonding Program'!$S$52=1,'Bonding Program'!$H$52&gt;'Bonding Program'!$C$8,BM$3='Bonding Program'!$H$52),'Bonding Program'!$T$52-'Bonding Program'!$U$52-'Bonding Program'!$Z$52,0)-IF(AND('Bonding Program'!$S$52=1,'Bonding Program'!$H$52&lt;='Bonding Program'!$C$8,BM$3=IF('Bonding Program'!$P$52&lt;&gt;"",'Bonding Program'!$P$52,'Bonding Program'!$C$8)),'Bonding Program'!$Z$52,0)+IF(AND('Bonding Program'!$P$52&lt;&gt;"",BM$3='Bonding Program'!$P$52,BM$3&lt;='Bonding Program'!$C$8),N('Bonding Program'!$O$52),0)</f>
        <v>0</v>
      </c>
      <c r="BN193" s="19" t="n">
        <f aca="false">IF(AND('Bonding Program'!$S$52=1,'Bonding Program'!$H$52&gt;'Bonding Program'!$C$8,BN$3='Bonding Program'!$H$52),'Bonding Program'!$T$52-'Bonding Program'!$U$52-'Bonding Program'!$Z$52,0)-IF(AND('Bonding Program'!$S$52=1,'Bonding Program'!$H$52&lt;='Bonding Program'!$C$8,BN$3=IF('Bonding Program'!$P$52&lt;&gt;"",'Bonding Program'!$P$52,'Bonding Program'!$C$8)),'Bonding Program'!$Z$52,0)+IF(AND('Bonding Program'!$P$52&lt;&gt;"",BN$3='Bonding Program'!$P$52,BN$3&lt;='Bonding Program'!$C$8),N('Bonding Program'!$O$52),0)</f>
        <v>0</v>
      </c>
      <c r="BO193" s="19" t="n">
        <f aca="false">IF(AND('Bonding Program'!$S$52=1,'Bonding Program'!$H$52&gt;'Bonding Program'!$C$8,BO$3='Bonding Program'!$H$52),'Bonding Program'!$T$52-'Bonding Program'!$U$52-'Bonding Program'!$Z$52,0)-IF(AND('Bonding Program'!$S$52=1,'Bonding Program'!$H$52&lt;='Bonding Program'!$C$8,BO$3=IF('Bonding Program'!$P$52&lt;&gt;"",'Bonding Program'!$P$52,'Bonding Program'!$C$8)),'Bonding Program'!$Z$52,0)+IF(AND('Bonding Program'!$P$52&lt;&gt;"",BO$3='Bonding Program'!$P$52,BO$3&lt;='Bonding Program'!$C$8),N('Bonding Program'!$O$52),0)</f>
        <v>0</v>
      </c>
      <c r="BP193" s="19" t="n">
        <f aca="false">IF(AND('Bonding Program'!$S$52=1,'Bonding Program'!$H$52&gt;'Bonding Program'!$C$8,BP$3='Bonding Program'!$H$52),'Bonding Program'!$T$52-'Bonding Program'!$U$52-'Bonding Program'!$Z$52,0)-IF(AND('Bonding Program'!$S$52=1,'Bonding Program'!$H$52&lt;='Bonding Program'!$C$8,BP$3=IF('Bonding Program'!$P$52&lt;&gt;"",'Bonding Program'!$P$52,'Bonding Program'!$C$8)),'Bonding Program'!$Z$52,0)+IF(AND('Bonding Program'!$P$52&lt;&gt;"",BP$3='Bonding Program'!$P$52,BP$3&lt;='Bonding Program'!$C$8),N('Bonding Program'!$O$52),0)</f>
        <v>0</v>
      </c>
      <c r="BQ193" s="19" t="n">
        <f aca="false">IF(AND('Bonding Program'!$S$52=1,'Bonding Program'!$H$52&gt;'Bonding Program'!$C$8,BQ$3='Bonding Program'!$H$52),'Bonding Program'!$T$52-'Bonding Program'!$U$52-'Bonding Program'!$Z$52,0)-IF(AND('Bonding Program'!$S$52=1,'Bonding Program'!$H$52&lt;='Bonding Program'!$C$8,BQ$3=IF('Bonding Program'!$P$52&lt;&gt;"",'Bonding Program'!$P$52,'Bonding Program'!$C$8)),'Bonding Program'!$Z$52,0)+IF(AND('Bonding Program'!$P$52&lt;&gt;"",BQ$3='Bonding Program'!$P$52,BQ$3&lt;='Bonding Program'!$C$8),N('Bonding Program'!$O$52),0)</f>
        <v>0</v>
      </c>
      <c r="BR193" s="19" t="n">
        <f aca="false">IF(AND('Bonding Program'!$S$52=1,'Bonding Program'!$H$52&gt;'Bonding Program'!$C$8,BR$3='Bonding Program'!$H$52),'Bonding Program'!$T$52-'Bonding Program'!$U$52-'Bonding Program'!$Z$52,0)-IF(AND('Bonding Program'!$S$52=1,'Bonding Program'!$H$52&lt;='Bonding Program'!$C$8,BR$3=IF('Bonding Program'!$P$52&lt;&gt;"",'Bonding Program'!$P$52,'Bonding Program'!$C$8)),'Bonding Program'!$Z$52,0)+IF(AND('Bonding Program'!$P$52&lt;&gt;"",BR$3='Bonding Program'!$P$52,BR$3&lt;='Bonding Program'!$C$8),N('Bonding Program'!$O$52),0)</f>
        <v>0</v>
      </c>
      <c r="BS193" s="19" t="n">
        <f aca="false">IF(AND('Bonding Program'!$S$52=1,'Bonding Program'!$H$52&gt;'Bonding Program'!$C$8,BS$3='Bonding Program'!$H$52),'Bonding Program'!$T$52-'Bonding Program'!$U$52-'Bonding Program'!$Z$52,0)-IF(AND('Bonding Program'!$S$52=1,'Bonding Program'!$H$52&lt;='Bonding Program'!$C$8,BS$3=IF('Bonding Program'!$P$52&lt;&gt;"",'Bonding Program'!$P$52,'Bonding Program'!$C$8)),'Bonding Program'!$Z$52,0)+IF(AND('Bonding Program'!$P$52&lt;&gt;"",BS$3='Bonding Program'!$P$52,BS$3&lt;='Bonding Program'!$C$8),N('Bonding Program'!$O$52),0)</f>
        <v>0</v>
      </c>
      <c r="BT193" s="19" t="n">
        <f aca="false">IF(AND('Bonding Program'!$S$52=1,'Bonding Program'!$H$52&gt;'Bonding Program'!$C$8,BT$3='Bonding Program'!$H$52),'Bonding Program'!$T$52-'Bonding Program'!$U$52-'Bonding Program'!$Z$52,0)-IF(AND('Bonding Program'!$S$52=1,'Bonding Program'!$H$52&lt;='Bonding Program'!$C$8,BT$3=IF('Bonding Program'!$P$52&lt;&gt;"",'Bonding Program'!$P$52,'Bonding Program'!$C$8)),'Bonding Program'!$Z$52,0)+IF(AND('Bonding Program'!$P$52&lt;&gt;"",BT$3='Bonding Program'!$P$52,BT$3&lt;='Bonding Program'!$C$8),N('Bonding Program'!$O$52),0)</f>
        <v>0</v>
      </c>
      <c r="BU193" s="19" t="n">
        <f aca="false">IF(AND('Bonding Program'!$S$52=1,'Bonding Program'!$H$52&gt;'Bonding Program'!$C$8,BU$3='Bonding Program'!$H$52),'Bonding Program'!$T$52-'Bonding Program'!$U$52-'Bonding Program'!$Z$52,0)-IF(AND('Bonding Program'!$S$52=1,'Bonding Program'!$H$52&lt;='Bonding Program'!$C$8,BU$3=IF('Bonding Program'!$P$52&lt;&gt;"",'Bonding Program'!$P$52,'Bonding Program'!$C$8)),'Bonding Program'!$Z$52,0)+IF(AND('Bonding Program'!$P$52&lt;&gt;"",BU$3='Bonding Program'!$P$52,BU$3&lt;='Bonding Program'!$C$8),N('Bonding Program'!$O$52),0)</f>
        <v>0</v>
      </c>
      <c r="BV193" s="19" t="n">
        <f aca="false">IF(AND('Bonding Program'!$S$52=1,'Bonding Program'!$H$52&gt;'Bonding Program'!$C$8,BV$3='Bonding Program'!$H$52),'Bonding Program'!$T$52-'Bonding Program'!$U$52-'Bonding Program'!$Z$52,0)-IF(AND('Bonding Program'!$S$52=1,'Bonding Program'!$H$52&lt;='Bonding Program'!$C$8,BV$3=IF('Bonding Program'!$P$52&lt;&gt;"",'Bonding Program'!$P$52,'Bonding Program'!$C$8)),'Bonding Program'!$Z$52,0)+IF(AND('Bonding Program'!$P$52&lt;&gt;"",BV$3='Bonding Program'!$P$52,BV$3&lt;='Bonding Program'!$C$8),N('Bonding Program'!$O$52),0)</f>
        <v>0</v>
      </c>
      <c r="BW193" s="19" t="n">
        <f aca="false">IF(AND('Bonding Program'!$S$52=1,'Bonding Program'!$H$52&gt;'Bonding Program'!$C$8,BW$3='Bonding Program'!$H$52),'Bonding Program'!$T$52-'Bonding Program'!$U$52-'Bonding Program'!$Z$52,0)-IF(AND('Bonding Program'!$S$52=1,'Bonding Program'!$H$52&lt;='Bonding Program'!$C$8,BW$3=IF('Bonding Program'!$P$52&lt;&gt;"",'Bonding Program'!$P$52,'Bonding Program'!$C$8)),'Bonding Program'!$Z$52,0)+IF(AND('Bonding Program'!$P$52&lt;&gt;"",BW$3='Bonding Program'!$P$52,BW$3&lt;='Bonding Program'!$C$8),N('Bonding Program'!$O$52),0)</f>
        <v>0</v>
      </c>
      <c r="BX193" s="19" t="n">
        <f aca="false">IF(AND('Bonding Program'!$S$52=1,'Bonding Program'!$H$52&gt;'Bonding Program'!$C$8,BX$3='Bonding Program'!$H$52),'Bonding Program'!$T$52-'Bonding Program'!$U$52-'Bonding Program'!$Z$52,0)-IF(AND('Bonding Program'!$S$52=1,'Bonding Program'!$H$52&lt;='Bonding Program'!$C$8,BX$3=IF('Bonding Program'!$P$52&lt;&gt;"",'Bonding Program'!$P$52,'Bonding Program'!$C$8)),'Bonding Program'!$Z$52,0)+IF(AND('Bonding Program'!$P$52&lt;&gt;"",BX$3='Bonding Program'!$P$52,BX$3&lt;='Bonding Program'!$C$8),N('Bonding Program'!$O$52),0)</f>
        <v>0</v>
      </c>
      <c r="BY193" s="19" t="n">
        <f aca="false">IF(AND('Bonding Program'!$S$52=1,'Bonding Program'!$H$52&gt;'Bonding Program'!$C$8,BY$3='Bonding Program'!$H$52),'Bonding Program'!$T$52-'Bonding Program'!$U$52-'Bonding Program'!$Z$52,0)-IF(AND('Bonding Program'!$S$52=1,'Bonding Program'!$H$52&lt;='Bonding Program'!$C$8,BY$3=IF('Bonding Program'!$P$52&lt;&gt;"",'Bonding Program'!$P$52,'Bonding Program'!$C$8)),'Bonding Program'!$Z$52,0)+IF(AND('Bonding Program'!$P$52&lt;&gt;"",BY$3='Bonding Program'!$P$52,BY$3&lt;='Bonding Program'!$C$8),N('Bonding Program'!$O$52),0)</f>
        <v>0</v>
      </c>
      <c r="BZ193" s="19" t="n">
        <f aca="false">IF(AND('Bonding Program'!$S$52=1,'Bonding Program'!$H$52&gt;'Bonding Program'!$C$8,BZ$3='Bonding Program'!$H$52),'Bonding Program'!$T$52-'Bonding Program'!$U$52-'Bonding Program'!$Z$52,0)-IF(AND('Bonding Program'!$S$52=1,'Bonding Program'!$H$52&lt;='Bonding Program'!$C$8,BZ$3=IF('Bonding Program'!$P$52&lt;&gt;"",'Bonding Program'!$P$52,'Bonding Program'!$C$8)),'Bonding Program'!$Z$52,0)+IF(AND('Bonding Program'!$P$52&lt;&gt;"",BZ$3='Bonding Program'!$P$52,BZ$3&lt;='Bonding Program'!$C$8),N('Bonding Program'!$O$52),0)</f>
        <v>0</v>
      </c>
      <c r="CA193" s="19" t="n">
        <f aca="false">IF(AND('Bonding Program'!$S$52=1,'Bonding Program'!$H$52&gt;'Bonding Program'!$C$8,CA$3='Bonding Program'!$H$52),'Bonding Program'!$T$52-'Bonding Program'!$U$52-'Bonding Program'!$Z$52,0)-IF(AND('Bonding Program'!$S$52=1,'Bonding Program'!$H$52&lt;='Bonding Program'!$C$8,CA$3=IF('Bonding Program'!$P$52&lt;&gt;"",'Bonding Program'!$P$52,'Bonding Program'!$C$8)),'Bonding Program'!$Z$52,0)+IF(AND('Bonding Program'!$P$52&lt;&gt;"",CA$3='Bonding Program'!$P$52,CA$3&lt;='Bonding Program'!$C$8),N('Bonding Program'!$O$52),0)</f>
        <v>0</v>
      </c>
      <c r="CB193" s="19" t="n">
        <f aca="false">IF(AND('Bonding Program'!$S$52=1,'Bonding Program'!$H$52&gt;'Bonding Program'!$C$8,CB$3='Bonding Program'!$H$52),'Bonding Program'!$T$52-'Bonding Program'!$U$52-'Bonding Program'!$Z$52,0)-IF(AND('Bonding Program'!$S$52=1,'Bonding Program'!$H$52&lt;='Bonding Program'!$C$8,CB$3=IF('Bonding Program'!$P$52&lt;&gt;"",'Bonding Program'!$P$52,'Bonding Program'!$C$8)),'Bonding Program'!$Z$52,0)+IF(AND('Bonding Program'!$P$52&lt;&gt;"",CB$3='Bonding Program'!$P$52,CB$3&lt;='Bonding Program'!$C$8),N('Bonding Program'!$O$52),0)</f>
        <v>0</v>
      </c>
      <c r="CC193" s="19" t="n">
        <f aca="false">IF(AND('Bonding Program'!$S$52=1,'Bonding Program'!$H$52&gt;'Bonding Program'!$C$8,CC$3='Bonding Program'!$H$52),'Bonding Program'!$T$52-'Bonding Program'!$U$52-'Bonding Program'!$Z$52,0)-IF(AND('Bonding Program'!$S$52=1,'Bonding Program'!$H$52&lt;='Bonding Program'!$C$8,CC$3=IF('Bonding Program'!$P$52&lt;&gt;"",'Bonding Program'!$P$52,'Bonding Program'!$C$8)),'Bonding Program'!$Z$52,0)+IF(AND('Bonding Program'!$P$52&lt;&gt;"",CC$3='Bonding Program'!$P$52,CC$3&lt;='Bonding Program'!$C$8),N('Bonding Program'!$O$52),0)</f>
        <v>0</v>
      </c>
      <c r="CD193" s="19" t="n">
        <f aca="false">IF(AND('Bonding Program'!$S$52=1,'Bonding Program'!$H$52&gt;'Bonding Program'!$C$8,CD$3='Bonding Program'!$H$52),'Bonding Program'!$T$52-'Bonding Program'!$U$52-'Bonding Program'!$Z$52,0)-IF(AND('Bonding Program'!$S$52=1,'Bonding Program'!$H$52&lt;='Bonding Program'!$C$8,CD$3=IF('Bonding Program'!$P$52&lt;&gt;"",'Bonding Program'!$P$52,'Bonding Program'!$C$8)),'Bonding Program'!$Z$52,0)+IF(AND('Bonding Program'!$P$52&lt;&gt;"",CD$3='Bonding Program'!$P$52,CD$3&lt;='Bonding Program'!$C$8),N('Bonding Program'!$O$52),0)</f>
        <v>0</v>
      </c>
      <c r="CE193" s="19" t="n">
        <f aca="false">IF(AND('Bonding Program'!$S$52=1,'Bonding Program'!$H$52&gt;'Bonding Program'!$C$8,CE$3='Bonding Program'!$H$52),'Bonding Program'!$T$52-'Bonding Program'!$U$52-'Bonding Program'!$Z$52,0)-IF(AND('Bonding Program'!$S$52=1,'Bonding Program'!$H$52&lt;='Bonding Program'!$C$8,CE$3=IF('Bonding Program'!$P$52&lt;&gt;"",'Bonding Program'!$P$52,'Bonding Program'!$C$8)),'Bonding Program'!$Z$52,0)+IF(AND('Bonding Program'!$P$52&lt;&gt;"",CE$3='Bonding Program'!$P$52,CE$3&lt;='Bonding Program'!$C$8),N('Bonding Program'!$O$52),0)</f>
        <v>0</v>
      </c>
      <c r="CF193" s="19" t="n">
        <f aca="false">IF(AND('Bonding Program'!$S$52=1,'Bonding Program'!$H$52&gt;'Bonding Program'!$C$8,CF$3='Bonding Program'!$H$52),'Bonding Program'!$T$52-'Bonding Program'!$U$52-'Bonding Program'!$Z$52,0)-IF(AND('Bonding Program'!$S$52=1,'Bonding Program'!$H$52&lt;='Bonding Program'!$C$8,CF$3=IF('Bonding Program'!$P$52&lt;&gt;"",'Bonding Program'!$P$52,'Bonding Program'!$C$8)),'Bonding Program'!$Z$52,0)+IF(AND('Bonding Program'!$P$52&lt;&gt;"",CF$3='Bonding Program'!$P$52,CF$3&lt;='Bonding Program'!$C$8),N('Bonding Program'!$O$52),0)</f>
        <v>0</v>
      </c>
      <c r="CG193" s="19" t="n">
        <f aca="false">IF(AND('Bonding Program'!$S$52=1,'Bonding Program'!$H$52&gt;'Bonding Program'!$C$8,CG$3='Bonding Program'!$H$52),'Bonding Program'!$T$52-'Bonding Program'!$U$52-'Bonding Program'!$Z$52,0)-IF(AND('Bonding Program'!$S$52=1,'Bonding Program'!$H$52&lt;='Bonding Program'!$C$8,CG$3=IF('Bonding Program'!$P$52&lt;&gt;"",'Bonding Program'!$P$52,'Bonding Program'!$C$8)),'Bonding Program'!$Z$52,0)+IF(AND('Bonding Program'!$P$52&lt;&gt;"",CG$3='Bonding Program'!$P$52,CG$3&lt;='Bonding Program'!$C$8),N('Bonding Program'!$O$52),0)</f>
        <v>0</v>
      </c>
      <c r="CH193" s="19" t="n">
        <f aca="false">IF(AND('Bonding Program'!$S$52=1,'Bonding Program'!$H$52&gt;'Bonding Program'!$C$8,CH$3='Bonding Program'!$H$52),'Bonding Program'!$T$52-'Bonding Program'!$U$52-'Bonding Program'!$Z$52,0)-IF(AND('Bonding Program'!$S$52=1,'Bonding Program'!$H$52&lt;='Bonding Program'!$C$8,CH$3=IF('Bonding Program'!$P$52&lt;&gt;"",'Bonding Program'!$P$52,'Bonding Program'!$C$8)),'Bonding Program'!$Z$52,0)+IF(AND('Bonding Program'!$P$52&lt;&gt;"",CH$3='Bonding Program'!$P$52,CH$3&lt;='Bonding Program'!$C$8),N('Bonding Program'!$O$52),0)</f>
        <v>0</v>
      </c>
      <c r="CI193" s="19" t="n">
        <f aca="false">IF(AND('Bonding Program'!$S$52=1,'Bonding Program'!$H$52&gt;'Bonding Program'!$C$8,CI$3='Bonding Program'!$H$52),'Bonding Program'!$T$52-'Bonding Program'!$U$52-'Bonding Program'!$Z$52,0)-IF(AND('Bonding Program'!$S$52=1,'Bonding Program'!$H$52&lt;='Bonding Program'!$C$8,CI$3=IF('Bonding Program'!$P$52&lt;&gt;"",'Bonding Program'!$P$52,'Bonding Program'!$C$8)),'Bonding Program'!$Z$52,0)+IF(AND('Bonding Program'!$P$52&lt;&gt;"",CI$3='Bonding Program'!$P$52,CI$3&lt;='Bonding Program'!$C$8),N('Bonding Program'!$O$52),0)</f>
        <v>0</v>
      </c>
      <c r="CJ193" s="19" t="n">
        <f aca="false">IF(AND('Bonding Program'!$S$52=1,'Bonding Program'!$H$52&gt;'Bonding Program'!$C$8,CJ$3='Bonding Program'!$H$52),'Bonding Program'!$T$52-'Bonding Program'!$U$52-'Bonding Program'!$Z$52,0)-IF(AND('Bonding Program'!$S$52=1,'Bonding Program'!$H$52&lt;='Bonding Program'!$C$8,CJ$3=IF('Bonding Program'!$P$52&lt;&gt;"",'Bonding Program'!$P$52,'Bonding Program'!$C$8)),'Bonding Program'!$Z$52,0)+IF(AND('Bonding Program'!$P$52&lt;&gt;"",CJ$3='Bonding Program'!$P$52,CJ$3&lt;='Bonding Program'!$C$8),N('Bonding Program'!$O$52),0)</f>
        <v>0</v>
      </c>
      <c r="CK193" s="19" t="n">
        <f aca="false">IF(AND('Bonding Program'!$S$52=1,'Bonding Program'!$H$52&gt;'Bonding Program'!$C$8,CK$3='Bonding Program'!$H$52),'Bonding Program'!$T$52-'Bonding Program'!$U$52-'Bonding Program'!$Z$52,0)-IF(AND('Bonding Program'!$S$52=1,'Bonding Program'!$H$52&lt;='Bonding Program'!$C$8,CK$3=IF('Bonding Program'!$P$52&lt;&gt;"",'Bonding Program'!$P$52,'Bonding Program'!$C$8)),'Bonding Program'!$Z$52,0)+IF(AND('Bonding Program'!$P$52&lt;&gt;"",CK$3='Bonding Program'!$P$52,CK$3&lt;='Bonding Program'!$C$8),N('Bonding Program'!$O$52),0)</f>
        <v>0</v>
      </c>
      <c r="CL193" s="19" t="n">
        <f aca="false">IF(AND('Bonding Program'!$S$52=1,'Bonding Program'!$H$52&gt;'Bonding Program'!$C$8,CL$3='Bonding Program'!$H$52),'Bonding Program'!$T$52-'Bonding Program'!$U$52-'Bonding Program'!$Z$52,0)-IF(AND('Bonding Program'!$S$52=1,'Bonding Program'!$H$52&lt;='Bonding Program'!$C$8,CL$3=IF('Bonding Program'!$P$52&lt;&gt;"",'Bonding Program'!$P$52,'Bonding Program'!$C$8)),'Bonding Program'!$Z$52,0)+IF(AND('Bonding Program'!$P$52&lt;&gt;"",CL$3='Bonding Program'!$P$52,CL$3&lt;='Bonding Program'!$C$8),N('Bonding Program'!$O$52),0)</f>
        <v>0</v>
      </c>
      <c r="CM193" s="19" t="n">
        <f aca="false">IF(AND('Bonding Program'!$S$52=1,'Bonding Program'!$H$52&gt;'Bonding Program'!$C$8,CM$3='Bonding Program'!$H$52),'Bonding Program'!$T$52-'Bonding Program'!$U$52-'Bonding Program'!$Z$52,0)-IF(AND('Bonding Program'!$S$52=1,'Bonding Program'!$H$52&lt;='Bonding Program'!$C$8,CM$3=IF('Bonding Program'!$P$52&lt;&gt;"",'Bonding Program'!$P$52,'Bonding Program'!$C$8)),'Bonding Program'!$Z$52,0)+IF(AND('Bonding Program'!$P$52&lt;&gt;"",CM$3='Bonding Program'!$P$52,CM$3&lt;='Bonding Program'!$C$8),N('Bonding Program'!$O$52),0)</f>
        <v>0</v>
      </c>
      <c r="CN193" s="19" t="n">
        <f aca="false">IF(AND('Bonding Program'!$S$52=1,'Bonding Program'!$H$52&gt;'Bonding Program'!$C$8,CN$3='Bonding Program'!$H$52),'Bonding Program'!$T$52-'Bonding Program'!$U$52-'Bonding Program'!$Z$52,0)-IF(AND('Bonding Program'!$S$52=1,'Bonding Program'!$H$52&lt;='Bonding Program'!$C$8,CN$3=IF('Bonding Program'!$P$52&lt;&gt;"",'Bonding Program'!$P$52,'Bonding Program'!$C$8)),'Bonding Program'!$Z$52,0)+IF(AND('Bonding Program'!$P$52&lt;&gt;"",CN$3='Bonding Program'!$P$52,CN$3&lt;='Bonding Program'!$C$8),N('Bonding Program'!$O$52),0)</f>
        <v>0</v>
      </c>
      <c r="CO193" s="19" t="n">
        <f aca="false">IF(AND('Bonding Program'!$S$52=1,'Bonding Program'!$H$52&gt;'Bonding Program'!$C$8,CO$3='Bonding Program'!$H$52),'Bonding Program'!$T$52-'Bonding Program'!$U$52-'Bonding Program'!$Z$52,0)-IF(AND('Bonding Program'!$S$52=1,'Bonding Program'!$H$52&lt;='Bonding Program'!$C$8,CO$3=IF('Bonding Program'!$P$52&lt;&gt;"",'Bonding Program'!$P$52,'Bonding Program'!$C$8)),'Bonding Program'!$Z$52,0)+IF(AND('Bonding Program'!$P$52&lt;&gt;"",CO$3='Bonding Program'!$P$52,CO$3&lt;='Bonding Program'!$C$8),N('Bonding Program'!$O$52),0)</f>
        <v>0</v>
      </c>
      <c r="CP193" s="19" t="n">
        <f aca="false">IF(AND('Bonding Program'!$S$52=1,'Bonding Program'!$H$52&gt;'Bonding Program'!$C$8,CP$3='Bonding Program'!$H$52),'Bonding Program'!$T$52-'Bonding Program'!$U$52-'Bonding Program'!$Z$52,0)-IF(AND('Bonding Program'!$S$52=1,'Bonding Program'!$H$52&lt;='Bonding Program'!$C$8,CP$3=IF('Bonding Program'!$P$52&lt;&gt;"",'Bonding Program'!$P$52,'Bonding Program'!$C$8)),'Bonding Program'!$Z$52,0)+IF(AND('Bonding Program'!$P$52&lt;&gt;"",CP$3='Bonding Program'!$P$52,CP$3&lt;='Bonding Program'!$C$8),N('Bonding Program'!$O$52),0)</f>
        <v>0</v>
      </c>
      <c r="CQ193" s="19" t="n">
        <f aca="false">IF(AND('Bonding Program'!$S$52=1,'Bonding Program'!$H$52&gt;'Bonding Program'!$C$8,CQ$3='Bonding Program'!$H$52),'Bonding Program'!$T$52-'Bonding Program'!$U$52-'Bonding Program'!$Z$52,0)-IF(AND('Bonding Program'!$S$52=1,'Bonding Program'!$H$52&lt;='Bonding Program'!$C$8,CQ$3=IF('Bonding Program'!$P$52&lt;&gt;"",'Bonding Program'!$P$52,'Bonding Program'!$C$8)),'Bonding Program'!$Z$52,0)+IF(AND('Bonding Program'!$P$52&lt;&gt;"",CQ$3='Bonding Program'!$P$52,CQ$3&lt;='Bonding Program'!$C$8),N('Bonding Program'!$O$52),0)</f>
        <v>0</v>
      </c>
      <c r="CR193" s="19" t="n">
        <f aca="false">IF(AND('Bonding Program'!$S$52=1,'Bonding Program'!$H$52&gt;'Bonding Program'!$C$8,CR$3='Bonding Program'!$H$52),'Bonding Program'!$T$52-'Bonding Program'!$U$52-'Bonding Program'!$Z$52,0)-IF(AND('Bonding Program'!$S$52=1,'Bonding Program'!$H$52&lt;='Bonding Program'!$C$8,CR$3=IF('Bonding Program'!$P$52&lt;&gt;"",'Bonding Program'!$P$52,'Bonding Program'!$C$8)),'Bonding Program'!$Z$52,0)+IF(AND('Bonding Program'!$P$52&lt;&gt;"",CR$3='Bonding Program'!$P$52,CR$3&lt;='Bonding Program'!$C$8),N('Bonding Program'!$O$52),0)</f>
        <v>0</v>
      </c>
      <c r="CS193" s="19" t="n">
        <f aca="false">IF(AND('Bonding Program'!$S$52=1,'Bonding Program'!$H$52&gt;'Bonding Program'!$C$8,CS$3='Bonding Program'!$H$52),'Bonding Program'!$T$52-'Bonding Program'!$U$52-'Bonding Program'!$Z$52,0)-IF(AND('Bonding Program'!$S$52=1,'Bonding Program'!$H$52&lt;='Bonding Program'!$C$8,CS$3=IF('Bonding Program'!$P$52&lt;&gt;"",'Bonding Program'!$P$52,'Bonding Program'!$C$8)),'Bonding Program'!$Z$52,0)+IF(AND('Bonding Program'!$P$52&lt;&gt;"",CS$3='Bonding Program'!$P$52,CS$3&lt;='Bonding Program'!$C$8),N('Bonding Program'!$O$52),0)</f>
        <v>0</v>
      </c>
      <c r="CT193" s="19" t="n">
        <f aca="false">IF(AND('Bonding Program'!$S$52=1,'Bonding Program'!$H$52&gt;'Bonding Program'!$C$8,CT$3='Bonding Program'!$H$52),'Bonding Program'!$T$52-'Bonding Program'!$U$52-'Bonding Program'!$Z$52,0)-IF(AND('Bonding Program'!$S$52=1,'Bonding Program'!$H$52&lt;='Bonding Program'!$C$8,CT$3=IF('Bonding Program'!$P$52&lt;&gt;"",'Bonding Program'!$P$52,'Bonding Program'!$C$8)),'Bonding Program'!$Z$52,0)+IF(AND('Bonding Program'!$P$52&lt;&gt;"",CT$3='Bonding Program'!$P$52,CT$3&lt;='Bonding Program'!$C$8),N('Bonding Program'!$O$52),0)</f>
        <v>0</v>
      </c>
      <c r="CU193" s="19" t="n">
        <f aca="false">IF(AND('Bonding Program'!$S$52=1,'Bonding Program'!$H$52&gt;'Bonding Program'!$C$8,CU$3='Bonding Program'!$H$52),'Bonding Program'!$T$52-'Bonding Program'!$U$52-'Bonding Program'!$Z$52,0)-IF(AND('Bonding Program'!$S$52=1,'Bonding Program'!$H$52&lt;='Bonding Program'!$C$8,CU$3=IF('Bonding Program'!$P$52&lt;&gt;"",'Bonding Program'!$P$52,'Bonding Program'!$C$8)),'Bonding Program'!$Z$52,0)+IF(AND('Bonding Program'!$P$52&lt;&gt;"",CU$3='Bonding Program'!$P$52,CU$3&lt;='Bonding Program'!$C$8),N('Bonding Program'!$O$52),0)</f>
        <v>0</v>
      </c>
      <c r="CV193" s="19" t="n">
        <f aca="false">IF(AND('Bonding Program'!$S$52=1,'Bonding Program'!$H$52&gt;'Bonding Program'!$C$8,CV$3='Bonding Program'!$H$52),'Bonding Program'!$T$52-'Bonding Program'!$U$52-'Bonding Program'!$Z$52,0)-IF(AND('Bonding Program'!$S$52=1,'Bonding Program'!$H$52&lt;='Bonding Program'!$C$8,CV$3=IF('Bonding Program'!$P$52&lt;&gt;"",'Bonding Program'!$P$52,'Bonding Program'!$C$8)),'Bonding Program'!$Z$52,0)+IF(AND('Bonding Program'!$P$52&lt;&gt;"",CV$3='Bonding Program'!$P$52,CV$3&lt;='Bonding Program'!$C$8),N('Bonding Program'!$O$52),0)</f>
        <v>0</v>
      </c>
      <c r="CW193" s="19" t="n">
        <f aca="false">IF(AND('Bonding Program'!$S$52=1,'Bonding Program'!$H$52&gt;'Bonding Program'!$C$8,CW$3='Bonding Program'!$H$52),'Bonding Program'!$T$52-'Bonding Program'!$U$52-'Bonding Program'!$Z$52,0)-IF(AND('Bonding Program'!$S$52=1,'Bonding Program'!$H$52&lt;='Bonding Program'!$C$8,CW$3=IF('Bonding Program'!$P$52&lt;&gt;"",'Bonding Program'!$P$52,'Bonding Program'!$C$8)),'Bonding Program'!$Z$52,0)+IF(AND('Bonding Program'!$P$52&lt;&gt;"",CW$3='Bonding Program'!$P$52,CW$3&lt;='Bonding Program'!$C$8),N('Bonding Program'!$O$52),0)</f>
        <v>0</v>
      </c>
      <c r="CX193" s="19" t="n">
        <f aca="false">IF(AND('Bonding Program'!$S$52=1,'Bonding Program'!$H$52&gt;'Bonding Program'!$C$8,CX$3='Bonding Program'!$H$52),'Bonding Program'!$T$52-'Bonding Program'!$U$52-'Bonding Program'!$Z$52,0)-IF(AND('Bonding Program'!$S$52=1,'Bonding Program'!$H$52&lt;='Bonding Program'!$C$8,CX$3=IF('Bonding Program'!$P$52&lt;&gt;"",'Bonding Program'!$P$52,'Bonding Program'!$C$8)),'Bonding Program'!$Z$52,0)+IF(AND('Bonding Program'!$P$52&lt;&gt;"",CX$3='Bonding Program'!$P$52,CX$3&lt;='Bonding Program'!$C$8),N('Bonding Program'!$O$52),0)</f>
        <v>0</v>
      </c>
      <c r="CY193" s="19" t="n">
        <f aca="false">IF(AND('Bonding Program'!$S$52=1,'Bonding Program'!$H$52&gt;'Bonding Program'!$C$8,CY$3='Bonding Program'!$H$52),'Bonding Program'!$T$52-'Bonding Program'!$U$52-'Bonding Program'!$Z$52,0)-IF(AND('Bonding Program'!$S$52=1,'Bonding Program'!$H$52&lt;='Bonding Program'!$C$8,CY$3=IF('Bonding Program'!$P$52&lt;&gt;"",'Bonding Program'!$P$52,'Bonding Program'!$C$8)),'Bonding Program'!$Z$52,0)+IF(AND('Bonding Program'!$P$52&lt;&gt;"",CY$3='Bonding Program'!$P$52,CY$3&lt;='Bonding Program'!$C$8),N('Bonding Program'!$O$52),0)</f>
        <v>0</v>
      </c>
      <c r="CZ193" s="19" t="n">
        <f aca="false">IF(AND('Bonding Program'!$S$52=1,'Bonding Program'!$H$52&gt;'Bonding Program'!$C$8,CZ$3='Bonding Program'!$H$52),'Bonding Program'!$T$52-'Bonding Program'!$U$52-'Bonding Program'!$Z$52,0)-IF(AND('Bonding Program'!$S$52=1,'Bonding Program'!$H$52&lt;='Bonding Program'!$C$8,CZ$3=IF('Bonding Program'!$P$52&lt;&gt;"",'Bonding Program'!$P$52,'Bonding Program'!$C$8)),'Bonding Program'!$Z$52,0)+IF(AND('Bonding Program'!$P$52&lt;&gt;"",CZ$3='Bonding Program'!$P$52,CZ$3&lt;='Bonding Program'!$C$8),N('Bonding Program'!$O$52),0)</f>
        <v>0</v>
      </c>
      <c r="DA193" s="19" t="n">
        <f aca="false">IF(AND('Bonding Program'!$S$52=1,'Bonding Program'!$H$52&gt;'Bonding Program'!$C$8,DA$3='Bonding Program'!$H$52),'Bonding Program'!$T$52-'Bonding Program'!$U$52-'Bonding Program'!$Z$52,0)-IF(AND('Bonding Program'!$S$52=1,'Bonding Program'!$H$52&lt;='Bonding Program'!$C$8,DA$3=IF('Bonding Program'!$P$52&lt;&gt;"",'Bonding Program'!$P$52,'Bonding Program'!$C$8)),'Bonding Program'!$Z$52,0)+IF(AND('Bonding Program'!$P$52&lt;&gt;"",DA$3='Bonding Program'!$P$52,DA$3&lt;='Bonding Program'!$C$8),N('Bonding Program'!$O$52),0)</f>
        <v>0</v>
      </c>
      <c r="DB193" s="19" t="n">
        <f aca="false">IF(AND('Bonding Program'!$S$52=1,'Bonding Program'!$H$52&gt;'Bonding Program'!$C$8,DB$3='Bonding Program'!$H$52),'Bonding Program'!$T$52-'Bonding Program'!$U$52-'Bonding Program'!$Z$52,0)-IF(AND('Bonding Program'!$S$52=1,'Bonding Program'!$H$52&lt;='Bonding Program'!$C$8,DB$3=IF('Bonding Program'!$P$52&lt;&gt;"",'Bonding Program'!$P$52,'Bonding Program'!$C$8)),'Bonding Program'!$Z$52,0)+IF(AND('Bonding Program'!$P$52&lt;&gt;"",DB$3='Bonding Program'!$P$52,DB$3&lt;='Bonding Program'!$C$8),N('Bonding Program'!$O$52),0)</f>
        <v>0</v>
      </c>
      <c r="DC193" s="19" t="n">
        <f aca="false">IF(AND('Bonding Program'!$S$52=1,'Bonding Program'!$H$52&gt;'Bonding Program'!$C$8,DC$3='Bonding Program'!$H$52),'Bonding Program'!$T$52-'Bonding Program'!$U$52-'Bonding Program'!$Z$52,0)-IF(AND('Bonding Program'!$S$52=1,'Bonding Program'!$H$52&lt;='Bonding Program'!$C$8,DC$3=IF('Bonding Program'!$P$52&lt;&gt;"",'Bonding Program'!$P$52,'Bonding Program'!$C$8)),'Bonding Program'!$Z$52,0)+IF(AND('Bonding Program'!$P$52&lt;&gt;"",DC$3='Bonding Program'!$P$52,DC$3&lt;='Bonding Program'!$C$8),N('Bonding Program'!$O$52),0)</f>
        <v>0</v>
      </c>
      <c r="DD193" s="19" t="n">
        <f aca="false">IF(AND('Bonding Program'!$S$52=1,'Bonding Program'!$H$52&gt;'Bonding Program'!$C$8,DD$3='Bonding Program'!$H$52),'Bonding Program'!$T$52-'Bonding Program'!$U$52-'Bonding Program'!$Z$52,0)-IF(AND('Bonding Program'!$S$52=1,'Bonding Program'!$H$52&lt;='Bonding Program'!$C$8,DD$3=IF('Bonding Program'!$P$52&lt;&gt;"",'Bonding Program'!$P$52,'Bonding Program'!$C$8)),'Bonding Program'!$Z$52,0)+IF(AND('Bonding Program'!$P$52&lt;&gt;"",DD$3='Bonding Program'!$P$52,DD$3&lt;='Bonding Program'!$C$8),N('Bonding Program'!$O$52),0)</f>
        <v>0</v>
      </c>
      <c r="DE193" s="19" t="n">
        <f aca="false">IF(AND('Bonding Program'!$S$52=1,'Bonding Program'!$H$52&gt;'Bonding Program'!$C$8,DE$3='Bonding Program'!$H$52),'Bonding Program'!$T$52-'Bonding Program'!$U$52-'Bonding Program'!$Z$52,0)-IF(AND('Bonding Program'!$S$52=1,'Bonding Program'!$H$52&lt;='Bonding Program'!$C$8,DE$3=IF('Bonding Program'!$P$52&lt;&gt;"",'Bonding Program'!$P$52,'Bonding Program'!$C$8)),'Bonding Program'!$Z$52,0)+IF(AND('Bonding Program'!$P$52&lt;&gt;"",DE$3='Bonding Program'!$P$52,DE$3&lt;='Bonding Program'!$C$8),N('Bonding Program'!$O$52),0)</f>
        <v>0</v>
      </c>
    </row>
    <row r="194" customFormat="false" ht="15" hidden="false" customHeight="true" outlineLevel="1" collapsed="false">
      <c r="A194" s="28" t="s">
        <v>49</v>
      </c>
      <c r="B194" s="19" t="n">
        <f aca="false">IF(AND('Bonding Program'!$S$53=1,'Bonding Program'!$H$53&gt;'Bonding Program'!$C$8,B$3='Bonding Program'!$H$53),'Bonding Program'!$T$53-'Bonding Program'!$U$53-'Bonding Program'!$Z$53,0)-IF(AND('Bonding Program'!$S$53=1,'Bonding Program'!$H$53&lt;='Bonding Program'!$C$8,B$3=IF('Bonding Program'!$P$53&lt;&gt;"",'Bonding Program'!$P$53,'Bonding Program'!$C$8)),'Bonding Program'!$Z$53,0)+IF(AND('Bonding Program'!$P$53&lt;&gt;"",B$3='Bonding Program'!$P$53,B$3&lt;='Bonding Program'!$C$8),N('Bonding Program'!$O$53),0)</f>
        <v>0</v>
      </c>
      <c r="C194" s="19" t="n">
        <f aca="false">IF(AND('Bonding Program'!$S$53=1,'Bonding Program'!$H$53&gt;'Bonding Program'!$C$8,C$3='Bonding Program'!$H$53),'Bonding Program'!$T$53-'Bonding Program'!$U$53-'Bonding Program'!$Z$53,0)-IF(AND('Bonding Program'!$S$53=1,'Bonding Program'!$H$53&lt;='Bonding Program'!$C$8,C$3=IF('Bonding Program'!$P$53&lt;&gt;"",'Bonding Program'!$P$53,'Bonding Program'!$C$8)),'Bonding Program'!$Z$53,0)+IF(AND('Bonding Program'!$P$53&lt;&gt;"",C$3='Bonding Program'!$P$53,C$3&lt;='Bonding Program'!$C$8),N('Bonding Program'!$O$53),0)</f>
        <v>0</v>
      </c>
      <c r="D194" s="19" t="n">
        <f aca="false">IF(AND('Bonding Program'!$S$53=1,'Bonding Program'!$H$53&gt;'Bonding Program'!$C$8,D$3='Bonding Program'!$H$53),'Bonding Program'!$T$53-'Bonding Program'!$U$53-'Bonding Program'!$Z$53,0)-IF(AND('Bonding Program'!$S$53=1,'Bonding Program'!$H$53&lt;='Bonding Program'!$C$8,D$3=IF('Bonding Program'!$P$53&lt;&gt;"",'Bonding Program'!$P$53,'Bonding Program'!$C$8)),'Bonding Program'!$Z$53,0)+IF(AND('Bonding Program'!$P$53&lt;&gt;"",D$3='Bonding Program'!$P$53,D$3&lt;='Bonding Program'!$C$8),N('Bonding Program'!$O$53),0)</f>
        <v>0</v>
      </c>
      <c r="E194" s="19" t="n">
        <f aca="false">IF(AND('Bonding Program'!$S$53=1,'Bonding Program'!$H$53&gt;'Bonding Program'!$C$8,E$3='Bonding Program'!$H$53),'Bonding Program'!$T$53-'Bonding Program'!$U$53-'Bonding Program'!$Z$53,0)-IF(AND('Bonding Program'!$S$53=1,'Bonding Program'!$H$53&lt;='Bonding Program'!$C$8,E$3=IF('Bonding Program'!$P$53&lt;&gt;"",'Bonding Program'!$P$53,'Bonding Program'!$C$8)),'Bonding Program'!$Z$53,0)+IF(AND('Bonding Program'!$P$53&lt;&gt;"",E$3='Bonding Program'!$P$53,E$3&lt;='Bonding Program'!$C$8),N('Bonding Program'!$O$53),0)</f>
        <v>0</v>
      </c>
      <c r="F194" s="19" t="n">
        <f aca="false">IF(AND('Bonding Program'!$S$53=1,'Bonding Program'!$H$53&gt;'Bonding Program'!$C$8,F$3='Bonding Program'!$H$53),'Bonding Program'!$T$53-'Bonding Program'!$U$53-'Bonding Program'!$Z$53,0)-IF(AND('Bonding Program'!$S$53=1,'Bonding Program'!$H$53&lt;='Bonding Program'!$C$8,F$3=IF('Bonding Program'!$P$53&lt;&gt;"",'Bonding Program'!$P$53,'Bonding Program'!$C$8)),'Bonding Program'!$Z$53,0)+IF(AND('Bonding Program'!$P$53&lt;&gt;"",F$3='Bonding Program'!$P$53,F$3&lt;='Bonding Program'!$C$8),N('Bonding Program'!$O$53),0)</f>
        <v>0</v>
      </c>
      <c r="G194" s="19" t="n">
        <f aca="false">IF(AND('Bonding Program'!$S$53=1,'Bonding Program'!$H$53&gt;'Bonding Program'!$C$8,G$3='Bonding Program'!$H$53),'Bonding Program'!$T$53-'Bonding Program'!$U$53-'Bonding Program'!$Z$53,0)-IF(AND('Bonding Program'!$S$53=1,'Bonding Program'!$H$53&lt;='Bonding Program'!$C$8,G$3=IF('Bonding Program'!$P$53&lt;&gt;"",'Bonding Program'!$P$53,'Bonding Program'!$C$8)),'Bonding Program'!$Z$53,0)+IF(AND('Bonding Program'!$P$53&lt;&gt;"",G$3='Bonding Program'!$P$53,G$3&lt;='Bonding Program'!$C$8),N('Bonding Program'!$O$53),0)</f>
        <v>0</v>
      </c>
      <c r="H194" s="19" t="n">
        <f aca="false">IF(AND('Bonding Program'!$S$53=1,'Bonding Program'!$H$53&gt;'Bonding Program'!$C$8,H$3='Bonding Program'!$H$53),'Bonding Program'!$T$53-'Bonding Program'!$U$53-'Bonding Program'!$Z$53,0)-IF(AND('Bonding Program'!$S$53=1,'Bonding Program'!$H$53&lt;='Bonding Program'!$C$8,H$3=IF('Bonding Program'!$P$53&lt;&gt;"",'Bonding Program'!$P$53,'Bonding Program'!$C$8)),'Bonding Program'!$Z$53,0)+IF(AND('Bonding Program'!$P$53&lt;&gt;"",H$3='Bonding Program'!$P$53,H$3&lt;='Bonding Program'!$C$8),N('Bonding Program'!$O$53),0)</f>
        <v>0</v>
      </c>
      <c r="I194" s="19" t="n">
        <f aca="false">IF(AND('Bonding Program'!$S$53=1,'Bonding Program'!$H$53&gt;'Bonding Program'!$C$8,I$3='Bonding Program'!$H$53),'Bonding Program'!$T$53-'Bonding Program'!$U$53-'Bonding Program'!$Z$53,0)-IF(AND('Bonding Program'!$S$53=1,'Bonding Program'!$H$53&lt;='Bonding Program'!$C$8,I$3=IF('Bonding Program'!$P$53&lt;&gt;"",'Bonding Program'!$P$53,'Bonding Program'!$C$8)),'Bonding Program'!$Z$53,0)+IF(AND('Bonding Program'!$P$53&lt;&gt;"",I$3='Bonding Program'!$P$53,I$3&lt;='Bonding Program'!$C$8),N('Bonding Program'!$O$53),0)</f>
        <v>0</v>
      </c>
      <c r="J194" s="19" t="n">
        <f aca="false">IF(AND('Bonding Program'!$S$53=1,'Bonding Program'!$H$53&gt;'Bonding Program'!$C$8,J$3='Bonding Program'!$H$53),'Bonding Program'!$T$53-'Bonding Program'!$U$53-'Bonding Program'!$Z$53,0)-IF(AND('Bonding Program'!$S$53=1,'Bonding Program'!$H$53&lt;='Bonding Program'!$C$8,J$3=IF('Bonding Program'!$P$53&lt;&gt;"",'Bonding Program'!$P$53,'Bonding Program'!$C$8)),'Bonding Program'!$Z$53,0)+IF(AND('Bonding Program'!$P$53&lt;&gt;"",J$3='Bonding Program'!$P$53,J$3&lt;='Bonding Program'!$C$8),N('Bonding Program'!$O$53),0)</f>
        <v>0</v>
      </c>
      <c r="K194" s="19" t="n">
        <f aca="false">IF(AND('Bonding Program'!$S$53=1,'Bonding Program'!$H$53&gt;'Bonding Program'!$C$8,K$3='Bonding Program'!$H$53),'Bonding Program'!$T$53-'Bonding Program'!$U$53-'Bonding Program'!$Z$53,0)-IF(AND('Bonding Program'!$S$53=1,'Bonding Program'!$H$53&lt;='Bonding Program'!$C$8,K$3=IF('Bonding Program'!$P$53&lt;&gt;"",'Bonding Program'!$P$53,'Bonding Program'!$C$8)),'Bonding Program'!$Z$53,0)+IF(AND('Bonding Program'!$P$53&lt;&gt;"",K$3='Bonding Program'!$P$53,K$3&lt;='Bonding Program'!$C$8),N('Bonding Program'!$O$53),0)</f>
        <v>0</v>
      </c>
      <c r="L194" s="19" t="n">
        <f aca="false">IF(AND('Bonding Program'!$S$53=1,'Bonding Program'!$H$53&gt;'Bonding Program'!$C$8,L$3='Bonding Program'!$H$53),'Bonding Program'!$T$53-'Bonding Program'!$U$53-'Bonding Program'!$Z$53,0)-IF(AND('Bonding Program'!$S$53=1,'Bonding Program'!$H$53&lt;='Bonding Program'!$C$8,L$3=IF('Bonding Program'!$P$53&lt;&gt;"",'Bonding Program'!$P$53,'Bonding Program'!$C$8)),'Bonding Program'!$Z$53,0)+IF(AND('Bonding Program'!$P$53&lt;&gt;"",L$3='Bonding Program'!$P$53,L$3&lt;='Bonding Program'!$C$8),N('Bonding Program'!$O$53),0)</f>
        <v>0</v>
      </c>
      <c r="M194" s="19" t="n">
        <f aca="false">IF(AND('Bonding Program'!$S$53=1,'Bonding Program'!$H$53&gt;'Bonding Program'!$C$8,M$3='Bonding Program'!$H$53),'Bonding Program'!$T$53-'Bonding Program'!$U$53-'Bonding Program'!$Z$53,0)-IF(AND('Bonding Program'!$S$53=1,'Bonding Program'!$H$53&lt;='Bonding Program'!$C$8,M$3=IF('Bonding Program'!$P$53&lt;&gt;"",'Bonding Program'!$P$53,'Bonding Program'!$C$8)),'Bonding Program'!$Z$53,0)+IF(AND('Bonding Program'!$P$53&lt;&gt;"",M$3='Bonding Program'!$P$53,M$3&lt;='Bonding Program'!$C$8),N('Bonding Program'!$O$53),0)</f>
        <v>0</v>
      </c>
      <c r="N194" s="19" t="n">
        <f aca="false">IF(AND('Bonding Program'!$S$53=1,'Bonding Program'!$H$53&gt;'Bonding Program'!$C$8,N$3='Bonding Program'!$H$53),'Bonding Program'!$T$53-'Bonding Program'!$U$53-'Bonding Program'!$Z$53,0)-IF(AND('Bonding Program'!$S$53=1,'Bonding Program'!$H$53&lt;='Bonding Program'!$C$8,N$3=IF('Bonding Program'!$P$53&lt;&gt;"",'Bonding Program'!$P$53,'Bonding Program'!$C$8)),'Bonding Program'!$Z$53,0)+IF(AND('Bonding Program'!$P$53&lt;&gt;"",N$3='Bonding Program'!$P$53,N$3&lt;='Bonding Program'!$C$8),N('Bonding Program'!$O$53),0)</f>
        <v>0</v>
      </c>
      <c r="O194" s="19" t="n">
        <f aca="false">IF(AND('Bonding Program'!$S$53=1,'Bonding Program'!$H$53&gt;'Bonding Program'!$C$8,O$3='Bonding Program'!$H$53),'Bonding Program'!$T$53-'Bonding Program'!$U$53-'Bonding Program'!$Z$53,0)-IF(AND('Bonding Program'!$S$53=1,'Bonding Program'!$H$53&lt;='Bonding Program'!$C$8,O$3=IF('Bonding Program'!$P$53&lt;&gt;"",'Bonding Program'!$P$53,'Bonding Program'!$C$8)),'Bonding Program'!$Z$53,0)+IF(AND('Bonding Program'!$P$53&lt;&gt;"",O$3='Bonding Program'!$P$53,O$3&lt;='Bonding Program'!$C$8),N('Bonding Program'!$O$53),0)</f>
        <v>0</v>
      </c>
      <c r="P194" s="19" t="n">
        <f aca="false">IF(AND('Bonding Program'!$S$53=1,'Bonding Program'!$H$53&gt;'Bonding Program'!$C$8,P$3='Bonding Program'!$H$53),'Bonding Program'!$T$53-'Bonding Program'!$U$53-'Bonding Program'!$Z$53,0)-IF(AND('Bonding Program'!$S$53=1,'Bonding Program'!$H$53&lt;='Bonding Program'!$C$8,P$3=IF('Bonding Program'!$P$53&lt;&gt;"",'Bonding Program'!$P$53,'Bonding Program'!$C$8)),'Bonding Program'!$Z$53,0)+IF(AND('Bonding Program'!$P$53&lt;&gt;"",P$3='Bonding Program'!$P$53,P$3&lt;='Bonding Program'!$C$8),N('Bonding Program'!$O$53),0)</f>
        <v>0</v>
      </c>
      <c r="Q194" s="19" t="n">
        <f aca="false">IF(AND('Bonding Program'!$S$53=1,'Bonding Program'!$H$53&gt;'Bonding Program'!$C$8,Q$3='Bonding Program'!$H$53),'Bonding Program'!$T$53-'Bonding Program'!$U$53-'Bonding Program'!$Z$53,0)-IF(AND('Bonding Program'!$S$53=1,'Bonding Program'!$H$53&lt;='Bonding Program'!$C$8,Q$3=IF('Bonding Program'!$P$53&lt;&gt;"",'Bonding Program'!$P$53,'Bonding Program'!$C$8)),'Bonding Program'!$Z$53,0)+IF(AND('Bonding Program'!$P$53&lt;&gt;"",Q$3='Bonding Program'!$P$53,Q$3&lt;='Bonding Program'!$C$8),N('Bonding Program'!$O$53),0)</f>
        <v>0</v>
      </c>
      <c r="R194" s="19" t="n">
        <f aca="false">IF(AND('Bonding Program'!$S$53=1,'Bonding Program'!$H$53&gt;'Bonding Program'!$C$8,R$3='Bonding Program'!$H$53),'Bonding Program'!$T$53-'Bonding Program'!$U$53-'Bonding Program'!$Z$53,0)-IF(AND('Bonding Program'!$S$53=1,'Bonding Program'!$H$53&lt;='Bonding Program'!$C$8,R$3=IF('Bonding Program'!$P$53&lt;&gt;"",'Bonding Program'!$P$53,'Bonding Program'!$C$8)),'Bonding Program'!$Z$53,0)+IF(AND('Bonding Program'!$P$53&lt;&gt;"",R$3='Bonding Program'!$P$53,R$3&lt;='Bonding Program'!$C$8),N('Bonding Program'!$O$53),0)</f>
        <v>0</v>
      </c>
      <c r="S194" s="19" t="n">
        <f aca="false">IF(AND('Bonding Program'!$S$53=1,'Bonding Program'!$H$53&gt;'Bonding Program'!$C$8,S$3='Bonding Program'!$H$53),'Bonding Program'!$T$53-'Bonding Program'!$U$53-'Bonding Program'!$Z$53,0)-IF(AND('Bonding Program'!$S$53=1,'Bonding Program'!$H$53&lt;='Bonding Program'!$C$8,S$3=IF('Bonding Program'!$P$53&lt;&gt;"",'Bonding Program'!$P$53,'Bonding Program'!$C$8)),'Bonding Program'!$Z$53,0)+IF(AND('Bonding Program'!$P$53&lt;&gt;"",S$3='Bonding Program'!$P$53,S$3&lt;='Bonding Program'!$C$8),N('Bonding Program'!$O$53),0)</f>
        <v>0</v>
      </c>
      <c r="T194" s="19" t="n">
        <f aca="false">IF(AND('Bonding Program'!$S$53=1,'Bonding Program'!$H$53&gt;'Bonding Program'!$C$8,T$3='Bonding Program'!$H$53),'Bonding Program'!$T$53-'Bonding Program'!$U$53-'Bonding Program'!$Z$53,0)-IF(AND('Bonding Program'!$S$53=1,'Bonding Program'!$H$53&lt;='Bonding Program'!$C$8,T$3=IF('Bonding Program'!$P$53&lt;&gt;"",'Bonding Program'!$P$53,'Bonding Program'!$C$8)),'Bonding Program'!$Z$53,0)+IF(AND('Bonding Program'!$P$53&lt;&gt;"",T$3='Bonding Program'!$P$53,T$3&lt;='Bonding Program'!$C$8),N('Bonding Program'!$O$53),0)</f>
        <v>0</v>
      </c>
      <c r="U194" s="19" t="n">
        <f aca="false">IF(AND('Bonding Program'!$S$53=1,'Bonding Program'!$H$53&gt;'Bonding Program'!$C$8,U$3='Bonding Program'!$H$53),'Bonding Program'!$T$53-'Bonding Program'!$U$53-'Bonding Program'!$Z$53,0)-IF(AND('Bonding Program'!$S$53=1,'Bonding Program'!$H$53&lt;='Bonding Program'!$C$8,U$3=IF('Bonding Program'!$P$53&lt;&gt;"",'Bonding Program'!$P$53,'Bonding Program'!$C$8)),'Bonding Program'!$Z$53,0)+IF(AND('Bonding Program'!$P$53&lt;&gt;"",U$3='Bonding Program'!$P$53,U$3&lt;='Bonding Program'!$C$8),N('Bonding Program'!$O$53),0)</f>
        <v>0</v>
      </c>
      <c r="V194" s="19" t="n">
        <f aca="false">IF(AND('Bonding Program'!$S$53=1,'Bonding Program'!$H$53&gt;'Bonding Program'!$C$8,V$3='Bonding Program'!$H$53),'Bonding Program'!$T$53-'Bonding Program'!$U$53-'Bonding Program'!$Z$53,0)-IF(AND('Bonding Program'!$S$53=1,'Bonding Program'!$H$53&lt;='Bonding Program'!$C$8,V$3=IF('Bonding Program'!$P$53&lt;&gt;"",'Bonding Program'!$P$53,'Bonding Program'!$C$8)),'Bonding Program'!$Z$53,0)+IF(AND('Bonding Program'!$P$53&lt;&gt;"",V$3='Bonding Program'!$P$53,V$3&lt;='Bonding Program'!$C$8),N('Bonding Program'!$O$53),0)</f>
        <v>0</v>
      </c>
      <c r="W194" s="19" t="n">
        <f aca="false">IF(AND('Bonding Program'!$S$53=1,'Bonding Program'!$H$53&gt;'Bonding Program'!$C$8,W$3='Bonding Program'!$H$53),'Bonding Program'!$T$53-'Bonding Program'!$U$53-'Bonding Program'!$Z$53,0)-IF(AND('Bonding Program'!$S$53=1,'Bonding Program'!$H$53&lt;='Bonding Program'!$C$8,W$3=IF('Bonding Program'!$P$53&lt;&gt;"",'Bonding Program'!$P$53,'Bonding Program'!$C$8)),'Bonding Program'!$Z$53,0)+IF(AND('Bonding Program'!$P$53&lt;&gt;"",W$3='Bonding Program'!$P$53,W$3&lt;='Bonding Program'!$C$8),N('Bonding Program'!$O$53),0)</f>
        <v>0</v>
      </c>
      <c r="X194" s="19" t="n">
        <f aca="false">IF(AND('Bonding Program'!$S$53=1,'Bonding Program'!$H$53&gt;'Bonding Program'!$C$8,X$3='Bonding Program'!$H$53),'Bonding Program'!$T$53-'Bonding Program'!$U$53-'Bonding Program'!$Z$53,0)-IF(AND('Bonding Program'!$S$53=1,'Bonding Program'!$H$53&lt;='Bonding Program'!$C$8,X$3=IF('Bonding Program'!$P$53&lt;&gt;"",'Bonding Program'!$P$53,'Bonding Program'!$C$8)),'Bonding Program'!$Z$53,0)+IF(AND('Bonding Program'!$P$53&lt;&gt;"",X$3='Bonding Program'!$P$53,X$3&lt;='Bonding Program'!$C$8),N('Bonding Program'!$O$53),0)</f>
        <v>0</v>
      </c>
      <c r="Y194" s="19" t="n">
        <f aca="false">IF(AND('Bonding Program'!$S$53=1,'Bonding Program'!$H$53&gt;'Bonding Program'!$C$8,Y$3='Bonding Program'!$H$53),'Bonding Program'!$T$53-'Bonding Program'!$U$53-'Bonding Program'!$Z$53,0)-IF(AND('Bonding Program'!$S$53=1,'Bonding Program'!$H$53&lt;='Bonding Program'!$C$8,Y$3=IF('Bonding Program'!$P$53&lt;&gt;"",'Bonding Program'!$P$53,'Bonding Program'!$C$8)),'Bonding Program'!$Z$53,0)+IF(AND('Bonding Program'!$P$53&lt;&gt;"",Y$3='Bonding Program'!$P$53,Y$3&lt;='Bonding Program'!$C$8),N('Bonding Program'!$O$53),0)</f>
        <v>0</v>
      </c>
      <c r="Z194" s="19" t="n">
        <f aca="false">IF(AND('Bonding Program'!$S$53=1,'Bonding Program'!$H$53&gt;'Bonding Program'!$C$8,Z$3='Bonding Program'!$H$53),'Bonding Program'!$T$53-'Bonding Program'!$U$53-'Bonding Program'!$Z$53,0)-IF(AND('Bonding Program'!$S$53=1,'Bonding Program'!$H$53&lt;='Bonding Program'!$C$8,Z$3=IF('Bonding Program'!$P$53&lt;&gt;"",'Bonding Program'!$P$53,'Bonding Program'!$C$8)),'Bonding Program'!$Z$53,0)+IF(AND('Bonding Program'!$P$53&lt;&gt;"",Z$3='Bonding Program'!$P$53,Z$3&lt;='Bonding Program'!$C$8),N('Bonding Program'!$O$53),0)</f>
        <v>0</v>
      </c>
      <c r="AA194" s="19" t="n">
        <f aca="false">IF(AND('Bonding Program'!$S$53=1,'Bonding Program'!$H$53&gt;'Bonding Program'!$C$8,AA$3='Bonding Program'!$H$53),'Bonding Program'!$T$53-'Bonding Program'!$U$53-'Bonding Program'!$Z$53,0)-IF(AND('Bonding Program'!$S$53=1,'Bonding Program'!$H$53&lt;='Bonding Program'!$C$8,AA$3=IF('Bonding Program'!$P$53&lt;&gt;"",'Bonding Program'!$P$53,'Bonding Program'!$C$8)),'Bonding Program'!$Z$53,0)+IF(AND('Bonding Program'!$P$53&lt;&gt;"",AA$3='Bonding Program'!$P$53,AA$3&lt;='Bonding Program'!$C$8),N('Bonding Program'!$O$53),0)</f>
        <v>0</v>
      </c>
      <c r="AB194" s="19" t="n">
        <f aca="false">IF(AND('Bonding Program'!$S$53=1,'Bonding Program'!$H$53&gt;'Bonding Program'!$C$8,AB$3='Bonding Program'!$H$53),'Bonding Program'!$T$53-'Bonding Program'!$U$53-'Bonding Program'!$Z$53,0)-IF(AND('Bonding Program'!$S$53=1,'Bonding Program'!$H$53&lt;='Bonding Program'!$C$8,AB$3=IF('Bonding Program'!$P$53&lt;&gt;"",'Bonding Program'!$P$53,'Bonding Program'!$C$8)),'Bonding Program'!$Z$53,0)+IF(AND('Bonding Program'!$P$53&lt;&gt;"",AB$3='Bonding Program'!$P$53,AB$3&lt;='Bonding Program'!$C$8),N('Bonding Program'!$O$53),0)</f>
        <v>0</v>
      </c>
      <c r="AC194" s="19" t="n">
        <f aca="false">IF(AND('Bonding Program'!$S$53=1,'Bonding Program'!$H$53&gt;'Bonding Program'!$C$8,AC$3='Bonding Program'!$H$53),'Bonding Program'!$T$53-'Bonding Program'!$U$53-'Bonding Program'!$Z$53,0)-IF(AND('Bonding Program'!$S$53=1,'Bonding Program'!$H$53&lt;='Bonding Program'!$C$8,AC$3=IF('Bonding Program'!$P$53&lt;&gt;"",'Bonding Program'!$P$53,'Bonding Program'!$C$8)),'Bonding Program'!$Z$53,0)+IF(AND('Bonding Program'!$P$53&lt;&gt;"",AC$3='Bonding Program'!$P$53,AC$3&lt;='Bonding Program'!$C$8),N('Bonding Program'!$O$53),0)</f>
        <v>0</v>
      </c>
      <c r="AD194" s="19" t="n">
        <f aca="false">IF(AND('Bonding Program'!$S$53=1,'Bonding Program'!$H$53&gt;'Bonding Program'!$C$8,AD$3='Bonding Program'!$H$53),'Bonding Program'!$T$53-'Bonding Program'!$U$53-'Bonding Program'!$Z$53,0)-IF(AND('Bonding Program'!$S$53=1,'Bonding Program'!$H$53&lt;='Bonding Program'!$C$8,AD$3=IF('Bonding Program'!$P$53&lt;&gt;"",'Bonding Program'!$P$53,'Bonding Program'!$C$8)),'Bonding Program'!$Z$53,0)+IF(AND('Bonding Program'!$P$53&lt;&gt;"",AD$3='Bonding Program'!$P$53,AD$3&lt;='Bonding Program'!$C$8),N('Bonding Program'!$O$53),0)</f>
        <v>0</v>
      </c>
      <c r="AE194" s="19" t="n">
        <f aca="false">IF(AND('Bonding Program'!$S$53=1,'Bonding Program'!$H$53&gt;'Bonding Program'!$C$8,AE$3='Bonding Program'!$H$53),'Bonding Program'!$T$53-'Bonding Program'!$U$53-'Bonding Program'!$Z$53,0)-IF(AND('Bonding Program'!$S$53=1,'Bonding Program'!$H$53&lt;='Bonding Program'!$C$8,AE$3=IF('Bonding Program'!$P$53&lt;&gt;"",'Bonding Program'!$P$53,'Bonding Program'!$C$8)),'Bonding Program'!$Z$53,0)+IF(AND('Bonding Program'!$P$53&lt;&gt;"",AE$3='Bonding Program'!$P$53,AE$3&lt;='Bonding Program'!$C$8),N('Bonding Program'!$O$53),0)</f>
        <v>0</v>
      </c>
      <c r="AF194" s="19" t="n">
        <f aca="false">IF(AND('Bonding Program'!$S$53=1,'Bonding Program'!$H$53&gt;'Bonding Program'!$C$8,AF$3='Bonding Program'!$H$53),'Bonding Program'!$T$53-'Bonding Program'!$U$53-'Bonding Program'!$Z$53,0)-IF(AND('Bonding Program'!$S$53=1,'Bonding Program'!$H$53&lt;='Bonding Program'!$C$8,AF$3=IF('Bonding Program'!$P$53&lt;&gt;"",'Bonding Program'!$P$53,'Bonding Program'!$C$8)),'Bonding Program'!$Z$53,0)+IF(AND('Bonding Program'!$P$53&lt;&gt;"",AF$3='Bonding Program'!$P$53,AF$3&lt;='Bonding Program'!$C$8),N('Bonding Program'!$O$53),0)</f>
        <v>0</v>
      </c>
      <c r="AG194" s="19" t="n">
        <f aca="false">IF(AND('Bonding Program'!$S$53=1,'Bonding Program'!$H$53&gt;'Bonding Program'!$C$8,AG$3='Bonding Program'!$H$53),'Bonding Program'!$T$53-'Bonding Program'!$U$53-'Bonding Program'!$Z$53,0)-IF(AND('Bonding Program'!$S$53=1,'Bonding Program'!$H$53&lt;='Bonding Program'!$C$8,AG$3=IF('Bonding Program'!$P$53&lt;&gt;"",'Bonding Program'!$P$53,'Bonding Program'!$C$8)),'Bonding Program'!$Z$53,0)+IF(AND('Bonding Program'!$P$53&lt;&gt;"",AG$3='Bonding Program'!$P$53,AG$3&lt;='Bonding Program'!$C$8),N('Bonding Program'!$O$53),0)</f>
        <v>0</v>
      </c>
      <c r="AH194" s="19" t="n">
        <f aca="false">IF(AND('Bonding Program'!$S$53=1,'Bonding Program'!$H$53&gt;'Bonding Program'!$C$8,AH$3='Bonding Program'!$H$53),'Bonding Program'!$T$53-'Bonding Program'!$U$53-'Bonding Program'!$Z$53,0)-IF(AND('Bonding Program'!$S$53=1,'Bonding Program'!$H$53&lt;='Bonding Program'!$C$8,AH$3=IF('Bonding Program'!$P$53&lt;&gt;"",'Bonding Program'!$P$53,'Bonding Program'!$C$8)),'Bonding Program'!$Z$53,0)+IF(AND('Bonding Program'!$P$53&lt;&gt;"",AH$3='Bonding Program'!$P$53,AH$3&lt;='Bonding Program'!$C$8),N('Bonding Program'!$O$53),0)</f>
        <v>0</v>
      </c>
      <c r="AI194" s="19" t="n">
        <f aca="false">IF(AND('Bonding Program'!$S$53=1,'Bonding Program'!$H$53&gt;'Bonding Program'!$C$8,AI$3='Bonding Program'!$H$53),'Bonding Program'!$T$53-'Bonding Program'!$U$53-'Bonding Program'!$Z$53,0)-IF(AND('Bonding Program'!$S$53=1,'Bonding Program'!$H$53&lt;='Bonding Program'!$C$8,AI$3=IF('Bonding Program'!$P$53&lt;&gt;"",'Bonding Program'!$P$53,'Bonding Program'!$C$8)),'Bonding Program'!$Z$53,0)+IF(AND('Bonding Program'!$P$53&lt;&gt;"",AI$3='Bonding Program'!$P$53,AI$3&lt;='Bonding Program'!$C$8),N('Bonding Program'!$O$53),0)</f>
        <v>0</v>
      </c>
      <c r="AJ194" s="19" t="n">
        <f aca="false">IF(AND('Bonding Program'!$S$53=1,'Bonding Program'!$H$53&gt;'Bonding Program'!$C$8,AJ$3='Bonding Program'!$H$53),'Bonding Program'!$T$53-'Bonding Program'!$U$53-'Bonding Program'!$Z$53,0)-IF(AND('Bonding Program'!$S$53=1,'Bonding Program'!$H$53&lt;='Bonding Program'!$C$8,AJ$3=IF('Bonding Program'!$P$53&lt;&gt;"",'Bonding Program'!$P$53,'Bonding Program'!$C$8)),'Bonding Program'!$Z$53,0)+IF(AND('Bonding Program'!$P$53&lt;&gt;"",AJ$3='Bonding Program'!$P$53,AJ$3&lt;='Bonding Program'!$C$8),N('Bonding Program'!$O$53),0)</f>
        <v>0</v>
      </c>
      <c r="AK194" s="19" t="n">
        <f aca="false">IF(AND('Bonding Program'!$S$53=1,'Bonding Program'!$H$53&gt;'Bonding Program'!$C$8,AK$3='Bonding Program'!$H$53),'Bonding Program'!$T$53-'Bonding Program'!$U$53-'Bonding Program'!$Z$53,0)-IF(AND('Bonding Program'!$S$53=1,'Bonding Program'!$H$53&lt;='Bonding Program'!$C$8,AK$3=IF('Bonding Program'!$P$53&lt;&gt;"",'Bonding Program'!$P$53,'Bonding Program'!$C$8)),'Bonding Program'!$Z$53,0)+IF(AND('Bonding Program'!$P$53&lt;&gt;"",AK$3='Bonding Program'!$P$53,AK$3&lt;='Bonding Program'!$C$8),N('Bonding Program'!$O$53),0)</f>
        <v>0</v>
      </c>
      <c r="AL194" s="19" t="n">
        <f aca="false">IF(AND('Bonding Program'!$S$53=1,'Bonding Program'!$H$53&gt;'Bonding Program'!$C$8,AL$3='Bonding Program'!$H$53),'Bonding Program'!$T$53-'Bonding Program'!$U$53-'Bonding Program'!$Z$53,0)-IF(AND('Bonding Program'!$S$53=1,'Bonding Program'!$H$53&lt;='Bonding Program'!$C$8,AL$3=IF('Bonding Program'!$P$53&lt;&gt;"",'Bonding Program'!$P$53,'Bonding Program'!$C$8)),'Bonding Program'!$Z$53,0)+IF(AND('Bonding Program'!$P$53&lt;&gt;"",AL$3='Bonding Program'!$P$53,AL$3&lt;='Bonding Program'!$C$8),N('Bonding Program'!$O$53),0)</f>
        <v>0</v>
      </c>
      <c r="AM194" s="19" t="n">
        <f aca="false">IF(AND('Bonding Program'!$S$53=1,'Bonding Program'!$H$53&gt;'Bonding Program'!$C$8,AM$3='Bonding Program'!$H$53),'Bonding Program'!$T$53-'Bonding Program'!$U$53-'Bonding Program'!$Z$53,0)-IF(AND('Bonding Program'!$S$53=1,'Bonding Program'!$H$53&lt;='Bonding Program'!$C$8,AM$3=IF('Bonding Program'!$P$53&lt;&gt;"",'Bonding Program'!$P$53,'Bonding Program'!$C$8)),'Bonding Program'!$Z$53,0)+IF(AND('Bonding Program'!$P$53&lt;&gt;"",AM$3='Bonding Program'!$P$53,AM$3&lt;='Bonding Program'!$C$8),N('Bonding Program'!$O$53),0)</f>
        <v>0</v>
      </c>
      <c r="AN194" s="19" t="n">
        <f aca="false">IF(AND('Bonding Program'!$S$53=1,'Bonding Program'!$H$53&gt;'Bonding Program'!$C$8,AN$3='Bonding Program'!$H$53),'Bonding Program'!$T$53-'Bonding Program'!$U$53-'Bonding Program'!$Z$53,0)-IF(AND('Bonding Program'!$S$53=1,'Bonding Program'!$H$53&lt;='Bonding Program'!$C$8,AN$3=IF('Bonding Program'!$P$53&lt;&gt;"",'Bonding Program'!$P$53,'Bonding Program'!$C$8)),'Bonding Program'!$Z$53,0)+IF(AND('Bonding Program'!$P$53&lt;&gt;"",AN$3='Bonding Program'!$P$53,AN$3&lt;='Bonding Program'!$C$8),N('Bonding Program'!$O$53),0)</f>
        <v>0</v>
      </c>
      <c r="AO194" s="19" t="n">
        <f aca="false">IF(AND('Bonding Program'!$S$53=1,'Bonding Program'!$H$53&gt;'Bonding Program'!$C$8,AO$3='Bonding Program'!$H$53),'Bonding Program'!$T$53-'Bonding Program'!$U$53-'Bonding Program'!$Z$53,0)-IF(AND('Bonding Program'!$S$53=1,'Bonding Program'!$H$53&lt;='Bonding Program'!$C$8,AO$3=IF('Bonding Program'!$P$53&lt;&gt;"",'Bonding Program'!$P$53,'Bonding Program'!$C$8)),'Bonding Program'!$Z$53,0)+IF(AND('Bonding Program'!$P$53&lt;&gt;"",AO$3='Bonding Program'!$P$53,AO$3&lt;='Bonding Program'!$C$8),N('Bonding Program'!$O$53),0)</f>
        <v>0</v>
      </c>
      <c r="AP194" s="19" t="n">
        <f aca="false">IF(AND('Bonding Program'!$S$53=1,'Bonding Program'!$H$53&gt;'Bonding Program'!$C$8,AP$3='Bonding Program'!$H$53),'Bonding Program'!$T$53-'Bonding Program'!$U$53-'Bonding Program'!$Z$53,0)-IF(AND('Bonding Program'!$S$53=1,'Bonding Program'!$H$53&lt;='Bonding Program'!$C$8,AP$3=IF('Bonding Program'!$P$53&lt;&gt;"",'Bonding Program'!$P$53,'Bonding Program'!$C$8)),'Bonding Program'!$Z$53,0)+IF(AND('Bonding Program'!$P$53&lt;&gt;"",AP$3='Bonding Program'!$P$53,AP$3&lt;='Bonding Program'!$C$8),N('Bonding Program'!$O$53),0)</f>
        <v>0</v>
      </c>
      <c r="AQ194" s="19" t="n">
        <f aca="false">IF(AND('Bonding Program'!$S$53=1,'Bonding Program'!$H$53&gt;'Bonding Program'!$C$8,AQ$3='Bonding Program'!$H$53),'Bonding Program'!$T$53-'Bonding Program'!$U$53-'Bonding Program'!$Z$53,0)-IF(AND('Bonding Program'!$S$53=1,'Bonding Program'!$H$53&lt;='Bonding Program'!$C$8,AQ$3=IF('Bonding Program'!$P$53&lt;&gt;"",'Bonding Program'!$P$53,'Bonding Program'!$C$8)),'Bonding Program'!$Z$53,0)+IF(AND('Bonding Program'!$P$53&lt;&gt;"",AQ$3='Bonding Program'!$P$53,AQ$3&lt;='Bonding Program'!$C$8),N('Bonding Program'!$O$53),0)</f>
        <v>0</v>
      </c>
      <c r="AR194" s="19" t="n">
        <f aca="false">IF(AND('Bonding Program'!$S$53=1,'Bonding Program'!$H$53&gt;'Bonding Program'!$C$8,AR$3='Bonding Program'!$H$53),'Bonding Program'!$T$53-'Bonding Program'!$U$53-'Bonding Program'!$Z$53,0)-IF(AND('Bonding Program'!$S$53=1,'Bonding Program'!$H$53&lt;='Bonding Program'!$C$8,AR$3=IF('Bonding Program'!$P$53&lt;&gt;"",'Bonding Program'!$P$53,'Bonding Program'!$C$8)),'Bonding Program'!$Z$53,0)+IF(AND('Bonding Program'!$P$53&lt;&gt;"",AR$3='Bonding Program'!$P$53,AR$3&lt;='Bonding Program'!$C$8),N('Bonding Program'!$O$53),0)</f>
        <v>0</v>
      </c>
      <c r="AS194" s="19" t="n">
        <f aca="false">IF(AND('Bonding Program'!$S$53=1,'Bonding Program'!$H$53&gt;'Bonding Program'!$C$8,AS$3='Bonding Program'!$H$53),'Bonding Program'!$T$53-'Bonding Program'!$U$53-'Bonding Program'!$Z$53,0)-IF(AND('Bonding Program'!$S$53=1,'Bonding Program'!$H$53&lt;='Bonding Program'!$C$8,AS$3=IF('Bonding Program'!$P$53&lt;&gt;"",'Bonding Program'!$P$53,'Bonding Program'!$C$8)),'Bonding Program'!$Z$53,0)+IF(AND('Bonding Program'!$P$53&lt;&gt;"",AS$3='Bonding Program'!$P$53,AS$3&lt;='Bonding Program'!$C$8),N('Bonding Program'!$O$53),0)</f>
        <v>0</v>
      </c>
      <c r="AT194" s="19" t="n">
        <f aca="false">IF(AND('Bonding Program'!$S$53=1,'Bonding Program'!$H$53&gt;'Bonding Program'!$C$8,AT$3='Bonding Program'!$H$53),'Bonding Program'!$T$53-'Bonding Program'!$U$53-'Bonding Program'!$Z$53,0)-IF(AND('Bonding Program'!$S$53=1,'Bonding Program'!$H$53&lt;='Bonding Program'!$C$8,AT$3=IF('Bonding Program'!$P$53&lt;&gt;"",'Bonding Program'!$P$53,'Bonding Program'!$C$8)),'Bonding Program'!$Z$53,0)+IF(AND('Bonding Program'!$P$53&lt;&gt;"",AT$3='Bonding Program'!$P$53,AT$3&lt;='Bonding Program'!$C$8),N('Bonding Program'!$O$53),0)</f>
        <v>0</v>
      </c>
      <c r="AU194" s="19" t="n">
        <f aca="false">IF(AND('Bonding Program'!$S$53=1,'Bonding Program'!$H$53&gt;'Bonding Program'!$C$8,AU$3='Bonding Program'!$H$53),'Bonding Program'!$T$53-'Bonding Program'!$U$53-'Bonding Program'!$Z$53,0)-IF(AND('Bonding Program'!$S$53=1,'Bonding Program'!$H$53&lt;='Bonding Program'!$C$8,AU$3=IF('Bonding Program'!$P$53&lt;&gt;"",'Bonding Program'!$P$53,'Bonding Program'!$C$8)),'Bonding Program'!$Z$53,0)+IF(AND('Bonding Program'!$P$53&lt;&gt;"",AU$3='Bonding Program'!$P$53,AU$3&lt;='Bonding Program'!$C$8),N('Bonding Program'!$O$53),0)</f>
        <v>0</v>
      </c>
      <c r="AV194" s="19" t="n">
        <f aca="false">IF(AND('Bonding Program'!$S$53=1,'Bonding Program'!$H$53&gt;'Bonding Program'!$C$8,AV$3='Bonding Program'!$H$53),'Bonding Program'!$T$53-'Bonding Program'!$U$53-'Bonding Program'!$Z$53,0)-IF(AND('Bonding Program'!$S$53=1,'Bonding Program'!$H$53&lt;='Bonding Program'!$C$8,AV$3=IF('Bonding Program'!$P$53&lt;&gt;"",'Bonding Program'!$P$53,'Bonding Program'!$C$8)),'Bonding Program'!$Z$53,0)+IF(AND('Bonding Program'!$P$53&lt;&gt;"",AV$3='Bonding Program'!$P$53,AV$3&lt;='Bonding Program'!$C$8),N('Bonding Program'!$O$53),0)</f>
        <v>0</v>
      </c>
      <c r="AW194" s="19" t="n">
        <f aca="false">IF(AND('Bonding Program'!$S$53=1,'Bonding Program'!$H$53&gt;'Bonding Program'!$C$8,AW$3='Bonding Program'!$H$53),'Bonding Program'!$T$53-'Bonding Program'!$U$53-'Bonding Program'!$Z$53,0)-IF(AND('Bonding Program'!$S$53=1,'Bonding Program'!$H$53&lt;='Bonding Program'!$C$8,AW$3=IF('Bonding Program'!$P$53&lt;&gt;"",'Bonding Program'!$P$53,'Bonding Program'!$C$8)),'Bonding Program'!$Z$53,0)+IF(AND('Bonding Program'!$P$53&lt;&gt;"",AW$3='Bonding Program'!$P$53,AW$3&lt;='Bonding Program'!$C$8),N('Bonding Program'!$O$53),0)</f>
        <v>0</v>
      </c>
      <c r="AX194" s="19" t="n">
        <f aca="false">IF(AND('Bonding Program'!$S$53=1,'Bonding Program'!$H$53&gt;'Bonding Program'!$C$8,AX$3='Bonding Program'!$H$53),'Bonding Program'!$T$53-'Bonding Program'!$U$53-'Bonding Program'!$Z$53,0)-IF(AND('Bonding Program'!$S$53=1,'Bonding Program'!$H$53&lt;='Bonding Program'!$C$8,AX$3=IF('Bonding Program'!$P$53&lt;&gt;"",'Bonding Program'!$P$53,'Bonding Program'!$C$8)),'Bonding Program'!$Z$53,0)+IF(AND('Bonding Program'!$P$53&lt;&gt;"",AX$3='Bonding Program'!$P$53,AX$3&lt;='Bonding Program'!$C$8),N('Bonding Program'!$O$53),0)</f>
        <v>0</v>
      </c>
      <c r="AY194" s="19" t="n">
        <f aca="false">IF(AND('Bonding Program'!$S$53=1,'Bonding Program'!$H$53&gt;'Bonding Program'!$C$8,AY$3='Bonding Program'!$H$53),'Bonding Program'!$T$53-'Bonding Program'!$U$53-'Bonding Program'!$Z$53,0)-IF(AND('Bonding Program'!$S$53=1,'Bonding Program'!$H$53&lt;='Bonding Program'!$C$8,AY$3=IF('Bonding Program'!$P$53&lt;&gt;"",'Bonding Program'!$P$53,'Bonding Program'!$C$8)),'Bonding Program'!$Z$53,0)+IF(AND('Bonding Program'!$P$53&lt;&gt;"",AY$3='Bonding Program'!$P$53,AY$3&lt;='Bonding Program'!$C$8),N('Bonding Program'!$O$53),0)</f>
        <v>0</v>
      </c>
      <c r="AZ194" s="19" t="n">
        <f aca="false">IF(AND('Bonding Program'!$S$53=1,'Bonding Program'!$H$53&gt;'Bonding Program'!$C$8,AZ$3='Bonding Program'!$H$53),'Bonding Program'!$T$53-'Bonding Program'!$U$53-'Bonding Program'!$Z$53,0)-IF(AND('Bonding Program'!$S$53=1,'Bonding Program'!$H$53&lt;='Bonding Program'!$C$8,AZ$3=IF('Bonding Program'!$P$53&lt;&gt;"",'Bonding Program'!$P$53,'Bonding Program'!$C$8)),'Bonding Program'!$Z$53,0)+IF(AND('Bonding Program'!$P$53&lt;&gt;"",AZ$3='Bonding Program'!$P$53,AZ$3&lt;='Bonding Program'!$C$8),N('Bonding Program'!$O$53),0)</f>
        <v>0</v>
      </c>
      <c r="BA194" s="19" t="n">
        <f aca="false">IF(AND('Bonding Program'!$S$53=1,'Bonding Program'!$H$53&gt;'Bonding Program'!$C$8,BA$3='Bonding Program'!$H$53),'Bonding Program'!$T$53-'Bonding Program'!$U$53-'Bonding Program'!$Z$53,0)-IF(AND('Bonding Program'!$S$53=1,'Bonding Program'!$H$53&lt;='Bonding Program'!$C$8,BA$3=IF('Bonding Program'!$P$53&lt;&gt;"",'Bonding Program'!$P$53,'Bonding Program'!$C$8)),'Bonding Program'!$Z$53,0)+IF(AND('Bonding Program'!$P$53&lt;&gt;"",BA$3='Bonding Program'!$P$53,BA$3&lt;='Bonding Program'!$C$8),N('Bonding Program'!$O$53),0)</f>
        <v>0</v>
      </c>
      <c r="BB194" s="19" t="n">
        <f aca="false">IF(AND('Bonding Program'!$S$53=1,'Bonding Program'!$H$53&gt;'Bonding Program'!$C$8,BB$3='Bonding Program'!$H$53),'Bonding Program'!$T$53-'Bonding Program'!$U$53-'Bonding Program'!$Z$53,0)-IF(AND('Bonding Program'!$S$53=1,'Bonding Program'!$H$53&lt;='Bonding Program'!$C$8,BB$3=IF('Bonding Program'!$P$53&lt;&gt;"",'Bonding Program'!$P$53,'Bonding Program'!$C$8)),'Bonding Program'!$Z$53,0)+IF(AND('Bonding Program'!$P$53&lt;&gt;"",BB$3='Bonding Program'!$P$53,BB$3&lt;='Bonding Program'!$C$8),N('Bonding Program'!$O$53),0)</f>
        <v>0</v>
      </c>
      <c r="BC194" s="19" t="n">
        <f aca="false">IF(AND('Bonding Program'!$S$53=1,'Bonding Program'!$H$53&gt;'Bonding Program'!$C$8,BC$3='Bonding Program'!$H$53),'Bonding Program'!$T$53-'Bonding Program'!$U$53-'Bonding Program'!$Z$53,0)-IF(AND('Bonding Program'!$S$53=1,'Bonding Program'!$H$53&lt;='Bonding Program'!$C$8,BC$3=IF('Bonding Program'!$P$53&lt;&gt;"",'Bonding Program'!$P$53,'Bonding Program'!$C$8)),'Bonding Program'!$Z$53,0)+IF(AND('Bonding Program'!$P$53&lt;&gt;"",BC$3='Bonding Program'!$P$53,BC$3&lt;='Bonding Program'!$C$8),N('Bonding Program'!$O$53),0)</f>
        <v>0</v>
      </c>
      <c r="BD194" s="19" t="n">
        <f aca="false">IF(AND('Bonding Program'!$S$53=1,'Bonding Program'!$H$53&gt;'Bonding Program'!$C$8,BD$3='Bonding Program'!$H$53),'Bonding Program'!$T$53-'Bonding Program'!$U$53-'Bonding Program'!$Z$53,0)-IF(AND('Bonding Program'!$S$53=1,'Bonding Program'!$H$53&lt;='Bonding Program'!$C$8,BD$3=IF('Bonding Program'!$P$53&lt;&gt;"",'Bonding Program'!$P$53,'Bonding Program'!$C$8)),'Bonding Program'!$Z$53,0)+IF(AND('Bonding Program'!$P$53&lt;&gt;"",BD$3='Bonding Program'!$P$53,BD$3&lt;='Bonding Program'!$C$8),N('Bonding Program'!$O$53),0)</f>
        <v>0</v>
      </c>
      <c r="BE194" s="19" t="n">
        <f aca="false">IF(AND('Bonding Program'!$S$53=1,'Bonding Program'!$H$53&gt;'Bonding Program'!$C$8,BE$3='Bonding Program'!$H$53),'Bonding Program'!$T$53-'Bonding Program'!$U$53-'Bonding Program'!$Z$53,0)-IF(AND('Bonding Program'!$S$53=1,'Bonding Program'!$H$53&lt;='Bonding Program'!$C$8,BE$3=IF('Bonding Program'!$P$53&lt;&gt;"",'Bonding Program'!$P$53,'Bonding Program'!$C$8)),'Bonding Program'!$Z$53,0)+IF(AND('Bonding Program'!$P$53&lt;&gt;"",BE$3='Bonding Program'!$P$53,BE$3&lt;='Bonding Program'!$C$8),N('Bonding Program'!$O$53),0)</f>
        <v>0</v>
      </c>
      <c r="BF194" s="19" t="n">
        <f aca="false">IF(AND('Bonding Program'!$S$53=1,'Bonding Program'!$H$53&gt;'Bonding Program'!$C$8,BF$3='Bonding Program'!$H$53),'Bonding Program'!$T$53-'Bonding Program'!$U$53-'Bonding Program'!$Z$53,0)-IF(AND('Bonding Program'!$S$53=1,'Bonding Program'!$H$53&lt;='Bonding Program'!$C$8,BF$3=IF('Bonding Program'!$P$53&lt;&gt;"",'Bonding Program'!$P$53,'Bonding Program'!$C$8)),'Bonding Program'!$Z$53,0)+IF(AND('Bonding Program'!$P$53&lt;&gt;"",BF$3='Bonding Program'!$P$53,BF$3&lt;='Bonding Program'!$C$8),N('Bonding Program'!$O$53),0)</f>
        <v>0</v>
      </c>
      <c r="BG194" s="19" t="n">
        <f aca="false">IF(AND('Bonding Program'!$S$53=1,'Bonding Program'!$H$53&gt;'Bonding Program'!$C$8,BG$3='Bonding Program'!$H$53),'Bonding Program'!$T$53-'Bonding Program'!$U$53-'Bonding Program'!$Z$53,0)-IF(AND('Bonding Program'!$S$53=1,'Bonding Program'!$H$53&lt;='Bonding Program'!$C$8,BG$3=IF('Bonding Program'!$P$53&lt;&gt;"",'Bonding Program'!$P$53,'Bonding Program'!$C$8)),'Bonding Program'!$Z$53,0)+IF(AND('Bonding Program'!$P$53&lt;&gt;"",BG$3='Bonding Program'!$P$53,BG$3&lt;='Bonding Program'!$C$8),N('Bonding Program'!$O$53),0)</f>
        <v>0</v>
      </c>
      <c r="BH194" s="19" t="n">
        <f aca="false">IF(AND('Bonding Program'!$S$53=1,'Bonding Program'!$H$53&gt;'Bonding Program'!$C$8,BH$3='Bonding Program'!$H$53),'Bonding Program'!$T$53-'Bonding Program'!$U$53-'Bonding Program'!$Z$53,0)-IF(AND('Bonding Program'!$S$53=1,'Bonding Program'!$H$53&lt;='Bonding Program'!$C$8,BH$3=IF('Bonding Program'!$P$53&lt;&gt;"",'Bonding Program'!$P$53,'Bonding Program'!$C$8)),'Bonding Program'!$Z$53,0)+IF(AND('Bonding Program'!$P$53&lt;&gt;"",BH$3='Bonding Program'!$P$53,BH$3&lt;='Bonding Program'!$C$8),N('Bonding Program'!$O$53),0)</f>
        <v>0</v>
      </c>
      <c r="BI194" s="19" t="n">
        <f aca="false">IF(AND('Bonding Program'!$S$53=1,'Bonding Program'!$H$53&gt;'Bonding Program'!$C$8,BI$3='Bonding Program'!$H$53),'Bonding Program'!$T$53-'Bonding Program'!$U$53-'Bonding Program'!$Z$53,0)-IF(AND('Bonding Program'!$S$53=1,'Bonding Program'!$H$53&lt;='Bonding Program'!$C$8,BI$3=IF('Bonding Program'!$P$53&lt;&gt;"",'Bonding Program'!$P$53,'Bonding Program'!$C$8)),'Bonding Program'!$Z$53,0)+IF(AND('Bonding Program'!$P$53&lt;&gt;"",BI$3='Bonding Program'!$P$53,BI$3&lt;='Bonding Program'!$C$8),N('Bonding Program'!$O$53),0)</f>
        <v>0</v>
      </c>
      <c r="BJ194" s="19" t="n">
        <f aca="false">IF(AND('Bonding Program'!$S$53=1,'Bonding Program'!$H$53&gt;'Bonding Program'!$C$8,BJ$3='Bonding Program'!$H$53),'Bonding Program'!$T$53-'Bonding Program'!$U$53-'Bonding Program'!$Z$53,0)-IF(AND('Bonding Program'!$S$53=1,'Bonding Program'!$H$53&lt;='Bonding Program'!$C$8,BJ$3=IF('Bonding Program'!$P$53&lt;&gt;"",'Bonding Program'!$P$53,'Bonding Program'!$C$8)),'Bonding Program'!$Z$53,0)+IF(AND('Bonding Program'!$P$53&lt;&gt;"",BJ$3='Bonding Program'!$P$53,BJ$3&lt;='Bonding Program'!$C$8),N('Bonding Program'!$O$53),0)</f>
        <v>0</v>
      </c>
      <c r="BK194" s="19" t="n">
        <f aca="false">IF(AND('Bonding Program'!$S$53=1,'Bonding Program'!$H$53&gt;'Bonding Program'!$C$8,BK$3='Bonding Program'!$H$53),'Bonding Program'!$T$53-'Bonding Program'!$U$53-'Bonding Program'!$Z$53,0)-IF(AND('Bonding Program'!$S$53=1,'Bonding Program'!$H$53&lt;='Bonding Program'!$C$8,BK$3=IF('Bonding Program'!$P$53&lt;&gt;"",'Bonding Program'!$P$53,'Bonding Program'!$C$8)),'Bonding Program'!$Z$53,0)+IF(AND('Bonding Program'!$P$53&lt;&gt;"",BK$3='Bonding Program'!$P$53,BK$3&lt;='Bonding Program'!$C$8),N('Bonding Program'!$O$53),0)</f>
        <v>0</v>
      </c>
      <c r="BL194" s="19" t="n">
        <f aca="false">IF(AND('Bonding Program'!$S$53=1,'Bonding Program'!$H$53&gt;'Bonding Program'!$C$8,BL$3='Bonding Program'!$H$53),'Bonding Program'!$T$53-'Bonding Program'!$U$53-'Bonding Program'!$Z$53,0)-IF(AND('Bonding Program'!$S$53=1,'Bonding Program'!$H$53&lt;='Bonding Program'!$C$8,BL$3=IF('Bonding Program'!$P$53&lt;&gt;"",'Bonding Program'!$P$53,'Bonding Program'!$C$8)),'Bonding Program'!$Z$53,0)+IF(AND('Bonding Program'!$P$53&lt;&gt;"",BL$3='Bonding Program'!$P$53,BL$3&lt;='Bonding Program'!$C$8),N('Bonding Program'!$O$53),0)</f>
        <v>0</v>
      </c>
      <c r="BM194" s="19" t="n">
        <f aca="false">IF(AND('Bonding Program'!$S$53=1,'Bonding Program'!$H$53&gt;'Bonding Program'!$C$8,BM$3='Bonding Program'!$H$53),'Bonding Program'!$T$53-'Bonding Program'!$U$53-'Bonding Program'!$Z$53,0)-IF(AND('Bonding Program'!$S$53=1,'Bonding Program'!$H$53&lt;='Bonding Program'!$C$8,BM$3=IF('Bonding Program'!$P$53&lt;&gt;"",'Bonding Program'!$P$53,'Bonding Program'!$C$8)),'Bonding Program'!$Z$53,0)+IF(AND('Bonding Program'!$P$53&lt;&gt;"",BM$3='Bonding Program'!$P$53,BM$3&lt;='Bonding Program'!$C$8),N('Bonding Program'!$O$53),0)</f>
        <v>0</v>
      </c>
      <c r="BN194" s="19" t="n">
        <f aca="false">IF(AND('Bonding Program'!$S$53=1,'Bonding Program'!$H$53&gt;'Bonding Program'!$C$8,BN$3='Bonding Program'!$H$53),'Bonding Program'!$T$53-'Bonding Program'!$U$53-'Bonding Program'!$Z$53,0)-IF(AND('Bonding Program'!$S$53=1,'Bonding Program'!$H$53&lt;='Bonding Program'!$C$8,BN$3=IF('Bonding Program'!$P$53&lt;&gt;"",'Bonding Program'!$P$53,'Bonding Program'!$C$8)),'Bonding Program'!$Z$53,0)+IF(AND('Bonding Program'!$P$53&lt;&gt;"",BN$3='Bonding Program'!$P$53,BN$3&lt;='Bonding Program'!$C$8),N('Bonding Program'!$O$53),0)</f>
        <v>0</v>
      </c>
      <c r="BO194" s="19" t="n">
        <f aca="false">IF(AND('Bonding Program'!$S$53=1,'Bonding Program'!$H$53&gt;'Bonding Program'!$C$8,BO$3='Bonding Program'!$H$53),'Bonding Program'!$T$53-'Bonding Program'!$U$53-'Bonding Program'!$Z$53,0)-IF(AND('Bonding Program'!$S$53=1,'Bonding Program'!$H$53&lt;='Bonding Program'!$C$8,BO$3=IF('Bonding Program'!$P$53&lt;&gt;"",'Bonding Program'!$P$53,'Bonding Program'!$C$8)),'Bonding Program'!$Z$53,0)+IF(AND('Bonding Program'!$P$53&lt;&gt;"",BO$3='Bonding Program'!$P$53,BO$3&lt;='Bonding Program'!$C$8),N('Bonding Program'!$O$53),0)</f>
        <v>0</v>
      </c>
      <c r="BP194" s="19" t="n">
        <f aca="false">IF(AND('Bonding Program'!$S$53=1,'Bonding Program'!$H$53&gt;'Bonding Program'!$C$8,BP$3='Bonding Program'!$H$53),'Bonding Program'!$T$53-'Bonding Program'!$U$53-'Bonding Program'!$Z$53,0)-IF(AND('Bonding Program'!$S$53=1,'Bonding Program'!$H$53&lt;='Bonding Program'!$C$8,BP$3=IF('Bonding Program'!$P$53&lt;&gt;"",'Bonding Program'!$P$53,'Bonding Program'!$C$8)),'Bonding Program'!$Z$53,0)+IF(AND('Bonding Program'!$P$53&lt;&gt;"",BP$3='Bonding Program'!$P$53,BP$3&lt;='Bonding Program'!$C$8),N('Bonding Program'!$O$53),0)</f>
        <v>0</v>
      </c>
      <c r="BQ194" s="19" t="n">
        <f aca="false">IF(AND('Bonding Program'!$S$53=1,'Bonding Program'!$H$53&gt;'Bonding Program'!$C$8,BQ$3='Bonding Program'!$H$53),'Bonding Program'!$T$53-'Bonding Program'!$U$53-'Bonding Program'!$Z$53,0)-IF(AND('Bonding Program'!$S$53=1,'Bonding Program'!$H$53&lt;='Bonding Program'!$C$8,BQ$3=IF('Bonding Program'!$P$53&lt;&gt;"",'Bonding Program'!$P$53,'Bonding Program'!$C$8)),'Bonding Program'!$Z$53,0)+IF(AND('Bonding Program'!$P$53&lt;&gt;"",BQ$3='Bonding Program'!$P$53,BQ$3&lt;='Bonding Program'!$C$8),N('Bonding Program'!$O$53),0)</f>
        <v>0</v>
      </c>
      <c r="BR194" s="19" t="n">
        <f aca="false">IF(AND('Bonding Program'!$S$53=1,'Bonding Program'!$H$53&gt;'Bonding Program'!$C$8,BR$3='Bonding Program'!$H$53),'Bonding Program'!$T$53-'Bonding Program'!$U$53-'Bonding Program'!$Z$53,0)-IF(AND('Bonding Program'!$S$53=1,'Bonding Program'!$H$53&lt;='Bonding Program'!$C$8,BR$3=IF('Bonding Program'!$P$53&lt;&gt;"",'Bonding Program'!$P$53,'Bonding Program'!$C$8)),'Bonding Program'!$Z$53,0)+IF(AND('Bonding Program'!$P$53&lt;&gt;"",BR$3='Bonding Program'!$P$53,BR$3&lt;='Bonding Program'!$C$8),N('Bonding Program'!$O$53),0)</f>
        <v>0</v>
      </c>
      <c r="BS194" s="19" t="n">
        <f aca="false">IF(AND('Bonding Program'!$S$53=1,'Bonding Program'!$H$53&gt;'Bonding Program'!$C$8,BS$3='Bonding Program'!$H$53),'Bonding Program'!$T$53-'Bonding Program'!$U$53-'Bonding Program'!$Z$53,0)-IF(AND('Bonding Program'!$S$53=1,'Bonding Program'!$H$53&lt;='Bonding Program'!$C$8,BS$3=IF('Bonding Program'!$P$53&lt;&gt;"",'Bonding Program'!$P$53,'Bonding Program'!$C$8)),'Bonding Program'!$Z$53,0)+IF(AND('Bonding Program'!$P$53&lt;&gt;"",BS$3='Bonding Program'!$P$53,BS$3&lt;='Bonding Program'!$C$8),N('Bonding Program'!$O$53),0)</f>
        <v>0</v>
      </c>
      <c r="BT194" s="19" t="n">
        <f aca="false">IF(AND('Bonding Program'!$S$53=1,'Bonding Program'!$H$53&gt;'Bonding Program'!$C$8,BT$3='Bonding Program'!$H$53),'Bonding Program'!$T$53-'Bonding Program'!$U$53-'Bonding Program'!$Z$53,0)-IF(AND('Bonding Program'!$S$53=1,'Bonding Program'!$H$53&lt;='Bonding Program'!$C$8,BT$3=IF('Bonding Program'!$P$53&lt;&gt;"",'Bonding Program'!$P$53,'Bonding Program'!$C$8)),'Bonding Program'!$Z$53,0)+IF(AND('Bonding Program'!$P$53&lt;&gt;"",BT$3='Bonding Program'!$P$53,BT$3&lt;='Bonding Program'!$C$8),N('Bonding Program'!$O$53),0)</f>
        <v>0</v>
      </c>
      <c r="BU194" s="19" t="n">
        <f aca="false">IF(AND('Bonding Program'!$S$53=1,'Bonding Program'!$H$53&gt;'Bonding Program'!$C$8,BU$3='Bonding Program'!$H$53),'Bonding Program'!$T$53-'Bonding Program'!$U$53-'Bonding Program'!$Z$53,0)-IF(AND('Bonding Program'!$S$53=1,'Bonding Program'!$H$53&lt;='Bonding Program'!$C$8,BU$3=IF('Bonding Program'!$P$53&lt;&gt;"",'Bonding Program'!$P$53,'Bonding Program'!$C$8)),'Bonding Program'!$Z$53,0)+IF(AND('Bonding Program'!$P$53&lt;&gt;"",BU$3='Bonding Program'!$P$53,BU$3&lt;='Bonding Program'!$C$8),N('Bonding Program'!$O$53),0)</f>
        <v>0</v>
      </c>
      <c r="BV194" s="19" t="n">
        <f aca="false">IF(AND('Bonding Program'!$S$53=1,'Bonding Program'!$H$53&gt;'Bonding Program'!$C$8,BV$3='Bonding Program'!$H$53),'Bonding Program'!$T$53-'Bonding Program'!$U$53-'Bonding Program'!$Z$53,0)-IF(AND('Bonding Program'!$S$53=1,'Bonding Program'!$H$53&lt;='Bonding Program'!$C$8,BV$3=IF('Bonding Program'!$P$53&lt;&gt;"",'Bonding Program'!$P$53,'Bonding Program'!$C$8)),'Bonding Program'!$Z$53,0)+IF(AND('Bonding Program'!$P$53&lt;&gt;"",BV$3='Bonding Program'!$P$53,BV$3&lt;='Bonding Program'!$C$8),N('Bonding Program'!$O$53),0)</f>
        <v>0</v>
      </c>
      <c r="BW194" s="19" t="n">
        <f aca="false">IF(AND('Bonding Program'!$S$53=1,'Bonding Program'!$H$53&gt;'Bonding Program'!$C$8,BW$3='Bonding Program'!$H$53),'Bonding Program'!$T$53-'Bonding Program'!$U$53-'Bonding Program'!$Z$53,0)-IF(AND('Bonding Program'!$S$53=1,'Bonding Program'!$H$53&lt;='Bonding Program'!$C$8,BW$3=IF('Bonding Program'!$P$53&lt;&gt;"",'Bonding Program'!$P$53,'Bonding Program'!$C$8)),'Bonding Program'!$Z$53,0)+IF(AND('Bonding Program'!$P$53&lt;&gt;"",BW$3='Bonding Program'!$P$53,BW$3&lt;='Bonding Program'!$C$8),N('Bonding Program'!$O$53),0)</f>
        <v>0</v>
      </c>
      <c r="BX194" s="19" t="n">
        <f aca="false">IF(AND('Bonding Program'!$S$53=1,'Bonding Program'!$H$53&gt;'Bonding Program'!$C$8,BX$3='Bonding Program'!$H$53),'Bonding Program'!$T$53-'Bonding Program'!$U$53-'Bonding Program'!$Z$53,0)-IF(AND('Bonding Program'!$S$53=1,'Bonding Program'!$H$53&lt;='Bonding Program'!$C$8,BX$3=IF('Bonding Program'!$P$53&lt;&gt;"",'Bonding Program'!$P$53,'Bonding Program'!$C$8)),'Bonding Program'!$Z$53,0)+IF(AND('Bonding Program'!$P$53&lt;&gt;"",BX$3='Bonding Program'!$P$53,BX$3&lt;='Bonding Program'!$C$8),N('Bonding Program'!$O$53),0)</f>
        <v>0</v>
      </c>
      <c r="BY194" s="19" t="n">
        <f aca="false">IF(AND('Bonding Program'!$S$53=1,'Bonding Program'!$H$53&gt;'Bonding Program'!$C$8,BY$3='Bonding Program'!$H$53),'Bonding Program'!$T$53-'Bonding Program'!$U$53-'Bonding Program'!$Z$53,0)-IF(AND('Bonding Program'!$S$53=1,'Bonding Program'!$H$53&lt;='Bonding Program'!$C$8,BY$3=IF('Bonding Program'!$P$53&lt;&gt;"",'Bonding Program'!$P$53,'Bonding Program'!$C$8)),'Bonding Program'!$Z$53,0)+IF(AND('Bonding Program'!$P$53&lt;&gt;"",BY$3='Bonding Program'!$P$53,BY$3&lt;='Bonding Program'!$C$8),N('Bonding Program'!$O$53),0)</f>
        <v>0</v>
      </c>
      <c r="BZ194" s="19" t="n">
        <f aca="false">IF(AND('Bonding Program'!$S$53=1,'Bonding Program'!$H$53&gt;'Bonding Program'!$C$8,BZ$3='Bonding Program'!$H$53),'Bonding Program'!$T$53-'Bonding Program'!$U$53-'Bonding Program'!$Z$53,0)-IF(AND('Bonding Program'!$S$53=1,'Bonding Program'!$H$53&lt;='Bonding Program'!$C$8,BZ$3=IF('Bonding Program'!$P$53&lt;&gt;"",'Bonding Program'!$P$53,'Bonding Program'!$C$8)),'Bonding Program'!$Z$53,0)+IF(AND('Bonding Program'!$P$53&lt;&gt;"",BZ$3='Bonding Program'!$P$53,BZ$3&lt;='Bonding Program'!$C$8),N('Bonding Program'!$O$53),0)</f>
        <v>0</v>
      </c>
      <c r="CA194" s="19" t="n">
        <f aca="false">IF(AND('Bonding Program'!$S$53=1,'Bonding Program'!$H$53&gt;'Bonding Program'!$C$8,CA$3='Bonding Program'!$H$53),'Bonding Program'!$T$53-'Bonding Program'!$U$53-'Bonding Program'!$Z$53,0)-IF(AND('Bonding Program'!$S$53=1,'Bonding Program'!$H$53&lt;='Bonding Program'!$C$8,CA$3=IF('Bonding Program'!$P$53&lt;&gt;"",'Bonding Program'!$P$53,'Bonding Program'!$C$8)),'Bonding Program'!$Z$53,0)+IF(AND('Bonding Program'!$P$53&lt;&gt;"",CA$3='Bonding Program'!$P$53,CA$3&lt;='Bonding Program'!$C$8),N('Bonding Program'!$O$53),0)</f>
        <v>0</v>
      </c>
      <c r="CB194" s="19" t="n">
        <f aca="false">IF(AND('Bonding Program'!$S$53=1,'Bonding Program'!$H$53&gt;'Bonding Program'!$C$8,CB$3='Bonding Program'!$H$53),'Bonding Program'!$T$53-'Bonding Program'!$U$53-'Bonding Program'!$Z$53,0)-IF(AND('Bonding Program'!$S$53=1,'Bonding Program'!$H$53&lt;='Bonding Program'!$C$8,CB$3=IF('Bonding Program'!$P$53&lt;&gt;"",'Bonding Program'!$P$53,'Bonding Program'!$C$8)),'Bonding Program'!$Z$53,0)+IF(AND('Bonding Program'!$P$53&lt;&gt;"",CB$3='Bonding Program'!$P$53,CB$3&lt;='Bonding Program'!$C$8),N('Bonding Program'!$O$53),0)</f>
        <v>0</v>
      </c>
      <c r="CC194" s="19" t="n">
        <f aca="false">IF(AND('Bonding Program'!$S$53=1,'Bonding Program'!$H$53&gt;'Bonding Program'!$C$8,CC$3='Bonding Program'!$H$53),'Bonding Program'!$T$53-'Bonding Program'!$U$53-'Bonding Program'!$Z$53,0)-IF(AND('Bonding Program'!$S$53=1,'Bonding Program'!$H$53&lt;='Bonding Program'!$C$8,CC$3=IF('Bonding Program'!$P$53&lt;&gt;"",'Bonding Program'!$P$53,'Bonding Program'!$C$8)),'Bonding Program'!$Z$53,0)+IF(AND('Bonding Program'!$P$53&lt;&gt;"",CC$3='Bonding Program'!$P$53,CC$3&lt;='Bonding Program'!$C$8),N('Bonding Program'!$O$53),0)</f>
        <v>0</v>
      </c>
      <c r="CD194" s="19" t="n">
        <f aca="false">IF(AND('Bonding Program'!$S$53=1,'Bonding Program'!$H$53&gt;'Bonding Program'!$C$8,CD$3='Bonding Program'!$H$53),'Bonding Program'!$T$53-'Bonding Program'!$U$53-'Bonding Program'!$Z$53,0)-IF(AND('Bonding Program'!$S$53=1,'Bonding Program'!$H$53&lt;='Bonding Program'!$C$8,CD$3=IF('Bonding Program'!$P$53&lt;&gt;"",'Bonding Program'!$P$53,'Bonding Program'!$C$8)),'Bonding Program'!$Z$53,0)+IF(AND('Bonding Program'!$P$53&lt;&gt;"",CD$3='Bonding Program'!$P$53,CD$3&lt;='Bonding Program'!$C$8),N('Bonding Program'!$O$53),0)</f>
        <v>0</v>
      </c>
      <c r="CE194" s="19" t="n">
        <f aca="false">IF(AND('Bonding Program'!$S$53=1,'Bonding Program'!$H$53&gt;'Bonding Program'!$C$8,CE$3='Bonding Program'!$H$53),'Bonding Program'!$T$53-'Bonding Program'!$U$53-'Bonding Program'!$Z$53,0)-IF(AND('Bonding Program'!$S$53=1,'Bonding Program'!$H$53&lt;='Bonding Program'!$C$8,CE$3=IF('Bonding Program'!$P$53&lt;&gt;"",'Bonding Program'!$P$53,'Bonding Program'!$C$8)),'Bonding Program'!$Z$53,0)+IF(AND('Bonding Program'!$P$53&lt;&gt;"",CE$3='Bonding Program'!$P$53,CE$3&lt;='Bonding Program'!$C$8),N('Bonding Program'!$O$53),0)</f>
        <v>0</v>
      </c>
      <c r="CF194" s="19" t="n">
        <f aca="false">IF(AND('Bonding Program'!$S$53=1,'Bonding Program'!$H$53&gt;'Bonding Program'!$C$8,CF$3='Bonding Program'!$H$53),'Bonding Program'!$T$53-'Bonding Program'!$U$53-'Bonding Program'!$Z$53,0)-IF(AND('Bonding Program'!$S$53=1,'Bonding Program'!$H$53&lt;='Bonding Program'!$C$8,CF$3=IF('Bonding Program'!$P$53&lt;&gt;"",'Bonding Program'!$P$53,'Bonding Program'!$C$8)),'Bonding Program'!$Z$53,0)+IF(AND('Bonding Program'!$P$53&lt;&gt;"",CF$3='Bonding Program'!$P$53,CF$3&lt;='Bonding Program'!$C$8),N('Bonding Program'!$O$53),0)</f>
        <v>0</v>
      </c>
      <c r="CG194" s="19" t="n">
        <f aca="false">IF(AND('Bonding Program'!$S$53=1,'Bonding Program'!$H$53&gt;'Bonding Program'!$C$8,CG$3='Bonding Program'!$H$53),'Bonding Program'!$T$53-'Bonding Program'!$U$53-'Bonding Program'!$Z$53,0)-IF(AND('Bonding Program'!$S$53=1,'Bonding Program'!$H$53&lt;='Bonding Program'!$C$8,CG$3=IF('Bonding Program'!$P$53&lt;&gt;"",'Bonding Program'!$P$53,'Bonding Program'!$C$8)),'Bonding Program'!$Z$53,0)+IF(AND('Bonding Program'!$P$53&lt;&gt;"",CG$3='Bonding Program'!$P$53,CG$3&lt;='Bonding Program'!$C$8),N('Bonding Program'!$O$53),0)</f>
        <v>0</v>
      </c>
      <c r="CH194" s="19" t="n">
        <f aca="false">IF(AND('Bonding Program'!$S$53=1,'Bonding Program'!$H$53&gt;'Bonding Program'!$C$8,CH$3='Bonding Program'!$H$53),'Bonding Program'!$T$53-'Bonding Program'!$U$53-'Bonding Program'!$Z$53,0)-IF(AND('Bonding Program'!$S$53=1,'Bonding Program'!$H$53&lt;='Bonding Program'!$C$8,CH$3=IF('Bonding Program'!$P$53&lt;&gt;"",'Bonding Program'!$P$53,'Bonding Program'!$C$8)),'Bonding Program'!$Z$53,0)+IF(AND('Bonding Program'!$P$53&lt;&gt;"",CH$3='Bonding Program'!$P$53,CH$3&lt;='Bonding Program'!$C$8),N('Bonding Program'!$O$53),0)</f>
        <v>0</v>
      </c>
      <c r="CI194" s="19" t="n">
        <f aca="false">IF(AND('Bonding Program'!$S$53=1,'Bonding Program'!$H$53&gt;'Bonding Program'!$C$8,CI$3='Bonding Program'!$H$53),'Bonding Program'!$T$53-'Bonding Program'!$U$53-'Bonding Program'!$Z$53,0)-IF(AND('Bonding Program'!$S$53=1,'Bonding Program'!$H$53&lt;='Bonding Program'!$C$8,CI$3=IF('Bonding Program'!$P$53&lt;&gt;"",'Bonding Program'!$P$53,'Bonding Program'!$C$8)),'Bonding Program'!$Z$53,0)+IF(AND('Bonding Program'!$P$53&lt;&gt;"",CI$3='Bonding Program'!$P$53,CI$3&lt;='Bonding Program'!$C$8),N('Bonding Program'!$O$53),0)</f>
        <v>0</v>
      </c>
      <c r="CJ194" s="19" t="n">
        <f aca="false">IF(AND('Bonding Program'!$S$53=1,'Bonding Program'!$H$53&gt;'Bonding Program'!$C$8,CJ$3='Bonding Program'!$H$53),'Bonding Program'!$T$53-'Bonding Program'!$U$53-'Bonding Program'!$Z$53,0)-IF(AND('Bonding Program'!$S$53=1,'Bonding Program'!$H$53&lt;='Bonding Program'!$C$8,CJ$3=IF('Bonding Program'!$P$53&lt;&gt;"",'Bonding Program'!$P$53,'Bonding Program'!$C$8)),'Bonding Program'!$Z$53,0)+IF(AND('Bonding Program'!$P$53&lt;&gt;"",CJ$3='Bonding Program'!$P$53,CJ$3&lt;='Bonding Program'!$C$8),N('Bonding Program'!$O$53),0)</f>
        <v>0</v>
      </c>
      <c r="CK194" s="19" t="n">
        <f aca="false">IF(AND('Bonding Program'!$S$53=1,'Bonding Program'!$H$53&gt;'Bonding Program'!$C$8,CK$3='Bonding Program'!$H$53),'Bonding Program'!$T$53-'Bonding Program'!$U$53-'Bonding Program'!$Z$53,0)-IF(AND('Bonding Program'!$S$53=1,'Bonding Program'!$H$53&lt;='Bonding Program'!$C$8,CK$3=IF('Bonding Program'!$P$53&lt;&gt;"",'Bonding Program'!$P$53,'Bonding Program'!$C$8)),'Bonding Program'!$Z$53,0)+IF(AND('Bonding Program'!$P$53&lt;&gt;"",CK$3='Bonding Program'!$P$53,CK$3&lt;='Bonding Program'!$C$8),N('Bonding Program'!$O$53),0)</f>
        <v>0</v>
      </c>
      <c r="CL194" s="19" t="n">
        <f aca="false">IF(AND('Bonding Program'!$S$53=1,'Bonding Program'!$H$53&gt;'Bonding Program'!$C$8,CL$3='Bonding Program'!$H$53),'Bonding Program'!$T$53-'Bonding Program'!$U$53-'Bonding Program'!$Z$53,0)-IF(AND('Bonding Program'!$S$53=1,'Bonding Program'!$H$53&lt;='Bonding Program'!$C$8,CL$3=IF('Bonding Program'!$P$53&lt;&gt;"",'Bonding Program'!$P$53,'Bonding Program'!$C$8)),'Bonding Program'!$Z$53,0)+IF(AND('Bonding Program'!$P$53&lt;&gt;"",CL$3='Bonding Program'!$P$53,CL$3&lt;='Bonding Program'!$C$8),N('Bonding Program'!$O$53),0)</f>
        <v>0</v>
      </c>
      <c r="CM194" s="19" t="n">
        <f aca="false">IF(AND('Bonding Program'!$S$53=1,'Bonding Program'!$H$53&gt;'Bonding Program'!$C$8,CM$3='Bonding Program'!$H$53),'Bonding Program'!$T$53-'Bonding Program'!$U$53-'Bonding Program'!$Z$53,0)-IF(AND('Bonding Program'!$S$53=1,'Bonding Program'!$H$53&lt;='Bonding Program'!$C$8,CM$3=IF('Bonding Program'!$P$53&lt;&gt;"",'Bonding Program'!$P$53,'Bonding Program'!$C$8)),'Bonding Program'!$Z$53,0)+IF(AND('Bonding Program'!$P$53&lt;&gt;"",CM$3='Bonding Program'!$P$53,CM$3&lt;='Bonding Program'!$C$8),N('Bonding Program'!$O$53),0)</f>
        <v>0</v>
      </c>
      <c r="CN194" s="19" t="n">
        <f aca="false">IF(AND('Bonding Program'!$S$53=1,'Bonding Program'!$H$53&gt;'Bonding Program'!$C$8,CN$3='Bonding Program'!$H$53),'Bonding Program'!$T$53-'Bonding Program'!$U$53-'Bonding Program'!$Z$53,0)-IF(AND('Bonding Program'!$S$53=1,'Bonding Program'!$H$53&lt;='Bonding Program'!$C$8,CN$3=IF('Bonding Program'!$P$53&lt;&gt;"",'Bonding Program'!$P$53,'Bonding Program'!$C$8)),'Bonding Program'!$Z$53,0)+IF(AND('Bonding Program'!$P$53&lt;&gt;"",CN$3='Bonding Program'!$P$53,CN$3&lt;='Bonding Program'!$C$8),N('Bonding Program'!$O$53),0)</f>
        <v>0</v>
      </c>
      <c r="CO194" s="19" t="n">
        <f aca="false">IF(AND('Bonding Program'!$S$53=1,'Bonding Program'!$H$53&gt;'Bonding Program'!$C$8,CO$3='Bonding Program'!$H$53),'Bonding Program'!$T$53-'Bonding Program'!$U$53-'Bonding Program'!$Z$53,0)-IF(AND('Bonding Program'!$S$53=1,'Bonding Program'!$H$53&lt;='Bonding Program'!$C$8,CO$3=IF('Bonding Program'!$P$53&lt;&gt;"",'Bonding Program'!$P$53,'Bonding Program'!$C$8)),'Bonding Program'!$Z$53,0)+IF(AND('Bonding Program'!$P$53&lt;&gt;"",CO$3='Bonding Program'!$P$53,CO$3&lt;='Bonding Program'!$C$8),N('Bonding Program'!$O$53),0)</f>
        <v>0</v>
      </c>
      <c r="CP194" s="19" t="n">
        <f aca="false">IF(AND('Bonding Program'!$S$53=1,'Bonding Program'!$H$53&gt;'Bonding Program'!$C$8,CP$3='Bonding Program'!$H$53),'Bonding Program'!$T$53-'Bonding Program'!$U$53-'Bonding Program'!$Z$53,0)-IF(AND('Bonding Program'!$S$53=1,'Bonding Program'!$H$53&lt;='Bonding Program'!$C$8,CP$3=IF('Bonding Program'!$P$53&lt;&gt;"",'Bonding Program'!$P$53,'Bonding Program'!$C$8)),'Bonding Program'!$Z$53,0)+IF(AND('Bonding Program'!$P$53&lt;&gt;"",CP$3='Bonding Program'!$P$53,CP$3&lt;='Bonding Program'!$C$8),N('Bonding Program'!$O$53),0)</f>
        <v>0</v>
      </c>
      <c r="CQ194" s="19" t="n">
        <f aca="false">IF(AND('Bonding Program'!$S$53=1,'Bonding Program'!$H$53&gt;'Bonding Program'!$C$8,CQ$3='Bonding Program'!$H$53),'Bonding Program'!$T$53-'Bonding Program'!$U$53-'Bonding Program'!$Z$53,0)-IF(AND('Bonding Program'!$S$53=1,'Bonding Program'!$H$53&lt;='Bonding Program'!$C$8,CQ$3=IF('Bonding Program'!$P$53&lt;&gt;"",'Bonding Program'!$P$53,'Bonding Program'!$C$8)),'Bonding Program'!$Z$53,0)+IF(AND('Bonding Program'!$P$53&lt;&gt;"",CQ$3='Bonding Program'!$P$53,CQ$3&lt;='Bonding Program'!$C$8),N('Bonding Program'!$O$53),0)</f>
        <v>0</v>
      </c>
      <c r="CR194" s="19" t="n">
        <f aca="false">IF(AND('Bonding Program'!$S$53=1,'Bonding Program'!$H$53&gt;'Bonding Program'!$C$8,CR$3='Bonding Program'!$H$53),'Bonding Program'!$T$53-'Bonding Program'!$U$53-'Bonding Program'!$Z$53,0)-IF(AND('Bonding Program'!$S$53=1,'Bonding Program'!$H$53&lt;='Bonding Program'!$C$8,CR$3=IF('Bonding Program'!$P$53&lt;&gt;"",'Bonding Program'!$P$53,'Bonding Program'!$C$8)),'Bonding Program'!$Z$53,0)+IF(AND('Bonding Program'!$P$53&lt;&gt;"",CR$3='Bonding Program'!$P$53,CR$3&lt;='Bonding Program'!$C$8),N('Bonding Program'!$O$53),0)</f>
        <v>0</v>
      </c>
      <c r="CS194" s="19" t="n">
        <f aca="false">IF(AND('Bonding Program'!$S$53=1,'Bonding Program'!$H$53&gt;'Bonding Program'!$C$8,CS$3='Bonding Program'!$H$53),'Bonding Program'!$T$53-'Bonding Program'!$U$53-'Bonding Program'!$Z$53,0)-IF(AND('Bonding Program'!$S$53=1,'Bonding Program'!$H$53&lt;='Bonding Program'!$C$8,CS$3=IF('Bonding Program'!$P$53&lt;&gt;"",'Bonding Program'!$P$53,'Bonding Program'!$C$8)),'Bonding Program'!$Z$53,0)+IF(AND('Bonding Program'!$P$53&lt;&gt;"",CS$3='Bonding Program'!$P$53,CS$3&lt;='Bonding Program'!$C$8),N('Bonding Program'!$O$53),0)</f>
        <v>0</v>
      </c>
      <c r="CT194" s="19" t="n">
        <f aca="false">IF(AND('Bonding Program'!$S$53=1,'Bonding Program'!$H$53&gt;'Bonding Program'!$C$8,CT$3='Bonding Program'!$H$53),'Bonding Program'!$T$53-'Bonding Program'!$U$53-'Bonding Program'!$Z$53,0)-IF(AND('Bonding Program'!$S$53=1,'Bonding Program'!$H$53&lt;='Bonding Program'!$C$8,CT$3=IF('Bonding Program'!$P$53&lt;&gt;"",'Bonding Program'!$P$53,'Bonding Program'!$C$8)),'Bonding Program'!$Z$53,0)+IF(AND('Bonding Program'!$P$53&lt;&gt;"",CT$3='Bonding Program'!$P$53,CT$3&lt;='Bonding Program'!$C$8),N('Bonding Program'!$O$53),0)</f>
        <v>0</v>
      </c>
      <c r="CU194" s="19" t="n">
        <f aca="false">IF(AND('Bonding Program'!$S$53=1,'Bonding Program'!$H$53&gt;'Bonding Program'!$C$8,CU$3='Bonding Program'!$H$53),'Bonding Program'!$T$53-'Bonding Program'!$U$53-'Bonding Program'!$Z$53,0)-IF(AND('Bonding Program'!$S$53=1,'Bonding Program'!$H$53&lt;='Bonding Program'!$C$8,CU$3=IF('Bonding Program'!$P$53&lt;&gt;"",'Bonding Program'!$P$53,'Bonding Program'!$C$8)),'Bonding Program'!$Z$53,0)+IF(AND('Bonding Program'!$P$53&lt;&gt;"",CU$3='Bonding Program'!$P$53,CU$3&lt;='Bonding Program'!$C$8),N('Bonding Program'!$O$53),0)</f>
        <v>0</v>
      </c>
      <c r="CV194" s="19" t="n">
        <f aca="false">IF(AND('Bonding Program'!$S$53=1,'Bonding Program'!$H$53&gt;'Bonding Program'!$C$8,CV$3='Bonding Program'!$H$53),'Bonding Program'!$T$53-'Bonding Program'!$U$53-'Bonding Program'!$Z$53,0)-IF(AND('Bonding Program'!$S$53=1,'Bonding Program'!$H$53&lt;='Bonding Program'!$C$8,CV$3=IF('Bonding Program'!$P$53&lt;&gt;"",'Bonding Program'!$P$53,'Bonding Program'!$C$8)),'Bonding Program'!$Z$53,0)+IF(AND('Bonding Program'!$P$53&lt;&gt;"",CV$3='Bonding Program'!$P$53,CV$3&lt;='Bonding Program'!$C$8),N('Bonding Program'!$O$53),0)</f>
        <v>0</v>
      </c>
      <c r="CW194" s="19" t="n">
        <f aca="false">IF(AND('Bonding Program'!$S$53=1,'Bonding Program'!$H$53&gt;'Bonding Program'!$C$8,CW$3='Bonding Program'!$H$53),'Bonding Program'!$T$53-'Bonding Program'!$U$53-'Bonding Program'!$Z$53,0)-IF(AND('Bonding Program'!$S$53=1,'Bonding Program'!$H$53&lt;='Bonding Program'!$C$8,CW$3=IF('Bonding Program'!$P$53&lt;&gt;"",'Bonding Program'!$P$53,'Bonding Program'!$C$8)),'Bonding Program'!$Z$53,0)+IF(AND('Bonding Program'!$P$53&lt;&gt;"",CW$3='Bonding Program'!$P$53,CW$3&lt;='Bonding Program'!$C$8),N('Bonding Program'!$O$53),0)</f>
        <v>0</v>
      </c>
      <c r="CX194" s="19" t="n">
        <f aca="false">IF(AND('Bonding Program'!$S$53=1,'Bonding Program'!$H$53&gt;'Bonding Program'!$C$8,CX$3='Bonding Program'!$H$53),'Bonding Program'!$T$53-'Bonding Program'!$U$53-'Bonding Program'!$Z$53,0)-IF(AND('Bonding Program'!$S$53=1,'Bonding Program'!$H$53&lt;='Bonding Program'!$C$8,CX$3=IF('Bonding Program'!$P$53&lt;&gt;"",'Bonding Program'!$P$53,'Bonding Program'!$C$8)),'Bonding Program'!$Z$53,0)+IF(AND('Bonding Program'!$P$53&lt;&gt;"",CX$3='Bonding Program'!$P$53,CX$3&lt;='Bonding Program'!$C$8),N('Bonding Program'!$O$53),0)</f>
        <v>0</v>
      </c>
      <c r="CY194" s="19" t="n">
        <f aca="false">IF(AND('Bonding Program'!$S$53=1,'Bonding Program'!$H$53&gt;'Bonding Program'!$C$8,CY$3='Bonding Program'!$H$53),'Bonding Program'!$T$53-'Bonding Program'!$U$53-'Bonding Program'!$Z$53,0)-IF(AND('Bonding Program'!$S$53=1,'Bonding Program'!$H$53&lt;='Bonding Program'!$C$8,CY$3=IF('Bonding Program'!$P$53&lt;&gt;"",'Bonding Program'!$P$53,'Bonding Program'!$C$8)),'Bonding Program'!$Z$53,0)+IF(AND('Bonding Program'!$P$53&lt;&gt;"",CY$3='Bonding Program'!$P$53,CY$3&lt;='Bonding Program'!$C$8),N('Bonding Program'!$O$53),0)</f>
        <v>0</v>
      </c>
      <c r="CZ194" s="19" t="n">
        <f aca="false">IF(AND('Bonding Program'!$S$53=1,'Bonding Program'!$H$53&gt;'Bonding Program'!$C$8,CZ$3='Bonding Program'!$H$53),'Bonding Program'!$T$53-'Bonding Program'!$U$53-'Bonding Program'!$Z$53,0)-IF(AND('Bonding Program'!$S$53=1,'Bonding Program'!$H$53&lt;='Bonding Program'!$C$8,CZ$3=IF('Bonding Program'!$P$53&lt;&gt;"",'Bonding Program'!$P$53,'Bonding Program'!$C$8)),'Bonding Program'!$Z$53,0)+IF(AND('Bonding Program'!$P$53&lt;&gt;"",CZ$3='Bonding Program'!$P$53,CZ$3&lt;='Bonding Program'!$C$8),N('Bonding Program'!$O$53),0)</f>
        <v>0</v>
      </c>
      <c r="DA194" s="19" t="n">
        <f aca="false">IF(AND('Bonding Program'!$S$53=1,'Bonding Program'!$H$53&gt;'Bonding Program'!$C$8,DA$3='Bonding Program'!$H$53),'Bonding Program'!$T$53-'Bonding Program'!$U$53-'Bonding Program'!$Z$53,0)-IF(AND('Bonding Program'!$S$53=1,'Bonding Program'!$H$53&lt;='Bonding Program'!$C$8,DA$3=IF('Bonding Program'!$P$53&lt;&gt;"",'Bonding Program'!$P$53,'Bonding Program'!$C$8)),'Bonding Program'!$Z$53,0)+IF(AND('Bonding Program'!$P$53&lt;&gt;"",DA$3='Bonding Program'!$P$53,DA$3&lt;='Bonding Program'!$C$8),N('Bonding Program'!$O$53),0)</f>
        <v>0</v>
      </c>
      <c r="DB194" s="19" t="n">
        <f aca="false">IF(AND('Bonding Program'!$S$53=1,'Bonding Program'!$H$53&gt;'Bonding Program'!$C$8,DB$3='Bonding Program'!$H$53),'Bonding Program'!$T$53-'Bonding Program'!$U$53-'Bonding Program'!$Z$53,0)-IF(AND('Bonding Program'!$S$53=1,'Bonding Program'!$H$53&lt;='Bonding Program'!$C$8,DB$3=IF('Bonding Program'!$P$53&lt;&gt;"",'Bonding Program'!$P$53,'Bonding Program'!$C$8)),'Bonding Program'!$Z$53,0)+IF(AND('Bonding Program'!$P$53&lt;&gt;"",DB$3='Bonding Program'!$P$53,DB$3&lt;='Bonding Program'!$C$8),N('Bonding Program'!$O$53),0)</f>
        <v>0</v>
      </c>
      <c r="DC194" s="19" t="n">
        <f aca="false">IF(AND('Bonding Program'!$S$53=1,'Bonding Program'!$H$53&gt;'Bonding Program'!$C$8,DC$3='Bonding Program'!$H$53),'Bonding Program'!$T$53-'Bonding Program'!$U$53-'Bonding Program'!$Z$53,0)-IF(AND('Bonding Program'!$S$53=1,'Bonding Program'!$H$53&lt;='Bonding Program'!$C$8,DC$3=IF('Bonding Program'!$P$53&lt;&gt;"",'Bonding Program'!$P$53,'Bonding Program'!$C$8)),'Bonding Program'!$Z$53,0)+IF(AND('Bonding Program'!$P$53&lt;&gt;"",DC$3='Bonding Program'!$P$53,DC$3&lt;='Bonding Program'!$C$8),N('Bonding Program'!$O$53),0)</f>
        <v>0</v>
      </c>
      <c r="DD194" s="19" t="n">
        <f aca="false">IF(AND('Bonding Program'!$S$53=1,'Bonding Program'!$H$53&gt;'Bonding Program'!$C$8,DD$3='Bonding Program'!$H$53),'Bonding Program'!$T$53-'Bonding Program'!$U$53-'Bonding Program'!$Z$53,0)-IF(AND('Bonding Program'!$S$53=1,'Bonding Program'!$H$53&lt;='Bonding Program'!$C$8,DD$3=IF('Bonding Program'!$P$53&lt;&gt;"",'Bonding Program'!$P$53,'Bonding Program'!$C$8)),'Bonding Program'!$Z$53,0)+IF(AND('Bonding Program'!$P$53&lt;&gt;"",DD$3='Bonding Program'!$P$53,DD$3&lt;='Bonding Program'!$C$8),N('Bonding Program'!$O$53),0)</f>
        <v>0</v>
      </c>
      <c r="DE194" s="19" t="n">
        <f aca="false">IF(AND('Bonding Program'!$S$53=1,'Bonding Program'!$H$53&gt;'Bonding Program'!$C$8,DE$3='Bonding Program'!$H$53),'Bonding Program'!$T$53-'Bonding Program'!$U$53-'Bonding Program'!$Z$53,0)-IF(AND('Bonding Program'!$S$53=1,'Bonding Program'!$H$53&lt;='Bonding Program'!$C$8,DE$3=IF('Bonding Program'!$P$53&lt;&gt;"",'Bonding Program'!$P$53,'Bonding Program'!$C$8)),'Bonding Program'!$Z$53,0)+IF(AND('Bonding Program'!$P$53&lt;&gt;"",DE$3='Bonding Program'!$P$53,DE$3&lt;='Bonding Program'!$C$8),N('Bonding Program'!$O$53),0)</f>
        <v>0</v>
      </c>
    </row>
    <row r="195" customFormat="false" ht="15" hidden="false" customHeight="true" outlineLevel="1" collapsed="false">
      <c r="A195" s="28" t="s">
        <v>50</v>
      </c>
      <c r="B195" s="19" t="n">
        <f aca="false">IF(AND('Bonding Program'!$S$54=1,'Bonding Program'!$H$54&gt;'Bonding Program'!$C$8,B$3='Bonding Program'!$H$54),'Bonding Program'!$T$54-'Bonding Program'!$U$54-'Bonding Program'!$Z$54,0)-IF(AND('Bonding Program'!$S$54=1,'Bonding Program'!$H$54&lt;='Bonding Program'!$C$8,B$3=IF('Bonding Program'!$P$54&lt;&gt;"",'Bonding Program'!$P$54,'Bonding Program'!$C$8)),'Bonding Program'!$Z$54,0)+IF(AND('Bonding Program'!$P$54&lt;&gt;"",B$3='Bonding Program'!$P$54,B$3&lt;='Bonding Program'!$C$8),N('Bonding Program'!$O$54),0)</f>
        <v>0</v>
      </c>
      <c r="C195" s="19" t="n">
        <f aca="false">IF(AND('Bonding Program'!$S$54=1,'Bonding Program'!$H$54&gt;'Bonding Program'!$C$8,C$3='Bonding Program'!$H$54),'Bonding Program'!$T$54-'Bonding Program'!$U$54-'Bonding Program'!$Z$54,0)-IF(AND('Bonding Program'!$S$54=1,'Bonding Program'!$H$54&lt;='Bonding Program'!$C$8,C$3=IF('Bonding Program'!$P$54&lt;&gt;"",'Bonding Program'!$P$54,'Bonding Program'!$C$8)),'Bonding Program'!$Z$54,0)+IF(AND('Bonding Program'!$P$54&lt;&gt;"",C$3='Bonding Program'!$P$54,C$3&lt;='Bonding Program'!$C$8),N('Bonding Program'!$O$54),0)</f>
        <v>0</v>
      </c>
      <c r="D195" s="19" t="n">
        <f aca="false">IF(AND('Bonding Program'!$S$54=1,'Bonding Program'!$H$54&gt;'Bonding Program'!$C$8,D$3='Bonding Program'!$H$54),'Bonding Program'!$T$54-'Bonding Program'!$U$54-'Bonding Program'!$Z$54,0)-IF(AND('Bonding Program'!$S$54=1,'Bonding Program'!$H$54&lt;='Bonding Program'!$C$8,D$3=IF('Bonding Program'!$P$54&lt;&gt;"",'Bonding Program'!$P$54,'Bonding Program'!$C$8)),'Bonding Program'!$Z$54,0)+IF(AND('Bonding Program'!$P$54&lt;&gt;"",D$3='Bonding Program'!$P$54,D$3&lt;='Bonding Program'!$C$8),N('Bonding Program'!$O$54),0)</f>
        <v>0</v>
      </c>
      <c r="E195" s="19" t="n">
        <f aca="false">IF(AND('Bonding Program'!$S$54=1,'Bonding Program'!$H$54&gt;'Bonding Program'!$C$8,E$3='Bonding Program'!$H$54),'Bonding Program'!$T$54-'Bonding Program'!$U$54-'Bonding Program'!$Z$54,0)-IF(AND('Bonding Program'!$S$54=1,'Bonding Program'!$H$54&lt;='Bonding Program'!$C$8,E$3=IF('Bonding Program'!$P$54&lt;&gt;"",'Bonding Program'!$P$54,'Bonding Program'!$C$8)),'Bonding Program'!$Z$54,0)+IF(AND('Bonding Program'!$P$54&lt;&gt;"",E$3='Bonding Program'!$P$54,E$3&lt;='Bonding Program'!$C$8),N('Bonding Program'!$O$54),0)</f>
        <v>0</v>
      </c>
      <c r="F195" s="19" t="n">
        <f aca="false">IF(AND('Bonding Program'!$S$54=1,'Bonding Program'!$H$54&gt;'Bonding Program'!$C$8,F$3='Bonding Program'!$H$54),'Bonding Program'!$T$54-'Bonding Program'!$U$54-'Bonding Program'!$Z$54,0)-IF(AND('Bonding Program'!$S$54=1,'Bonding Program'!$H$54&lt;='Bonding Program'!$C$8,F$3=IF('Bonding Program'!$P$54&lt;&gt;"",'Bonding Program'!$P$54,'Bonding Program'!$C$8)),'Bonding Program'!$Z$54,0)+IF(AND('Bonding Program'!$P$54&lt;&gt;"",F$3='Bonding Program'!$P$54,F$3&lt;='Bonding Program'!$C$8),N('Bonding Program'!$O$54),0)</f>
        <v>0</v>
      </c>
      <c r="G195" s="19" t="n">
        <f aca="false">IF(AND('Bonding Program'!$S$54=1,'Bonding Program'!$H$54&gt;'Bonding Program'!$C$8,G$3='Bonding Program'!$H$54),'Bonding Program'!$T$54-'Bonding Program'!$U$54-'Bonding Program'!$Z$54,0)-IF(AND('Bonding Program'!$S$54=1,'Bonding Program'!$H$54&lt;='Bonding Program'!$C$8,G$3=IF('Bonding Program'!$P$54&lt;&gt;"",'Bonding Program'!$P$54,'Bonding Program'!$C$8)),'Bonding Program'!$Z$54,0)+IF(AND('Bonding Program'!$P$54&lt;&gt;"",G$3='Bonding Program'!$P$54,G$3&lt;='Bonding Program'!$C$8),N('Bonding Program'!$O$54),0)</f>
        <v>0</v>
      </c>
      <c r="H195" s="19" t="n">
        <f aca="false">IF(AND('Bonding Program'!$S$54=1,'Bonding Program'!$H$54&gt;'Bonding Program'!$C$8,H$3='Bonding Program'!$H$54),'Bonding Program'!$T$54-'Bonding Program'!$U$54-'Bonding Program'!$Z$54,0)-IF(AND('Bonding Program'!$S$54=1,'Bonding Program'!$H$54&lt;='Bonding Program'!$C$8,H$3=IF('Bonding Program'!$P$54&lt;&gt;"",'Bonding Program'!$P$54,'Bonding Program'!$C$8)),'Bonding Program'!$Z$54,0)+IF(AND('Bonding Program'!$P$54&lt;&gt;"",H$3='Bonding Program'!$P$54,H$3&lt;='Bonding Program'!$C$8),N('Bonding Program'!$O$54),0)</f>
        <v>0</v>
      </c>
      <c r="I195" s="19" t="n">
        <f aca="false">IF(AND('Bonding Program'!$S$54=1,'Bonding Program'!$H$54&gt;'Bonding Program'!$C$8,I$3='Bonding Program'!$H$54),'Bonding Program'!$T$54-'Bonding Program'!$U$54-'Bonding Program'!$Z$54,0)-IF(AND('Bonding Program'!$S$54=1,'Bonding Program'!$H$54&lt;='Bonding Program'!$C$8,I$3=IF('Bonding Program'!$P$54&lt;&gt;"",'Bonding Program'!$P$54,'Bonding Program'!$C$8)),'Bonding Program'!$Z$54,0)+IF(AND('Bonding Program'!$P$54&lt;&gt;"",I$3='Bonding Program'!$P$54,I$3&lt;='Bonding Program'!$C$8),N('Bonding Program'!$O$54),0)</f>
        <v>0</v>
      </c>
      <c r="J195" s="19" t="n">
        <f aca="false">IF(AND('Bonding Program'!$S$54=1,'Bonding Program'!$H$54&gt;'Bonding Program'!$C$8,J$3='Bonding Program'!$H$54),'Bonding Program'!$T$54-'Bonding Program'!$U$54-'Bonding Program'!$Z$54,0)-IF(AND('Bonding Program'!$S$54=1,'Bonding Program'!$H$54&lt;='Bonding Program'!$C$8,J$3=IF('Bonding Program'!$P$54&lt;&gt;"",'Bonding Program'!$P$54,'Bonding Program'!$C$8)),'Bonding Program'!$Z$54,0)+IF(AND('Bonding Program'!$P$54&lt;&gt;"",J$3='Bonding Program'!$P$54,J$3&lt;='Bonding Program'!$C$8),N('Bonding Program'!$O$54),0)</f>
        <v>0</v>
      </c>
      <c r="K195" s="19" t="n">
        <f aca="false">IF(AND('Bonding Program'!$S$54=1,'Bonding Program'!$H$54&gt;'Bonding Program'!$C$8,K$3='Bonding Program'!$H$54),'Bonding Program'!$T$54-'Bonding Program'!$U$54-'Bonding Program'!$Z$54,0)-IF(AND('Bonding Program'!$S$54=1,'Bonding Program'!$H$54&lt;='Bonding Program'!$C$8,K$3=IF('Bonding Program'!$P$54&lt;&gt;"",'Bonding Program'!$P$54,'Bonding Program'!$C$8)),'Bonding Program'!$Z$54,0)+IF(AND('Bonding Program'!$P$54&lt;&gt;"",K$3='Bonding Program'!$P$54,K$3&lt;='Bonding Program'!$C$8),N('Bonding Program'!$O$54),0)</f>
        <v>0</v>
      </c>
      <c r="L195" s="19" t="n">
        <f aca="false">IF(AND('Bonding Program'!$S$54=1,'Bonding Program'!$H$54&gt;'Bonding Program'!$C$8,L$3='Bonding Program'!$H$54),'Bonding Program'!$T$54-'Bonding Program'!$U$54-'Bonding Program'!$Z$54,0)-IF(AND('Bonding Program'!$S$54=1,'Bonding Program'!$H$54&lt;='Bonding Program'!$C$8,L$3=IF('Bonding Program'!$P$54&lt;&gt;"",'Bonding Program'!$P$54,'Bonding Program'!$C$8)),'Bonding Program'!$Z$54,0)+IF(AND('Bonding Program'!$P$54&lt;&gt;"",L$3='Bonding Program'!$P$54,L$3&lt;='Bonding Program'!$C$8),N('Bonding Program'!$O$54),0)</f>
        <v>0</v>
      </c>
      <c r="M195" s="19" t="n">
        <f aca="false">IF(AND('Bonding Program'!$S$54=1,'Bonding Program'!$H$54&gt;'Bonding Program'!$C$8,M$3='Bonding Program'!$H$54),'Bonding Program'!$T$54-'Bonding Program'!$U$54-'Bonding Program'!$Z$54,0)-IF(AND('Bonding Program'!$S$54=1,'Bonding Program'!$H$54&lt;='Bonding Program'!$C$8,M$3=IF('Bonding Program'!$P$54&lt;&gt;"",'Bonding Program'!$P$54,'Bonding Program'!$C$8)),'Bonding Program'!$Z$54,0)+IF(AND('Bonding Program'!$P$54&lt;&gt;"",M$3='Bonding Program'!$P$54,M$3&lt;='Bonding Program'!$C$8),N('Bonding Program'!$O$54),0)</f>
        <v>0</v>
      </c>
      <c r="N195" s="19" t="n">
        <f aca="false">IF(AND('Bonding Program'!$S$54=1,'Bonding Program'!$H$54&gt;'Bonding Program'!$C$8,N$3='Bonding Program'!$H$54),'Bonding Program'!$T$54-'Bonding Program'!$U$54-'Bonding Program'!$Z$54,0)-IF(AND('Bonding Program'!$S$54=1,'Bonding Program'!$H$54&lt;='Bonding Program'!$C$8,N$3=IF('Bonding Program'!$P$54&lt;&gt;"",'Bonding Program'!$P$54,'Bonding Program'!$C$8)),'Bonding Program'!$Z$54,0)+IF(AND('Bonding Program'!$P$54&lt;&gt;"",N$3='Bonding Program'!$P$54,N$3&lt;='Bonding Program'!$C$8),N('Bonding Program'!$O$54),0)</f>
        <v>0</v>
      </c>
      <c r="O195" s="19" t="n">
        <f aca="false">IF(AND('Bonding Program'!$S$54=1,'Bonding Program'!$H$54&gt;'Bonding Program'!$C$8,O$3='Bonding Program'!$H$54),'Bonding Program'!$T$54-'Bonding Program'!$U$54-'Bonding Program'!$Z$54,0)-IF(AND('Bonding Program'!$S$54=1,'Bonding Program'!$H$54&lt;='Bonding Program'!$C$8,O$3=IF('Bonding Program'!$P$54&lt;&gt;"",'Bonding Program'!$P$54,'Bonding Program'!$C$8)),'Bonding Program'!$Z$54,0)+IF(AND('Bonding Program'!$P$54&lt;&gt;"",O$3='Bonding Program'!$P$54,O$3&lt;='Bonding Program'!$C$8),N('Bonding Program'!$O$54),0)</f>
        <v>0</v>
      </c>
      <c r="P195" s="19" t="n">
        <f aca="false">IF(AND('Bonding Program'!$S$54=1,'Bonding Program'!$H$54&gt;'Bonding Program'!$C$8,P$3='Bonding Program'!$H$54),'Bonding Program'!$T$54-'Bonding Program'!$U$54-'Bonding Program'!$Z$54,0)-IF(AND('Bonding Program'!$S$54=1,'Bonding Program'!$H$54&lt;='Bonding Program'!$C$8,P$3=IF('Bonding Program'!$P$54&lt;&gt;"",'Bonding Program'!$P$54,'Bonding Program'!$C$8)),'Bonding Program'!$Z$54,0)+IF(AND('Bonding Program'!$P$54&lt;&gt;"",P$3='Bonding Program'!$P$54,P$3&lt;='Bonding Program'!$C$8),N('Bonding Program'!$O$54),0)</f>
        <v>0</v>
      </c>
      <c r="Q195" s="19" t="n">
        <f aca="false">IF(AND('Bonding Program'!$S$54=1,'Bonding Program'!$H$54&gt;'Bonding Program'!$C$8,Q$3='Bonding Program'!$H$54),'Bonding Program'!$T$54-'Bonding Program'!$U$54-'Bonding Program'!$Z$54,0)-IF(AND('Bonding Program'!$S$54=1,'Bonding Program'!$H$54&lt;='Bonding Program'!$C$8,Q$3=IF('Bonding Program'!$P$54&lt;&gt;"",'Bonding Program'!$P$54,'Bonding Program'!$C$8)),'Bonding Program'!$Z$54,0)+IF(AND('Bonding Program'!$P$54&lt;&gt;"",Q$3='Bonding Program'!$P$54,Q$3&lt;='Bonding Program'!$C$8),N('Bonding Program'!$O$54),0)</f>
        <v>0</v>
      </c>
      <c r="R195" s="19" t="n">
        <f aca="false">IF(AND('Bonding Program'!$S$54=1,'Bonding Program'!$H$54&gt;'Bonding Program'!$C$8,R$3='Bonding Program'!$H$54),'Bonding Program'!$T$54-'Bonding Program'!$U$54-'Bonding Program'!$Z$54,0)-IF(AND('Bonding Program'!$S$54=1,'Bonding Program'!$H$54&lt;='Bonding Program'!$C$8,R$3=IF('Bonding Program'!$P$54&lt;&gt;"",'Bonding Program'!$P$54,'Bonding Program'!$C$8)),'Bonding Program'!$Z$54,0)+IF(AND('Bonding Program'!$P$54&lt;&gt;"",R$3='Bonding Program'!$P$54,R$3&lt;='Bonding Program'!$C$8),N('Bonding Program'!$O$54),0)</f>
        <v>0</v>
      </c>
      <c r="S195" s="19" t="n">
        <f aca="false">IF(AND('Bonding Program'!$S$54=1,'Bonding Program'!$H$54&gt;'Bonding Program'!$C$8,S$3='Bonding Program'!$H$54),'Bonding Program'!$T$54-'Bonding Program'!$U$54-'Bonding Program'!$Z$54,0)-IF(AND('Bonding Program'!$S$54=1,'Bonding Program'!$H$54&lt;='Bonding Program'!$C$8,S$3=IF('Bonding Program'!$P$54&lt;&gt;"",'Bonding Program'!$P$54,'Bonding Program'!$C$8)),'Bonding Program'!$Z$54,0)+IF(AND('Bonding Program'!$P$54&lt;&gt;"",S$3='Bonding Program'!$P$54,S$3&lt;='Bonding Program'!$C$8),N('Bonding Program'!$O$54),0)</f>
        <v>0</v>
      </c>
      <c r="T195" s="19" t="n">
        <f aca="false">IF(AND('Bonding Program'!$S$54=1,'Bonding Program'!$H$54&gt;'Bonding Program'!$C$8,T$3='Bonding Program'!$H$54),'Bonding Program'!$T$54-'Bonding Program'!$U$54-'Bonding Program'!$Z$54,0)-IF(AND('Bonding Program'!$S$54=1,'Bonding Program'!$H$54&lt;='Bonding Program'!$C$8,T$3=IF('Bonding Program'!$P$54&lt;&gt;"",'Bonding Program'!$P$54,'Bonding Program'!$C$8)),'Bonding Program'!$Z$54,0)+IF(AND('Bonding Program'!$P$54&lt;&gt;"",T$3='Bonding Program'!$P$54,T$3&lt;='Bonding Program'!$C$8),N('Bonding Program'!$O$54),0)</f>
        <v>0</v>
      </c>
      <c r="U195" s="19" t="n">
        <f aca="false">IF(AND('Bonding Program'!$S$54=1,'Bonding Program'!$H$54&gt;'Bonding Program'!$C$8,U$3='Bonding Program'!$H$54),'Bonding Program'!$T$54-'Bonding Program'!$U$54-'Bonding Program'!$Z$54,0)-IF(AND('Bonding Program'!$S$54=1,'Bonding Program'!$H$54&lt;='Bonding Program'!$C$8,U$3=IF('Bonding Program'!$P$54&lt;&gt;"",'Bonding Program'!$P$54,'Bonding Program'!$C$8)),'Bonding Program'!$Z$54,0)+IF(AND('Bonding Program'!$P$54&lt;&gt;"",U$3='Bonding Program'!$P$54,U$3&lt;='Bonding Program'!$C$8),N('Bonding Program'!$O$54),0)</f>
        <v>0</v>
      </c>
      <c r="V195" s="19" t="n">
        <f aca="false">IF(AND('Bonding Program'!$S$54=1,'Bonding Program'!$H$54&gt;'Bonding Program'!$C$8,V$3='Bonding Program'!$H$54),'Bonding Program'!$T$54-'Bonding Program'!$U$54-'Bonding Program'!$Z$54,0)-IF(AND('Bonding Program'!$S$54=1,'Bonding Program'!$H$54&lt;='Bonding Program'!$C$8,V$3=IF('Bonding Program'!$P$54&lt;&gt;"",'Bonding Program'!$P$54,'Bonding Program'!$C$8)),'Bonding Program'!$Z$54,0)+IF(AND('Bonding Program'!$P$54&lt;&gt;"",V$3='Bonding Program'!$P$54,V$3&lt;='Bonding Program'!$C$8),N('Bonding Program'!$O$54),0)</f>
        <v>0</v>
      </c>
      <c r="W195" s="19" t="n">
        <f aca="false">IF(AND('Bonding Program'!$S$54=1,'Bonding Program'!$H$54&gt;'Bonding Program'!$C$8,W$3='Bonding Program'!$H$54),'Bonding Program'!$T$54-'Bonding Program'!$U$54-'Bonding Program'!$Z$54,0)-IF(AND('Bonding Program'!$S$54=1,'Bonding Program'!$H$54&lt;='Bonding Program'!$C$8,W$3=IF('Bonding Program'!$P$54&lt;&gt;"",'Bonding Program'!$P$54,'Bonding Program'!$C$8)),'Bonding Program'!$Z$54,0)+IF(AND('Bonding Program'!$P$54&lt;&gt;"",W$3='Bonding Program'!$P$54,W$3&lt;='Bonding Program'!$C$8),N('Bonding Program'!$O$54),0)</f>
        <v>0</v>
      </c>
      <c r="X195" s="19" t="n">
        <f aca="false">IF(AND('Bonding Program'!$S$54=1,'Bonding Program'!$H$54&gt;'Bonding Program'!$C$8,X$3='Bonding Program'!$H$54),'Bonding Program'!$T$54-'Bonding Program'!$U$54-'Bonding Program'!$Z$54,0)-IF(AND('Bonding Program'!$S$54=1,'Bonding Program'!$H$54&lt;='Bonding Program'!$C$8,X$3=IF('Bonding Program'!$P$54&lt;&gt;"",'Bonding Program'!$P$54,'Bonding Program'!$C$8)),'Bonding Program'!$Z$54,0)+IF(AND('Bonding Program'!$P$54&lt;&gt;"",X$3='Bonding Program'!$P$54,X$3&lt;='Bonding Program'!$C$8),N('Bonding Program'!$O$54),0)</f>
        <v>0</v>
      </c>
      <c r="Y195" s="19" t="n">
        <f aca="false">IF(AND('Bonding Program'!$S$54=1,'Bonding Program'!$H$54&gt;'Bonding Program'!$C$8,Y$3='Bonding Program'!$H$54),'Bonding Program'!$T$54-'Bonding Program'!$U$54-'Bonding Program'!$Z$54,0)-IF(AND('Bonding Program'!$S$54=1,'Bonding Program'!$H$54&lt;='Bonding Program'!$C$8,Y$3=IF('Bonding Program'!$P$54&lt;&gt;"",'Bonding Program'!$P$54,'Bonding Program'!$C$8)),'Bonding Program'!$Z$54,0)+IF(AND('Bonding Program'!$P$54&lt;&gt;"",Y$3='Bonding Program'!$P$54,Y$3&lt;='Bonding Program'!$C$8),N('Bonding Program'!$O$54),0)</f>
        <v>0</v>
      </c>
      <c r="Z195" s="19" t="n">
        <f aca="false">IF(AND('Bonding Program'!$S$54=1,'Bonding Program'!$H$54&gt;'Bonding Program'!$C$8,Z$3='Bonding Program'!$H$54),'Bonding Program'!$T$54-'Bonding Program'!$U$54-'Bonding Program'!$Z$54,0)-IF(AND('Bonding Program'!$S$54=1,'Bonding Program'!$H$54&lt;='Bonding Program'!$C$8,Z$3=IF('Bonding Program'!$P$54&lt;&gt;"",'Bonding Program'!$P$54,'Bonding Program'!$C$8)),'Bonding Program'!$Z$54,0)+IF(AND('Bonding Program'!$P$54&lt;&gt;"",Z$3='Bonding Program'!$P$54,Z$3&lt;='Bonding Program'!$C$8),N('Bonding Program'!$O$54),0)</f>
        <v>0</v>
      </c>
      <c r="AA195" s="19" t="n">
        <f aca="false">IF(AND('Bonding Program'!$S$54=1,'Bonding Program'!$H$54&gt;'Bonding Program'!$C$8,AA$3='Bonding Program'!$H$54),'Bonding Program'!$T$54-'Bonding Program'!$U$54-'Bonding Program'!$Z$54,0)-IF(AND('Bonding Program'!$S$54=1,'Bonding Program'!$H$54&lt;='Bonding Program'!$C$8,AA$3=IF('Bonding Program'!$P$54&lt;&gt;"",'Bonding Program'!$P$54,'Bonding Program'!$C$8)),'Bonding Program'!$Z$54,0)+IF(AND('Bonding Program'!$P$54&lt;&gt;"",AA$3='Bonding Program'!$P$54,AA$3&lt;='Bonding Program'!$C$8),N('Bonding Program'!$O$54),0)</f>
        <v>0</v>
      </c>
      <c r="AB195" s="19" t="n">
        <f aca="false">IF(AND('Bonding Program'!$S$54=1,'Bonding Program'!$H$54&gt;'Bonding Program'!$C$8,AB$3='Bonding Program'!$H$54),'Bonding Program'!$T$54-'Bonding Program'!$U$54-'Bonding Program'!$Z$54,0)-IF(AND('Bonding Program'!$S$54=1,'Bonding Program'!$H$54&lt;='Bonding Program'!$C$8,AB$3=IF('Bonding Program'!$P$54&lt;&gt;"",'Bonding Program'!$P$54,'Bonding Program'!$C$8)),'Bonding Program'!$Z$54,0)+IF(AND('Bonding Program'!$P$54&lt;&gt;"",AB$3='Bonding Program'!$P$54,AB$3&lt;='Bonding Program'!$C$8),N('Bonding Program'!$O$54),0)</f>
        <v>0</v>
      </c>
      <c r="AC195" s="19" t="n">
        <f aca="false">IF(AND('Bonding Program'!$S$54=1,'Bonding Program'!$H$54&gt;'Bonding Program'!$C$8,AC$3='Bonding Program'!$H$54),'Bonding Program'!$T$54-'Bonding Program'!$U$54-'Bonding Program'!$Z$54,0)-IF(AND('Bonding Program'!$S$54=1,'Bonding Program'!$H$54&lt;='Bonding Program'!$C$8,AC$3=IF('Bonding Program'!$P$54&lt;&gt;"",'Bonding Program'!$P$54,'Bonding Program'!$C$8)),'Bonding Program'!$Z$54,0)+IF(AND('Bonding Program'!$P$54&lt;&gt;"",AC$3='Bonding Program'!$P$54,AC$3&lt;='Bonding Program'!$C$8),N('Bonding Program'!$O$54),0)</f>
        <v>0</v>
      </c>
      <c r="AD195" s="19" t="n">
        <f aca="false">IF(AND('Bonding Program'!$S$54=1,'Bonding Program'!$H$54&gt;'Bonding Program'!$C$8,AD$3='Bonding Program'!$H$54),'Bonding Program'!$T$54-'Bonding Program'!$U$54-'Bonding Program'!$Z$54,0)-IF(AND('Bonding Program'!$S$54=1,'Bonding Program'!$H$54&lt;='Bonding Program'!$C$8,AD$3=IF('Bonding Program'!$P$54&lt;&gt;"",'Bonding Program'!$P$54,'Bonding Program'!$C$8)),'Bonding Program'!$Z$54,0)+IF(AND('Bonding Program'!$P$54&lt;&gt;"",AD$3='Bonding Program'!$P$54,AD$3&lt;='Bonding Program'!$C$8),N('Bonding Program'!$O$54),0)</f>
        <v>0</v>
      </c>
      <c r="AE195" s="19" t="n">
        <f aca="false">IF(AND('Bonding Program'!$S$54=1,'Bonding Program'!$H$54&gt;'Bonding Program'!$C$8,AE$3='Bonding Program'!$H$54),'Bonding Program'!$T$54-'Bonding Program'!$U$54-'Bonding Program'!$Z$54,0)-IF(AND('Bonding Program'!$S$54=1,'Bonding Program'!$H$54&lt;='Bonding Program'!$C$8,AE$3=IF('Bonding Program'!$P$54&lt;&gt;"",'Bonding Program'!$P$54,'Bonding Program'!$C$8)),'Bonding Program'!$Z$54,0)+IF(AND('Bonding Program'!$P$54&lt;&gt;"",AE$3='Bonding Program'!$P$54,AE$3&lt;='Bonding Program'!$C$8),N('Bonding Program'!$O$54),0)</f>
        <v>0</v>
      </c>
      <c r="AF195" s="19" t="n">
        <f aca="false">IF(AND('Bonding Program'!$S$54=1,'Bonding Program'!$H$54&gt;'Bonding Program'!$C$8,AF$3='Bonding Program'!$H$54),'Bonding Program'!$T$54-'Bonding Program'!$U$54-'Bonding Program'!$Z$54,0)-IF(AND('Bonding Program'!$S$54=1,'Bonding Program'!$H$54&lt;='Bonding Program'!$C$8,AF$3=IF('Bonding Program'!$P$54&lt;&gt;"",'Bonding Program'!$P$54,'Bonding Program'!$C$8)),'Bonding Program'!$Z$54,0)+IF(AND('Bonding Program'!$P$54&lt;&gt;"",AF$3='Bonding Program'!$P$54,AF$3&lt;='Bonding Program'!$C$8),N('Bonding Program'!$O$54),0)</f>
        <v>0</v>
      </c>
      <c r="AG195" s="19" t="n">
        <f aca="false">IF(AND('Bonding Program'!$S$54=1,'Bonding Program'!$H$54&gt;'Bonding Program'!$C$8,AG$3='Bonding Program'!$H$54),'Bonding Program'!$T$54-'Bonding Program'!$U$54-'Bonding Program'!$Z$54,0)-IF(AND('Bonding Program'!$S$54=1,'Bonding Program'!$H$54&lt;='Bonding Program'!$C$8,AG$3=IF('Bonding Program'!$P$54&lt;&gt;"",'Bonding Program'!$P$54,'Bonding Program'!$C$8)),'Bonding Program'!$Z$54,0)+IF(AND('Bonding Program'!$P$54&lt;&gt;"",AG$3='Bonding Program'!$P$54,AG$3&lt;='Bonding Program'!$C$8),N('Bonding Program'!$O$54),0)</f>
        <v>0</v>
      </c>
      <c r="AH195" s="19" t="n">
        <f aca="false">IF(AND('Bonding Program'!$S$54=1,'Bonding Program'!$H$54&gt;'Bonding Program'!$C$8,AH$3='Bonding Program'!$H$54),'Bonding Program'!$T$54-'Bonding Program'!$U$54-'Bonding Program'!$Z$54,0)-IF(AND('Bonding Program'!$S$54=1,'Bonding Program'!$H$54&lt;='Bonding Program'!$C$8,AH$3=IF('Bonding Program'!$P$54&lt;&gt;"",'Bonding Program'!$P$54,'Bonding Program'!$C$8)),'Bonding Program'!$Z$54,0)+IF(AND('Bonding Program'!$P$54&lt;&gt;"",AH$3='Bonding Program'!$P$54,AH$3&lt;='Bonding Program'!$C$8),N('Bonding Program'!$O$54),0)</f>
        <v>0</v>
      </c>
      <c r="AI195" s="19" t="n">
        <f aca="false">IF(AND('Bonding Program'!$S$54=1,'Bonding Program'!$H$54&gt;'Bonding Program'!$C$8,AI$3='Bonding Program'!$H$54),'Bonding Program'!$T$54-'Bonding Program'!$U$54-'Bonding Program'!$Z$54,0)-IF(AND('Bonding Program'!$S$54=1,'Bonding Program'!$H$54&lt;='Bonding Program'!$C$8,AI$3=IF('Bonding Program'!$P$54&lt;&gt;"",'Bonding Program'!$P$54,'Bonding Program'!$C$8)),'Bonding Program'!$Z$54,0)+IF(AND('Bonding Program'!$P$54&lt;&gt;"",AI$3='Bonding Program'!$P$54,AI$3&lt;='Bonding Program'!$C$8),N('Bonding Program'!$O$54),0)</f>
        <v>0</v>
      </c>
      <c r="AJ195" s="19" t="n">
        <f aca="false">IF(AND('Bonding Program'!$S$54=1,'Bonding Program'!$H$54&gt;'Bonding Program'!$C$8,AJ$3='Bonding Program'!$H$54),'Bonding Program'!$T$54-'Bonding Program'!$U$54-'Bonding Program'!$Z$54,0)-IF(AND('Bonding Program'!$S$54=1,'Bonding Program'!$H$54&lt;='Bonding Program'!$C$8,AJ$3=IF('Bonding Program'!$P$54&lt;&gt;"",'Bonding Program'!$P$54,'Bonding Program'!$C$8)),'Bonding Program'!$Z$54,0)+IF(AND('Bonding Program'!$P$54&lt;&gt;"",AJ$3='Bonding Program'!$P$54,AJ$3&lt;='Bonding Program'!$C$8),N('Bonding Program'!$O$54),0)</f>
        <v>0</v>
      </c>
      <c r="AK195" s="19" t="n">
        <f aca="false">IF(AND('Bonding Program'!$S$54=1,'Bonding Program'!$H$54&gt;'Bonding Program'!$C$8,AK$3='Bonding Program'!$H$54),'Bonding Program'!$T$54-'Bonding Program'!$U$54-'Bonding Program'!$Z$54,0)-IF(AND('Bonding Program'!$S$54=1,'Bonding Program'!$H$54&lt;='Bonding Program'!$C$8,AK$3=IF('Bonding Program'!$P$54&lt;&gt;"",'Bonding Program'!$P$54,'Bonding Program'!$C$8)),'Bonding Program'!$Z$54,0)+IF(AND('Bonding Program'!$P$54&lt;&gt;"",AK$3='Bonding Program'!$P$54,AK$3&lt;='Bonding Program'!$C$8),N('Bonding Program'!$O$54),0)</f>
        <v>0</v>
      </c>
      <c r="AL195" s="19" t="n">
        <f aca="false">IF(AND('Bonding Program'!$S$54=1,'Bonding Program'!$H$54&gt;'Bonding Program'!$C$8,AL$3='Bonding Program'!$H$54),'Bonding Program'!$T$54-'Bonding Program'!$U$54-'Bonding Program'!$Z$54,0)-IF(AND('Bonding Program'!$S$54=1,'Bonding Program'!$H$54&lt;='Bonding Program'!$C$8,AL$3=IF('Bonding Program'!$P$54&lt;&gt;"",'Bonding Program'!$P$54,'Bonding Program'!$C$8)),'Bonding Program'!$Z$54,0)+IF(AND('Bonding Program'!$P$54&lt;&gt;"",AL$3='Bonding Program'!$P$54,AL$3&lt;='Bonding Program'!$C$8),N('Bonding Program'!$O$54),0)</f>
        <v>0</v>
      </c>
      <c r="AM195" s="19" t="n">
        <f aca="false">IF(AND('Bonding Program'!$S$54=1,'Bonding Program'!$H$54&gt;'Bonding Program'!$C$8,AM$3='Bonding Program'!$H$54),'Bonding Program'!$T$54-'Bonding Program'!$U$54-'Bonding Program'!$Z$54,0)-IF(AND('Bonding Program'!$S$54=1,'Bonding Program'!$H$54&lt;='Bonding Program'!$C$8,AM$3=IF('Bonding Program'!$P$54&lt;&gt;"",'Bonding Program'!$P$54,'Bonding Program'!$C$8)),'Bonding Program'!$Z$54,0)+IF(AND('Bonding Program'!$P$54&lt;&gt;"",AM$3='Bonding Program'!$P$54,AM$3&lt;='Bonding Program'!$C$8),N('Bonding Program'!$O$54),0)</f>
        <v>0</v>
      </c>
      <c r="AN195" s="19" t="n">
        <f aca="false">IF(AND('Bonding Program'!$S$54=1,'Bonding Program'!$H$54&gt;'Bonding Program'!$C$8,AN$3='Bonding Program'!$H$54),'Bonding Program'!$T$54-'Bonding Program'!$U$54-'Bonding Program'!$Z$54,0)-IF(AND('Bonding Program'!$S$54=1,'Bonding Program'!$H$54&lt;='Bonding Program'!$C$8,AN$3=IF('Bonding Program'!$P$54&lt;&gt;"",'Bonding Program'!$P$54,'Bonding Program'!$C$8)),'Bonding Program'!$Z$54,0)+IF(AND('Bonding Program'!$P$54&lt;&gt;"",AN$3='Bonding Program'!$P$54,AN$3&lt;='Bonding Program'!$C$8),N('Bonding Program'!$O$54),0)</f>
        <v>0</v>
      </c>
      <c r="AO195" s="19" t="n">
        <f aca="false">IF(AND('Bonding Program'!$S$54=1,'Bonding Program'!$H$54&gt;'Bonding Program'!$C$8,AO$3='Bonding Program'!$H$54),'Bonding Program'!$T$54-'Bonding Program'!$U$54-'Bonding Program'!$Z$54,0)-IF(AND('Bonding Program'!$S$54=1,'Bonding Program'!$H$54&lt;='Bonding Program'!$C$8,AO$3=IF('Bonding Program'!$P$54&lt;&gt;"",'Bonding Program'!$P$54,'Bonding Program'!$C$8)),'Bonding Program'!$Z$54,0)+IF(AND('Bonding Program'!$P$54&lt;&gt;"",AO$3='Bonding Program'!$P$54,AO$3&lt;='Bonding Program'!$C$8),N('Bonding Program'!$O$54),0)</f>
        <v>0</v>
      </c>
      <c r="AP195" s="19" t="n">
        <f aca="false">IF(AND('Bonding Program'!$S$54=1,'Bonding Program'!$H$54&gt;'Bonding Program'!$C$8,AP$3='Bonding Program'!$H$54),'Bonding Program'!$T$54-'Bonding Program'!$U$54-'Bonding Program'!$Z$54,0)-IF(AND('Bonding Program'!$S$54=1,'Bonding Program'!$H$54&lt;='Bonding Program'!$C$8,AP$3=IF('Bonding Program'!$P$54&lt;&gt;"",'Bonding Program'!$P$54,'Bonding Program'!$C$8)),'Bonding Program'!$Z$54,0)+IF(AND('Bonding Program'!$P$54&lt;&gt;"",AP$3='Bonding Program'!$P$54,AP$3&lt;='Bonding Program'!$C$8),N('Bonding Program'!$O$54),0)</f>
        <v>0</v>
      </c>
      <c r="AQ195" s="19" t="n">
        <f aca="false">IF(AND('Bonding Program'!$S$54=1,'Bonding Program'!$H$54&gt;'Bonding Program'!$C$8,AQ$3='Bonding Program'!$H$54),'Bonding Program'!$T$54-'Bonding Program'!$U$54-'Bonding Program'!$Z$54,0)-IF(AND('Bonding Program'!$S$54=1,'Bonding Program'!$H$54&lt;='Bonding Program'!$C$8,AQ$3=IF('Bonding Program'!$P$54&lt;&gt;"",'Bonding Program'!$P$54,'Bonding Program'!$C$8)),'Bonding Program'!$Z$54,0)+IF(AND('Bonding Program'!$P$54&lt;&gt;"",AQ$3='Bonding Program'!$P$54,AQ$3&lt;='Bonding Program'!$C$8),N('Bonding Program'!$O$54),0)</f>
        <v>0</v>
      </c>
      <c r="AR195" s="19" t="n">
        <f aca="false">IF(AND('Bonding Program'!$S$54=1,'Bonding Program'!$H$54&gt;'Bonding Program'!$C$8,AR$3='Bonding Program'!$H$54),'Bonding Program'!$T$54-'Bonding Program'!$U$54-'Bonding Program'!$Z$54,0)-IF(AND('Bonding Program'!$S$54=1,'Bonding Program'!$H$54&lt;='Bonding Program'!$C$8,AR$3=IF('Bonding Program'!$P$54&lt;&gt;"",'Bonding Program'!$P$54,'Bonding Program'!$C$8)),'Bonding Program'!$Z$54,0)+IF(AND('Bonding Program'!$P$54&lt;&gt;"",AR$3='Bonding Program'!$P$54,AR$3&lt;='Bonding Program'!$C$8),N('Bonding Program'!$O$54),0)</f>
        <v>0</v>
      </c>
      <c r="AS195" s="19" t="n">
        <f aca="false">IF(AND('Bonding Program'!$S$54=1,'Bonding Program'!$H$54&gt;'Bonding Program'!$C$8,AS$3='Bonding Program'!$H$54),'Bonding Program'!$T$54-'Bonding Program'!$U$54-'Bonding Program'!$Z$54,0)-IF(AND('Bonding Program'!$S$54=1,'Bonding Program'!$H$54&lt;='Bonding Program'!$C$8,AS$3=IF('Bonding Program'!$P$54&lt;&gt;"",'Bonding Program'!$P$54,'Bonding Program'!$C$8)),'Bonding Program'!$Z$54,0)+IF(AND('Bonding Program'!$P$54&lt;&gt;"",AS$3='Bonding Program'!$P$54,AS$3&lt;='Bonding Program'!$C$8),N('Bonding Program'!$O$54),0)</f>
        <v>0</v>
      </c>
      <c r="AT195" s="19" t="n">
        <f aca="false">IF(AND('Bonding Program'!$S$54=1,'Bonding Program'!$H$54&gt;'Bonding Program'!$C$8,AT$3='Bonding Program'!$H$54),'Bonding Program'!$T$54-'Bonding Program'!$U$54-'Bonding Program'!$Z$54,0)-IF(AND('Bonding Program'!$S$54=1,'Bonding Program'!$H$54&lt;='Bonding Program'!$C$8,AT$3=IF('Bonding Program'!$P$54&lt;&gt;"",'Bonding Program'!$P$54,'Bonding Program'!$C$8)),'Bonding Program'!$Z$54,0)+IF(AND('Bonding Program'!$P$54&lt;&gt;"",AT$3='Bonding Program'!$P$54,AT$3&lt;='Bonding Program'!$C$8),N('Bonding Program'!$O$54),0)</f>
        <v>0</v>
      </c>
      <c r="AU195" s="19" t="n">
        <f aca="false">IF(AND('Bonding Program'!$S$54=1,'Bonding Program'!$H$54&gt;'Bonding Program'!$C$8,AU$3='Bonding Program'!$H$54),'Bonding Program'!$T$54-'Bonding Program'!$U$54-'Bonding Program'!$Z$54,0)-IF(AND('Bonding Program'!$S$54=1,'Bonding Program'!$H$54&lt;='Bonding Program'!$C$8,AU$3=IF('Bonding Program'!$P$54&lt;&gt;"",'Bonding Program'!$P$54,'Bonding Program'!$C$8)),'Bonding Program'!$Z$54,0)+IF(AND('Bonding Program'!$P$54&lt;&gt;"",AU$3='Bonding Program'!$P$54,AU$3&lt;='Bonding Program'!$C$8),N('Bonding Program'!$O$54),0)</f>
        <v>0</v>
      </c>
      <c r="AV195" s="19" t="n">
        <f aca="false">IF(AND('Bonding Program'!$S$54=1,'Bonding Program'!$H$54&gt;'Bonding Program'!$C$8,AV$3='Bonding Program'!$H$54),'Bonding Program'!$T$54-'Bonding Program'!$U$54-'Bonding Program'!$Z$54,0)-IF(AND('Bonding Program'!$S$54=1,'Bonding Program'!$H$54&lt;='Bonding Program'!$C$8,AV$3=IF('Bonding Program'!$P$54&lt;&gt;"",'Bonding Program'!$P$54,'Bonding Program'!$C$8)),'Bonding Program'!$Z$54,0)+IF(AND('Bonding Program'!$P$54&lt;&gt;"",AV$3='Bonding Program'!$P$54,AV$3&lt;='Bonding Program'!$C$8),N('Bonding Program'!$O$54),0)</f>
        <v>0</v>
      </c>
      <c r="AW195" s="19" t="n">
        <f aca="false">IF(AND('Bonding Program'!$S$54=1,'Bonding Program'!$H$54&gt;'Bonding Program'!$C$8,AW$3='Bonding Program'!$H$54),'Bonding Program'!$T$54-'Bonding Program'!$U$54-'Bonding Program'!$Z$54,0)-IF(AND('Bonding Program'!$S$54=1,'Bonding Program'!$H$54&lt;='Bonding Program'!$C$8,AW$3=IF('Bonding Program'!$P$54&lt;&gt;"",'Bonding Program'!$P$54,'Bonding Program'!$C$8)),'Bonding Program'!$Z$54,0)+IF(AND('Bonding Program'!$P$54&lt;&gt;"",AW$3='Bonding Program'!$P$54,AW$3&lt;='Bonding Program'!$C$8),N('Bonding Program'!$O$54),0)</f>
        <v>0</v>
      </c>
      <c r="AX195" s="19" t="n">
        <f aca="false">IF(AND('Bonding Program'!$S$54=1,'Bonding Program'!$H$54&gt;'Bonding Program'!$C$8,AX$3='Bonding Program'!$H$54),'Bonding Program'!$T$54-'Bonding Program'!$U$54-'Bonding Program'!$Z$54,0)-IF(AND('Bonding Program'!$S$54=1,'Bonding Program'!$H$54&lt;='Bonding Program'!$C$8,AX$3=IF('Bonding Program'!$P$54&lt;&gt;"",'Bonding Program'!$P$54,'Bonding Program'!$C$8)),'Bonding Program'!$Z$54,0)+IF(AND('Bonding Program'!$P$54&lt;&gt;"",AX$3='Bonding Program'!$P$54,AX$3&lt;='Bonding Program'!$C$8),N('Bonding Program'!$O$54),0)</f>
        <v>0</v>
      </c>
      <c r="AY195" s="19" t="n">
        <f aca="false">IF(AND('Bonding Program'!$S$54=1,'Bonding Program'!$H$54&gt;'Bonding Program'!$C$8,AY$3='Bonding Program'!$H$54),'Bonding Program'!$T$54-'Bonding Program'!$U$54-'Bonding Program'!$Z$54,0)-IF(AND('Bonding Program'!$S$54=1,'Bonding Program'!$H$54&lt;='Bonding Program'!$C$8,AY$3=IF('Bonding Program'!$P$54&lt;&gt;"",'Bonding Program'!$P$54,'Bonding Program'!$C$8)),'Bonding Program'!$Z$54,0)+IF(AND('Bonding Program'!$P$54&lt;&gt;"",AY$3='Bonding Program'!$P$54,AY$3&lt;='Bonding Program'!$C$8),N('Bonding Program'!$O$54),0)</f>
        <v>0</v>
      </c>
      <c r="AZ195" s="19" t="n">
        <f aca="false">IF(AND('Bonding Program'!$S$54=1,'Bonding Program'!$H$54&gt;'Bonding Program'!$C$8,AZ$3='Bonding Program'!$H$54),'Bonding Program'!$T$54-'Bonding Program'!$U$54-'Bonding Program'!$Z$54,0)-IF(AND('Bonding Program'!$S$54=1,'Bonding Program'!$H$54&lt;='Bonding Program'!$C$8,AZ$3=IF('Bonding Program'!$P$54&lt;&gt;"",'Bonding Program'!$P$54,'Bonding Program'!$C$8)),'Bonding Program'!$Z$54,0)+IF(AND('Bonding Program'!$P$54&lt;&gt;"",AZ$3='Bonding Program'!$P$54,AZ$3&lt;='Bonding Program'!$C$8),N('Bonding Program'!$O$54),0)</f>
        <v>0</v>
      </c>
      <c r="BA195" s="19" t="n">
        <f aca="false">IF(AND('Bonding Program'!$S$54=1,'Bonding Program'!$H$54&gt;'Bonding Program'!$C$8,BA$3='Bonding Program'!$H$54),'Bonding Program'!$T$54-'Bonding Program'!$U$54-'Bonding Program'!$Z$54,0)-IF(AND('Bonding Program'!$S$54=1,'Bonding Program'!$H$54&lt;='Bonding Program'!$C$8,BA$3=IF('Bonding Program'!$P$54&lt;&gt;"",'Bonding Program'!$P$54,'Bonding Program'!$C$8)),'Bonding Program'!$Z$54,0)+IF(AND('Bonding Program'!$P$54&lt;&gt;"",BA$3='Bonding Program'!$P$54,BA$3&lt;='Bonding Program'!$C$8),N('Bonding Program'!$O$54),0)</f>
        <v>0</v>
      </c>
      <c r="BB195" s="19" t="n">
        <f aca="false">IF(AND('Bonding Program'!$S$54=1,'Bonding Program'!$H$54&gt;'Bonding Program'!$C$8,BB$3='Bonding Program'!$H$54),'Bonding Program'!$T$54-'Bonding Program'!$U$54-'Bonding Program'!$Z$54,0)-IF(AND('Bonding Program'!$S$54=1,'Bonding Program'!$H$54&lt;='Bonding Program'!$C$8,BB$3=IF('Bonding Program'!$P$54&lt;&gt;"",'Bonding Program'!$P$54,'Bonding Program'!$C$8)),'Bonding Program'!$Z$54,0)+IF(AND('Bonding Program'!$P$54&lt;&gt;"",BB$3='Bonding Program'!$P$54,BB$3&lt;='Bonding Program'!$C$8),N('Bonding Program'!$O$54),0)</f>
        <v>0</v>
      </c>
      <c r="BC195" s="19" t="n">
        <f aca="false">IF(AND('Bonding Program'!$S$54=1,'Bonding Program'!$H$54&gt;'Bonding Program'!$C$8,BC$3='Bonding Program'!$H$54),'Bonding Program'!$T$54-'Bonding Program'!$U$54-'Bonding Program'!$Z$54,0)-IF(AND('Bonding Program'!$S$54=1,'Bonding Program'!$H$54&lt;='Bonding Program'!$C$8,BC$3=IF('Bonding Program'!$P$54&lt;&gt;"",'Bonding Program'!$P$54,'Bonding Program'!$C$8)),'Bonding Program'!$Z$54,0)+IF(AND('Bonding Program'!$P$54&lt;&gt;"",BC$3='Bonding Program'!$P$54,BC$3&lt;='Bonding Program'!$C$8),N('Bonding Program'!$O$54),0)</f>
        <v>0</v>
      </c>
      <c r="BD195" s="19" t="n">
        <f aca="false">IF(AND('Bonding Program'!$S$54=1,'Bonding Program'!$H$54&gt;'Bonding Program'!$C$8,BD$3='Bonding Program'!$H$54),'Bonding Program'!$T$54-'Bonding Program'!$U$54-'Bonding Program'!$Z$54,0)-IF(AND('Bonding Program'!$S$54=1,'Bonding Program'!$H$54&lt;='Bonding Program'!$C$8,BD$3=IF('Bonding Program'!$P$54&lt;&gt;"",'Bonding Program'!$P$54,'Bonding Program'!$C$8)),'Bonding Program'!$Z$54,0)+IF(AND('Bonding Program'!$P$54&lt;&gt;"",BD$3='Bonding Program'!$P$54,BD$3&lt;='Bonding Program'!$C$8),N('Bonding Program'!$O$54),0)</f>
        <v>0</v>
      </c>
      <c r="BE195" s="19" t="n">
        <f aca="false">IF(AND('Bonding Program'!$S$54=1,'Bonding Program'!$H$54&gt;'Bonding Program'!$C$8,BE$3='Bonding Program'!$H$54),'Bonding Program'!$T$54-'Bonding Program'!$U$54-'Bonding Program'!$Z$54,0)-IF(AND('Bonding Program'!$S$54=1,'Bonding Program'!$H$54&lt;='Bonding Program'!$C$8,BE$3=IF('Bonding Program'!$P$54&lt;&gt;"",'Bonding Program'!$P$54,'Bonding Program'!$C$8)),'Bonding Program'!$Z$54,0)+IF(AND('Bonding Program'!$P$54&lt;&gt;"",BE$3='Bonding Program'!$P$54,BE$3&lt;='Bonding Program'!$C$8),N('Bonding Program'!$O$54),0)</f>
        <v>0</v>
      </c>
      <c r="BF195" s="19" t="n">
        <f aca="false">IF(AND('Bonding Program'!$S$54=1,'Bonding Program'!$H$54&gt;'Bonding Program'!$C$8,BF$3='Bonding Program'!$H$54),'Bonding Program'!$T$54-'Bonding Program'!$U$54-'Bonding Program'!$Z$54,0)-IF(AND('Bonding Program'!$S$54=1,'Bonding Program'!$H$54&lt;='Bonding Program'!$C$8,BF$3=IF('Bonding Program'!$P$54&lt;&gt;"",'Bonding Program'!$P$54,'Bonding Program'!$C$8)),'Bonding Program'!$Z$54,0)+IF(AND('Bonding Program'!$P$54&lt;&gt;"",BF$3='Bonding Program'!$P$54,BF$3&lt;='Bonding Program'!$C$8),N('Bonding Program'!$O$54),0)</f>
        <v>0</v>
      </c>
      <c r="BG195" s="19" t="n">
        <f aca="false">IF(AND('Bonding Program'!$S$54=1,'Bonding Program'!$H$54&gt;'Bonding Program'!$C$8,BG$3='Bonding Program'!$H$54),'Bonding Program'!$T$54-'Bonding Program'!$U$54-'Bonding Program'!$Z$54,0)-IF(AND('Bonding Program'!$S$54=1,'Bonding Program'!$H$54&lt;='Bonding Program'!$C$8,BG$3=IF('Bonding Program'!$P$54&lt;&gt;"",'Bonding Program'!$P$54,'Bonding Program'!$C$8)),'Bonding Program'!$Z$54,0)+IF(AND('Bonding Program'!$P$54&lt;&gt;"",BG$3='Bonding Program'!$P$54,BG$3&lt;='Bonding Program'!$C$8),N('Bonding Program'!$O$54),0)</f>
        <v>0</v>
      </c>
      <c r="BH195" s="19" t="n">
        <f aca="false">IF(AND('Bonding Program'!$S$54=1,'Bonding Program'!$H$54&gt;'Bonding Program'!$C$8,BH$3='Bonding Program'!$H$54),'Bonding Program'!$T$54-'Bonding Program'!$U$54-'Bonding Program'!$Z$54,0)-IF(AND('Bonding Program'!$S$54=1,'Bonding Program'!$H$54&lt;='Bonding Program'!$C$8,BH$3=IF('Bonding Program'!$P$54&lt;&gt;"",'Bonding Program'!$P$54,'Bonding Program'!$C$8)),'Bonding Program'!$Z$54,0)+IF(AND('Bonding Program'!$P$54&lt;&gt;"",BH$3='Bonding Program'!$P$54,BH$3&lt;='Bonding Program'!$C$8),N('Bonding Program'!$O$54),0)</f>
        <v>0</v>
      </c>
      <c r="BI195" s="19" t="n">
        <f aca="false">IF(AND('Bonding Program'!$S$54=1,'Bonding Program'!$H$54&gt;'Bonding Program'!$C$8,BI$3='Bonding Program'!$H$54),'Bonding Program'!$T$54-'Bonding Program'!$U$54-'Bonding Program'!$Z$54,0)-IF(AND('Bonding Program'!$S$54=1,'Bonding Program'!$H$54&lt;='Bonding Program'!$C$8,BI$3=IF('Bonding Program'!$P$54&lt;&gt;"",'Bonding Program'!$P$54,'Bonding Program'!$C$8)),'Bonding Program'!$Z$54,0)+IF(AND('Bonding Program'!$P$54&lt;&gt;"",BI$3='Bonding Program'!$P$54,BI$3&lt;='Bonding Program'!$C$8),N('Bonding Program'!$O$54),0)</f>
        <v>0</v>
      </c>
      <c r="BJ195" s="19" t="n">
        <f aca="false">IF(AND('Bonding Program'!$S$54=1,'Bonding Program'!$H$54&gt;'Bonding Program'!$C$8,BJ$3='Bonding Program'!$H$54),'Bonding Program'!$T$54-'Bonding Program'!$U$54-'Bonding Program'!$Z$54,0)-IF(AND('Bonding Program'!$S$54=1,'Bonding Program'!$H$54&lt;='Bonding Program'!$C$8,BJ$3=IF('Bonding Program'!$P$54&lt;&gt;"",'Bonding Program'!$P$54,'Bonding Program'!$C$8)),'Bonding Program'!$Z$54,0)+IF(AND('Bonding Program'!$P$54&lt;&gt;"",BJ$3='Bonding Program'!$P$54,BJ$3&lt;='Bonding Program'!$C$8),N('Bonding Program'!$O$54),0)</f>
        <v>0</v>
      </c>
      <c r="BK195" s="19" t="n">
        <f aca="false">IF(AND('Bonding Program'!$S$54=1,'Bonding Program'!$H$54&gt;'Bonding Program'!$C$8,BK$3='Bonding Program'!$H$54),'Bonding Program'!$T$54-'Bonding Program'!$U$54-'Bonding Program'!$Z$54,0)-IF(AND('Bonding Program'!$S$54=1,'Bonding Program'!$H$54&lt;='Bonding Program'!$C$8,BK$3=IF('Bonding Program'!$P$54&lt;&gt;"",'Bonding Program'!$P$54,'Bonding Program'!$C$8)),'Bonding Program'!$Z$54,0)+IF(AND('Bonding Program'!$P$54&lt;&gt;"",BK$3='Bonding Program'!$P$54,BK$3&lt;='Bonding Program'!$C$8),N('Bonding Program'!$O$54),0)</f>
        <v>0</v>
      </c>
      <c r="BL195" s="19" t="n">
        <f aca="false">IF(AND('Bonding Program'!$S$54=1,'Bonding Program'!$H$54&gt;'Bonding Program'!$C$8,BL$3='Bonding Program'!$H$54),'Bonding Program'!$T$54-'Bonding Program'!$U$54-'Bonding Program'!$Z$54,0)-IF(AND('Bonding Program'!$S$54=1,'Bonding Program'!$H$54&lt;='Bonding Program'!$C$8,BL$3=IF('Bonding Program'!$P$54&lt;&gt;"",'Bonding Program'!$P$54,'Bonding Program'!$C$8)),'Bonding Program'!$Z$54,0)+IF(AND('Bonding Program'!$P$54&lt;&gt;"",BL$3='Bonding Program'!$P$54,BL$3&lt;='Bonding Program'!$C$8),N('Bonding Program'!$O$54),0)</f>
        <v>0</v>
      </c>
      <c r="BM195" s="19" t="n">
        <f aca="false">IF(AND('Bonding Program'!$S$54=1,'Bonding Program'!$H$54&gt;'Bonding Program'!$C$8,BM$3='Bonding Program'!$H$54),'Bonding Program'!$T$54-'Bonding Program'!$U$54-'Bonding Program'!$Z$54,0)-IF(AND('Bonding Program'!$S$54=1,'Bonding Program'!$H$54&lt;='Bonding Program'!$C$8,BM$3=IF('Bonding Program'!$P$54&lt;&gt;"",'Bonding Program'!$P$54,'Bonding Program'!$C$8)),'Bonding Program'!$Z$54,0)+IF(AND('Bonding Program'!$P$54&lt;&gt;"",BM$3='Bonding Program'!$P$54,BM$3&lt;='Bonding Program'!$C$8),N('Bonding Program'!$O$54),0)</f>
        <v>0</v>
      </c>
      <c r="BN195" s="19" t="n">
        <f aca="false">IF(AND('Bonding Program'!$S$54=1,'Bonding Program'!$H$54&gt;'Bonding Program'!$C$8,BN$3='Bonding Program'!$H$54),'Bonding Program'!$T$54-'Bonding Program'!$U$54-'Bonding Program'!$Z$54,0)-IF(AND('Bonding Program'!$S$54=1,'Bonding Program'!$H$54&lt;='Bonding Program'!$C$8,BN$3=IF('Bonding Program'!$P$54&lt;&gt;"",'Bonding Program'!$P$54,'Bonding Program'!$C$8)),'Bonding Program'!$Z$54,0)+IF(AND('Bonding Program'!$P$54&lt;&gt;"",BN$3='Bonding Program'!$P$54,BN$3&lt;='Bonding Program'!$C$8),N('Bonding Program'!$O$54),0)</f>
        <v>0</v>
      </c>
      <c r="BO195" s="19" t="n">
        <f aca="false">IF(AND('Bonding Program'!$S$54=1,'Bonding Program'!$H$54&gt;'Bonding Program'!$C$8,BO$3='Bonding Program'!$H$54),'Bonding Program'!$T$54-'Bonding Program'!$U$54-'Bonding Program'!$Z$54,0)-IF(AND('Bonding Program'!$S$54=1,'Bonding Program'!$H$54&lt;='Bonding Program'!$C$8,BO$3=IF('Bonding Program'!$P$54&lt;&gt;"",'Bonding Program'!$P$54,'Bonding Program'!$C$8)),'Bonding Program'!$Z$54,0)+IF(AND('Bonding Program'!$P$54&lt;&gt;"",BO$3='Bonding Program'!$P$54,BO$3&lt;='Bonding Program'!$C$8),N('Bonding Program'!$O$54),0)</f>
        <v>0</v>
      </c>
      <c r="BP195" s="19" t="n">
        <f aca="false">IF(AND('Bonding Program'!$S$54=1,'Bonding Program'!$H$54&gt;'Bonding Program'!$C$8,BP$3='Bonding Program'!$H$54),'Bonding Program'!$T$54-'Bonding Program'!$U$54-'Bonding Program'!$Z$54,0)-IF(AND('Bonding Program'!$S$54=1,'Bonding Program'!$H$54&lt;='Bonding Program'!$C$8,BP$3=IF('Bonding Program'!$P$54&lt;&gt;"",'Bonding Program'!$P$54,'Bonding Program'!$C$8)),'Bonding Program'!$Z$54,0)+IF(AND('Bonding Program'!$P$54&lt;&gt;"",BP$3='Bonding Program'!$P$54,BP$3&lt;='Bonding Program'!$C$8),N('Bonding Program'!$O$54),0)</f>
        <v>0</v>
      </c>
      <c r="BQ195" s="19" t="n">
        <f aca="false">IF(AND('Bonding Program'!$S$54=1,'Bonding Program'!$H$54&gt;'Bonding Program'!$C$8,BQ$3='Bonding Program'!$H$54),'Bonding Program'!$T$54-'Bonding Program'!$U$54-'Bonding Program'!$Z$54,0)-IF(AND('Bonding Program'!$S$54=1,'Bonding Program'!$H$54&lt;='Bonding Program'!$C$8,BQ$3=IF('Bonding Program'!$P$54&lt;&gt;"",'Bonding Program'!$P$54,'Bonding Program'!$C$8)),'Bonding Program'!$Z$54,0)+IF(AND('Bonding Program'!$P$54&lt;&gt;"",BQ$3='Bonding Program'!$P$54,BQ$3&lt;='Bonding Program'!$C$8),N('Bonding Program'!$O$54),0)</f>
        <v>0</v>
      </c>
      <c r="BR195" s="19" t="n">
        <f aca="false">IF(AND('Bonding Program'!$S$54=1,'Bonding Program'!$H$54&gt;'Bonding Program'!$C$8,BR$3='Bonding Program'!$H$54),'Bonding Program'!$T$54-'Bonding Program'!$U$54-'Bonding Program'!$Z$54,0)-IF(AND('Bonding Program'!$S$54=1,'Bonding Program'!$H$54&lt;='Bonding Program'!$C$8,BR$3=IF('Bonding Program'!$P$54&lt;&gt;"",'Bonding Program'!$P$54,'Bonding Program'!$C$8)),'Bonding Program'!$Z$54,0)+IF(AND('Bonding Program'!$P$54&lt;&gt;"",BR$3='Bonding Program'!$P$54,BR$3&lt;='Bonding Program'!$C$8),N('Bonding Program'!$O$54),0)</f>
        <v>0</v>
      </c>
      <c r="BS195" s="19" t="n">
        <f aca="false">IF(AND('Bonding Program'!$S$54=1,'Bonding Program'!$H$54&gt;'Bonding Program'!$C$8,BS$3='Bonding Program'!$H$54),'Bonding Program'!$T$54-'Bonding Program'!$U$54-'Bonding Program'!$Z$54,0)-IF(AND('Bonding Program'!$S$54=1,'Bonding Program'!$H$54&lt;='Bonding Program'!$C$8,BS$3=IF('Bonding Program'!$P$54&lt;&gt;"",'Bonding Program'!$P$54,'Bonding Program'!$C$8)),'Bonding Program'!$Z$54,0)+IF(AND('Bonding Program'!$P$54&lt;&gt;"",BS$3='Bonding Program'!$P$54,BS$3&lt;='Bonding Program'!$C$8),N('Bonding Program'!$O$54),0)</f>
        <v>0</v>
      </c>
      <c r="BT195" s="19" t="n">
        <f aca="false">IF(AND('Bonding Program'!$S$54=1,'Bonding Program'!$H$54&gt;'Bonding Program'!$C$8,BT$3='Bonding Program'!$H$54),'Bonding Program'!$T$54-'Bonding Program'!$U$54-'Bonding Program'!$Z$54,0)-IF(AND('Bonding Program'!$S$54=1,'Bonding Program'!$H$54&lt;='Bonding Program'!$C$8,BT$3=IF('Bonding Program'!$P$54&lt;&gt;"",'Bonding Program'!$P$54,'Bonding Program'!$C$8)),'Bonding Program'!$Z$54,0)+IF(AND('Bonding Program'!$P$54&lt;&gt;"",BT$3='Bonding Program'!$P$54,BT$3&lt;='Bonding Program'!$C$8),N('Bonding Program'!$O$54),0)</f>
        <v>0</v>
      </c>
      <c r="BU195" s="19" t="n">
        <f aca="false">IF(AND('Bonding Program'!$S$54=1,'Bonding Program'!$H$54&gt;'Bonding Program'!$C$8,BU$3='Bonding Program'!$H$54),'Bonding Program'!$T$54-'Bonding Program'!$U$54-'Bonding Program'!$Z$54,0)-IF(AND('Bonding Program'!$S$54=1,'Bonding Program'!$H$54&lt;='Bonding Program'!$C$8,BU$3=IF('Bonding Program'!$P$54&lt;&gt;"",'Bonding Program'!$P$54,'Bonding Program'!$C$8)),'Bonding Program'!$Z$54,0)+IF(AND('Bonding Program'!$P$54&lt;&gt;"",BU$3='Bonding Program'!$P$54,BU$3&lt;='Bonding Program'!$C$8),N('Bonding Program'!$O$54),0)</f>
        <v>0</v>
      </c>
      <c r="BV195" s="19" t="n">
        <f aca="false">IF(AND('Bonding Program'!$S$54=1,'Bonding Program'!$H$54&gt;'Bonding Program'!$C$8,BV$3='Bonding Program'!$H$54),'Bonding Program'!$T$54-'Bonding Program'!$U$54-'Bonding Program'!$Z$54,0)-IF(AND('Bonding Program'!$S$54=1,'Bonding Program'!$H$54&lt;='Bonding Program'!$C$8,BV$3=IF('Bonding Program'!$P$54&lt;&gt;"",'Bonding Program'!$P$54,'Bonding Program'!$C$8)),'Bonding Program'!$Z$54,0)+IF(AND('Bonding Program'!$P$54&lt;&gt;"",BV$3='Bonding Program'!$P$54,BV$3&lt;='Bonding Program'!$C$8),N('Bonding Program'!$O$54),0)</f>
        <v>0</v>
      </c>
      <c r="BW195" s="19" t="n">
        <f aca="false">IF(AND('Bonding Program'!$S$54=1,'Bonding Program'!$H$54&gt;'Bonding Program'!$C$8,BW$3='Bonding Program'!$H$54),'Bonding Program'!$T$54-'Bonding Program'!$U$54-'Bonding Program'!$Z$54,0)-IF(AND('Bonding Program'!$S$54=1,'Bonding Program'!$H$54&lt;='Bonding Program'!$C$8,BW$3=IF('Bonding Program'!$P$54&lt;&gt;"",'Bonding Program'!$P$54,'Bonding Program'!$C$8)),'Bonding Program'!$Z$54,0)+IF(AND('Bonding Program'!$P$54&lt;&gt;"",BW$3='Bonding Program'!$P$54,BW$3&lt;='Bonding Program'!$C$8),N('Bonding Program'!$O$54),0)</f>
        <v>0</v>
      </c>
      <c r="BX195" s="19" t="n">
        <f aca="false">IF(AND('Bonding Program'!$S$54=1,'Bonding Program'!$H$54&gt;'Bonding Program'!$C$8,BX$3='Bonding Program'!$H$54),'Bonding Program'!$T$54-'Bonding Program'!$U$54-'Bonding Program'!$Z$54,0)-IF(AND('Bonding Program'!$S$54=1,'Bonding Program'!$H$54&lt;='Bonding Program'!$C$8,BX$3=IF('Bonding Program'!$P$54&lt;&gt;"",'Bonding Program'!$P$54,'Bonding Program'!$C$8)),'Bonding Program'!$Z$54,0)+IF(AND('Bonding Program'!$P$54&lt;&gt;"",BX$3='Bonding Program'!$P$54,BX$3&lt;='Bonding Program'!$C$8),N('Bonding Program'!$O$54),0)</f>
        <v>0</v>
      </c>
      <c r="BY195" s="19" t="n">
        <f aca="false">IF(AND('Bonding Program'!$S$54=1,'Bonding Program'!$H$54&gt;'Bonding Program'!$C$8,BY$3='Bonding Program'!$H$54),'Bonding Program'!$T$54-'Bonding Program'!$U$54-'Bonding Program'!$Z$54,0)-IF(AND('Bonding Program'!$S$54=1,'Bonding Program'!$H$54&lt;='Bonding Program'!$C$8,BY$3=IF('Bonding Program'!$P$54&lt;&gt;"",'Bonding Program'!$P$54,'Bonding Program'!$C$8)),'Bonding Program'!$Z$54,0)+IF(AND('Bonding Program'!$P$54&lt;&gt;"",BY$3='Bonding Program'!$P$54,BY$3&lt;='Bonding Program'!$C$8),N('Bonding Program'!$O$54),0)</f>
        <v>0</v>
      </c>
      <c r="BZ195" s="19" t="n">
        <f aca="false">IF(AND('Bonding Program'!$S$54=1,'Bonding Program'!$H$54&gt;'Bonding Program'!$C$8,BZ$3='Bonding Program'!$H$54),'Bonding Program'!$T$54-'Bonding Program'!$U$54-'Bonding Program'!$Z$54,0)-IF(AND('Bonding Program'!$S$54=1,'Bonding Program'!$H$54&lt;='Bonding Program'!$C$8,BZ$3=IF('Bonding Program'!$P$54&lt;&gt;"",'Bonding Program'!$P$54,'Bonding Program'!$C$8)),'Bonding Program'!$Z$54,0)+IF(AND('Bonding Program'!$P$54&lt;&gt;"",BZ$3='Bonding Program'!$P$54,BZ$3&lt;='Bonding Program'!$C$8),N('Bonding Program'!$O$54),0)</f>
        <v>0</v>
      </c>
      <c r="CA195" s="19" t="n">
        <f aca="false">IF(AND('Bonding Program'!$S$54=1,'Bonding Program'!$H$54&gt;'Bonding Program'!$C$8,CA$3='Bonding Program'!$H$54),'Bonding Program'!$T$54-'Bonding Program'!$U$54-'Bonding Program'!$Z$54,0)-IF(AND('Bonding Program'!$S$54=1,'Bonding Program'!$H$54&lt;='Bonding Program'!$C$8,CA$3=IF('Bonding Program'!$P$54&lt;&gt;"",'Bonding Program'!$P$54,'Bonding Program'!$C$8)),'Bonding Program'!$Z$54,0)+IF(AND('Bonding Program'!$P$54&lt;&gt;"",CA$3='Bonding Program'!$P$54,CA$3&lt;='Bonding Program'!$C$8),N('Bonding Program'!$O$54),0)</f>
        <v>0</v>
      </c>
      <c r="CB195" s="19" t="n">
        <f aca="false">IF(AND('Bonding Program'!$S$54=1,'Bonding Program'!$H$54&gt;'Bonding Program'!$C$8,CB$3='Bonding Program'!$H$54),'Bonding Program'!$T$54-'Bonding Program'!$U$54-'Bonding Program'!$Z$54,0)-IF(AND('Bonding Program'!$S$54=1,'Bonding Program'!$H$54&lt;='Bonding Program'!$C$8,CB$3=IF('Bonding Program'!$P$54&lt;&gt;"",'Bonding Program'!$P$54,'Bonding Program'!$C$8)),'Bonding Program'!$Z$54,0)+IF(AND('Bonding Program'!$P$54&lt;&gt;"",CB$3='Bonding Program'!$P$54,CB$3&lt;='Bonding Program'!$C$8),N('Bonding Program'!$O$54),0)</f>
        <v>0</v>
      </c>
      <c r="CC195" s="19" t="n">
        <f aca="false">IF(AND('Bonding Program'!$S$54=1,'Bonding Program'!$H$54&gt;'Bonding Program'!$C$8,CC$3='Bonding Program'!$H$54),'Bonding Program'!$T$54-'Bonding Program'!$U$54-'Bonding Program'!$Z$54,0)-IF(AND('Bonding Program'!$S$54=1,'Bonding Program'!$H$54&lt;='Bonding Program'!$C$8,CC$3=IF('Bonding Program'!$P$54&lt;&gt;"",'Bonding Program'!$P$54,'Bonding Program'!$C$8)),'Bonding Program'!$Z$54,0)+IF(AND('Bonding Program'!$P$54&lt;&gt;"",CC$3='Bonding Program'!$P$54,CC$3&lt;='Bonding Program'!$C$8),N('Bonding Program'!$O$54),0)</f>
        <v>0</v>
      </c>
      <c r="CD195" s="19" t="n">
        <f aca="false">IF(AND('Bonding Program'!$S$54=1,'Bonding Program'!$H$54&gt;'Bonding Program'!$C$8,CD$3='Bonding Program'!$H$54),'Bonding Program'!$T$54-'Bonding Program'!$U$54-'Bonding Program'!$Z$54,0)-IF(AND('Bonding Program'!$S$54=1,'Bonding Program'!$H$54&lt;='Bonding Program'!$C$8,CD$3=IF('Bonding Program'!$P$54&lt;&gt;"",'Bonding Program'!$P$54,'Bonding Program'!$C$8)),'Bonding Program'!$Z$54,0)+IF(AND('Bonding Program'!$P$54&lt;&gt;"",CD$3='Bonding Program'!$P$54,CD$3&lt;='Bonding Program'!$C$8),N('Bonding Program'!$O$54),0)</f>
        <v>0</v>
      </c>
      <c r="CE195" s="19" t="n">
        <f aca="false">IF(AND('Bonding Program'!$S$54=1,'Bonding Program'!$H$54&gt;'Bonding Program'!$C$8,CE$3='Bonding Program'!$H$54),'Bonding Program'!$T$54-'Bonding Program'!$U$54-'Bonding Program'!$Z$54,0)-IF(AND('Bonding Program'!$S$54=1,'Bonding Program'!$H$54&lt;='Bonding Program'!$C$8,CE$3=IF('Bonding Program'!$P$54&lt;&gt;"",'Bonding Program'!$P$54,'Bonding Program'!$C$8)),'Bonding Program'!$Z$54,0)+IF(AND('Bonding Program'!$P$54&lt;&gt;"",CE$3='Bonding Program'!$P$54,CE$3&lt;='Bonding Program'!$C$8),N('Bonding Program'!$O$54),0)</f>
        <v>0</v>
      </c>
      <c r="CF195" s="19" t="n">
        <f aca="false">IF(AND('Bonding Program'!$S$54=1,'Bonding Program'!$H$54&gt;'Bonding Program'!$C$8,CF$3='Bonding Program'!$H$54),'Bonding Program'!$T$54-'Bonding Program'!$U$54-'Bonding Program'!$Z$54,0)-IF(AND('Bonding Program'!$S$54=1,'Bonding Program'!$H$54&lt;='Bonding Program'!$C$8,CF$3=IF('Bonding Program'!$P$54&lt;&gt;"",'Bonding Program'!$P$54,'Bonding Program'!$C$8)),'Bonding Program'!$Z$54,0)+IF(AND('Bonding Program'!$P$54&lt;&gt;"",CF$3='Bonding Program'!$P$54,CF$3&lt;='Bonding Program'!$C$8),N('Bonding Program'!$O$54),0)</f>
        <v>0</v>
      </c>
      <c r="CG195" s="19" t="n">
        <f aca="false">IF(AND('Bonding Program'!$S$54=1,'Bonding Program'!$H$54&gt;'Bonding Program'!$C$8,CG$3='Bonding Program'!$H$54),'Bonding Program'!$T$54-'Bonding Program'!$U$54-'Bonding Program'!$Z$54,0)-IF(AND('Bonding Program'!$S$54=1,'Bonding Program'!$H$54&lt;='Bonding Program'!$C$8,CG$3=IF('Bonding Program'!$P$54&lt;&gt;"",'Bonding Program'!$P$54,'Bonding Program'!$C$8)),'Bonding Program'!$Z$54,0)+IF(AND('Bonding Program'!$P$54&lt;&gt;"",CG$3='Bonding Program'!$P$54,CG$3&lt;='Bonding Program'!$C$8),N('Bonding Program'!$O$54),0)</f>
        <v>0</v>
      </c>
      <c r="CH195" s="19" t="n">
        <f aca="false">IF(AND('Bonding Program'!$S$54=1,'Bonding Program'!$H$54&gt;'Bonding Program'!$C$8,CH$3='Bonding Program'!$H$54),'Bonding Program'!$T$54-'Bonding Program'!$U$54-'Bonding Program'!$Z$54,0)-IF(AND('Bonding Program'!$S$54=1,'Bonding Program'!$H$54&lt;='Bonding Program'!$C$8,CH$3=IF('Bonding Program'!$P$54&lt;&gt;"",'Bonding Program'!$P$54,'Bonding Program'!$C$8)),'Bonding Program'!$Z$54,0)+IF(AND('Bonding Program'!$P$54&lt;&gt;"",CH$3='Bonding Program'!$P$54,CH$3&lt;='Bonding Program'!$C$8),N('Bonding Program'!$O$54),0)</f>
        <v>0</v>
      </c>
      <c r="CI195" s="19" t="n">
        <f aca="false">IF(AND('Bonding Program'!$S$54=1,'Bonding Program'!$H$54&gt;'Bonding Program'!$C$8,CI$3='Bonding Program'!$H$54),'Bonding Program'!$T$54-'Bonding Program'!$U$54-'Bonding Program'!$Z$54,0)-IF(AND('Bonding Program'!$S$54=1,'Bonding Program'!$H$54&lt;='Bonding Program'!$C$8,CI$3=IF('Bonding Program'!$P$54&lt;&gt;"",'Bonding Program'!$P$54,'Bonding Program'!$C$8)),'Bonding Program'!$Z$54,0)+IF(AND('Bonding Program'!$P$54&lt;&gt;"",CI$3='Bonding Program'!$P$54,CI$3&lt;='Bonding Program'!$C$8),N('Bonding Program'!$O$54),0)</f>
        <v>0</v>
      </c>
      <c r="CJ195" s="19" t="n">
        <f aca="false">IF(AND('Bonding Program'!$S$54=1,'Bonding Program'!$H$54&gt;'Bonding Program'!$C$8,CJ$3='Bonding Program'!$H$54),'Bonding Program'!$T$54-'Bonding Program'!$U$54-'Bonding Program'!$Z$54,0)-IF(AND('Bonding Program'!$S$54=1,'Bonding Program'!$H$54&lt;='Bonding Program'!$C$8,CJ$3=IF('Bonding Program'!$P$54&lt;&gt;"",'Bonding Program'!$P$54,'Bonding Program'!$C$8)),'Bonding Program'!$Z$54,0)+IF(AND('Bonding Program'!$P$54&lt;&gt;"",CJ$3='Bonding Program'!$P$54,CJ$3&lt;='Bonding Program'!$C$8),N('Bonding Program'!$O$54),0)</f>
        <v>0</v>
      </c>
      <c r="CK195" s="19" t="n">
        <f aca="false">IF(AND('Bonding Program'!$S$54=1,'Bonding Program'!$H$54&gt;'Bonding Program'!$C$8,CK$3='Bonding Program'!$H$54),'Bonding Program'!$T$54-'Bonding Program'!$U$54-'Bonding Program'!$Z$54,0)-IF(AND('Bonding Program'!$S$54=1,'Bonding Program'!$H$54&lt;='Bonding Program'!$C$8,CK$3=IF('Bonding Program'!$P$54&lt;&gt;"",'Bonding Program'!$P$54,'Bonding Program'!$C$8)),'Bonding Program'!$Z$54,0)+IF(AND('Bonding Program'!$P$54&lt;&gt;"",CK$3='Bonding Program'!$P$54,CK$3&lt;='Bonding Program'!$C$8),N('Bonding Program'!$O$54),0)</f>
        <v>0</v>
      </c>
      <c r="CL195" s="19" t="n">
        <f aca="false">IF(AND('Bonding Program'!$S$54=1,'Bonding Program'!$H$54&gt;'Bonding Program'!$C$8,CL$3='Bonding Program'!$H$54),'Bonding Program'!$T$54-'Bonding Program'!$U$54-'Bonding Program'!$Z$54,0)-IF(AND('Bonding Program'!$S$54=1,'Bonding Program'!$H$54&lt;='Bonding Program'!$C$8,CL$3=IF('Bonding Program'!$P$54&lt;&gt;"",'Bonding Program'!$P$54,'Bonding Program'!$C$8)),'Bonding Program'!$Z$54,0)+IF(AND('Bonding Program'!$P$54&lt;&gt;"",CL$3='Bonding Program'!$P$54,CL$3&lt;='Bonding Program'!$C$8),N('Bonding Program'!$O$54),0)</f>
        <v>0</v>
      </c>
      <c r="CM195" s="19" t="n">
        <f aca="false">IF(AND('Bonding Program'!$S$54=1,'Bonding Program'!$H$54&gt;'Bonding Program'!$C$8,CM$3='Bonding Program'!$H$54),'Bonding Program'!$T$54-'Bonding Program'!$U$54-'Bonding Program'!$Z$54,0)-IF(AND('Bonding Program'!$S$54=1,'Bonding Program'!$H$54&lt;='Bonding Program'!$C$8,CM$3=IF('Bonding Program'!$P$54&lt;&gt;"",'Bonding Program'!$P$54,'Bonding Program'!$C$8)),'Bonding Program'!$Z$54,0)+IF(AND('Bonding Program'!$P$54&lt;&gt;"",CM$3='Bonding Program'!$P$54,CM$3&lt;='Bonding Program'!$C$8),N('Bonding Program'!$O$54),0)</f>
        <v>0</v>
      </c>
      <c r="CN195" s="19" t="n">
        <f aca="false">IF(AND('Bonding Program'!$S$54=1,'Bonding Program'!$H$54&gt;'Bonding Program'!$C$8,CN$3='Bonding Program'!$H$54),'Bonding Program'!$T$54-'Bonding Program'!$U$54-'Bonding Program'!$Z$54,0)-IF(AND('Bonding Program'!$S$54=1,'Bonding Program'!$H$54&lt;='Bonding Program'!$C$8,CN$3=IF('Bonding Program'!$P$54&lt;&gt;"",'Bonding Program'!$P$54,'Bonding Program'!$C$8)),'Bonding Program'!$Z$54,0)+IF(AND('Bonding Program'!$P$54&lt;&gt;"",CN$3='Bonding Program'!$P$54,CN$3&lt;='Bonding Program'!$C$8),N('Bonding Program'!$O$54),0)</f>
        <v>0</v>
      </c>
      <c r="CO195" s="19" t="n">
        <f aca="false">IF(AND('Bonding Program'!$S$54=1,'Bonding Program'!$H$54&gt;'Bonding Program'!$C$8,CO$3='Bonding Program'!$H$54),'Bonding Program'!$T$54-'Bonding Program'!$U$54-'Bonding Program'!$Z$54,0)-IF(AND('Bonding Program'!$S$54=1,'Bonding Program'!$H$54&lt;='Bonding Program'!$C$8,CO$3=IF('Bonding Program'!$P$54&lt;&gt;"",'Bonding Program'!$P$54,'Bonding Program'!$C$8)),'Bonding Program'!$Z$54,0)+IF(AND('Bonding Program'!$P$54&lt;&gt;"",CO$3='Bonding Program'!$P$54,CO$3&lt;='Bonding Program'!$C$8),N('Bonding Program'!$O$54),0)</f>
        <v>0</v>
      </c>
      <c r="CP195" s="19" t="n">
        <f aca="false">IF(AND('Bonding Program'!$S$54=1,'Bonding Program'!$H$54&gt;'Bonding Program'!$C$8,CP$3='Bonding Program'!$H$54),'Bonding Program'!$T$54-'Bonding Program'!$U$54-'Bonding Program'!$Z$54,0)-IF(AND('Bonding Program'!$S$54=1,'Bonding Program'!$H$54&lt;='Bonding Program'!$C$8,CP$3=IF('Bonding Program'!$P$54&lt;&gt;"",'Bonding Program'!$P$54,'Bonding Program'!$C$8)),'Bonding Program'!$Z$54,0)+IF(AND('Bonding Program'!$P$54&lt;&gt;"",CP$3='Bonding Program'!$P$54,CP$3&lt;='Bonding Program'!$C$8),N('Bonding Program'!$O$54),0)</f>
        <v>0</v>
      </c>
      <c r="CQ195" s="19" t="n">
        <f aca="false">IF(AND('Bonding Program'!$S$54=1,'Bonding Program'!$H$54&gt;'Bonding Program'!$C$8,CQ$3='Bonding Program'!$H$54),'Bonding Program'!$T$54-'Bonding Program'!$U$54-'Bonding Program'!$Z$54,0)-IF(AND('Bonding Program'!$S$54=1,'Bonding Program'!$H$54&lt;='Bonding Program'!$C$8,CQ$3=IF('Bonding Program'!$P$54&lt;&gt;"",'Bonding Program'!$P$54,'Bonding Program'!$C$8)),'Bonding Program'!$Z$54,0)+IF(AND('Bonding Program'!$P$54&lt;&gt;"",CQ$3='Bonding Program'!$P$54,CQ$3&lt;='Bonding Program'!$C$8),N('Bonding Program'!$O$54),0)</f>
        <v>0</v>
      </c>
      <c r="CR195" s="19" t="n">
        <f aca="false">IF(AND('Bonding Program'!$S$54=1,'Bonding Program'!$H$54&gt;'Bonding Program'!$C$8,CR$3='Bonding Program'!$H$54),'Bonding Program'!$T$54-'Bonding Program'!$U$54-'Bonding Program'!$Z$54,0)-IF(AND('Bonding Program'!$S$54=1,'Bonding Program'!$H$54&lt;='Bonding Program'!$C$8,CR$3=IF('Bonding Program'!$P$54&lt;&gt;"",'Bonding Program'!$P$54,'Bonding Program'!$C$8)),'Bonding Program'!$Z$54,0)+IF(AND('Bonding Program'!$P$54&lt;&gt;"",CR$3='Bonding Program'!$P$54,CR$3&lt;='Bonding Program'!$C$8),N('Bonding Program'!$O$54),0)</f>
        <v>0</v>
      </c>
      <c r="CS195" s="19" t="n">
        <f aca="false">IF(AND('Bonding Program'!$S$54=1,'Bonding Program'!$H$54&gt;'Bonding Program'!$C$8,CS$3='Bonding Program'!$H$54),'Bonding Program'!$T$54-'Bonding Program'!$U$54-'Bonding Program'!$Z$54,0)-IF(AND('Bonding Program'!$S$54=1,'Bonding Program'!$H$54&lt;='Bonding Program'!$C$8,CS$3=IF('Bonding Program'!$P$54&lt;&gt;"",'Bonding Program'!$P$54,'Bonding Program'!$C$8)),'Bonding Program'!$Z$54,0)+IF(AND('Bonding Program'!$P$54&lt;&gt;"",CS$3='Bonding Program'!$P$54,CS$3&lt;='Bonding Program'!$C$8),N('Bonding Program'!$O$54),0)</f>
        <v>0</v>
      </c>
      <c r="CT195" s="19" t="n">
        <f aca="false">IF(AND('Bonding Program'!$S$54=1,'Bonding Program'!$H$54&gt;'Bonding Program'!$C$8,CT$3='Bonding Program'!$H$54),'Bonding Program'!$T$54-'Bonding Program'!$U$54-'Bonding Program'!$Z$54,0)-IF(AND('Bonding Program'!$S$54=1,'Bonding Program'!$H$54&lt;='Bonding Program'!$C$8,CT$3=IF('Bonding Program'!$P$54&lt;&gt;"",'Bonding Program'!$P$54,'Bonding Program'!$C$8)),'Bonding Program'!$Z$54,0)+IF(AND('Bonding Program'!$P$54&lt;&gt;"",CT$3='Bonding Program'!$P$54,CT$3&lt;='Bonding Program'!$C$8),N('Bonding Program'!$O$54),0)</f>
        <v>0</v>
      </c>
      <c r="CU195" s="19" t="n">
        <f aca="false">IF(AND('Bonding Program'!$S$54=1,'Bonding Program'!$H$54&gt;'Bonding Program'!$C$8,CU$3='Bonding Program'!$H$54),'Bonding Program'!$T$54-'Bonding Program'!$U$54-'Bonding Program'!$Z$54,0)-IF(AND('Bonding Program'!$S$54=1,'Bonding Program'!$H$54&lt;='Bonding Program'!$C$8,CU$3=IF('Bonding Program'!$P$54&lt;&gt;"",'Bonding Program'!$P$54,'Bonding Program'!$C$8)),'Bonding Program'!$Z$54,0)+IF(AND('Bonding Program'!$P$54&lt;&gt;"",CU$3='Bonding Program'!$P$54,CU$3&lt;='Bonding Program'!$C$8),N('Bonding Program'!$O$54),0)</f>
        <v>0</v>
      </c>
      <c r="CV195" s="19" t="n">
        <f aca="false">IF(AND('Bonding Program'!$S$54=1,'Bonding Program'!$H$54&gt;'Bonding Program'!$C$8,CV$3='Bonding Program'!$H$54),'Bonding Program'!$T$54-'Bonding Program'!$U$54-'Bonding Program'!$Z$54,0)-IF(AND('Bonding Program'!$S$54=1,'Bonding Program'!$H$54&lt;='Bonding Program'!$C$8,CV$3=IF('Bonding Program'!$P$54&lt;&gt;"",'Bonding Program'!$P$54,'Bonding Program'!$C$8)),'Bonding Program'!$Z$54,0)+IF(AND('Bonding Program'!$P$54&lt;&gt;"",CV$3='Bonding Program'!$P$54,CV$3&lt;='Bonding Program'!$C$8),N('Bonding Program'!$O$54),0)</f>
        <v>0</v>
      </c>
      <c r="CW195" s="19" t="n">
        <f aca="false">IF(AND('Bonding Program'!$S$54=1,'Bonding Program'!$H$54&gt;'Bonding Program'!$C$8,CW$3='Bonding Program'!$H$54),'Bonding Program'!$T$54-'Bonding Program'!$U$54-'Bonding Program'!$Z$54,0)-IF(AND('Bonding Program'!$S$54=1,'Bonding Program'!$H$54&lt;='Bonding Program'!$C$8,CW$3=IF('Bonding Program'!$P$54&lt;&gt;"",'Bonding Program'!$P$54,'Bonding Program'!$C$8)),'Bonding Program'!$Z$54,0)+IF(AND('Bonding Program'!$P$54&lt;&gt;"",CW$3='Bonding Program'!$P$54,CW$3&lt;='Bonding Program'!$C$8),N('Bonding Program'!$O$54),0)</f>
        <v>0</v>
      </c>
      <c r="CX195" s="19" t="n">
        <f aca="false">IF(AND('Bonding Program'!$S$54=1,'Bonding Program'!$H$54&gt;'Bonding Program'!$C$8,CX$3='Bonding Program'!$H$54),'Bonding Program'!$T$54-'Bonding Program'!$U$54-'Bonding Program'!$Z$54,0)-IF(AND('Bonding Program'!$S$54=1,'Bonding Program'!$H$54&lt;='Bonding Program'!$C$8,CX$3=IF('Bonding Program'!$P$54&lt;&gt;"",'Bonding Program'!$P$54,'Bonding Program'!$C$8)),'Bonding Program'!$Z$54,0)+IF(AND('Bonding Program'!$P$54&lt;&gt;"",CX$3='Bonding Program'!$P$54,CX$3&lt;='Bonding Program'!$C$8),N('Bonding Program'!$O$54),0)</f>
        <v>0</v>
      </c>
      <c r="CY195" s="19" t="n">
        <f aca="false">IF(AND('Bonding Program'!$S$54=1,'Bonding Program'!$H$54&gt;'Bonding Program'!$C$8,CY$3='Bonding Program'!$H$54),'Bonding Program'!$T$54-'Bonding Program'!$U$54-'Bonding Program'!$Z$54,0)-IF(AND('Bonding Program'!$S$54=1,'Bonding Program'!$H$54&lt;='Bonding Program'!$C$8,CY$3=IF('Bonding Program'!$P$54&lt;&gt;"",'Bonding Program'!$P$54,'Bonding Program'!$C$8)),'Bonding Program'!$Z$54,0)+IF(AND('Bonding Program'!$P$54&lt;&gt;"",CY$3='Bonding Program'!$P$54,CY$3&lt;='Bonding Program'!$C$8),N('Bonding Program'!$O$54),0)</f>
        <v>0</v>
      </c>
      <c r="CZ195" s="19" t="n">
        <f aca="false">IF(AND('Bonding Program'!$S$54=1,'Bonding Program'!$H$54&gt;'Bonding Program'!$C$8,CZ$3='Bonding Program'!$H$54),'Bonding Program'!$T$54-'Bonding Program'!$U$54-'Bonding Program'!$Z$54,0)-IF(AND('Bonding Program'!$S$54=1,'Bonding Program'!$H$54&lt;='Bonding Program'!$C$8,CZ$3=IF('Bonding Program'!$P$54&lt;&gt;"",'Bonding Program'!$P$54,'Bonding Program'!$C$8)),'Bonding Program'!$Z$54,0)+IF(AND('Bonding Program'!$P$54&lt;&gt;"",CZ$3='Bonding Program'!$P$54,CZ$3&lt;='Bonding Program'!$C$8),N('Bonding Program'!$O$54),0)</f>
        <v>0</v>
      </c>
      <c r="DA195" s="19" t="n">
        <f aca="false">IF(AND('Bonding Program'!$S$54=1,'Bonding Program'!$H$54&gt;'Bonding Program'!$C$8,DA$3='Bonding Program'!$H$54),'Bonding Program'!$T$54-'Bonding Program'!$U$54-'Bonding Program'!$Z$54,0)-IF(AND('Bonding Program'!$S$54=1,'Bonding Program'!$H$54&lt;='Bonding Program'!$C$8,DA$3=IF('Bonding Program'!$P$54&lt;&gt;"",'Bonding Program'!$P$54,'Bonding Program'!$C$8)),'Bonding Program'!$Z$54,0)+IF(AND('Bonding Program'!$P$54&lt;&gt;"",DA$3='Bonding Program'!$P$54,DA$3&lt;='Bonding Program'!$C$8),N('Bonding Program'!$O$54),0)</f>
        <v>0</v>
      </c>
      <c r="DB195" s="19" t="n">
        <f aca="false">IF(AND('Bonding Program'!$S$54=1,'Bonding Program'!$H$54&gt;'Bonding Program'!$C$8,DB$3='Bonding Program'!$H$54),'Bonding Program'!$T$54-'Bonding Program'!$U$54-'Bonding Program'!$Z$54,0)-IF(AND('Bonding Program'!$S$54=1,'Bonding Program'!$H$54&lt;='Bonding Program'!$C$8,DB$3=IF('Bonding Program'!$P$54&lt;&gt;"",'Bonding Program'!$P$54,'Bonding Program'!$C$8)),'Bonding Program'!$Z$54,0)+IF(AND('Bonding Program'!$P$54&lt;&gt;"",DB$3='Bonding Program'!$P$54,DB$3&lt;='Bonding Program'!$C$8),N('Bonding Program'!$O$54),0)</f>
        <v>0</v>
      </c>
      <c r="DC195" s="19" t="n">
        <f aca="false">IF(AND('Bonding Program'!$S$54=1,'Bonding Program'!$H$54&gt;'Bonding Program'!$C$8,DC$3='Bonding Program'!$H$54),'Bonding Program'!$T$54-'Bonding Program'!$U$54-'Bonding Program'!$Z$54,0)-IF(AND('Bonding Program'!$S$54=1,'Bonding Program'!$H$54&lt;='Bonding Program'!$C$8,DC$3=IF('Bonding Program'!$P$54&lt;&gt;"",'Bonding Program'!$P$54,'Bonding Program'!$C$8)),'Bonding Program'!$Z$54,0)+IF(AND('Bonding Program'!$P$54&lt;&gt;"",DC$3='Bonding Program'!$P$54,DC$3&lt;='Bonding Program'!$C$8),N('Bonding Program'!$O$54),0)</f>
        <v>0</v>
      </c>
      <c r="DD195" s="19" t="n">
        <f aca="false">IF(AND('Bonding Program'!$S$54=1,'Bonding Program'!$H$54&gt;'Bonding Program'!$C$8,DD$3='Bonding Program'!$H$54),'Bonding Program'!$T$54-'Bonding Program'!$U$54-'Bonding Program'!$Z$54,0)-IF(AND('Bonding Program'!$S$54=1,'Bonding Program'!$H$54&lt;='Bonding Program'!$C$8,DD$3=IF('Bonding Program'!$P$54&lt;&gt;"",'Bonding Program'!$P$54,'Bonding Program'!$C$8)),'Bonding Program'!$Z$54,0)+IF(AND('Bonding Program'!$P$54&lt;&gt;"",DD$3='Bonding Program'!$P$54,DD$3&lt;='Bonding Program'!$C$8),N('Bonding Program'!$O$54),0)</f>
        <v>0</v>
      </c>
      <c r="DE195" s="19" t="n">
        <f aca="false">IF(AND('Bonding Program'!$S$54=1,'Bonding Program'!$H$54&gt;'Bonding Program'!$C$8,DE$3='Bonding Program'!$H$54),'Bonding Program'!$T$54-'Bonding Program'!$U$54-'Bonding Program'!$Z$54,0)-IF(AND('Bonding Program'!$S$54=1,'Bonding Program'!$H$54&lt;='Bonding Program'!$C$8,DE$3=IF('Bonding Program'!$P$54&lt;&gt;"",'Bonding Program'!$P$54,'Bonding Program'!$C$8)),'Bonding Program'!$Z$54,0)+IF(AND('Bonding Program'!$P$54&lt;&gt;"",DE$3='Bonding Program'!$P$54,DE$3&lt;='Bonding Program'!$C$8),N('Bonding Program'!$O$54),0)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0</v>
      </c>
      <c r="I196" s="30" t="n">
        <f aca="false">SUM(I152:I195)</f>
        <v>0</v>
      </c>
      <c r="J196" s="30" t="n">
        <f aca="false">SUM(J152:J195)</f>
        <v>-0.00512500014156103</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-332539.874568966</v>
      </c>
      <c r="R196" s="30" t="n">
        <f aca="false">SUM(R152:R195)</f>
        <v>-204464.975800493</v>
      </c>
      <c r="S196" s="30" t="n">
        <f aca="false">SUM(S152:S195)</f>
        <v>-583586.299509804</v>
      </c>
      <c r="T196" s="30" t="n">
        <f aca="false">SUM(T152:T195)</f>
        <v>0</v>
      </c>
      <c r="U196" s="30" t="n">
        <f aca="false">SUM(U152:U195)</f>
        <v>0</v>
      </c>
      <c r="V196" s="30" t="n">
        <f aca="false">SUM(V152:V195)</f>
        <v>-251994.1533867</v>
      </c>
      <c r="W196" s="30" t="n">
        <f aca="false">SUM(W152:W195)</f>
        <v>-242893.275862069</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0</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0</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0</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0</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IF(B$3&lt;7,0,-SUMPRODUCT(('Deal Terms'!$D$4:$D$47=1)*('Deal Terms'!$G$4:$G$47=B$3)*('Deal Terms'!$K$4:$K$47&gt;0),'Deal Terms'!$K$4:$K$47))</f>
        <v>0</v>
      </c>
      <c r="C197" s="13" t="n">
        <f aca="false">IF(C$3&lt;7,0,-SUMPRODUCT(('Deal Terms'!$D$4:$D$47=1)*('Deal Terms'!$G$4:$G$47=C$3)*('Deal Terms'!$K$4:$K$47&gt;0),'Deal Terms'!$K$4:$K$47))</f>
        <v>0</v>
      </c>
      <c r="D197" s="13" t="n">
        <f aca="false">IF(D$3&lt;7,0,-SUMPRODUCT(('Deal Terms'!$D$4:$D$47=1)*('Deal Terms'!$G$4:$G$47=D$3)*('Deal Terms'!$K$4:$K$47&gt;0),'Deal Terms'!$K$4:$K$47))</f>
        <v>0</v>
      </c>
      <c r="E197" s="13" t="n">
        <f aca="false">IF(E$3&lt;7,0,-SUMPRODUCT(('Deal Terms'!$D$4:$D$47=1)*('Deal Terms'!$G$4:$G$47=E$3)*('Deal Terms'!$K$4:$K$47&gt;0),'Deal Terms'!$K$4:$K$47))</f>
        <v>0</v>
      </c>
      <c r="F197" s="13" t="n">
        <f aca="false">IF(F$3&lt;7,0,-SUMPRODUCT(('Deal Terms'!$D$4:$D$47=1)*('Deal Terms'!$G$4:$G$47=F$3)*('Deal Terms'!$K$4:$K$47&gt;0),'Deal Terms'!$K$4:$K$47))</f>
        <v>0</v>
      </c>
      <c r="G197" s="13" t="n">
        <f aca="false">IF(G$3&lt;7,0,-SUMPRODUCT(('Deal Terms'!$D$4:$D$47=1)*('Deal Terms'!$G$4:$G$47=G$3)*('Deal Terms'!$K$4:$K$47&gt;0),'Deal Terms'!$K$4:$K$47))</f>
        <v>0</v>
      </c>
      <c r="H197" s="13" t="n">
        <f aca="false">IF(H$3&lt;7,0,-SUMPRODUCT(('Deal Terms'!$D$4:$D$47=1)*('Deal Terms'!$G$4:$G$47=H$3)*('Deal Terms'!$K$4:$K$47&gt;0),'Deal Terms'!$K$4:$K$47))</f>
        <v>0</v>
      </c>
      <c r="I197" s="13" t="n">
        <f aca="false">IF(I$3&lt;7,0,-SUMPRODUCT(('Deal Terms'!$D$4:$D$47=1)*('Deal Terms'!$G$4:$G$47=I$3)*('Deal Terms'!$K$4:$K$47&gt;0),'Deal Terms'!$K$4:$K$47))</f>
        <v>0</v>
      </c>
      <c r="J197" s="13" t="n">
        <f aca="false">IF(J$3&lt;7,0,-SUMPRODUCT(('Deal Terms'!$D$4:$D$47=1)*('Deal Terms'!$G$4:$G$47=J$3)*('Deal Terms'!$K$4:$K$47&gt;0),'Deal Terms'!$K$4:$K$47)-IF('Deal Terms'!$O$1=1,'Deal Terms'!J$104-'Deal Terms'!I$104,0))</f>
        <v>0</v>
      </c>
      <c r="K197" s="13" t="n">
        <f aca="false">IF(K$3&lt;7,0,-SUMPRODUCT(('Deal Terms'!$D$4:$D$47=1)*('Deal Terms'!$G$4:$G$47=K$3)*('Deal Terms'!$K$4:$K$47&gt;0),'Deal Terms'!$K$4:$K$47)-IF('Deal Terms'!$O$1=1,'Deal Terms'!K$104-'Deal Terms'!J$104,0))</f>
        <v>-477.759999999835</v>
      </c>
      <c r="L197" s="13" t="n">
        <f aca="false">IF(L$3&lt;7,0,-SUMPRODUCT(('Deal Terms'!$D$4:$D$47=1)*('Deal Terms'!$G$4:$G$47=L$3)*('Deal Terms'!$K$4:$K$47&gt;0),'Deal Terms'!$K$4:$K$47)-IF('Deal Terms'!$O$1=1,'Deal Terms'!L$104-'Deal Terms'!K$104,0))</f>
        <v>-399.329999999783</v>
      </c>
      <c r="M197" s="13" t="n">
        <f aca="false">IF(M$3&lt;7,0,-SUMPRODUCT(('Deal Terms'!$D$4:$D$47=1)*('Deal Terms'!$G$4:$G$47=M$3)*('Deal Terms'!$K$4:$K$47&gt;0),'Deal Terms'!$K$4:$K$47)-IF('Deal Terms'!$O$1=1,'Deal Terms'!M$104-'Deal Terms'!L$104,0))</f>
        <v>-380.379999999655</v>
      </c>
      <c r="N197" s="13" t="n">
        <f aca="false">IF(N$3&lt;7,0,-SUMPRODUCT(('Deal Terms'!$D$4:$D$47=1)*('Deal Terms'!$G$4:$G$47=N$3)*('Deal Terms'!$K$4:$K$47&gt;0),'Deal Terms'!$K$4:$K$47)-IF('Deal Terms'!$O$1=1,'Deal Terms'!N$104-'Deal Terms'!M$104,0))</f>
        <v>-454.040000000503</v>
      </c>
      <c r="O197" s="13" t="n">
        <f aca="false">IF(O$3&lt;7,0,-SUMPRODUCT(('Deal Terms'!$D$4:$D$47=1)*('Deal Terms'!$G$4:$G$47=O$3)*('Deal Terms'!$K$4:$K$47&gt;0),'Deal Terms'!$K$4:$K$47)-IF('Deal Terms'!$O$1=1,'Deal Terms'!O$104-'Deal Terms'!N$104,0))</f>
        <v>-443.059999999125</v>
      </c>
      <c r="P197" s="13" t="n">
        <f aca="false">IF(P$3&lt;7,0,-SUMPRODUCT(('Deal Terms'!$D$4:$D$47=1)*('Deal Terms'!$G$4:$G$47=P$3)*('Deal Terms'!$K$4:$K$47&gt;0),'Deal Terms'!$K$4:$K$47)-IF('Deal Terms'!$O$1=1,'Deal Terms'!P$104-'Deal Terms'!O$104,0))</f>
        <v>-497.340000000317</v>
      </c>
      <c r="Q197" s="13" t="n">
        <f aca="false">IF(Q$3&lt;7,0,-SUMPRODUCT(('Deal Terms'!$D$4:$D$47=1)*('Deal Terms'!$G$4:$G$47=Q$3)*('Deal Terms'!$K$4:$K$47&gt;0),'Deal Terms'!$K$4:$K$47)-IF('Deal Terms'!$O$1=1,'Deal Terms'!Q$104-'Deal Terms'!P$104,0))</f>
        <v>-481.049999999814</v>
      </c>
      <c r="R197" s="13" t="n">
        <f aca="false">IF(R$3&lt;7,0,-SUMPRODUCT(('Deal Terms'!$D$4:$D$47=1)*('Deal Terms'!$G$4:$G$47=R$3)*('Deal Terms'!$K$4:$K$47&gt;0),'Deal Terms'!$K$4:$K$47)-IF('Deal Terms'!$O$1=1,'Deal Terms'!R$104-'Deal Terms'!Q$104,0))</f>
        <v>-524.100000002421</v>
      </c>
      <c r="S197" s="13" t="n">
        <f aca="false">IF(S$3&lt;7,0,-SUMPRODUCT(('Deal Terms'!$D$4:$D$47=1)*('Deal Terms'!$G$4:$G$47=S$3)*('Deal Terms'!$K$4:$K$47&gt;0),'Deal Terms'!$K$4:$K$47)-IF('Deal Terms'!$O$1=1,'Deal Terms'!S$104-'Deal Terms'!R$104,0))</f>
        <v>-508.889999998733</v>
      </c>
      <c r="T197" s="13" t="n">
        <f aca="false">IF(T$3&lt;7,0,-SUMPRODUCT(('Deal Terms'!$D$4:$D$47=1)*('Deal Terms'!$G$4:$G$47=T$3)*('Deal Terms'!$K$4:$K$47&gt;0),'Deal Terms'!$K$4:$K$47)-IF('Deal Terms'!$O$1=1,'Deal Terms'!T$104-'Deal Terms'!S$104,0))</f>
        <v>-647.400000000373</v>
      </c>
      <c r="U197" s="13" t="n">
        <f aca="false">IF(U$3&lt;7,0,-SUMPRODUCT(('Deal Terms'!$D$4:$D$47=1)*('Deal Terms'!$G$4:$G$47=U$3)*('Deal Terms'!$K$4:$K$47&gt;0),'Deal Terms'!$K$4:$K$47)-IF('Deal Terms'!$O$1=1,'Deal Terms'!U$104-'Deal Terms'!T$104,0))</f>
        <v>-505.80999999959</v>
      </c>
      <c r="V197" s="13" t="n">
        <f aca="false">IF(V$3&lt;7,0,-SUMPRODUCT(('Deal Terms'!$D$4:$D$47=1)*('Deal Terms'!$G$4:$G$47=V$3)*('Deal Terms'!$K$4:$K$47&gt;0),'Deal Terms'!$K$4:$K$47)-IF('Deal Terms'!$O$1=1,'Deal Terms'!V$104-'Deal Terms'!U$104,0))</f>
        <v>-909.900000001304</v>
      </c>
      <c r="W197" s="13" t="n">
        <f aca="false">IF(W$3&lt;7,0,-SUMPRODUCT(('Deal Terms'!$D$4:$D$47=1)*('Deal Terms'!$G$4:$G$47=W$3)*('Deal Terms'!$K$4:$K$47&gt;0),'Deal Terms'!$K$4:$K$47)-IF('Deal Terms'!$O$1=1,'Deal Terms'!W$104-'Deal Terms'!V$104,0))</f>
        <v>-641.890000001527</v>
      </c>
      <c r="X197" s="13" t="n">
        <f aca="false">IF(X$3&lt;7,0,-SUMPRODUCT(('Deal Terms'!$D$4:$D$47=1)*('Deal Terms'!$G$4:$G$47=X$3)*('Deal Terms'!$K$4:$K$47&gt;0),'Deal Terms'!$K$4:$K$47)-IF('Deal Terms'!$O$1=1,'Deal Terms'!X$104-'Deal Terms'!W$104,0))</f>
        <v>-1039.45999999717</v>
      </c>
      <c r="Y197" s="13" t="n">
        <f aca="false">IF(Y$3&lt;7,0,-SUMPRODUCT(('Deal Terms'!$D$4:$D$47=1)*('Deal Terms'!$G$4:$G$47=Y$3)*('Deal Terms'!$K$4:$K$47&gt;0),'Deal Terms'!$K$4:$K$47)-IF('Deal Terms'!$O$1=1,'Deal Terms'!Y$104-'Deal Terms'!X$104,0))</f>
        <v>-650.179999999702</v>
      </c>
      <c r="Z197" s="13" t="n">
        <f aca="false">IF(Z$3&lt;7,0,-SUMPRODUCT(('Deal Terms'!$D$4:$D$47=1)*('Deal Terms'!$G$4:$G$47=Z$3)*('Deal Terms'!$K$4:$K$47&gt;0),'Deal Terms'!$K$4:$K$47)-IF('Deal Terms'!$O$1=1,'Deal Terms'!Z$104-'Deal Terms'!Y$104,0))</f>
        <v>-895.219999998808</v>
      </c>
      <c r="AA197" s="13" t="n">
        <f aca="false">IF(AA$3&lt;7,0,-SUMPRODUCT(('Deal Terms'!$D$4:$D$47=1)*('Deal Terms'!$G$4:$G$47=AA$3)*('Deal Terms'!$K$4:$K$47&gt;0),'Deal Terms'!$K$4:$K$47)-IF('Deal Terms'!$O$1=1,'Deal Terms'!AA$104-'Deal Terms'!Z$104,0))</f>
        <v>-714.030000003055</v>
      </c>
      <c r="AB197" s="13" t="n">
        <f aca="false">IF(AB$3&lt;7,0,-SUMPRODUCT(('Deal Terms'!$D$4:$D$47=1)*('Deal Terms'!$G$4:$G$47=AB$3)*('Deal Terms'!$K$4:$K$47&gt;0),'Deal Terms'!$K$4:$K$47)-IF('Deal Terms'!$O$1=1,'Deal Terms'!AB$104-'Deal Terms'!AA$104,0))</f>
        <v>-443.050000000745</v>
      </c>
      <c r="AC197" s="13" t="n">
        <f aca="false">IF(AC$3&lt;7,0,-SUMPRODUCT(('Deal Terms'!$D$4:$D$47=1)*('Deal Terms'!$G$4:$G$47=AC$3)*('Deal Terms'!$K$4:$K$47&gt;0),'Deal Terms'!$K$4:$K$47)-IF('Deal Terms'!$O$1=1,'Deal Terms'!AC$104-'Deal Terms'!AB$104,0))</f>
        <v>-274.009999997914</v>
      </c>
      <c r="AD197" s="13" t="n">
        <f aca="false">IF(AD$3&lt;7,0,-SUMPRODUCT(('Deal Terms'!$D$4:$D$47=1)*('Deal Terms'!$G$4:$G$47=AD$3)*('Deal Terms'!$K$4:$K$47&gt;0),'Deal Terms'!$K$4:$K$47)-IF('Deal Terms'!$O$1=1,'Deal Terms'!AD$104-'Deal Terms'!AC$104,0))</f>
        <v>-324.480000000447</v>
      </c>
      <c r="AE197" s="13" t="n">
        <f aca="false">IF(AE$3&lt;7,0,-SUMPRODUCT(('Deal Terms'!$D$4:$D$47=1)*('Deal Terms'!$G$4:$G$47=AE$3)*('Deal Terms'!$K$4:$K$47&gt;0),'Deal Terms'!$K$4:$K$47)-IF('Deal Terms'!$O$1=1,'Deal Terms'!AE$104-'Deal Terms'!AD$104,0))</f>
        <v>-304.540000002831</v>
      </c>
      <c r="AF197" s="13" t="n">
        <f aca="false">IF(AF$3&lt;7,0,-SUMPRODUCT(('Deal Terms'!$D$4:$D$47=1)*('Deal Terms'!$G$4:$G$47=AF$3)*('Deal Terms'!$K$4:$K$47&gt;0),'Deal Terms'!$K$4:$K$47)-IF('Deal Terms'!$O$1=1,'Deal Terms'!AF$104-'Deal Terms'!AE$104,0))</f>
        <v>-376.599999997765</v>
      </c>
      <c r="AG197" s="13" t="n">
        <f aca="false">IF(AG$3&lt;7,0,-SUMPRODUCT(('Deal Terms'!$D$4:$D$47=1)*('Deal Terms'!$G$4:$G$47=AG$3)*('Deal Terms'!$K$4:$K$47&gt;0),'Deal Terms'!$K$4:$K$47)-IF('Deal Terms'!$O$1=1,'Deal Terms'!AG$104-'Deal Terms'!AF$104,0))</f>
        <v>-654</v>
      </c>
      <c r="AH197" s="13" t="n">
        <f aca="false">IF(AH$3&lt;7,0,-SUMPRODUCT(('Deal Terms'!$D$4:$D$47=1)*('Deal Terms'!$G$4:$G$47=AH$3)*('Deal Terms'!$K$4:$K$47&gt;0),'Deal Terms'!$K$4:$K$47)-IF('Deal Terms'!$O$1=1,'Deal Terms'!AH$104-'Deal Terms'!AG$104,0))</f>
        <v>-606.960000000894</v>
      </c>
      <c r="AI197" s="13" t="n">
        <f aca="false">IF(AI$3&lt;7,0,-SUMPRODUCT(('Deal Terms'!$D$4:$D$47=1)*('Deal Terms'!$G$4:$G$47=AI$3)*('Deal Terms'!$K$4:$K$47&gt;0),'Deal Terms'!$K$4:$K$47)-IF('Deal Terms'!$O$1=1,'Deal Terms'!AI$104-'Deal Terms'!AH$104,0))</f>
        <v>-593.399999994785</v>
      </c>
      <c r="AJ197" s="13" t="n">
        <f aca="false">IF(AJ$3&lt;7,0,-SUMPRODUCT(('Deal Terms'!$D$4:$D$47=1)*('Deal Terms'!$G$4:$G$47=AJ$3)*('Deal Terms'!$K$4:$K$47&gt;0),'Deal Terms'!$K$4:$K$47)-IF('Deal Terms'!$O$1=1,'Deal Terms'!AJ$104-'Deal Terms'!AI$104,0))</f>
        <v>-323.750000003725</v>
      </c>
      <c r="AK197" s="13" t="n">
        <f aca="false">IF(AK$3&lt;7,0,-SUMPRODUCT(('Deal Terms'!$D$4:$D$47=1)*('Deal Terms'!$G$4:$G$47=AK$3)*('Deal Terms'!$K$4:$K$47&gt;0),'Deal Terms'!$K$4:$K$47)-IF('Deal Terms'!$O$1=1,'Deal Terms'!AK$104-'Deal Terms'!AJ$104,0))</f>
        <v>-268.75</v>
      </c>
      <c r="AL197" s="13" t="n">
        <f aca="false">IF(AL$3&lt;7,0,-SUMPRODUCT(('Deal Terms'!$D$4:$D$47=1)*('Deal Terms'!$G$4:$G$47=AL$3)*('Deal Terms'!$K$4:$K$47&gt;0),'Deal Terms'!$K$4:$K$47)-IF('Deal Terms'!$O$1=1,'Deal Terms'!AL$104-'Deal Terms'!AK$104,0))</f>
        <v>-300.219999998808</v>
      </c>
      <c r="AM197" s="13" t="n">
        <f aca="false">IF(AM$3&lt;7,0,-SUMPRODUCT(('Deal Terms'!$D$4:$D$47=1)*('Deal Terms'!$G$4:$G$47=AM$3)*('Deal Terms'!$K$4:$K$47&gt;0),'Deal Terms'!$K$4:$K$47)-IF('Deal Terms'!$O$1=1,'Deal Terms'!AM$104-'Deal Terms'!AL$104,0))</f>
        <v>-326.35000000149</v>
      </c>
      <c r="AN197" s="13" t="n">
        <f aca="false">IF(AN$3&lt;7,0,-SUMPRODUCT(('Deal Terms'!$D$4:$D$47=1)*('Deal Terms'!$G$4:$G$47=AN$3)*('Deal Terms'!$K$4:$K$47&gt;0),'Deal Terms'!$K$4:$K$47)-IF('Deal Terms'!$O$1=1,'Deal Terms'!AN$104-'Deal Terms'!AM$104,0))</f>
        <v>-87.8100000023842</v>
      </c>
      <c r="AO197" s="13" t="n">
        <f aca="false">IF(AO$3&lt;7,0,-SUMPRODUCT(('Deal Terms'!$D$4:$D$47=1)*('Deal Terms'!$G$4:$G$47=AO$3)*('Deal Terms'!$K$4:$K$47&gt;0),'Deal Terms'!$K$4:$K$47)-IF('Deal Terms'!$O$1=1,'Deal Terms'!AO$104-'Deal Terms'!AN$104,0))</f>
        <v>-0</v>
      </c>
      <c r="AP197" s="13" t="n">
        <f aca="false">IF(AP$3&lt;7,0,-SUMPRODUCT(('Deal Terms'!$D$4:$D$47=1)*('Deal Terms'!$G$4:$G$47=AP$3)*('Deal Terms'!$K$4:$K$47&gt;0),'Deal Terms'!$K$4:$K$47)-IF('Deal Terms'!$O$1=1,'Deal Terms'!AP$104-'Deal Terms'!AO$104,0))</f>
        <v>-0</v>
      </c>
      <c r="AQ197" s="13" t="n">
        <f aca="false">IF(AQ$3&lt;7,0,-SUMPRODUCT(('Deal Terms'!$D$4:$D$47=1)*('Deal Terms'!$G$4:$G$47=AQ$3)*('Deal Terms'!$K$4:$K$47&gt;0),'Deal Terms'!$K$4:$K$47)-IF('Deal Terms'!$O$1=1,'Deal Terms'!AQ$104-'Deal Terms'!AP$104,0))</f>
        <v>-0</v>
      </c>
      <c r="AR197" s="13" t="n">
        <f aca="false">IF(AR$3&lt;7,0,-SUMPRODUCT(('Deal Terms'!$D$4:$D$47=1)*('Deal Terms'!$G$4:$G$47=AR$3)*('Deal Terms'!$K$4:$K$47&gt;0),'Deal Terms'!$K$4:$K$47)-IF('Deal Terms'!$O$1=1,'Deal Terms'!AR$104-'Deal Terms'!AQ$104,0))</f>
        <v>-0</v>
      </c>
      <c r="AS197" s="13" t="n">
        <f aca="false">IF(AS$3&lt;7,0,-SUMPRODUCT(('Deal Terms'!$D$4:$D$47=1)*('Deal Terms'!$G$4:$G$47=AS$3)*('Deal Terms'!$K$4:$K$47&gt;0),'Deal Terms'!$K$4:$K$47)-IF('Deal Terms'!$O$1=1,'Deal Terms'!AS$104-'Deal Terms'!AR$104,0))</f>
        <v>-0</v>
      </c>
      <c r="AT197" s="13" t="n">
        <f aca="false">IF(AT$3&lt;7,0,-SUMPRODUCT(('Deal Terms'!$D$4:$D$47=1)*('Deal Terms'!$G$4:$G$47=AT$3)*('Deal Terms'!$K$4:$K$47&gt;0),'Deal Terms'!$K$4:$K$47)-IF('Deal Terms'!$O$1=1,'Deal Terms'!AT$104-'Deal Terms'!AS$104,0))</f>
        <v>-0</v>
      </c>
      <c r="AU197" s="13" t="n">
        <f aca="false">IF(AU$3&lt;7,0,-SUMPRODUCT(('Deal Terms'!$D$4:$D$47=1)*('Deal Terms'!$G$4:$G$47=AU$3)*('Deal Terms'!$K$4:$K$47&gt;0),'Deal Terms'!$K$4:$K$47)-IF('Deal Terms'!$O$1=1,'Deal Terms'!AU$104-'Deal Terms'!AT$104,0))</f>
        <v>-0</v>
      </c>
      <c r="AV197" s="13" t="n">
        <f aca="false">IF(AV$3&lt;7,0,-SUMPRODUCT(('Deal Terms'!$D$4:$D$47=1)*('Deal Terms'!$G$4:$G$47=AV$3)*('Deal Terms'!$K$4:$K$47&gt;0),'Deal Terms'!$K$4:$K$47)-IF('Deal Terms'!$O$1=1,'Deal Terms'!AV$104-'Deal Terms'!AU$104,0))</f>
        <v>-0</v>
      </c>
      <c r="AW197" s="13" t="n">
        <f aca="false">IF(AW$3&lt;7,0,-SUMPRODUCT(('Deal Terms'!$D$4:$D$47=1)*('Deal Terms'!$G$4:$G$47=AW$3)*('Deal Terms'!$K$4:$K$47&gt;0),'Deal Terms'!$K$4:$K$47)-IF('Deal Terms'!$O$1=1,'Deal Terms'!AW$104-'Deal Terms'!AV$104,0))</f>
        <v>-0</v>
      </c>
      <c r="AX197" s="13" t="n">
        <f aca="false">IF(AX$3&lt;7,0,-SUMPRODUCT(('Deal Terms'!$D$4:$D$47=1)*('Deal Terms'!$G$4:$G$47=AX$3)*('Deal Terms'!$K$4:$K$47&gt;0),'Deal Terms'!$K$4:$K$47)-IF('Deal Terms'!$O$1=1,'Deal Terms'!AX$104-'Deal Terms'!AW$104,0))</f>
        <v>-0</v>
      </c>
      <c r="AY197" s="13" t="n">
        <f aca="false">IF(AY$3&lt;7,0,-SUMPRODUCT(('Deal Terms'!$D$4:$D$47=1)*('Deal Terms'!$G$4:$G$47=AY$3)*('Deal Terms'!$K$4:$K$47&gt;0),'Deal Terms'!$K$4:$K$47)-IF('Deal Terms'!$O$1=1,'Deal Terms'!AY$104-'Deal Terms'!AX$104,0))</f>
        <v>-0</v>
      </c>
      <c r="AZ197" s="13" t="n">
        <f aca="false">IF(AZ$3&lt;7,0,-SUMPRODUCT(('Deal Terms'!$D$4:$D$47=1)*('Deal Terms'!$G$4:$G$47=AZ$3)*('Deal Terms'!$K$4:$K$47&gt;0),'Deal Terms'!$K$4:$K$47)-IF('Deal Terms'!$O$1=1,'Deal Terms'!AZ$104-'Deal Terms'!AY$104,0))</f>
        <v>-0</v>
      </c>
      <c r="BA197" s="13" t="n">
        <f aca="false">IF(BA$3&lt;7,0,-SUMPRODUCT(('Deal Terms'!$D$4:$D$47=1)*('Deal Terms'!$G$4:$G$47=BA$3)*('Deal Terms'!$K$4:$K$47&gt;0),'Deal Terms'!$K$4:$K$47)-IF('Deal Terms'!$O$1=1,'Deal Terms'!BA$104-'Deal Terms'!AZ$104,0))</f>
        <v>-0</v>
      </c>
      <c r="BB197" s="13" t="n">
        <f aca="false">IF(BB$3&lt;7,0,-SUMPRODUCT(('Deal Terms'!$D$4:$D$47=1)*('Deal Terms'!$G$4:$G$47=BB$3)*('Deal Terms'!$K$4:$K$47&gt;0),'Deal Terms'!$K$4:$K$47)-IF('Deal Terms'!$O$1=1,'Deal Terms'!BB$104-'Deal Terms'!BA$104,0))</f>
        <v>-0</v>
      </c>
      <c r="BC197" s="13" t="n">
        <f aca="false">IF(BC$3&lt;7,0,-SUMPRODUCT(('Deal Terms'!$D$4:$D$47=1)*('Deal Terms'!$G$4:$G$47=BC$3)*('Deal Terms'!$K$4:$K$47&gt;0),'Deal Terms'!$K$4:$K$47)-IF('Deal Terms'!$O$1=1,'Deal Terms'!BC$104-'Deal Terms'!BB$104,0))</f>
        <v>-0</v>
      </c>
      <c r="BD197" s="13" t="n">
        <f aca="false">IF(BD$3&lt;7,0,-SUMPRODUCT(('Deal Terms'!$D$4:$D$47=1)*('Deal Terms'!$G$4:$G$47=BD$3)*('Deal Terms'!$K$4:$K$47&gt;0),'Deal Terms'!$K$4:$K$47)-IF('Deal Terms'!$O$1=1,'Deal Terms'!BD$104-'Deal Terms'!BC$104,0))</f>
        <v>-0</v>
      </c>
      <c r="BE197" s="13" t="n">
        <f aca="false">IF(BE$3&lt;7,0,-SUMPRODUCT(('Deal Terms'!$D$4:$D$47=1)*('Deal Terms'!$G$4:$G$47=BE$3)*('Deal Terms'!$K$4:$K$47&gt;0),'Deal Terms'!$K$4:$K$47)-IF('Deal Terms'!$O$1=1,'Deal Terms'!BE$104-'Deal Terms'!BD$104,0))</f>
        <v>-0</v>
      </c>
      <c r="BF197" s="13" t="n">
        <f aca="false">IF(BF$3&lt;7,0,-SUMPRODUCT(('Deal Terms'!$D$4:$D$47=1)*('Deal Terms'!$G$4:$G$47=BF$3)*('Deal Terms'!$K$4:$K$47&gt;0),'Deal Terms'!$K$4:$K$47)-IF('Deal Terms'!$O$1=1,'Deal Terms'!BF$104-'Deal Terms'!BE$104,0))</f>
        <v>-0</v>
      </c>
      <c r="BG197" s="13" t="n">
        <f aca="false">IF(BG$3&lt;7,0,-SUMPRODUCT(('Deal Terms'!$D$4:$D$47=1)*('Deal Terms'!$G$4:$G$47=BG$3)*('Deal Terms'!$K$4:$K$47&gt;0),'Deal Terms'!$K$4:$K$47)-IF('Deal Terms'!$O$1=1,'Deal Terms'!BG$104-'Deal Terms'!BF$104,0))</f>
        <v>-0</v>
      </c>
      <c r="BH197" s="13" t="n">
        <f aca="false">IF(BH$3&lt;7,0,-SUMPRODUCT(('Deal Terms'!$D$4:$D$47=1)*('Deal Terms'!$G$4:$G$47=BH$3)*('Deal Terms'!$K$4:$K$47&gt;0),'Deal Terms'!$K$4:$K$47)-IF('Deal Terms'!$O$1=1,'Deal Terms'!BH$104-'Deal Terms'!BG$104,0))</f>
        <v>-0</v>
      </c>
      <c r="BI197" s="13" t="n">
        <f aca="false">IF(BI$3&lt;7,0,-SUMPRODUCT(('Deal Terms'!$D$4:$D$47=1)*('Deal Terms'!$G$4:$G$47=BI$3)*('Deal Terms'!$K$4:$K$47&gt;0),'Deal Terms'!$K$4:$K$47)-IF('Deal Terms'!$O$1=1,'Deal Terms'!BI$104-'Deal Terms'!BH$104,0))</f>
        <v>-0</v>
      </c>
      <c r="BJ197" s="13" t="n">
        <f aca="false">IF(BJ$3&lt;7,0,-SUMPRODUCT(('Deal Terms'!$D$4:$D$47=1)*('Deal Terms'!$G$4:$G$47=BJ$3)*('Deal Terms'!$K$4:$K$47&gt;0),'Deal Terms'!$K$4:$K$47)-IF('Deal Terms'!$O$1=1,'Deal Terms'!BJ$104-'Deal Terms'!BI$104,0))</f>
        <v>-0</v>
      </c>
      <c r="BK197" s="13" t="n">
        <f aca="false">IF(BK$3&lt;7,0,-SUMPRODUCT(('Deal Terms'!$D$4:$D$47=1)*('Deal Terms'!$G$4:$G$47=BK$3)*('Deal Terms'!$K$4:$K$47&gt;0),'Deal Terms'!$K$4:$K$47)-IF('Deal Terms'!$O$1=1,'Deal Terms'!BK$104-'Deal Terms'!BJ$104,0))</f>
        <v>-0</v>
      </c>
      <c r="BL197" s="13" t="n">
        <f aca="false">IF(BL$3&lt;7,0,-SUMPRODUCT(('Deal Terms'!$D$4:$D$47=1)*('Deal Terms'!$G$4:$G$47=BL$3)*('Deal Terms'!$K$4:$K$47&gt;0),'Deal Terms'!$K$4:$K$47)-IF('Deal Terms'!$O$1=1,'Deal Terms'!BL$104-'Deal Terms'!BK$104,0))</f>
        <v>-0</v>
      </c>
      <c r="BM197" s="13" t="n">
        <f aca="false">IF(BM$3&lt;7,0,-SUMPRODUCT(('Deal Terms'!$D$4:$D$47=1)*('Deal Terms'!$G$4:$G$47=BM$3)*('Deal Terms'!$K$4:$K$47&gt;0),'Deal Terms'!$K$4:$K$47)-IF('Deal Terms'!$O$1=1,'Deal Terms'!BM$104-'Deal Terms'!BL$104,0))</f>
        <v>-0</v>
      </c>
      <c r="BN197" s="13" t="n">
        <f aca="false">IF(BN$3&lt;7,0,-SUMPRODUCT(('Deal Terms'!$D$4:$D$47=1)*('Deal Terms'!$G$4:$G$47=BN$3)*('Deal Terms'!$K$4:$K$47&gt;0),'Deal Terms'!$K$4:$K$47)-IF('Deal Terms'!$O$1=1,'Deal Terms'!BN$104-'Deal Terms'!BM$104,0))</f>
        <v>-0</v>
      </c>
      <c r="BO197" s="13" t="n">
        <f aca="false">IF(BO$3&lt;7,0,-SUMPRODUCT(('Deal Terms'!$D$4:$D$47=1)*('Deal Terms'!$G$4:$G$47=BO$3)*('Deal Terms'!$K$4:$K$47&gt;0),'Deal Terms'!$K$4:$K$47)-IF('Deal Terms'!$O$1=1,'Deal Terms'!BO$104-'Deal Terms'!BN$104,0))</f>
        <v>-0</v>
      </c>
      <c r="BP197" s="13" t="n">
        <f aca="false">IF(BP$3&lt;7,0,-SUMPRODUCT(('Deal Terms'!$D$4:$D$47=1)*('Deal Terms'!$G$4:$G$47=BP$3)*('Deal Terms'!$K$4:$K$47&gt;0),'Deal Terms'!$K$4:$K$47)-IF('Deal Terms'!$O$1=1,'Deal Terms'!BP$104-'Deal Terms'!BO$104,0))</f>
        <v>-0</v>
      </c>
      <c r="BQ197" s="13" t="n">
        <f aca="false">IF(BQ$3&lt;7,0,-SUMPRODUCT(('Deal Terms'!$D$4:$D$47=1)*('Deal Terms'!$G$4:$G$47=BQ$3)*('Deal Terms'!$K$4:$K$47&gt;0),'Deal Terms'!$K$4:$K$47)-IF('Deal Terms'!$O$1=1,'Deal Terms'!BQ$104-'Deal Terms'!BP$104,0))</f>
        <v>-0</v>
      </c>
      <c r="BR197" s="13" t="n">
        <f aca="false">IF(BR$3&lt;7,0,-SUMPRODUCT(('Deal Terms'!$D$4:$D$47=1)*('Deal Terms'!$G$4:$G$47=BR$3)*('Deal Terms'!$K$4:$K$47&gt;0),'Deal Terms'!$K$4:$K$47)-IF('Deal Terms'!$O$1=1,'Deal Terms'!BR$104-'Deal Terms'!BQ$104,0))</f>
        <v>-0</v>
      </c>
      <c r="BS197" s="13" t="n">
        <f aca="false">IF(BS$3&lt;7,0,-SUMPRODUCT(('Deal Terms'!$D$4:$D$47=1)*('Deal Terms'!$G$4:$G$47=BS$3)*('Deal Terms'!$K$4:$K$47&gt;0),'Deal Terms'!$K$4:$K$47)-IF('Deal Terms'!$O$1=1,'Deal Terms'!BS$104-'Deal Terms'!BR$104,0))</f>
        <v>-0</v>
      </c>
      <c r="BT197" s="13" t="n">
        <f aca="false">IF(BT$3&lt;7,0,-SUMPRODUCT(('Deal Terms'!$D$4:$D$47=1)*('Deal Terms'!$G$4:$G$47=BT$3)*('Deal Terms'!$K$4:$K$47&gt;0),'Deal Terms'!$K$4:$K$47)-IF('Deal Terms'!$O$1=1,'Deal Terms'!BT$104-'Deal Terms'!BS$104,0))</f>
        <v>-0</v>
      </c>
      <c r="BU197" s="13" t="n">
        <f aca="false">IF(BU$3&lt;7,0,-SUMPRODUCT(('Deal Terms'!$D$4:$D$47=1)*('Deal Terms'!$G$4:$G$47=BU$3)*('Deal Terms'!$K$4:$K$47&gt;0),'Deal Terms'!$K$4:$K$47)-IF('Deal Terms'!$O$1=1,'Deal Terms'!BU$104-'Deal Terms'!BT$104,0))</f>
        <v>-0</v>
      </c>
      <c r="BV197" s="13" t="n">
        <f aca="false">IF(BV$3&lt;7,0,-SUMPRODUCT(('Deal Terms'!$D$4:$D$47=1)*('Deal Terms'!$G$4:$G$47=BV$3)*('Deal Terms'!$K$4:$K$47&gt;0),'Deal Terms'!$K$4:$K$47)-IF('Deal Terms'!$O$1=1,'Deal Terms'!BV$104-'Deal Terms'!BU$104,0))</f>
        <v>-0</v>
      </c>
      <c r="BW197" s="13" t="n">
        <f aca="false">IF(BW$3&lt;7,0,-SUMPRODUCT(('Deal Terms'!$D$4:$D$47=1)*('Deal Terms'!$G$4:$G$47=BW$3)*('Deal Terms'!$K$4:$K$47&gt;0),'Deal Terms'!$K$4:$K$47)-IF('Deal Terms'!$O$1=1,'Deal Terms'!BW$104-'Deal Terms'!BV$104,0))</f>
        <v>-0</v>
      </c>
      <c r="BX197" s="13" t="n">
        <f aca="false">IF(BX$3&lt;7,0,-SUMPRODUCT(('Deal Terms'!$D$4:$D$47=1)*('Deal Terms'!$G$4:$G$47=BX$3)*('Deal Terms'!$K$4:$K$47&gt;0),'Deal Terms'!$K$4:$K$47)-IF('Deal Terms'!$O$1=1,'Deal Terms'!BX$104-'Deal Terms'!BW$104,0))</f>
        <v>-0</v>
      </c>
      <c r="BY197" s="13" t="n">
        <f aca="false">IF(BY$3&lt;7,0,-SUMPRODUCT(('Deal Terms'!$D$4:$D$47=1)*('Deal Terms'!$G$4:$G$47=BY$3)*('Deal Terms'!$K$4:$K$47&gt;0),'Deal Terms'!$K$4:$K$47)-IF('Deal Terms'!$O$1=1,'Deal Terms'!BY$104-'Deal Terms'!BX$104,0))</f>
        <v>-0</v>
      </c>
      <c r="BZ197" s="13" t="n">
        <f aca="false">IF(BZ$3&lt;7,0,-SUMPRODUCT(('Deal Terms'!$D$4:$D$47=1)*('Deal Terms'!$G$4:$G$47=BZ$3)*('Deal Terms'!$K$4:$K$47&gt;0),'Deal Terms'!$K$4:$K$47)-IF('Deal Terms'!$O$1=1,'Deal Terms'!BZ$104-'Deal Terms'!BY$104,0))</f>
        <v>-0</v>
      </c>
      <c r="CA197" s="13" t="n">
        <f aca="false">IF(CA$3&lt;7,0,-SUMPRODUCT(('Deal Terms'!$D$4:$D$47=1)*('Deal Terms'!$G$4:$G$47=CA$3)*('Deal Terms'!$K$4:$K$47&gt;0),'Deal Terms'!$K$4:$K$47)-IF('Deal Terms'!$O$1=1,'Deal Terms'!CA$104-'Deal Terms'!BZ$104,0))</f>
        <v>-0</v>
      </c>
      <c r="CB197" s="13" t="n">
        <f aca="false">IF(CB$3&lt;7,0,-SUMPRODUCT(('Deal Terms'!$D$4:$D$47=1)*('Deal Terms'!$G$4:$G$47=CB$3)*('Deal Terms'!$K$4:$K$47&gt;0),'Deal Terms'!$K$4:$K$47)-IF('Deal Terms'!$O$1=1,'Deal Terms'!CB$104-'Deal Terms'!CA$104,0))</f>
        <v>-0</v>
      </c>
      <c r="CC197" s="13" t="n">
        <f aca="false">IF(CC$3&lt;7,0,-SUMPRODUCT(('Deal Terms'!$D$4:$D$47=1)*('Deal Terms'!$G$4:$G$47=CC$3)*('Deal Terms'!$K$4:$K$47&gt;0),'Deal Terms'!$K$4:$K$47)-IF('Deal Terms'!$O$1=1,'Deal Terms'!CC$104-'Deal Terms'!CB$104,0))</f>
        <v>-0</v>
      </c>
      <c r="CD197" s="13" t="n">
        <f aca="false">IF(CD$3&lt;7,0,-SUMPRODUCT(('Deal Terms'!$D$4:$D$47=1)*('Deal Terms'!$G$4:$G$47=CD$3)*('Deal Terms'!$K$4:$K$47&gt;0),'Deal Terms'!$K$4:$K$47)-IF('Deal Terms'!$O$1=1,'Deal Terms'!CD$104-'Deal Terms'!CC$104,0))</f>
        <v>-0</v>
      </c>
      <c r="CE197" s="13" t="n">
        <f aca="false">IF(CE$3&lt;7,0,-SUMPRODUCT(('Deal Terms'!$D$4:$D$47=1)*('Deal Terms'!$G$4:$G$47=CE$3)*('Deal Terms'!$K$4:$K$47&gt;0),'Deal Terms'!$K$4:$K$47)-IF('Deal Terms'!$O$1=1,'Deal Terms'!CE$104-'Deal Terms'!CD$104,0))</f>
        <v>-0</v>
      </c>
      <c r="CF197" s="13" t="n">
        <f aca="false">IF(CF$3&lt;7,0,-SUMPRODUCT(('Deal Terms'!$D$4:$D$47=1)*('Deal Terms'!$G$4:$G$47=CF$3)*('Deal Terms'!$K$4:$K$47&gt;0),'Deal Terms'!$K$4:$K$47)-IF('Deal Terms'!$O$1=1,'Deal Terms'!CF$104-'Deal Terms'!CE$104,0))</f>
        <v>-0</v>
      </c>
      <c r="CG197" s="13" t="n">
        <f aca="false">IF(CG$3&lt;7,0,-SUMPRODUCT(('Deal Terms'!$D$4:$D$47=1)*('Deal Terms'!$G$4:$G$47=CG$3)*('Deal Terms'!$K$4:$K$47&gt;0),'Deal Terms'!$K$4:$K$47)-IF('Deal Terms'!$O$1=1,'Deal Terms'!CG$104-'Deal Terms'!CF$104,0))</f>
        <v>-0</v>
      </c>
      <c r="CH197" s="13" t="n">
        <f aca="false">IF(CH$3&lt;7,0,-SUMPRODUCT(('Deal Terms'!$D$4:$D$47=1)*('Deal Terms'!$G$4:$G$47=CH$3)*('Deal Terms'!$K$4:$K$47&gt;0),'Deal Terms'!$K$4:$K$47)-IF('Deal Terms'!$O$1=1,'Deal Terms'!CH$104-'Deal Terms'!CG$104,0))</f>
        <v>-0</v>
      </c>
      <c r="CI197" s="13" t="n">
        <f aca="false">IF(CI$3&lt;7,0,-SUMPRODUCT(('Deal Terms'!$D$4:$D$47=1)*('Deal Terms'!$G$4:$G$47=CI$3)*('Deal Terms'!$K$4:$K$47&gt;0),'Deal Terms'!$K$4:$K$47)-IF('Deal Terms'!$O$1=1,'Deal Terms'!CI$104-'Deal Terms'!CH$104,0))</f>
        <v>-0</v>
      </c>
      <c r="CJ197" s="13" t="n">
        <f aca="false">IF(CJ$3&lt;7,0,-SUMPRODUCT(('Deal Terms'!$D$4:$D$47=1)*('Deal Terms'!$G$4:$G$47=CJ$3)*('Deal Terms'!$K$4:$K$47&gt;0),'Deal Terms'!$K$4:$K$47)-IF('Deal Terms'!$O$1=1,'Deal Terms'!CJ$104-'Deal Terms'!CI$104,0))</f>
        <v>-0</v>
      </c>
      <c r="CK197" s="13" t="n">
        <f aca="false">IF(CK$3&lt;7,0,-SUMPRODUCT(('Deal Terms'!$D$4:$D$47=1)*('Deal Terms'!$G$4:$G$47=CK$3)*('Deal Terms'!$K$4:$K$47&gt;0),'Deal Terms'!$K$4:$K$47)-IF('Deal Terms'!$O$1=1,'Deal Terms'!CK$104-'Deal Terms'!CJ$104,0))</f>
        <v>-0</v>
      </c>
      <c r="CL197" s="13" t="n">
        <f aca="false">IF(CL$3&lt;7,0,-SUMPRODUCT(('Deal Terms'!$D$4:$D$47=1)*('Deal Terms'!$G$4:$G$47=CL$3)*('Deal Terms'!$K$4:$K$47&gt;0),'Deal Terms'!$K$4:$K$47)-IF('Deal Terms'!$O$1=1,'Deal Terms'!CL$104-'Deal Terms'!CK$104,0))</f>
        <v>-0</v>
      </c>
      <c r="CM197" s="13" t="n">
        <f aca="false">IF(CM$3&lt;7,0,-SUMPRODUCT(('Deal Terms'!$D$4:$D$47=1)*('Deal Terms'!$G$4:$G$47=CM$3)*('Deal Terms'!$K$4:$K$47&gt;0),'Deal Terms'!$K$4:$K$47)-IF('Deal Terms'!$O$1=1,'Deal Terms'!CM$104-'Deal Terms'!CL$104,0))</f>
        <v>-0</v>
      </c>
      <c r="CN197" s="13" t="n">
        <f aca="false">IF(CN$3&lt;7,0,-SUMPRODUCT(('Deal Terms'!$D$4:$D$47=1)*('Deal Terms'!$G$4:$G$47=CN$3)*('Deal Terms'!$K$4:$K$47&gt;0),'Deal Terms'!$K$4:$K$47)-IF('Deal Terms'!$O$1=1,'Deal Terms'!CN$104-'Deal Terms'!CM$104,0))</f>
        <v>-0</v>
      </c>
      <c r="CO197" s="13" t="n">
        <f aca="false">IF(CO$3&lt;7,0,-SUMPRODUCT(('Deal Terms'!$D$4:$D$47=1)*('Deal Terms'!$G$4:$G$47=CO$3)*('Deal Terms'!$K$4:$K$47&gt;0),'Deal Terms'!$K$4:$K$47)-IF('Deal Terms'!$O$1=1,'Deal Terms'!CO$104-'Deal Terms'!CN$104,0))</f>
        <v>-0</v>
      </c>
      <c r="CP197" s="13" t="n">
        <f aca="false">IF(CP$3&lt;7,0,-SUMPRODUCT(('Deal Terms'!$D$4:$D$47=1)*('Deal Terms'!$G$4:$G$47=CP$3)*('Deal Terms'!$K$4:$K$47&gt;0),'Deal Terms'!$K$4:$K$47)-IF('Deal Terms'!$O$1=1,'Deal Terms'!CP$104-'Deal Terms'!CO$104,0))</f>
        <v>-0</v>
      </c>
      <c r="CQ197" s="13" t="n">
        <f aca="false">IF(CQ$3&lt;7,0,-SUMPRODUCT(('Deal Terms'!$D$4:$D$47=1)*('Deal Terms'!$G$4:$G$47=CQ$3)*('Deal Terms'!$K$4:$K$47&gt;0),'Deal Terms'!$K$4:$K$47)-IF('Deal Terms'!$O$1=1,'Deal Terms'!CQ$104-'Deal Terms'!CP$104,0))</f>
        <v>-0</v>
      </c>
      <c r="CR197" s="13" t="n">
        <f aca="false">IF(CR$3&lt;7,0,-SUMPRODUCT(('Deal Terms'!$D$4:$D$47=1)*('Deal Terms'!$G$4:$G$47=CR$3)*('Deal Terms'!$K$4:$K$47&gt;0),'Deal Terms'!$K$4:$K$47)-IF('Deal Terms'!$O$1=1,'Deal Terms'!CR$104-'Deal Terms'!CQ$104,0))</f>
        <v>-0</v>
      </c>
      <c r="CS197" s="13" t="n">
        <f aca="false">IF(CS$3&lt;7,0,-SUMPRODUCT(('Deal Terms'!$D$4:$D$47=1)*('Deal Terms'!$G$4:$G$47=CS$3)*('Deal Terms'!$K$4:$K$47&gt;0),'Deal Terms'!$K$4:$K$47)-IF('Deal Terms'!$O$1=1,'Deal Terms'!CS$104-'Deal Terms'!CR$104,0))</f>
        <v>-0</v>
      </c>
      <c r="CT197" s="13" t="n">
        <f aca="false">IF(CT$3&lt;7,0,-SUMPRODUCT(('Deal Terms'!$D$4:$D$47=1)*('Deal Terms'!$G$4:$G$47=CT$3)*('Deal Terms'!$K$4:$K$47&gt;0),'Deal Terms'!$K$4:$K$47)-IF('Deal Terms'!$O$1=1,'Deal Terms'!CT$104-'Deal Terms'!CS$104,0))</f>
        <v>-0</v>
      </c>
      <c r="CU197" s="13" t="n">
        <f aca="false">IF(CU$3&lt;7,0,-SUMPRODUCT(('Deal Terms'!$D$4:$D$47=1)*('Deal Terms'!$G$4:$G$47=CU$3)*('Deal Terms'!$K$4:$K$47&gt;0),'Deal Terms'!$K$4:$K$47)-IF('Deal Terms'!$O$1=1,'Deal Terms'!CU$104-'Deal Terms'!CT$104,0))</f>
        <v>-0</v>
      </c>
      <c r="CV197" s="13" t="n">
        <f aca="false">IF(CV$3&lt;7,0,-SUMPRODUCT(('Deal Terms'!$D$4:$D$47=1)*('Deal Terms'!$G$4:$G$47=CV$3)*('Deal Terms'!$K$4:$K$47&gt;0),'Deal Terms'!$K$4:$K$47)-IF('Deal Terms'!$O$1=1,'Deal Terms'!CV$104-'Deal Terms'!CU$104,0))</f>
        <v>-0</v>
      </c>
      <c r="CW197" s="13" t="n">
        <f aca="false">IF(CW$3&lt;7,0,-SUMPRODUCT(('Deal Terms'!$D$4:$D$47=1)*('Deal Terms'!$G$4:$G$47=CW$3)*('Deal Terms'!$K$4:$K$47&gt;0),'Deal Terms'!$K$4:$K$47)-IF('Deal Terms'!$O$1=1,'Deal Terms'!CW$104-'Deal Terms'!CV$104,0))</f>
        <v>-0</v>
      </c>
      <c r="CX197" s="13" t="n">
        <f aca="false">IF(CX$3&lt;7,0,-SUMPRODUCT(('Deal Terms'!$D$4:$D$47=1)*('Deal Terms'!$G$4:$G$47=CX$3)*('Deal Terms'!$K$4:$K$47&gt;0),'Deal Terms'!$K$4:$K$47)-IF('Deal Terms'!$O$1=1,'Deal Terms'!CX$104-'Deal Terms'!CW$104,0))</f>
        <v>-0</v>
      </c>
      <c r="CY197" s="13" t="n">
        <f aca="false">IF(CY$3&lt;7,0,-SUMPRODUCT(('Deal Terms'!$D$4:$D$47=1)*('Deal Terms'!$G$4:$G$47=CY$3)*('Deal Terms'!$K$4:$K$47&gt;0),'Deal Terms'!$K$4:$K$47)-IF('Deal Terms'!$O$1=1,'Deal Terms'!CY$104-'Deal Terms'!CX$104,0))</f>
        <v>-0</v>
      </c>
      <c r="CZ197" s="13" t="n">
        <f aca="false">IF(CZ$3&lt;7,0,-SUMPRODUCT(('Deal Terms'!$D$4:$D$47=1)*('Deal Terms'!$G$4:$G$47=CZ$3)*('Deal Terms'!$K$4:$K$47&gt;0),'Deal Terms'!$K$4:$K$47)-IF('Deal Terms'!$O$1=1,'Deal Terms'!CZ$104-'Deal Terms'!CY$104,0))</f>
        <v>-0</v>
      </c>
      <c r="DA197" s="13" t="n">
        <f aca="false">IF(DA$3&lt;7,0,-SUMPRODUCT(('Deal Terms'!$D$4:$D$47=1)*('Deal Terms'!$G$4:$G$47=DA$3)*('Deal Terms'!$K$4:$K$47&gt;0),'Deal Terms'!$K$4:$K$47)-IF('Deal Terms'!$O$1=1,'Deal Terms'!DA$104-'Deal Terms'!CZ$104,0))</f>
        <v>-0</v>
      </c>
      <c r="DB197" s="13" t="n">
        <f aca="false">IF(DB$3&lt;7,0,-SUMPRODUCT(('Deal Terms'!$D$4:$D$47=1)*('Deal Terms'!$G$4:$G$47=DB$3)*('Deal Terms'!$K$4:$K$47&gt;0),'Deal Terms'!$K$4:$K$47)-IF('Deal Terms'!$O$1=1,'Deal Terms'!DB$104-'Deal Terms'!DA$104,0))</f>
        <v>-0</v>
      </c>
      <c r="DC197" s="13" t="n">
        <f aca="false">IF(DC$3&lt;7,0,-SUMPRODUCT(('Deal Terms'!$D$4:$D$47=1)*('Deal Terms'!$G$4:$G$47=DC$3)*('Deal Terms'!$K$4:$K$47&gt;0),'Deal Terms'!$K$4:$K$47)-IF('Deal Terms'!$O$1=1,'Deal Terms'!DC$104-'Deal Terms'!DB$104,0))</f>
        <v>-0</v>
      </c>
      <c r="DD197" s="13" t="n">
        <f aca="false">IF(DD$3&lt;7,0,-SUMPRODUCT(('Deal Terms'!$D$4:$D$47=1)*('Deal Terms'!$G$4:$G$47=DD$3)*('Deal Terms'!$K$4:$K$47&gt;0),'Deal Terms'!$K$4:$K$47)-IF('Deal Terms'!$O$1=1,'Deal Terms'!DD$104-'Deal Terms'!DC$104,0))</f>
        <v>-0</v>
      </c>
      <c r="DE197" s="13" t="n">
        <f aca="false">IF(DE$3&lt;7,0,-SUMPRODUCT(('Deal Terms'!$D$4:$D$47=1)*('Deal Terms'!$G$4:$G$47=DE$3)*('Deal Terms'!$K$4:$K$47&gt;0),'Deal Terms'!$K$4:$K$47)-IF('Deal Terms'!$O$1=1,'Deal Terms'!DE$104-'Deal Terms'!DD$104,0))</f>
        <v>-0</v>
      </c>
    </row>
    <row r="198" customFormat="false" ht="15" hidden="false" customHeight="true" outlineLevel="0" collapsed="false">
      <c r="A198" s="22" t="s">
        <v>60</v>
      </c>
      <c r="B198" s="13" t="n">
        <f aca="false">IF(B$3&lt;7,0,-SUMPRODUCT(('Deal Terms'!$E$4:$E$47=1)*('Deal Terms'!$G$4:$G$47=B$3)*('Deal Terms'!$K$4:$K$47&gt;0)*'Deal Terms'!$L$4:$L$47,'Deal Terms'!$K$4:$K$47))</f>
        <v>0</v>
      </c>
      <c r="C198" s="13" t="n">
        <f aca="false">IF(C$3&lt;7,0,-SUMPRODUCT(('Deal Terms'!$E$4:$E$47=1)*('Deal Terms'!$G$4:$G$47=C$3)*('Deal Terms'!$K$4:$K$47&gt;0)*'Deal Terms'!$L$4:$L$47,'Deal Terms'!$K$4:$K$47))</f>
        <v>0</v>
      </c>
      <c r="D198" s="13" t="n">
        <f aca="false">IF(D$3&lt;7,0,-SUMPRODUCT(('Deal Terms'!$E$4:$E$47=1)*('Deal Terms'!$G$4:$G$47=D$3)*('Deal Terms'!$K$4:$K$47&gt;0)*'Deal Terms'!$L$4:$L$47,'Deal Terms'!$K$4:$K$47))</f>
        <v>0</v>
      </c>
      <c r="E198" s="13" t="n">
        <f aca="false">IF(E$3&lt;7,0,-SUMPRODUCT(('Deal Terms'!$E$4:$E$47=1)*('Deal Terms'!$G$4:$G$47=E$3)*('Deal Terms'!$K$4:$K$47&gt;0)*'Deal Terms'!$L$4:$L$47,'Deal Terms'!$K$4:$K$47))</f>
        <v>0</v>
      </c>
      <c r="F198" s="13" t="n">
        <f aca="false">IF(F$3&lt;7,0,-SUMPRODUCT(('Deal Terms'!$E$4:$E$47=1)*('Deal Terms'!$G$4:$G$47=F$3)*('Deal Terms'!$K$4:$K$47&gt;0)*'Deal Terms'!$L$4:$L$47,'Deal Terms'!$K$4:$K$47))</f>
        <v>0</v>
      </c>
      <c r="G198" s="13" t="n">
        <f aca="false">IF(G$3&lt;7,0,-SUMPRODUCT(('Deal Terms'!$E$4:$E$47=1)*('Deal Terms'!$G$4:$G$47=G$3)*('Deal Terms'!$K$4:$K$47&gt;0)*'Deal Terms'!$L$4:$L$47,'Deal Terms'!$K$4:$K$47))</f>
        <v>0</v>
      </c>
      <c r="H198" s="13" t="n">
        <f aca="false">IF(H$3&lt;7,0,-SUMPRODUCT(('Deal Terms'!$E$4:$E$47=1)*('Deal Terms'!$G$4:$G$47=H$3)*('Deal Terms'!$K$4:$K$47&gt;0)*'Deal Terms'!$L$4:$L$47,'Deal Terms'!$K$4:$K$47))</f>
        <v>0</v>
      </c>
      <c r="I198" s="13" t="n">
        <f aca="false">IF(I$3&lt;7,0,-SUMPRODUCT(('Deal Terms'!$E$4:$E$47=1)*('Deal Terms'!$G$4:$G$47=I$3)*('Deal Terms'!$K$4:$K$47&gt;0)*'Deal Terms'!$L$4:$L$47,'Deal Terms'!$K$4:$K$47))</f>
        <v>0</v>
      </c>
      <c r="J198" s="13" t="n">
        <f aca="false">IF(J$3&lt;7,0,-SUMPRODUCT(('Deal Terms'!$E$4:$E$47=1)*('Deal Terms'!$G$4:$G$47=J$3)*('Deal Terms'!$K$4:$K$47&gt;0)*'Deal Terms'!$L$4:$L$47,'Deal Terms'!$K$4:$K$47))</f>
        <v>0</v>
      </c>
      <c r="K198" s="13" t="n">
        <f aca="false">IF(K$3&lt;7,0,-SUMPRODUCT(('Deal Terms'!$E$4:$E$47=1)*('Deal Terms'!$G$4:$G$47=K$3)*('Deal Terms'!$K$4:$K$47&gt;0)*'Deal Terms'!$L$4:$L$47,'Deal Terms'!$K$4:$K$47))</f>
        <v>-0</v>
      </c>
      <c r="L198" s="13" t="n">
        <f aca="false">IF(L$3&lt;7,0,-SUMPRODUCT(('Deal Terms'!$E$4:$E$47=1)*('Deal Terms'!$G$4:$G$47=L$3)*('Deal Terms'!$K$4:$K$47&gt;0)*'Deal Terms'!$L$4:$L$47,'Deal Terms'!$K$4:$K$47))</f>
        <v>-0</v>
      </c>
      <c r="M198" s="13" t="n">
        <f aca="false">IF(M$3&lt;7,0,-SUMPRODUCT(('Deal Terms'!$E$4:$E$47=1)*('Deal Terms'!$G$4:$G$47=M$3)*('Deal Terms'!$K$4:$K$47&gt;0)*'Deal Terms'!$L$4:$L$47,'Deal Terms'!$K$4:$K$47))</f>
        <v>-0</v>
      </c>
      <c r="N198" s="13" t="n">
        <f aca="false">IF(N$3&lt;7,0,-SUMPRODUCT(('Deal Terms'!$E$4:$E$47=1)*('Deal Terms'!$G$4:$G$47=N$3)*('Deal Terms'!$K$4:$K$47&gt;0)*'Deal Terms'!$L$4:$L$47,'Deal Terms'!$K$4:$K$47))</f>
        <v>-0</v>
      </c>
      <c r="O198" s="13" t="n">
        <f aca="false">IF(O$3&lt;7,0,-SUMPRODUCT(('Deal Terms'!$E$4:$E$47=1)*('Deal Terms'!$G$4:$G$47=O$3)*('Deal Terms'!$K$4:$K$47&gt;0)*'Deal Terms'!$L$4:$L$47,'Deal Terms'!$K$4:$K$47))</f>
        <v>-0</v>
      </c>
      <c r="P198" s="13" t="n">
        <f aca="false">IF(P$3&lt;7,0,-SUMPRODUCT(('Deal Terms'!$E$4:$E$47=1)*('Deal Terms'!$G$4:$G$47=P$3)*('Deal Terms'!$K$4:$K$47&gt;0)*'Deal Terms'!$L$4:$L$47,'Deal Terms'!$K$4:$K$47))</f>
        <v>-0</v>
      </c>
      <c r="Q198" s="13" t="n">
        <f aca="false">IF(Q$3&lt;7,0,-SUMPRODUCT(('Deal Terms'!$E$4:$E$47=1)*('Deal Terms'!$G$4:$G$47=Q$3)*('Deal Terms'!$K$4:$K$47&gt;0)*'Deal Terms'!$L$4:$L$47,'Deal Terms'!$K$4:$K$47))</f>
        <v>-0</v>
      </c>
      <c r="R198" s="13" t="n">
        <f aca="false">IF(R$3&lt;7,0,-SUMPRODUCT(('Deal Terms'!$E$4:$E$47=1)*('Deal Terms'!$G$4:$G$47=R$3)*('Deal Terms'!$K$4:$K$47&gt;0)*'Deal Terms'!$L$4:$L$47,'Deal Terms'!$K$4:$K$47))</f>
        <v>-0</v>
      </c>
      <c r="S198" s="13" t="n">
        <f aca="false">IF(S$3&lt;7,0,-SUMPRODUCT(('Deal Terms'!$E$4:$E$47=1)*('Deal Terms'!$G$4:$G$47=S$3)*('Deal Terms'!$K$4:$K$47&gt;0)*'Deal Terms'!$L$4:$L$47,'Deal Terms'!$K$4:$K$47))</f>
        <v>-0</v>
      </c>
      <c r="T198" s="13" t="n">
        <f aca="false">IF(T$3&lt;7,0,-SUMPRODUCT(('Deal Terms'!$E$4:$E$47=1)*('Deal Terms'!$G$4:$G$47=T$3)*('Deal Terms'!$K$4:$K$47&gt;0)*'Deal Terms'!$L$4:$L$47,'Deal Terms'!$K$4:$K$47))</f>
        <v>-0</v>
      </c>
      <c r="U198" s="13" t="n">
        <f aca="false">IF(U$3&lt;7,0,-SUMPRODUCT(('Deal Terms'!$E$4:$E$47=1)*('Deal Terms'!$G$4:$G$47=U$3)*('Deal Terms'!$K$4:$K$47&gt;0)*'Deal Terms'!$L$4:$L$47,'Deal Terms'!$K$4:$K$47))</f>
        <v>-0</v>
      </c>
      <c r="V198" s="13" t="n">
        <f aca="false">IF(V$3&lt;7,0,-SUMPRODUCT(('Deal Terms'!$E$4:$E$47=1)*('Deal Terms'!$G$4:$G$47=V$3)*('Deal Terms'!$K$4:$K$47&gt;0)*'Deal Terms'!$L$4:$L$47,'Deal Terms'!$K$4:$K$47))</f>
        <v>-0</v>
      </c>
      <c r="W198" s="13" t="n">
        <f aca="false">IF(W$3&lt;7,0,-SUMPRODUCT(('Deal Terms'!$E$4:$E$47=1)*('Deal Terms'!$G$4:$G$47=W$3)*('Deal Terms'!$K$4:$K$47&gt;0)*'Deal Terms'!$L$4:$L$47,'Deal Terms'!$K$4:$K$47))</f>
        <v>-0</v>
      </c>
      <c r="X198" s="13" t="n">
        <f aca="false">IF(X$3&lt;7,0,-SUMPRODUCT(('Deal Terms'!$E$4:$E$47=1)*('Deal Terms'!$G$4:$G$47=X$3)*('Deal Terms'!$K$4:$K$47&gt;0)*'Deal Terms'!$L$4:$L$47,'Deal Terms'!$K$4:$K$47))</f>
        <v>-0</v>
      </c>
      <c r="Y198" s="13" t="n">
        <f aca="false">IF(Y$3&lt;7,0,-SUMPRODUCT(('Deal Terms'!$E$4:$E$47=1)*('Deal Terms'!$G$4:$G$47=Y$3)*('Deal Terms'!$K$4:$K$47&gt;0)*'Deal Terms'!$L$4:$L$47,'Deal Terms'!$K$4:$K$47))</f>
        <v>-0</v>
      </c>
      <c r="Z198" s="13" t="n">
        <f aca="false">IF(Z$3&lt;7,0,-SUMPRODUCT(('Deal Terms'!$E$4:$E$47=1)*('Deal Terms'!$G$4:$G$47=Z$3)*('Deal Terms'!$K$4:$K$47&gt;0)*'Deal Terms'!$L$4:$L$47,'Deal Terms'!$K$4:$K$47))</f>
        <v>-0</v>
      </c>
      <c r="AA198" s="13" t="n">
        <f aca="false">IF(AA$3&lt;7,0,-SUMPRODUCT(('Deal Terms'!$E$4:$E$47=1)*('Deal Terms'!$G$4:$G$47=AA$3)*('Deal Terms'!$K$4:$K$47&gt;0)*'Deal Terms'!$L$4:$L$47,'Deal Terms'!$K$4:$K$47))</f>
        <v>-0</v>
      </c>
      <c r="AB198" s="13" t="n">
        <f aca="false">IF(AB$3&lt;7,0,-SUMPRODUCT(('Deal Terms'!$E$4:$E$47=1)*('Deal Terms'!$G$4:$G$47=AB$3)*('Deal Terms'!$K$4:$K$47&gt;0)*'Deal Terms'!$L$4:$L$47,'Deal Terms'!$K$4:$K$47))</f>
        <v>-0</v>
      </c>
      <c r="AC198" s="13" t="n">
        <f aca="false">IF(AC$3&lt;7,0,-SUMPRODUCT(('Deal Terms'!$E$4:$E$47=1)*('Deal Terms'!$G$4:$G$47=AC$3)*('Deal Terms'!$K$4:$K$47&gt;0)*'Deal Terms'!$L$4:$L$47,'Deal Terms'!$K$4:$K$47))</f>
        <v>-0</v>
      </c>
      <c r="AD198" s="13" t="n">
        <f aca="false">IF(AD$3&lt;7,0,-SUMPRODUCT(('Deal Terms'!$E$4:$E$47=1)*('Deal Terms'!$G$4:$G$47=AD$3)*('Deal Terms'!$K$4:$K$47&gt;0)*'Deal Terms'!$L$4:$L$47,'Deal Terms'!$K$4:$K$47))</f>
        <v>-0</v>
      </c>
      <c r="AE198" s="13" t="n">
        <f aca="false">IF(AE$3&lt;7,0,-SUMPRODUCT(('Deal Terms'!$E$4:$E$47=1)*('Deal Terms'!$G$4:$G$47=AE$3)*('Deal Terms'!$K$4:$K$47&gt;0)*'Deal Terms'!$L$4:$L$47,'Deal Terms'!$K$4:$K$47))</f>
        <v>-0</v>
      </c>
      <c r="AF198" s="13" t="n">
        <f aca="false">IF(AF$3&lt;7,0,-SUMPRODUCT(('Deal Terms'!$E$4:$E$47=1)*('Deal Terms'!$G$4:$G$47=AF$3)*('Deal Terms'!$K$4:$K$47&gt;0)*'Deal Terms'!$L$4:$L$47,'Deal Terms'!$K$4:$K$47))</f>
        <v>-0</v>
      </c>
      <c r="AG198" s="13" t="n">
        <f aca="false">IF(AG$3&lt;7,0,-SUMPRODUCT(('Deal Terms'!$E$4:$E$47=1)*('Deal Terms'!$G$4:$G$47=AG$3)*('Deal Terms'!$K$4:$K$47&gt;0)*'Deal Terms'!$L$4:$L$47,'Deal Terms'!$K$4:$K$47))</f>
        <v>-0</v>
      </c>
      <c r="AH198" s="13" t="n">
        <f aca="false">IF(AH$3&lt;7,0,-SUMPRODUCT(('Deal Terms'!$E$4:$E$47=1)*('Deal Terms'!$G$4:$G$47=AH$3)*('Deal Terms'!$K$4:$K$47&gt;0)*'Deal Terms'!$L$4:$L$47,'Deal Terms'!$K$4:$K$47))</f>
        <v>-0</v>
      </c>
      <c r="AI198" s="13" t="n">
        <f aca="false">IF(AI$3&lt;7,0,-SUMPRODUCT(('Deal Terms'!$E$4:$E$47=1)*('Deal Terms'!$G$4:$G$47=AI$3)*('Deal Terms'!$K$4:$K$47&gt;0)*'Deal Terms'!$L$4:$L$47,'Deal Terms'!$K$4:$K$47))</f>
        <v>-0</v>
      </c>
      <c r="AJ198" s="13" t="n">
        <f aca="false">IF(AJ$3&lt;7,0,-SUMPRODUCT(('Deal Terms'!$E$4:$E$47=1)*('Deal Terms'!$G$4:$G$47=AJ$3)*('Deal Terms'!$K$4:$K$47&gt;0)*'Deal Terms'!$L$4:$L$47,'Deal Terms'!$K$4:$K$47))</f>
        <v>-0</v>
      </c>
      <c r="AK198" s="13" t="n">
        <f aca="false">IF(AK$3&lt;7,0,-SUMPRODUCT(('Deal Terms'!$E$4:$E$47=1)*('Deal Terms'!$G$4:$G$47=AK$3)*('Deal Terms'!$K$4:$K$47&gt;0)*'Deal Terms'!$L$4:$L$47,'Deal Terms'!$K$4:$K$47))</f>
        <v>-0</v>
      </c>
      <c r="AL198" s="13" t="n">
        <f aca="false">IF(AL$3&lt;7,0,-SUMPRODUCT(('Deal Terms'!$E$4:$E$47=1)*('Deal Terms'!$G$4:$G$47=AL$3)*('Deal Terms'!$K$4:$K$47&gt;0)*'Deal Terms'!$L$4:$L$47,'Deal Terms'!$K$4:$K$47))</f>
        <v>-0</v>
      </c>
      <c r="AM198" s="13" t="n">
        <f aca="false">IF(AM$3&lt;7,0,-SUMPRODUCT(('Deal Terms'!$E$4:$E$47=1)*('Deal Terms'!$G$4:$G$47=AM$3)*('Deal Terms'!$K$4:$K$47&gt;0)*'Deal Terms'!$L$4:$L$47,'Deal Terms'!$K$4:$K$47))</f>
        <v>-0</v>
      </c>
      <c r="AN198" s="13" t="n">
        <f aca="false">IF(AN$3&lt;7,0,-SUMPRODUCT(('Deal Terms'!$E$4:$E$47=1)*('Deal Terms'!$G$4:$G$47=AN$3)*('Deal Terms'!$K$4:$K$47&gt;0)*'Deal Terms'!$L$4:$L$47,'Deal Terms'!$K$4:$K$47))</f>
        <v>-0</v>
      </c>
      <c r="AO198" s="13" t="n">
        <f aca="false">IF(AO$3&lt;7,0,-SUMPRODUCT(('Deal Terms'!$E$4:$E$47=1)*('Deal Terms'!$G$4:$G$47=AO$3)*('Deal Terms'!$K$4:$K$47&gt;0)*'Deal Terms'!$L$4:$L$47,'Deal Terms'!$K$4:$K$47))</f>
        <v>-0</v>
      </c>
      <c r="AP198" s="13" t="n">
        <f aca="false">IF(AP$3&lt;7,0,-SUMPRODUCT(('Deal Terms'!$E$4:$E$47=1)*('Deal Terms'!$G$4:$G$47=AP$3)*('Deal Terms'!$K$4:$K$47&gt;0)*'Deal Terms'!$L$4:$L$47,'Deal Terms'!$K$4:$K$47))</f>
        <v>-0</v>
      </c>
      <c r="AQ198" s="13" t="n">
        <f aca="false">IF(AQ$3&lt;7,0,-SUMPRODUCT(('Deal Terms'!$E$4:$E$47=1)*('Deal Terms'!$G$4:$G$47=AQ$3)*('Deal Terms'!$K$4:$K$47&gt;0)*'Deal Terms'!$L$4:$L$47,'Deal Terms'!$K$4:$K$47))</f>
        <v>-0</v>
      </c>
      <c r="AR198" s="13" t="n">
        <f aca="false">IF(AR$3&lt;7,0,-SUMPRODUCT(('Deal Terms'!$E$4:$E$47=1)*('Deal Terms'!$G$4:$G$47=AR$3)*('Deal Terms'!$K$4:$K$47&gt;0)*'Deal Terms'!$L$4:$L$47,'Deal Terms'!$K$4:$K$47))</f>
        <v>-0</v>
      </c>
      <c r="AS198" s="13" t="n">
        <f aca="false">IF(AS$3&lt;7,0,-SUMPRODUCT(('Deal Terms'!$E$4:$E$47=1)*('Deal Terms'!$G$4:$G$47=AS$3)*('Deal Terms'!$K$4:$K$47&gt;0)*'Deal Terms'!$L$4:$L$47,'Deal Terms'!$K$4:$K$47))</f>
        <v>-0</v>
      </c>
      <c r="AT198" s="13" t="n">
        <f aca="false">IF(AT$3&lt;7,0,-SUMPRODUCT(('Deal Terms'!$E$4:$E$47=1)*('Deal Terms'!$G$4:$G$47=AT$3)*('Deal Terms'!$K$4:$K$47&gt;0)*'Deal Terms'!$L$4:$L$47,'Deal Terms'!$K$4:$K$47))</f>
        <v>-0</v>
      </c>
      <c r="AU198" s="13" t="n">
        <f aca="false">IF(AU$3&lt;7,0,-SUMPRODUCT(('Deal Terms'!$E$4:$E$47=1)*('Deal Terms'!$G$4:$G$47=AU$3)*('Deal Terms'!$K$4:$K$47&gt;0)*'Deal Terms'!$L$4:$L$47,'Deal Terms'!$K$4:$K$47))</f>
        <v>-0</v>
      </c>
      <c r="AV198" s="13" t="n">
        <f aca="false">IF(AV$3&lt;7,0,-SUMPRODUCT(('Deal Terms'!$E$4:$E$47=1)*('Deal Terms'!$G$4:$G$47=AV$3)*('Deal Terms'!$K$4:$K$47&gt;0)*'Deal Terms'!$L$4:$L$47,'Deal Terms'!$K$4:$K$47))</f>
        <v>-0</v>
      </c>
      <c r="AW198" s="13" t="n">
        <f aca="false">IF(AW$3&lt;7,0,-SUMPRODUCT(('Deal Terms'!$E$4:$E$47=1)*('Deal Terms'!$G$4:$G$47=AW$3)*('Deal Terms'!$K$4:$K$47&gt;0)*'Deal Terms'!$L$4:$L$47,'Deal Terms'!$K$4:$K$47))</f>
        <v>-0</v>
      </c>
      <c r="AX198" s="13" t="n">
        <f aca="false">IF(AX$3&lt;7,0,-SUMPRODUCT(('Deal Terms'!$E$4:$E$47=1)*('Deal Terms'!$G$4:$G$47=AX$3)*('Deal Terms'!$K$4:$K$47&gt;0)*'Deal Terms'!$L$4:$L$47,'Deal Terms'!$K$4:$K$47))</f>
        <v>-0</v>
      </c>
      <c r="AY198" s="13" t="n">
        <f aca="false">IF(AY$3&lt;7,0,-SUMPRODUCT(('Deal Terms'!$E$4:$E$47=1)*('Deal Terms'!$G$4:$G$47=AY$3)*('Deal Terms'!$K$4:$K$47&gt;0)*'Deal Terms'!$L$4:$L$47,'Deal Terms'!$K$4:$K$47))</f>
        <v>-0</v>
      </c>
      <c r="AZ198" s="13" t="n">
        <f aca="false">IF(AZ$3&lt;7,0,-SUMPRODUCT(('Deal Terms'!$E$4:$E$47=1)*('Deal Terms'!$G$4:$G$47=AZ$3)*('Deal Terms'!$K$4:$K$47&gt;0)*'Deal Terms'!$L$4:$L$47,'Deal Terms'!$K$4:$K$47))</f>
        <v>-0</v>
      </c>
      <c r="BA198" s="13" t="n">
        <f aca="false">IF(BA$3&lt;7,0,-SUMPRODUCT(('Deal Terms'!$E$4:$E$47=1)*('Deal Terms'!$G$4:$G$47=BA$3)*('Deal Terms'!$K$4:$K$47&gt;0)*'Deal Terms'!$L$4:$L$47,'Deal Terms'!$K$4:$K$47))</f>
        <v>-0</v>
      </c>
      <c r="BB198" s="13" t="n">
        <f aca="false">IF(BB$3&lt;7,0,-SUMPRODUCT(('Deal Terms'!$E$4:$E$47=1)*('Deal Terms'!$G$4:$G$47=BB$3)*('Deal Terms'!$K$4:$K$47&gt;0)*'Deal Terms'!$L$4:$L$47,'Deal Terms'!$K$4:$K$47))</f>
        <v>-0</v>
      </c>
      <c r="BC198" s="13" t="n">
        <f aca="false">IF(BC$3&lt;7,0,-SUMPRODUCT(('Deal Terms'!$E$4:$E$47=1)*('Deal Terms'!$G$4:$G$47=BC$3)*('Deal Terms'!$K$4:$K$47&gt;0)*'Deal Terms'!$L$4:$L$47,'Deal Terms'!$K$4:$K$47))</f>
        <v>-0</v>
      </c>
      <c r="BD198" s="13" t="n">
        <f aca="false">IF(BD$3&lt;7,0,-SUMPRODUCT(('Deal Terms'!$E$4:$E$47=1)*('Deal Terms'!$G$4:$G$47=BD$3)*('Deal Terms'!$K$4:$K$47&gt;0)*'Deal Terms'!$L$4:$L$47,'Deal Terms'!$K$4:$K$47))</f>
        <v>-0</v>
      </c>
      <c r="BE198" s="13" t="n">
        <f aca="false">IF(BE$3&lt;7,0,-SUMPRODUCT(('Deal Terms'!$E$4:$E$47=1)*('Deal Terms'!$G$4:$G$47=BE$3)*('Deal Terms'!$K$4:$K$47&gt;0)*'Deal Terms'!$L$4:$L$47,'Deal Terms'!$K$4:$K$47))</f>
        <v>-0</v>
      </c>
      <c r="BF198" s="13" t="n">
        <f aca="false">IF(BF$3&lt;7,0,-SUMPRODUCT(('Deal Terms'!$E$4:$E$47=1)*('Deal Terms'!$G$4:$G$47=BF$3)*('Deal Terms'!$K$4:$K$47&gt;0)*'Deal Terms'!$L$4:$L$47,'Deal Terms'!$K$4:$K$47))</f>
        <v>-0</v>
      </c>
      <c r="BG198" s="13" t="n">
        <f aca="false">IF(BG$3&lt;7,0,-SUMPRODUCT(('Deal Terms'!$E$4:$E$47=1)*('Deal Terms'!$G$4:$G$47=BG$3)*('Deal Terms'!$K$4:$K$47&gt;0)*'Deal Terms'!$L$4:$L$47,'Deal Terms'!$K$4:$K$47))</f>
        <v>-0</v>
      </c>
      <c r="BH198" s="13" t="n">
        <f aca="false">IF(BH$3&lt;7,0,-SUMPRODUCT(('Deal Terms'!$E$4:$E$47=1)*('Deal Terms'!$G$4:$G$47=BH$3)*('Deal Terms'!$K$4:$K$47&gt;0)*'Deal Terms'!$L$4:$L$47,'Deal Terms'!$K$4:$K$47))</f>
        <v>-0</v>
      </c>
      <c r="BI198" s="13" t="n">
        <f aca="false">IF(BI$3&lt;7,0,-SUMPRODUCT(('Deal Terms'!$E$4:$E$47=1)*('Deal Terms'!$G$4:$G$47=BI$3)*('Deal Terms'!$K$4:$K$47&gt;0)*'Deal Terms'!$L$4:$L$47,'Deal Terms'!$K$4:$K$47))</f>
        <v>-0</v>
      </c>
      <c r="BJ198" s="13" t="n">
        <f aca="false">IF(BJ$3&lt;7,0,-SUMPRODUCT(('Deal Terms'!$E$4:$E$47=1)*('Deal Terms'!$G$4:$G$47=BJ$3)*('Deal Terms'!$K$4:$K$47&gt;0)*'Deal Terms'!$L$4:$L$47,'Deal Terms'!$K$4:$K$47))</f>
        <v>-0</v>
      </c>
      <c r="BK198" s="13" t="n">
        <f aca="false">IF(BK$3&lt;7,0,-SUMPRODUCT(('Deal Terms'!$E$4:$E$47=1)*('Deal Terms'!$G$4:$G$47=BK$3)*('Deal Terms'!$K$4:$K$47&gt;0)*'Deal Terms'!$L$4:$L$47,'Deal Terms'!$K$4:$K$47))</f>
        <v>-0</v>
      </c>
      <c r="BL198" s="13" t="n">
        <f aca="false">IF(BL$3&lt;7,0,-SUMPRODUCT(('Deal Terms'!$E$4:$E$47=1)*('Deal Terms'!$G$4:$G$47=BL$3)*('Deal Terms'!$K$4:$K$47&gt;0)*'Deal Terms'!$L$4:$L$47,'Deal Terms'!$K$4:$K$47))</f>
        <v>-0</v>
      </c>
      <c r="BM198" s="13" t="n">
        <f aca="false">IF(BM$3&lt;7,0,-SUMPRODUCT(('Deal Terms'!$E$4:$E$47=1)*('Deal Terms'!$G$4:$G$47=BM$3)*('Deal Terms'!$K$4:$K$47&gt;0)*'Deal Terms'!$L$4:$L$47,'Deal Terms'!$K$4:$K$47))</f>
        <v>-0</v>
      </c>
      <c r="BN198" s="13" t="n">
        <f aca="false">IF(BN$3&lt;7,0,-SUMPRODUCT(('Deal Terms'!$E$4:$E$47=1)*('Deal Terms'!$G$4:$G$47=BN$3)*('Deal Terms'!$K$4:$K$47&gt;0)*'Deal Terms'!$L$4:$L$47,'Deal Terms'!$K$4:$K$47))</f>
        <v>-0</v>
      </c>
      <c r="BO198" s="13" t="n">
        <f aca="false">IF(BO$3&lt;7,0,-SUMPRODUCT(('Deal Terms'!$E$4:$E$47=1)*('Deal Terms'!$G$4:$G$47=BO$3)*('Deal Terms'!$K$4:$K$47&gt;0)*'Deal Terms'!$L$4:$L$47,'Deal Terms'!$K$4:$K$47))</f>
        <v>-0</v>
      </c>
      <c r="BP198" s="13" t="n">
        <f aca="false">IF(BP$3&lt;7,0,-SUMPRODUCT(('Deal Terms'!$E$4:$E$47=1)*('Deal Terms'!$G$4:$G$47=BP$3)*('Deal Terms'!$K$4:$K$47&gt;0)*'Deal Terms'!$L$4:$L$47,'Deal Terms'!$K$4:$K$47))</f>
        <v>-0</v>
      </c>
      <c r="BQ198" s="13" t="n">
        <f aca="false">IF(BQ$3&lt;7,0,-SUMPRODUCT(('Deal Terms'!$E$4:$E$47=1)*('Deal Terms'!$G$4:$G$47=BQ$3)*('Deal Terms'!$K$4:$K$47&gt;0)*'Deal Terms'!$L$4:$L$47,'Deal Terms'!$K$4:$K$47))</f>
        <v>-0</v>
      </c>
      <c r="BR198" s="13" t="n">
        <f aca="false">IF(BR$3&lt;7,0,-SUMPRODUCT(('Deal Terms'!$E$4:$E$47=1)*('Deal Terms'!$G$4:$G$47=BR$3)*('Deal Terms'!$K$4:$K$47&gt;0)*'Deal Terms'!$L$4:$L$47,'Deal Terms'!$K$4:$K$47))</f>
        <v>-0</v>
      </c>
      <c r="BS198" s="13" t="n">
        <f aca="false">IF(BS$3&lt;7,0,-SUMPRODUCT(('Deal Terms'!$E$4:$E$47=1)*('Deal Terms'!$G$4:$G$47=BS$3)*('Deal Terms'!$K$4:$K$47&gt;0)*'Deal Terms'!$L$4:$L$47,'Deal Terms'!$K$4:$K$47))</f>
        <v>-0</v>
      </c>
      <c r="BT198" s="13" t="n">
        <f aca="false">IF(BT$3&lt;7,0,-SUMPRODUCT(('Deal Terms'!$E$4:$E$47=1)*('Deal Terms'!$G$4:$G$47=BT$3)*('Deal Terms'!$K$4:$K$47&gt;0)*'Deal Terms'!$L$4:$L$47,'Deal Terms'!$K$4:$K$47))</f>
        <v>-0</v>
      </c>
      <c r="BU198" s="13" t="n">
        <f aca="false">IF(BU$3&lt;7,0,-SUMPRODUCT(('Deal Terms'!$E$4:$E$47=1)*('Deal Terms'!$G$4:$G$47=BU$3)*('Deal Terms'!$K$4:$K$47&gt;0)*'Deal Terms'!$L$4:$L$47,'Deal Terms'!$K$4:$K$47))</f>
        <v>-0</v>
      </c>
      <c r="BV198" s="13" t="n">
        <f aca="false">IF(BV$3&lt;7,0,-SUMPRODUCT(('Deal Terms'!$E$4:$E$47=1)*('Deal Terms'!$G$4:$G$47=BV$3)*('Deal Terms'!$K$4:$K$47&gt;0)*'Deal Terms'!$L$4:$L$47,'Deal Terms'!$K$4:$K$47))</f>
        <v>-0</v>
      </c>
      <c r="BW198" s="13" t="n">
        <f aca="false">IF(BW$3&lt;7,0,-SUMPRODUCT(('Deal Terms'!$E$4:$E$47=1)*('Deal Terms'!$G$4:$G$47=BW$3)*('Deal Terms'!$K$4:$K$47&gt;0)*'Deal Terms'!$L$4:$L$47,'Deal Terms'!$K$4:$K$47))</f>
        <v>-0</v>
      </c>
      <c r="BX198" s="13" t="n">
        <f aca="false">IF(BX$3&lt;7,0,-SUMPRODUCT(('Deal Terms'!$E$4:$E$47=1)*('Deal Terms'!$G$4:$G$47=BX$3)*('Deal Terms'!$K$4:$K$47&gt;0)*'Deal Terms'!$L$4:$L$47,'Deal Terms'!$K$4:$K$47))</f>
        <v>-0</v>
      </c>
      <c r="BY198" s="13" t="n">
        <f aca="false">IF(BY$3&lt;7,0,-SUMPRODUCT(('Deal Terms'!$E$4:$E$47=1)*('Deal Terms'!$G$4:$G$47=BY$3)*('Deal Terms'!$K$4:$K$47&gt;0)*'Deal Terms'!$L$4:$L$47,'Deal Terms'!$K$4:$K$47))</f>
        <v>-0</v>
      </c>
      <c r="BZ198" s="13" t="n">
        <f aca="false">IF(BZ$3&lt;7,0,-SUMPRODUCT(('Deal Terms'!$E$4:$E$47=1)*('Deal Terms'!$G$4:$G$47=BZ$3)*('Deal Terms'!$K$4:$K$47&gt;0)*'Deal Terms'!$L$4:$L$47,'Deal Terms'!$K$4:$K$47))</f>
        <v>-0</v>
      </c>
      <c r="CA198" s="13" t="n">
        <f aca="false">IF(CA$3&lt;7,0,-SUMPRODUCT(('Deal Terms'!$E$4:$E$47=1)*('Deal Terms'!$G$4:$G$47=CA$3)*('Deal Terms'!$K$4:$K$47&gt;0)*'Deal Terms'!$L$4:$L$47,'Deal Terms'!$K$4:$K$47))</f>
        <v>-0</v>
      </c>
      <c r="CB198" s="13" t="n">
        <f aca="false">IF(CB$3&lt;7,0,-SUMPRODUCT(('Deal Terms'!$E$4:$E$47=1)*('Deal Terms'!$G$4:$G$47=CB$3)*('Deal Terms'!$K$4:$K$47&gt;0)*'Deal Terms'!$L$4:$L$47,'Deal Terms'!$K$4:$K$47))</f>
        <v>-0</v>
      </c>
      <c r="CC198" s="13" t="n">
        <f aca="false">IF(CC$3&lt;7,0,-SUMPRODUCT(('Deal Terms'!$E$4:$E$47=1)*('Deal Terms'!$G$4:$G$47=CC$3)*('Deal Terms'!$K$4:$K$47&gt;0)*'Deal Terms'!$L$4:$L$47,'Deal Terms'!$K$4:$K$47))</f>
        <v>-0</v>
      </c>
      <c r="CD198" s="13" t="n">
        <f aca="false">IF(CD$3&lt;7,0,-SUMPRODUCT(('Deal Terms'!$E$4:$E$47=1)*('Deal Terms'!$G$4:$G$47=CD$3)*('Deal Terms'!$K$4:$K$47&gt;0)*'Deal Terms'!$L$4:$L$47,'Deal Terms'!$K$4:$K$47))</f>
        <v>-0</v>
      </c>
      <c r="CE198" s="13" t="n">
        <f aca="false">IF(CE$3&lt;7,0,-SUMPRODUCT(('Deal Terms'!$E$4:$E$47=1)*('Deal Terms'!$G$4:$G$47=CE$3)*('Deal Terms'!$K$4:$K$47&gt;0)*'Deal Terms'!$L$4:$L$47,'Deal Terms'!$K$4:$K$47))</f>
        <v>-0</v>
      </c>
      <c r="CF198" s="13" t="n">
        <f aca="false">IF(CF$3&lt;7,0,-SUMPRODUCT(('Deal Terms'!$E$4:$E$47=1)*('Deal Terms'!$G$4:$G$47=CF$3)*('Deal Terms'!$K$4:$K$47&gt;0)*'Deal Terms'!$L$4:$L$47,'Deal Terms'!$K$4:$K$47))</f>
        <v>-0</v>
      </c>
      <c r="CG198" s="13" t="n">
        <f aca="false">IF(CG$3&lt;7,0,-SUMPRODUCT(('Deal Terms'!$E$4:$E$47=1)*('Deal Terms'!$G$4:$G$47=CG$3)*('Deal Terms'!$K$4:$K$47&gt;0)*'Deal Terms'!$L$4:$L$47,'Deal Terms'!$K$4:$K$47))</f>
        <v>-0</v>
      </c>
      <c r="CH198" s="13" t="n">
        <f aca="false">IF(CH$3&lt;7,0,-SUMPRODUCT(('Deal Terms'!$E$4:$E$47=1)*('Deal Terms'!$G$4:$G$47=CH$3)*('Deal Terms'!$K$4:$K$47&gt;0)*'Deal Terms'!$L$4:$L$47,'Deal Terms'!$K$4:$K$47))</f>
        <v>-0</v>
      </c>
      <c r="CI198" s="13" t="n">
        <f aca="false">IF(CI$3&lt;7,0,-SUMPRODUCT(('Deal Terms'!$E$4:$E$47=1)*('Deal Terms'!$G$4:$G$47=CI$3)*('Deal Terms'!$K$4:$K$47&gt;0)*'Deal Terms'!$L$4:$L$47,'Deal Terms'!$K$4:$K$47))</f>
        <v>-0</v>
      </c>
      <c r="CJ198" s="13" t="n">
        <f aca="false">IF(CJ$3&lt;7,0,-SUMPRODUCT(('Deal Terms'!$E$4:$E$47=1)*('Deal Terms'!$G$4:$G$47=CJ$3)*('Deal Terms'!$K$4:$K$47&gt;0)*'Deal Terms'!$L$4:$L$47,'Deal Terms'!$K$4:$K$47))</f>
        <v>-0</v>
      </c>
      <c r="CK198" s="13" t="n">
        <f aca="false">IF(CK$3&lt;7,0,-SUMPRODUCT(('Deal Terms'!$E$4:$E$47=1)*('Deal Terms'!$G$4:$G$47=CK$3)*('Deal Terms'!$K$4:$K$47&gt;0)*'Deal Terms'!$L$4:$L$47,'Deal Terms'!$K$4:$K$47))</f>
        <v>-0</v>
      </c>
      <c r="CL198" s="13" t="n">
        <f aca="false">IF(CL$3&lt;7,0,-SUMPRODUCT(('Deal Terms'!$E$4:$E$47=1)*('Deal Terms'!$G$4:$G$47=CL$3)*('Deal Terms'!$K$4:$K$47&gt;0)*'Deal Terms'!$L$4:$L$47,'Deal Terms'!$K$4:$K$47))</f>
        <v>-0</v>
      </c>
      <c r="CM198" s="13" t="n">
        <f aca="false">IF(CM$3&lt;7,0,-SUMPRODUCT(('Deal Terms'!$E$4:$E$47=1)*('Deal Terms'!$G$4:$G$47=CM$3)*('Deal Terms'!$K$4:$K$47&gt;0)*'Deal Terms'!$L$4:$L$47,'Deal Terms'!$K$4:$K$47))</f>
        <v>-0</v>
      </c>
      <c r="CN198" s="13" t="n">
        <f aca="false">IF(CN$3&lt;7,0,-SUMPRODUCT(('Deal Terms'!$E$4:$E$47=1)*('Deal Terms'!$G$4:$G$47=CN$3)*('Deal Terms'!$K$4:$K$47&gt;0)*'Deal Terms'!$L$4:$L$47,'Deal Terms'!$K$4:$K$47))</f>
        <v>-0</v>
      </c>
      <c r="CO198" s="13" t="n">
        <f aca="false">IF(CO$3&lt;7,0,-SUMPRODUCT(('Deal Terms'!$E$4:$E$47=1)*('Deal Terms'!$G$4:$G$47=CO$3)*('Deal Terms'!$K$4:$K$47&gt;0)*'Deal Terms'!$L$4:$L$47,'Deal Terms'!$K$4:$K$47))</f>
        <v>-0</v>
      </c>
      <c r="CP198" s="13" t="n">
        <f aca="false">IF(CP$3&lt;7,0,-SUMPRODUCT(('Deal Terms'!$E$4:$E$47=1)*('Deal Terms'!$G$4:$G$47=CP$3)*('Deal Terms'!$K$4:$K$47&gt;0)*'Deal Terms'!$L$4:$L$47,'Deal Terms'!$K$4:$K$47))</f>
        <v>-0</v>
      </c>
      <c r="CQ198" s="13" t="n">
        <f aca="false">IF(CQ$3&lt;7,0,-SUMPRODUCT(('Deal Terms'!$E$4:$E$47=1)*('Deal Terms'!$G$4:$G$47=CQ$3)*('Deal Terms'!$K$4:$K$47&gt;0)*'Deal Terms'!$L$4:$L$47,'Deal Terms'!$K$4:$K$47))</f>
        <v>-0</v>
      </c>
      <c r="CR198" s="13" t="n">
        <f aca="false">IF(CR$3&lt;7,0,-SUMPRODUCT(('Deal Terms'!$E$4:$E$47=1)*('Deal Terms'!$G$4:$G$47=CR$3)*('Deal Terms'!$K$4:$K$47&gt;0)*'Deal Terms'!$L$4:$L$47,'Deal Terms'!$K$4:$K$47))</f>
        <v>-0</v>
      </c>
      <c r="CS198" s="13" t="n">
        <f aca="false">IF(CS$3&lt;7,0,-SUMPRODUCT(('Deal Terms'!$E$4:$E$47=1)*('Deal Terms'!$G$4:$G$47=CS$3)*('Deal Terms'!$K$4:$K$47&gt;0)*'Deal Terms'!$L$4:$L$47,'Deal Terms'!$K$4:$K$47))</f>
        <v>-0</v>
      </c>
      <c r="CT198" s="13" t="n">
        <f aca="false">IF(CT$3&lt;7,0,-SUMPRODUCT(('Deal Terms'!$E$4:$E$47=1)*('Deal Terms'!$G$4:$G$47=CT$3)*('Deal Terms'!$K$4:$K$47&gt;0)*'Deal Terms'!$L$4:$L$47,'Deal Terms'!$K$4:$K$47))</f>
        <v>-0</v>
      </c>
      <c r="CU198" s="13" t="n">
        <f aca="false">IF(CU$3&lt;7,0,-SUMPRODUCT(('Deal Terms'!$E$4:$E$47=1)*('Deal Terms'!$G$4:$G$47=CU$3)*('Deal Terms'!$K$4:$K$47&gt;0)*'Deal Terms'!$L$4:$L$47,'Deal Terms'!$K$4:$K$47))</f>
        <v>-0</v>
      </c>
      <c r="CV198" s="13" t="n">
        <f aca="false">IF(CV$3&lt;7,0,-SUMPRODUCT(('Deal Terms'!$E$4:$E$47=1)*('Deal Terms'!$G$4:$G$47=CV$3)*('Deal Terms'!$K$4:$K$47&gt;0)*'Deal Terms'!$L$4:$L$47,'Deal Terms'!$K$4:$K$47))</f>
        <v>-0</v>
      </c>
      <c r="CW198" s="13" t="n">
        <f aca="false">IF(CW$3&lt;7,0,-SUMPRODUCT(('Deal Terms'!$E$4:$E$47=1)*('Deal Terms'!$G$4:$G$47=CW$3)*('Deal Terms'!$K$4:$K$47&gt;0)*'Deal Terms'!$L$4:$L$47,'Deal Terms'!$K$4:$K$47))</f>
        <v>-0</v>
      </c>
      <c r="CX198" s="13" t="n">
        <f aca="false">IF(CX$3&lt;7,0,-SUMPRODUCT(('Deal Terms'!$E$4:$E$47=1)*('Deal Terms'!$G$4:$G$47=CX$3)*('Deal Terms'!$K$4:$K$47&gt;0)*'Deal Terms'!$L$4:$L$47,'Deal Terms'!$K$4:$K$47))</f>
        <v>-0</v>
      </c>
      <c r="CY198" s="13" t="n">
        <f aca="false">IF(CY$3&lt;7,0,-SUMPRODUCT(('Deal Terms'!$E$4:$E$47=1)*('Deal Terms'!$G$4:$G$47=CY$3)*('Deal Terms'!$K$4:$K$47&gt;0)*'Deal Terms'!$L$4:$L$47,'Deal Terms'!$K$4:$K$47))</f>
        <v>-0</v>
      </c>
      <c r="CZ198" s="13" t="n">
        <f aca="false">IF(CZ$3&lt;7,0,-SUMPRODUCT(('Deal Terms'!$E$4:$E$47=1)*('Deal Terms'!$G$4:$G$47=CZ$3)*('Deal Terms'!$K$4:$K$47&gt;0)*'Deal Terms'!$L$4:$L$47,'Deal Terms'!$K$4:$K$47))</f>
        <v>-0</v>
      </c>
      <c r="DA198" s="13" t="n">
        <f aca="false">IF(DA$3&lt;7,0,-SUMPRODUCT(('Deal Terms'!$E$4:$E$47=1)*('Deal Terms'!$G$4:$G$47=DA$3)*('Deal Terms'!$K$4:$K$47&gt;0)*'Deal Terms'!$L$4:$L$47,'Deal Terms'!$K$4:$K$47))</f>
        <v>-0</v>
      </c>
      <c r="DB198" s="13" t="n">
        <f aca="false">IF(DB$3&lt;7,0,-SUMPRODUCT(('Deal Terms'!$E$4:$E$47=1)*('Deal Terms'!$G$4:$G$47=DB$3)*('Deal Terms'!$K$4:$K$47&gt;0)*'Deal Terms'!$L$4:$L$47,'Deal Terms'!$K$4:$K$47))</f>
        <v>-0</v>
      </c>
      <c r="DC198" s="13" t="n">
        <f aca="false">IF(DC$3&lt;7,0,-SUMPRODUCT(('Deal Terms'!$E$4:$E$47=1)*('Deal Terms'!$G$4:$G$47=DC$3)*('Deal Terms'!$K$4:$K$47&gt;0)*'Deal Terms'!$L$4:$L$47,'Deal Terms'!$K$4:$K$47))</f>
        <v>-0</v>
      </c>
      <c r="DD198" s="13" t="n">
        <f aca="false">IF(DD$3&lt;7,0,-SUMPRODUCT(('Deal Terms'!$E$4:$E$47=1)*('Deal Terms'!$G$4:$G$47=DD$3)*('Deal Terms'!$K$4:$K$47&gt;0)*'Deal Terms'!$L$4:$L$47,'Deal Terms'!$K$4:$K$47))</f>
        <v>-0</v>
      </c>
      <c r="DE198" s="13" t="n">
        <f aca="false">IF(DE$3&lt;7,0,-SUMPRODUCT(('Deal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1766649.51</v>
      </c>
      <c r="I199" s="32" t="n">
        <f aca="false">I197+I198+I10+I11+I57+I104+I196</f>
        <v>560735.39</v>
      </c>
      <c r="J199" s="32" t="n">
        <f aca="false">J197+J198+J10+J11+J57+J104+J196</f>
        <v>343866.884875</v>
      </c>
      <c r="K199" s="32" t="n">
        <f aca="false">K197+K198+K10+K11+K57+K104+K196</f>
        <v>506626.420000001</v>
      </c>
      <c r="L199" s="32" t="n">
        <f aca="false">L197+L198+L10+L11+L57+L104+L196</f>
        <v>447906.98</v>
      </c>
      <c r="M199" s="32" t="n">
        <f aca="false">M197+M198+M10+M11+M57+M104+M196</f>
        <v>155930.769815271</v>
      </c>
      <c r="N199" s="32" t="n">
        <f aca="false">N197+N198+N10+N11+N57+N104+N196</f>
        <v>656618.90671865</v>
      </c>
      <c r="O199" s="32" t="n">
        <f aca="false">O197+O198+O10+O11+O57+O104+O196</f>
        <v>685879.923199601</v>
      </c>
      <c r="P199" s="32" t="n">
        <f aca="false">P197+P198+P10+P11+P57+P104+P196</f>
        <v>704354.5431996</v>
      </c>
      <c r="Q199" s="32" t="n">
        <f aca="false">Q197+Q198+Q10+Q11+Q57+Q104+Q196</f>
        <v>465600.968358315</v>
      </c>
      <c r="R199" s="32" t="n">
        <f aca="false">R197+R198+R10+R11+R57+R104+R196</f>
        <v>649732.106522535</v>
      </c>
      <c r="S199" s="32" t="n">
        <f aca="false">S197+S198+S10+S11+S57+S104+S196</f>
        <v>552549.65611158</v>
      </c>
      <c r="T199" s="32" t="n">
        <f aca="false">T197+T198+T10+T11+T57+T104+T196</f>
        <v>1219348.63562138</v>
      </c>
      <c r="U199" s="32" t="n">
        <f aca="false">U197+U198+U10+U11+U57+U104+U196</f>
        <v>1115646.57562138</v>
      </c>
      <c r="V199" s="32" t="n">
        <f aca="false">V197+V198+V10+V11+V57+V104+V196</f>
        <v>1035118.95433943</v>
      </c>
      <c r="W199" s="32" t="n">
        <f aca="false">W197+W198+W10+W11+W57+W104+W196</f>
        <v>1066831.35902298</v>
      </c>
      <c r="X199" s="32" t="n">
        <f aca="false">X197+X198+X10+X11+X57+X104+X196</f>
        <v>1460388.59488505</v>
      </c>
      <c r="Y199" s="32" t="n">
        <f aca="false">Y197+Y198+Y10+Y11+Y57+Y104+Y196</f>
        <v>1276861.67488505</v>
      </c>
      <c r="Z199" s="32" t="n">
        <f aca="false">Z197+Z198+Z10+Z11+Z57+Z104+Z196</f>
        <v>1376788.67488505</v>
      </c>
      <c r="AA199" s="32" t="n">
        <f aca="false">AA197+AA198+AA10+AA11+AA57+AA104+AA196</f>
        <v>1286621.73488504</v>
      </c>
      <c r="AB199" s="32" t="n">
        <f aca="false">AB197+AB198+AB10+AB11+AB57+AB104+AB196</f>
        <v>1148487.46488504</v>
      </c>
      <c r="AC199" s="32" t="n">
        <f aca="false">AC197+AC198+AC10+AC11+AC57+AC104+AC196</f>
        <v>1052250.62488505</v>
      </c>
      <c r="AD199" s="32" t="n">
        <f aca="false">AD197+AD198+AD10+AD11+AD57+AD104+AD196</f>
        <v>1074816.66488505</v>
      </c>
      <c r="AE199" s="32" t="n">
        <f aca="false">AE197+AE198+AE10+AE11+AE57+AE104+AE196</f>
        <v>490686.642797927</v>
      </c>
      <c r="AF199" s="32" t="n">
        <f aca="false">AF197+AF198+AF10+AF11+AF57+AF104+AF196</f>
        <v>1381944.11247225</v>
      </c>
      <c r="AG199" s="32" t="n">
        <f aca="false">AG197+AG198+AG10+AG11+AG57+AG104+AG196</f>
        <v>1315343.61551589</v>
      </c>
      <c r="AH199" s="32" t="n">
        <f aca="false">AH197+AH198+AH10+AH11+AH57+AH104+AH196</f>
        <v>1291962.49019074</v>
      </c>
      <c r="AI199" s="32" t="n">
        <f aca="false">AI197+AI198+AI10+AI11+AI57+AI104+AI196</f>
        <v>1053714.82282632</v>
      </c>
      <c r="AJ199" s="32" t="n">
        <f aca="false">AJ197+AJ198+AJ10+AJ11+AJ57+AJ104+AJ196</f>
        <v>1002591.84222206</v>
      </c>
      <c r="AK199" s="32" t="n">
        <f aca="false">AK197+AK198+AK10+AK11+AK57+AK104+AK196</f>
        <v>839100.233430564</v>
      </c>
      <c r="AL199" s="32" t="n">
        <f aca="false">AL197+AL198+AL10+AL11+AL57+AL104+AL196</f>
        <v>853170.943430563</v>
      </c>
      <c r="AM199" s="32" t="n">
        <f aca="false">AM197+AM198+AM10+AM11+AM57+AM104+AM196</f>
        <v>864853.983430562</v>
      </c>
      <c r="AN199" s="32" t="n">
        <f aca="false">AN197+AN198+AN10+AN11+AN57+AN104+AN196</f>
        <v>843781.735535311</v>
      </c>
      <c r="AO199" s="32" t="n">
        <f aca="false">AO197+AO198+AO10+AO11+AO57+AO104+AO196</f>
        <v>715834.423625813</v>
      </c>
      <c r="AP199" s="32" t="n">
        <f aca="false">AP197+AP198+AP10+AP11+AP57+AP104+AP196</f>
        <v>678822.648593563</v>
      </c>
      <c r="AQ199" s="32" t="n">
        <f aca="false">AQ197+AQ198+AQ10+AQ11+AQ57+AQ104+AQ196</f>
        <v>449496.249784677</v>
      </c>
      <c r="AR199" s="32" t="n">
        <f aca="false">AR197+AR198+AR10+AR11+AR57+AR104+AR196</f>
        <v>449496.249784677</v>
      </c>
      <c r="AS199" s="32" t="n">
        <f aca="false">AS197+AS198+AS10+AS11+AS57+AS104+AS196</f>
        <v>449496.249784677</v>
      </c>
      <c r="AT199" s="32" t="n">
        <f aca="false">AT197+AT198+AT10+AT11+AT57+AT104+AT196</f>
        <v>600143.498027517</v>
      </c>
      <c r="AU199" s="32" t="n">
        <f aca="false">AU197+AU198+AU10+AU11+AU57+AU104+AU196</f>
        <v>330233.844925764</v>
      </c>
      <c r="AV199" s="32" t="n">
        <f aca="false">AV197+AV198+AV10+AV11+AV57+AV104+AV196</f>
        <v>602719.430279263</v>
      </c>
      <c r="AW199" s="32" t="n">
        <f aca="false">AW197+AW198+AW10+AW11+AW57+AW104+AW196</f>
        <v>157659.640868547</v>
      </c>
      <c r="AX199" s="32" t="n">
        <f aca="false">AX197+AX198+AX10+AX11+AX57+AX104+AX196</f>
        <v>157659.640868547</v>
      </c>
      <c r="AY199" s="32" t="n">
        <f aca="false">AY197+AY198+AY10+AY11+AY57+AY104+AY196</f>
        <v>157659.640868547</v>
      </c>
      <c r="AZ199" s="32" t="n">
        <f aca="false">AZ197+AZ198+AZ10+AZ11+AZ57+AZ104+AZ196</f>
        <v>157659.640868547</v>
      </c>
      <c r="BA199" s="32" t="n">
        <f aca="false">BA197+BA198+BA10+BA11+BA57+BA104+BA196</f>
        <v>157659.640868547</v>
      </c>
      <c r="BB199" s="32" t="n">
        <f aca="false">BB197+BB198+BB10+BB11+BB57+BB104+BB196</f>
        <v>157659.640868547</v>
      </c>
      <c r="BC199" s="32" t="n">
        <f aca="false">BC197+BC198+BC10+BC11+BC57+BC104+BC196</f>
        <v>157659.640868547</v>
      </c>
      <c r="BD199" s="32" t="n">
        <f aca="false">BD197+BD198+BD10+BD11+BD57+BD104+BD196</f>
        <v>157659.640868547</v>
      </c>
      <c r="BE199" s="32" t="n">
        <f aca="false">BE197+BE198+BE10+BE11+BE57+BE104+BE196</f>
        <v>157659.640868547</v>
      </c>
      <c r="BF199" s="32" t="n">
        <f aca="false">BF197+BF198+BF10+BF11+BF57+BF104+BF196</f>
        <v>157659.640868547</v>
      </c>
      <c r="BG199" s="32" t="n">
        <f aca="false">BG197+BG198+BG10+BG11+BG57+BG104+BG196</f>
        <v>157659.640868547</v>
      </c>
      <c r="BH199" s="32" t="n">
        <f aca="false">BH197+BH198+BH10+BH11+BH57+BH104+BH196</f>
        <v>406595.915924147</v>
      </c>
      <c r="BI199" s="32" t="n">
        <f aca="false">BI197+BI198+BI10+BI11+BI57+BI104+BI196</f>
        <v>0</v>
      </c>
      <c r="BJ199" s="32" t="n">
        <f aca="false">BJ197+BJ198+BJ10+BJ11+BJ57+BJ104+BJ196</f>
        <v>0</v>
      </c>
      <c r="BK199" s="32" t="n">
        <f aca="false">BK197+BK198+BK10+BK11+BK57+BK104+BK196</f>
        <v>0</v>
      </c>
      <c r="BL199" s="32" t="n">
        <f aca="false">BL197+BL198+BL10+BL11+BL57+BL104+BL196</f>
        <v>0</v>
      </c>
      <c r="BM199" s="32" t="n">
        <f aca="false">BM197+BM198+BM10+BM11+BM57+BM104+BM196</f>
        <v>0</v>
      </c>
      <c r="BN199" s="32" t="n">
        <f aca="false">BN197+BN198+BN10+BN11+BN57+BN104+BN196</f>
        <v>0</v>
      </c>
      <c r="BO199" s="32" t="n">
        <f aca="false">BO197+BO198+BO10+BO11+BO57+BO104+BO196</f>
        <v>0</v>
      </c>
      <c r="BP199" s="32" t="n">
        <f aca="false">BP197+BP198+BP10+BP11+BP57+BP104+BP196</f>
        <v>0</v>
      </c>
      <c r="BQ199" s="32" t="n">
        <f aca="false">BQ197+BQ198+BQ10+BQ11+BQ57+BQ104+BQ196</f>
        <v>0</v>
      </c>
      <c r="BR199" s="32" t="n">
        <f aca="false">BR197+BR198+BR10+BR11+BR57+BR104+BR196</f>
        <v>0</v>
      </c>
      <c r="BS199" s="32" t="n">
        <f aca="false">BS197+BS198+BS10+BS11+BS57+BS104+BS196</f>
        <v>0</v>
      </c>
      <c r="BT199" s="32" t="n">
        <f aca="false">BT197+BT198+BT10+BT11+BT57+BT104+BT196</f>
        <v>0</v>
      </c>
      <c r="BU199" s="32" t="n">
        <f aca="false">BU197+BU198+BU10+BU11+BU57+BU104+BU196</f>
        <v>0</v>
      </c>
      <c r="BV199" s="32" t="n">
        <f aca="false">BV197+BV198+BV10+BV11+BV57+BV104+BV196</f>
        <v>0</v>
      </c>
      <c r="BW199" s="32" t="n">
        <f aca="false">BW197+BW198+BW10+BW11+BW57+BW104+BW196</f>
        <v>0</v>
      </c>
      <c r="BX199" s="32" t="n">
        <f aca="false">BX197+BX198+BX10+BX11+BX57+BX104+BX196</f>
        <v>0</v>
      </c>
      <c r="BY199" s="32" t="n">
        <f aca="false">BY197+BY198+BY10+BY11+BY57+BY104+BY196</f>
        <v>0</v>
      </c>
      <c r="BZ199" s="32" t="n">
        <f aca="false">BZ197+BZ198+BZ10+BZ11+BZ57+BZ104+BZ196</f>
        <v>0</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0.251459036074756</v>
      </c>
      <c r="I200" s="33" t="n">
        <f aca="false">IFERROR(I199/I58,0)</f>
        <v>0.0924583805831464</v>
      </c>
      <c r="J200" s="33" t="n">
        <f aca="false">IFERROR(J199/J58,0)</f>
        <v>0.0538901804140071</v>
      </c>
      <c r="K200" s="33" t="n">
        <f aca="false">IFERROR(K199/K58,0)</f>
        <v>0.086396686938628</v>
      </c>
      <c r="L200" s="33" t="n">
        <f aca="false">IFERROR(L199/L58,0)</f>
        <v>0.0946991097589387</v>
      </c>
      <c r="M200" s="33" t="n">
        <f aca="false">IFERROR(M199/M58,0)</f>
        <v>0.0332002486333741</v>
      </c>
      <c r="N200" s="33" t="n">
        <f aca="false">IFERROR(N199/N58,0)</f>
        <v>0.116145548438352</v>
      </c>
      <c r="O200" s="33" t="n">
        <f aca="false">IFERROR(O199/O58,0)</f>
        <v>0.119553154394762</v>
      </c>
      <c r="P200" s="33" t="n">
        <f aca="false">IFERROR(P199/P58,0)</f>
        <v>0.112712285380867</v>
      </c>
      <c r="Q200" s="33" t="n">
        <f aca="false">IFERROR(Q199/Q58,0)</f>
        <v>0.0695924547724311</v>
      </c>
      <c r="R200" s="33" t="n">
        <f aca="false">IFERROR(R199/R58,0)</f>
        <v>0.0910818798067437</v>
      </c>
      <c r="S200" s="33" t="n">
        <f aca="false">IFERROR(S199/S58,0)</f>
        <v>0.0630185989879269</v>
      </c>
      <c r="T200" s="33" t="n">
        <f aca="false">IFERROR(T199/T58,0)</f>
        <v>0.120199810867656</v>
      </c>
      <c r="U200" s="33" t="n">
        <f aca="false">IFERROR(U199/U58,0)</f>
        <v>0.113885864273563</v>
      </c>
      <c r="V200" s="33" t="n">
        <f aca="false">IFERROR(V199/V58,0)</f>
        <v>0.0932253074474898</v>
      </c>
      <c r="W200" s="33" t="n">
        <f aca="false">IFERROR(W199/W58,0)</f>
        <v>0.0970642512500349</v>
      </c>
      <c r="X200" s="33" t="n">
        <f aca="false">IFERROR(X199/X58,0)</f>
        <v>0.113193292428144</v>
      </c>
      <c r="Y200" s="33" t="n">
        <f aca="false">IFERROR(Y199/Y58,0)</f>
        <v>0.10690328599437</v>
      </c>
      <c r="Z200" s="33" t="n">
        <f aca="false">IFERROR(Z199/Z58,0)</f>
        <v>0.103917455618392</v>
      </c>
      <c r="AA200" s="33" t="n">
        <f aca="false">IFERROR(AA199/AA58,0)</f>
        <v>0.100276393468855</v>
      </c>
      <c r="AB200" s="33" t="n">
        <f aca="false">IFERROR(AB199/AB58,0)</f>
        <v>0.0967740430542199</v>
      </c>
      <c r="AC200" s="33" t="n">
        <f aca="false">IFERROR(AC199/AC58,0)</f>
        <v>0.0946235441603087</v>
      </c>
      <c r="AD200" s="33" t="n">
        <f aca="false">IFERROR(AD199/AD58,0)</f>
        <v>0.0958094880782313</v>
      </c>
      <c r="AE200" s="33" t="n">
        <f aca="false">IFERROR(AE199/AE58,0)</f>
        <v>0.0423956758503073</v>
      </c>
      <c r="AF200" s="33" t="n">
        <f aca="false">IFERROR(AF199/AF58,0)</f>
        <v>0.119376145759572</v>
      </c>
      <c r="AG200" s="33" t="n">
        <f aca="false">IFERROR(AG199/AG58,0)</f>
        <v>0.111702937948479</v>
      </c>
      <c r="AH200" s="33" t="n">
        <f aca="false">IFERROR(AH199/AH58,0)</f>
        <v>0.117123802660076</v>
      </c>
      <c r="AI200" s="33" t="n">
        <f aca="false">IFERROR(AI199/AI58,0)</f>
        <v>0.103703224872332</v>
      </c>
      <c r="AJ200" s="33" t="n">
        <f aca="false">IFERROR(AJ199/AJ58,0)</f>
        <v>0.114228408472924</v>
      </c>
      <c r="AK200" s="33" t="n">
        <f aca="false">IFERROR(AK199/AK58,0)</f>
        <v>0.106314608637941</v>
      </c>
      <c r="AL200" s="33" t="n">
        <f aca="false">IFERROR(AL199/AL58,0)</f>
        <v>0.112395799129688</v>
      </c>
      <c r="AM200" s="33" t="n">
        <f aca="false">IFERROR(AM199/AM58,0)</f>
        <v>0.119383943981094</v>
      </c>
      <c r="AN200" s="33" t="n">
        <f aca="false">IFERROR(AN199/AN58,0)</f>
        <v>0.142947465509587</v>
      </c>
      <c r="AO200" s="33" t="n">
        <f aca="false">IFERROR(AO199/AO58,0)</f>
        <v>0.1479622353749</v>
      </c>
      <c r="AP200" s="33" t="n">
        <f aca="false">IFERROR(AP199/AP58,0)</f>
        <v>0.184536223969415</v>
      </c>
      <c r="AQ200" s="33" t="n">
        <f aca="false">IFERROR(AQ199/AQ58,0)</f>
        <v>0.141693595436093</v>
      </c>
      <c r="AR200" s="33" t="n">
        <f aca="false">IFERROR(AR199/AR58,0)</f>
        <v>0.145782861829423</v>
      </c>
      <c r="AS200" s="33" t="n">
        <f aca="false">IFERROR(AS199/AS58,0)</f>
        <v>0.150979560317671</v>
      </c>
      <c r="AT200" s="33" t="n">
        <f aca="false">IFERROR(AT199/AT58,0)</f>
        <v>0.210162769791219</v>
      </c>
      <c r="AU200" s="33" t="n">
        <f aca="false">IFERROR(AU199/AU58,0)</f>
        <v>0.121390605351527</v>
      </c>
      <c r="AV200" s="33" t="n">
        <f aca="false">IFERROR(AV199/AV58,0)</f>
        <v>0.234175432175548</v>
      </c>
      <c r="AW200" s="33" t="n">
        <f aca="false">IFERROR(AW199/AW58,0)</f>
        <v>0.0880559340955461</v>
      </c>
      <c r="AX200" s="33" t="n">
        <f aca="false">IFERROR(AX199/AX58,0)</f>
        <v>0.0916459930927827</v>
      </c>
      <c r="AY200" s="33" t="n">
        <f aca="false">IFERROR(AY199/AY58,0)</f>
        <v>0.0963403837730382</v>
      </c>
      <c r="AZ200" s="33" t="n">
        <f aca="false">IFERROR(AZ199/AZ58,0)</f>
        <v>0.102293639933099</v>
      </c>
      <c r="BA200" s="33" t="n">
        <f aca="false">IFERROR(BA199/BA58,0)</f>
        <v>0.109702511126458</v>
      </c>
      <c r="BB200" s="33" t="n">
        <f aca="false">IFERROR(BB199/BB58,0)</f>
        <v>0.118832419009621</v>
      </c>
      <c r="BC200" s="33" t="n">
        <f aca="false">IFERROR(BC199/BC58,0)</f>
        <v>0.130013356978026</v>
      </c>
      <c r="BD200" s="33" t="n">
        <f aca="false">IFERROR(BD199/BD58,0)</f>
        <v>0.143673701400666</v>
      </c>
      <c r="BE200" s="33" t="n">
        <f aca="false">IFERROR(BE199/BE58,0)</f>
        <v>0.160366031492309</v>
      </c>
      <c r="BF200" s="33" t="n">
        <f aca="false">IFERROR(BF199/BF58,0)</f>
        <v>0.180792984619276</v>
      </c>
      <c r="BG200" s="33" t="n">
        <f aca="false">IFERROR(BG199/BG58,0)</f>
        <v>0.205874374482486</v>
      </c>
      <c r="BH200" s="33" t="n">
        <f aca="false">IFERROR(BH199/BH58,0)</f>
        <v>0.610641057491253</v>
      </c>
      <c r="BI200" s="33" t="n">
        <f aca="false">IFERROR(BI199/BI58,0)</f>
        <v>0</v>
      </c>
      <c r="BJ200" s="33" t="n">
        <f aca="false">IFERROR(BJ199/BJ58,0)</f>
        <v>0</v>
      </c>
      <c r="BK200" s="33" t="n">
        <f aca="false">IFERROR(BK199/BK58,0)</f>
        <v>0</v>
      </c>
      <c r="BL200" s="33" t="n">
        <f aca="false">IFERROR(BL199/BL58,0)</f>
        <v>0</v>
      </c>
      <c r="BM200" s="33" t="n">
        <f aca="false">IFERROR(BM199/BM58,0)</f>
        <v>0</v>
      </c>
      <c r="BN200" s="33" t="n">
        <f aca="false">IFERROR(BN199/BN58,0)</f>
        <v>0</v>
      </c>
      <c r="BO200" s="33" t="n">
        <f aca="false">IFERROR(BO199/BO58,0)</f>
        <v>0</v>
      </c>
      <c r="BP200" s="33" t="n">
        <f aca="false">IFERROR(BP199/BP58,0)</f>
        <v>0</v>
      </c>
      <c r="BQ200" s="33" t="n">
        <f aca="false">IFERROR(BQ199/BQ58,0)</f>
        <v>0</v>
      </c>
      <c r="BR200" s="33" t="n">
        <f aca="false">IFERROR(BR199/BR58,0)</f>
        <v>0</v>
      </c>
      <c r="BS200" s="33" t="n">
        <f aca="false">IFERROR(BS199/BS58,0)</f>
        <v>0</v>
      </c>
      <c r="BT200" s="33" t="n">
        <f aca="false">IFERROR(BT199/BT58,0)</f>
        <v>0</v>
      </c>
      <c r="BU200" s="33" t="n">
        <f aca="false">IFERROR(BU199/BU58,0)</f>
        <v>0</v>
      </c>
      <c r="BV200" s="33" t="n">
        <f aca="false">IFERROR(BV199/BV58,0)</f>
        <v>0</v>
      </c>
      <c r="BW200" s="33" t="n">
        <f aca="false">IFERROR(BW199/BW58,0)</f>
        <v>0</v>
      </c>
      <c r="BX200" s="33" t="n">
        <f aca="false">IFERROR(BX199/BX58,0)</f>
        <v>0</v>
      </c>
      <c r="BY200" s="33" t="n">
        <f aca="false">IFERROR(BY199/BY58,0)</f>
        <v>0</v>
      </c>
      <c r="BZ200" s="33" t="n">
        <f aca="false">IFERROR(BZ199/BZ58,0)</f>
        <v>0</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-223657.14</v>
      </c>
      <c r="K203" s="13" t="n">
        <f aca="false">IF(ISBLANK(Actuals!L21),((-(SUMPRODUCT((Personnel!$O$9:$O$100="GC")*(Personnel!$G$9:$G$100="Yes")*(7&gt;=Personnel!$E$9:$E$100)*((Personnel!$K$9:$K$100="")+(7&lt;=Personnel!$K$9:$K$100)&gt;0)*Personnel!$D$9:$D$100*(1-Personnel!$H$9:$H$100))+Staffing!K81))*Escalation!$B$8)-IF(K$3=9,Assumptions!$B$151,0)-IF(AND(K$3&gt;=21,MOD(K$3-21,12)=0),Assumptions!$B$152,0),Actuals!L21)</f>
        <v>-267964.333333333</v>
      </c>
      <c r="L203" s="13" t="n">
        <f aca="false">IF(ISBLANK(Actuals!M21),((-(SUMPRODUCT((Personnel!$O$9:$O$100="GC")*(Personnel!$G$9:$G$100="Yes")*(8&gt;=Personnel!$E$9:$E$100)*((Personnel!$K$9:$K$100="")+(8&lt;=Personnel!$K$9:$K$100)&gt;0)*Personnel!$D$9:$D$100*(1-Personnel!$H$9:$H$100))+Staffing!L81))*Escalation!$B$9)-IF(L$3=9,Assumptions!$B$151,0)-IF(AND(L$3&gt;=21,MOD(L$3-21,12)=0),Assumptions!$B$152,0),Actuals!M21)</f>
        <v>-267964.333333333</v>
      </c>
      <c r="M203" s="13" t="n">
        <f aca="false">IF(ISBLANK(Actuals!N21),((-(SUMPRODUCT((Personnel!$O$9:$O$100="GC")*(Personnel!$G$9:$G$100="Yes")*(9&gt;=Personnel!$E$9:$E$100)*((Personnel!$K$9:$K$100="")+(9&lt;=Personnel!$K$9:$K$100)&gt;0)*Personnel!$D$9:$D$100*(1-Personnel!$H$9:$H$100))+Staffing!M81))*Escalation!$B$10)-IF(M$3=9,Assumptions!$B$151,0)-IF(AND(M$3&gt;=21,MOD(M$3-21,12)=0),Assumptions!$B$152,0),Actuals!N21)</f>
        <v>-356297.666666667</v>
      </c>
      <c r="N203" s="13" t="n">
        <f aca="false">IF(ISBLANK(Actuals!O21),((-(SUMPRODUCT((Personnel!$O$9:$O$100="GC")*(Personnel!$G$9:$G$100="Yes")*(10&gt;=Personnel!$E$9:$E$100)*((Personnel!$K$9:$K$100="")+(10&lt;=Personnel!$K$9:$K$100)&gt;0)*Personnel!$D$9:$D$100*(1-Personnel!$H$9:$H$100))+Staffing!N81))*Escalation!$B$11)-IF(N$3=9,Assumptions!$B$151,0)-IF(AND(N$3&gt;=21,MOD(N$3-21,12)=0),Assumptions!$B$152,0),Actuals!O21)</f>
        <v>-270881</v>
      </c>
      <c r="O203" s="13" t="n">
        <f aca="false">IF(ISBLANK(Actuals!P21),((-(SUMPRODUCT((Personnel!$O$9:$O$100="GC")*(Personnel!$G$9:$G$100="Yes")*(11&gt;=Personnel!$E$9:$E$100)*((Personnel!$K$9:$K$100="")+(11&lt;=Personnel!$K$9:$K$100)&gt;0)*Personnel!$D$9:$D$100*(1-Personnel!$H$9:$H$100))+Staffing!O81))*Escalation!$B$12)-IF(O$3=9,Assumptions!$B$151,0)-IF(AND(O$3&gt;=21,MOD(O$3-21,12)=0),Assumptions!$B$152,0),Actuals!P21)</f>
        <v>-281297.666666667</v>
      </c>
      <c r="P203" s="13" t="n">
        <f aca="false">IF(ISBLANK(Actuals!Q21),((-(SUMPRODUCT((Personnel!$O$9:$O$100="GC")*(Personnel!$G$9:$G$100="Yes")*(12&gt;=Personnel!$E$9:$E$100)*((Personnel!$K$9:$K$100="")+(12&lt;=Personnel!$K$9:$K$100)&gt;0)*Personnel!$D$9:$D$100*(1-Personnel!$H$9:$H$100))+Staffing!P81))*Escalation!$B$13)-IF(P$3=9,Assumptions!$B$151,0)-IF(AND(P$3&gt;=21,MOD(P$3-21,12)=0),Assumptions!$B$152,0),Actuals!Q21)</f>
        <v>-281297.666666667</v>
      </c>
      <c r="Q203" s="13" t="n">
        <f aca="false">IF(ISBLANK(Actuals!R21),((-(SUMPRODUCT((Personnel!$O$9:$O$100="GC")*(Personnel!$G$9:$G$100="Yes")*(13&gt;=Personnel!$E$9:$E$100)*((Personnel!$K$9:$K$100="")+(13&lt;=Personnel!$K$9:$K$100)&gt;0)*Personnel!$D$9:$D$100*(1-Personnel!$H$9:$H$100))+Staffing!Q81))*Escalation!$B$14)-IF(Q$3=9,Assumptions!$B$151,0)-IF(AND(Q$3&gt;=21,MOD(Q$3-21,12)=0),Assumptions!$B$152,0),Actuals!R21)</f>
        <v>-294631</v>
      </c>
      <c r="R203" s="13" t="n">
        <f aca="false">IF(ISBLANK(Actuals!S21),((-(SUMPRODUCT((Personnel!$O$9:$O$100="GC")*(Personnel!$G$9:$G$100="Yes")*(14&gt;=Personnel!$E$9:$E$100)*((Personnel!$K$9:$K$100="")+(14&lt;=Personnel!$K$9:$K$100)&gt;0)*Personnel!$D$9:$D$100*(1-Personnel!$H$9:$H$100))+Staffing!R81))*Escalation!$B$15)-IF(R$3=9,Assumptions!$B$151,0)-IF(AND(R$3&gt;=21,MOD(R$3-21,12)=0),Assumptions!$B$152,0),Actuals!S21)</f>
        <v>-318381</v>
      </c>
      <c r="S203" s="13" t="n">
        <f aca="false">IF(ISBLANK(Actuals!T21),((-(SUMPRODUCT((Personnel!$O$9:$O$100="GC")*(Personnel!$G$9:$G$100="Yes")*(15&gt;=Personnel!$E$9:$E$100)*((Personnel!$K$9:$K$100="")+(15&lt;=Personnel!$K$9:$K$100)&gt;0)*Personnel!$D$9:$D$100*(1-Personnel!$H$9:$H$100))+Staffing!S81))*Escalation!$B$16)-IF(S$3=9,Assumptions!$B$151,0)-IF(AND(S$3&gt;=21,MOD(S$3-21,12)=0),Assumptions!$B$152,0),Actuals!T21)</f>
        <v>-366297.666666667</v>
      </c>
      <c r="T203" s="13" t="n">
        <f aca="false">IF(ISBLANK(Actuals!U21),((-(SUMPRODUCT((Personnel!$O$9:$O$100="GC")*(Personnel!$G$9:$G$100="Yes")*(16&gt;=Personnel!$E$9:$E$100)*((Personnel!$K$9:$K$100="")+(16&lt;=Personnel!$K$9:$K$100)&gt;0)*Personnel!$D$9:$D$100*(1-Personnel!$H$9:$H$100))+Staffing!T81))*Escalation!$B$17)-IF(T$3=9,Assumptions!$B$151,0)-IF(AND(T$3&gt;=21,MOD(T$3-21,12)=0),Assumptions!$B$152,0),Actuals!U21)</f>
        <v>-366297.666666667</v>
      </c>
      <c r="U203" s="13" t="n">
        <f aca="false">IF(ISBLANK(Actuals!V21),((-(SUMPRODUCT((Personnel!$O$9:$O$100="GC")*(Personnel!$G$9:$G$100="Yes")*(17&gt;=Personnel!$E$9:$E$100)*((Personnel!$K$9:$K$100="")+(17&lt;=Personnel!$K$9:$K$100)&gt;0)*Personnel!$D$9:$D$100*(1-Personnel!$H$9:$H$100))+Staffing!U81))*Escalation!$B$18)-IF(U$3=9,Assumptions!$B$151,0)-IF(AND(U$3&gt;=21,MOD(U$3-21,12)=0),Assumptions!$B$152,0),Actuals!V21)</f>
        <v>-366297.666666667</v>
      </c>
      <c r="V203" s="13" t="n">
        <f aca="false">IF(ISBLANK(Actuals!W21),((-(SUMPRODUCT((Personnel!$O$9:$O$100="GC")*(Personnel!$G$9:$G$100="Yes")*(18&gt;=Personnel!$E$9:$E$100)*((Personnel!$K$9:$K$100="")+(18&lt;=Personnel!$K$9:$K$100)&gt;0)*Personnel!$D$9:$D$100*(1-Personnel!$H$9:$H$100))+Staffing!V81))*Escalation!$B$19)-IF(V$3=9,Assumptions!$B$151,0)-IF(AND(V$3&gt;=21,MOD(V$3-21,12)=0),Assumptions!$B$152,0),Actuals!W21)</f>
        <v>-366297.666666667</v>
      </c>
      <c r="W203" s="13" t="n">
        <f aca="false">IF(ISBLANK(Actuals!X21),((-(SUMPRODUCT((Personnel!$O$9:$O$100="GC")*(Personnel!$G$9:$G$100="Yes")*(19&gt;=Personnel!$E$9:$E$100)*((Personnel!$K$9:$K$100="")+(19&lt;=Personnel!$K$9:$K$100)&gt;0)*Personnel!$D$9:$D$100*(1-Personnel!$H$9:$H$100))+Staffing!W81))*Escalation!$B$20)-IF(W$3=9,Assumptions!$B$151,0)-IF(AND(W$3&gt;=21,MOD(W$3-21,12)=0),Assumptions!$B$152,0),Actuals!X21)</f>
        <v>-412964.333333333</v>
      </c>
      <c r="X203" s="13" t="n">
        <f aca="false">IF(ISBLANK(Actuals!Y21),((-(SUMPRODUCT((Personnel!$O$9:$O$100="GC")*(Personnel!$G$9:$G$100="Yes")*(20&gt;=Personnel!$E$9:$E$100)*((Personnel!$K$9:$K$100="")+(20&lt;=Personnel!$K$9:$K$100)&gt;0)*Personnel!$D$9:$D$100*(1-Personnel!$H$9:$H$100))+Staffing!X81))*Escalation!$B$21)-IF(X$3=9,Assumptions!$B$151,0)-IF(AND(X$3&gt;=21,MOD(X$3-21,12)=0),Assumptions!$B$152,0),Actuals!Y21)</f>
        <v>-412964.333333333</v>
      </c>
      <c r="Y203" s="13" t="n">
        <f aca="false">IF(ISBLANK(Actuals!Z21),((-(SUMPRODUCT((Personnel!$O$9:$O$100="GC")*(Personnel!$G$9:$G$100="Yes")*(21&gt;=Personnel!$E$9:$E$100)*((Personnel!$K$9:$K$100="")+(21&lt;=Personnel!$K$9:$K$100)&gt;0)*Personnel!$D$9:$D$100*(1-Personnel!$H$9:$H$100))+Staffing!Y81))*Escalation!$B$22)-IF(Y$3=9,Assumptions!$B$151,0)-IF(AND(Y$3&gt;=21,MOD(Y$3-21,12)=0),Assumptions!$B$152,0),Actuals!Z21)</f>
        <v>-612964.333333333</v>
      </c>
      <c r="Z203" s="13" t="n">
        <f aca="false">IF(ISBLANK(Actuals!AA21),((-(SUMPRODUCT((Personnel!$O$9:$O$100="GC")*(Personnel!$G$9:$G$100="Yes")*(22&gt;=Personnel!$E$9:$E$100)*((Personnel!$K$9:$K$100="")+(22&lt;=Personnel!$K$9:$K$100)&gt;0)*Personnel!$D$9:$D$100*(1-Personnel!$H$9:$H$100))+Staffing!Z81))*Escalation!$B$23)-IF(Z$3=9,Assumptions!$B$151,0)-IF(AND(Z$3&gt;=21,MOD(Z$3-21,12)=0),Assumptions!$B$152,0),Actuals!AA21)</f>
        <v>-421223.62</v>
      </c>
      <c r="AA203" s="13" t="n">
        <f aca="false">IF(ISBLANK(Actuals!AB21),((-(SUMPRODUCT((Personnel!$O$9:$O$100="GC")*(Personnel!$G$9:$G$100="Yes")*(23&gt;=Personnel!$E$9:$E$100)*((Personnel!$K$9:$K$100="")+(23&lt;=Personnel!$K$9:$K$100)&gt;0)*Personnel!$D$9:$D$100*(1-Personnel!$H$9:$H$100))+Staffing!AA81))*Escalation!$B$24)-IF(AA$3=9,Assumptions!$B$151,0)-IF(AND(AA$3&gt;=21,MOD(AA$3-21,12)=0),Assumptions!$B$152,0),Actuals!AB21)</f>
        <v>-421223.62</v>
      </c>
      <c r="AB203" s="13" t="n">
        <f aca="false">IF(ISBLANK(Actuals!AC21),((-(SUMPRODUCT((Personnel!$O$9:$O$100="GC")*(Personnel!$G$9:$G$100="Yes")*(24&gt;=Personnel!$E$9:$E$100)*((Personnel!$K$9:$K$100="")+(24&lt;=Personnel!$K$9:$K$100)&gt;0)*Personnel!$D$9:$D$100*(1-Personnel!$H$9:$H$100))+Staffing!AB81))*Escalation!$B$25)-IF(AB$3=9,Assumptions!$B$151,0)-IF(AND(AB$3&gt;=21,MOD(AB$3-21,12)=0),Assumptions!$B$152,0),Actuals!AC21)</f>
        <v>-421223.62</v>
      </c>
      <c r="AC203" s="13" t="n">
        <f aca="false">IF(ISBLANK(Actuals!AD21),((-(SUMPRODUCT((Personnel!$O$9:$O$100="GC")*(Personnel!$G$9:$G$100="Yes")*(25&gt;=Personnel!$E$9:$E$100)*((Personnel!$K$9:$K$100="")+(25&lt;=Personnel!$K$9:$K$100)&gt;0)*Personnel!$D$9:$D$100*(1-Personnel!$H$9:$H$100))+Staffing!AC81))*Escalation!$B$26)-IF(AC$3=9,Assumptions!$B$151,0)-IF(AND(AC$3&gt;=21,MOD(AC$3-21,12)=0),Assumptions!$B$152,0),Actuals!AD21)</f>
        <v>-399548.62</v>
      </c>
      <c r="AD203" s="13" t="n">
        <f aca="false">IF(ISBLANK(Actuals!AE21),((-(SUMPRODUCT((Personnel!$O$9:$O$100="GC")*(Personnel!$G$9:$G$100="Yes")*(26&gt;=Personnel!$E$9:$E$100)*((Personnel!$K$9:$K$100="")+(26&lt;=Personnel!$K$9:$K$100)&gt;0)*Personnel!$D$9:$D$100*(1-Personnel!$H$9:$H$100))+Staffing!AD81))*Escalation!$B$27)-IF(AD$3=9,Assumptions!$B$151,0)-IF(AND(AD$3&gt;=21,MOD(AD$3-21,12)=0),Assumptions!$B$152,0),Actuals!AE21)</f>
        <v>-375323.62</v>
      </c>
      <c r="AE203" s="13" t="n">
        <f aca="false">IF(ISBLANK(Actuals!AF21),((-(SUMPRODUCT((Personnel!$O$9:$O$100="GC")*(Personnel!$G$9:$G$100="Yes")*(27&gt;=Personnel!$E$9:$E$100)*((Personnel!$K$9:$K$100="")+(27&lt;=Personnel!$K$9:$K$100)&gt;0)*Personnel!$D$9:$D$100*(1-Personnel!$H$9:$H$100))+Staffing!AE81))*Escalation!$B$28)-IF(AE$3=9,Assumptions!$B$151,0)-IF(AND(AE$3&gt;=21,MOD(AE$3-21,12)=0),Assumptions!$B$152,0),Actuals!AF21)</f>
        <v>-375323.62</v>
      </c>
      <c r="AF203" s="13" t="n">
        <f aca="false">IF(ISBLANK(Actuals!AG21),((-(SUMPRODUCT((Personnel!$O$9:$O$100="GC")*(Personnel!$G$9:$G$100="Yes")*(28&gt;=Personnel!$E$9:$E$100)*((Personnel!$K$9:$K$100="")+(28&lt;=Personnel!$K$9:$K$100)&gt;0)*Personnel!$D$9:$D$100*(1-Personnel!$H$9:$H$100))+Staffing!AF81))*Escalation!$B$29)-IF(AF$3=9,Assumptions!$B$151,0)-IF(AND(AF$3&gt;=21,MOD(AF$3-21,12)=0),Assumptions!$B$152,0),Actuals!AG21)</f>
        <v>-375323.62</v>
      </c>
      <c r="AG203" s="13" t="n">
        <f aca="false">IF(ISBLANK(Actuals!AH21),((-(SUMPRODUCT((Personnel!$O$9:$O$100="GC")*(Personnel!$G$9:$G$100="Yes")*(29&gt;=Personnel!$E$9:$E$100)*((Personnel!$K$9:$K$100="")+(29&lt;=Personnel!$K$9:$K$100)&gt;0)*Personnel!$D$9:$D$100*(1-Personnel!$H$9:$H$100))+Staffing!AG81))*Escalation!$B$30)-IF(AG$3=9,Assumptions!$B$151,0)-IF(AND(AG$3&gt;=21,MOD(AG$3-21,12)=0),Assumptions!$B$152,0),Actuals!AH21)</f>
        <v>-360023.62</v>
      </c>
      <c r="AH203" s="13" t="n">
        <f aca="false">IF(ISBLANK(Actuals!AI21),((-(SUMPRODUCT((Personnel!$O$9:$O$100="GC")*(Personnel!$G$9:$G$100="Yes")*(30&gt;=Personnel!$E$9:$E$100)*((Personnel!$K$9:$K$100="")+(30&lt;=Personnel!$K$9:$K$100)&gt;0)*Personnel!$D$9:$D$100*(1-Personnel!$H$9:$H$100))+Staffing!AH81))*Escalation!$B$31)-IF(AH$3=9,Assumptions!$B$151,0)-IF(AND(AH$3&gt;=21,MOD(AH$3-21,12)=0),Assumptions!$B$152,0),Actuals!AI21)</f>
        <v>-346423.62</v>
      </c>
      <c r="AI203" s="13" t="n">
        <f aca="false">IF(ISBLANK(Actuals!AJ21),((-(SUMPRODUCT((Personnel!$O$9:$O$100="GC")*(Personnel!$G$9:$G$100="Yes")*(31&gt;=Personnel!$E$9:$E$100)*((Personnel!$K$9:$K$100="")+(31&lt;=Personnel!$K$9:$K$100)&gt;0)*Personnel!$D$9:$D$100*(1-Personnel!$H$9:$H$100))+Staffing!AI81))*Escalation!$B$32)-IF(AI$3=9,Assumptions!$B$151,0)-IF(AND(AI$3&gt;=21,MOD(AI$3-21,12)=0),Assumptions!$B$152,0),Actuals!AJ21)</f>
        <v>-346423.62</v>
      </c>
      <c r="AJ203" s="13" t="n">
        <f aca="false">IF(ISBLANK(Actuals!AK21),((-(SUMPRODUCT((Personnel!$O$9:$O$100="GC")*(Personnel!$G$9:$G$100="Yes")*(32&gt;=Personnel!$E$9:$E$100)*((Personnel!$K$9:$K$100="")+(32&lt;=Personnel!$K$9:$K$100)&gt;0)*Personnel!$D$9:$D$100*(1-Personnel!$H$9:$H$100))+Staffing!AJ81))*Escalation!$B$33)-IF(AJ$3=9,Assumptions!$B$151,0)-IF(AND(AJ$3&gt;=21,MOD(AJ$3-21,12)=0),Assumptions!$B$152,0),Actuals!AK21)</f>
        <v>-346423.62</v>
      </c>
      <c r="AK203" s="13" t="n">
        <f aca="false">IF(ISBLANK(Actuals!AL21),((-(SUMPRODUCT((Personnel!$O$9:$O$100="GC")*(Personnel!$G$9:$G$100="Yes")*(33&gt;=Personnel!$E$9:$E$100)*((Personnel!$K$9:$K$100="")+(33&lt;=Personnel!$K$9:$K$100)&gt;0)*Personnel!$D$9:$D$100*(1-Personnel!$H$9:$H$100))+Staffing!AK81))*Escalation!$B$34)-IF(AK$3=9,Assumptions!$B$151,0)-IF(AND(AK$3&gt;=21,MOD(AK$3-21,12)=0),Assumptions!$B$152,0),Actuals!AL21)</f>
        <v>-546423.62</v>
      </c>
      <c r="AL203" s="13" t="n">
        <f aca="false">IF(ISBLANK(Actuals!AM21),((-(SUMPRODUCT((Personnel!$O$9:$O$100="GC")*(Personnel!$G$9:$G$100="Yes")*(34&gt;=Personnel!$E$9:$E$100)*((Personnel!$K$9:$K$100="")+(34&lt;=Personnel!$K$9:$K$100)&gt;0)*Personnel!$D$9:$D$100*(1-Personnel!$H$9:$H$100))+Staffing!AL81))*Escalation!$B$35)-IF(AL$3=9,Assumptions!$B$151,0)-IF(AND(AL$3&gt;=21,MOD(AL$3-21,12)=0),Assumptions!$B$152,0),Actuals!AM21)</f>
        <v>-353352.0924</v>
      </c>
      <c r="AM203" s="13" t="n">
        <f aca="false">IF(ISBLANK(Actuals!AN21),((-(SUMPRODUCT((Personnel!$O$9:$O$100="GC")*(Personnel!$G$9:$G$100="Yes")*(35&gt;=Personnel!$E$9:$E$100)*((Personnel!$K$9:$K$100="")+(35&lt;=Personnel!$K$9:$K$100)&gt;0)*Personnel!$D$9:$D$100*(1-Personnel!$H$9:$H$100))+Staffing!AM81))*Escalation!$B$36)-IF(AM$3=9,Assumptions!$B$151,0)-IF(AND(AM$3&gt;=21,MOD(AM$3-21,12)=0),Assumptions!$B$152,0),Actuals!AN21)</f>
        <v>-325608.0924</v>
      </c>
      <c r="AN203" s="13" t="n">
        <f aca="false">IF(ISBLANK(Actuals!AO21),((-(SUMPRODUCT((Personnel!$O$9:$O$100="GC")*(Personnel!$G$9:$G$100="Yes")*(36&gt;=Personnel!$E$9:$E$100)*((Personnel!$K$9:$K$100="")+(36&lt;=Personnel!$K$9:$K$100)&gt;0)*Personnel!$D$9:$D$100*(1-Personnel!$H$9:$H$100))+Staffing!AN81))*Escalation!$B$37)-IF(AN$3=9,Assumptions!$B$151,0)-IF(AND(AN$3&gt;=21,MOD(AN$3-21,12)=0),Assumptions!$B$152,0),Actuals!AO21)</f>
        <v>-314770.5924</v>
      </c>
      <c r="AO203" s="13" t="n">
        <f aca="false">IF(ISBLANK(Actuals!AP21),((-(SUMPRODUCT((Personnel!$O$9:$O$100="GC")*(Personnel!$G$9:$G$100="Yes")*(37&gt;=Personnel!$E$9:$E$100)*((Personnel!$K$9:$K$100="")+(37&lt;=Personnel!$K$9:$K$100)&gt;0)*Personnel!$D$9:$D$100*(1-Personnel!$H$9:$H$100))+Staffing!AO81))*Escalation!$B$38)-IF(AO$3=9,Assumptions!$B$151,0)-IF(AND(AO$3&gt;=21,MOD(AO$3-21,12)=0),Assumptions!$B$152,0),Actuals!AP21)</f>
        <v>-289627.5924</v>
      </c>
      <c r="AP203" s="13" t="n">
        <f aca="false">IF(ISBLANK(Actuals!AQ21),((-(SUMPRODUCT((Personnel!$O$9:$O$100="GC")*(Personnel!$G$9:$G$100="Yes")*(38&gt;=Personnel!$E$9:$E$100)*((Personnel!$K$9:$K$100="")+(38&lt;=Personnel!$K$9:$K$100)&gt;0)*Personnel!$D$9:$D$100*(1-Personnel!$H$9:$H$100))+Staffing!AP81))*Escalation!$B$39)-IF(AP$3=9,Assumptions!$B$151,0)-IF(AND(AP$3&gt;=21,MOD(AP$3-21,12)=0),Assumptions!$B$152,0),Actuals!AQ21)</f>
        <v>-289627.5924</v>
      </c>
      <c r="AQ203" s="13" t="n">
        <f aca="false">IF(ISBLANK(Actuals!AR21),((-(SUMPRODUCT((Personnel!$O$9:$O$100="GC")*(Personnel!$G$9:$G$100="Yes")*(39&gt;=Personnel!$E$9:$E$100)*((Personnel!$K$9:$K$100="")+(39&lt;=Personnel!$K$9:$K$100)&gt;0)*Personnel!$D$9:$D$100*(1-Personnel!$H$9:$H$100))+Staffing!AQ81))*Escalation!$B$40)-IF(AQ$3=9,Assumptions!$B$151,0)-IF(AND(AQ$3&gt;=21,MOD(AQ$3-21,12)=0),Assumptions!$B$152,0),Actuals!AR21)</f>
        <v>-278790.0924</v>
      </c>
      <c r="AR203" s="13" t="n">
        <f aca="false">IF(ISBLANK(Actuals!AS21),((-(SUMPRODUCT((Personnel!$O$9:$O$100="GC")*(Personnel!$G$9:$G$100="Yes")*(40&gt;=Personnel!$E$9:$E$100)*((Personnel!$K$9:$K$100="")+(40&lt;=Personnel!$K$9:$K$100)&gt;0)*Personnel!$D$9:$D$100*(1-Personnel!$H$9:$H$100))+Staffing!AR81))*Escalation!$B$41)-IF(AR$3=9,Assumptions!$B$151,0)-IF(AND(AR$3&gt;=21,MOD(AR$3-21,12)=0),Assumptions!$B$152,0),Actuals!AS21)</f>
        <v>-278790.0924</v>
      </c>
      <c r="AS203" s="13" t="n">
        <f aca="false">IF(ISBLANK(Actuals!AT21),((-(SUMPRODUCT((Personnel!$O$9:$O$100="GC")*(Personnel!$G$9:$G$100="Yes")*(41&gt;=Personnel!$E$9:$E$100)*((Personnel!$K$9:$K$100="")+(41&lt;=Personnel!$K$9:$K$100)&gt;0)*Personnel!$D$9:$D$100*(1-Personnel!$H$9:$H$100))+Staffing!AS81))*Escalation!$B$42)-IF(AS$3=9,Assumptions!$B$151,0)-IF(AND(AS$3&gt;=21,MOD(AS$3-21,12)=0),Assumptions!$B$152,0),Actuals!AT21)</f>
        <v>-278790.0924</v>
      </c>
      <c r="AT203" s="13" t="n">
        <f aca="false">IF(ISBLANK(Actuals!AU21),((-(SUMPRODUCT((Personnel!$O$9:$O$100="GC")*(Personnel!$G$9:$G$100="Yes")*(42&gt;=Personnel!$E$9:$E$100)*((Personnel!$K$9:$K$100="")+(42&lt;=Personnel!$K$9:$K$100)&gt;0)*Personnel!$D$9:$D$100*(1-Personnel!$H$9:$H$100))+Staffing!AT81))*Escalation!$B$43)-IF(AT$3=9,Assumptions!$B$151,0)-IF(AND(AT$3&gt;=21,MOD(AT$3-21,12)=0),Assumptions!$B$152,0),Actuals!AU21)</f>
        <v>-278790.0924</v>
      </c>
      <c r="AU203" s="13" t="n">
        <f aca="false">IF(ISBLANK(Actuals!AV21),((-(SUMPRODUCT((Personnel!$O$9:$O$100="GC")*(Personnel!$G$9:$G$100="Yes")*(43&gt;=Personnel!$E$9:$E$100)*((Personnel!$K$9:$K$100="")+(43&lt;=Personnel!$K$9:$K$100)&gt;0)*Personnel!$D$9:$D$100*(1-Personnel!$H$9:$H$100))+Staffing!AU81))*Escalation!$B$44)-IF(AU$3=9,Assumptions!$B$151,0)-IF(AND(AU$3&gt;=21,MOD(AU$3-21,12)=0),Assumptions!$B$152,0),Actuals!AV21)</f>
        <v>-267952.5924</v>
      </c>
      <c r="AV203" s="13" t="n">
        <f aca="false">IF(ISBLANK(Actuals!AW21),((-(SUMPRODUCT((Personnel!$O$9:$O$100="GC")*(Personnel!$G$9:$G$100="Yes")*(44&gt;=Personnel!$E$9:$E$100)*((Personnel!$K$9:$K$100="")+(44&lt;=Personnel!$K$9:$K$100)&gt;0)*Personnel!$D$9:$D$100*(1-Personnel!$H$9:$H$100))+Staffing!AV81))*Escalation!$B$45)-IF(AV$3=9,Assumptions!$B$151,0)-IF(AND(AV$3&gt;=21,MOD(AV$3-21,12)=0),Assumptions!$B$152,0),Actuals!AW21)</f>
        <v>-267952.5924</v>
      </c>
      <c r="AW203" s="13" t="n">
        <f aca="false">IF(ISBLANK(Actuals!AX21),((-(SUMPRODUCT((Personnel!$O$9:$O$100="GC")*(Personnel!$G$9:$G$100="Yes")*(45&gt;=Personnel!$E$9:$E$100)*((Personnel!$K$9:$K$100="")+(45&lt;=Personnel!$K$9:$K$100)&gt;0)*Personnel!$D$9:$D$100*(1-Personnel!$H$9:$H$100))+Staffing!AW81))*Escalation!$B$46)-IF(AW$3=9,Assumptions!$B$151,0)-IF(AND(AW$3&gt;=21,MOD(AW$3-21,12)=0),Assumptions!$B$152,0),Actuals!AX21)</f>
        <v>-467952.5924</v>
      </c>
      <c r="AX203" s="13" t="n">
        <f aca="false">IF(ISBLANK(Actuals!AY21),((-(SUMPRODUCT((Personnel!$O$9:$O$100="GC")*(Personnel!$G$9:$G$100="Yes")*(46&gt;=Personnel!$E$9:$E$100)*((Personnel!$K$9:$K$100="")+(46&lt;=Personnel!$K$9:$K$100)&gt;0)*Personnel!$D$9:$D$100*(1-Personnel!$H$9:$H$100))+Staffing!AX81))*Escalation!$B$47)-IF(AX$3=9,Assumptions!$B$151,0)-IF(AND(AX$3&gt;=21,MOD(AX$3-21,12)=0),Assumptions!$B$152,0),Actuals!AY21)</f>
        <v>-273311.644248</v>
      </c>
      <c r="AY203" s="13" t="n">
        <f aca="false">IF(ISBLANK(Actuals!AZ21),((-(SUMPRODUCT((Personnel!$O$9:$O$100="GC")*(Personnel!$G$9:$G$100="Yes")*(47&gt;=Personnel!$E$9:$E$100)*((Personnel!$K$9:$K$100="")+(47&lt;=Personnel!$K$9:$K$100)&gt;0)*Personnel!$D$9:$D$100*(1-Personnel!$H$9:$H$100))+Staffing!AY81))*Escalation!$B$48)-IF(AY$3=9,Assumptions!$B$151,0)-IF(AND(AY$3&gt;=21,MOD(AY$3-21,12)=0),Assumptions!$B$152,0),Actuals!AZ21)</f>
        <v>-273311.644248</v>
      </c>
      <c r="AZ203" s="13" t="n">
        <f aca="false">IF(ISBLANK(Actuals!BA21),((-(SUMPRODUCT((Personnel!$O$9:$O$100="GC")*(Personnel!$G$9:$G$100="Yes")*(48&gt;=Personnel!$E$9:$E$100)*((Personnel!$K$9:$K$100="")+(48&lt;=Personnel!$K$9:$K$100)&gt;0)*Personnel!$D$9:$D$100*(1-Personnel!$H$9:$H$100))+Staffing!AZ81))*Escalation!$B$49)-IF(AZ$3=9,Assumptions!$B$151,0)-IF(AND(AZ$3&gt;=21,MOD(AZ$3-21,12)=0),Assumptions!$B$152,0),Actuals!BA21)</f>
        <v>-273311.644248</v>
      </c>
      <c r="BA203" s="13" t="n">
        <f aca="false">IF(ISBLANK(Actuals!BB21),((-(SUMPRODUCT((Personnel!$O$9:$O$100="GC")*(Personnel!$G$9:$G$100="Yes")*(49&gt;=Personnel!$E$9:$E$100)*((Personnel!$K$9:$K$100="")+(49&lt;=Personnel!$K$9:$K$100)&gt;0)*Personnel!$D$9:$D$100*(1-Personnel!$H$9:$H$100))+Staffing!BA81))*Escalation!$B$50)-IF(BA$3=9,Assumptions!$B$151,0)-IF(AND(BA$3&gt;=21,MOD(BA$3-21,12)=0),Assumptions!$B$152,0),Actuals!BB21)</f>
        <v>-273311.644248</v>
      </c>
      <c r="BB203" s="13" t="n">
        <f aca="false">IF(ISBLANK(Actuals!BC21),((-(SUMPRODUCT((Personnel!$O$9:$O$100="GC")*(Personnel!$G$9:$G$100="Yes")*(50&gt;=Personnel!$E$9:$E$100)*((Personnel!$K$9:$K$100="")+(50&lt;=Personnel!$K$9:$K$100)&gt;0)*Personnel!$D$9:$D$100*(1-Personnel!$H$9:$H$100))+Staffing!BB81))*Escalation!$B$51)-IF(BB$3=9,Assumptions!$B$151,0)-IF(AND(BB$3&gt;=21,MOD(BB$3-21,12)=0),Assumptions!$B$152,0),Actuals!BC21)</f>
        <v>-273311.644248</v>
      </c>
      <c r="BC203" s="13" t="n">
        <f aca="false">IF(ISBLANK(Actuals!BD21),((-(SUMPRODUCT((Personnel!$O$9:$O$100="GC")*(Personnel!$G$9:$G$100="Yes")*(51&gt;=Personnel!$E$9:$E$100)*((Personnel!$K$9:$K$100="")+(51&lt;=Personnel!$K$9:$K$100)&gt;0)*Personnel!$D$9:$D$100*(1-Personnel!$H$9:$H$100))+Staffing!BC81))*Escalation!$B$52)-IF(BC$3=9,Assumptions!$B$151,0)-IF(AND(BC$3&gt;=21,MOD(BC$3-21,12)=0),Assumptions!$B$152,0),Actuals!BD21)</f>
        <v>-273311.644248</v>
      </c>
      <c r="BD203" s="13" t="n">
        <f aca="false">IF(ISBLANK(Actuals!BE21),((-(SUMPRODUCT((Personnel!$O$9:$O$100="GC")*(Personnel!$G$9:$G$100="Yes")*(52&gt;=Personnel!$E$9:$E$100)*((Personnel!$K$9:$K$100="")+(52&lt;=Personnel!$K$9:$K$100)&gt;0)*Personnel!$D$9:$D$100*(1-Personnel!$H$9:$H$100))+Staffing!BD81))*Escalation!$B$53)-IF(BD$3=9,Assumptions!$B$151,0)-IF(AND(BD$3&gt;=21,MOD(BD$3-21,12)=0),Assumptions!$B$152,0),Actuals!BE21)</f>
        <v>-273311.644248</v>
      </c>
      <c r="BE203" s="13" t="n">
        <f aca="false">IF(ISBLANK(Actuals!BF21),((-(SUMPRODUCT((Personnel!$O$9:$O$100="GC")*(Personnel!$G$9:$G$100="Yes")*(53&gt;=Personnel!$E$9:$E$100)*((Personnel!$K$9:$K$100="")+(53&lt;=Personnel!$K$9:$K$100)&gt;0)*Personnel!$D$9:$D$100*(1-Personnel!$H$9:$H$100))+Staffing!BE81))*Escalation!$B$54)-IF(BE$3=9,Assumptions!$B$151,0)-IF(AND(BE$3&gt;=21,MOD(BE$3-21,12)=0),Assumptions!$B$152,0),Actuals!BF21)</f>
        <v>-273311.644248</v>
      </c>
      <c r="BF203" s="13" t="n">
        <f aca="false">IF(ISBLANK(Actuals!BG21),((-(SUMPRODUCT((Personnel!$O$9:$O$100="GC")*(Personnel!$G$9:$G$100="Yes")*(54&gt;=Personnel!$E$9:$E$100)*((Personnel!$K$9:$K$100="")+(54&lt;=Personnel!$K$9:$K$100)&gt;0)*Personnel!$D$9:$D$100*(1-Personnel!$H$9:$H$100))+Staffing!BF81))*Escalation!$B$55)-IF(BF$3=9,Assumptions!$B$151,0)-IF(AND(BF$3&gt;=21,MOD(BF$3-21,12)=0),Assumptions!$B$152,0),Actuals!BG21)</f>
        <v>-273311.644248</v>
      </c>
      <c r="BG203" s="13" t="n">
        <f aca="false">IF(ISBLANK(Actuals!BH21),((-(SUMPRODUCT((Personnel!$O$9:$O$100="GC")*(Personnel!$G$9:$G$100="Yes")*(55&gt;=Personnel!$E$9:$E$100)*((Personnel!$K$9:$K$100="")+(55&lt;=Personnel!$K$9:$K$100)&gt;0)*Personnel!$D$9:$D$100*(1-Personnel!$H$9:$H$100))+Staffing!BG81))*Escalation!$B$56)-IF(BG$3=9,Assumptions!$B$151,0)-IF(AND(BG$3&gt;=21,MOD(BG$3-21,12)=0),Assumptions!$B$152,0),Actuals!BH21)</f>
        <v>-273311.644248</v>
      </c>
      <c r="BH203" s="13" t="n">
        <f aca="false">IF(ISBLANK(Actuals!BI21),((-(SUMPRODUCT((Personnel!$O$9:$O$100="GC")*(Personnel!$G$9:$G$100="Yes")*(56&gt;=Personnel!$E$9:$E$100)*((Personnel!$K$9:$K$100="")+(56&lt;=Personnel!$K$9:$K$100)&gt;0)*Personnel!$D$9:$D$100*(1-Personnel!$H$9:$H$100))+Staffing!BH81))*Escalation!$B$57)-IF(BH$3=9,Assumptions!$B$151,0)-IF(AND(BH$3&gt;=21,MOD(BH$3-21,12)=0),Assumptions!$B$152,0),Actuals!BI21)</f>
        <v>-273311.644248</v>
      </c>
      <c r="BI203" s="13" t="n">
        <f aca="false">IF(ISBLANK(Actuals!BJ21),((-(SUMPRODUCT((Personnel!$O$9:$O$100="GC")*(Personnel!$G$9:$G$100="Yes")*(57&gt;=Personnel!$E$9:$E$100)*((Personnel!$K$9:$K$100="")+(57&lt;=Personnel!$K$9:$K$100)&gt;0)*Personnel!$D$9:$D$100*(1-Personnel!$H$9:$H$100))+Staffing!BI81))*Escalation!$B$58)-IF(BI$3=9,Assumptions!$B$151,0)-IF(AND(BI$3&gt;=21,MOD(BI$3-21,12)=0),Assumptions!$B$152,0),Actuals!BJ21)</f>
        <v>-473311.644248</v>
      </c>
      <c r="BJ203" s="13" t="n">
        <f aca="false">IF(ISBLANK(Actuals!BK21),((-(SUMPRODUCT((Personnel!$O$9:$O$100="GC")*(Personnel!$G$9:$G$100="Yes")*(58&gt;=Personnel!$E$9:$E$100)*((Personnel!$K$9:$K$100="")+(58&lt;=Personnel!$K$9:$K$100)&gt;0)*Personnel!$D$9:$D$100*(1-Personnel!$H$9:$H$100))+Staffing!BJ81))*Escalation!$B$59)-IF(BJ$3=9,Assumptions!$B$151,0)-IF(AND(BJ$3&gt;=21,MOD(BJ$3-21,12)=0),Assumptions!$B$152,0),Actuals!BK21)</f>
        <v>-278777.87713296</v>
      </c>
      <c r="BK203" s="13" t="n">
        <f aca="false">IF(ISBLANK(Actuals!BL21),((-(SUMPRODUCT((Personnel!$O$9:$O$100="GC")*(Personnel!$G$9:$G$100="Yes")*(59&gt;=Personnel!$E$9:$E$100)*((Personnel!$K$9:$K$100="")+(59&lt;=Personnel!$K$9:$K$100)&gt;0)*Personnel!$D$9:$D$100*(1-Personnel!$H$9:$H$100))+Staffing!BK81))*Escalation!$B$60)-IF(BK$3=9,Assumptions!$B$151,0)-IF(AND(BK$3&gt;=21,MOD(BK$3-21,12)=0),Assumptions!$B$152,0),Actuals!BL21)</f>
        <v>-278777.87713296</v>
      </c>
      <c r="BL203" s="13" t="n">
        <f aca="false">IF(ISBLANK(Actuals!BM21),((-(SUMPRODUCT((Personnel!$O$9:$O$100="GC")*(Personnel!$G$9:$G$100="Yes")*(60&gt;=Personnel!$E$9:$E$100)*((Personnel!$K$9:$K$100="")+(60&lt;=Personnel!$K$9:$K$100)&gt;0)*Personnel!$D$9:$D$100*(1-Personnel!$H$9:$H$100))+Staffing!BL81))*Escalation!$B$61)-IF(BL$3=9,Assumptions!$B$151,0)-IF(AND(BL$3&gt;=21,MOD(BL$3-21,12)=0),Assumptions!$B$152,0),Actuals!BM21)</f>
        <v>-278777.87713296</v>
      </c>
      <c r="BM203" s="13" t="n">
        <f aca="false">IF(ISBLANK(Actuals!BN21),((-(SUMPRODUCT((Personnel!$O$9:$O$100="GC")*(Personnel!$G$9:$G$100="Yes")*(61&gt;=Personnel!$E$9:$E$100)*((Personnel!$K$9:$K$100="")+(61&lt;=Personnel!$K$9:$K$100)&gt;0)*Personnel!$D$9:$D$100*(1-Personnel!$H$9:$H$100))+Staffing!BM81))*Escalation!$B$62)-IF(BM$3=9,Assumptions!$B$151,0)-IF(AND(BM$3&gt;=21,MOD(BM$3-21,12)=0),Assumptions!$B$152,0),Actuals!BN21)</f>
        <v>-278777.87713296</v>
      </c>
      <c r="BN203" s="13" t="n">
        <f aca="false">IF(ISBLANK(Actuals!BO21),((-(SUMPRODUCT((Personnel!$O$9:$O$100="GC")*(Personnel!$G$9:$G$100="Yes")*(62&gt;=Personnel!$E$9:$E$100)*((Personnel!$K$9:$K$100="")+(62&lt;=Personnel!$K$9:$K$100)&gt;0)*Personnel!$D$9:$D$100*(1-Personnel!$H$9:$H$100))+Staffing!BN81))*Escalation!$B$63)-IF(BN$3=9,Assumptions!$B$151,0)-IF(AND(BN$3&gt;=21,MOD(BN$3-21,12)=0),Assumptions!$B$152,0),Actuals!BO21)</f>
        <v>-278777.87713296</v>
      </c>
      <c r="BO203" s="13" t="n">
        <f aca="false">IF(ISBLANK(Actuals!BP21),((-(SUMPRODUCT((Personnel!$O$9:$O$100="GC")*(Personnel!$G$9:$G$100="Yes")*(63&gt;=Personnel!$E$9:$E$100)*((Personnel!$K$9:$K$100="")+(63&lt;=Personnel!$K$9:$K$100)&gt;0)*Personnel!$D$9:$D$100*(1-Personnel!$H$9:$H$100))+Staffing!BO81))*Escalation!$B$64)-IF(BO$3=9,Assumptions!$B$151,0)-IF(AND(BO$3&gt;=21,MOD(BO$3-21,12)=0),Assumptions!$B$152,0),Actuals!BP21)</f>
        <v>-278777.87713296</v>
      </c>
      <c r="BP203" s="13" t="n">
        <f aca="false">IF(ISBLANK(Actuals!BQ21),((-(SUMPRODUCT((Personnel!$O$9:$O$100="GC")*(Personnel!$G$9:$G$100="Yes")*(64&gt;=Personnel!$E$9:$E$100)*((Personnel!$K$9:$K$100="")+(64&lt;=Personnel!$K$9:$K$100)&gt;0)*Personnel!$D$9:$D$100*(1-Personnel!$H$9:$H$100))+Staffing!BP81))*Escalation!$B$65)-IF(BP$3=9,Assumptions!$B$151,0)-IF(AND(BP$3&gt;=21,MOD(BP$3-21,12)=0),Assumptions!$B$152,0),Actuals!BQ21)</f>
        <v>-278777.87713296</v>
      </c>
      <c r="BQ203" s="13" t="n">
        <f aca="false">IF(ISBLANK(Actuals!BR21),((-(SUMPRODUCT((Personnel!$O$9:$O$100="GC")*(Personnel!$G$9:$G$100="Yes")*(65&gt;=Personnel!$E$9:$E$100)*((Personnel!$K$9:$K$100="")+(65&lt;=Personnel!$K$9:$K$100)&gt;0)*Personnel!$D$9:$D$100*(1-Personnel!$H$9:$H$100))+Staffing!BQ81))*Escalation!$B$66)-IF(BQ$3=9,Assumptions!$B$151,0)-IF(AND(BQ$3&gt;=21,MOD(BQ$3-21,12)=0),Assumptions!$B$152,0),Actuals!BR21)</f>
        <v>-278777.87713296</v>
      </c>
      <c r="BR203" s="13" t="n">
        <f aca="false">IF(ISBLANK(Actuals!BS21),((-(SUMPRODUCT((Personnel!$O$9:$O$100="GC")*(Personnel!$G$9:$G$100="Yes")*(66&gt;=Personnel!$E$9:$E$100)*((Personnel!$K$9:$K$100="")+(66&lt;=Personnel!$K$9:$K$100)&gt;0)*Personnel!$D$9:$D$100*(1-Personnel!$H$9:$H$100))+Staffing!BR81))*Escalation!$B$67)-IF(BR$3=9,Assumptions!$B$151,0)-IF(AND(BR$3&gt;=21,MOD(BR$3-21,12)=0),Assumptions!$B$152,0),Actuals!BS21)</f>
        <v>-278777.87713296</v>
      </c>
      <c r="BS203" s="13" t="n">
        <f aca="false">IF(ISBLANK(Actuals!BT21),((-(SUMPRODUCT((Personnel!$O$9:$O$100="GC")*(Personnel!$G$9:$G$100="Yes")*(67&gt;=Personnel!$E$9:$E$100)*((Personnel!$K$9:$K$100="")+(67&lt;=Personnel!$K$9:$K$100)&gt;0)*Personnel!$D$9:$D$100*(1-Personnel!$H$9:$H$100))+Staffing!BS81))*Escalation!$B$68)-IF(BS$3=9,Assumptions!$B$151,0)-IF(AND(BS$3&gt;=21,MOD(BS$3-21,12)=0),Assumptions!$B$152,0),Actuals!BT21)</f>
        <v>-278777.87713296</v>
      </c>
      <c r="BT203" s="13" t="n">
        <f aca="false">IF(ISBLANK(Actuals!BU21),((-(SUMPRODUCT((Personnel!$O$9:$O$100="GC")*(Personnel!$G$9:$G$100="Yes")*(68&gt;=Personnel!$E$9:$E$100)*((Personnel!$K$9:$K$100="")+(68&lt;=Personnel!$K$9:$K$100)&gt;0)*Personnel!$D$9:$D$100*(1-Personnel!$H$9:$H$100))+Staffing!BT81))*Escalation!$B$69)-IF(BT$3=9,Assumptions!$B$151,0)-IF(AND(BT$3&gt;=21,MOD(BT$3-21,12)=0),Assumptions!$B$152,0),Actuals!BU21)</f>
        <v>-278777.87713296</v>
      </c>
      <c r="BU203" s="13" t="n">
        <f aca="false">IF(ISBLANK(Actuals!BV21),((-(SUMPRODUCT((Personnel!$O$9:$O$100="GC")*(Personnel!$G$9:$G$100="Yes")*(69&gt;=Personnel!$E$9:$E$100)*((Personnel!$K$9:$K$100="")+(69&lt;=Personnel!$K$9:$K$100)&gt;0)*Personnel!$D$9:$D$100*(1-Personnel!$H$9:$H$100))+Staffing!BU81))*Escalation!$B$70)-IF(BU$3=9,Assumptions!$B$151,0)-IF(AND(BU$3&gt;=21,MOD(BU$3-21,12)=0),Assumptions!$B$152,0),Actuals!BV21)</f>
        <v>-478777.87713296</v>
      </c>
      <c r="BV203" s="13" t="n">
        <f aca="false">IF(ISBLANK(Actuals!BW21),((-(SUMPRODUCT((Personnel!$O$9:$O$100="GC")*(Personnel!$G$9:$G$100="Yes")*(70&gt;=Personnel!$E$9:$E$100)*((Personnel!$K$9:$K$100="")+(70&lt;=Personnel!$K$9:$K$100)&gt;0)*Personnel!$D$9:$D$100*(1-Personnel!$H$9:$H$100))+Staffing!BV81))*Escalation!$B$71)-IF(BV$3=9,Assumptions!$B$151,0)-IF(AND(BV$3&gt;=21,MOD(BV$3-21,12)=0),Assumptions!$B$152,0),Actuals!BW21)</f>
        <v>-284353.434675619</v>
      </c>
      <c r="BW203" s="13" t="n">
        <f aca="false">IF(ISBLANK(Actuals!BX21),((-(SUMPRODUCT((Personnel!$O$9:$O$100="GC")*(Personnel!$G$9:$G$100="Yes")*(71&gt;=Personnel!$E$9:$E$100)*((Personnel!$K$9:$K$100="")+(71&lt;=Personnel!$K$9:$K$100)&gt;0)*Personnel!$D$9:$D$100*(1-Personnel!$H$9:$H$100))+Staffing!BW81))*Escalation!$B$72)-IF(BW$3=9,Assumptions!$B$151,0)-IF(AND(BW$3&gt;=21,MOD(BW$3-21,12)=0),Assumptions!$B$152,0),Actuals!BX21)</f>
        <v>-284353.434675619</v>
      </c>
      <c r="BX203" s="13" t="n">
        <f aca="false">IF(ISBLANK(Actuals!BY21),((-(SUMPRODUCT((Personnel!$O$9:$O$100="GC")*(Personnel!$G$9:$G$100="Yes")*(72&gt;=Personnel!$E$9:$E$100)*((Personnel!$K$9:$K$100="")+(72&lt;=Personnel!$K$9:$K$100)&gt;0)*Personnel!$D$9:$D$100*(1-Personnel!$H$9:$H$100))+Staffing!BX81))*Escalation!$B$73)-IF(BX$3=9,Assumptions!$B$151,0)-IF(AND(BX$3&gt;=21,MOD(BX$3-21,12)=0),Assumptions!$B$152,0),Actuals!BY21)</f>
        <v>-284353.434675619</v>
      </c>
      <c r="BY203" s="13" t="n">
        <f aca="false">IF(ISBLANK(Actuals!BZ21),((-(SUMPRODUCT((Personnel!$O$9:$O$100="GC")*(Personnel!$G$9:$G$100="Yes")*(73&gt;=Personnel!$E$9:$E$100)*((Personnel!$K$9:$K$100="")+(73&lt;=Personnel!$K$9:$K$100)&gt;0)*Personnel!$D$9:$D$100*(1-Personnel!$H$9:$H$100))+Staffing!BY81))*Escalation!$B$74)-IF(BY$3=9,Assumptions!$B$151,0)-IF(AND(BY$3&gt;=21,MOD(BY$3-21,12)=0),Assumptions!$B$152,0),Actuals!BZ21)</f>
        <v>-284353.434675619</v>
      </c>
      <c r="BZ203" s="13" t="n">
        <f aca="false">IF(ISBLANK(Actuals!CA21),((-(SUMPRODUCT((Personnel!$O$9:$O$100="GC")*(Personnel!$G$9:$G$100="Yes")*(74&gt;=Personnel!$E$9:$E$100)*((Personnel!$K$9:$K$100="")+(74&lt;=Personnel!$K$9:$K$100)&gt;0)*Personnel!$D$9:$D$100*(1-Personnel!$H$9:$H$100))+Staffing!BZ81))*Escalation!$B$75)-IF(BZ$3=9,Assumptions!$B$151,0)-IF(AND(BZ$3&gt;=21,MOD(BZ$3-21,12)=0),Assumptions!$B$152,0),Actuals!CA21)</f>
        <v>-284353.434675619</v>
      </c>
      <c r="CA203" s="13" t="n">
        <f aca="false">IF(ISBLANK(Actuals!CB21),((-(SUMPRODUCT((Personnel!$O$9:$O$100="GC")*(Personnel!$G$9:$G$100="Yes")*(75&gt;=Personnel!$E$9:$E$100)*((Personnel!$K$9:$K$100="")+(75&lt;=Personnel!$K$9:$K$100)&gt;0)*Personnel!$D$9:$D$100*(1-Personnel!$H$9:$H$100))+Staffing!CA81))*Escalation!$B$76)-IF(CA$3=9,Assumptions!$B$151,0)-IF(AND(CA$3&gt;=21,MOD(CA$3-21,12)=0),Assumptions!$B$152,0),Actuals!CB21)</f>
        <v>-284353.434675619</v>
      </c>
      <c r="CB203" s="13" t="n">
        <f aca="false">IF(ISBLANK(Actuals!CC21),((-(SUMPRODUCT((Personnel!$O$9:$O$100="GC")*(Personnel!$G$9:$G$100="Yes")*(76&gt;=Personnel!$E$9:$E$100)*((Personnel!$K$9:$K$100="")+(76&lt;=Personnel!$K$9:$K$100)&gt;0)*Personnel!$D$9:$D$100*(1-Personnel!$H$9:$H$100))+Staffing!CB81))*Escalation!$B$77)-IF(CB$3=9,Assumptions!$B$151,0)-IF(AND(CB$3&gt;=21,MOD(CB$3-21,12)=0),Assumptions!$B$152,0),Actuals!CC21)</f>
        <v>-284353.434675619</v>
      </c>
      <c r="CC203" s="13" t="n">
        <f aca="false">IF(ISBLANK(Actuals!CD21),((-(SUMPRODUCT((Personnel!$O$9:$O$100="GC")*(Personnel!$G$9:$G$100="Yes")*(77&gt;=Personnel!$E$9:$E$100)*((Personnel!$K$9:$K$100="")+(77&lt;=Personnel!$K$9:$K$100)&gt;0)*Personnel!$D$9:$D$100*(1-Personnel!$H$9:$H$100))+Staffing!CC81))*Escalation!$B$78)-IF(CC$3=9,Assumptions!$B$151,0)-IF(AND(CC$3&gt;=21,MOD(CC$3-21,12)=0),Assumptions!$B$152,0),Actuals!CD21)</f>
        <v>-284353.434675619</v>
      </c>
      <c r="CD203" s="13" t="n">
        <f aca="false">IF(ISBLANK(Actuals!CE21),((-(SUMPRODUCT((Personnel!$O$9:$O$100="GC")*(Personnel!$G$9:$G$100="Yes")*(78&gt;=Personnel!$E$9:$E$100)*((Personnel!$K$9:$K$100="")+(78&lt;=Personnel!$K$9:$K$100)&gt;0)*Personnel!$D$9:$D$100*(1-Personnel!$H$9:$H$100))+Staffing!CD81))*Escalation!$B$79)-IF(CD$3=9,Assumptions!$B$151,0)-IF(AND(CD$3&gt;=21,MOD(CD$3-21,12)=0),Assumptions!$B$152,0),Actuals!CE21)</f>
        <v>-284353.434675619</v>
      </c>
      <c r="CE203" s="13" t="n">
        <f aca="false">IF(ISBLANK(Actuals!CF21),((-(SUMPRODUCT((Personnel!$O$9:$O$100="GC")*(Personnel!$G$9:$G$100="Yes")*(79&gt;=Personnel!$E$9:$E$100)*((Personnel!$K$9:$K$100="")+(79&lt;=Personnel!$K$9:$K$100)&gt;0)*Personnel!$D$9:$D$100*(1-Personnel!$H$9:$H$100))+Staffing!CE81))*Escalation!$B$80)-IF(CE$3=9,Assumptions!$B$151,0)-IF(AND(CE$3&gt;=21,MOD(CE$3-21,12)=0),Assumptions!$B$152,0),Actuals!CF21)</f>
        <v>-284353.434675619</v>
      </c>
      <c r="CF203" s="13" t="n">
        <f aca="false">IF(ISBLANK(Actuals!CG21),((-(SUMPRODUCT((Personnel!$O$9:$O$100="GC")*(Personnel!$G$9:$G$100="Yes")*(80&gt;=Personnel!$E$9:$E$100)*((Personnel!$K$9:$K$100="")+(80&lt;=Personnel!$K$9:$K$100)&gt;0)*Personnel!$D$9:$D$100*(1-Personnel!$H$9:$H$100))+Staffing!CF81))*Escalation!$B$81)-IF(CF$3=9,Assumptions!$B$151,0)-IF(AND(CF$3&gt;=21,MOD(CF$3-21,12)=0),Assumptions!$B$152,0),Actuals!CG21)</f>
        <v>-284353.434675619</v>
      </c>
      <c r="CG203" s="13" t="n">
        <f aca="false">IF(ISBLANK(Actuals!CH21),((-(SUMPRODUCT((Personnel!$O$9:$O$100="GC")*(Personnel!$G$9:$G$100="Yes")*(81&gt;=Personnel!$E$9:$E$100)*((Personnel!$K$9:$K$100="")+(81&lt;=Personnel!$K$9:$K$100)&gt;0)*Personnel!$D$9:$D$100*(1-Personnel!$H$9:$H$100))+Staffing!CG81))*Escalation!$B$82)-IF(CG$3=9,Assumptions!$B$151,0)-IF(AND(CG$3&gt;=21,MOD(CG$3-21,12)=0),Assumptions!$B$152,0),Actuals!CH21)</f>
        <v>-484353.434675619</v>
      </c>
      <c r="CH203" s="13" t="n">
        <f aca="false">IF(ISBLANK(Actuals!CI21),((-(SUMPRODUCT((Personnel!$O$9:$O$100="GC")*(Personnel!$G$9:$G$100="Yes")*(82&gt;=Personnel!$E$9:$E$100)*((Personnel!$K$9:$K$100="")+(82&lt;=Personnel!$K$9:$K$100)&gt;0)*Personnel!$D$9:$D$100*(1-Personnel!$H$9:$H$100))+Staffing!CH81))*Escalation!$B$83)-IF(CH$3=9,Assumptions!$B$151,0)-IF(AND(CH$3&gt;=21,MOD(CH$3-21,12)=0),Assumptions!$B$152,0),Actuals!CI21)</f>
        <v>-290040.503369132</v>
      </c>
      <c r="CI203" s="13" t="n">
        <f aca="false">IF(ISBLANK(Actuals!CJ21),((-(SUMPRODUCT((Personnel!$O$9:$O$100="GC")*(Personnel!$G$9:$G$100="Yes")*(83&gt;=Personnel!$E$9:$E$100)*((Personnel!$K$9:$K$100="")+(83&lt;=Personnel!$K$9:$K$100)&gt;0)*Personnel!$D$9:$D$100*(1-Personnel!$H$9:$H$100))+Staffing!CI81))*Escalation!$B$84)-IF(CI$3=9,Assumptions!$B$151,0)-IF(AND(CI$3&gt;=21,MOD(CI$3-21,12)=0),Assumptions!$B$152,0),Actuals!CJ21)</f>
        <v>-290040.503369132</v>
      </c>
      <c r="CJ203" s="13" t="n">
        <f aca="false">IF(ISBLANK(Actuals!CK21),((-(SUMPRODUCT((Personnel!$O$9:$O$100="GC")*(Personnel!$G$9:$G$100="Yes")*(84&gt;=Personnel!$E$9:$E$100)*((Personnel!$K$9:$K$100="")+(84&lt;=Personnel!$K$9:$K$100)&gt;0)*Personnel!$D$9:$D$100*(1-Personnel!$H$9:$H$100))+Staffing!CJ81))*Escalation!$B$85)-IF(CJ$3=9,Assumptions!$B$151,0)-IF(AND(CJ$3&gt;=21,MOD(CJ$3-21,12)=0),Assumptions!$B$152,0),Actuals!CK21)</f>
        <v>-290040.503369132</v>
      </c>
      <c r="CK203" s="13" t="n">
        <f aca="false">IF(ISBLANK(Actuals!CL21),((-(SUMPRODUCT((Personnel!$O$9:$O$100="GC")*(Personnel!$G$9:$G$100="Yes")*(85&gt;=Personnel!$E$9:$E$100)*((Personnel!$K$9:$K$100="")+(85&lt;=Personnel!$K$9:$K$100)&gt;0)*Personnel!$D$9:$D$100*(1-Personnel!$H$9:$H$100))+Staffing!CK81))*Escalation!$B$86)-IF(CK$3=9,Assumptions!$B$151,0)-IF(AND(CK$3&gt;=21,MOD(CK$3-21,12)=0),Assumptions!$B$152,0),Actuals!CL21)</f>
        <v>-290040.503369132</v>
      </c>
      <c r="CL203" s="13" t="n">
        <f aca="false">IF(ISBLANK(Actuals!CM21),((-(SUMPRODUCT((Personnel!$O$9:$O$100="GC")*(Personnel!$G$9:$G$100="Yes")*(86&gt;=Personnel!$E$9:$E$100)*((Personnel!$K$9:$K$100="")+(86&lt;=Personnel!$K$9:$K$100)&gt;0)*Personnel!$D$9:$D$100*(1-Personnel!$H$9:$H$100))+Staffing!CL81))*Escalation!$B$87)-IF(CL$3=9,Assumptions!$B$151,0)-IF(AND(CL$3&gt;=21,MOD(CL$3-21,12)=0),Assumptions!$B$152,0),Actuals!CM21)</f>
        <v>-290040.503369132</v>
      </c>
      <c r="CM203" s="13" t="n">
        <f aca="false">IF(ISBLANK(Actuals!CN21),((-(SUMPRODUCT((Personnel!$O$9:$O$100="GC")*(Personnel!$G$9:$G$100="Yes")*(87&gt;=Personnel!$E$9:$E$100)*((Personnel!$K$9:$K$100="")+(87&lt;=Personnel!$K$9:$K$100)&gt;0)*Personnel!$D$9:$D$100*(1-Personnel!$H$9:$H$100))+Staffing!CM81))*Escalation!$B$88)-IF(CM$3=9,Assumptions!$B$151,0)-IF(AND(CM$3&gt;=21,MOD(CM$3-21,12)=0),Assumptions!$B$152,0),Actuals!CN21)</f>
        <v>-290040.503369132</v>
      </c>
      <c r="CN203" s="13" t="n">
        <f aca="false">IF(ISBLANK(Actuals!CO21),((-(SUMPRODUCT((Personnel!$O$9:$O$100="GC")*(Personnel!$G$9:$G$100="Yes")*(88&gt;=Personnel!$E$9:$E$100)*((Personnel!$K$9:$K$100="")+(88&lt;=Personnel!$K$9:$K$100)&gt;0)*Personnel!$D$9:$D$100*(1-Personnel!$H$9:$H$100))+Staffing!CN81))*Escalation!$B$89)-IF(CN$3=9,Assumptions!$B$151,0)-IF(AND(CN$3&gt;=21,MOD(CN$3-21,12)=0),Assumptions!$B$152,0),Actuals!CO21)</f>
        <v>-290040.503369132</v>
      </c>
      <c r="CO203" s="13" t="n">
        <f aca="false">IF(ISBLANK(Actuals!CP21),((-(SUMPRODUCT((Personnel!$O$9:$O$100="GC")*(Personnel!$G$9:$G$100="Yes")*(89&gt;=Personnel!$E$9:$E$100)*((Personnel!$K$9:$K$100="")+(89&lt;=Personnel!$K$9:$K$100)&gt;0)*Personnel!$D$9:$D$100*(1-Personnel!$H$9:$H$100))+Staffing!CO81))*Escalation!$B$90)-IF(CO$3=9,Assumptions!$B$151,0)-IF(AND(CO$3&gt;=21,MOD(CO$3-21,12)=0),Assumptions!$B$152,0),Actuals!CP21)</f>
        <v>-290040.503369132</v>
      </c>
      <c r="CP203" s="13" t="n">
        <f aca="false">IF(ISBLANK(Actuals!CQ21),((-(SUMPRODUCT((Personnel!$O$9:$O$100="GC")*(Personnel!$G$9:$G$100="Yes")*(90&gt;=Personnel!$E$9:$E$100)*((Personnel!$K$9:$K$100="")+(90&lt;=Personnel!$K$9:$K$100)&gt;0)*Personnel!$D$9:$D$100*(1-Personnel!$H$9:$H$100))+Staffing!CP81))*Escalation!$B$91)-IF(CP$3=9,Assumptions!$B$151,0)-IF(AND(CP$3&gt;=21,MOD(CP$3-21,12)=0),Assumptions!$B$152,0),Actuals!CQ21)</f>
        <v>-290040.503369132</v>
      </c>
      <c r="CQ203" s="13" t="n">
        <f aca="false">IF(ISBLANK(Actuals!CR21),((-(SUMPRODUCT((Personnel!$O$9:$O$100="GC")*(Personnel!$G$9:$G$100="Yes")*(91&gt;=Personnel!$E$9:$E$100)*((Personnel!$K$9:$K$100="")+(91&lt;=Personnel!$K$9:$K$100)&gt;0)*Personnel!$D$9:$D$100*(1-Personnel!$H$9:$H$100))+Staffing!CQ81))*Escalation!$B$92)-IF(CQ$3=9,Assumptions!$B$151,0)-IF(AND(CQ$3&gt;=21,MOD(CQ$3-21,12)=0),Assumptions!$B$152,0),Actuals!CR21)</f>
        <v>-290040.503369132</v>
      </c>
      <c r="CR203" s="13" t="n">
        <f aca="false">IF(ISBLANK(Actuals!CS21),((-(SUMPRODUCT((Personnel!$O$9:$O$100="GC")*(Personnel!$G$9:$G$100="Yes")*(92&gt;=Personnel!$E$9:$E$100)*((Personnel!$K$9:$K$100="")+(92&lt;=Personnel!$K$9:$K$100)&gt;0)*Personnel!$D$9:$D$100*(1-Personnel!$H$9:$H$100))+Staffing!CR81))*Escalation!$B$93)-IF(CR$3=9,Assumptions!$B$151,0)-IF(AND(CR$3&gt;=21,MOD(CR$3-21,12)=0),Assumptions!$B$152,0),Actuals!CS21)</f>
        <v>-290040.503369132</v>
      </c>
      <c r="CS203" s="13" t="n">
        <f aca="false">IF(ISBLANK(Actuals!CT21),((-(SUMPRODUCT((Personnel!$O$9:$O$100="GC")*(Personnel!$G$9:$G$100="Yes")*(93&gt;=Personnel!$E$9:$E$100)*((Personnel!$K$9:$K$100="")+(93&lt;=Personnel!$K$9:$K$100)&gt;0)*Personnel!$D$9:$D$100*(1-Personnel!$H$9:$H$100))+Staffing!CS81))*Escalation!$B$94)-IF(CS$3=9,Assumptions!$B$151,0)-IF(AND(CS$3&gt;=21,MOD(CS$3-21,12)=0),Assumptions!$B$152,0),Actuals!CT21)</f>
        <v>-490040.503369132</v>
      </c>
      <c r="CT203" s="13" t="n">
        <f aca="false">IF(ISBLANK(Actuals!CU21),((-(SUMPRODUCT((Personnel!$O$9:$O$100="GC")*(Personnel!$G$9:$G$100="Yes")*(94&gt;=Personnel!$E$9:$E$100)*((Personnel!$K$9:$K$100="")+(94&lt;=Personnel!$K$9:$K$100)&gt;0)*Personnel!$D$9:$D$100*(1-Personnel!$H$9:$H$100))+Staffing!CT81))*Escalation!$B$95)-IF(CT$3=9,Assumptions!$B$151,0)-IF(AND(CT$3&gt;=21,MOD(CT$3-21,12)=0),Assumptions!$B$152,0),Actuals!CU21)</f>
        <v>-295841.313436514</v>
      </c>
      <c r="CU203" s="13" t="n">
        <f aca="false">IF(ISBLANK(Actuals!CV21),((-(SUMPRODUCT((Personnel!$O$9:$O$100="GC")*(Personnel!$G$9:$G$100="Yes")*(95&gt;=Personnel!$E$9:$E$100)*((Personnel!$K$9:$K$100="")+(95&lt;=Personnel!$K$9:$K$100)&gt;0)*Personnel!$D$9:$D$100*(1-Personnel!$H$9:$H$100))+Staffing!CU81))*Escalation!$B$96)-IF(CU$3=9,Assumptions!$B$151,0)-IF(AND(CU$3&gt;=21,MOD(CU$3-21,12)=0),Assumptions!$B$152,0),Actuals!CV21)</f>
        <v>-295841.313436514</v>
      </c>
      <c r="CV203" s="13" t="n">
        <f aca="false">IF(ISBLANK(Actuals!CW21),((-(SUMPRODUCT((Personnel!$O$9:$O$100="GC")*(Personnel!$G$9:$G$100="Yes")*(96&gt;=Personnel!$E$9:$E$100)*((Personnel!$K$9:$K$100="")+(96&lt;=Personnel!$K$9:$K$100)&gt;0)*Personnel!$D$9:$D$100*(1-Personnel!$H$9:$H$100))+Staffing!CV81))*Escalation!$B$97)-IF(CV$3=9,Assumptions!$B$151,0)-IF(AND(CV$3&gt;=21,MOD(CV$3-21,12)=0),Assumptions!$B$152,0),Actuals!CW21)</f>
        <v>-295841.313436514</v>
      </c>
      <c r="CW203" s="13" t="n">
        <f aca="false">IF(ISBLANK(Actuals!CX21),((-(SUMPRODUCT((Personnel!$O$9:$O$100="GC")*(Personnel!$G$9:$G$100="Yes")*(97&gt;=Personnel!$E$9:$E$100)*((Personnel!$K$9:$K$100="")+(97&lt;=Personnel!$K$9:$K$100)&gt;0)*Personnel!$D$9:$D$100*(1-Personnel!$H$9:$H$100))+Staffing!CW81))*Escalation!$B$98)-IF(CW$3=9,Assumptions!$B$151,0)-IF(AND(CW$3&gt;=21,MOD(CW$3-21,12)=0),Assumptions!$B$152,0),Actuals!CX21)</f>
        <v>-295841.313436514</v>
      </c>
      <c r="CX203" s="13" t="n">
        <f aca="false">IF(ISBLANK(Actuals!CY21),((-(SUMPRODUCT((Personnel!$O$9:$O$100="GC")*(Personnel!$G$9:$G$100="Yes")*(98&gt;=Personnel!$E$9:$E$100)*((Personnel!$K$9:$K$100="")+(98&lt;=Personnel!$K$9:$K$100)&gt;0)*Personnel!$D$9:$D$100*(1-Personnel!$H$9:$H$100))+Staffing!CX81))*Escalation!$B$99)-IF(CX$3=9,Assumptions!$B$151,0)-IF(AND(CX$3&gt;=21,MOD(CX$3-21,12)=0),Assumptions!$B$152,0),Actuals!CY21)</f>
        <v>-295841.313436514</v>
      </c>
      <c r="CY203" s="13" t="n">
        <f aca="false">IF(ISBLANK(Actuals!CZ21),((-(SUMPRODUCT((Personnel!$O$9:$O$100="GC")*(Personnel!$G$9:$G$100="Yes")*(99&gt;=Personnel!$E$9:$E$100)*((Personnel!$K$9:$K$100="")+(99&lt;=Personnel!$K$9:$K$100)&gt;0)*Personnel!$D$9:$D$100*(1-Personnel!$H$9:$H$100))+Staffing!CY81))*Escalation!$B$100)-IF(CY$3=9,Assumptions!$B$151,0)-IF(AND(CY$3&gt;=21,MOD(CY$3-21,12)=0),Assumptions!$B$152,0),Actuals!CZ21)</f>
        <v>-295841.313436514</v>
      </c>
      <c r="CZ203" s="13" t="n">
        <f aca="false">IF(ISBLANK(Actuals!DA21),((-(SUMPRODUCT((Personnel!$O$9:$O$100="GC")*(Personnel!$G$9:$G$100="Yes")*(100&gt;=Personnel!$E$9:$E$100)*((Personnel!$K$9:$K$100="")+(100&lt;=Personnel!$K$9:$K$100)&gt;0)*Personnel!$D$9:$D$100*(1-Personnel!$H$9:$H$100))+Staffing!CZ81))*Escalation!$B$101)-IF(CZ$3=9,Assumptions!$B$151,0)-IF(AND(CZ$3&gt;=21,MOD(CZ$3-21,12)=0),Assumptions!$B$152,0),Actuals!DA21)</f>
        <v>-295841.313436514</v>
      </c>
      <c r="DA203" s="13" t="n">
        <f aca="false">IF(ISBLANK(Actuals!DB21),((-(SUMPRODUCT((Personnel!$O$9:$O$100="GC")*(Personnel!$G$9:$G$100="Yes")*(101&gt;=Personnel!$E$9:$E$100)*((Personnel!$K$9:$K$100="")+(101&lt;=Personnel!$K$9:$K$100)&gt;0)*Personnel!$D$9:$D$100*(1-Personnel!$H$9:$H$100))+Staffing!DA81))*Escalation!$B$102)-IF(DA$3=9,Assumptions!$B$151,0)-IF(AND(DA$3&gt;=21,MOD(DA$3-21,12)=0),Assumptions!$B$152,0),Actuals!DB21)</f>
        <v>-295841.313436514</v>
      </c>
      <c r="DB203" s="13" t="n">
        <f aca="false">IF(ISBLANK(Actuals!DC21),((-(SUMPRODUCT((Personnel!$O$9:$O$100="GC")*(Personnel!$G$9:$G$100="Yes")*(102&gt;=Personnel!$E$9:$E$100)*((Personnel!$K$9:$K$100="")+(102&lt;=Personnel!$K$9:$K$100)&gt;0)*Personnel!$D$9:$D$100*(1-Personnel!$H$9:$H$100))+Staffing!DB81))*Escalation!$B$103)-IF(DB$3=9,Assumptions!$B$151,0)-IF(AND(DB$3&gt;=21,MOD(DB$3-21,12)=0),Assumptions!$B$152,0),Actuals!DC21)</f>
        <v>-295841.313436514</v>
      </c>
      <c r="DC203" s="13" t="n">
        <f aca="false">IF(ISBLANK(Actuals!DD21),((-(SUMPRODUCT((Personnel!$O$9:$O$100="GC")*(Personnel!$G$9:$G$100="Yes")*(103&gt;=Personnel!$E$9:$E$100)*((Personnel!$K$9:$K$100="")+(103&lt;=Personnel!$K$9:$K$100)&gt;0)*Personnel!$D$9:$D$100*(1-Personnel!$H$9:$H$100))+Staffing!DC81))*Escalation!$B$104)-IF(DC$3=9,Assumptions!$B$151,0)-IF(AND(DC$3&gt;=21,MOD(DC$3-21,12)=0),Assumptions!$B$152,0),Actuals!DD21)</f>
        <v>-295841.313436514</v>
      </c>
      <c r="DD203" s="13" t="n">
        <f aca="false">IF(ISBLANK(Actuals!DE21),((-(SUMPRODUCT((Personnel!$O$9:$O$100="GC")*(Personnel!$G$9:$G$100="Yes")*(104&gt;=Personnel!$E$9:$E$100)*((Personnel!$K$9:$K$100="")+(104&lt;=Personnel!$K$9:$K$100)&gt;0)*Personnel!$D$9:$D$100*(1-Personnel!$H$9:$H$100))+Staffing!DD81))*Escalation!$B$105)-IF(DD$3=9,Assumptions!$B$151,0)-IF(AND(DD$3&gt;=21,MOD(DD$3-21,12)=0),Assumptions!$B$152,0),Actuals!DE21)</f>
        <v>-295841.313436514</v>
      </c>
      <c r="DE203" s="13" t="n">
        <f aca="false">IF(ISBLANK(Actuals!DF21),((-(SUMPRODUCT((Personnel!$O$9:$O$100="GC")*(Personnel!$G$9:$G$100="Yes")*(105&gt;=Personnel!$E$9:$E$100)*((Personnel!$K$9:$K$100="")+(105&lt;=Personnel!$K$9:$K$100)&gt;0)*Personnel!$D$9:$D$100*(1-Personnel!$H$9:$H$100))+Staffing!DE81))*Escalation!$B$106)-IF(DE$3=9,Assumptions!$B$151,0)-IF(AND(DE$3&gt;=21,MOD(DE$3-21,12)=0),Assumptions!$B$152,0),Actuals!DF21)</f>
        <v>-495841.313436514</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-16989.18</v>
      </c>
      <c r="K204" s="13" t="n">
        <f aca="false">IF(ISBLANK(Actuals!L22),-Helpers!I4*Assumptions!$B$20,Actuals!L22)</f>
        <v>-22549.17</v>
      </c>
      <c r="L204" s="13" t="n">
        <f aca="false">IF(ISBLANK(Actuals!M22),-Helpers!J4*Assumptions!$B$20,Actuals!M22)</f>
        <v>-22549.17</v>
      </c>
      <c r="M204" s="13" t="n">
        <f aca="false">IF(ISBLANK(Actuals!N22),-Helpers!K4*Assumptions!$B$20,Actuals!N22)</f>
        <v>-23482.5033333333</v>
      </c>
      <c r="N204" s="13" t="n">
        <f aca="false">IF(ISBLANK(Actuals!O22),-Helpers!L4*Assumptions!$B$20,Actuals!O22)</f>
        <v>-22797.0866666667</v>
      </c>
      <c r="O204" s="13" t="n">
        <f aca="false">IF(ISBLANK(Actuals!P22),-Helpers!M4*Assumptions!$B$20,Actuals!P22)</f>
        <v>-23526.2533333333</v>
      </c>
      <c r="P204" s="13" t="n">
        <f aca="false">IF(ISBLANK(Actuals!Q22),-Helpers!N4*Assumptions!$B$20,Actuals!Q22)</f>
        <v>-23526.2533333333</v>
      </c>
      <c r="Q204" s="13" t="n">
        <f aca="false">IF(ISBLANK(Actuals!R22),-Helpers!O4*Assumptions!$B$20,Actuals!R22)</f>
        <v>-24459.5866666667</v>
      </c>
      <c r="R204" s="13" t="n">
        <f aca="false">IF(ISBLANK(Actuals!S22),-Helpers!P4*Assumptions!$B$20,Actuals!S22)</f>
        <v>-26122.0866666667</v>
      </c>
      <c r="S204" s="13" t="n">
        <f aca="false">IF(ISBLANK(Actuals!T22),-Helpers!Q4*Assumptions!$B$20,Actuals!T22)</f>
        <v>-29476.2533333333</v>
      </c>
      <c r="T204" s="13" t="n">
        <f aca="false">IF(ISBLANK(Actuals!U22),-Helpers!R4*Assumptions!$B$20,Actuals!U22)</f>
        <v>-29476.2533333333</v>
      </c>
      <c r="U204" s="13" t="n">
        <f aca="false">IF(ISBLANK(Actuals!V22),-Helpers!S4*Assumptions!$B$20,Actuals!V22)</f>
        <v>-29476.2533333333</v>
      </c>
      <c r="V204" s="13" t="n">
        <f aca="false">IF(ISBLANK(Actuals!W22),-Helpers!T4*Assumptions!$B$20,Actuals!W22)</f>
        <v>-29476.2533333333</v>
      </c>
      <c r="W204" s="13" t="n">
        <f aca="false">IF(ISBLANK(Actuals!X22),-Helpers!U4*Assumptions!$B$20,Actuals!X22)</f>
        <v>-32742.92</v>
      </c>
      <c r="X204" s="13" t="n">
        <f aca="false">IF(ISBLANK(Actuals!Y22),-Helpers!V4*Assumptions!$B$20,Actuals!Y22)</f>
        <v>-32742.92</v>
      </c>
      <c r="Y204" s="13" t="n">
        <f aca="false">IF(ISBLANK(Actuals!Z22),-Helpers!W4*Assumptions!$B$20,Actuals!Z22)</f>
        <v>-32742.92</v>
      </c>
      <c r="Z204" s="13" t="n">
        <f aca="false">IF(ISBLANK(Actuals!AA22),-Helpers!X4*Assumptions!$B$20,Actuals!AA22)</f>
        <v>-33397.7784</v>
      </c>
      <c r="AA204" s="13" t="n">
        <f aca="false">IF(ISBLANK(Actuals!AB22),-Helpers!Y4*Assumptions!$B$20,Actuals!AB22)</f>
        <v>-33397.7784</v>
      </c>
      <c r="AB204" s="13" t="n">
        <f aca="false">IF(ISBLANK(Actuals!AC22),-Helpers!Z4*Assumptions!$B$20,Actuals!AC22)</f>
        <v>-33397.7784</v>
      </c>
      <c r="AC204" s="13" t="n">
        <f aca="false">IF(ISBLANK(Actuals!AD22),-Helpers!AA4*Assumptions!$B$20,Actuals!AD22)</f>
        <v>-31880.5284</v>
      </c>
      <c r="AD204" s="13" t="n">
        <f aca="false">IF(ISBLANK(Actuals!AE22),-Helpers!AB4*Assumptions!$B$20,Actuals!AE22)</f>
        <v>-30184.7784</v>
      </c>
      <c r="AE204" s="13" t="n">
        <f aca="false">IF(ISBLANK(Actuals!AF22),-Helpers!AC4*Assumptions!$B$20,Actuals!AF22)</f>
        <v>-30184.7784</v>
      </c>
      <c r="AF204" s="13" t="n">
        <f aca="false">IF(ISBLANK(Actuals!AG22),-Helpers!AD4*Assumptions!$B$20,Actuals!AG22)</f>
        <v>-30184.7784</v>
      </c>
      <c r="AG204" s="13" t="n">
        <f aca="false">IF(ISBLANK(Actuals!AH22),-Helpers!AE4*Assumptions!$B$20,Actuals!AH22)</f>
        <v>-29113.7784</v>
      </c>
      <c r="AH204" s="13" t="n">
        <f aca="false">IF(ISBLANK(Actuals!AI22),-Helpers!AF4*Assumptions!$B$20,Actuals!AI22)</f>
        <v>-28161.7784</v>
      </c>
      <c r="AI204" s="13" t="n">
        <f aca="false">IF(ISBLANK(Actuals!AJ22),-Helpers!AG4*Assumptions!$B$20,Actuals!AJ22)</f>
        <v>-28161.7784</v>
      </c>
      <c r="AJ204" s="13" t="n">
        <f aca="false">IF(ISBLANK(Actuals!AK22),-Helpers!AH4*Assumptions!$B$20,Actuals!AK22)</f>
        <v>-28161.7784</v>
      </c>
      <c r="AK204" s="13" t="n">
        <f aca="false">IF(ISBLANK(Actuals!AL22),-Helpers!AI4*Assumptions!$B$20,Actuals!AL22)</f>
        <v>-28161.7784</v>
      </c>
      <c r="AL204" s="13" t="n">
        <f aca="false">IF(ISBLANK(Actuals!AM22),-Helpers!AJ4*Assumptions!$B$20,Actuals!AM22)</f>
        <v>-28725.013968</v>
      </c>
      <c r="AM204" s="13" t="n">
        <f aca="false">IF(ISBLANK(Actuals!AN22),-Helpers!AK4*Assumptions!$B$20,Actuals!AN22)</f>
        <v>-26782.933968</v>
      </c>
      <c r="AN204" s="13" t="n">
        <f aca="false">IF(ISBLANK(Actuals!AO22),-Helpers!AL4*Assumptions!$B$20,Actuals!AO22)</f>
        <v>-26024.308968</v>
      </c>
      <c r="AO204" s="13" t="n">
        <f aca="false">IF(ISBLANK(Actuals!AP22),-Helpers!AM4*Assumptions!$B$20,Actuals!AP22)</f>
        <v>-24264.298968</v>
      </c>
      <c r="AP204" s="13" t="n">
        <f aca="false">IF(ISBLANK(Actuals!AQ22),-Helpers!AN4*Assumptions!$B$20,Actuals!AQ22)</f>
        <v>-24264.298968</v>
      </c>
      <c r="AQ204" s="13" t="n">
        <f aca="false">IF(ISBLANK(Actuals!AR22),-Helpers!AO4*Assumptions!$B$20,Actuals!AR22)</f>
        <v>-23505.673968</v>
      </c>
      <c r="AR204" s="13" t="n">
        <f aca="false">IF(ISBLANK(Actuals!AS22),-Helpers!AP4*Assumptions!$B$20,Actuals!AS22)</f>
        <v>-23505.673968</v>
      </c>
      <c r="AS204" s="13" t="n">
        <f aca="false">IF(ISBLANK(Actuals!AT22),-Helpers!AQ4*Assumptions!$B$20,Actuals!AT22)</f>
        <v>-23505.673968</v>
      </c>
      <c r="AT204" s="13" t="n">
        <f aca="false">IF(ISBLANK(Actuals!AU22),-Helpers!AR4*Assumptions!$B$20,Actuals!AU22)</f>
        <v>-23505.673968</v>
      </c>
      <c r="AU204" s="13" t="n">
        <f aca="false">IF(ISBLANK(Actuals!AV22),-Helpers!AS4*Assumptions!$B$20,Actuals!AV22)</f>
        <v>-22747.048968</v>
      </c>
      <c r="AV204" s="13" t="n">
        <f aca="false">IF(ISBLANK(Actuals!AW22),-Helpers!AT4*Assumptions!$B$20,Actuals!AW22)</f>
        <v>-22747.048968</v>
      </c>
      <c r="AW204" s="13" t="n">
        <f aca="false">IF(ISBLANK(Actuals!AX22),-Helpers!AU4*Assumptions!$B$20,Actuals!AX22)</f>
        <v>-22747.048968</v>
      </c>
      <c r="AX204" s="13" t="n">
        <f aca="false">IF(ISBLANK(Actuals!AY22),-Helpers!AV4*Assumptions!$B$20,Actuals!AY22)</f>
        <v>-23201.98994736</v>
      </c>
      <c r="AY204" s="13" t="n">
        <f aca="false">IF(ISBLANK(Actuals!AZ22),-Helpers!AW4*Assumptions!$B$20,Actuals!AZ22)</f>
        <v>-23201.98994736</v>
      </c>
      <c r="AZ204" s="13" t="n">
        <f aca="false">IF(ISBLANK(Actuals!BA22),-Helpers!AX4*Assumptions!$B$20,Actuals!BA22)</f>
        <v>-23201.98994736</v>
      </c>
      <c r="BA204" s="13" t="n">
        <f aca="false">IF(ISBLANK(Actuals!BB22),-Helpers!AY4*Assumptions!$B$20,Actuals!BB22)</f>
        <v>-23201.98994736</v>
      </c>
      <c r="BB204" s="13" t="n">
        <f aca="false">IF(ISBLANK(Actuals!BC22),-Helpers!AZ4*Assumptions!$B$20,Actuals!BC22)</f>
        <v>-23201.98994736</v>
      </c>
      <c r="BC204" s="13" t="n">
        <f aca="false">IF(ISBLANK(Actuals!BD22),-Helpers!BA4*Assumptions!$B$20,Actuals!BD22)</f>
        <v>-23201.98994736</v>
      </c>
      <c r="BD204" s="13" t="n">
        <f aca="false">IF(ISBLANK(Actuals!BE22),-Helpers!BB4*Assumptions!$B$20,Actuals!BE22)</f>
        <v>-23201.98994736</v>
      </c>
      <c r="BE204" s="13" t="n">
        <f aca="false">IF(ISBLANK(Actuals!BF22),-Helpers!BC4*Assumptions!$B$20,Actuals!BF22)</f>
        <v>-23201.98994736</v>
      </c>
      <c r="BF204" s="13" t="n">
        <f aca="false">IF(ISBLANK(Actuals!BG22),-Helpers!BD4*Assumptions!$B$20,Actuals!BG22)</f>
        <v>-23201.98994736</v>
      </c>
      <c r="BG204" s="13" t="n">
        <f aca="false">IF(ISBLANK(Actuals!BH22),-Helpers!BE4*Assumptions!$B$20,Actuals!BH22)</f>
        <v>-23201.98994736</v>
      </c>
      <c r="BH204" s="13" t="n">
        <f aca="false">IF(ISBLANK(Actuals!BI22),-Helpers!BF4*Assumptions!$B$20,Actuals!BI22)</f>
        <v>-23201.98994736</v>
      </c>
      <c r="BI204" s="13" t="n">
        <f aca="false">IF(ISBLANK(Actuals!BJ22),-Helpers!BG4*Assumptions!$B$20,Actuals!BJ22)</f>
        <v>-23201.98994736</v>
      </c>
      <c r="BJ204" s="13" t="n">
        <f aca="false">IF(ISBLANK(Actuals!BK22),-Helpers!BH4*Assumptions!$B$20,Actuals!BK22)</f>
        <v>-23666.0297463072</v>
      </c>
      <c r="BK204" s="13" t="n">
        <f aca="false">IF(ISBLANK(Actuals!BL22),-Helpers!BI4*Assumptions!$B$20,Actuals!BL22)</f>
        <v>-23666.0297463072</v>
      </c>
      <c r="BL204" s="13" t="n">
        <f aca="false">IF(ISBLANK(Actuals!BM22),-Helpers!BJ4*Assumptions!$B$20,Actuals!BM22)</f>
        <v>-23666.0297463072</v>
      </c>
      <c r="BM204" s="13" t="n">
        <f aca="false">IF(ISBLANK(Actuals!BN22),-Helpers!BK4*Assumptions!$B$20,Actuals!BN22)</f>
        <v>-23666.0297463072</v>
      </c>
      <c r="BN204" s="13" t="n">
        <f aca="false">IF(ISBLANK(Actuals!BO22),-Helpers!BL4*Assumptions!$B$20,Actuals!BO22)</f>
        <v>-23666.0297463072</v>
      </c>
      <c r="BO204" s="13" t="n">
        <f aca="false">IF(ISBLANK(Actuals!BP22),-Helpers!BM4*Assumptions!$B$20,Actuals!BP22)</f>
        <v>-23666.0297463072</v>
      </c>
      <c r="BP204" s="13" t="n">
        <f aca="false">IF(ISBLANK(Actuals!BQ22),-Helpers!BN4*Assumptions!$B$20,Actuals!BQ22)</f>
        <v>-23666.0297463072</v>
      </c>
      <c r="BQ204" s="13" t="n">
        <f aca="false">IF(ISBLANK(Actuals!BR22),-Helpers!BO4*Assumptions!$B$20,Actuals!BR22)</f>
        <v>-23666.0297463072</v>
      </c>
      <c r="BR204" s="13" t="n">
        <f aca="false">IF(ISBLANK(Actuals!BS22),-Helpers!BP4*Assumptions!$B$20,Actuals!BS22)</f>
        <v>-23666.0297463072</v>
      </c>
      <c r="BS204" s="13" t="n">
        <f aca="false">IF(ISBLANK(Actuals!BT22),-Helpers!BQ4*Assumptions!$B$20,Actuals!BT22)</f>
        <v>-23666.0297463072</v>
      </c>
      <c r="BT204" s="13" t="n">
        <f aca="false">IF(ISBLANK(Actuals!BU22),-Helpers!BR4*Assumptions!$B$20,Actuals!BU22)</f>
        <v>-23666.0297463072</v>
      </c>
      <c r="BU204" s="13" t="n">
        <f aca="false">IF(ISBLANK(Actuals!BV22),-Helpers!BS4*Assumptions!$B$20,Actuals!BV22)</f>
        <v>-23666.0297463072</v>
      </c>
      <c r="BV204" s="13" t="n">
        <f aca="false">IF(ISBLANK(Actuals!BW22),-Helpers!BT4*Assumptions!$B$20,Actuals!BW22)</f>
        <v>-24139.3503412333</v>
      </c>
      <c r="BW204" s="13" t="n">
        <f aca="false">IF(ISBLANK(Actuals!BX22),-Helpers!BU4*Assumptions!$B$20,Actuals!BX22)</f>
        <v>-24139.3503412333</v>
      </c>
      <c r="BX204" s="13" t="n">
        <f aca="false">IF(ISBLANK(Actuals!BY22),-Helpers!BV4*Assumptions!$B$20,Actuals!BY22)</f>
        <v>-24139.3503412333</v>
      </c>
      <c r="BY204" s="13" t="n">
        <f aca="false">IF(ISBLANK(Actuals!BZ22),-Helpers!BW4*Assumptions!$B$20,Actuals!BZ22)</f>
        <v>-24139.3503412333</v>
      </c>
      <c r="BZ204" s="13" t="n">
        <f aca="false">IF(ISBLANK(Actuals!CA22),-Helpers!BX4*Assumptions!$B$20,Actuals!CA22)</f>
        <v>-24139.3503412333</v>
      </c>
      <c r="CA204" s="13" t="n">
        <f aca="false">IF(ISBLANK(Actuals!CB22),-Helpers!BY4*Assumptions!$B$20,Actuals!CB22)</f>
        <v>-24139.3503412333</v>
      </c>
      <c r="CB204" s="13" t="n">
        <f aca="false">IF(ISBLANK(Actuals!CC22),-Helpers!BZ4*Assumptions!$B$20,Actuals!CC22)</f>
        <v>-24139.3503412333</v>
      </c>
      <c r="CC204" s="13" t="n">
        <f aca="false">IF(ISBLANK(Actuals!CD22),-Helpers!CA4*Assumptions!$B$20,Actuals!CD22)</f>
        <v>-24139.3503412333</v>
      </c>
      <c r="CD204" s="13" t="n">
        <f aca="false">IF(ISBLANK(Actuals!CE22),-Helpers!CB4*Assumptions!$B$20,Actuals!CE22)</f>
        <v>-24139.3503412333</v>
      </c>
      <c r="CE204" s="13" t="n">
        <f aca="false">IF(ISBLANK(Actuals!CF22),-Helpers!CC4*Assumptions!$B$20,Actuals!CF22)</f>
        <v>-24139.3503412333</v>
      </c>
      <c r="CF204" s="13" t="n">
        <f aca="false">IF(ISBLANK(Actuals!CG22),-Helpers!CD4*Assumptions!$B$20,Actuals!CG22)</f>
        <v>-24139.3503412333</v>
      </c>
      <c r="CG204" s="13" t="n">
        <f aca="false">IF(ISBLANK(Actuals!CH22),-Helpers!CE4*Assumptions!$B$20,Actuals!CH22)</f>
        <v>-24139.3503412333</v>
      </c>
      <c r="CH204" s="13" t="n">
        <f aca="false">IF(ISBLANK(Actuals!CI22),-Helpers!CF4*Assumptions!$B$20,Actuals!CI22)</f>
        <v>-24622.137348058</v>
      </c>
      <c r="CI204" s="13" t="n">
        <f aca="false">IF(ISBLANK(Actuals!CJ22),-Helpers!CG4*Assumptions!$B$20,Actuals!CJ22)</f>
        <v>-24622.137348058</v>
      </c>
      <c r="CJ204" s="13" t="n">
        <f aca="false">IF(ISBLANK(Actuals!CK22),-Helpers!CH4*Assumptions!$B$20,Actuals!CK22)</f>
        <v>-24622.137348058</v>
      </c>
      <c r="CK204" s="13" t="n">
        <f aca="false">IF(ISBLANK(Actuals!CL22),-Helpers!CI4*Assumptions!$B$20,Actuals!CL22)</f>
        <v>-24622.137348058</v>
      </c>
      <c r="CL204" s="13" t="n">
        <f aca="false">IF(ISBLANK(Actuals!CM22),-Helpers!CJ4*Assumptions!$B$20,Actuals!CM22)</f>
        <v>-24622.137348058</v>
      </c>
      <c r="CM204" s="13" t="n">
        <f aca="false">IF(ISBLANK(Actuals!CN22),-Helpers!CK4*Assumptions!$B$20,Actuals!CN22)</f>
        <v>-24622.137348058</v>
      </c>
      <c r="CN204" s="13" t="n">
        <f aca="false">IF(ISBLANK(Actuals!CO22),-Helpers!CL4*Assumptions!$B$20,Actuals!CO22)</f>
        <v>-24622.137348058</v>
      </c>
      <c r="CO204" s="13" t="n">
        <f aca="false">IF(ISBLANK(Actuals!CP22),-Helpers!CM4*Assumptions!$B$20,Actuals!CP22)</f>
        <v>-24622.137348058</v>
      </c>
      <c r="CP204" s="13" t="n">
        <f aca="false">IF(ISBLANK(Actuals!CQ22),-Helpers!CN4*Assumptions!$B$20,Actuals!CQ22)</f>
        <v>-24622.137348058</v>
      </c>
      <c r="CQ204" s="13" t="n">
        <f aca="false">IF(ISBLANK(Actuals!CR22),-Helpers!CO4*Assumptions!$B$20,Actuals!CR22)</f>
        <v>-24622.137348058</v>
      </c>
      <c r="CR204" s="13" t="n">
        <f aca="false">IF(ISBLANK(Actuals!CS22),-Helpers!CP4*Assumptions!$B$20,Actuals!CS22)</f>
        <v>-24622.137348058</v>
      </c>
      <c r="CS204" s="13" t="n">
        <f aca="false">IF(ISBLANK(Actuals!CT22),-Helpers!CQ4*Assumptions!$B$20,Actuals!CT22)</f>
        <v>-24622.137348058</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IF(ISBLANK(Actuals!K24),-Helpers!H4*Assumptions!$B$24,Actuals!K24)</f>
        <v>-11264.52</v>
      </c>
      <c r="K206" s="13" t="n">
        <f aca="false">IF(ISBLANK(Actuals!L24),-Helpers!I4*Assumptions!$B$24,Actuals!L24)</f>
        <v>-11274.585</v>
      </c>
      <c r="L206" s="13" t="n">
        <f aca="false">IF(ISBLANK(Actuals!M24),-Helpers!J4*Assumptions!$B$24,Actuals!M24)</f>
        <v>-11274.585</v>
      </c>
      <c r="M206" s="13" t="n">
        <f aca="false">IF(ISBLANK(Actuals!N24),-Helpers!K4*Assumptions!$B$24,Actuals!N24)</f>
        <v>-11741.2516666667</v>
      </c>
      <c r="N206" s="13" t="n">
        <f aca="false">IF(ISBLANK(Actuals!O24),-Helpers!L4*Assumptions!$B$24,Actuals!O24)</f>
        <v>-11398.5433333333</v>
      </c>
      <c r="O206" s="13" t="n">
        <f aca="false">IF(ISBLANK(Actuals!P24),-Helpers!M4*Assumptions!$B$24,Actuals!P24)</f>
        <v>-11763.1266666667</v>
      </c>
      <c r="P206" s="13" t="n">
        <f aca="false">IF(ISBLANK(Actuals!Q24),-Helpers!N4*Assumptions!$B$24,Actuals!Q24)</f>
        <v>-11763.1266666667</v>
      </c>
      <c r="Q206" s="13" t="n">
        <f aca="false">IF(ISBLANK(Actuals!R24),-Helpers!O4*Assumptions!$B$24,Actuals!R24)</f>
        <v>-12229.7933333333</v>
      </c>
      <c r="R206" s="13" t="n">
        <f aca="false">IF(ISBLANK(Actuals!S24),-Helpers!P4*Assumptions!$B$24,Actuals!S24)</f>
        <v>-13061.0433333333</v>
      </c>
      <c r="S206" s="13" t="n">
        <f aca="false">IF(ISBLANK(Actuals!T24),-Helpers!Q4*Assumptions!$B$24,Actuals!T24)</f>
        <v>-14738.1266666667</v>
      </c>
      <c r="T206" s="13" t="n">
        <f aca="false">IF(ISBLANK(Actuals!U24),-Helpers!R4*Assumptions!$B$24,Actuals!U24)</f>
        <v>-14738.1266666667</v>
      </c>
      <c r="U206" s="13" t="n">
        <f aca="false">IF(ISBLANK(Actuals!V24),-Helpers!S4*Assumptions!$B$24,Actuals!V24)</f>
        <v>-14738.1266666667</v>
      </c>
      <c r="V206" s="13" t="n">
        <f aca="false">IF(ISBLANK(Actuals!W24),-Helpers!T4*Assumptions!$B$24,Actuals!W24)</f>
        <v>-14738.1266666667</v>
      </c>
      <c r="W206" s="13" t="n">
        <f aca="false">IF(ISBLANK(Actuals!X24),-Helpers!U4*Assumptions!$B$24,Actuals!X24)</f>
        <v>-16371.46</v>
      </c>
      <c r="X206" s="13" t="n">
        <f aca="false">IF(ISBLANK(Actuals!Y24),-Helpers!V4*Assumptions!$B$24,Actuals!Y24)</f>
        <v>-16371.46</v>
      </c>
      <c r="Y206" s="13" t="n">
        <f aca="false">IF(ISBLANK(Actuals!Z24),-Helpers!W4*Assumptions!$B$24,Actuals!Z24)</f>
        <v>-16371.46</v>
      </c>
      <c r="Z206" s="13" t="n">
        <f aca="false">IF(ISBLANK(Actuals!AA24),-Helpers!X4*Assumptions!$B$24,Actuals!AA24)</f>
        <v>-16698.8892</v>
      </c>
      <c r="AA206" s="13" t="n">
        <f aca="false">IF(ISBLANK(Actuals!AB24),-Helpers!Y4*Assumptions!$B$24,Actuals!AB24)</f>
        <v>-16698.8892</v>
      </c>
      <c r="AB206" s="13" t="n">
        <f aca="false">IF(ISBLANK(Actuals!AC24),-Helpers!Z4*Assumptions!$B$24,Actuals!AC24)</f>
        <v>-16698.8892</v>
      </c>
      <c r="AC206" s="13" t="n">
        <f aca="false">IF(ISBLANK(Actuals!AD24),-Helpers!AA4*Assumptions!$B$24,Actuals!AD24)</f>
        <v>-15940.2642</v>
      </c>
      <c r="AD206" s="13" t="n">
        <f aca="false">IF(ISBLANK(Actuals!AE24),-Helpers!AB4*Assumptions!$B$24,Actuals!AE24)</f>
        <v>-15092.3892</v>
      </c>
      <c r="AE206" s="13" t="n">
        <f aca="false">IF(ISBLANK(Actuals!AF24),-Helpers!AC4*Assumptions!$B$24,Actuals!AF24)</f>
        <v>-15092.3892</v>
      </c>
      <c r="AF206" s="13" t="n">
        <f aca="false">IF(ISBLANK(Actuals!AG24),-Helpers!AD4*Assumptions!$B$24,Actuals!AG24)</f>
        <v>-15092.3892</v>
      </c>
      <c r="AG206" s="13" t="n">
        <f aca="false">IF(ISBLANK(Actuals!AH24),-Helpers!AE4*Assumptions!$B$24,Actuals!AH24)</f>
        <v>-14556.8892</v>
      </c>
      <c r="AH206" s="13" t="n">
        <f aca="false">IF(ISBLANK(Actuals!AI24),-Helpers!AF4*Assumptions!$B$24,Actuals!AI24)</f>
        <v>-14080.8892</v>
      </c>
      <c r="AI206" s="13" t="n">
        <f aca="false">IF(ISBLANK(Actuals!AJ24),-Helpers!AG4*Assumptions!$B$24,Actuals!AJ24)</f>
        <v>-14080.8892</v>
      </c>
      <c r="AJ206" s="13" t="n">
        <f aca="false">IF(ISBLANK(Actuals!AK24),-Helpers!AH4*Assumptions!$B$24,Actuals!AK24)</f>
        <v>-14080.8892</v>
      </c>
      <c r="AK206" s="13" t="n">
        <f aca="false">IF(ISBLANK(Actuals!AL24),-Helpers!AI4*Assumptions!$B$24,Actuals!AL24)</f>
        <v>-14080.8892</v>
      </c>
      <c r="AL206" s="13" t="n">
        <f aca="false">IF(ISBLANK(Actuals!AM24),-Helpers!AJ4*Assumptions!$B$24,Actuals!AM24)</f>
        <v>-14362.506984</v>
      </c>
      <c r="AM206" s="13" t="n">
        <f aca="false">IF(ISBLANK(Actuals!AN24),-Helpers!AK4*Assumptions!$B$24,Actuals!AN24)</f>
        <v>-13391.466984</v>
      </c>
      <c r="AN206" s="13" t="n">
        <f aca="false">IF(ISBLANK(Actuals!AO24),-Helpers!AL4*Assumptions!$B$24,Actuals!AO24)</f>
        <v>-13012.154484</v>
      </c>
      <c r="AO206" s="13" t="n">
        <f aca="false">IF(ISBLANK(Actuals!AP24),-Helpers!AM4*Assumptions!$B$24,Actuals!AP24)</f>
        <v>-12132.149484</v>
      </c>
      <c r="AP206" s="13" t="n">
        <f aca="false">IF(ISBLANK(Actuals!AQ24),-Helpers!AN4*Assumptions!$B$24,Actuals!AQ24)</f>
        <v>-12132.149484</v>
      </c>
      <c r="AQ206" s="13" t="n">
        <f aca="false">IF(ISBLANK(Actuals!AR24),-Helpers!AO4*Assumptions!$B$24,Actuals!AR24)</f>
        <v>-11752.836984</v>
      </c>
      <c r="AR206" s="13" t="n">
        <f aca="false">IF(ISBLANK(Actuals!AS24),-Helpers!AP4*Assumptions!$B$24,Actuals!AS24)</f>
        <v>-11752.836984</v>
      </c>
      <c r="AS206" s="13" t="n">
        <f aca="false">IF(ISBLANK(Actuals!AT24),-Helpers!AQ4*Assumptions!$B$24,Actuals!AT24)</f>
        <v>-11752.836984</v>
      </c>
      <c r="AT206" s="13" t="n">
        <f aca="false">IF(ISBLANK(Actuals!AU24),-Helpers!AR4*Assumptions!$B$24,Actuals!AU24)</f>
        <v>-11752.836984</v>
      </c>
      <c r="AU206" s="13" t="n">
        <f aca="false">IF(ISBLANK(Actuals!AV24),-Helpers!AS4*Assumptions!$B$24,Actuals!AV24)</f>
        <v>-11373.524484</v>
      </c>
      <c r="AV206" s="13" t="n">
        <f aca="false">IF(ISBLANK(Actuals!AW24),-Helpers!AT4*Assumptions!$B$24,Actuals!AW24)</f>
        <v>-11373.524484</v>
      </c>
      <c r="AW206" s="13" t="n">
        <f aca="false">IF(ISBLANK(Actuals!AX24),-Helpers!AU4*Assumptions!$B$24,Actuals!AX24)</f>
        <v>-11373.524484</v>
      </c>
      <c r="AX206" s="13" t="n">
        <f aca="false">IF(ISBLANK(Actuals!AY24),-Helpers!AV4*Assumptions!$B$24,Actuals!AY24)</f>
        <v>-11600.99497368</v>
      </c>
      <c r="AY206" s="13" t="n">
        <f aca="false">IF(ISBLANK(Actuals!AZ24),-Helpers!AW4*Assumptions!$B$24,Actuals!AZ24)</f>
        <v>-11600.99497368</v>
      </c>
      <c r="AZ206" s="13" t="n">
        <f aca="false">IF(ISBLANK(Actuals!BA24),-Helpers!AX4*Assumptions!$B$24,Actuals!BA24)</f>
        <v>-11600.99497368</v>
      </c>
      <c r="BA206" s="13" t="n">
        <f aca="false">IF(ISBLANK(Actuals!BB24),-Helpers!AY4*Assumptions!$B$24,Actuals!BB24)</f>
        <v>-11600.99497368</v>
      </c>
      <c r="BB206" s="13" t="n">
        <f aca="false">IF(ISBLANK(Actuals!BC24),-Helpers!AZ4*Assumptions!$B$24,Actuals!BC24)</f>
        <v>-11600.99497368</v>
      </c>
      <c r="BC206" s="13" t="n">
        <f aca="false">IF(ISBLANK(Actuals!BD24),-Helpers!BA4*Assumptions!$B$24,Actuals!BD24)</f>
        <v>-11600.99497368</v>
      </c>
      <c r="BD206" s="13" t="n">
        <f aca="false">IF(ISBLANK(Actuals!BE24),-Helpers!BB4*Assumptions!$B$24,Actuals!BE24)</f>
        <v>-11600.99497368</v>
      </c>
      <c r="BE206" s="13" t="n">
        <f aca="false">IF(ISBLANK(Actuals!BF24),-Helpers!BC4*Assumptions!$B$24,Actuals!BF24)</f>
        <v>-11600.99497368</v>
      </c>
      <c r="BF206" s="13" t="n">
        <f aca="false">IF(ISBLANK(Actuals!BG24),-Helpers!BD4*Assumptions!$B$24,Actuals!BG24)</f>
        <v>-11600.99497368</v>
      </c>
      <c r="BG206" s="13" t="n">
        <f aca="false">IF(ISBLANK(Actuals!BH24),-Helpers!BE4*Assumptions!$B$24,Actuals!BH24)</f>
        <v>-11600.99497368</v>
      </c>
      <c r="BH206" s="13" t="n">
        <f aca="false">IF(ISBLANK(Actuals!BI24),-Helpers!BF4*Assumptions!$B$24,Actuals!BI24)</f>
        <v>-11600.99497368</v>
      </c>
      <c r="BI206" s="13" t="n">
        <f aca="false">IF(ISBLANK(Actuals!BJ24),-Helpers!BG4*Assumptions!$B$24,Actuals!BJ24)</f>
        <v>-11600.99497368</v>
      </c>
      <c r="BJ206" s="13" t="n">
        <f aca="false">IF(ISBLANK(Actuals!BK24),-Helpers!BH4*Assumptions!$B$24,Actuals!BK24)</f>
        <v>-11833.0148731536</v>
      </c>
      <c r="BK206" s="13" t="n">
        <f aca="false">IF(ISBLANK(Actuals!BL24),-Helpers!BI4*Assumptions!$B$24,Actuals!BL24)</f>
        <v>-11833.0148731536</v>
      </c>
      <c r="BL206" s="13" t="n">
        <f aca="false">IF(ISBLANK(Actuals!BM24),-Helpers!BJ4*Assumptions!$B$24,Actuals!BM24)</f>
        <v>-11833.0148731536</v>
      </c>
      <c r="BM206" s="13" t="n">
        <f aca="false">IF(ISBLANK(Actuals!BN24),-Helpers!BK4*Assumptions!$B$24,Actuals!BN24)</f>
        <v>-11833.0148731536</v>
      </c>
      <c r="BN206" s="13" t="n">
        <f aca="false">IF(ISBLANK(Actuals!BO24),-Helpers!BL4*Assumptions!$B$24,Actuals!BO24)</f>
        <v>-11833.0148731536</v>
      </c>
      <c r="BO206" s="13" t="n">
        <f aca="false">IF(ISBLANK(Actuals!BP24),-Helpers!BM4*Assumptions!$B$24,Actuals!BP24)</f>
        <v>-11833.0148731536</v>
      </c>
      <c r="BP206" s="13" t="n">
        <f aca="false">IF(ISBLANK(Actuals!BQ24),-Helpers!BN4*Assumptions!$B$24,Actuals!BQ24)</f>
        <v>-11833.0148731536</v>
      </c>
      <c r="BQ206" s="13" t="n">
        <f aca="false">IF(ISBLANK(Actuals!BR24),-Helpers!BO4*Assumptions!$B$24,Actuals!BR24)</f>
        <v>-11833.0148731536</v>
      </c>
      <c r="BR206" s="13" t="n">
        <f aca="false">IF(ISBLANK(Actuals!BS24),-Helpers!BP4*Assumptions!$B$24,Actuals!BS24)</f>
        <v>-11833.0148731536</v>
      </c>
      <c r="BS206" s="13" t="n">
        <f aca="false">IF(ISBLANK(Actuals!BT24),-Helpers!BQ4*Assumptions!$B$24,Actuals!BT24)</f>
        <v>-11833.0148731536</v>
      </c>
      <c r="BT206" s="13" t="n">
        <f aca="false">IF(ISBLANK(Actuals!BU24),-Helpers!BR4*Assumptions!$B$24,Actuals!BU24)</f>
        <v>-11833.0148731536</v>
      </c>
      <c r="BU206" s="13" t="n">
        <f aca="false">IF(ISBLANK(Actuals!BV24),-Helpers!BS4*Assumptions!$B$24,Actuals!BV24)</f>
        <v>-11833.0148731536</v>
      </c>
      <c r="BV206" s="13" t="n">
        <f aca="false">IF(ISBLANK(Actuals!BW24),-Helpers!BT4*Assumptions!$B$24,Actuals!BW24)</f>
        <v>-12069.6751706167</v>
      </c>
      <c r="BW206" s="13" t="n">
        <f aca="false">IF(ISBLANK(Actuals!BX24),-Helpers!BU4*Assumptions!$B$24,Actuals!BX24)</f>
        <v>-12069.6751706167</v>
      </c>
      <c r="BX206" s="13" t="n">
        <f aca="false">IF(ISBLANK(Actuals!BY24),-Helpers!BV4*Assumptions!$B$24,Actuals!BY24)</f>
        <v>-12069.6751706167</v>
      </c>
      <c r="BY206" s="13" t="n">
        <f aca="false">IF(ISBLANK(Actuals!BZ24),-Helpers!BW4*Assumptions!$B$24,Actuals!BZ24)</f>
        <v>-12069.6751706167</v>
      </c>
      <c r="BZ206" s="13" t="n">
        <f aca="false">IF(ISBLANK(Actuals!CA24),-Helpers!BX4*Assumptions!$B$24,Actuals!CA24)</f>
        <v>-12069.6751706167</v>
      </c>
      <c r="CA206" s="13" t="n">
        <f aca="false">IF(ISBLANK(Actuals!CB24),-Helpers!BY4*Assumptions!$B$24,Actuals!CB24)</f>
        <v>-12069.6751706167</v>
      </c>
      <c r="CB206" s="13" t="n">
        <f aca="false">IF(ISBLANK(Actuals!CC24),-Helpers!BZ4*Assumptions!$B$24,Actuals!CC24)</f>
        <v>-12069.6751706167</v>
      </c>
      <c r="CC206" s="13" t="n">
        <f aca="false">IF(ISBLANK(Actuals!CD24),-Helpers!CA4*Assumptions!$B$24,Actuals!CD24)</f>
        <v>-12069.6751706167</v>
      </c>
      <c r="CD206" s="13" t="n">
        <f aca="false">IF(ISBLANK(Actuals!CE24),-Helpers!CB4*Assumptions!$B$24,Actuals!CE24)</f>
        <v>-12069.6751706167</v>
      </c>
      <c r="CE206" s="13" t="n">
        <f aca="false">IF(ISBLANK(Actuals!CF24),-Helpers!CC4*Assumptions!$B$24,Actuals!CF24)</f>
        <v>-12069.6751706167</v>
      </c>
      <c r="CF206" s="13" t="n">
        <f aca="false">IF(ISBLANK(Actuals!CG24),-Helpers!CD4*Assumptions!$B$24,Actuals!CG24)</f>
        <v>-12069.6751706167</v>
      </c>
      <c r="CG206" s="13" t="n">
        <f aca="false">IF(ISBLANK(Actuals!CH24),-Helpers!CE4*Assumptions!$B$24,Actuals!CH24)</f>
        <v>-12069.6751706167</v>
      </c>
      <c r="CH206" s="13" t="n">
        <f aca="false">IF(ISBLANK(Actuals!CI24),-Helpers!CF4*Assumptions!$B$24,Actuals!CI24)</f>
        <v>-12311.068674029</v>
      </c>
      <c r="CI206" s="13" t="n">
        <f aca="false">IF(ISBLANK(Actuals!CJ24),-Helpers!CG4*Assumptions!$B$24,Actuals!CJ24)</f>
        <v>-12311.068674029</v>
      </c>
      <c r="CJ206" s="13" t="n">
        <f aca="false">IF(ISBLANK(Actuals!CK24),-Helpers!CH4*Assumptions!$B$24,Actuals!CK24)</f>
        <v>-12311.068674029</v>
      </c>
      <c r="CK206" s="13" t="n">
        <f aca="false">IF(ISBLANK(Actuals!CL24),-Helpers!CI4*Assumptions!$B$24,Actuals!CL24)</f>
        <v>-12311.068674029</v>
      </c>
      <c r="CL206" s="13" t="n">
        <f aca="false">IF(ISBLANK(Actuals!CM24),-Helpers!CJ4*Assumptions!$B$24,Actuals!CM24)</f>
        <v>-12311.068674029</v>
      </c>
      <c r="CM206" s="13" t="n">
        <f aca="false">IF(ISBLANK(Actuals!CN24),-Helpers!CK4*Assumptions!$B$24,Actuals!CN24)</f>
        <v>-12311.068674029</v>
      </c>
      <c r="CN206" s="13" t="n">
        <f aca="false">IF(ISBLANK(Actuals!CO24),-Helpers!CL4*Assumptions!$B$24,Actuals!CO24)</f>
        <v>-12311.068674029</v>
      </c>
      <c r="CO206" s="13" t="n">
        <f aca="false">IF(ISBLANK(Actuals!CP24),-Helpers!CM4*Assumptions!$B$24,Actuals!CP24)</f>
        <v>-12311.068674029</v>
      </c>
      <c r="CP206" s="13" t="n">
        <f aca="false">IF(ISBLANK(Actuals!CQ24),-Helpers!CN4*Assumptions!$B$24,Actuals!CQ24)</f>
        <v>-12311.068674029</v>
      </c>
      <c r="CQ206" s="13" t="n">
        <f aca="false">IF(ISBLANK(Actuals!CR24),-Helpers!CO4*Assumptions!$B$24,Actuals!CR24)</f>
        <v>-12311.068674029</v>
      </c>
      <c r="CR206" s="13" t="n">
        <f aca="false">IF(ISBLANK(Actuals!CS24),-Helpers!CP4*Assumptions!$B$24,Actuals!CS24)</f>
        <v>-12311.068674029</v>
      </c>
      <c r="CS206" s="13" t="n">
        <f aca="false">IF(ISBLANK(Actuals!CT24),-Helpers!CQ4*Assumptions!$B$24,Actuals!CT24)</f>
        <v>-12311.068674029</v>
      </c>
      <c r="CT206" s="13" t="n">
        <f aca="false">IF(ISBLANK(Actuals!CU24),-Helpers!CR4*Assumptions!$B$24,Actuals!CU24)</f>
        <v>-0</v>
      </c>
      <c r="CU206" s="13" t="n">
        <f aca="false">IF(ISBLANK(Actuals!CV24),-Helpers!CS4*Assumptions!$B$24,Actuals!CV24)</f>
        <v>-0</v>
      </c>
      <c r="CV206" s="13" t="n">
        <f aca="false">IF(ISBLANK(Actuals!CW24),-Helpers!CT4*Assumptions!$B$24,Actuals!CW24)</f>
        <v>-0</v>
      </c>
      <c r="CW206" s="13" t="n">
        <f aca="false">IF(ISBLANK(Actuals!CX24),-Helpers!CU4*Assumptions!$B$24,Actuals!CX24)</f>
        <v>-0</v>
      </c>
      <c r="CX206" s="13" t="n">
        <f aca="false">IF(ISBLANK(Actuals!CY24),-Helpers!CV4*Assumptions!$B$24,Actuals!CY24)</f>
        <v>-0</v>
      </c>
      <c r="CY206" s="13" t="n">
        <f aca="false">IF(ISBLANK(Actuals!CZ24),-Helpers!CW4*Assumptions!$B$24,Actuals!CZ24)</f>
        <v>-0</v>
      </c>
      <c r="CZ206" s="13" t="n">
        <f aca="false">IF(ISBLANK(Actuals!DA24),-Helpers!CX4*Assumptions!$B$24,Actuals!DA24)</f>
        <v>-0</v>
      </c>
      <c r="DA206" s="13" t="n">
        <f aca="false">IF(ISBLANK(Actuals!DB24),-Helpers!CY4*Assumptions!$B$24,Actuals!DB24)</f>
        <v>-0</v>
      </c>
      <c r="DB206" s="13" t="n">
        <f aca="false">IF(ISBLANK(Actuals!DC24),-Helpers!CZ4*Assumptions!$B$24,Actuals!DC24)</f>
        <v>-0</v>
      </c>
      <c r="DC206" s="13" t="n">
        <f aca="false">IF(ISBLANK(Actuals!DD24),-Helpers!DA4*Assumptions!$B$24,Actuals!DD24)</f>
        <v>-0</v>
      </c>
      <c r="DD206" s="13" t="n">
        <f aca="false">IF(ISBLANK(Actuals!DE24),-Helpers!DB4*Assumptions!$B$24,Actuals!DE24)</f>
        <v>-0</v>
      </c>
      <c r="DE206" s="13" t="n">
        <f aca="false">IF(ISBLANK(Actuals!DF24),-Helpers!DC4*Assumptions!$B$24,Actuals!DF24)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IF(ISBLANK(Actuals!K25),-Helpers!H4*Assumptions!$B$27,Actuals!K25)</f>
        <v>-2397</v>
      </c>
      <c r="K207" s="13" t="n">
        <f aca="false">IF(ISBLANK(Actuals!L25),-Helpers!I4*Assumptions!$B$27,Actuals!L25)</f>
        <v>-966.393</v>
      </c>
      <c r="L207" s="13" t="n">
        <f aca="false">IF(ISBLANK(Actuals!M25),-Helpers!J4*Assumptions!$B$27,Actuals!M25)</f>
        <v>-966.393</v>
      </c>
      <c r="M207" s="13" t="n">
        <f aca="false">IF(ISBLANK(Actuals!N25),-Helpers!K4*Assumptions!$B$27,Actuals!N25)</f>
        <v>-1006.393</v>
      </c>
      <c r="N207" s="13" t="n">
        <f aca="false">IF(ISBLANK(Actuals!O25),-Helpers!L4*Assumptions!$B$27,Actuals!O25)</f>
        <v>-977.018</v>
      </c>
      <c r="O207" s="13" t="n">
        <f aca="false">IF(ISBLANK(Actuals!P25),-Helpers!M4*Assumptions!$B$27,Actuals!P25)</f>
        <v>-1008.268</v>
      </c>
      <c r="P207" s="13" t="n">
        <f aca="false">IF(ISBLANK(Actuals!Q25),-Helpers!N4*Assumptions!$B$27,Actuals!Q25)</f>
        <v>-1008.268</v>
      </c>
      <c r="Q207" s="13" t="n">
        <f aca="false">IF(ISBLANK(Actuals!R25),-Helpers!O4*Assumptions!$B$27,Actuals!R25)</f>
        <v>-1048.268</v>
      </c>
      <c r="R207" s="13" t="n">
        <f aca="false">IF(ISBLANK(Actuals!S25),-Helpers!P4*Assumptions!$B$27,Actuals!S25)</f>
        <v>-1119.518</v>
      </c>
      <c r="S207" s="13" t="n">
        <f aca="false">IF(ISBLANK(Actuals!T25),-Helpers!Q4*Assumptions!$B$27,Actuals!T25)</f>
        <v>-1263.268</v>
      </c>
      <c r="T207" s="13" t="n">
        <f aca="false">IF(ISBLANK(Actuals!U25),-Helpers!R4*Assumptions!$B$27,Actuals!U25)</f>
        <v>-1263.268</v>
      </c>
      <c r="U207" s="13" t="n">
        <f aca="false">IF(ISBLANK(Actuals!V25),-Helpers!S4*Assumptions!$B$27,Actuals!V25)</f>
        <v>-1263.268</v>
      </c>
      <c r="V207" s="13" t="n">
        <f aca="false">IF(ISBLANK(Actuals!W25),-Helpers!T4*Assumptions!$B$27,Actuals!W25)</f>
        <v>-1263.268</v>
      </c>
      <c r="W207" s="13" t="n">
        <f aca="false">IF(ISBLANK(Actuals!X25),-Helpers!U4*Assumptions!$B$27,Actuals!X25)</f>
        <v>-1403.268</v>
      </c>
      <c r="X207" s="13" t="n">
        <f aca="false">IF(ISBLANK(Actuals!Y25),-Helpers!V4*Assumptions!$B$27,Actuals!Y25)</f>
        <v>-1403.268</v>
      </c>
      <c r="Y207" s="13" t="n">
        <f aca="false">IF(ISBLANK(Actuals!Z25),-Helpers!W4*Assumptions!$B$27,Actuals!Z25)</f>
        <v>-1403.268</v>
      </c>
      <c r="Z207" s="13" t="n">
        <f aca="false">IF(ISBLANK(Actuals!AA25),-Helpers!X4*Assumptions!$B$27,Actuals!AA25)</f>
        <v>-1431.33336</v>
      </c>
      <c r="AA207" s="13" t="n">
        <f aca="false">IF(ISBLANK(Actuals!AB25),-Helpers!Y4*Assumptions!$B$27,Actuals!AB25)</f>
        <v>-1431.33336</v>
      </c>
      <c r="AB207" s="13" t="n">
        <f aca="false">IF(ISBLANK(Actuals!AC25),-Helpers!Z4*Assumptions!$B$27,Actuals!AC25)</f>
        <v>-1431.33336</v>
      </c>
      <c r="AC207" s="13" t="n">
        <f aca="false">IF(ISBLANK(Actuals!AD25),-Helpers!AA4*Assumptions!$B$27,Actuals!AD25)</f>
        <v>-1366.30836</v>
      </c>
      <c r="AD207" s="13" t="n">
        <f aca="false">IF(ISBLANK(Actuals!AE25),-Helpers!AB4*Assumptions!$B$27,Actuals!AE25)</f>
        <v>-1293.63336</v>
      </c>
      <c r="AE207" s="13" t="n">
        <f aca="false">IF(ISBLANK(Actuals!AF25),-Helpers!AC4*Assumptions!$B$27,Actuals!AF25)</f>
        <v>-1293.63336</v>
      </c>
      <c r="AF207" s="13" t="n">
        <f aca="false">IF(ISBLANK(Actuals!AG25),-Helpers!AD4*Assumptions!$B$27,Actuals!AG25)</f>
        <v>-1293.63336</v>
      </c>
      <c r="AG207" s="13" t="n">
        <f aca="false">IF(ISBLANK(Actuals!AH25),-Helpers!AE4*Assumptions!$B$27,Actuals!AH25)</f>
        <v>-1247.73336</v>
      </c>
      <c r="AH207" s="13" t="n">
        <f aca="false">IF(ISBLANK(Actuals!AI25),-Helpers!AF4*Assumptions!$B$27,Actuals!AI25)</f>
        <v>-1206.93336</v>
      </c>
      <c r="AI207" s="13" t="n">
        <f aca="false">IF(ISBLANK(Actuals!AJ25),-Helpers!AG4*Assumptions!$B$27,Actuals!AJ25)</f>
        <v>-1206.93336</v>
      </c>
      <c r="AJ207" s="13" t="n">
        <f aca="false">IF(ISBLANK(Actuals!AK25),-Helpers!AH4*Assumptions!$B$27,Actuals!AK25)</f>
        <v>-1206.93336</v>
      </c>
      <c r="AK207" s="13" t="n">
        <f aca="false">IF(ISBLANK(Actuals!AL25),-Helpers!AI4*Assumptions!$B$27,Actuals!AL25)</f>
        <v>-1206.93336</v>
      </c>
      <c r="AL207" s="13" t="n">
        <f aca="false">IF(ISBLANK(Actuals!AM25),-Helpers!AJ4*Assumptions!$B$27,Actuals!AM25)</f>
        <v>-1231.0720272</v>
      </c>
      <c r="AM207" s="13" t="n">
        <f aca="false">IF(ISBLANK(Actuals!AN25),-Helpers!AK4*Assumptions!$B$27,Actuals!AN25)</f>
        <v>-1147.8400272</v>
      </c>
      <c r="AN207" s="13" t="n">
        <f aca="false">IF(ISBLANK(Actuals!AO25),-Helpers!AL4*Assumptions!$B$27,Actuals!AO25)</f>
        <v>-1115.3275272</v>
      </c>
      <c r="AO207" s="13" t="n">
        <f aca="false">IF(ISBLANK(Actuals!AP25),-Helpers!AM4*Assumptions!$B$27,Actuals!AP25)</f>
        <v>-1039.8985272</v>
      </c>
      <c r="AP207" s="13" t="n">
        <f aca="false">IF(ISBLANK(Actuals!AQ25),-Helpers!AN4*Assumptions!$B$27,Actuals!AQ25)</f>
        <v>-1039.8985272</v>
      </c>
      <c r="AQ207" s="13" t="n">
        <f aca="false">IF(ISBLANK(Actuals!AR25),-Helpers!AO4*Assumptions!$B$27,Actuals!AR25)</f>
        <v>-1007.3860272</v>
      </c>
      <c r="AR207" s="13" t="n">
        <f aca="false">IF(ISBLANK(Actuals!AS25),-Helpers!AP4*Assumptions!$B$27,Actuals!AS25)</f>
        <v>-1007.3860272</v>
      </c>
      <c r="AS207" s="13" t="n">
        <f aca="false">IF(ISBLANK(Actuals!AT25),-Helpers!AQ4*Assumptions!$B$27,Actuals!AT25)</f>
        <v>-1007.3860272</v>
      </c>
      <c r="AT207" s="13" t="n">
        <f aca="false">IF(ISBLANK(Actuals!AU25),-Helpers!AR4*Assumptions!$B$27,Actuals!AU25)</f>
        <v>-1007.3860272</v>
      </c>
      <c r="AU207" s="13" t="n">
        <f aca="false">IF(ISBLANK(Actuals!AV25),-Helpers!AS4*Assumptions!$B$27,Actuals!AV25)</f>
        <v>-974.8735272</v>
      </c>
      <c r="AV207" s="13" t="n">
        <f aca="false">IF(ISBLANK(Actuals!AW25),-Helpers!AT4*Assumptions!$B$27,Actuals!AW25)</f>
        <v>-974.8735272</v>
      </c>
      <c r="AW207" s="13" t="n">
        <f aca="false">IF(ISBLANK(Actuals!AX25),-Helpers!AU4*Assumptions!$B$27,Actuals!AX25)</f>
        <v>-974.8735272</v>
      </c>
      <c r="AX207" s="13" t="n">
        <f aca="false">IF(ISBLANK(Actuals!AY25),-Helpers!AV4*Assumptions!$B$27,Actuals!AY25)</f>
        <v>-994.370997744</v>
      </c>
      <c r="AY207" s="13" t="n">
        <f aca="false">IF(ISBLANK(Actuals!AZ25),-Helpers!AW4*Assumptions!$B$27,Actuals!AZ25)</f>
        <v>-994.370997744</v>
      </c>
      <c r="AZ207" s="13" t="n">
        <f aca="false">IF(ISBLANK(Actuals!BA25),-Helpers!AX4*Assumptions!$B$27,Actuals!BA25)</f>
        <v>-994.370997744</v>
      </c>
      <c r="BA207" s="13" t="n">
        <f aca="false">IF(ISBLANK(Actuals!BB25),-Helpers!AY4*Assumptions!$B$27,Actuals!BB25)</f>
        <v>-994.370997744</v>
      </c>
      <c r="BB207" s="13" t="n">
        <f aca="false">IF(ISBLANK(Actuals!BC25),-Helpers!AZ4*Assumptions!$B$27,Actuals!BC25)</f>
        <v>-994.370997744</v>
      </c>
      <c r="BC207" s="13" t="n">
        <f aca="false">IF(ISBLANK(Actuals!BD25),-Helpers!BA4*Assumptions!$B$27,Actuals!BD25)</f>
        <v>-994.370997744</v>
      </c>
      <c r="BD207" s="13" t="n">
        <f aca="false">IF(ISBLANK(Actuals!BE25),-Helpers!BB4*Assumptions!$B$27,Actuals!BE25)</f>
        <v>-994.370997744</v>
      </c>
      <c r="BE207" s="13" t="n">
        <f aca="false">IF(ISBLANK(Actuals!BF25),-Helpers!BC4*Assumptions!$B$27,Actuals!BF25)</f>
        <v>-994.370997744</v>
      </c>
      <c r="BF207" s="13" t="n">
        <f aca="false">IF(ISBLANK(Actuals!BG25),-Helpers!BD4*Assumptions!$B$27,Actuals!BG25)</f>
        <v>-994.370997744</v>
      </c>
      <c r="BG207" s="13" t="n">
        <f aca="false">IF(ISBLANK(Actuals!BH25),-Helpers!BE4*Assumptions!$B$27,Actuals!BH25)</f>
        <v>-994.370997744</v>
      </c>
      <c r="BH207" s="13" t="n">
        <f aca="false">IF(ISBLANK(Actuals!BI25),-Helpers!BF4*Assumptions!$B$27,Actuals!BI25)</f>
        <v>-994.370997744</v>
      </c>
      <c r="BI207" s="13" t="n">
        <f aca="false">IF(ISBLANK(Actuals!BJ25),-Helpers!BG4*Assumptions!$B$27,Actuals!BJ25)</f>
        <v>-994.370997744</v>
      </c>
      <c r="BJ207" s="13" t="n">
        <f aca="false">IF(ISBLANK(Actuals!BK25),-Helpers!BH4*Assumptions!$B$27,Actuals!BK25)</f>
        <v>-1014.25841769888</v>
      </c>
      <c r="BK207" s="13" t="n">
        <f aca="false">IF(ISBLANK(Actuals!BL25),-Helpers!BI4*Assumptions!$B$27,Actuals!BL25)</f>
        <v>-1014.25841769888</v>
      </c>
      <c r="BL207" s="13" t="n">
        <f aca="false">IF(ISBLANK(Actuals!BM25),-Helpers!BJ4*Assumptions!$B$27,Actuals!BM25)</f>
        <v>-1014.25841769888</v>
      </c>
      <c r="BM207" s="13" t="n">
        <f aca="false">IF(ISBLANK(Actuals!BN25),-Helpers!BK4*Assumptions!$B$27,Actuals!BN25)</f>
        <v>-1014.25841769888</v>
      </c>
      <c r="BN207" s="13" t="n">
        <f aca="false">IF(ISBLANK(Actuals!BO25),-Helpers!BL4*Assumptions!$B$27,Actuals!BO25)</f>
        <v>-1014.25841769888</v>
      </c>
      <c r="BO207" s="13" t="n">
        <f aca="false">IF(ISBLANK(Actuals!BP25),-Helpers!BM4*Assumptions!$B$27,Actuals!BP25)</f>
        <v>-1014.25841769888</v>
      </c>
      <c r="BP207" s="13" t="n">
        <f aca="false">IF(ISBLANK(Actuals!BQ25),-Helpers!BN4*Assumptions!$B$27,Actuals!BQ25)</f>
        <v>-1014.25841769888</v>
      </c>
      <c r="BQ207" s="13" t="n">
        <f aca="false">IF(ISBLANK(Actuals!BR25),-Helpers!BO4*Assumptions!$B$27,Actuals!BR25)</f>
        <v>-1014.25841769888</v>
      </c>
      <c r="BR207" s="13" t="n">
        <f aca="false">IF(ISBLANK(Actuals!BS25),-Helpers!BP4*Assumptions!$B$27,Actuals!BS25)</f>
        <v>-1014.25841769888</v>
      </c>
      <c r="BS207" s="13" t="n">
        <f aca="false">IF(ISBLANK(Actuals!BT25),-Helpers!BQ4*Assumptions!$B$27,Actuals!BT25)</f>
        <v>-1014.25841769888</v>
      </c>
      <c r="BT207" s="13" t="n">
        <f aca="false">IF(ISBLANK(Actuals!BU25),-Helpers!BR4*Assumptions!$B$27,Actuals!BU25)</f>
        <v>-1014.25841769888</v>
      </c>
      <c r="BU207" s="13" t="n">
        <f aca="false">IF(ISBLANK(Actuals!BV25),-Helpers!BS4*Assumptions!$B$27,Actuals!BV25)</f>
        <v>-1014.25841769888</v>
      </c>
      <c r="BV207" s="13" t="n">
        <f aca="false">IF(ISBLANK(Actuals!BW25),-Helpers!BT4*Assumptions!$B$27,Actuals!BW25)</f>
        <v>-1034.54358605286</v>
      </c>
      <c r="BW207" s="13" t="n">
        <f aca="false">IF(ISBLANK(Actuals!BX25),-Helpers!BU4*Assumptions!$B$27,Actuals!BX25)</f>
        <v>-1034.54358605286</v>
      </c>
      <c r="BX207" s="13" t="n">
        <f aca="false">IF(ISBLANK(Actuals!BY25),-Helpers!BV4*Assumptions!$B$27,Actuals!BY25)</f>
        <v>-1034.54358605286</v>
      </c>
      <c r="BY207" s="13" t="n">
        <f aca="false">IF(ISBLANK(Actuals!BZ25),-Helpers!BW4*Assumptions!$B$27,Actuals!BZ25)</f>
        <v>-1034.54358605286</v>
      </c>
      <c r="BZ207" s="13" t="n">
        <f aca="false">IF(ISBLANK(Actuals!CA25),-Helpers!BX4*Assumptions!$B$27,Actuals!CA25)</f>
        <v>-1034.54358605286</v>
      </c>
      <c r="CA207" s="13" t="n">
        <f aca="false">IF(ISBLANK(Actuals!CB25),-Helpers!BY4*Assumptions!$B$27,Actuals!CB25)</f>
        <v>-1034.54358605286</v>
      </c>
      <c r="CB207" s="13" t="n">
        <f aca="false">IF(ISBLANK(Actuals!CC25),-Helpers!BZ4*Assumptions!$B$27,Actuals!CC25)</f>
        <v>-1034.54358605286</v>
      </c>
      <c r="CC207" s="13" t="n">
        <f aca="false">IF(ISBLANK(Actuals!CD25),-Helpers!CA4*Assumptions!$B$27,Actuals!CD25)</f>
        <v>-1034.54358605286</v>
      </c>
      <c r="CD207" s="13" t="n">
        <f aca="false">IF(ISBLANK(Actuals!CE25),-Helpers!CB4*Assumptions!$B$27,Actuals!CE25)</f>
        <v>-1034.54358605286</v>
      </c>
      <c r="CE207" s="13" t="n">
        <f aca="false">IF(ISBLANK(Actuals!CF25),-Helpers!CC4*Assumptions!$B$27,Actuals!CF25)</f>
        <v>-1034.54358605286</v>
      </c>
      <c r="CF207" s="13" t="n">
        <f aca="false">IF(ISBLANK(Actuals!CG25),-Helpers!CD4*Assumptions!$B$27,Actuals!CG25)</f>
        <v>-1034.54358605286</v>
      </c>
      <c r="CG207" s="13" t="n">
        <f aca="false">IF(ISBLANK(Actuals!CH25),-Helpers!CE4*Assumptions!$B$27,Actuals!CH25)</f>
        <v>-1034.54358605286</v>
      </c>
      <c r="CH207" s="13" t="n">
        <f aca="false">IF(ISBLANK(Actuals!CI25),-Helpers!CF4*Assumptions!$B$27,Actuals!CI25)</f>
        <v>-1055.23445777391</v>
      </c>
      <c r="CI207" s="13" t="n">
        <f aca="false">IF(ISBLANK(Actuals!CJ25),-Helpers!CG4*Assumptions!$B$27,Actuals!CJ25)</f>
        <v>-1055.23445777391</v>
      </c>
      <c r="CJ207" s="13" t="n">
        <f aca="false">IF(ISBLANK(Actuals!CK25),-Helpers!CH4*Assumptions!$B$27,Actuals!CK25)</f>
        <v>-1055.23445777391</v>
      </c>
      <c r="CK207" s="13" t="n">
        <f aca="false">IF(ISBLANK(Actuals!CL25),-Helpers!CI4*Assumptions!$B$27,Actuals!CL25)</f>
        <v>-1055.23445777391</v>
      </c>
      <c r="CL207" s="13" t="n">
        <f aca="false">IF(ISBLANK(Actuals!CM25),-Helpers!CJ4*Assumptions!$B$27,Actuals!CM25)</f>
        <v>-1055.23445777391</v>
      </c>
      <c r="CM207" s="13" t="n">
        <f aca="false">IF(ISBLANK(Actuals!CN25),-Helpers!CK4*Assumptions!$B$27,Actuals!CN25)</f>
        <v>-1055.23445777391</v>
      </c>
      <c r="CN207" s="13" t="n">
        <f aca="false">IF(ISBLANK(Actuals!CO25),-Helpers!CL4*Assumptions!$B$27,Actuals!CO25)</f>
        <v>-1055.23445777391</v>
      </c>
      <c r="CO207" s="13" t="n">
        <f aca="false">IF(ISBLANK(Actuals!CP25),-Helpers!CM4*Assumptions!$B$27,Actuals!CP25)</f>
        <v>-1055.23445777391</v>
      </c>
      <c r="CP207" s="13" t="n">
        <f aca="false">IF(ISBLANK(Actuals!CQ25),-Helpers!CN4*Assumptions!$B$27,Actuals!CQ25)</f>
        <v>-1055.23445777391</v>
      </c>
      <c r="CQ207" s="13" t="n">
        <f aca="false">IF(ISBLANK(Actuals!CR25),-Helpers!CO4*Assumptions!$B$27,Actuals!CR25)</f>
        <v>-1055.23445777391</v>
      </c>
      <c r="CR207" s="13" t="n">
        <f aca="false">IF(ISBLANK(Actuals!CS25),-Helpers!CP4*Assumptions!$B$27,Actuals!CS25)</f>
        <v>-1055.23445777391</v>
      </c>
      <c r="CS207" s="13" t="n">
        <f aca="false">IF(ISBLANK(Actuals!CT25),-Helpers!CQ4*Assumptions!$B$27,Actuals!CT25)</f>
        <v>-1055.23445777391</v>
      </c>
      <c r="CT207" s="13" t="n">
        <f aca="false">IF(ISBLANK(Actuals!CU25),-Helpers!CR4*Assumptions!$B$27,Actuals!CU25)</f>
        <v>-0</v>
      </c>
      <c r="CU207" s="13" t="n">
        <f aca="false">IF(ISBLANK(Actuals!CV25),-Helpers!CS4*Assumptions!$B$27,Actuals!CV25)</f>
        <v>-0</v>
      </c>
      <c r="CV207" s="13" t="n">
        <f aca="false">IF(ISBLANK(Actuals!CW25),-Helpers!CT4*Assumptions!$B$27,Actuals!CW25)</f>
        <v>-0</v>
      </c>
      <c r="CW207" s="13" t="n">
        <f aca="false">IF(ISBLANK(Actuals!CX25),-Helpers!CU4*Assumptions!$B$27,Actuals!CX25)</f>
        <v>-0</v>
      </c>
      <c r="CX207" s="13" t="n">
        <f aca="false">IF(ISBLANK(Actuals!CY25),-Helpers!CV4*Assumptions!$B$27,Actuals!CY25)</f>
        <v>-0</v>
      </c>
      <c r="CY207" s="13" t="n">
        <f aca="false">IF(ISBLANK(Actuals!CZ25),-Helpers!CW4*Assumptions!$B$27,Actuals!CZ25)</f>
        <v>-0</v>
      </c>
      <c r="CZ207" s="13" t="n">
        <f aca="false">IF(ISBLANK(Actuals!DA25),-Helpers!CX4*Assumptions!$B$27,Actuals!DA25)</f>
        <v>-0</v>
      </c>
      <c r="DA207" s="13" t="n">
        <f aca="false">IF(ISBLANK(Actuals!DB25),-Helpers!CY4*Assumptions!$B$27,Actuals!DB25)</f>
        <v>-0</v>
      </c>
      <c r="DB207" s="13" t="n">
        <f aca="false">IF(ISBLANK(Actuals!DC25),-Helpers!CZ4*Assumptions!$B$27,Actuals!DC25)</f>
        <v>-0</v>
      </c>
      <c r="DC207" s="13" t="n">
        <f aca="false">IF(ISBLANK(Actuals!DD25),-Helpers!DA4*Assumptions!$B$27,Actuals!DD25)</f>
        <v>-0</v>
      </c>
      <c r="DD207" s="13" t="n">
        <f aca="false">IF(ISBLANK(Actuals!DE25),-Helpers!DB4*Assumptions!$B$27,Actuals!DE25)</f>
        <v>-0</v>
      </c>
      <c r="DE207" s="13" t="n">
        <f aca="false">IF(ISBLANK(Actuals!DF25),-Helpers!DC4*Assumptions!$B$27,Actuals!DF25)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0</v>
      </c>
      <c r="K208" s="13" t="n">
        <f aca="false">IF(ISBLANK(Actuals!L26),-Helpers!I4*Assumptions!$B$21,Actuals!L26)</f>
        <v>-1610.655</v>
      </c>
      <c r="L208" s="13" t="n">
        <f aca="false">IF(ISBLANK(Actuals!M26),-Helpers!J4*Assumptions!$B$21,Actuals!M26)</f>
        <v>-1610.655</v>
      </c>
      <c r="M208" s="13" t="n">
        <f aca="false">IF(ISBLANK(Actuals!N26),-Helpers!K4*Assumptions!$B$21,Actuals!N26)</f>
        <v>-1677.32166666667</v>
      </c>
      <c r="N208" s="13" t="n">
        <f aca="false">IF(ISBLANK(Actuals!O26),-Helpers!L4*Assumptions!$B$21,Actuals!O26)</f>
        <v>-1628.36333333333</v>
      </c>
      <c r="O208" s="13" t="n">
        <f aca="false">IF(ISBLANK(Actuals!P26),-Helpers!M4*Assumptions!$B$21,Actuals!P26)</f>
        <v>-1680.44666666667</v>
      </c>
      <c r="P208" s="13" t="n">
        <f aca="false">IF(ISBLANK(Actuals!Q26),-Helpers!N4*Assumptions!$B$21,Actuals!Q26)</f>
        <v>-1680.44666666667</v>
      </c>
      <c r="Q208" s="13" t="n">
        <f aca="false">IF(ISBLANK(Actuals!R26),-Helpers!O4*Assumptions!$B$21,Actuals!R26)</f>
        <v>-1747.11333333333</v>
      </c>
      <c r="R208" s="13" t="n">
        <f aca="false">IF(ISBLANK(Actuals!S26),-Helpers!P4*Assumptions!$B$21,Actuals!S26)</f>
        <v>-1865.86333333333</v>
      </c>
      <c r="S208" s="13" t="n">
        <f aca="false">IF(ISBLANK(Actuals!T26),-Helpers!Q4*Assumptions!$B$21,Actuals!T26)</f>
        <v>-2105.44666666667</v>
      </c>
      <c r="T208" s="13" t="n">
        <f aca="false">IF(ISBLANK(Actuals!U26),-Helpers!R4*Assumptions!$B$21,Actuals!U26)</f>
        <v>-2105.44666666667</v>
      </c>
      <c r="U208" s="13" t="n">
        <f aca="false">IF(ISBLANK(Actuals!V26),-Helpers!S4*Assumptions!$B$21,Actuals!V26)</f>
        <v>-2105.44666666667</v>
      </c>
      <c r="V208" s="13" t="n">
        <f aca="false">IF(ISBLANK(Actuals!W26),-Helpers!T4*Assumptions!$B$21,Actuals!W26)</f>
        <v>-2105.44666666667</v>
      </c>
      <c r="W208" s="13" t="n">
        <f aca="false">IF(ISBLANK(Actuals!X26),-Helpers!U4*Assumptions!$B$21,Actuals!X26)</f>
        <v>-2338.78</v>
      </c>
      <c r="X208" s="13" t="n">
        <f aca="false">IF(ISBLANK(Actuals!Y26),-Helpers!V4*Assumptions!$B$21,Actuals!Y26)</f>
        <v>-2338.78</v>
      </c>
      <c r="Y208" s="13" t="n">
        <f aca="false">IF(ISBLANK(Actuals!Z26),-Helpers!W4*Assumptions!$B$21,Actuals!Z26)</f>
        <v>-2338.78</v>
      </c>
      <c r="Z208" s="13" t="n">
        <f aca="false">IF(ISBLANK(Actuals!AA26),-Helpers!X4*Assumptions!$B$21,Actuals!AA26)</f>
        <v>-2385.5556</v>
      </c>
      <c r="AA208" s="13" t="n">
        <f aca="false">IF(ISBLANK(Actuals!AB26),-Helpers!Y4*Assumptions!$B$21,Actuals!AB26)</f>
        <v>-2385.5556</v>
      </c>
      <c r="AB208" s="13" t="n">
        <f aca="false">IF(ISBLANK(Actuals!AC26),-Helpers!Z4*Assumptions!$B$21,Actuals!AC26)</f>
        <v>-2385.5556</v>
      </c>
      <c r="AC208" s="13" t="n">
        <f aca="false">IF(ISBLANK(Actuals!AD26),-Helpers!AA4*Assumptions!$B$21,Actuals!AD26)</f>
        <v>-2277.1806</v>
      </c>
      <c r="AD208" s="13" t="n">
        <f aca="false">IF(ISBLANK(Actuals!AE26),-Helpers!AB4*Assumptions!$B$21,Actuals!AE26)</f>
        <v>-2156.0556</v>
      </c>
      <c r="AE208" s="13" t="n">
        <f aca="false">IF(ISBLANK(Actuals!AF26),-Helpers!AC4*Assumptions!$B$21,Actuals!AF26)</f>
        <v>-2156.0556</v>
      </c>
      <c r="AF208" s="13" t="n">
        <f aca="false">IF(ISBLANK(Actuals!AG26),-Helpers!AD4*Assumptions!$B$21,Actuals!AG26)</f>
        <v>-2156.0556</v>
      </c>
      <c r="AG208" s="13" t="n">
        <f aca="false">IF(ISBLANK(Actuals!AH26),-Helpers!AE4*Assumptions!$B$21,Actuals!AH26)</f>
        <v>-2079.5556</v>
      </c>
      <c r="AH208" s="13" t="n">
        <f aca="false">IF(ISBLANK(Actuals!AI26),-Helpers!AF4*Assumptions!$B$21,Actuals!AI26)</f>
        <v>-2011.5556</v>
      </c>
      <c r="AI208" s="13" t="n">
        <f aca="false">IF(ISBLANK(Actuals!AJ26),-Helpers!AG4*Assumptions!$B$21,Actuals!AJ26)</f>
        <v>-2011.5556</v>
      </c>
      <c r="AJ208" s="13" t="n">
        <f aca="false">IF(ISBLANK(Actuals!AK26),-Helpers!AH4*Assumptions!$B$21,Actuals!AK26)</f>
        <v>-2011.5556</v>
      </c>
      <c r="AK208" s="13" t="n">
        <f aca="false">IF(ISBLANK(Actuals!AL26),-Helpers!AI4*Assumptions!$B$21,Actuals!AL26)</f>
        <v>-2011.5556</v>
      </c>
      <c r="AL208" s="13" t="n">
        <f aca="false">IF(ISBLANK(Actuals!AM26),-Helpers!AJ4*Assumptions!$B$21,Actuals!AM26)</f>
        <v>-2051.786712</v>
      </c>
      <c r="AM208" s="13" t="n">
        <f aca="false">IF(ISBLANK(Actuals!AN26),-Helpers!AK4*Assumptions!$B$21,Actuals!AN26)</f>
        <v>-1913.066712</v>
      </c>
      <c r="AN208" s="13" t="n">
        <f aca="false">IF(ISBLANK(Actuals!AO26),-Helpers!AL4*Assumptions!$B$21,Actuals!AO26)</f>
        <v>-1858.879212</v>
      </c>
      <c r="AO208" s="13" t="n">
        <f aca="false">IF(ISBLANK(Actuals!AP26),-Helpers!AM4*Assumptions!$B$21,Actuals!AP26)</f>
        <v>-1733.164212</v>
      </c>
      <c r="AP208" s="13" t="n">
        <f aca="false">IF(ISBLANK(Actuals!AQ26),-Helpers!AN4*Assumptions!$B$21,Actuals!AQ26)</f>
        <v>-1733.164212</v>
      </c>
      <c r="AQ208" s="13" t="n">
        <f aca="false">IF(ISBLANK(Actuals!AR26),-Helpers!AO4*Assumptions!$B$21,Actuals!AR26)</f>
        <v>-1678.976712</v>
      </c>
      <c r="AR208" s="13" t="n">
        <f aca="false">IF(ISBLANK(Actuals!AS26),-Helpers!AP4*Assumptions!$B$21,Actuals!AS26)</f>
        <v>-1678.976712</v>
      </c>
      <c r="AS208" s="13" t="n">
        <f aca="false">IF(ISBLANK(Actuals!AT26),-Helpers!AQ4*Assumptions!$B$21,Actuals!AT26)</f>
        <v>-1678.976712</v>
      </c>
      <c r="AT208" s="13" t="n">
        <f aca="false">IF(ISBLANK(Actuals!AU26),-Helpers!AR4*Assumptions!$B$21,Actuals!AU26)</f>
        <v>-1678.976712</v>
      </c>
      <c r="AU208" s="13" t="n">
        <f aca="false">IF(ISBLANK(Actuals!AV26),-Helpers!AS4*Assumptions!$B$21,Actuals!AV26)</f>
        <v>-1624.789212</v>
      </c>
      <c r="AV208" s="13" t="n">
        <f aca="false">IF(ISBLANK(Actuals!AW26),-Helpers!AT4*Assumptions!$B$21,Actuals!AW26)</f>
        <v>-1624.789212</v>
      </c>
      <c r="AW208" s="13" t="n">
        <f aca="false">IF(ISBLANK(Actuals!AX26),-Helpers!AU4*Assumptions!$B$21,Actuals!AX26)</f>
        <v>-1624.789212</v>
      </c>
      <c r="AX208" s="13" t="n">
        <f aca="false">IF(ISBLANK(Actuals!AY26),-Helpers!AV4*Assumptions!$B$21,Actuals!AY26)</f>
        <v>-1657.28499624</v>
      </c>
      <c r="AY208" s="13" t="n">
        <f aca="false">IF(ISBLANK(Actuals!AZ26),-Helpers!AW4*Assumptions!$B$21,Actuals!AZ26)</f>
        <v>-1657.28499624</v>
      </c>
      <c r="AZ208" s="13" t="n">
        <f aca="false">IF(ISBLANK(Actuals!BA26),-Helpers!AX4*Assumptions!$B$21,Actuals!BA26)</f>
        <v>-1657.28499624</v>
      </c>
      <c r="BA208" s="13" t="n">
        <f aca="false">IF(ISBLANK(Actuals!BB26),-Helpers!AY4*Assumptions!$B$21,Actuals!BB26)</f>
        <v>-1657.28499624</v>
      </c>
      <c r="BB208" s="13" t="n">
        <f aca="false">IF(ISBLANK(Actuals!BC26),-Helpers!AZ4*Assumptions!$B$21,Actuals!BC26)</f>
        <v>-1657.28499624</v>
      </c>
      <c r="BC208" s="13" t="n">
        <f aca="false">IF(ISBLANK(Actuals!BD26),-Helpers!BA4*Assumptions!$B$21,Actuals!BD26)</f>
        <v>-1657.28499624</v>
      </c>
      <c r="BD208" s="13" t="n">
        <f aca="false">IF(ISBLANK(Actuals!BE26),-Helpers!BB4*Assumptions!$B$21,Actuals!BE26)</f>
        <v>-1657.28499624</v>
      </c>
      <c r="BE208" s="13" t="n">
        <f aca="false">IF(ISBLANK(Actuals!BF26),-Helpers!BC4*Assumptions!$B$21,Actuals!BF26)</f>
        <v>-1657.28499624</v>
      </c>
      <c r="BF208" s="13" t="n">
        <f aca="false">IF(ISBLANK(Actuals!BG26),-Helpers!BD4*Assumptions!$B$21,Actuals!BG26)</f>
        <v>-1657.28499624</v>
      </c>
      <c r="BG208" s="13" t="n">
        <f aca="false">IF(ISBLANK(Actuals!BH26),-Helpers!BE4*Assumptions!$B$21,Actuals!BH26)</f>
        <v>-1657.28499624</v>
      </c>
      <c r="BH208" s="13" t="n">
        <f aca="false">IF(ISBLANK(Actuals!BI26),-Helpers!BF4*Assumptions!$B$21,Actuals!BI26)</f>
        <v>-1657.28499624</v>
      </c>
      <c r="BI208" s="13" t="n">
        <f aca="false">IF(ISBLANK(Actuals!BJ26),-Helpers!BG4*Assumptions!$B$21,Actuals!BJ26)</f>
        <v>-1657.28499624</v>
      </c>
      <c r="BJ208" s="13" t="n">
        <f aca="false">IF(ISBLANK(Actuals!BK26),-Helpers!BH4*Assumptions!$B$21,Actuals!BK26)</f>
        <v>-1690.4306961648</v>
      </c>
      <c r="BK208" s="13" t="n">
        <f aca="false">IF(ISBLANK(Actuals!BL26),-Helpers!BI4*Assumptions!$B$21,Actuals!BL26)</f>
        <v>-1690.4306961648</v>
      </c>
      <c r="BL208" s="13" t="n">
        <f aca="false">IF(ISBLANK(Actuals!BM26),-Helpers!BJ4*Assumptions!$B$21,Actuals!BM26)</f>
        <v>-1690.4306961648</v>
      </c>
      <c r="BM208" s="13" t="n">
        <f aca="false">IF(ISBLANK(Actuals!BN26),-Helpers!BK4*Assumptions!$B$21,Actuals!BN26)</f>
        <v>-1690.4306961648</v>
      </c>
      <c r="BN208" s="13" t="n">
        <f aca="false">IF(ISBLANK(Actuals!BO26),-Helpers!BL4*Assumptions!$B$21,Actuals!BO26)</f>
        <v>-1690.4306961648</v>
      </c>
      <c r="BO208" s="13" t="n">
        <f aca="false">IF(ISBLANK(Actuals!BP26),-Helpers!BM4*Assumptions!$B$21,Actuals!BP26)</f>
        <v>-1690.4306961648</v>
      </c>
      <c r="BP208" s="13" t="n">
        <f aca="false">IF(ISBLANK(Actuals!BQ26),-Helpers!BN4*Assumptions!$B$21,Actuals!BQ26)</f>
        <v>-1690.4306961648</v>
      </c>
      <c r="BQ208" s="13" t="n">
        <f aca="false">IF(ISBLANK(Actuals!BR26),-Helpers!BO4*Assumptions!$B$21,Actuals!BR26)</f>
        <v>-1690.4306961648</v>
      </c>
      <c r="BR208" s="13" t="n">
        <f aca="false">IF(ISBLANK(Actuals!BS26),-Helpers!BP4*Assumptions!$B$21,Actuals!BS26)</f>
        <v>-1690.4306961648</v>
      </c>
      <c r="BS208" s="13" t="n">
        <f aca="false">IF(ISBLANK(Actuals!BT26),-Helpers!BQ4*Assumptions!$B$21,Actuals!BT26)</f>
        <v>-1690.4306961648</v>
      </c>
      <c r="BT208" s="13" t="n">
        <f aca="false">IF(ISBLANK(Actuals!BU26),-Helpers!BR4*Assumptions!$B$21,Actuals!BU26)</f>
        <v>-1690.4306961648</v>
      </c>
      <c r="BU208" s="13" t="n">
        <f aca="false">IF(ISBLANK(Actuals!BV26),-Helpers!BS4*Assumptions!$B$21,Actuals!BV26)</f>
        <v>-1690.4306961648</v>
      </c>
      <c r="BV208" s="13" t="n">
        <f aca="false">IF(ISBLANK(Actuals!BW26),-Helpers!BT4*Assumptions!$B$21,Actuals!BW26)</f>
        <v>-1724.2393100881</v>
      </c>
      <c r="BW208" s="13" t="n">
        <f aca="false">IF(ISBLANK(Actuals!BX26),-Helpers!BU4*Assumptions!$B$21,Actuals!BX26)</f>
        <v>-1724.2393100881</v>
      </c>
      <c r="BX208" s="13" t="n">
        <f aca="false">IF(ISBLANK(Actuals!BY26),-Helpers!BV4*Assumptions!$B$21,Actuals!BY26)</f>
        <v>-1724.2393100881</v>
      </c>
      <c r="BY208" s="13" t="n">
        <f aca="false">IF(ISBLANK(Actuals!BZ26),-Helpers!BW4*Assumptions!$B$21,Actuals!BZ26)</f>
        <v>-1724.2393100881</v>
      </c>
      <c r="BZ208" s="13" t="n">
        <f aca="false">IF(ISBLANK(Actuals!CA26),-Helpers!BX4*Assumptions!$B$21,Actuals!CA26)</f>
        <v>-1724.2393100881</v>
      </c>
      <c r="CA208" s="13" t="n">
        <f aca="false">IF(ISBLANK(Actuals!CB26),-Helpers!BY4*Assumptions!$B$21,Actuals!CB26)</f>
        <v>-1724.2393100881</v>
      </c>
      <c r="CB208" s="13" t="n">
        <f aca="false">IF(ISBLANK(Actuals!CC26),-Helpers!BZ4*Assumptions!$B$21,Actuals!CC26)</f>
        <v>-1724.2393100881</v>
      </c>
      <c r="CC208" s="13" t="n">
        <f aca="false">IF(ISBLANK(Actuals!CD26),-Helpers!CA4*Assumptions!$B$21,Actuals!CD26)</f>
        <v>-1724.2393100881</v>
      </c>
      <c r="CD208" s="13" t="n">
        <f aca="false">IF(ISBLANK(Actuals!CE26),-Helpers!CB4*Assumptions!$B$21,Actuals!CE26)</f>
        <v>-1724.2393100881</v>
      </c>
      <c r="CE208" s="13" t="n">
        <f aca="false">IF(ISBLANK(Actuals!CF26),-Helpers!CC4*Assumptions!$B$21,Actuals!CF26)</f>
        <v>-1724.2393100881</v>
      </c>
      <c r="CF208" s="13" t="n">
        <f aca="false">IF(ISBLANK(Actuals!CG26),-Helpers!CD4*Assumptions!$B$21,Actuals!CG26)</f>
        <v>-1724.2393100881</v>
      </c>
      <c r="CG208" s="13" t="n">
        <f aca="false">IF(ISBLANK(Actuals!CH26),-Helpers!CE4*Assumptions!$B$21,Actuals!CH26)</f>
        <v>-1724.2393100881</v>
      </c>
      <c r="CH208" s="13" t="n">
        <f aca="false">IF(ISBLANK(Actuals!CI26),-Helpers!CF4*Assumptions!$B$21,Actuals!CI26)</f>
        <v>-1758.72409628986</v>
      </c>
      <c r="CI208" s="13" t="n">
        <f aca="false">IF(ISBLANK(Actuals!CJ26),-Helpers!CG4*Assumptions!$B$21,Actuals!CJ26)</f>
        <v>-1758.72409628986</v>
      </c>
      <c r="CJ208" s="13" t="n">
        <f aca="false">IF(ISBLANK(Actuals!CK26),-Helpers!CH4*Assumptions!$B$21,Actuals!CK26)</f>
        <v>-1758.72409628986</v>
      </c>
      <c r="CK208" s="13" t="n">
        <f aca="false">IF(ISBLANK(Actuals!CL26),-Helpers!CI4*Assumptions!$B$21,Actuals!CL26)</f>
        <v>-1758.72409628986</v>
      </c>
      <c r="CL208" s="13" t="n">
        <f aca="false">IF(ISBLANK(Actuals!CM26),-Helpers!CJ4*Assumptions!$B$21,Actuals!CM26)</f>
        <v>-1758.72409628986</v>
      </c>
      <c r="CM208" s="13" t="n">
        <f aca="false">IF(ISBLANK(Actuals!CN26),-Helpers!CK4*Assumptions!$B$21,Actuals!CN26)</f>
        <v>-1758.72409628986</v>
      </c>
      <c r="CN208" s="13" t="n">
        <f aca="false">IF(ISBLANK(Actuals!CO26),-Helpers!CL4*Assumptions!$B$21,Actuals!CO26)</f>
        <v>-1758.72409628986</v>
      </c>
      <c r="CO208" s="13" t="n">
        <f aca="false">IF(ISBLANK(Actuals!CP26),-Helpers!CM4*Assumptions!$B$21,Actuals!CP26)</f>
        <v>-1758.72409628986</v>
      </c>
      <c r="CP208" s="13" t="n">
        <f aca="false">IF(ISBLANK(Actuals!CQ26),-Helpers!CN4*Assumptions!$B$21,Actuals!CQ26)</f>
        <v>-1758.72409628986</v>
      </c>
      <c r="CQ208" s="13" t="n">
        <f aca="false">IF(ISBLANK(Actuals!CR26),-Helpers!CO4*Assumptions!$B$21,Actuals!CR26)</f>
        <v>-1758.72409628986</v>
      </c>
      <c r="CR208" s="13" t="n">
        <f aca="false">IF(ISBLANK(Actuals!CS26),-Helpers!CP4*Assumptions!$B$21,Actuals!CS26)</f>
        <v>-1758.72409628986</v>
      </c>
      <c r="CS208" s="13" t="n">
        <f aca="false">IF(ISBLANK(Actuals!CT26),-Helpers!CQ4*Assumptions!$B$21,Actuals!CT26)</f>
        <v>-1758.72409628986</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-29166.66</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-16666.6666666667</v>
      </c>
      <c r="R209" s="13" t="n">
        <f aca="false">IF(ISBLANK(Actuals!S27),-(SUMPRODUCT((Personnel!$O$9:$O$100="GC")*(Personnel!$G$9:$G$100="Yes")*(14&gt;=Personnel!$E$9:$E$100)*((Personnel!$K$9:$K$100="")+(14&lt;=Personnel!$K$9:$K$100)&gt;0)*Personnel!$D$9:$D$100*Personnel!$H$9:$H$100))*Escalation!$B$15,Actuals!S27)</f>
        <v>-16666.6666666667</v>
      </c>
      <c r="S209" s="13" t="n">
        <f aca="false">IF(ISBLANK(Actuals!T27),-(SUMPRODUCT((Personnel!$O$9:$O$100="GC")*(Personnel!$G$9:$G$100="Yes")*(15&gt;=Personnel!$E$9:$E$100)*((Personnel!$K$9:$K$100="")+(15&lt;=Personnel!$K$9:$K$100)&gt;0)*Personnel!$D$9:$D$100*Personnel!$H$9:$H$100))*Escalation!$B$16,Actuals!T27)</f>
        <v>-16666.6666666667</v>
      </c>
      <c r="T209" s="13" t="n">
        <f aca="false">IF(ISBLANK(Actuals!U27),-(SUMPRODUCT((Personnel!$O$9:$O$100="GC")*(Personnel!$G$9:$G$100="Yes")*(16&gt;=Personnel!$E$9:$E$100)*((Personnel!$K$9:$K$100="")+(16&lt;=Personnel!$K$9:$K$100)&gt;0)*Personnel!$D$9:$D$100*Personnel!$H$9:$H$100))*Escalation!$B$17,Actuals!U27)</f>
        <v>-16666.6666666667</v>
      </c>
      <c r="U209" s="13" t="n">
        <f aca="false">IF(ISBLANK(Actuals!V27),-(SUMPRODUCT((Personnel!$O$9:$O$100="GC")*(Personnel!$G$9:$G$100="Yes")*(17&gt;=Personnel!$E$9:$E$100)*((Personnel!$K$9:$K$100="")+(17&lt;=Personnel!$K$9:$K$100)&gt;0)*Personnel!$D$9:$D$100*Personnel!$H$9:$H$100))*Escalation!$B$18,Actuals!V27)</f>
        <v>-16666.6666666667</v>
      </c>
      <c r="V209" s="13" t="n">
        <f aca="false">IF(ISBLANK(Actuals!W27),-(SUMPRODUCT((Personnel!$O$9:$O$100="GC")*(Personnel!$G$9:$G$100="Yes")*(18&gt;=Personnel!$E$9:$E$100)*((Personnel!$K$9:$K$100="")+(18&lt;=Personnel!$K$9:$K$100)&gt;0)*Personnel!$D$9:$D$100*Personnel!$H$9:$H$100))*Escalation!$B$19,Actuals!W27)</f>
        <v>-16666.6666666667</v>
      </c>
      <c r="W209" s="13" t="n">
        <f aca="false">IF(ISBLANK(Actuals!X27),-(SUMPRODUCT((Personnel!$O$9:$O$100="GC")*(Personnel!$G$9:$G$100="Yes")*(19&gt;=Personnel!$E$9:$E$100)*((Personnel!$K$9:$K$100="")+(19&lt;=Personnel!$K$9:$K$100)&gt;0)*Personnel!$D$9:$D$100*Personnel!$H$9:$H$100))*Escalation!$B$20,Actuals!X27)</f>
        <v>-16666.6666666667</v>
      </c>
      <c r="X209" s="13" t="n">
        <f aca="false">IF(ISBLANK(Actuals!Y27),-(SUMPRODUCT((Personnel!$O$9:$O$100="GC")*(Personnel!$G$9:$G$100="Yes")*(20&gt;=Personnel!$E$9:$E$100)*((Personnel!$K$9:$K$100="")+(20&lt;=Personnel!$K$9:$K$100)&gt;0)*Personnel!$D$9:$D$100*Personnel!$H$9:$H$100))*Escalation!$B$21,Actuals!Y27)</f>
        <v>-16666.6666666667</v>
      </c>
      <c r="Y209" s="13" t="n">
        <f aca="false">IF(ISBLANK(Actuals!Z27),-(SUMPRODUCT((Personnel!$O$9:$O$100="GC")*(Personnel!$G$9:$G$100="Yes")*(21&gt;=Personnel!$E$9:$E$100)*((Personnel!$K$9:$K$100="")+(21&lt;=Personnel!$K$9:$K$100)&gt;0)*Personnel!$D$9:$D$100*Personnel!$H$9:$H$100))*Escalation!$B$22,Actuals!Z27)</f>
        <v>-16666.6666666667</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-17000</v>
      </c>
      <c r="AD209" s="13" t="n">
        <f aca="false">IF(ISBLANK(Actuals!AE27),-(SUMPRODUCT((Personnel!$O$9:$O$100="GC")*(Personnel!$G$9:$G$100="Yes")*(26&gt;=Personnel!$E$9:$E$100)*((Personnel!$K$9:$K$100="")+(26&lt;=Personnel!$K$9:$K$100)&gt;0)*Personnel!$D$9:$D$100*Personnel!$H$9:$H$100))*Escalation!$B$27,Actuals!AE27)</f>
        <v>-17000</v>
      </c>
      <c r="AE209" s="13" t="n">
        <f aca="false">IF(ISBLANK(Actuals!AF27),-(SUMPRODUCT((Personnel!$O$9:$O$100="GC")*(Personnel!$G$9:$G$100="Yes")*(27&gt;=Personnel!$E$9:$E$100)*((Personnel!$K$9:$K$100="")+(27&lt;=Personnel!$K$9:$K$100)&gt;0)*Personnel!$D$9:$D$100*Personnel!$H$9:$H$100))*Escalation!$B$28,Actuals!AF27)</f>
        <v>-17000</v>
      </c>
      <c r="AF209" s="13" t="n">
        <f aca="false">IF(ISBLANK(Actuals!AG27),-(SUMPRODUCT((Personnel!$O$9:$O$100="GC")*(Personnel!$G$9:$G$100="Yes")*(28&gt;=Personnel!$E$9:$E$100)*((Personnel!$K$9:$K$100="")+(28&lt;=Personnel!$K$9:$K$100)&gt;0)*Personnel!$D$9:$D$100*Personnel!$H$9:$H$100))*Escalation!$B$29,Actuals!AG27)</f>
        <v>-17000</v>
      </c>
      <c r="AG209" s="13" t="n">
        <f aca="false">IF(ISBLANK(Actuals!AH27),-(SUMPRODUCT((Personnel!$O$9:$O$100="GC")*(Personnel!$G$9:$G$100="Yes")*(29&gt;=Personnel!$E$9:$E$100)*((Personnel!$K$9:$K$100="")+(29&lt;=Personnel!$K$9:$K$100)&gt;0)*Personnel!$D$9:$D$100*Personnel!$H$9:$H$100))*Escalation!$B$30,Actuals!AH27)</f>
        <v>-17000</v>
      </c>
      <c r="AH209" s="13" t="n">
        <f aca="false">IF(ISBLANK(Actuals!AI27),-(SUMPRODUCT((Personnel!$O$9:$O$100="GC")*(Personnel!$G$9:$G$100="Yes")*(30&gt;=Personnel!$E$9:$E$100)*((Personnel!$K$9:$K$100="")+(30&lt;=Personnel!$K$9:$K$100)&gt;0)*Personnel!$D$9:$D$100*Personnel!$H$9:$H$100))*Escalation!$B$31,Actuals!AI27)</f>
        <v>-17000</v>
      </c>
      <c r="AI209" s="13" t="n">
        <f aca="false">IF(ISBLANK(Actuals!AJ27),-(SUMPRODUCT((Personnel!$O$9:$O$100="GC")*(Personnel!$G$9:$G$100="Yes")*(31&gt;=Personnel!$E$9:$E$100)*((Personnel!$K$9:$K$100="")+(31&lt;=Personnel!$K$9:$K$100)&gt;0)*Personnel!$D$9:$D$100*Personnel!$H$9:$H$100))*Escalation!$B$32,Actuals!AJ27)</f>
        <v>-17000</v>
      </c>
      <c r="AJ209" s="13" t="n">
        <f aca="false">IF(ISBLANK(Actuals!AK27),-(SUMPRODUCT((Personnel!$O$9:$O$100="GC")*(Personnel!$G$9:$G$100="Yes")*(32&gt;=Personnel!$E$9:$E$100)*((Personnel!$K$9:$K$100="")+(32&lt;=Personnel!$K$9:$K$100)&gt;0)*Personnel!$D$9:$D$100*Personnel!$H$9:$H$100))*Escalation!$B$33,Actuals!AK27)</f>
        <v>-17000</v>
      </c>
      <c r="AK209" s="13" t="n">
        <f aca="false">IF(ISBLANK(Actuals!AL27),-(SUMPRODUCT((Personnel!$O$9:$O$100="GC")*(Personnel!$G$9:$G$100="Yes")*(33&gt;=Personnel!$E$9:$E$100)*((Personnel!$K$9:$K$100="")+(33&lt;=Personnel!$K$9:$K$100)&gt;0)*Personnel!$D$9:$D$100*Personnel!$H$9:$H$100))*Escalation!$B$34,Actuals!AL27)</f>
        <v>-17000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-17340</v>
      </c>
      <c r="AP209" s="13" t="n">
        <f aca="false">IF(ISBLANK(Actuals!AQ27),-(SUMPRODUCT((Personnel!$O$9:$O$100="GC")*(Personnel!$G$9:$G$100="Yes")*(38&gt;=Personnel!$E$9:$E$100)*((Personnel!$K$9:$K$100="")+(38&lt;=Personnel!$K$9:$K$100)&gt;0)*Personnel!$D$9:$D$100*Personnel!$H$9:$H$100))*Escalation!$B$39,Actuals!AQ27)</f>
        <v>-17340</v>
      </c>
      <c r="AQ209" s="13" t="n">
        <f aca="false">IF(ISBLANK(Actuals!AR27),-(SUMPRODUCT((Personnel!$O$9:$O$100="GC")*(Personnel!$G$9:$G$100="Yes")*(39&gt;=Personnel!$E$9:$E$100)*((Personnel!$K$9:$K$100="")+(39&lt;=Personnel!$K$9:$K$100)&gt;0)*Personnel!$D$9:$D$100*Personnel!$H$9:$H$100))*Escalation!$B$40,Actuals!AR27)</f>
        <v>-17340</v>
      </c>
      <c r="AR209" s="13" t="n">
        <f aca="false">IF(ISBLANK(Actuals!AS27),-(SUMPRODUCT((Personnel!$O$9:$O$100="GC")*(Personnel!$G$9:$G$100="Yes")*(40&gt;=Personnel!$E$9:$E$100)*((Personnel!$K$9:$K$100="")+(40&lt;=Personnel!$K$9:$K$100)&gt;0)*Personnel!$D$9:$D$100*Personnel!$H$9:$H$100))*Escalation!$B$41,Actuals!AS27)</f>
        <v>-17340</v>
      </c>
      <c r="AS209" s="13" t="n">
        <f aca="false">IF(ISBLANK(Actuals!AT27),-(SUMPRODUCT((Personnel!$O$9:$O$100="GC")*(Personnel!$G$9:$G$100="Yes")*(41&gt;=Personnel!$E$9:$E$100)*((Personnel!$K$9:$K$100="")+(41&lt;=Personnel!$K$9:$K$100)&gt;0)*Personnel!$D$9:$D$100*Personnel!$H$9:$H$100))*Escalation!$B$42,Actuals!AT27)</f>
        <v>-17340</v>
      </c>
      <c r="AT209" s="13" t="n">
        <f aca="false">IF(ISBLANK(Actuals!AU27),-(SUMPRODUCT((Personnel!$O$9:$O$100="GC")*(Personnel!$G$9:$G$100="Yes")*(42&gt;=Personnel!$E$9:$E$100)*((Personnel!$K$9:$K$100="")+(42&lt;=Personnel!$K$9:$K$100)&gt;0)*Personnel!$D$9:$D$100*Personnel!$H$9:$H$100))*Escalation!$B$43,Actuals!AU27)</f>
        <v>-17340</v>
      </c>
      <c r="AU209" s="13" t="n">
        <f aca="false">IF(ISBLANK(Actuals!AV27),-(SUMPRODUCT((Personnel!$O$9:$O$100="GC")*(Personnel!$G$9:$G$100="Yes")*(43&gt;=Personnel!$E$9:$E$100)*((Personnel!$K$9:$K$100="")+(43&lt;=Personnel!$K$9:$K$100)&gt;0)*Personnel!$D$9:$D$100*Personnel!$H$9:$H$100))*Escalation!$B$44,Actuals!AV27)</f>
        <v>-17340</v>
      </c>
      <c r="AV209" s="13" t="n">
        <f aca="false">IF(ISBLANK(Actuals!AW27),-(SUMPRODUCT((Personnel!$O$9:$O$100="GC")*(Personnel!$G$9:$G$100="Yes")*(44&gt;=Personnel!$E$9:$E$100)*((Personnel!$K$9:$K$100="")+(44&lt;=Personnel!$K$9:$K$100)&gt;0)*Personnel!$D$9:$D$100*Personnel!$H$9:$H$100))*Escalation!$B$45,Actuals!AW27)</f>
        <v>-17340</v>
      </c>
      <c r="AW209" s="13" t="n">
        <f aca="false">IF(ISBLANK(Actuals!AX27),-(SUMPRODUCT((Personnel!$O$9:$O$100="GC")*(Personnel!$G$9:$G$100="Yes")*(45&gt;=Personnel!$E$9:$E$100)*((Personnel!$K$9:$K$100="")+(45&lt;=Personnel!$K$9:$K$100)&gt;0)*Personnel!$D$9:$D$100*Personnel!$H$9:$H$100))*Escalation!$B$46,Actuals!AX27)</f>
        <v>-17340</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-17686.8</v>
      </c>
      <c r="BB209" s="13" t="n">
        <f aca="false">IF(ISBLANK(Actuals!BC27),-(SUMPRODUCT((Personnel!$O$9:$O$100="GC")*(Personnel!$G$9:$G$100="Yes")*(50&gt;=Personnel!$E$9:$E$100)*((Personnel!$K$9:$K$100="")+(50&lt;=Personnel!$K$9:$K$100)&gt;0)*Personnel!$D$9:$D$100*Personnel!$H$9:$H$100))*Escalation!$B$51,Actuals!BC27)</f>
        <v>-17686.8</v>
      </c>
      <c r="BC209" s="13" t="n">
        <f aca="false">IF(ISBLANK(Actuals!BD27),-(SUMPRODUCT((Personnel!$O$9:$O$100="GC")*(Personnel!$G$9:$G$100="Yes")*(51&gt;=Personnel!$E$9:$E$100)*((Personnel!$K$9:$K$100="")+(51&lt;=Personnel!$K$9:$K$100)&gt;0)*Personnel!$D$9:$D$100*Personnel!$H$9:$H$100))*Escalation!$B$52,Actuals!BD27)</f>
        <v>-17686.8</v>
      </c>
      <c r="BD209" s="13" t="n">
        <f aca="false">IF(ISBLANK(Actuals!BE27),-(SUMPRODUCT((Personnel!$O$9:$O$100="GC")*(Personnel!$G$9:$G$100="Yes")*(52&gt;=Personnel!$E$9:$E$100)*((Personnel!$K$9:$K$100="")+(52&lt;=Personnel!$K$9:$K$100)&gt;0)*Personnel!$D$9:$D$100*Personnel!$H$9:$H$100))*Escalation!$B$53,Actuals!BE27)</f>
        <v>-17686.8</v>
      </c>
      <c r="BE209" s="13" t="n">
        <f aca="false">IF(ISBLANK(Actuals!BF27),-(SUMPRODUCT((Personnel!$O$9:$O$100="GC")*(Personnel!$G$9:$G$100="Yes")*(53&gt;=Personnel!$E$9:$E$100)*((Personnel!$K$9:$K$100="")+(53&lt;=Personnel!$K$9:$K$100)&gt;0)*Personnel!$D$9:$D$100*Personnel!$H$9:$H$100))*Escalation!$B$54,Actuals!BF27)</f>
        <v>-17686.8</v>
      </c>
      <c r="BF209" s="13" t="n">
        <f aca="false">IF(ISBLANK(Actuals!BG27),-(SUMPRODUCT((Personnel!$O$9:$O$100="GC")*(Personnel!$G$9:$G$100="Yes")*(54&gt;=Personnel!$E$9:$E$100)*((Personnel!$K$9:$K$100="")+(54&lt;=Personnel!$K$9:$K$100)&gt;0)*Personnel!$D$9:$D$100*Personnel!$H$9:$H$100))*Escalation!$B$55,Actuals!BG27)</f>
        <v>-17686.8</v>
      </c>
      <c r="BG209" s="13" t="n">
        <f aca="false">IF(ISBLANK(Actuals!BH27),-(SUMPRODUCT((Personnel!$O$9:$O$100="GC")*(Personnel!$G$9:$G$100="Yes")*(55&gt;=Personnel!$E$9:$E$100)*((Personnel!$K$9:$K$100="")+(55&lt;=Personnel!$K$9:$K$100)&gt;0)*Personnel!$D$9:$D$100*Personnel!$H$9:$H$100))*Escalation!$B$56,Actuals!BH27)</f>
        <v>-17686.8</v>
      </c>
      <c r="BH209" s="13" t="n">
        <f aca="false">IF(ISBLANK(Actuals!BI27),-(SUMPRODUCT((Personnel!$O$9:$O$100="GC")*(Personnel!$G$9:$G$100="Yes")*(56&gt;=Personnel!$E$9:$E$100)*((Personnel!$K$9:$K$100="")+(56&lt;=Personnel!$K$9:$K$100)&gt;0)*Personnel!$D$9:$D$100*Personnel!$H$9:$H$100))*Escalation!$B$57,Actuals!BI27)</f>
        <v>-17686.8</v>
      </c>
      <c r="BI209" s="13" t="n">
        <f aca="false">IF(ISBLANK(Actuals!BJ27),-(SUMPRODUCT((Personnel!$O$9:$O$100="GC")*(Personnel!$G$9:$G$100="Yes")*(57&gt;=Personnel!$E$9:$E$100)*((Personnel!$K$9:$K$100="")+(57&lt;=Personnel!$K$9:$K$100)&gt;0)*Personnel!$D$9:$D$100*Personnel!$H$9:$H$100))*Escalation!$B$58,Actuals!BJ27)</f>
        <v>-17686.8</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-18040.536</v>
      </c>
      <c r="BN209" s="13" t="n">
        <f aca="false">IF(ISBLANK(Actuals!BO27),-(SUMPRODUCT((Personnel!$O$9:$O$100="GC")*(Personnel!$G$9:$G$100="Yes")*(62&gt;=Personnel!$E$9:$E$100)*((Personnel!$K$9:$K$100="")+(62&lt;=Personnel!$K$9:$K$100)&gt;0)*Personnel!$D$9:$D$100*Personnel!$H$9:$H$100))*Escalation!$B$63,Actuals!BO27)</f>
        <v>-18040.536</v>
      </c>
      <c r="BO209" s="13" t="n">
        <f aca="false">IF(ISBLANK(Actuals!BP27),-(SUMPRODUCT((Personnel!$O$9:$O$100="GC")*(Personnel!$G$9:$G$100="Yes")*(63&gt;=Personnel!$E$9:$E$100)*((Personnel!$K$9:$K$100="")+(63&lt;=Personnel!$K$9:$K$100)&gt;0)*Personnel!$D$9:$D$100*Personnel!$H$9:$H$100))*Escalation!$B$64,Actuals!BP27)</f>
        <v>-18040.536</v>
      </c>
      <c r="BP209" s="13" t="n">
        <f aca="false">IF(ISBLANK(Actuals!BQ27),-(SUMPRODUCT((Personnel!$O$9:$O$100="GC")*(Personnel!$G$9:$G$100="Yes")*(64&gt;=Personnel!$E$9:$E$100)*((Personnel!$K$9:$K$100="")+(64&lt;=Personnel!$K$9:$K$100)&gt;0)*Personnel!$D$9:$D$100*Personnel!$H$9:$H$100))*Escalation!$B$65,Actuals!BQ27)</f>
        <v>-18040.536</v>
      </c>
      <c r="BQ209" s="13" t="n">
        <f aca="false">IF(ISBLANK(Actuals!BR27),-(SUMPRODUCT((Personnel!$O$9:$O$100="GC")*(Personnel!$G$9:$G$100="Yes")*(65&gt;=Personnel!$E$9:$E$100)*((Personnel!$K$9:$K$100="")+(65&lt;=Personnel!$K$9:$K$100)&gt;0)*Personnel!$D$9:$D$100*Personnel!$H$9:$H$100))*Escalation!$B$66,Actuals!BR27)</f>
        <v>-18040.536</v>
      </c>
      <c r="BR209" s="13" t="n">
        <f aca="false">IF(ISBLANK(Actuals!BS27),-(SUMPRODUCT((Personnel!$O$9:$O$100="GC")*(Personnel!$G$9:$G$100="Yes")*(66&gt;=Personnel!$E$9:$E$100)*((Personnel!$K$9:$K$100="")+(66&lt;=Personnel!$K$9:$K$100)&gt;0)*Personnel!$D$9:$D$100*Personnel!$H$9:$H$100))*Escalation!$B$67,Actuals!BS27)</f>
        <v>-18040.536</v>
      </c>
      <c r="BS209" s="13" t="n">
        <f aca="false">IF(ISBLANK(Actuals!BT27),-(SUMPRODUCT((Personnel!$O$9:$O$100="GC")*(Personnel!$G$9:$G$100="Yes")*(67&gt;=Personnel!$E$9:$E$100)*((Personnel!$K$9:$K$100="")+(67&lt;=Personnel!$K$9:$K$100)&gt;0)*Personnel!$D$9:$D$100*Personnel!$H$9:$H$100))*Escalation!$B$68,Actuals!BT27)</f>
        <v>-18040.536</v>
      </c>
      <c r="BT209" s="13" t="n">
        <f aca="false">IF(ISBLANK(Actuals!BU27),-(SUMPRODUCT((Personnel!$O$9:$O$100="GC")*(Personnel!$G$9:$G$100="Yes")*(68&gt;=Personnel!$E$9:$E$100)*((Personnel!$K$9:$K$100="")+(68&lt;=Personnel!$K$9:$K$100)&gt;0)*Personnel!$D$9:$D$100*Personnel!$H$9:$H$100))*Escalation!$B$69,Actuals!BU27)</f>
        <v>-18040.536</v>
      </c>
      <c r="BU209" s="13" t="n">
        <f aca="false">IF(ISBLANK(Actuals!BV27),-(SUMPRODUCT((Personnel!$O$9:$O$100="GC")*(Personnel!$G$9:$G$100="Yes")*(69&gt;=Personnel!$E$9:$E$100)*((Personnel!$K$9:$K$100="")+(69&lt;=Personnel!$K$9:$K$100)&gt;0)*Personnel!$D$9:$D$100*Personnel!$H$9:$H$100))*Escalation!$B$70,Actuals!BV27)</f>
        <v>-18040.536</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-18401.34672</v>
      </c>
      <c r="BZ209" s="13" t="n">
        <f aca="false">IF(ISBLANK(Actuals!CA27),-(SUMPRODUCT((Personnel!$O$9:$O$100="GC")*(Personnel!$G$9:$G$100="Yes")*(74&gt;=Personnel!$E$9:$E$100)*((Personnel!$K$9:$K$100="")+(74&lt;=Personnel!$K$9:$K$100)&gt;0)*Personnel!$D$9:$D$100*Personnel!$H$9:$H$100))*Escalation!$B$75,Actuals!CA27)</f>
        <v>-18401.34672</v>
      </c>
      <c r="CA209" s="13" t="n">
        <f aca="false">IF(ISBLANK(Actuals!CB27),-(SUMPRODUCT((Personnel!$O$9:$O$100="GC")*(Personnel!$G$9:$G$100="Yes")*(75&gt;=Personnel!$E$9:$E$100)*((Personnel!$K$9:$K$100="")+(75&lt;=Personnel!$K$9:$K$100)&gt;0)*Personnel!$D$9:$D$100*Personnel!$H$9:$H$100))*Escalation!$B$76,Actuals!CB27)</f>
        <v>-18401.34672</v>
      </c>
      <c r="CB209" s="13" t="n">
        <f aca="false">IF(ISBLANK(Actuals!CC27),-(SUMPRODUCT((Personnel!$O$9:$O$100="GC")*(Personnel!$G$9:$G$100="Yes")*(76&gt;=Personnel!$E$9:$E$100)*((Personnel!$K$9:$K$100="")+(76&lt;=Personnel!$K$9:$K$100)&gt;0)*Personnel!$D$9:$D$100*Personnel!$H$9:$H$100))*Escalation!$B$77,Actuals!CC27)</f>
        <v>-18401.34672</v>
      </c>
      <c r="CC209" s="13" t="n">
        <f aca="false">IF(ISBLANK(Actuals!CD27),-(SUMPRODUCT((Personnel!$O$9:$O$100="GC")*(Personnel!$G$9:$G$100="Yes")*(77&gt;=Personnel!$E$9:$E$100)*((Personnel!$K$9:$K$100="")+(77&lt;=Personnel!$K$9:$K$100)&gt;0)*Personnel!$D$9:$D$100*Personnel!$H$9:$H$100))*Escalation!$B$78,Actuals!CD27)</f>
        <v>-18401.34672</v>
      </c>
      <c r="CD209" s="13" t="n">
        <f aca="false">IF(ISBLANK(Actuals!CE27),-(SUMPRODUCT((Personnel!$O$9:$O$100="GC")*(Personnel!$G$9:$G$100="Yes")*(78&gt;=Personnel!$E$9:$E$100)*((Personnel!$K$9:$K$100="")+(78&lt;=Personnel!$K$9:$K$100)&gt;0)*Personnel!$D$9:$D$100*Personnel!$H$9:$H$100))*Escalation!$B$79,Actuals!CE27)</f>
        <v>-18401.34672</v>
      </c>
      <c r="CE209" s="13" t="n">
        <f aca="false">IF(ISBLANK(Actuals!CF27),-(SUMPRODUCT((Personnel!$O$9:$O$100="GC")*(Personnel!$G$9:$G$100="Yes")*(79&gt;=Personnel!$E$9:$E$100)*((Personnel!$K$9:$K$100="")+(79&lt;=Personnel!$K$9:$K$100)&gt;0)*Personnel!$D$9:$D$100*Personnel!$H$9:$H$100))*Escalation!$B$80,Actuals!CF27)</f>
        <v>-18401.34672</v>
      </c>
      <c r="CF209" s="13" t="n">
        <f aca="false">IF(ISBLANK(Actuals!CG27),-(SUMPRODUCT((Personnel!$O$9:$O$100="GC")*(Personnel!$G$9:$G$100="Yes")*(80&gt;=Personnel!$E$9:$E$100)*((Personnel!$K$9:$K$100="")+(80&lt;=Personnel!$K$9:$K$100)&gt;0)*Personnel!$D$9:$D$100*Personnel!$H$9:$H$100))*Escalation!$B$81,Actuals!CG27)</f>
        <v>-18401.34672</v>
      </c>
      <c r="CG209" s="13" t="n">
        <f aca="false">IF(ISBLANK(Actuals!CH27),-(SUMPRODUCT((Personnel!$O$9:$O$100="GC")*(Personnel!$G$9:$G$100="Yes")*(81&gt;=Personnel!$E$9:$E$100)*((Personnel!$K$9:$K$100="")+(81&lt;=Personnel!$K$9:$K$100)&gt;0)*Personnel!$D$9:$D$100*Personnel!$H$9:$H$100))*Escalation!$B$82,Actuals!CH27)</f>
        <v>-18401.34672</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-18769.3736544</v>
      </c>
      <c r="CL209" s="13" t="n">
        <f aca="false">IF(ISBLANK(Actuals!CM27),-(SUMPRODUCT((Personnel!$O$9:$O$100="GC")*(Personnel!$G$9:$G$100="Yes")*(86&gt;=Personnel!$E$9:$E$100)*((Personnel!$K$9:$K$100="")+(86&lt;=Personnel!$K$9:$K$100)&gt;0)*Personnel!$D$9:$D$100*Personnel!$H$9:$H$100))*Escalation!$B$87,Actuals!CM27)</f>
        <v>-18769.3736544</v>
      </c>
      <c r="CM209" s="13" t="n">
        <f aca="false">IF(ISBLANK(Actuals!CN27),-(SUMPRODUCT((Personnel!$O$9:$O$100="GC")*(Personnel!$G$9:$G$100="Yes")*(87&gt;=Personnel!$E$9:$E$100)*((Personnel!$K$9:$K$100="")+(87&lt;=Personnel!$K$9:$K$100)&gt;0)*Personnel!$D$9:$D$100*Personnel!$H$9:$H$100))*Escalation!$B$88,Actuals!CN27)</f>
        <v>-18769.3736544</v>
      </c>
      <c r="CN209" s="13" t="n">
        <f aca="false">IF(ISBLANK(Actuals!CO27),-(SUMPRODUCT((Personnel!$O$9:$O$100="GC")*(Personnel!$G$9:$G$100="Yes")*(88&gt;=Personnel!$E$9:$E$100)*((Personnel!$K$9:$K$100="")+(88&lt;=Personnel!$K$9:$K$100)&gt;0)*Personnel!$D$9:$D$100*Personnel!$H$9:$H$100))*Escalation!$B$89,Actuals!CO27)</f>
        <v>-18769.3736544</v>
      </c>
      <c r="CO209" s="13" t="n">
        <f aca="false">IF(ISBLANK(Actuals!CP27),-(SUMPRODUCT((Personnel!$O$9:$O$100="GC")*(Personnel!$G$9:$G$100="Yes")*(89&gt;=Personnel!$E$9:$E$100)*((Personnel!$K$9:$K$100="")+(89&lt;=Personnel!$K$9:$K$100)&gt;0)*Personnel!$D$9:$D$100*Personnel!$H$9:$H$100))*Escalation!$B$90,Actuals!CP27)</f>
        <v>-18769.3736544</v>
      </c>
      <c r="CP209" s="13" t="n">
        <f aca="false">IF(ISBLANK(Actuals!CQ27),-(SUMPRODUCT((Personnel!$O$9:$O$100="GC")*(Personnel!$G$9:$G$100="Yes")*(90&gt;=Personnel!$E$9:$E$100)*((Personnel!$K$9:$K$100="")+(90&lt;=Personnel!$K$9:$K$100)&gt;0)*Personnel!$D$9:$D$100*Personnel!$H$9:$H$100))*Escalation!$B$91,Actuals!CQ27)</f>
        <v>-18769.3736544</v>
      </c>
      <c r="CQ209" s="13" t="n">
        <f aca="false">IF(ISBLANK(Actuals!CR27),-(SUMPRODUCT((Personnel!$O$9:$O$100="GC")*(Personnel!$G$9:$G$100="Yes")*(91&gt;=Personnel!$E$9:$E$100)*((Personnel!$K$9:$K$100="")+(91&lt;=Personnel!$K$9:$K$100)&gt;0)*Personnel!$D$9:$D$100*Personnel!$H$9:$H$100))*Escalation!$B$92,Actuals!CR27)</f>
        <v>-18769.3736544</v>
      </c>
      <c r="CR209" s="13" t="n">
        <f aca="false">IF(ISBLANK(Actuals!CS27),-(SUMPRODUCT((Personnel!$O$9:$O$100="GC")*(Personnel!$G$9:$G$100="Yes")*(92&gt;=Personnel!$E$9:$E$100)*((Personnel!$K$9:$K$100="")+(92&lt;=Personnel!$K$9:$K$100)&gt;0)*Personnel!$D$9:$D$100*Personnel!$H$9:$H$100))*Escalation!$B$93,Actuals!CS27)</f>
        <v>-18769.3736544</v>
      </c>
      <c r="CS209" s="13" t="n">
        <f aca="false">IF(ISBLANK(Actuals!CT27),-(SUMPRODUCT((Personnel!$O$9:$O$100="GC")*(Personnel!$G$9:$G$100="Yes")*(93&gt;=Personnel!$E$9:$E$100)*((Personnel!$K$9:$K$100="")+(93&lt;=Personnel!$K$9:$K$100)&gt;0)*Personnel!$D$9:$D$100*Personnel!$H$9:$H$100))*Escalation!$B$94,Actuals!CT27)</f>
        <v>-18769.3736544</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-19144.761127488</v>
      </c>
      <c r="CX209" s="13" t="n">
        <f aca="false">IF(ISBLANK(Actuals!CY27),-(SUMPRODUCT((Personnel!$O$9:$O$100="GC")*(Personnel!$G$9:$G$100="Yes")*(98&gt;=Personnel!$E$9:$E$100)*((Personnel!$K$9:$K$100="")+(98&lt;=Personnel!$K$9:$K$100)&gt;0)*Personnel!$D$9:$D$100*Personnel!$H$9:$H$100))*Escalation!$B$99,Actuals!CY27)</f>
        <v>-19144.761127488</v>
      </c>
      <c r="CY209" s="13" t="n">
        <f aca="false">IF(ISBLANK(Actuals!CZ27),-(SUMPRODUCT((Personnel!$O$9:$O$100="GC")*(Personnel!$G$9:$G$100="Yes")*(99&gt;=Personnel!$E$9:$E$100)*((Personnel!$K$9:$K$100="")+(99&lt;=Personnel!$K$9:$K$100)&gt;0)*Personnel!$D$9:$D$100*Personnel!$H$9:$H$100))*Escalation!$B$100,Actuals!CZ27)</f>
        <v>-19144.761127488</v>
      </c>
      <c r="CZ209" s="13" t="n">
        <f aca="false">IF(ISBLANK(Actuals!DA27),-(SUMPRODUCT((Personnel!$O$9:$O$100="GC")*(Personnel!$G$9:$G$100="Yes")*(100&gt;=Personnel!$E$9:$E$100)*((Personnel!$K$9:$K$100="")+(100&lt;=Personnel!$K$9:$K$100)&gt;0)*Personnel!$D$9:$D$100*Personnel!$H$9:$H$100))*Escalation!$B$101,Actuals!DA27)</f>
        <v>-19144.761127488</v>
      </c>
      <c r="DA209" s="13" t="n">
        <f aca="false">IF(ISBLANK(Actuals!DB27),-(SUMPRODUCT((Personnel!$O$9:$O$100="GC")*(Personnel!$G$9:$G$100="Yes")*(101&gt;=Personnel!$E$9:$E$100)*((Personnel!$K$9:$K$100="")+(101&lt;=Personnel!$K$9:$K$100)&gt;0)*Personnel!$D$9:$D$100*Personnel!$H$9:$H$100))*Escalation!$B$102,Actuals!DB27)</f>
        <v>-19144.761127488</v>
      </c>
      <c r="DB209" s="13" t="n">
        <f aca="false">IF(ISBLANK(Actuals!DC27),-(SUMPRODUCT((Personnel!$O$9:$O$100="GC")*(Personnel!$G$9:$G$100="Yes")*(102&gt;=Personnel!$E$9:$E$100)*((Personnel!$K$9:$K$100="")+(102&lt;=Personnel!$K$9:$K$100)&gt;0)*Personnel!$D$9:$D$100*Personnel!$H$9:$H$100))*Escalation!$B$103,Actuals!DC27)</f>
        <v>-19144.761127488</v>
      </c>
      <c r="DC209" s="13" t="n">
        <f aca="false">IF(ISBLANK(Actuals!DD27),-(SUMPRODUCT((Personnel!$O$9:$O$100="GC")*(Personnel!$G$9:$G$100="Yes")*(103&gt;=Personnel!$E$9:$E$100)*((Personnel!$K$9:$K$100="")+(103&lt;=Personnel!$K$9:$K$100)&gt;0)*Personnel!$D$9:$D$100*Personnel!$H$9:$H$100))*Escalation!$B$104,Actuals!DD27)</f>
        <v>-19144.761127488</v>
      </c>
      <c r="DD209" s="13" t="n">
        <f aca="false">IF(ISBLANK(Actuals!DE27),-(SUMPRODUCT((Personnel!$O$9:$O$100="GC")*(Personnel!$G$9:$G$100="Yes")*(104&gt;=Personnel!$E$9:$E$100)*((Personnel!$K$9:$K$100="")+(104&lt;=Personnel!$K$9:$K$100)&gt;0)*Personnel!$D$9:$D$100*Personnel!$H$9:$H$100))*Escalation!$B$105,Actuals!DE27)</f>
        <v>-19144.761127488</v>
      </c>
      <c r="DE209" s="13" t="n">
        <f aca="false">IF(ISBLANK(Actuals!DF27),-(SUMPRODUCT((Personnel!$O$9:$O$100="GC")*(Personnel!$G$9:$G$100="Yes")*(105&gt;=Personnel!$E$9:$E$100)*((Personnel!$K$9:$K$100="")+(105&lt;=Personnel!$K$9:$K$100)&gt;0)*Personnel!$D$9:$D$100*Personnel!$H$9:$H$100))*Escalation!$B$106,Actuals!DF27)</f>
        <v>-19144.761127488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IF(ISBLANK(Actuals!K29),-15000,Actuals!K29)</f>
        <v>-20000</v>
      </c>
      <c r="K211" s="13" t="n">
        <f aca="false">IF(ISBLANK(Actuals!L29),-15000,Actuals!L29)</f>
        <v>-15000</v>
      </c>
      <c r="L211" s="13" t="n">
        <f aca="false">IF(ISBLANK(Actuals!M29),-15000,Actuals!M29)</f>
        <v>-15000</v>
      </c>
      <c r="M211" s="13" t="n">
        <f aca="false">IF(ISBLANK(Actuals!N29),-15000,Actuals!N29)</f>
        <v>-15000</v>
      </c>
      <c r="N211" s="13" t="n">
        <f aca="false">IF(ISBLANK(Actuals!O29),-15000,Actuals!O29)</f>
        <v>-15000</v>
      </c>
      <c r="O211" s="13" t="n">
        <f aca="false">IF(ISBLANK(Actuals!P29),-15000,Actuals!P29)</f>
        <v>-15000</v>
      </c>
      <c r="P211" s="13" t="n">
        <f aca="false">IF(ISBLANK(Actuals!Q29),-15000,Actuals!Q29)</f>
        <v>-15000</v>
      </c>
      <c r="Q211" s="13" t="n">
        <f aca="false">IF(ISBLANK(Actuals!R29),-15000,Actuals!R29)</f>
        <v>-15000</v>
      </c>
      <c r="R211" s="13" t="n">
        <f aca="false">IF(ISBLANK(Actuals!S29),-15000,Actuals!S29)</f>
        <v>-15000</v>
      </c>
      <c r="S211" s="13" t="n">
        <f aca="false">IF(ISBLANK(Actuals!T29),-15000,Actuals!T29)</f>
        <v>-15000</v>
      </c>
      <c r="T211" s="13" t="n">
        <f aca="false">IF(ISBLANK(Actuals!U29),-15000,Actuals!U29)</f>
        <v>-15000</v>
      </c>
      <c r="U211" s="13" t="n">
        <f aca="false">IF(ISBLANK(Actuals!V29),-15000,Actuals!V29)</f>
        <v>-15000</v>
      </c>
      <c r="V211" s="13" t="n">
        <f aca="false">IF(ISBLANK(Actuals!W29),-15000,Actuals!W29)</f>
        <v>-15000</v>
      </c>
      <c r="W211" s="13" t="n">
        <f aca="false">IF(ISBLANK(Actuals!X29),-15000,Actuals!X29)</f>
        <v>-15000</v>
      </c>
      <c r="X211" s="13" t="n">
        <f aca="false">IF(ISBLANK(Actuals!Y29),-15000,Actuals!Y29)</f>
        <v>-15000</v>
      </c>
      <c r="Y211" s="13" t="n">
        <f aca="false">IF(ISBLANK(Actuals!Z29),-15000,Actuals!Z29)</f>
        <v>-15000</v>
      </c>
      <c r="Z211" s="13" t="n">
        <f aca="false">IF(ISBLANK(Actuals!AA29),-15000,Actuals!AA29)</f>
        <v>-15000</v>
      </c>
      <c r="AA211" s="13" t="n">
        <f aca="false">IF(ISBLANK(Actuals!AB29),-15000,Actuals!AB29)</f>
        <v>-15000</v>
      </c>
      <c r="AB211" s="13" t="n">
        <f aca="false">IF(ISBLANK(Actuals!AC29),-15000,Actuals!AC29)</f>
        <v>-15000</v>
      </c>
      <c r="AC211" s="13" t="n">
        <f aca="false">IF(ISBLANK(Actuals!AD29),-15000,Actuals!AD29)</f>
        <v>-15000</v>
      </c>
      <c r="AD211" s="13" t="n">
        <f aca="false">IF(ISBLANK(Actuals!AE29),-15000,Actuals!AE29)</f>
        <v>-15000</v>
      </c>
      <c r="AE211" s="13" t="n">
        <f aca="false">IF(ISBLANK(Actuals!AF29),-15000,Actuals!AF29)</f>
        <v>-15000</v>
      </c>
      <c r="AF211" s="13" t="n">
        <f aca="false">IF(ISBLANK(Actuals!AG29),-15000,Actuals!AG29)</f>
        <v>-15000</v>
      </c>
      <c r="AG211" s="13" t="n">
        <f aca="false">IF(ISBLANK(Actuals!AH29),-15000,Actuals!AH29)</f>
        <v>-15000</v>
      </c>
      <c r="AH211" s="13" t="n">
        <f aca="false">IF(ISBLANK(Actuals!AI29),-15000,Actuals!AI29)</f>
        <v>-15000</v>
      </c>
      <c r="AI211" s="13" t="n">
        <f aca="false">IF(ISBLANK(Actuals!AJ29),-15000,Actuals!AJ29)</f>
        <v>-15000</v>
      </c>
      <c r="AJ211" s="13" t="n">
        <f aca="false">IF(ISBLANK(Actuals!AK29),-15000,Actuals!AK29)</f>
        <v>-15000</v>
      </c>
      <c r="AK211" s="13" t="n">
        <f aca="false">IF(ISBLANK(Actuals!AL29),-15000,Actuals!AL29)</f>
        <v>-15000</v>
      </c>
      <c r="AL211" s="13" t="n">
        <f aca="false">IF(ISBLANK(Actuals!AM29),-15000,Actuals!AM29)</f>
        <v>-15000</v>
      </c>
      <c r="AM211" s="13" t="n">
        <f aca="false">IF(ISBLANK(Actuals!AN29),-15000,Actuals!AN29)</f>
        <v>-15000</v>
      </c>
      <c r="AN211" s="13" t="n">
        <f aca="false">IF(ISBLANK(Actuals!AO29),-15000,Actuals!AO29)</f>
        <v>-15000</v>
      </c>
      <c r="AO211" s="13" t="n">
        <f aca="false">IF(ISBLANK(Actuals!AP29),-15000,Actuals!AP29)</f>
        <v>-15000</v>
      </c>
      <c r="AP211" s="13" t="n">
        <f aca="false">IF(ISBLANK(Actuals!AQ29),-15000,Actuals!AQ29)</f>
        <v>-15000</v>
      </c>
      <c r="AQ211" s="13" t="n">
        <f aca="false">IF(ISBLANK(Actuals!AR29),-15000,Actuals!AR29)</f>
        <v>-15000</v>
      </c>
      <c r="AR211" s="13" t="n">
        <f aca="false">IF(ISBLANK(Actuals!AS29),-15000,Actuals!AS29)</f>
        <v>-15000</v>
      </c>
      <c r="AS211" s="13" t="n">
        <f aca="false">IF(ISBLANK(Actuals!AT29),-15000,Actuals!AT29)</f>
        <v>-15000</v>
      </c>
      <c r="AT211" s="13" t="n">
        <f aca="false">IF(ISBLANK(Actuals!AU29),-15000,Actuals!AU29)</f>
        <v>-15000</v>
      </c>
      <c r="AU211" s="13" t="n">
        <f aca="false">IF(ISBLANK(Actuals!AV29),-15000,Actuals!AV29)</f>
        <v>-15000</v>
      </c>
      <c r="AV211" s="13" t="n">
        <f aca="false">IF(ISBLANK(Actuals!AW29),-15000,Actuals!AW29)</f>
        <v>-15000</v>
      </c>
      <c r="AW211" s="13" t="n">
        <f aca="false">IF(ISBLANK(Actuals!AX29),-15000,Actuals!AX29)</f>
        <v>-15000</v>
      </c>
      <c r="AX211" s="13" t="n">
        <f aca="false">IF(ISBLANK(Actuals!AY29),-15000,Actuals!AY29)</f>
        <v>-15000</v>
      </c>
      <c r="AY211" s="13" t="n">
        <f aca="false">IF(ISBLANK(Actuals!AZ29),-15000,Actuals!AZ29)</f>
        <v>-15000</v>
      </c>
      <c r="AZ211" s="13" t="n">
        <f aca="false">IF(ISBLANK(Actuals!BA29),-15000,Actuals!BA29)</f>
        <v>-15000</v>
      </c>
      <c r="BA211" s="13" t="n">
        <f aca="false">IF(ISBLANK(Actuals!BB29),-15000,Actuals!BB29)</f>
        <v>-15000</v>
      </c>
      <c r="BB211" s="13" t="n">
        <f aca="false">IF(ISBLANK(Actuals!BC29),-15000,Actuals!BC29)</f>
        <v>-15000</v>
      </c>
      <c r="BC211" s="13" t="n">
        <f aca="false">IF(ISBLANK(Actuals!BD29),-15000,Actuals!BD29)</f>
        <v>-15000</v>
      </c>
      <c r="BD211" s="13" t="n">
        <f aca="false">IF(ISBLANK(Actuals!BE29),-15000,Actuals!BE29)</f>
        <v>-15000</v>
      </c>
      <c r="BE211" s="13" t="n">
        <f aca="false">IF(ISBLANK(Actuals!BF29),-15000,Actuals!BF29)</f>
        <v>-15000</v>
      </c>
      <c r="BF211" s="13" t="n">
        <f aca="false">IF(ISBLANK(Actuals!BG29),-15000,Actuals!BG29)</f>
        <v>-15000</v>
      </c>
      <c r="BG211" s="13" t="n">
        <f aca="false">IF(ISBLANK(Actuals!BH29),-15000,Actuals!BH29)</f>
        <v>-15000</v>
      </c>
      <c r="BH211" s="13" t="n">
        <f aca="false">IF(ISBLANK(Actuals!BI29),-15000,Actuals!BI29)</f>
        <v>-15000</v>
      </c>
      <c r="BI211" s="13" t="n">
        <f aca="false">IF(ISBLANK(Actuals!BJ29),-15000,Actuals!BJ29)</f>
        <v>-15000</v>
      </c>
      <c r="BJ211" s="13" t="n">
        <f aca="false">IF(ISBLANK(Actuals!BK29),-15000,Actuals!BK29)</f>
        <v>-15000</v>
      </c>
      <c r="BK211" s="13" t="n">
        <f aca="false">IF(ISBLANK(Actuals!BL29),-15000,Actuals!BL29)</f>
        <v>-15000</v>
      </c>
      <c r="BL211" s="13" t="n">
        <f aca="false">IF(ISBLANK(Actuals!BM29),-15000,Actuals!BM29)</f>
        <v>-15000</v>
      </c>
      <c r="BM211" s="13" t="n">
        <f aca="false">IF(ISBLANK(Actuals!BN29),-15000,Actuals!BN29)</f>
        <v>-15000</v>
      </c>
      <c r="BN211" s="13" t="n">
        <f aca="false">IF(ISBLANK(Actuals!BO29),-15000,Actuals!BO29)</f>
        <v>-15000</v>
      </c>
      <c r="BO211" s="13" t="n">
        <f aca="false">IF(ISBLANK(Actuals!BP29),-15000,Actuals!BP29)</f>
        <v>-15000</v>
      </c>
      <c r="BP211" s="13" t="n">
        <f aca="false">IF(ISBLANK(Actuals!BQ29),-15000,Actuals!BQ29)</f>
        <v>-15000</v>
      </c>
      <c r="BQ211" s="13" t="n">
        <f aca="false">IF(ISBLANK(Actuals!BR29),-15000,Actuals!BR29)</f>
        <v>-15000</v>
      </c>
      <c r="BR211" s="13" t="n">
        <f aca="false">IF(ISBLANK(Actuals!BS29),-15000,Actuals!BS29)</f>
        <v>-15000</v>
      </c>
      <c r="BS211" s="13" t="n">
        <f aca="false">IF(ISBLANK(Actuals!BT29),-15000,Actuals!BT29)</f>
        <v>-15000</v>
      </c>
      <c r="BT211" s="13" t="n">
        <f aca="false">IF(ISBLANK(Actuals!BU29),-15000,Actuals!BU29)</f>
        <v>-15000</v>
      </c>
      <c r="BU211" s="13" t="n">
        <f aca="false">IF(ISBLANK(Actuals!BV29),-15000,Actuals!BV29)</f>
        <v>-15000</v>
      </c>
      <c r="BV211" s="13" t="n">
        <f aca="false">IF(ISBLANK(Actuals!BW29),-15000,Actuals!BW29)</f>
        <v>-15000</v>
      </c>
      <c r="BW211" s="13" t="n">
        <f aca="false">IF(ISBLANK(Actuals!BX29),-15000,Actuals!BX29)</f>
        <v>-15000</v>
      </c>
      <c r="BX211" s="13" t="n">
        <f aca="false">IF(ISBLANK(Actuals!BY29),-15000,Actuals!BY29)</f>
        <v>-15000</v>
      </c>
      <c r="BY211" s="13" t="n">
        <f aca="false">IF(ISBLANK(Actuals!BZ29),-15000,Actuals!BZ29)</f>
        <v>-15000</v>
      </c>
      <c r="BZ211" s="13" t="n">
        <f aca="false">IF(ISBLANK(Actuals!CA29),-15000,Actuals!CA29)</f>
        <v>-15000</v>
      </c>
      <c r="CA211" s="13" t="n">
        <f aca="false">IF(ISBLANK(Actuals!CB29),-15000,Actuals!CB29)</f>
        <v>-15000</v>
      </c>
      <c r="CB211" s="13" t="n">
        <f aca="false">IF(ISBLANK(Actuals!CC29),-15000,Actuals!CC29)</f>
        <v>-15000</v>
      </c>
      <c r="CC211" s="13" t="n">
        <f aca="false">IF(ISBLANK(Actuals!CD29),-15000,Actuals!CD29)</f>
        <v>-15000</v>
      </c>
      <c r="CD211" s="13" t="n">
        <f aca="false">IF(ISBLANK(Actuals!CE29),-15000,Actuals!CE29)</f>
        <v>-15000</v>
      </c>
      <c r="CE211" s="13" t="n">
        <f aca="false">IF(ISBLANK(Actuals!CF29),-15000,Actuals!CF29)</f>
        <v>-15000</v>
      </c>
      <c r="CF211" s="13" t="n">
        <f aca="false">IF(ISBLANK(Actuals!CG29),-15000,Actuals!CG29)</f>
        <v>-15000</v>
      </c>
      <c r="CG211" s="13" t="n">
        <f aca="false">IF(ISBLANK(Actuals!CH29),-15000,Actuals!CH29)</f>
        <v>-15000</v>
      </c>
      <c r="CH211" s="13" t="n">
        <f aca="false">IF(ISBLANK(Actuals!CI29),-15000,Actuals!CI29)</f>
        <v>-15000</v>
      </c>
      <c r="CI211" s="13" t="n">
        <f aca="false">IF(ISBLANK(Actuals!CJ29),-15000,Actuals!CJ29)</f>
        <v>-15000</v>
      </c>
      <c r="CJ211" s="13" t="n">
        <f aca="false">IF(ISBLANK(Actuals!CK29),-15000,Actuals!CK29)</f>
        <v>-15000</v>
      </c>
      <c r="CK211" s="13" t="n">
        <f aca="false">IF(ISBLANK(Actuals!CL29),-15000,Actuals!CL29)</f>
        <v>-15000</v>
      </c>
      <c r="CL211" s="13" t="n">
        <f aca="false">IF(ISBLANK(Actuals!CM29),-15000,Actuals!CM29)</f>
        <v>-15000</v>
      </c>
      <c r="CM211" s="13" t="n">
        <f aca="false">IF(ISBLANK(Actuals!CN29),-15000,Actuals!CN29)</f>
        <v>-15000</v>
      </c>
      <c r="CN211" s="13" t="n">
        <f aca="false">IF(ISBLANK(Actuals!CO29),-15000,Actuals!CO29)</f>
        <v>-15000</v>
      </c>
      <c r="CO211" s="13" t="n">
        <f aca="false">IF(ISBLANK(Actuals!CP29),-15000,Actuals!CP29)</f>
        <v>-15000</v>
      </c>
      <c r="CP211" s="13" t="n">
        <f aca="false">IF(ISBLANK(Actuals!CQ29),-15000,Actuals!CQ29)</f>
        <v>-15000</v>
      </c>
      <c r="CQ211" s="13" t="n">
        <f aca="false">IF(ISBLANK(Actuals!CR29),-15000,Actuals!CR29)</f>
        <v>-15000</v>
      </c>
      <c r="CR211" s="13" t="n">
        <f aca="false">IF(ISBLANK(Actuals!CS29),-15000,Actuals!CS29)</f>
        <v>-15000</v>
      </c>
      <c r="CS211" s="13" t="n">
        <f aca="false">IF(ISBLANK(Actuals!CT29),-15000,Actuals!CT29)</f>
        <v>-15000</v>
      </c>
      <c r="CT211" s="13" t="n">
        <f aca="false">IF(ISBLANK(Actuals!CU29),-15000,Actuals!CU29)</f>
        <v>-15000</v>
      </c>
      <c r="CU211" s="13" t="n">
        <f aca="false">IF(ISBLANK(Actuals!CV29),-15000,Actuals!CV29)</f>
        <v>-15000</v>
      </c>
      <c r="CV211" s="13" t="n">
        <f aca="false">IF(ISBLANK(Actuals!CW29),-15000,Actuals!CW29)</f>
        <v>-15000</v>
      </c>
      <c r="CW211" s="13" t="n">
        <f aca="false">IF(ISBLANK(Actuals!CX29),-15000,Actuals!CX29)</f>
        <v>-15000</v>
      </c>
      <c r="CX211" s="13" t="n">
        <f aca="false">IF(ISBLANK(Actuals!CY29),-15000,Actuals!CY29)</f>
        <v>-15000</v>
      </c>
      <c r="CY211" s="13" t="n">
        <f aca="false">IF(ISBLANK(Actuals!CZ29),-15000,Actuals!CZ29)</f>
        <v>-15000</v>
      </c>
      <c r="CZ211" s="13" t="n">
        <f aca="false">IF(ISBLANK(Actuals!DA29),-15000,Actuals!DA29)</f>
        <v>-15000</v>
      </c>
      <c r="DA211" s="13" t="n">
        <f aca="false">IF(ISBLANK(Actuals!DB29),-15000,Actuals!DB29)</f>
        <v>-15000</v>
      </c>
      <c r="DB211" s="13" t="n">
        <f aca="false">IF(ISBLANK(Actuals!DC29),-15000,Actuals!DC29)</f>
        <v>-15000</v>
      </c>
      <c r="DC211" s="13" t="n">
        <f aca="false">IF(ISBLANK(Actuals!DD29),-15000,Actuals!DD29)</f>
        <v>-15000</v>
      </c>
      <c r="DD211" s="13" t="n">
        <f aca="false">IF(ISBLANK(Actuals!DE29),-15000,Actuals!DE29)</f>
        <v>-15000</v>
      </c>
      <c r="DE211" s="13" t="n">
        <f aca="false">IF(ISBLANK(Actuals!DF29),-15000,Actuals!DF29)</f>
        <v>-15000</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-145.69</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-4024.64</v>
      </c>
      <c r="R212" s="13" t="n">
        <f aca="false">IF(ISBLANK(Actuals!S30),-4024.64*Escalation!$B$15,Actuals!S30)</f>
        <v>-4024.64</v>
      </c>
      <c r="S212" s="13" t="n">
        <f aca="false">IF(ISBLANK(Actuals!T30),-4024.64*Escalation!$B$16,Actuals!T30)</f>
        <v>-4024.64</v>
      </c>
      <c r="T212" s="13" t="n">
        <f aca="false">IF(ISBLANK(Actuals!U30),-4024.64*Escalation!$B$17,Actuals!U30)</f>
        <v>-4024.64</v>
      </c>
      <c r="U212" s="13" t="n">
        <f aca="false">IF(ISBLANK(Actuals!V30),-4024.64*Escalation!$B$18,Actuals!V30)</f>
        <v>-4024.64</v>
      </c>
      <c r="V212" s="13" t="n">
        <f aca="false">IF(ISBLANK(Actuals!W30),-4024.64*Escalation!$B$19,Actuals!W30)</f>
        <v>-4024.64</v>
      </c>
      <c r="W212" s="13" t="n">
        <f aca="false">IF(ISBLANK(Actuals!X30),-4024.64*Escalation!$B$20,Actuals!X30)</f>
        <v>-4024.64</v>
      </c>
      <c r="X212" s="13" t="n">
        <f aca="false">IF(ISBLANK(Actuals!Y30),-4024.64*Escalation!$B$21,Actuals!Y30)</f>
        <v>-4024.64</v>
      </c>
      <c r="Y212" s="13" t="n">
        <f aca="false">IF(ISBLANK(Actuals!Z30),-4024.64*Escalation!$B$22,Actuals!Z30)</f>
        <v>-4024.64</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-4105.1328</v>
      </c>
      <c r="AD212" s="13" t="n">
        <f aca="false">IF(ISBLANK(Actuals!AE30),-4024.64*Escalation!$B$27,Actuals!AE30)</f>
        <v>-4105.1328</v>
      </c>
      <c r="AE212" s="13" t="n">
        <f aca="false">IF(ISBLANK(Actuals!AF30),-4024.64*Escalation!$B$28,Actuals!AF30)</f>
        <v>-4105.1328</v>
      </c>
      <c r="AF212" s="13" t="n">
        <f aca="false">IF(ISBLANK(Actuals!AG30),-4024.64*Escalation!$B$29,Actuals!AG30)</f>
        <v>-4105.1328</v>
      </c>
      <c r="AG212" s="13" t="n">
        <f aca="false">IF(ISBLANK(Actuals!AH30),-4024.64*Escalation!$B$30,Actuals!AH30)</f>
        <v>-4105.1328</v>
      </c>
      <c r="AH212" s="13" t="n">
        <f aca="false">IF(ISBLANK(Actuals!AI30),-4024.64*Escalation!$B$31,Actuals!AI30)</f>
        <v>-4105.1328</v>
      </c>
      <c r="AI212" s="13" t="n">
        <f aca="false">IF(ISBLANK(Actuals!AJ30),-4024.64*Escalation!$B$32,Actuals!AJ30)</f>
        <v>-4105.1328</v>
      </c>
      <c r="AJ212" s="13" t="n">
        <f aca="false">IF(ISBLANK(Actuals!AK30),-4024.64*Escalation!$B$33,Actuals!AK30)</f>
        <v>-4105.1328</v>
      </c>
      <c r="AK212" s="13" t="n">
        <f aca="false">IF(ISBLANK(Actuals!AL30),-4024.64*Escalation!$B$34,Actuals!AL30)</f>
        <v>-4105.1328</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-4187.235456</v>
      </c>
      <c r="AP212" s="13" t="n">
        <f aca="false">IF(ISBLANK(Actuals!AQ30),-4024.64*Escalation!$B$39,Actuals!AQ30)</f>
        <v>-4187.235456</v>
      </c>
      <c r="AQ212" s="13" t="n">
        <f aca="false">IF(ISBLANK(Actuals!AR30),-4024.64*Escalation!$B$40,Actuals!AR30)</f>
        <v>-4187.235456</v>
      </c>
      <c r="AR212" s="13" t="n">
        <f aca="false">IF(ISBLANK(Actuals!AS30),-4024.64*Escalation!$B$41,Actuals!AS30)</f>
        <v>-4187.235456</v>
      </c>
      <c r="AS212" s="13" t="n">
        <f aca="false">IF(ISBLANK(Actuals!AT30),-4024.64*Escalation!$B$42,Actuals!AT30)</f>
        <v>-4187.235456</v>
      </c>
      <c r="AT212" s="13" t="n">
        <f aca="false">IF(ISBLANK(Actuals!AU30),-4024.64*Escalation!$B$43,Actuals!AU30)</f>
        <v>-4187.235456</v>
      </c>
      <c r="AU212" s="13" t="n">
        <f aca="false">IF(ISBLANK(Actuals!AV30),-4024.64*Escalation!$B$44,Actuals!AV30)</f>
        <v>-4187.235456</v>
      </c>
      <c r="AV212" s="13" t="n">
        <f aca="false">IF(ISBLANK(Actuals!AW30),-4024.64*Escalation!$B$45,Actuals!AW30)</f>
        <v>-4187.235456</v>
      </c>
      <c r="AW212" s="13" t="n">
        <f aca="false">IF(ISBLANK(Actuals!AX30),-4024.64*Escalation!$B$46,Actuals!AX30)</f>
        <v>-4187.235456</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-4270.98016512</v>
      </c>
      <c r="BB212" s="13" t="n">
        <f aca="false">IF(ISBLANK(Actuals!BC30),-4024.64*Escalation!$B$51,Actuals!BC30)</f>
        <v>-4270.98016512</v>
      </c>
      <c r="BC212" s="13" t="n">
        <f aca="false">IF(ISBLANK(Actuals!BD30),-4024.64*Escalation!$B$52,Actuals!BD30)</f>
        <v>-4270.98016512</v>
      </c>
      <c r="BD212" s="13" t="n">
        <f aca="false">IF(ISBLANK(Actuals!BE30),-4024.64*Escalation!$B$53,Actuals!BE30)</f>
        <v>-4270.98016512</v>
      </c>
      <c r="BE212" s="13" t="n">
        <f aca="false">IF(ISBLANK(Actuals!BF30),-4024.64*Escalation!$B$54,Actuals!BF30)</f>
        <v>-4270.98016512</v>
      </c>
      <c r="BF212" s="13" t="n">
        <f aca="false">IF(ISBLANK(Actuals!BG30),-4024.64*Escalation!$B$55,Actuals!BG30)</f>
        <v>-4270.98016512</v>
      </c>
      <c r="BG212" s="13" t="n">
        <f aca="false">IF(ISBLANK(Actuals!BH30),-4024.64*Escalation!$B$56,Actuals!BH30)</f>
        <v>-4270.98016512</v>
      </c>
      <c r="BH212" s="13" t="n">
        <f aca="false">IF(ISBLANK(Actuals!BI30),-4024.64*Escalation!$B$57,Actuals!BI30)</f>
        <v>-4270.98016512</v>
      </c>
      <c r="BI212" s="13" t="n">
        <f aca="false">IF(ISBLANK(Actuals!BJ30),-4024.64*Escalation!$B$58,Actuals!BJ30)</f>
        <v>-4270.98016512</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-4356.3997684224</v>
      </c>
      <c r="BN212" s="13" t="n">
        <f aca="false">IF(ISBLANK(Actuals!BO30),-4024.64*Escalation!$B$63,Actuals!BO30)</f>
        <v>-4356.3997684224</v>
      </c>
      <c r="BO212" s="13" t="n">
        <f aca="false">IF(ISBLANK(Actuals!BP30),-4024.64*Escalation!$B$64,Actuals!BP30)</f>
        <v>-4356.3997684224</v>
      </c>
      <c r="BP212" s="13" t="n">
        <f aca="false">IF(ISBLANK(Actuals!BQ30),-4024.64*Escalation!$B$65,Actuals!BQ30)</f>
        <v>-4356.3997684224</v>
      </c>
      <c r="BQ212" s="13" t="n">
        <f aca="false">IF(ISBLANK(Actuals!BR30),-4024.64*Escalation!$B$66,Actuals!BR30)</f>
        <v>-4356.3997684224</v>
      </c>
      <c r="BR212" s="13" t="n">
        <f aca="false">IF(ISBLANK(Actuals!BS30),-4024.64*Escalation!$B$67,Actuals!BS30)</f>
        <v>-4356.3997684224</v>
      </c>
      <c r="BS212" s="13" t="n">
        <f aca="false">IF(ISBLANK(Actuals!BT30),-4024.64*Escalation!$B$68,Actuals!BT30)</f>
        <v>-4356.3997684224</v>
      </c>
      <c r="BT212" s="13" t="n">
        <f aca="false">IF(ISBLANK(Actuals!BU30),-4024.64*Escalation!$B$69,Actuals!BU30)</f>
        <v>-4356.3997684224</v>
      </c>
      <c r="BU212" s="13" t="n">
        <f aca="false">IF(ISBLANK(Actuals!BV30),-4024.64*Escalation!$B$70,Actuals!BV30)</f>
        <v>-4356.3997684224</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-4443.52776379085</v>
      </c>
      <c r="BZ212" s="13" t="n">
        <f aca="false">IF(ISBLANK(Actuals!CA30),-4024.64*Escalation!$B$75,Actuals!CA30)</f>
        <v>-4443.52776379085</v>
      </c>
      <c r="CA212" s="13" t="n">
        <f aca="false">IF(ISBLANK(Actuals!CB30),-4024.64*Escalation!$B$76,Actuals!CB30)</f>
        <v>-4443.52776379085</v>
      </c>
      <c r="CB212" s="13" t="n">
        <f aca="false">IF(ISBLANK(Actuals!CC30),-4024.64*Escalation!$B$77,Actuals!CC30)</f>
        <v>-4443.52776379085</v>
      </c>
      <c r="CC212" s="13" t="n">
        <f aca="false">IF(ISBLANK(Actuals!CD30),-4024.64*Escalation!$B$78,Actuals!CD30)</f>
        <v>-4443.52776379085</v>
      </c>
      <c r="CD212" s="13" t="n">
        <f aca="false">IF(ISBLANK(Actuals!CE30),-4024.64*Escalation!$B$79,Actuals!CE30)</f>
        <v>-4443.52776379085</v>
      </c>
      <c r="CE212" s="13" t="n">
        <f aca="false">IF(ISBLANK(Actuals!CF30),-4024.64*Escalation!$B$80,Actuals!CF30)</f>
        <v>-4443.52776379085</v>
      </c>
      <c r="CF212" s="13" t="n">
        <f aca="false">IF(ISBLANK(Actuals!CG30),-4024.64*Escalation!$B$81,Actuals!CG30)</f>
        <v>-4443.52776379085</v>
      </c>
      <c r="CG212" s="13" t="n">
        <f aca="false">IF(ISBLANK(Actuals!CH30),-4024.64*Escalation!$B$82,Actuals!CH30)</f>
        <v>-4443.52776379085</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-4532.39831906667</v>
      </c>
      <c r="CL212" s="13" t="n">
        <f aca="false">IF(ISBLANK(Actuals!CM30),-4024.64*Escalation!$B$87,Actuals!CM30)</f>
        <v>-4532.39831906667</v>
      </c>
      <c r="CM212" s="13" t="n">
        <f aca="false">IF(ISBLANK(Actuals!CN30),-4024.64*Escalation!$B$88,Actuals!CN30)</f>
        <v>-4532.39831906667</v>
      </c>
      <c r="CN212" s="13" t="n">
        <f aca="false">IF(ISBLANK(Actuals!CO30),-4024.64*Escalation!$B$89,Actuals!CO30)</f>
        <v>-4532.39831906667</v>
      </c>
      <c r="CO212" s="13" t="n">
        <f aca="false">IF(ISBLANK(Actuals!CP30),-4024.64*Escalation!$B$90,Actuals!CP30)</f>
        <v>-4532.39831906667</v>
      </c>
      <c r="CP212" s="13" t="n">
        <f aca="false">IF(ISBLANK(Actuals!CQ30),-4024.64*Escalation!$B$91,Actuals!CQ30)</f>
        <v>-4532.39831906667</v>
      </c>
      <c r="CQ212" s="13" t="n">
        <f aca="false">IF(ISBLANK(Actuals!CR30),-4024.64*Escalation!$B$92,Actuals!CR30)</f>
        <v>-4532.39831906667</v>
      </c>
      <c r="CR212" s="13" t="n">
        <f aca="false">IF(ISBLANK(Actuals!CS30),-4024.64*Escalation!$B$93,Actuals!CS30)</f>
        <v>-4532.39831906667</v>
      </c>
      <c r="CS212" s="13" t="n">
        <f aca="false">IF(ISBLANK(Actuals!CT30),-4024.64*Escalation!$B$94,Actuals!CT30)</f>
        <v>-4532.39831906667</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-4623.046285448</v>
      </c>
      <c r="CX212" s="13" t="n">
        <f aca="false">IF(ISBLANK(Actuals!CY30),-4024.64*Escalation!$B$99,Actuals!CY30)</f>
        <v>-4623.046285448</v>
      </c>
      <c r="CY212" s="13" t="n">
        <f aca="false">IF(ISBLANK(Actuals!CZ30),-4024.64*Escalation!$B$100,Actuals!CZ30)</f>
        <v>-4623.046285448</v>
      </c>
      <c r="CZ212" s="13" t="n">
        <f aca="false">IF(ISBLANK(Actuals!DA30),-4024.64*Escalation!$B$101,Actuals!DA30)</f>
        <v>-4623.046285448</v>
      </c>
      <c r="DA212" s="13" t="n">
        <f aca="false">IF(ISBLANK(Actuals!DB30),-4024.64*Escalation!$B$102,Actuals!DB30)</f>
        <v>-4623.046285448</v>
      </c>
      <c r="DB212" s="13" t="n">
        <f aca="false">IF(ISBLANK(Actuals!DC30),-4024.64*Escalation!$B$103,Actuals!DC30)</f>
        <v>-4623.046285448</v>
      </c>
      <c r="DC212" s="13" t="n">
        <f aca="false">IF(ISBLANK(Actuals!DD30),-4024.64*Escalation!$B$104,Actuals!DD30)</f>
        <v>-4623.046285448</v>
      </c>
      <c r="DD212" s="13" t="n">
        <f aca="false">IF(ISBLANK(Actuals!DE30),-4024.64*Escalation!$B$105,Actuals!DE30)</f>
        <v>-4623.046285448</v>
      </c>
      <c r="DE212" s="13" t="n">
        <f aca="false">IF(ISBLANK(Actuals!DF30),-4024.64*Escalation!$B$106,Actuals!DF30)</f>
        <v>-4623.046285448</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-1797.24</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-359.13</v>
      </c>
      <c r="R213" s="13" t="n">
        <f aca="false">IF(ISBLANK(Actuals!S31),-359.13*Escalation!$B$15,Actuals!S31)</f>
        <v>-359.13</v>
      </c>
      <c r="S213" s="13" t="n">
        <f aca="false">IF(ISBLANK(Actuals!T31),-359.13*Escalation!$B$16,Actuals!T31)</f>
        <v>-359.13</v>
      </c>
      <c r="T213" s="13" t="n">
        <f aca="false">IF(ISBLANK(Actuals!U31),-359.13*Escalation!$B$17,Actuals!U31)</f>
        <v>-359.13</v>
      </c>
      <c r="U213" s="13" t="n">
        <f aca="false">IF(ISBLANK(Actuals!V31),-359.13*Escalation!$B$18,Actuals!V31)</f>
        <v>-359.13</v>
      </c>
      <c r="V213" s="13" t="n">
        <f aca="false">IF(ISBLANK(Actuals!W31),-359.13*Escalation!$B$19,Actuals!W31)</f>
        <v>-359.13</v>
      </c>
      <c r="W213" s="13" t="n">
        <f aca="false">IF(ISBLANK(Actuals!X31),-359.13*Escalation!$B$20,Actuals!X31)</f>
        <v>-359.13</v>
      </c>
      <c r="X213" s="13" t="n">
        <f aca="false">IF(ISBLANK(Actuals!Y31),-359.13*Escalation!$B$21,Actuals!Y31)</f>
        <v>-359.13</v>
      </c>
      <c r="Y213" s="13" t="n">
        <f aca="false">IF(ISBLANK(Actuals!Z31),-359.13*Escalation!$B$22,Actuals!Z31)</f>
        <v>-359.13</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-366.3126</v>
      </c>
      <c r="AD213" s="13" t="n">
        <f aca="false">IF(ISBLANK(Actuals!AE31),-359.13*Escalation!$B$27,Actuals!AE31)</f>
        <v>-366.3126</v>
      </c>
      <c r="AE213" s="13" t="n">
        <f aca="false">IF(ISBLANK(Actuals!AF31),-359.13*Escalation!$B$28,Actuals!AF31)</f>
        <v>-366.3126</v>
      </c>
      <c r="AF213" s="13" t="n">
        <f aca="false">IF(ISBLANK(Actuals!AG31),-359.13*Escalation!$B$29,Actuals!AG31)</f>
        <v>-366.3126</v>
      </c>
      <c r="AG213" s="13" t="n">
        <f aca="false">IF(ISBLANK(Actuals!AH31),-359.13*Escalation!$B$30,Actuals!AH31)</f>
        <v>-366.3126</v>
      </c>
      <c r="AH213" s="13" t="n">
        <f aca="false">IF(ISBLANK(Actuals!AI31),-359.13*Escalation!$B$31,Actuals!AI31)</f>
        <v>-366.3126</v>
      </c>
      <c r="AI213" s="13" t="n">
        <f aca="false">IF(ISBLANK(Actuals!AJ31),-359.13*Escalation!$B$32,Actuals!AJ31)</f>
        <v>-366.3126</v>
      </c>
      <c r="AJ213" s="13" t="n">
        <f aca="false">IF(ISBLANK(Actuals!AK31),-359.13*Escalation!$B$33,Actuals!AK31)</f>
        <v>-366.3126</v>
      </c>
      <c r="AK213" s="13" t="n">
        <f aca="false">IF(ISBLANK(Actuals!AL31),-359.13*Escalation!$B$34,Actuals!AL31)</f>
        <v>-366.3126</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-373.638852</v>
      </c>
      <c r="AP213" s="13" t="n">
        <f aca="false">IF(ISBLANK(Actuals!AQ31),-359.13*Escalation!$B$39,Actuals!AQ31)</f>
        <v>-373.638852</v>
      </c>
      <c r="AQ213" s="13" t="n">
        <f aca="false">IF(ISBLANK(Actuals!AR31),-359.13*Escalation!$B$40,Actuals!AR31)</f>
        <v>-373.638852</v>
      </c>
      <c r="AR213" s="13" t="n">
        <f aca="false">IF(ISBLANK(Actuals!AS31),-359.13*Escalation!$B$41,Actuals!AS31)</f>
        <v>-373.638852</v>
      </c>
      <c r="AS213" s="13" t="n">
        <f aca="false">IF(ISBLANK(Actuals!AT31),-359.13*Escalation!$B$42,Actuals!AT31)</f>
        <v>-373.638852</v>
      </c>
      <c r="AT213" s="13" t="n">
        <f aca="false">IF(ISBLANK(Actuals!AU31),-359.13*Escalation!$B$43,Actuals!AU31)</f>
        <v>-373.638852</v>
      </c>
      <c r="AU213" s="13" t="n">
        <f aca="false">IF(ISBLANK(Actuals!AV31),-359.13*Escalation!$B$44,Actuals!AV31)</f>
        <v>-373.638852</v>
      </c>
      <c r="AV213" s="13" t="n">
        <f aca="false">IF(ISBLANK(Actuals!AW31),-359.13*Escalation!$B$45,Actuals!AW31)</f>
        <v>-373.638852</v>
      </c>
      <c r="AW213" s="13" t="n">
        <f aca="false">IF(ISBLANK(Actuals!AX31),-359.13*Escalation!$B$46,Actuals!AX31)</f>
        <v>-373.638852</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-381.11162904</v>
      </c>
      <c r="BB213" s="13" t="n">
        <f aca="false">IF(ISBLANK(Actuals!BC31),-359.13*Escalation!$B$51,Actuals!BC31)</f>
        <v>-381.11162904</v>
      </c>
      <c r="BC213" s="13" t="n">
        <f aca="false">IF(ISBLANK(Actuals!BD31),-359.13*Escalation!$B$52,Actuals!BD31)</f>
        <v>-381.11162904</v>
      </c>
      <c r="BD213" s="13" t="n">
        <f aca="false">IF(ISBLANK(Actuals!BE31),-359.13*Escalation!$B$53,Actuals!BE31)</f>
        <v>-381.11162904</v>
      </c>
      <c r="BE213" s="13" t="n">
        <f aca="false">IF(ISBLANK(Actuals!BF31),-359.13*Escalation!$B$54,Actuals!BF31)</f>
        <v>-381.11162904</v>
      </c>
      <c r="BF213" s="13" t="n">
        <f aca="false">IF(ISBLANK(Actuals!BG31),-359.13*Escalation!$B$55,Actuals!BG31)</f>
        <v>-381.11162904</v>
      </c>
      <c r="BG213" s="13" t="n">
        <f aca="false">IF(ISBLANK(Actuals!BH31),-359.13*Escalation!$B$56,Actuals!BH31)</f>
        <v>-381.11162904</v>
      </c>
      <c r="BH213" s="13" t="n">
        <f aca="false">IF(ISBLANK(Actuals!BI31),-359.13*Escalation!$B$57,Actuals!BI31)</f>
        <v>-381.11162904</v>
      </c>
      <c r="BI213" s="13" t="n">
        <f aca="false">IF(ISBLANK(Actuals!BJ31),-359.13*Escalation!$B$58,Actuals!BJ31)</f>
        <v>-381.11162904</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-388.7338616208</v>
      </c>
      <c r="BN213" s="13" t="n">
        <f aca="false">IF(ISBLANK(Actuals!BO31),-359.13*Escalation!$B$63,Actuals!BO31)</f>
        <v>-388.7338616208</v>
      </c>
      <c r="BO213" s="13" t="n">
        <f aca="false">IF(ISBLANK(Actuals!BP31),-359.13*Escalation!$B$64,Actuals!BP31)</f>
        <v>-388.7338616208</v>
      </c>
      <c r="BP213" s="13" t="n">
        <f aca="false">IF(ISBLANK(Actuals!BQ31),-359.13*Escalation!$B$65,Actuals!BQ31)</f>
        <v>-388.7338616208</v>
      </c>
      <c r="BQ213" s="13" t="n">
        <f aca="false">IF(ISBLANK(Actuals!BR31),-359.13*Escalation!$B$66,Actuals!BR31)</f>
        <v>-388.7338616208</v>
      </c>
      <c r="BR213" s="13" t="n">
        <f aca="false">IF(ISBLANK(Actuals!BS31),-359.13*Escalation!$B$67,Actuals!BS31)</f>
        <v>-388.7338616208</v>
      </c>
      <c r="BS213" s="13" t="n">
        <f aca="false">IF(ISBLANK(Actuals!BT31),-359.13*Escalation!$B$68,Actuals!BT31)</f>
        <v>-388.7338616208</v>
      </c>
      <c r="BT213" s="13" t="n">
        <f aca="false">IF(ISBLANK(Actuals!BU31),-359.13*Escalation!$B$69,Actuals!BU31)</f>
        <v>-388.7338616208</v>
      </c>
      <c r="BU213" s="13" t="n">
        <f aca="false">IF(ISBLANK(Actuals!BV31),-359.13*Escalation!$B$70,Actuals!BV31)</f>
        <v>-388.7338616208</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-396.508538853216</v>
      </c>
      <c r="BZ213" s="13" t="n">
        <f aca="false">IF(ISBLANK(Actuals!CA31),-359.13*Escalation!$B$75,Actuals!CA31)</f>
        <v>-396.508538853216</v>
      </c>
      <c r="CA213" s="13" t="n">
        <f aca="false">IF(ISBLANK(Actuals!CB31),-359.13*Escalation!$B$76,Actuals!CB31)</f>
        <v>-396.508538853216</v>
      </c>
      <c r="CB213" s="13" t="n">
        <f aca="false">IF(ISBLANK(Actuals!CC31),-359.13*Escalation!$B$77,Actuals!CC31)</f>
        <v>-396.508538853216</v>
      </c>
      <c r="CC213" s="13" t="n">
        <f aca="false">IF(ISBLANK(Actuals!CD31),-359.13*Escalation!$B$78,Actuals!CD31)</f>
        <v>-396.508538853216</v>
      </c>
      <c r="CD213" s="13" t="n">
        <f aca="false">IF(ISBLANK(Actuals!CE31),-359.13*Escalation!$B$79,Actuals!CE31)</f>
        <v>-396.508538853216</v>
      </c>
      <c r="CE213" s="13" t="n">
        <f aca="false">IF(ISBLANK(Actuals!CF31),-359.13*Escalation!$B$80,Actuals!CF31)</f>
        <v>-396.508538853216</v>
      </c>
      <c r="CF213" s="13" t="n">
        <f aca="false">IF(ISBLANK(Actuals!CG31),-359.13*Escalation!$B$81,Actuals!CG31)</f>
        <v>-396.508538853216</v>
      </c>
      <c r="CG213" s="13" t="n">
        <f aca="false">IF(ISBLANK(Actuals!CH31),-359.13*Escalation!$B$82,Actuals!CH31)</f>
        <v>-396.508538853216</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-404.43870963028</v>
      </c>
      <c r="CL213" s="13" t="n">
        <f aca="false">IF(ISBLANK(Actuals!CM31),-359.13*Escalation!$B$87,Actuals!CM31)</f>
        <v>-404.43870963028</v>
      </c>
      <c r="CM213" s="13" t="n">
        <f aca="false">IF(ISBLANK(Actuals!CN31),-359.13*Escalation!$B$88,Actuals!CN31)</f>
        <v>-404.43870963028</v>
      </c>
      <c r="CN213" s="13" t="n">
        <f aca="false">IF(ISBLANK(Actuals!CO31),-359.13*Escalation!$B$89,Actuals!CO31)</f>
        <v>-404.43870963028</v>
      </c>
      <c r="CO213" s="13" t="n">
        <f aca="false">IF(ISBLANK(Actuals!CP31),-359.13*Escalation!$B$90,Actuals!CP31)</f>
        <v>-404.43870963028</v>
      </c>
      <c r="CP213" s="13" t="n">
        <f aca="false">IF(ISBLANK(Actuals!CQ31),-359.13*Escalation!$B$91,Actuals!CQ31)</f>
        <v>-404.43870963028</v>
      </c>
      <c r="CQ213" s="13" t="n">
        <f aca="false">IF(ISBLANK(Actuals!CR31),-359.13*Escalation!$B$92,Actuals!CR31)</f>
        <v>-404.43870963028</v>
      </c>
      <c r="CR213" s="13" t="n">
        <f aca="false">IF(ISBLANK(Actuals!CS31),-359.13*Escalation!$B$93,Actuals!CS31)</f>
        <v>-404.43870963028</v>
      </c>
      <c r="CS213" s="13" t="n">
        <f aca="false">IF(ISBLANK(Actuals!CT31),-359.13*Escalation!$B$94,Actuals!CT31)</f>
        <v>-404.43870963028</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-412.527483822886</v>
      </c>
      <c r="CX213" s="13" t="n">
        <f aca="false">IF(ISBLANK(Actuals!CY31),-359.13*Escalation!$B$99,Actuals!CY31)</f>
        <v>-412.527483822886</v>
      </c>
      <c r="CY213" s="13" t="n">
        <f aca="false">IF(ISBLANK(Actuals!CZ31),-359.13*Escalation!$B$100,Actuals!CZ31)</f>
        <v>-412.527483822886</v>
      </c>
      <c r="CZ213" s="13" t="n">
        <f aca="false">IF(ISBLANK(Actuals!DA31),-359.13*Escalation!$B$101,Actuals!DA31)</f>
        <v>-412.527483822886</v>
      </c>
      <c r="DA213" s="13" t="n">
        <f aca="false">IF(ISBLANK(Actuals!DB31),-359.13*Escalation!$B$102,Actuals!DB31)</f>
        <v>-412.527483822886</v>
      </c>
      <c r="DB213" s="13" t="n">
        <f aca="false">IF(ISBLANK(Actuals!DC31),-359.13*Escalation!$B$103,Actuals!DC31)</f>
        <v>-412.527483822886</v>
      </c>
      <c r="DC213" s="13" t="n">
        <f aca="false">IF(ISBLANK(Actuals!DD31),-359.13*Escalation!$B$104,Actuals!DD31)</f>
        <v>-412.527483822886</v>
      </c>
      <c r="DD213" s="13" t="n">
        <f aca="false">IF(ISBLANK(Actuals!DE31),-359.13*Escalation!$B$105,Actuals!DE31)</f>
        <v>-412.527483822886</v>
      </c>
      <c r="DE213" s="13" t="n">
        <f aca="false">IF(ISBLANK(Actuals!DF31),-359.13*Escalation!$B$106,Actuals!DF31)</f>
        <v>-412.527483822886</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0</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-26.33</v>
      </c>
      <c r="R214" s="13" t="n">
        <f aca="false">IF(ISBLANK(Actuals!S32),-26.33*Escalation!$B$15,Actuals!S32)</f>
        <v>-26.33</v>
      </c>
      <c r="S214" s="13" t="n">
        <f aca="false">IF(ISBLANK(Actuals!T32),-26.33*Escalation!$B$16,Actuals!T32)</f>
        <v>-26.33</v>
      </c>
      <c r="T214" s="13" t="n">
        <f aca="false">IF(ISBLANK(Actuals!U32),-26.33*Escalation!$B$17,Actuals!U32)</f>
        <v>-26.33</v>
      </c>
      <c r="U214" s="13" t="n">
        <f aca="false">IF(ISBLANK(Actuals!V32),-26.33*Escalation!$B$18,Actuals!V32)</f>
        <v>-26.33</v>
      </c>
      <c r="V214" s="13" t="n">
        <f aca="false">IF(ISBLANK(Actuals!W32),-26.33*Escalation!$B$19,Actuals!W32)</f>
        <v>-26.33</v>
      </c>
      <c r="W214" s="13" t="n">
        <f aca="false">IF(ISBLANK(Actuals!X32),-26.33*Escalation!$B$20,Actuals!X32)</f>
        <v>-26.33</v>
      </c>
      <c r="X214" s="13" t="n">
        <f aca="false">IF(ISBLANK(Actuals!Y32),-26.33*Escalation!$B$21,Actuals!Y32)</f>
        <v>-26.33</v>
      </c>
      <c r="Y214" s="13" t="n">
        <f aca="false">IF(ISBLANK(Actuals!Z32),-26.33*Escalation!$B$22,Actuals!Z32)</f>
        <v>-26.33</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-26.8566</v>
      </c>
      <c r="AD214" s="13" t="n">
        <f aca="false">IF(ISBLANK(Actuals!AE32),-26.33*Escalation!$B$27,Actuals!AE32)</f>
        <v>-26.8566</v>
      </c>
      <c r="AE214" s="13" t="n">
        <f aca="false">IF(ISBLANK(Actuals!AF32),-26.33*Escalation!$B$28,Actuals!AF32)</f>
        <v>-26.8566</v>
      </c>
      <c r="AF214" s="13" t="n">
        <f aca="false">IF(ISBLANK(Actuals!AG32),-26.33*Escalation!$B$29,Actuals!AG32)</f>
        <v>-26.8566</v>
      </c>
      <c r="AG214" s="13" t="n">
        <f aca="false">IF(ISBLANK(Actuals!AH32),-26.33*Escalation!$B$30,Actuals!AH32)</f>
        <v>-26.8566</v>
      </c>
      <c r="AH214" s="13" t="n">
        <f aca="false">IF(ISBLANK(Actuals!AI32),-26.33*Escalation!$B$31,Actuals!AI32)</f>
        <v>-26.8566</v>
      </c>
      <c r="AI214" s="13" t="n">
        <f aca="false">IF(ISBLANK(Actuals!AJ32),-26.33*Escalation!$B$32,Actuals!AJ32)</f>
        <v>-26.8566</v>
      </c>
      <c r="AJ214" s="13" t="n">
        <f aca="false">IF(ISBLANK(Actuals!AK32),-26.33*Escalation!$B$33,Actuals!AK32)</f>
        <v>-26.8566</v>
      </c>
      <c r="AK214" s="13" t="n">
        <f aca="false">IF(ISBLANK(Actuals!AL32),-26.33*Escalation!$B$34,Actuals!AL32)</f>
        <v>-26.8566</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-27.393732</v>
      </c>
      <c r="AP214" s="13" t="n">
        <f aca="false">IF(ISBLANK(Actuals!AQ32),-26.33*Escalation!$B$39,Actuals!AQ32)</f>
        <v>-27.393732</v>
      </c>
      <c r="AQ214" s="13" t="n">
        <f aca="false">IF(ISBLANK(Actuals!AR32),-26.33*Escalation!$B$40,Actuals!AR32)</f>
        <v>-27.393732</v>
      </c>
      <c r="AR214" s="13" t="n">
        <f aca="false">IF(ISBLANK(Actuals!AS32),-26.33*Escalation!$B$41,Actuals!AS32)</f>
        <v>-27.393732</v>
      </c>
      <c r="AS214" s="13" t="n">
        <f aca="false">IF(ISBLANK(Actuals!AT32),-26.33*Escalation!$B$42,Actuals!AT32)</f>
        <v>-27.393732</v>
      </c>
      <c r="AT214" s="13" t="n">
        <f aca="false">IF(ISBLANK(Actuals!AU32),-26.33*Escalation!$B$43,Actuals!AU32)</f>
        <v>-27.393732</v>
      </c>
      <c r="AU214" s="13" t="n">
        <f aca="false">IF(ISBLANK(Actuals!AV32),-26.33*Escalation!$B$44,Actuals!AV32)</f>
        <v>-27.393732</v>
      </c>
      <c r="AV214" s="13" t="n">
        <f aca="false">IF(ISBLANK(Actuals!AW32),-26.33*Escalation!$B$45,Actuals!AW32)</f>
        <v>-27.393732</v>
      </c>
      <c r="AW214" s="13" t="n">
        <f aca="false">IF(ISBLANK(Actuals!AX32),-26.33*Escalation!$B$46,Actuals!AX32)</f>
        <v>-27.393732</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-27.94160664</v>
      </c>
      <c r="BB214" s="13" t="n">
        <f aca="false">IF(ISBLANK(Actuals!BC32),-26.33*Escalation!$B$51,Actuals!BC32)</f>
        <v>-27.94160664</v>
      </c>
      <c r="BC214" s="13" t="n">
        <f aca="false">IF(ISBLANK(Actuals!BD32),-26.33*Escalation!$B$52,Actuals!BD32)</f>
        <v>-27.94160664</v>
      </c>
      <c r="BD214" s="13" t="n">
        <f aca="false">IF(ISBLANK(Actuals!BE32),-26.33*Escalation!$B$53,Actuals!BE32)</f>
        <v>-27.94160664</v>
      </c>
      <c r="BE214" s="13" t="n">
        <f aca="false">IF(ISBLANK(Actuals!BF32),-26.33*Escalation!$B$54,Actuals!BF32)</f>
        <v>-27.94160664</v>
      </c>
      <c r="BF214" s="13" t="n">
        <f aca="false">IF(ISBLANK(Actuals!BG32),-26.33*Escalation!$B$55,Actuals!BG32)</f>
        <v>-27.94160664</v>
      </c>
      <c r="BG214" s="13" t="n">
        <f aca="false">IF(ISBLANK(Actuals!BH32),-26.33*Escalation!$B$56,Actuals!BH32)</f>
        <v>-27.94160664</v>
      </c>
      <c r="BH214" s="13" t="n">
        <f aca="false">IF(ISBLANK(Actuals!BI32),-26.33*Escalation!$B$57,Actuals!BI32)</f>
        <v>-27.94160664</v>
      </c>
      <c r="BI214" s="13" t="n">
        <f aca="false">IF(ISBLANK(Actuals!BJ32),-26.33*Escalation!$B$58,Actuals!BJ32)</f>
        <v>-27.94160664</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-28.5004387728</v>
      </c>
      <c r="BN214" s="13" t="n">
        <f aca="false">IF(ISBLANK(Actuals!BO32),-26.33*Escalation!$B$63,Actuals!BO32)</f>
        <v>-28.5004387728</v>
      </c>
      <c r="BO214" s="13" t="n">
        <f aca="false">IF(ISBLANK(Actuals!BP32),-26.33*Escalation!$B$64,Actuals!BP32)</f>
        <v>-28.5004387728</v>
      </c>
      <c r="BP214" s="13" t="n">
        <f aca="false">IF(ISBLANK(Actuals!BQ32),-26.33*Escalation!$B$65,Actuals!BQ32)</f>
        <v>-28.5004387728</v>
      </c>
      <c r="BQ214" s="13" t="n">
        <f aca="false">IF(ISBLANK(Actuals!BR32),-26.33*Escalation!$B$66,Actuals!BR32)</f>
        <v>-28.5004387728</v>
      </c>
      <c r="BR214" s="13" t="n">
        <f aca="false">IF(ISBLANK(Actuals!BS32),-26.33*Escalation!$B$67,Actuals!BS32)</f>
        <v>-28.5004387728</v>
      </c>
      <c r="BS214" s="13" t="n">
        <f aca="false">IF(ISBLANK(Actuals!BT32),-26.33*Escalation!$B$68,Actuals!BT32)</f>
        <v>-28.5004387728</v>
      </c>
      <c r="BT214" s="13" t="n">
        <f aca="false">IF(ISBLANK(Actuals!BU32),-26.33*Escalation!$B$69,Actuals!BU32)</f>
        <v>-28.5004387728</v>
      </c>
      <c r="BU214" s="13" t="n">
        <f aca="false">IF(ISBLANK(Actuals!BV32),-26.33*Escalation!$B$70,Actuals!BV32)</f>
        <v>-28.5004387728</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-29.070447548256</v>
      </c>
      <c r="BZ214" s="13" t="n">
        <f aca="false">IF(ISBLANK(Actuals!CA32),-26.33*Escalation!$B$75,Actuals!CA32)</f>
        <v>-29.070447548256</v>
      </c>
      <c r="CA214" s="13" t="n">
        <f aca="false">IF(ISBLANK(Actuals!CB32),-26.33*Escalation!$B$76,Actuals!CB32)</f>
        <v>-29.070447548256</v>
      </c>
      <c r="CB214" s="13" t="n">
        <f aca="false">IF(ISBLANK(Actuals!CC32),-26.33*Escalation!$B$77,Actuals!CC32)</f>
        <v>-29.070447548256</v>
      </c>
      <c r="CC214" s="13" t="n">
        <f aca="false">IF(ISBLANK(Actuals!CD32),-26.33*Escalation!$B$78,Actuals!CD32)</f>
        <v>-29.070447548256</v>
      </c>
      <c r="CD214" s="13" t="n">
        <f aca="false">IF(ISBLANK(Actuals!CE32),-26.33*Escalation!$B$79,Actuals!CE32)</f>
        <v>-29.070447548256</v>
      </c>
      <c r="CE214" s="13" t="n">
        <f aca="false">IF(ISBLANK(Actuals!CF32),-26.33*Escalation!$B$80,Actuals!CF32)</f>
        <v>-29.070447548256</v>
      </c>
      <c r="CF214" s="13" t="n">
        <f aca="false">IF(ISBLANK(Actuals!CG32),-26.33*Escalation!$B$81,Actuals!CG32)</f>
        <v>-29.070447548256</v>
      </c>
      <c r="CG214" s="13" t="n">
        <f aca="false">IF(ISBLANK(Actuals!CH32),-26.33*Escalation!$B$82,Actuals!CH32)</f>
        <v>-29.070447548256</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-29.6518564992211</v>
      </c>
      <c r="CL214" s="13" t="n">
        <f aca="false">IF(ISBLANK(Actuals!CM32),-26.33*Escalation!$B$87,Actuals!CM32)</f>
        <v>-29.6518564992211</v>
      </c>
      <c r="CM214" s="13" t="n">
        <f aca="false">IF(ISBLANK(Actuals!CN32),-26.33*Escalation!$B$88,Actuals!CN32)</f>
        <v>-29.6518564992211</v>
      </c>
      <c r="CN214" s="13" t="n">
        <f aca="false">IF(ISBLANK(Actuals!CO32),-26.33*Escalation!$B$89,Actuals!CO32)</f>
        <v>-29.6518564992211</v>
      </c>
      <c r="CO214" s="13" t="n">
        <f aca="false">IF(ISBLANK(Actuals!CP32),-26.33*Escalation!$B$90,Actuals!CP32)</f>
        <v>-29.6518564992211</v>
      </c>
      <c r="CP214" s="13" t="n">
        <f aca="false">IF(ISBLANK(Actuals!CQ32),-26.33*Escalation!$B$91,Actuals!CQ32)</f>
        <v>-29.6518564992211</v>
      </c>
      <c r="CQ214" s="13" t="n">
        <f aca="false">IF(ISBLANK(Actuals!CR32),-26.33*Escalation!$B$92,Actuals!CR32)</f>
        <v>-29.6518564992211</v>
      </c>
      <c r="CR214" s="13" t="n">
        <f aca="false">IF(ISBLANK(Actuals!CS32),-26.33*Escalation!$B$93,Actuals!CS32)</f>
        <v>-29.6518564992211</v>
      </c>
      <c r="CS214" s="13" t="n">
        <f aca="false">IF(ISBLANK(Actuals!CT32),-26.33*Escalation!$B$94,Actuals!CT32)</f>
        <v>-29.6518564992211</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-30.2448936292055</v>
      </c>
      <c r="CX214" s="13" t="n">
        <f aca="false">IF(ISBLANK(Actuals!CY32),-26.33*Escalation!$B$99,Actuals!CY32)</f>
        <v>-30.2448936292055</v>
      </c>
      <c r="CY214" s="13" t="n">
        <f aca="false">IF(ISBLANK(Actuals!CZ32),-26.33*Escalation!$B$100,Actuals!CZ32)</f>
        <v>-30.2448936292055</v>
      </c>
      <c r="CZ214" s="13" t="n">
        <f aca="false">IF(ISBLANK(Actuals!DA32),-26.33*Escalation!$B$101,Actuals!DA32)</f>
        <v>-30.2448936292055</v>
      </c>
      <c r="DA214" s="13" t="n">
        <f aca="false">IF(ISBLANK(Actuals!DB32),-26.33*Escalation!$B$102,Actuals!DB32)</f>
        <v>-30.2448936292055</v>
      </c>
      <c r="DB214" s="13" t="n">
        <f aca="false">IF(ISBLANK(Actuals!DC32),-26.33*Escalation!$B$103,Actuals!DC32)</f>
        <v>-30.2448936292055</v>
      </c>
      <c r="DC214" s="13" t="n">
        <f aca="false">IF(ISBLANK(Actuals!DD32),-26.33*Escalation!$B$104,Actuals!DD32)</f>
        <v>-30.2448936292055</v>
      </c>
      <c r="DD214" s="13" t="n">
        <f aca="false">IF(ISBLANK(Actuals!DE32),-26.33*Escalation!$B$105,Actuals!DE32)</f>
        <v>-30.2448936292055</v>
      </c>
      <c r="DE214" s="13" t="n">
        <f aca="false">IF(ISBLANK(Actuals!DF32),-26.33*Escalation!$B$106,Actuals!DF32)</f>
        <v>-30.2448936292055</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-4679.53</v>
      </c>
      <c r="K215" s="13" t="n">
        <f aca="false">IF(ISBLANK(Actuals!L33),(-5300.8*Escalation!$B$8)-IF(OR(K$3=10,K$3=11),Assumptions!$B$153/2,0)-IF(AND(K$3&gt;=10,K$3&lt;=21),Assumptions!$B$154,IF(K$3&gt;=22,Assumptions!$B$155,0)),Actuals!L33)</f>
        <v>-5300.8</v>
      </c>
      <c r="L215" s="13" t="n">
        <f aca="false">IF(ISBLANK(Actuals!M33),(-5300.8*Escalation!$B$9)-IF(OR(L$3=10,L$3=11),Assumptions!$B$153/2,0)-IF(AND(L$3&gt;=10,L$3&lt;=21),Assumptions!$B$154,IF(L$3&gt;=22,Assumptions!$B$155,0)),Actuals!M33)</f>
        <v>-5300.8</v>
      </c>
      <c r="M215" s="13" t="n">
        <f aca="false">IF(ISBLANK(Actuals!N33),(-5300.8*Escalation!$B$10)-IF(OR(M$3=10,M$3=11),Assumptions!$B$153/2,0)-IF(AND(M$3&gt;=10,M$3&lt;=21),Assumptions!$B$154,IF(M$3&gt;=22,Assumptions!$B$155,0)),Actuals!N33)</f>
        <v>-5300.8</v>
      </c>
      <c r="N215" s="13" t="n">
        <f aca="false">IF(ISBLANK(Actuals!O33),(-5300.8*Escalation!$B$11)-IF(OR(N$3=10,N$3=11),Assumptions!$B$153/2,0)-IF(AND(N$3&gt;=10,N$3&lt;=21),Assumptions!$B$154,IF(N$3&gt;=22,Assumptions!$B$155,0)),Actuals!O33)</f>
        <v>-32800.8</v>
      </c>
      <c r="O215" s="13" t="n">
        <f aca="false">IF(ISBLANK(Actuals!P33),(-5300.8*Escalation!$B$12)-IF(OR(O$3=10,O$3=11),Assumptions!$B$153/2,0)-IF(AND(O$3&gt;=10,O$3&lt;=21),Assumptions!$B$154,IF(O$3&gt;=22,Assumptions!$B$155,0)),Actuals!P33)</f>
        <v>-32800.8</v>
      </c>
      <c r="P215" s="13" t="n">
        <f aca="false">IF(ISBLANK(Actuals!Q33),(-5300.8*Escalation!$B$13)-IF(OR(P$3=10,P$3=11),Assumptions!$B$153/2,0)-IF(AND(P$3&gt;=10,P$3&lt;=21),Assumptions!$B$154,IF(P$3&gt;=22,Assumptions!$B$155,0)),Actuals!Q33)</f>
        <v>-9300.8</v>
      </c>
      <c r="Q215" s="13" t="n">
        <f aca="false">IF(ISBLANK(Actuals!R33),(-5300.8*Escalation!$B$14)-IF(OR(Q$3=10,Q$3=11),Assumptions!$B$153/2,0)-IF(AND(Q$3&gt;=10,Q$3&lt;=21),Assumptions!$B$154,IF(Q$3&gt;=22,Assumptions!$B$155,0)),Actuals!R33)</f>
        <v>-9300.8</v>
      </c>
      <c r="R215" s="13" t="n">
        <f aca="false">IF(ISBLANK(Actuals!S33),(-5300.8*Escalation!$B$15)-IF(OR(R$3=10,R$3=11),Assumptions!$B$153/2,0)-IF(AND(R$3&gt;=10,R$3&lt;=21),Assumptions!$B$154,IF(R$3&gt;=22,Assumptions!$B$155,0)),Actuals!S33)</f>
        <v>-9300.8</v>
      </c>
      <c r="S215" s="13" t="n">
        <f aca="false">IF(ISBLANK(Actuals!T33),(-5300.8*Escalation!$B$16)-IF(OR(S$3=10,S$3=11),Assumptions!$B$153/2,0)-IF(AND(S$3&gt;=10,S$3&lt;=21),Assumptions!$B$154,IF(S$3&gt;=22,Assumptions!$B$155,0)),Actuals!T33)</f>
        <v>-9300.8</v>
      </c>
      <c r="T215" s="13" t="n">
        <f aca="false">IF(ISBLANK(Actuals!U33),(-5300.8*Escalation!$B$17)-IF(OR(T$3=10,T$3=11),Assumptions!$B$153/2,0)-IF(AND(T$3&gt;=10,T$3&lt;=21),Assumptions!$B$154,IF(T$3&gt;=22,Assumptions!$B$155,0)),Actuals!U33)</f>
        <v>-9300.8</v>
      </c>
      <c r="U215" s="13" t="n">
        <f aca="false">IF(ISBLANK(Actuals!V33),(-5300.8*Escalation!$B$18)-IF(OR(U$3=10,U$3=11),Assumptions!$B$153/2,0)-IF(AND(U$3&gt;=10,U$3&lt;=21),Assumptions!$B$154,IF(U$3&gt;=22,Assumptions!$B$155,0)),Actuals!V33)</f>
        <v>-9300.8</v>
      </c>
      <c r="V215" s="13" t="n">
        <f aca="false">IF(ISBLANK(Actuals!W33),(-5300.8*Escalation!$B$19)-IF(OR(V$3=10,V$3=11),Assumptions!$B$153/2,0)-IF(AND(V$3&gt;=10,V$3&lt;=21),Assumptions!$B$154,IF(V$3&gt;=22,Assumptions!$B$155,0)),Actuals!W33)</f>
        <v>-9300.8</v>
      </c>
      <c r="W215" s="13" t="n">
        <f aca="false">IF(ISBLANK(Actuals!X33),(-5300.8*Escalation!$B$20)-IF(OR(W$3=10,W$3=11),Assumptions!$B$153/2,0)-IF(AND(W$3&gt;=10,W$3&lt;=21),Assumptions!$B$154,IF(W$3&gt;=22,Assumptions!$B$155,0)),Actuals!X33)</f>
        <v>-9300.8</v>
      </c>
      <c r="X215" s="13" t="n">
        <f aca="false">IF(ISBLANK(Actuals!Y33),(-5300.8*Escalation!$B$21)-IF(OR(X$3=10,X$3=11),Assumptions!$B$153/2,0)-IF(AND(X$3&gt;=10,X$3&lt;=21),Assumptions!$B$154,IF(X$3&gt;=22,Assumptions!$B$155,0)),Actuals!Y33)</f>
        <v>-9300.8</v>
      </c>
      <c r="Y215" s="13" t="n">
        <f aca="false">IF(ISBLANK(Actuals!Z33),(-5300.8*Escalation!$B$22)-IF(OR(Y$3=10,Y$3=11),Assumptions!$B$153/2,0)-IF(AND(Y$3&gt;=10,Y$3&lt;=21),Assumptions!$B$154,IF(Y$3&gt;=22,Assumptions!$B$155,0)),Actuals!Z33)</f>
        <v>-9300.8</v>
      </c>
      <c r="Z215" s="13" t="n">
        <f aca="false">IF(ISBLANK(Actuals!AA33),(-5300.8*Escalation!$B$23)-IF(OR(Z$3=10,Z$3=11),Assumptions!$B$153/2,0)-IF(AND(Z$3&gt;=10,Z$3&lt;=21),Assumptions!$B$154,IF(Z$3&gt;=22,Assumptions!$B$155,0)),Actuals!AA33)</f>
        <v>-10956.816</v>
      </c>
      <c r="AA215" s="13" t="n">
        <f aca="false">IF(ISBLANK(Actuals!AB33),(-5300.8*Escalation!$B$24)-IF(OR(AA$3=10,AA$3=11),Assumptions!$B$153/2,0)-IF(AND(AA$3&gt;=10,AA$3&lt;=21),Assumptions!$B$154,IF(AA$3&gt;=22,Assumptions!$B$155,0)),Actuals!AB33)</f>
        <v>-10956.816</v>
      </c>
      <c r="AB215" s="13" t="n">
        <f aca="false">IF(ISBLANK(Actuals!AC33),(-5300.8*Escalation!$B$25)-IF(OR(AB$3=10,AB$3=11),Assumptions!$B$153/2,0)-IF(AND(AB$3&gt;=10,AB$3&lt;=21),Assumptions!$B$154,IF(AB$3&gt;=22,Assumptions!$B$155,0)),Actuals!AC33)</f>
        <v>-10956.816</v>
      </c>
      <c r="AC215" s="13" t="n">
        <f aca="false">IF(ISBLANK(Actuals!AD33),(-5300.8*Escalation!$B$26)-IF(OR(AC$3=10,AC$3=11),Assumptions!$B$153/2,0)-IF(AND(AC$3&gt;=10,AC$3&lt;=21),Assumptions!$B$154,IF(AC$3&gt;=22,Assumptions!$B$155,0)),Actuals!AD33)</f>
        <v>-10956.816</v>
      </c>
      <c r="AD215" s="13" t="n">
        <f aca="false">IF(ISBLANK(Actuals!AE33),(-5300.8*Escalation!$B$27)-IF(OR(AD$3=10,AD$3=11),Assumptions!$B$153/2,0)-IF(AND(AD$3&gt;=10,AD$3&lt;=21),Assumptions!$B$154,IF(AD$3&gt;=22,Assumptions!$B$155,0)),Actuals!AE33)</f>
        <v>-10956.816</v>
      </c>
      <c r="AE215" s="13" t="n">
        <f aca="false">IF(ISBLANK(Actuals!AF33),(-5300.8*Escalation!$B$28)-IF(OR(AE$3=10,AE$3=11),Assumptions!$B$153/2,0)-IF(AND(AE$3&gt;=10,AE$3&lt;=21),Assumptions!$B$154,IF(AE$3&gt;=22,Assumptions!$B$155,0)),Actuals!AF33)</f>
        <v>-10956.816</v>
      </c>
      <c r="AF215" s="13" t="n">
        <f aca="false">IF(ISBLANK(Actuals!AG33),(-5300.8*Escalation!$B$29)-IF(OR(AF$3=10,AF$3=11),Assumptions!$B$153/2,0)-IF(AND(AF$3&gt;=10,AF$3&lt;=21),Assumptions!$B$154,IF(AF$3&gt;=22,Assumptions!$B$155,0)),Actuals!AG33)</f>
        <v>-10956.816</v>
      </c>
      <c r="AG215" s="13" t="n">
        <f aca="false">IF(ISBLANK(Actuals!AH33),(-5300.8*Escalation!$B$30)-IF(OR(AG$3=10,AG$3=11),Assumptions!$B$153/2,0)-IF(AND(AG$3&gt;=10,AG$3&lt;=21),Assumptions!$B$154,IF(AG$3&gt;=22,Assumptions!$B$155,0)),Actuals!AH33)</f>
        <v>-10956.816</v>
      </c>
      <c r="AH215" s="13" t="n">
        <f aca="false">IF(ISBLANK(Actuals!AI33),(-5300.8*Escalation!$B$31)-IF(OR(AH$3=10,AH$3=11),Assumptions!$B$153/2,0)-IF(AND(AH$3&gt;=10,AH$3&lt;=21),Assumptions!$B$154,IF(AH$3&gt;=22,Assumptions!$B$155,0)),Actuals!AI33)</f>
        <v>-10956.816</v>
      </c>
      <c r="AI215" s="13" t="n">
        <f aca="false">IF(ISBLANK(Actuals!AJ33),(-5300.8*Escalation!$B$32)-IF(OR(AI$3=10,AI$3=11),Assumptions!$B$153/2,0)-IF(AND(AI$3&gt;=10,AI$3&lt;=21),Assumptions!$B$154,IF(AI$3&gt;=22,Assumptions!$B$155,0)),Actuals!AJ33)</f>
        <v>-10956.816</v>
      </c>
      <c r="AJ215" s="13" t="n">
        <f aca="false">IF(ISBLANK(Actuals!AK33),(-5300.8*Escalation!$B$33)-IF(OR(AJ$3=10,AJ$3=11),Assumptions!$B$153/2,0)-IF(AND(AJ$3&gt;=10,AJ$3&lt;=21),Assumptions!$B$154,IF(AJ$3&gt;=22,Assumptions!$B$155,0)),Actuals!AK33)</f>
        <v>-10956.816</v>
      </c>
      <c r="AK215" s="13" t="n">
        <f aca="false">IF(ISBLANK(Actuals!AL33),(-5300.8*Escalation!$B$34)-IF(OR(AK$3=10,AK$3=11),Assumptions!$B$153/2,0)-IF(AND(AK$3&gt;=10,AK$3&lt;=21),Assumptions!$B$154,IF(AK$3&gt;=22,Assumptions!$B$155,0)),Actuals!AL33)</f>
        <v>-10956.816</v>
      </c>
      <c r="AL215" s="13" t="n">
        <f aca="false">IF(ISBLANK(Actuals!AM33),(-5300.8*Escalation!$B$35)-IF(OR(AL$3=10,AL$3=11),Assumptions!$B$153/2,0)-IF(AND(AL$3&gt;=10,AL$3&lt;=21),Assumptions!$B$154,IF(AL$3&gt;=22,Assumptions!$B$155,0)),Actuals!AM33)</f>
        <v>-11064.95232</v>
      </c>
      <c r="AM215" s="13" t="n">
        <f aca="false">IF(ISBLANK(Actuals!AN33),(-5300.8*Escalation!$B$36)-IF(OR(AM$3=10,AM$3=11),Assumptions!$B$153/2,0)-IF(AND(AM$3&gt;=10,AM$3&lt;=21),Assumptions!$B$154,IF(AM$3&gt;=22,Assumptions!$B$155,0)),Actuals!AN33)</f>
        <v>-11064.95232</v>
      </c>
      <c r="AN215" s="13" t="n">
        <f aca="false">IF(ISBLANK(Actuals!AO33),(-5300.8*Escalation!$B$37)-IF(OR(AN$3=10,AN$3=11),Assumptions!$B$153/2,0)-IF(AND(AN$3&gt;=10,AN$3&lt;=21),Assumptions!$B$154,IF(AN$3&gt;=22,Assumptions!$B$155,0)),Actuals!AO33)</f>
        <v>-11064.95232</v>
      </c>
      <c r="AO215" s="13" t="n">
        <f aca="false">IF(ISBLANK(Actuals!AP33),(-5300.8*Escalation!$B$38)-IF(OR(AO$3=10,AO$3=11),Assumptions!$B$153/2,0)-IF(AND(AO$3&gt;=10,AO$3&lt;=21),Assumptions!$B$154,IF(AO$3&gt;=22,Assumptions!$B$155,0)),Actuals!AP33)</f>
        <v>-11064.95232</v>
      </c>
      <c r="AP215" s="13" t="n">
        <f aca="false">IF(ISBLANK(Actuals!AQ33),(-5300.8*Escalation!$B$39)-IF(OR(AP$3=10,AP$3=11),Assumptions!$B$153/2,0)-IF(AND(AP$3&gt;=10,AP$3&lt;=21),Assumptions!$B$154,IF(AP$3&gt;=22,Assumptions!$B$155,0)),Actuals!AQ33)</f>
        <v>-11064.95232</v>
      </c>
      <c r="AQ215" s="13" t="n">
        <f aca="false">IF(ISBLANK(Actuals!AR33),(-5300.8*Escalation!$B$40)-IF(OR(AQ$3=10,AQ$3=11),Assumptions!$B$153/2,0)-IF(AND(AQ$3&gt;=10,AQ$3&lt;=21),Assumptions!$B$154,IF(AQ$3&gt;=22,Assumptions!$B$155,0)),Actuals!AR33)</f>
        <v>-11064.95232</v>
      </c>
      <c r="AR215" s="13" t="n">
        <f aca="false">IF(ISBLANK(Actuals!AS33),(-5300.8*Escalation!$B$41)-IF(OR(AR$3=10,AR$3=11),Assumptions!$B$153/2,0)-IF(AND(AR$3&gt;=10,AR$3&lt;=21),Assumptions!$B$154,IF(AR$3&gt;=22,Assumptions!$B$155,0)),Actuals!AS33)</f>
        <v>-11064.95232</v>
      </c>
      <c r="AS215" s="13" t="n">
        <f aca="false">IF(ISBLANK(Actuals!AT33),(-5300.8*Escalation!$B$42)-IF(OR(AS$3=10,AS$3=11),Assumptions!$B$153/2,0)-IF(AND(AS$3&gt;=10,AS$3&lt;=21),Assumptions!$B$154,IF(AS$3&gt;=22,Assumptions!$B$155,0)),Actuals!AT33)</f>
        <v>-11064.95232</v>
      </c>
      <c r="AT215" s="13" t="n">
        <f aca="false">IF(ISBLANK(Actuals!AU33),(-5300.8*Escalation!$B$43)-IF(OR(AT$3=10,AT$3=11),Assumptions!$B$153/2,0)-IF(AND(AT$3&gt;=10,AT$3&lt;=21),Assumptions!$B$154,IF(AT$3&gt;=22,Assumptions!$B$155,0)),Actuals!AU33)</f>
        <v>-11064.95232</v>
      </c>
      <c r="AU215" s="13" t="n">
        <f aca="false">IF(ISBLANK(Actuals!AV33),(-5300.8*Escalation!$B$44)-IF(OR(AU$3=10,AU$3=11),Assumptions!$B$153/2,0)-IF(AND(AU$3&gt;=10,AU$3&lt;=21),Assumptions!$B$154,IF(AU$3&gt;=22,Assumptions!$B$155,0)),Actuals!AV33)</f>
        <v>-11064.95232</v>
      </c>
      <c r="AV215" s="13" t="n">
        <f aca="false">IF(ISBLANK(Actuals!AW33),(-5300.8*Escalation!$B$45)-IF(OR(AV$3=10,AV$3=11),Assumptions!$B$153/2,0)-IF(AND(AV$3&gt;=10,AV$3&lt;=21),Assumptions!$B$154,IF(AV$3&gt;=22,Assumptions!$B$155,0)),Actuals!AW33)</f>
        <v>-11064.95232</v>
      </c>
      <c r="AW215" s="13" t="n">
        <f aca="false">IF(ISBLANK(Actuals!AX33),(-5300.8*Escalation!$B$46)-IF(OR(AW$3=10,AW$3=11),Assumptions!$B$153/2,0)-IF(AND(AW$3&gt;=10,AW$3&lt;=21),Assumptions!$B$154,IF(AW$3&gt;=22,Assumptions!$B$155,0)),Actuals!AX33)</f>
        <v>-11064.95232</v>
      </c>
      <c r="AX215" s="13" t="n">
        <f aca="false">IF(ISBLANK(Actuals!AY33),(-5300.8*Escalation!$B$47)-IF(OR(AX$3=10,AX$3=11),Assumptions!$B$153/2,0)-IF(AND(AX$3&gt;=10,AX$3&lt;=21),Assumptions!$B$154,IF(AX$3&gt;=22,Assumptions!$B$155,0)),Actuals!AY33)</f>
        <v>-11175.2513664</v>
      </c>
      <c r="AY215" s="13" t="n">
        <f aca="false">IF(ISBLANK(Actuals!AZ33),(-5300.8*Escalation!$B$48)-IF(OR(AY$3=10,AY$3=11),Assumptions!$B$153/2,0)-IF(AND(AY$3&gt;=10,AY$3&lt;=21),Assumptions!$B$154,IF(AY$3&gt;=22,Assumptions!$B$155,0)),Actuals!AZ33)</f>
        <v>-11175.2513664</v>
      </c>
      <c r="AZ215" s="13" t="n">
        <f aca="false">IF(ISBLANK(Actuals!BA33),(-5300.8*Escalation!$B$49)-IF(OR(AZ$3=10,AZ$3=11),Assumptions!$B$153/2,0)-IF(AND(AZ$3&gt;=10,AZ$3&lt;=21),Assumptions!$B$154,IF(AZ$3&gt;=22,Assumptions!$B$155,0)),Actuals!BA33)</f>
        <v>-11175.2513664</v>
      </c>
      <c r="BA215" s="13" t="n">
        <f aca="false">IF(ISBLANK(Actuals!BB33),(-5300.8*Escalation!$B$50)-IF(OR(BA$3=10,BA$3=11),Assumptions!$B$153/2,0)-IF(AND(BA$3&gt;=10,BA$3&lt;=21),Assumptions!$B$154,IF(BA$3&gt;=22,Assumptions!$B$155,0)),Actuals!BB33)</f>
        <v>-11175.2513664</v>
      </c>
      <c r="BB215" s="13" t="n">
        <f aca="false">IF(ISBLANK(Actuals!BC33),(-5300.8*Escalation!$B$51)-IF(OR(BB$3=10,BB$3=11),Assumptions!$B$153/2,0)-IF(AND(BB$3&gt;=10,BB$3&lt;=21),Assumptions!$B$154,IF(BB$3&gt;=22,Assumptions!$B$155,0)),Actuals!BC33)</f>
        <v>-11175.2513664</v>
      </c>
      <c r="BC215" s="13" t="n">
        <f aca="false">IF(ISBLANK(Actuals!BD33),(-5300.8*Escalation!$B$52)-IF(OR(BC$3=10,BC$3=11),Assumptions!$B$153/2,0)-IF(AND(BC$3&gt;=10,BC$3&lt;=21),Assumptions!$B$154,IF(BC$3&gt;=22,Assumptions!$B$155,0)),Actuals!BD33)</f>
        <v>-11175.2513664</v>
      </c>
      <c r="BD215" s="13" t="n">
        <f aca="false">IF(ISBLANK(Actuals!BE33),(-5300.8*Escalation!$B$53)-IF(OR(BD$3=10,BD$3=11),Assumptions!$B$153/2,0)-IF(AND(BD$3&gt;=10,BD$3&lt;=21),Assumptions!$B$154,IF(BD$3&gt;=22,Assumptions!$B$155,0)),Actuals!BE33)</f>
        <v>-11175.2513664</v>
      </c>
      <c r="BE215" s="13" t="n">
        <f aca="false">IF(ISBLANK(Actuals!BF33),(-5300.8*Escalation!$B$54)-IF(OR(BE$3=10,BE$3=11),Assumptions!$B$153/2,0)-IF(AND(BE$3&gt;=10,BE$3&lt;=21),Assumptions!$B$154,IF(BE$3&gt;=22,Assumptions!$B$155,0)),Actuals!BF33)</f>
        <v>-11175.2513664</v>
      </c>
      <c r="BF215" s="13" t="n">
        <f aca="false">IF(ISBLANK(Actuals!BG33),(-5300.8*Escalation!$B$55)-IF(OR(BF$3=10,BF$3=11),Assumptions!$B$153/2,0)-IF(AND(BF$3&gt;=10,BF$3&lt;=21),Assumptions!$B$154,IF(BF$3&gt;=22,Assumptions!$B$155,0)),Actuals!BG33)</f>
        <v>-11175.2513664</v>
      </c>
      <c r="BG215" s="13" t="n">
        <f aca="false">IF(ISBLANK(Actuals!BH33),(-5300.8*Escalation!$B$56)-IF(OR(BG$3=10,BG$3=11),Assumptions!$B$153/2,0)-IF(AND(BG$3&gt;=10,BG$3&lt;=21),Assumptions!$B$154,IF(BG$3&gt;=22,Assumptions!$B$155,0)),Actuals!BH33)</f>
        <v>-11175.2513664</v>
      </c>
      <c r="BH215" s="13" t="n">
        <f aca="false">IF(ISBLANK(Actuals!BI33),(-5300.8*Escalation!$B$57)-IF(OR(BH$3=10,BH$3=11),Assumptions!$B$153/2,0)-IF(AND(BH$3&gt;=10,BH$3&lt;=21),Assumptions!$B$154,IF(BH$3&gt;=22,Assumptions!$B$155,0)),Actuals!BI33)</f>
        <v>-11175.2513664</v>
      </c>
      <c r="BI215" s="13" t="n">
        <f aca="false">IF(ISBLANK(Actuals!BJ33),(-5300.8*Escalation!$B$58)-IF(OR(BI$3=10,BI$3=11),Assumptions!$B$153/2,0)-IF(AND(BI$3&gt;=10,BI$3&lt;=21),Assumptions!$B$154,IF(BI$3&gt;=22,Assumptions!$B$155,0)),Actuals!BJ33)</f>
        <v>-11175.2513664</v>
      </c>
      <c r="BJ215" s="13" t="n">
        <f aca="false">IF(ISBLANK(Actuals!BK33),(-5300.8*Escalation!$B$59)-IF(OR(BJ$3=10,BJ$3=11),Assumptions!$B$153/2,0)-IF(AND(BJ$3&gt;=10,BJ$3&lt;=21),Assumptions!$B$154,IF(BJ$3&gt;=22,Assumptions!$B$155,0)),Actuals!BK33)</f>
        <v>-11287.756393728</v>
      </c>
      <c r="BK215" s="13" t="n">
        <f aca="false">IF(ISBLANK(Actuals!BL33),(-5300.8*Escalation!$B$60)-IF(OR(BK$3=10,BK$3=11),Assumptions!$B$153/2,0)-IF(AND(BK$3&gt;=10,BK$3&lt;=21),Assumptions!$B$154,IF(BK$3&gt;=22,Assumptions!$B$155,0)),Actuals!BL33)</f>
        <v>-11287.756393728</v>
      </c>
      <c r="BL215" s="13" t="n">
        <f aca="false">IF(ISBLANK(Actuals!BM33),(-5300.8*Escalation!$B$61)-IF(OR(BL$3=10,BL$3=11),Assumptions!$B$153/2,0)-IF(AND(BL$3&gt;=10,BL$3&lt;=21),Assumptions!$B$154,IF(BL$3&gt;=22,Assumptions!$B$155,0)),Actuals!BM33)</f>
        <v>-11287.756393728</v>
      </c>
      <c r="BM215" s="13" t="n">
        <f aca="false">IF(ISBLANK(Actuals!BN33),(-5300.8*Escalation!$B$62)-IF(OR(BM$3=10,BM$3=11),Assumptions!$B$153/2,0)-IF(AND(BM$3&gt;=10,BM$3&lt;=21),Assumptions!$B$154,IF(BM$3&gt;=22,Assumptions!$B$155,0)),Actuals!BN33)</f>
        <v>-11287.756393728</v>
      </c>
      <c r="BN215" s="13" t="n">
        <f aca="false">IF(ISBLANK(Actuals!BO33),(-5300.8*Escalation!$B$63)-IF(OR(BN$3=10,BN$3=11),Assumptions!$B$153/2,0)-IF(AND(BN$3&gt;=10,BN$3&lt;=21),Assumptions!$B$154,IF(BN$3&gt;=22,Assumptions!$B$155,0)),Actuals!BO33)</f>
        <v>-11287.756393728</v>
      </c>
      <c r="BO215" s="13" t="n">
        <f aca="false">IF(ISBLANK(Actuals!BP33),(-5300.8*Escalation!$B$64)-IF(OR(BO$3=10,BO$3=11),Assumptions!$B$153/2,0)-IF(AND(BO$3&gt;=10,BO$3&lt;=21),Assumptions!$B$154,IF(BO$3&gt;=22,Assumptions!$B$155,0)),Actuals!BP33)</f>
        <v>-11287.756393728</v>
      </c>
      <c r="BP215" s="13" t="n">
        <f aca="false">IF(ISBLANK(Actuals!BQ33),(-5300.8*Escalation!$B$65)-IF(OR(BP$3=10,BP$3=11),Assumptions!$B$153/2,0)-IF(AND(BP$3&gt;=10,BP$3&lt;=21),Assumptions!$B$154,IF(BP$3&gt;=22,Assumptions!$B$155,0)),Actuals!BQ33)</f>
        <v>-11287.756393728</v>
      </c>
      <c r="BQ215" s="13" t="n">
        <f aca="false">IF(ISBLANK(Actuals!BR33),(-5300.8*Escalation!$B$66)-IF(OR(BQ$3=10,BQ$3=11),Assumptions!$B$153/2,0)-IF(AND(BQ$3&gt;=10,BQ$3&lt;=21),Assumptions!$B$154,IF(BQ$3&gt;=22,Assumptions!$B$155,0)),Actuals!BR33)</f>
        <v>-11287.756393728</v>
      </c>
      <c r="BR215" s="13" t="n">
        <f aca="false">IF(ISBLANK(Actuals!BS33),(-5300.8*Escalation!$B$67)-IF(OR(BR$3=10,BR$3=11),Assumptions!$B$153/2,0)-IF(AND(BR$3&gt;=10,BR$3&lt;=21),Assumptions!$B$154,IF(BR$3&gt;=22,Assumptions!$B$155,0)),Actuals!BS33)</f>
        <v>-11287.756393728</v>
      </c>
      <c r="BS215" s="13" t="n">
        <f aca="false">IF(ISBLANK(Actuals!BT33),(-5300.8*Escalation!$B$68)-IF(OR(BS$3=10,BS$3=11),Assumptions!$B$153/2,0)-IF(AND(BS$3&gt;=10,BS$3&lt;=21),Assumptions!$B$154,IF(BS$3&gt;=22,Assumptions!$B$155,0)),Actuals!BT33)</f>
        <v>-11287.756393728</v>
      </c>
      <c r="BT215" s="13" t="n">
        <f aca="false">IF(ISBLANK(Actuals!BU33),(-5300.8*Escalation!$B$69)-IF(OR(BT$3=10,BT$3=11),Assumptions!$B$153/2,0)-IF(AND(BT$3&gt;=10,BT$3&lt;=21),Assumptions!$B$154,IF(BT$3&gt;=22,Assumptions!$B$155,0)),Actuals!BU33)</f>
        <v>-11287.756393728</v>
      </c>
      <c r="BU215" s="13" t="n">
        <f aca="false">IF(ISBLANK(Actuals!BV33),(-5300.8*Escalation!$B$70)-IF(OR(BU$3=10,BU$3=11),Assumptions!$B$153/2,0)-IF(AND(BU$3&gt;=10,BU$3&lt;=21),Assumptions!$B$154,IF(BU$3&gt;=22,Assumptions!$B$155,0)),Actuals!BV33)</f>
        <v>-11287.756393728</v>
      </c>
      <c r="BV215" s="13" t="n">
        <f aca="false">IF(ISBLANK(Actuals!BW33),(-5300.8*Escalation!$B$71)-IF(OR(BV$3=10,BV$3=11),Assumptions!$B$153/2,0)-IF(AND(BV$3&gt;=10,BV$3&lt;=21),Assumptions!$B$154,IF(BV$3&gt;=22,Assumptions!$B$155,0)),Actuals!BW33)</f>
        <v>-11402.5115216026</v>
      </c>
      <c r="BW215" s="13" t="n">
        <f aca="false">IF(ISBLANK(Actuals!BX33),(-5300.8*Escalation!$B$72)-IF(OR(BW$3=10,BW$3=11),Assumptions!$B$153/2,0)-IF(AND(BW$3&gt;=10,BW$3&lt;=21),Assumptions!$B$154,IF(BW$3&gt;=22,Assumptions!$B$155,0)),Actuals!BX33)</f>
        <v>-11402.5115216026</v>
      </c>
      <c r="BX215" s="13" t="n">
        <f aca="false">IF(ISBLANK(Actuals!BY33),(-5300.8*Escalation!$B$73)-IF(OR(BX$3=10,BX$3=11),Assumptions!$B$153/2,0)-IF(AND(BX$3&gt;=10,BX$3&lt;=21),Assumptions!$B$154,IF(BX$3&gt;=22,Assumptions!$B$155,0)),Actuals!BY33)</f>
        <v>-11402.5115216026</v>
      </c>
      <c r="BY215" s="13" t="n">
        <f aca="false">IF(ISBLANK(Actuals!BZ33),(-5300.8*Escalation!$B$74)-IF(OR(BY$3=10,BY$3=11),Assumptions!$B$153/2,0)-IF(AND(BY$3&gt;=10,BY$3&lt;=21),Assumptions!$B$154,IF(BY$3&gt;=22,Assumptions!$B$155,0)),Actuals!BZ33)</f>
        <v>-11402.5115216026</v>
      </c>
      <c r="BZ215" s="13" t="n">
        <f aca="false">IF(ISBLANK(Actuals!CA33),(-5300.8*Escalation!$B$75)-IF(OR(BZ$3=10,BZ$3=11),Assumptions!$B$153/2,0)-IF(AND(BZ$3&gt;=10,BZ$3&lt;=21),Assumptions!$B$154,IF(BZ$3&gt;=22,Assumptions!$B$155,0)),Actuals!CA33)</f>
        <v>-11402.5115216026</v>
      </c>
      <c r="CA215" s="13" t="n">
        <f aca="false">IF(ISBLANK(Actuals!CB33),(-5300.8*Escalation!$B$76)-IF(OR(CA$3=10,CA$3=11),Assumptions!$B$153/2,0)-IF(AND(CA$3&gt;=10,CA$3&lt;=21),Assumptions!$B$154,IF(CA$3&gt;=22,Assumptions!$B$155,0)),Actuals!CB33)</f>
        <v>-11402.5115216026</v>
      </c>
      <c r="CB215" s="13" t="n">
        <f aca="false">IF(ISBLANK(Actuals!CC33),(-5300.8*Escalation!$B$77)-IF(OR(CB$3=10,CB$3=11),Assumptions!$B$153/2,0)-IF(AND(CB$3&gt;=10,CB$3&lt;=21),Assumptions!$B$154,IF(CB$3&gt;=22,Assumptions!$B$155,0)),Actuals!CC33)</f>
        <v>-11402.5115216026</v>
      </c>
      <c r="CC215" s="13" t="n">
        <f aca="false">IF(ISBLANK(Actuals!CD33),(-5300.8*Escalation!$B$78)-IF(OR(CC$3=10,CC$3=11),Assumptions!$B$153/2,0)-IF(AND(CC$3&gt;=10,CC$3&lt;=21),Assumptions!$B$154,IF(CC$3&gt;=22,Assumptions!$B$155,0)),Actuals!CD33)</f>
        <v>-11402.5115216026</v>
      </c>
      <c r="CD215" s="13" t="n">
        <f aca="false">IF(ISBLANK(Actuals!CE33),(-5300.8*Escalation!$B$79)-IF(OR(CD$3=10,CD$3=11),Assumptions!$B$153/2,0)-IF(AND(CD$3&gt;=10,CD$3&lt;=21),Assumptions!$B$154,IF(CD$3&gt;=22,Assumptions!$B$155,0)),Actuals!CE33)</f>
        <v>-11402.5115216026</v>
      </c>
      <c r="CE215" s="13" t="n">
        <f aca="false">IF(ISBLANK(Actuals!CF33),(-5300.8*Escalation!$B$80)-IF(OR(CE$3=10,CE$3=11),Assumptions!$B$153/2,0)-IF(AND(CE$3&gt;=10,CE$3&lt;=21),Assumptions!$B$154,IF(CE$3&gt;=22,Assumptions!$B$155,0)),Actuals!CF33)</f>
        <v>-11402.5115216026</v>
      </c>
      <c r="CF215" s="13" t="n">
        <f aca="false">IF(ISBLANK(Actuals!CG33),(-5300.8*Escalation!$B$81)-IF(OR(CF$3=10,CF$3=11),Assumptions!$B$153/2,0)-IF(AND(CF$3&gt;=10,CF$3&lt;=21),Assumptions!$B$154,IF(CF$3&gt;=22,Assumptions!$B$155,0)),Actuals!CG33)</f>
        <v>-11402.5115216026</v>
      </c>
      <c r="CG215" s="13" t="n">
        <f aca="false">IF(ISBLANK(Actuals!CH33),(-5300.8*Escalation!$B$82)-IF(OR(CG$3=10,CG$3=11),Assumptions!$B$153/2,0)-IF(AND(CG$3&gt;=10,CG$3&lt;=21),Assumptions!$B$154,IF(CG$3&gt;=22,Assumptions!$B$155,0)),Actuals!CH33)</f>
        <v>-11402.5115216026</v>
      </c>
      <c r="CH215" s="13" t="n">
        <f aca="false">IF(ISBLANK(Actuals!CI33),(-5300.8*Escalation!$B$83)-IF(OR(CH$3=10,CH$3=11),Assumptions!$B$153/2,0)-IF(AND(CH$3&gt;=10,CH$3&lt;=21),Assumptions!$B$154,IF(CH$3&gt;=22,Assumptions!$B$155,0)),Actuals!CI33)</f>
        <v>-11519.5617520346</v>
      </c>
      <c r="CI215" s="13" t="n">
        <f aca="false">IF(ISBLANK(Actuals!CJ33),(-5300.8*Escalation!$B$84)-IF(OR(CI$3=10,CI$3=11),Assumptions!$B$153/2,0)-IF(AND(CI$3&gt;=10,CI$3&lt;=21),Assumptions!$B$154,IF(CI$3&gt;=22,Assumptions!$B$155,0)),Actuals!CJ33)</f>
        <v>-11519.5617520346</v>
      </c>
      <c r="CJ215" s="13" t="n">
        <f aca="false">IF(ISBLANK(Actuals!CK33),(-5300.8*Escalation!$B$85)-IF(OR(CJ$3=10,CJ$3=11),Assumptions!$B$153/2,0)-IF(AND(CJ$3&gt;=10,CJ$3&lt;=21),Assumptions!$B$154,IF(CJ$3&gt;=22,Assumptions!$B$155,0)),Actuals!CK33)</f>
        <v>-11519.5617520346</v>
      </c>
      <c r="CK215" s="13" t="n">
        <f aca="false">IF(ISBLANK(Actuals!CL33),(-5300.8*Escalation!$B$86)-IF(OR(CK$3=10,CK$3=11),Assumptions!$B$153/2,0)-IF(AND(CK$3&gt;=10,CK$3&lt;=21),Assumptions!$B$154,IF(CK$3&gt;=22,Assumptions!$B$155,0)),Actuals!CL33)</f>
        <v>-11519.5617520346</v>
      </c>
      <c r="CL215" s="13" t="n">
        <f aca="false">IF(ISBLANK(Actuals!CM33),(-5300.8*Escalation!$B$87)-IF(OR(CL$3=10,CL$3=11),Assumptions!$B$153/2,0)-IF(AND(CL$3&gt;=10,CL$3&lt;=21),Assumptions!$B$154,IF(CL$3&gt;=22,Assumptions!$B$155,0)),Actuals!CM33)</f>
        <v>-11519.5617520346</v>
      </c>
      <c r="CM215" s="13" t="n">
        <f aca="false">IF(ISBLANK(Actuals!CN33),(-5300.8*Escalation!$B$88)-IF(OR(CM$3=10,CM$3=11),Assumptions!$B$153/2,0)-IF(AND(CM$3&gt;=10,CM$3&lt;=21),Assumptions!$B$154,IF(CM$3&gt;=22,Assumptions!$B$155,0)),Actuals!CN33)</f>
        <v>-11519.5617520346</v>
      </c>
      <c r="CN215" s="13" t="n">
        <f aca="false">IF(ISBLANK(Actuals!CO33),(-5300.8*Escalation!$B$89)-IF(OR(CN$3=10,CN$3=11),Assumptions!$B$153/2,0)-IF(AND(CN$3&gt;=10,CN$3&lt;=21),Assumptions!$B$154,IF(CN$3&gt;=22,Assumptions!$B$155,0)),Actuals!CO33)</f>
        <v>-11519.5617520346</v>
      </c>
      <c r="CO215" s="13" t="n">
        <f aca="false">IF(ISBLANK(Actuals!CP33),(-5300.8*Escalation!$B$90)-IF(OR(CO$3=10,CO$3=11),Assumptions!$B$153/2,0)-IF(AND(CO$3&gt;=10,CO$3&lt;=21),Assumptions!$B$154,IF(CO$3&gt;=22,Assumptions!$B$155,0)),Actuals!CP33)</f>
        <v>-11519.5617520346</v>
      </c>
      <c r="CP215" s="13" t="n">
        <f aca="false">IF(ISBLANK(Actuals!CQ33),(-5300.8*Escalation!$B$91)-IF(OR(CP$3=10,CP$3=11),Assumptions!$B$153/2,0)-IF(AND(CP$3&gt;=10,CP$3&lt;=21),Assumptions!$B$154,IF(CP$3&gt;=22,Assumptions!$B$155,0)),Actuals!CQ33)</f>
        <v>-11519.5617520346</v>
      </c>
      <c r="CQ215" s="13" t="n">
        <f aca="false">IF(ISBLANK(Actuals!CR33),(-5300.8*Escalation!$B$92)-IF(OR(CQ$3=10,CQ$3=11),Assumptions!$B$153/2,0)-IF(AND(CQ$3&gt;=10,CQ$3&lt;=21),Assumptions!$B$154,IF(CQ$3&gt;=22,Assumptions!$B$155,0)),Actuals!CR33)</f>
        <v>-11519.5617520346</v>
      </c>
      <c r="CR215" s="13" t="n">
        <f aca="false">IF(ISBLANK(Actuals!CS33),(-5300.8*Escalation!$B$93)-IF(OR(CR$3=10,CR$3=11),Assumptions!$B$153/2,0)-IF(AND(CR$3&gt;=10,CR$3&lt;=21),Assumptions!$B$154,IF(CR$3&gt;=22,Assumptions!$B$155,0)),Actuals!CS33)</f>
        <v>-11519.5617520346</v>
      </c>
      <c r="CS215" s="13" t="n">
        <f aca="false">IF(ISBLANK(Actuals!CT33),(-5300.8*Escalation!$B$94)-IF(OR(CS$3=10,CS$3=11),Assumptions!$B$153/2,0)-IF(AND(CS$3&gt;=10,CS$3&lt;=21),Assumptions!$B$154,IF(CS$3&gt;=22,Assumptions!$B$155,0)),Actuals!CT33)</f>
        <v>-11519.5617520346</v>
      </c>
      <c r="CT215" s="13" t="n">
        <f aca="false">IF(ISBLANK(Actuals!CU33),(-5300.8*Escalation!$B$95)-IF(OR(CT$3=10,CT$3=11),Assumptions!$B$153/2,0)-IF(AND(CT$3&gt;=10,CT$3&lt;=21),Assumptions!$B$154,IF(CT$3&gt;=22,Assumptions!$B$155,0)),Actuals!CU33)</f>
        <v>-11638.9529870753</v>
      </c>
      <c r="CU215" s="13" t="n">
        <f aca="false">IF(ISBLANK(Actuals!CV33),(-5300.8*Escalation!$B$96)-IF(OR(CU$3=10,CU$3=11),Assumptions!$B$153/2,0)-IF(AND(CU$3&gt;=10,CU$3&lt;=21),Assumptions!$B$154,IF(CU$3&gt;=22,Assumptions!$B$155,0)),Actuals!CV33)</f>
        <v>-11638.9529870753</v>
      </c>
      <c r="CV215" s="13" t="n">
        <f aca="false">IF(ISBLANK(Actuals!CW33),(-5300.8*Escalation!$B$97)-IF(OR(CV$3=10,CV$3=11),Assumptions!$B$153/2,0)-IF(AND(CV$3&gt;=10,CV$3&lt;=21),Assumptions!$B$154,IF(CV$3&gt;=22,Assumptions!$B$155,0)),Actuals!CW33)</f>
        <v>-11638.9529870753</v>
      </c>
      <c r="CW215" s="13" t="n">
        <f aca="false">IF(ISBLANK(Actuals!CX33),(-5300.8*Escalation!$B$98)-IF(OR(CW$3=10,CW$3=11),Assumptions!$B$153/2,0)-IF(AND(CW$3&gt;=10,CW$3&lt;=21),Assumptions!$B$154,IF(CW$3&gt;=22,Assumptions!$B$155,0)),Actuals!CX33)</f>
        <v>-11638.9529870753</v>
      </c>
      <c r="CX215" s="13" t="n">
        <f aca="false">IF(ISBLANK(Actuals!CY33),(-5300.8*Escalation!$B$99)-IF(OR(CX$3=10,CX$3=11),Assumptions!$B$153/2,0)-IF(AND(CX$3&gt;=10,CX$3&lt;=21),Assumptions!$B$154,IF(CX$3&gt;=22,Assumptions!$B$155,0)),Actuals!CY33)</f>
        <v>-11638.9529870753</v>
      </c>
      <c r="CY215" s="13" t="n">
        <f aca="false">IF(ISBLANK(Actuals!CZ33),(-5300.8*Escalation!$B$100)-IF(OR(CY$3=10,CY$3=11),Assumptions!$B$153/2,0)-IF(AND(CY$3&gt;=10,CY$3&lt;=21),Assumptions!$B$154,IF(CY$3&gt;=22,Assumptions!$B$155,0)),Actuals!CZ33)</f>
        <v>-11638.9529870753</v>
      </c>
      <c r="CZ215" s="13" t="n">
        <f aca="false">IF(ISBLANK(Actuals!DA33),(-5300.8*Escalation!$B$101)-IF(OR(CZ$3=10,CZ$3=11),Assumptions!$B$153/2,0)-IF(AND(CZ$3&gt;=10,CZ$3&lt;=21),Assumptions!$B$154,IF(CZ$3&gt;=22,Assumptions!$B$155,0)),Actuals!DA33)</f>
        <v>-11638.9529870753</v>
      </c>
      <c r="DA215" s="13" t="n">
        <f aca="false">IF(ISBLANK(Actuals!DB33),(-5300.8*Escalation!$B$102)-IF(OR(DA$3=10,DA$3=11),Assumptions!$B$153/2,0)-IF(AND(DA$3&gt;=10,DA$3&lt;=21),Assumptions!$B$154,IF(DA$3&gt;=22,Assumptions!$B$155,0)),Actuals!DB33)</f>
        <v>-11638.9529870753</v>
      </c>
      <c r="DB215" s="13" t="n">
        <f aca="false">IF(ISBLANK(Actuals!DC33),(-5300.8*Escalation!$B$103)-IF(OR(DB$3=10,DB$3=11),Assumptions!$B$153/2,0)-IF(AND(DB$3&gt;=10,DB$3&lt;=21),Assumptions!$B$154,IF(DB$3&gt;=22,Assumptions!$B$155,0)),Actuals!DC33)</f>
        <v>-11638.9529870753</v>
      </c>
      <c r="DC215" s="13" t="n">
        <f aca="false">IF(ISBLANK(Actuals!DD33),(-5300.8*Escalation!$B$104)-IF(OR(DC$3=10,DC$3=11),Assumptions!$B$153/2,0)-IF(AND(DC$3&gt;=10,DC$3&lt;=21),Assumptions!$B$154,IF(DC$3&gt;=22,Assumptions!$B$155,0)),Actuals!DD33)</f>
        <v>-11638.9529870753</v>
      </c>
      <c r="DD215" s="13" t="n">
        <f aca="false">IF(ISBLANK(Actuals!DE33),(-5300.8*Escalation!$B$105)-IF(OR(DD$3=10,DD$3=11),Assumptions!$B$153/2,0)-IF(AND(DD$3&gt;=10,DD$3&lt;=21),Assumptions!$B$154,IF(DD$3&gt;=22,Assumptions!$B$155,0)),Actuals!DE33)</f>
        <v>-11638.9529870753</v>
      </c>
      <c r="DE215" s="13" t="n">
        <f aca="false">IF(ISBLANK(Actuals!DF33),(-5300.8*Escalation!$B$106)-IF(OR(DE$3=10,DE$3=11),Assumptions!$B$153/2,0)-IF(AND(DE$3&gt;=10,DE$3&lt;=21),Assumptions!$B$154,IF(DE$3&gt;=22,Assumptions!$B$155,0)),Actuals!DF33)</f>
        <v>-11638.9529870753</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-1456.28</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-736.03</v>
      </c>
      <c r="R216" s="13" t="n">
        <f aca="false">IF(ISBLANK(Actuals!S34),-736.03*Escalation!$B$15,Actuals!S34)</f>
        <v>-736.03</v>
      </c>
      <c r="S216" s="13" t="n">
        <f aca="false">IF(ISBLANK(Actuals!T34),-736.03*Escalation!$B$16,Actuals!T34)</f>
        <v>-736.03</v>
      </c>
      <c r="T216" s="13" t="n">
        <f aca="false">IF(ISBLANK(Actuals!U34),-736.03*Escalation!$B$17,Actuals!U34)</f>
        <v>-736.03</v>
      </c>
      <c r="U216" s="13" t="n">
        <f aca="false">IF(ISBLANK(Actuals!V34),-736.03*Escalation!$B$18,Actuals!V34)</f>
        <v>-736.03</v>
      </c>
      <c r="V216" s="13" t="n">
        <f aca="false">IF(ISBLANK(Actuals!W34),-736.03*Escalation!$B$19,Actuals!W34)</f>
        <v>-736.03</v>
      </c>
      <c r="W216" s="13" t="n">
        <f aca="false">IF(ISBLANK(Actuals!X34),-736.03*Escalation!$B$20,Actuals!X34)</f>
        <v>-736.03</v>
      </c>
      <c r="X216" s="13" t="n">
        <f aca="false">IF(ISBLANK(Actuals!Y34),-736.03*Escalation!$B$21,Actuals!Y34)</f>
        <v>-736.03</v>
      </c>
      <c r="Y216" s="13" t="n">
        <f aca="false">IF(ISBLANK(Actuals!Z34),-736.03*Escalation!$B$22,Actuals!Z34)</f>
        <v>-736.03</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-750.7506</v>
      </c>
      <c r="AD216" s="13" t="n">
        <f aca="false">IF(ISBLANK(Actuals!AE34),-736.03*Escalation!$B$27,Actuals!AE34)</f>
        <v>-750.7506</v>
      </c>
      <c r="AE216" s="13" t="n">
        <f aca="false">IF(ISBLANK(Actuals!AF34),-736.03*Escalation!$B$28,Actuals!AF34)</f>
        <v>-750.7506</v>
      </c>
      <c r="AF216" s="13" t="n">
        <f aca="false">IF(ISBLANK(Actuals!AG34),-736.03*Escalation!$B$29,Actuals!AG34)</f>
        <v>-750.7506</v>
      </c>
      <c r="AG216" s="13" t="n">
        <f aca="false">IF(ISBLANK(Actuals!AH34),-736.03*Escalation!$B$30,Actuals!AH34)</f>
        <v>-750.7506</v>
      </c>
      <c r="AH216" s="13" t="n">
        <f aca="false">IF(ISBLANK(Actuals!AI34),-736.03*Escalation!$B$31,Actuals!AI34)</f>
        <v>-750.7506</v>
      </c>
      <c r="AI216" s="13" t="n">
        <f aca="false">IF(ISBLANK(Actuals!AJ34),-736.03*Escalation!$B$32,Actuals!AJ34)</f>
        <v>-750.7506</v>
      </c>
      <c r="AJ216" s="13" t="n">
        <f aca="false">IF(ISBLANK(Actuals!AK34),-736.03*Escalation!$B$33,Actuals!AK34)</f>
        <v>-750.7506</v>
      </c>
      <c r="AK216" s="13" t="n">
        <f aca="false">IF(ISBLANK(Actuals!AL34),-736.03*Escalation!$B$34,Actuals!AL34)</f>
        <v>-750.7506</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-765.765612</v>
      </c>
      <c r="AP216" s="13" t="n">
        <f aca="false">IF(ISBLANK(Actuals!AQ34),-736.03*Escalation!$B$39,Actuals!AQ34)</f>
        <v>-765.765612</v>
      </c>
      <c r="AQ216" s="13" t="n">
        <f aca="false">IF(ISBLANK(Actuals!AR34),-736.03*Escalation!$B$40,Actuals!AR34)</f>
        <v>-765.765612</v>
      </c>
      <c r="AR216" s="13" t="n">
        <f aca="false">IF(ISBLANK(Actuals!AS34),-736.03*Escalation!$B$41,Actuals!AS34)</f>
        <v>-765.765612</v>
      </c>
      <c r="AS216" s="13" t="n">
        <f aca="false">IF(ISBLANK(Actuals!AT34),-736.03*Escalation!$B$42,Actuals!AT34)</f>
        <v>-765.765612</v>
      </c>
      <c r="AT216" s="13" t="n">
        <f aca="false">IF(ISBLANK(Actuals!AU34),-736.03*Escalation!$B$43,Actuals!AU34)</f>
        <v>-765.765612</v>
      </c>
      <c r="AU216" s="13" t="n">
        <f aca="false">IF(ISBLANK(Actuals!AV34),-736.03*Escalation!$B$44,Actuals!AV34)</f>
        <v>-765.765612</v>
      </c>
      <c r="AV216" s="13" t="n">
        <f aca="false">IF(ISBLANK(Actuals!AW34),-736.03*Escalation!$B$45,Actuals!AW34)</f>
        <v>-765.765612</v>
      </c>
      <c r="AW216" s="13" t="n">
        <f aca="false">IF(ISBLANK(Actuals!AX34),-736.03*Escalation!$B$46,Actuals!AX34)</f>
        <v>-765.765612</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-781.08092424</v>
      </c>
      <c r="BB216" s="13" t="n">
        <f aca="false">IF(ISBLANK(Actuals!BC34),-736.03*Escalation!$B$51,Actuals!BC34)</f>
        <v>-781.08092424</v>
      </c>
      <c r="BC216" s="13" t="n">
        <f aca="false">IF(ISBLANK(Actuals!BD34),-736.03*Escalation!$B$52,Actuals!BD34)</f>
        <v>-781.08092424</v>
      </c>
      <c r="BD216" s="13" t="n">
        <f aca="false">IF(ISBLANK(Actuals!BE34),-736.03*Escalation!$B$53,Actuals!BE34)</f>
        <v>-781.08092424</v>
      </c>
      <c r="BE216" s="13" t="n">
        <f aca="false">IF(ISBLANK(Actuals!BF34),-736.03*Escalation!$B$54,Actuals!BF34)</f>
        <v>-781.08092424</v>
      </c>
      <c r="BF216" s="13" t="n">
        <f aca="false">IF(ISBLANK(Actuals!BG34),-736.03*Escalation!$B$55,Actuals!BG34)</f>
        <v>-781.08092424</v>
      </c>
      <c r="BG216" s="13" t="n">
        <f aca="false">IF(ISBLANK(Actuals!BH34),-736.03*Escalation!$B$56,Actuals!BH34)</f>
        <v>-781.08092424</v>
      </c>
      <c r="BH216" s="13" t="n">
        <f aca="false">IF(ISBLANK(Actuals!BI34),-736.03*Escalation!$B$57,Actuals!BI34)</f>
        <v>-781.08092424</v>
      </c>
      <c r="BI216" s="13" t="n">
        <f aca="false">IF(ISBLANK(Actuals!BJ34),-736.03*Escalation!$B$58,Actuals!BJ34)</f>
        <v>-781.08092424</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-796.7025427248</v>
      </c>
      <c r="BN216" s="13" t="n">
        <f aca="false">IF(ISBLANK(Actuals!BO34),-736.03*Escalation!$B$63,Actuals!BO34)</f>
        <v>-796.7025427248</v>
      </c>
      <c r="BO216" s="13" t="n">
        <f aca="false">IF(ISBLANK(Actuals!BP34),-736.03*Escalation!$B$64,Actuals!BP34)</f>
        <v>-796.7025427248</v>
      </c>
      <c r="BP216" s="13" t="n">
        <f aca="false">IF(ISBLANK(Actuals!BQ34),-736.03*Escalation!$B$65,Actuals!BQ34)</f>
        <v>-796.7025427248</v>
      </c>
      <c r="BQ216" s="13" t="n">
        <f aca="false">IF(ISBLANK(Actuals!BR34),-736.03*Escalation!$B$66,Actuals!BR34)</f>
        <v>-796.7025427248</v>
      </c>
      <c r="BR216" s="13" t="n">
        <f aca="false">IF(ISBLANK(Actuals!BS34),-736.03*Escalation!$B$67,Actuals!BS34)</f>
        <v>-796.7025427248</v>
      </c>
      <c r="BS216" s="13" t="n">
        <f aca="false">IF(ISBLANK(Actuals!BT34),-736.03*Escalation!$B$68,Actuals!BT34)</f>
        <v>-796.7025427248</v>
      </c>
      <c r="BT216" s="13" t="n">
        <f aca="false">IF(ISBLANK(Actuals!BU34),-736.03*Escalation!$B$69,Actuals!BU34)</f>
        <v>-796.7025427248</v>
      </c>
      <c r="BU216" s="13" t="n">
        <f aca="false">IF(ISBLANK(Actuals!BV34),-736.03*Escalation!$B$70,Actuals!BV34)</f>
        <v>-796.7025427248</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-812.636593579296</v>
      </c>
      <c r="BZ216" s="13" t="n">
        <f aca="false">IF(ISBLANK(Actuals!CA34),-736.03*Escalation!$B$75,Actuals!CA34)</f>
        <v>-812.636593579296</v>
      </c>
      <c r="CA216" s="13" t="n">
        <f aca="false">IF(ISBLANK(Actuals!CB34),-736.03*Escalation!$B$76,Actuals!CB34)</f>
        <v>-812.636593579296</v>
      </c>
      <c r="CB216" s="13" t="n">
        <f aca="false">IF(ISBLANK(Actuals!CC34),-736.03*Escalation!$B$77,Actuals!CC34)</f>
        <v>-812.636593579296</v>
      </c>
      <c r="CC216" s="13" t="n">
        <f aca="false">IF(ISBLANK(Actuals!CD34),-736.03*Escalation!$B$78,Actuals!CD34)</f>
        <v>-812.636593579296</v>
      </c>
      <c r="CD216" s="13" t="n">
        <f aca="false">IF(ISBLANK(Actuals!CE34),-736.03*Escalation!$B$79,Actuals!CE34)</f>
        <v>-812.636593579296</v>
      </c>
      <c r="CE216" s="13" t="n">
        <f aca="false">IF(ISBLANK(Actuals!CF34),-736.03*Escalation!$B$80,Actuals!CF34)</f>
        <v>-812.636593579296</v>
      </c>
      <c r="CF216" s="13" t="n">
        <f aca="false">IF(ISBLANK(Actuals!CG34),-736.03*Escalation!$B$81,Actuals!CG34)</f>
        <v>-812.636593579296</v>
      </c>
      <c r="CG216" s="13" t="n">
        <f aca="false">IF(ISBLANK(Actuals!CH34),-736.03*Escalation!$B$82,Actuals!CH34)</f>
        <v>-812.636593579296</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-828.889325450882</v>
      </c>
      <c r="CL216" s="13" t="n">
        <f aca="false">IF(ISBLANK(Actuals!CM34),-736.03*Escalation!$B$87,Actuals!CM34)</f>
        <v>-828.889325450882</v>
      </c>
      <c r="CM216" s="13" t="n">
        <f aca="false">IF(ISBLANK(Actuals!CN34),-736.03*Escalation!$B$88,Actuals!CN34)</f>
        <v>-828.889325450882</v>
      </c>
      <c r="CN216" s="13" t="n">
        <f aca="false">IF(ISBLANK(Actuals!CO34),-736.03*Escalation!$B$89,Actuals!CO34)</f>
        <v>-828.889325450882</v>
      </c>
      <c r="CO216" s="13" t="n">
        <f aca="false">IF(ISBLANK(Actuals!CP34),-736.03*Escalation!$B$90,Actuals!CP34)</f>
        <v>-828.889325450882</v>
      </c>
      <c r="CP216" s="13" t="n">
        <f aca="false">IF(ISBLANK(Actuals!CQ34),-736.03*Escalation!$B$91,Actuals!CQ34)</f>
        <v>-828.889325450882</v>
      </c>
      <c r="CQ216" s="13" t="n">
        <f aca="false">IF(ISBLANK(Actuals!CR34),-736.03*Escalation!$B$92,Actuals!CR34)</f>
        <v>-828.889325450882</v>
      </c>
      <c r="CR216" s="13" t="n">
        <f aca="false">IF(ISBLANK(Actuals!CS34),-736.03*Escalation!$B$93,Actuals!CS34)</f>
        <v>-828.889325450882</v>
      </c>
      <c r="CS216" s="13" t="n">
        <f aca="false">IF(ISBLANK(Actuals!CT34),-736.03*Escalation!$B$94,Actuals!CT34)</f>
        <v>-828.889325450882</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-845.4671119599</v>
      </c>
      <c r="CX216" s="13" t="n">
        <f aca="false">IF(ISBLANK(Actuals!CY34),-736.03*Escalation!$B$99,Actuals!CY34)</f>
        <v>-845.4671119599</v>
      </c>
      <c r="CY216" s="13" t="n">
        <f aca="false">IF(ISBLANK(Actuals!CZ34),-736.03*Escalation!$B$100,Actuals!CZ34)</f>
        <v>-845.4671119599</v>
      </c>
      <c r="CZ216" s="13" t="n">
        <f aca="false">IF(ISBLANK(Actuals!DA34),-736.03*Escalation!$B$101,Actuals!DA34)</f>
        <v>-845.4671119599</v>
      </c>
      <c r="DA216" s="13" t="n">
        <f aca="false">IF(ISBLANK(Actuals!DB34),-736.03*Escalation!$B$102,Actuals!DB34)</f>
        <v>-845.4671119599</v>
      </c>
      <c r="DB216" s="13" t="n">
        <f aca="false">IF(ISBLANK(Actuals!DC34),-736.03*Escalation!$B$103,Actuals!DC34)</f>
        <v>-845.4671119599</v>
      </c>
      <c r="DC216" s="13" t="n">
        <f aca="false">IF(ISBLANK(Actuals!DD34),-736.03*Escalation!$B$104,Actuals!DD34)</f>
        <v>-845.4671119599</v>
      </c>
      <c r="DD216" s="13" t="n">
        <f aca="false">IF(ISBLANK(Actuals!DE34),-736.03*Escalation!$B$105,Actuals!DE34)</f>
        <v>-845.4671119599</v>
      </c>
      <c r="DE216" s="13" t="n">
        <f aca="false">IF(ISBLANK(Actuals!DF34),-736.03*Escalation!$B$106,Actuals!DF34)</f>
        <v>-845.4671119599</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0</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-1134.62</v>
      </c>
      <c r="R217" s="13" t="n">
        <f aca="false">IF(ISBLANK(Actuals!S35),-1134.62*Escalation!$B$15,Actuals!S35)</f>
        <v>-1134.62</v>
      </c>
      <c r="S217" s="13" t="n">
        <f aca="false">IF(ISBLANK(Actuals!T35),-1134.62*Escalation!$B$16,Actuals!T35)</f>
        <v>-1134.62</v>
      </c>
      <c r="T217" s="13" t="n">
        <f aca="false">IF(ISBLANK(Actuals!U35),-1134.62*Escalation!$B$17,Actuals!U35)</f>
        <v>-1134.62</v>
      </c>
      <c r="U217" s="13" t="n">
        <f aca="false">IF(ISBLANK(Actuals!V35),-1134.62*Escalation!$B$18,Actuals!V35)</f>
        <v>-1134.62</v>
      </c>
      <c r="V217" s="13" t="n">
        <f aca="false">IF(ISBLANK(Actuals!W35),-1134.62*Escalation!$B$19,Actuals!W35)</f>
        <v>-1134.62</v>
      </c>
      <c r="W217" s="13" t="n">
        <f aca="false">IF(ISBLANK(Actuals!X35),-1134.62*Escalation!$B$20,Actuals!X35)</f>
        <v>-1134.62</v>
      </c>
      <c r="X217" s="13" t="n">
        <f aca="false">IF(ISBLANK(Actuals!Y35),-1134.62*Escalation!$B$21,Actuals!Y35)</f>
        <v>-1134.62</v>
      </c>
      <c r="Y217" s="13" t="n">
        <f aca="false">IF(ISBLANK(Actuals!Z35),-1134.62*Escalation!$B$22,Actuals!Z35)</f>
        <v>-1134.62</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-1157.3124</v>
      </c>
      <c r="AD217" s="13" t="n">
        <f aca="false">IF(ISBLANK(Actuals!AE35),-1134.62*Escalation!$B$27,Actuals!AE35)</f>
        <v>-1157.3124</v>
      </c>
      <c r="AE217" s="13" t="n">
        <f aca="false">IF(ISBLANK(Actuals!AF35),-1134.62*Escalation!$B$28,Actuals!AF35)</f>
        <v>-1157.3124</v>
      </c>
      <c r="AF217" s="13" t="n">
        <f aca="false">IF(ISBLANK(Actuals!AG35),-1134.62*Escalation!$B$29,Actuals!AG35)</f>
        <v>-1157.3124</v>
      </c>
      <c r="AG217" s="13" t="n">
        <f aca="false">IF(ISBLANK(Actuals!AH35),-1134.62*Escalation!$B$30,Actuals!AH35)</f>
        <v>-1157.3124</v>
      </c>
      <c r="AH217" s="13" t="n">
        <f aca="false">IF(ISBLANK(Actuals!AI35),-1134.62*Escalation!$B$31,Actuals!AI35)</f>
        <v>-1157.3124</v>
      </c>
      <c r="AI217" s="13" t="n">
        <f aca="false">IF(ISBLANK(Actuals!AJ35),-1134.62*Escalation!$B$32,Actuals!AJ35)</f>
        <v>-1157.3124</v>
      </c>
      <c r="AJ217" s="13" t="n">
        <f aca="false">IF(ISBLANK(Actuals!AK35),-1134.62*Escalation!$B$33,Actuals!AK35)</f>
        <v>-1157.3124</v>
      </c>
      <c r="AK217" s="13" t="n">
        <f aca="false">IF(ISBLANK(Actuals!AL35),-1134.62*Escalation!$B$34,Actuals!AL35)</f>
        <v>-1157.3124</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-1180.458648</v>
      </c>
      <c r="AP217" s="13" t="n">
        <f aca="false">IF(ISBLANK(Actuals!AQ35),-1134.62*Escalation!$B$39,Actuals!AQ35)</f>
        <v>-1180.458648</v>
      </c>
      <c r="AQ217" s="13" t="n">
        <f aca="false">IF(ISBLANK(Actuals!AR35),-1134.62*Escalation!$B$40,Actuals!AR35)</f>
        <v>-1180.458648</v>
      </c>
      <c r="AR217" s="13" t="n">
        <f aca="false">IF(ISBLANK(Actuals!AS35),-1134.62*Escalation!$B$41,Actuals!AS35)</f>
        <v>-1180.458648</v>
      </c>
      <c r="AS217" s="13" t="n">
        <f aca="false">IF(ISBLANK(Actuals!AT35),-1134.62*Escalation!$B$42,Actuals!AT35)</f>
        <v>-1180.458648</v>
      </c>
      <c r="AT217" s="13" t="n">
        <f aca="false">IF(ISBLANK(Actuals!AU35),-1134.62*Escalation!$B$43,Actuals!AU35)</f>
        <v>-1180.458648</v>
      </c>
      <c r="AU217" s="13" t="n">
        <f aca="false">IF(ISBLANK(Actuals!AV35),-1134.62*Escalation!$B$44,Actuals!AV35)</f>
        <v>-1180.458648</v>
      </c>
      <c r="AV217" s="13" t="n">
        <f aca="false">IF(ISBLANK(Actuals!AW35),-1134.62*Escalation!$B$45,Actuals!AW35)</f>
        <v>-1180.458648</v>
      </c>
      <c r="AW217" s="13" t="n">
        <f aca="false">IF(ISBLANK(Actuals!AX35),-1134.62*Escalation!$B$46,Actuals!AX35)</f>
        <v>-1180.458648</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-1204.06782096</v>
      </c>
      <c r="BB217" s="13" t="n">
        <f aca="false">IF(ISBLANK(Actuals!BC35),-1134.62*Escalation!$B$51,Actuals!BC35)</f>
        <v>-1204.06782096</v>
      </c>
      <c r="BC217" s="13" t="n">
        <f aca="false">IF(ISBLANK(Actuals!BD35),-1134.62*Escalation!$B$52,Actuals!BD35)</f>
        <v>-1204.06782096</v>
      </c>
      <c r="BD217" s="13" t="n">
        <f aca="false">IF(ISBLANK(Actuals!BE35),-1134.62*Escalation!$B$53,Actuals!BE35)</f>
        <v>-1204.06782096</v>
      </c>
      <c r="BE217" s="13" t="n">
        <f aca="false">IF(ISBLANK(Actuals!BF35),-1134.62*Escalation!$B$54,Actuals!BF35)</f>
        <v>-1204.06782096</v>
      </c>
      <c r="BF217" s="13" t="n">
        <f aca="false">IF(ISBLANK(Actuals!BG35),-1134.62*Escalation!$B$55,Actuals!BG35)</f>
        <v>-1204.06782096</v>
      </c>
      <c r="BG217" s="13" t="n">
        <f aca="false">IF(ISBLANK(Actuals!BH35),-1134.62*Escalation!$B$56,Actuals!BH35)</f>
        <v>-1204.06782096</v>
      </c>
      <c r="BH217" s="13" t="n">
        <f aca="false">IF(ISBLANK(Actuals!BI35),-1134.62*Escalation!$B$57,Actuals!BI35)</f>
        <v>-1204.06782096</v>
      </c>
      <c r="BI217" s="13" t="n">
        <f aca="false">IF(ISBLANK(Actuals!BJ35),-1134.62*Escalation!$B$58,Actuals!BJ35)</f>
        <v>-1204.06782096</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-1228.1491773792</v>
      </c>
      <c r="BN217" s="13" t="n">
        <f aca="false">IF(ISBLANK(Actuals!BO35),-1134.62*Escalation!$B$63,Actuals!BO35)</f>
        <v>-1228.1491773792</v>
      </c>
      <c r="BO217" s="13" t="n">
        <f aca="false">IF(ISBLANK(Actuals!BP35),-1134.62*Escalation!$B$64,Actuals!BP35)</f>
        <v>-1228.1491773792</v>
      </c>
      <c r="BP217" s="13" t="n">
        <f aca="false">IF(ISBLANK(Actuals!BQ35),-1134.62*Escalation!$B$65,Actuals!BQ35)</f>
        <v>-1228.1491773792</v>
      </c>
      <c r="BQ217" s="13" t="n">
        <f aca="false">IF(ISBLANK(Actuals!BR35),-1134.62*Escalation!$B$66,Actuals!BR35)</f>
        <v>-1228.1491773792</v>
      </c>
      <c r="BR217" s="13" t="n">
        <f aca="false">IF(ISBLANK(Actuals!BS35),-1134.62*Escalation!$B$67,Actuals!BS35)</f>
        <v>-1228.1491773792</v>
      </c>
      <c r="BS217" s="13" t="n">
        <f aca="false">IF(ISBLANK(Actuals!BT35),-1134.62*Escalation!$B$68,Actuals!BT35)</f>
        <v>-1228.1491773792</v>
      </c>
      <c r="BT217" s="13" t="n">
        <f aca="false">IF(ISBLANK(Actuals!BU35),-1134.62*Escalation!$B$69,Actuals!BU35)</f>
        <v>-1228.1491773792</v>
      </c>
      <c r="BU217" s="13" t="n">
        <f aca="false">IF(ISBLANK(Actuals!BV35),-1134.62*Escalation!$B$70,Actuals!BV35)</f>
        <v>-1228.1491773792</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-1252.71216092678</v>
      </c>
      <c r="BZ217" s="13" t="n">
        <f aca="false">IF(ISBLANK(Actuals!CA35),-1134.62*Escalation!$B$75,Actuals!CA35)</f>
        <v>-1252.71216092678</v>
      </c>
      <c r="CA217" s="13" t="n">
        <f aca="false">IF(ISBLANK(Actuals!CB35),-1134.62*Escalation!$B$76,Actuals!CB35)</f>
        <v>-1252.71216092678</v>
      </c>
      <c r="CB217" s="13" t="n">
        <f aca="false">IF(ISBLANK(Actuals!CC35),-1134.62*Escalation!$B$77,Actuals!CC35)</f>
        <v>-1252.71216092678</v>
      </c>
      <c r="CC217" s="13" t="n">
        <f aca="false">IF(ISBLANK(Actuals!CD35),-1134.62*Escalation!$B$78,Actuals!CD35)</f>
        <v>-1252.71216092678</v>
      </c>
      <c r="CD217" s="13" t="n">
        <f aca="false">IF(ISBLANK(Actuals!CE35),-1134.62*Escalation!$B$79,Actuals!CE35)</f>
        <v>-1252.71216092678</v>
      </c>
      <c r="CE217" s="13" t="n">
        <f aca="false">IF(ISBLANK(Actuals!CF35),-1134.62*Escalation!$B$80,Actuals!CF35)</f>
        <v>-1252.71216092678</v>
      </c>
      <c r="CF217" s="13" t="n">
        <f aca="false">IF(ISBLANK(Actuals!CG35),-1134.62*Escalation!$B$81,Actuals!CG35)</f>
        <v>-1252.71216092678</v>
      </c>
      <c r="CG217" s="13" t="n">
        <f aca="false">IF(ISBLANK(Actuals!CH35),-1134.62*Escalation!$B$82,Actuals!CH35)</f>
        <v>-1252.71216092678</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-1277.76640414532</v>
      </c>
      <c r="CL217" s="13" t="n">
        <f aca="false">IF(ISBLANK(Actuals!CM35),-1134.62*Escalation!$B$87,Actuals!CM35)</f>
        <v>-1277.76640414532</v>
      </c>
      <c r="CM217" s="13" t="n">
        <f aca="false">IF(ISBLANK(Actuals!CN35),-1134.62*Escalation!$B$88,Actuals!CN35)</f>
        <v>-1277.76640414532</v>
      </c>
      <c r="CN217" s="13" t="n">
        <f aca="false">IF(ISBLANK(Actuals!CO35),-1134.62*Escalation!$B$89,Actuals!CO35)</f>
        <v>-1277.76640414532</v>
      </c>
      <c r="CO217" s="13" t="n">
        <f aca="false">IF(ISBLANK(Actuals!CP35),-1134.62*Escalation!$B$90,Actuals!CP35)</f>
        <v>-1277.76640414532</v>
      </c>
      <c r="CP217" s="13" t="n">
        <f aca="false">IF(ISBLANK(Actuals!CQ35),-1134.62*Escalation!$B$91,Actuals!CQ35)</f>
        <v>-1277.76640414532</v>
      </c>
      <c r="CQ217" s="13" t="n">
        <f aca="false">IF(ISBLANK(Actuals!CR35),-1134.62*Escalation!$B$92,Actuals!CR35)</f>
        <v>-1277.76640414532</v>
      </c>
      <c r="CR217" s="13" t="n">
        <f aca="false">IF(ISBLANK(Actuals!CS35),-1134.62*Escalation!$B$93,Actuals!CS35)</f>
        <v>-1277.76640414532</v>
      </c>
      <c r="CS217" s="13" t="n">
        <f aca="false">IF(ISBLANK(Actuals!CT35),-1134.62*Escalation!$B$94,Actuals!CT35)</f>
        <v>-1277.76640414532</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-1303.32173222823</v>
      </c>
      <c r="CX217" s="13" t="n">
        <f aca="false">IF(ISBLANK(Actuals!CY35),-1134.62*Escalation!$B$99,Actuals!CY35)</f>
        <v>-1303.32173222823</v>
      </c>
      <c r="CY217" s="13" t="n">
        <f aca="false">IF(ISBLANK(Actuals!CZ35),-1134.62*Escalation!$B$100,Actuals!CZ35)</f>
        <v>-1303.32173222823</v>
      </c>
      <c r="CZ217" s="13" t="n">
        <f aca="false">IF(ISBLANK(Actuals!DA35),-1134.62*Escalation!$B$101,Actuals!DA35)</f>
        <v>-1303.32173222823</v>
      </c>
      <c r="DA217" s="13" t="n">
        <f aca="false">IF(ISBLANK(Actuals!DB35),-1134.62*Escalation!$B$102,Actuals!DB35)</f>
        <v>-1303.32173222823</v>
      </c>
      <c r="DB217" s="13" t="n">
        <f aca="false">IF(ISBLANK(Actuals!DC35),-1134.62*Escalation!$B$103,Actuals!DC35)</f>
        <v>-1303.32173222823</v>
      </c>
      <c r="DC217" s="13" t="n">
        <f aca="false">IF(ISBLANK(Actuals!DD35),-1134.62*Escalation!$B$104,Actuals!DD35)</f>
        <v>-1303.32173222823</v>
      </c>
      <c r="DD217" s="13" t="n">
        <f aca="false">IF(ISBLANK(Actuals!DE35),-1134.62*Escalation!$B$105,Actuals!DE35)</f>
        <v>-1303.32173222823</v>
      </c>
      <c r="DE217" s="13" t="n">
        <f aca="false">IF(ISBLANK(Actuals!DF35),-1134.62*Escalation!$B$106,Actuals!DF35)</f>
        <v>-1303.32173222823</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0</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-1270.83</v>
      </c>
      <c r="R218" s="13" t="n">
        <f aca="false">IF(ISBLANK(Actuals!S36),-1270.83*Escalation!$B$15,Actuals!S36)</f>
        <v>-1270.83</v>
      </c>
      <c r="S218" s="13" t="n">
        <f aca="false">IF(ISBLANK(Actuals!T36),-1270.83*Escalation!$B$16,Actuals!T36)</f>
        <v>-1270.83</v>
      </c>
      <c r="T218" s="13" t="n">
        <f aca="false">IF(ISBLANK(Actuals!U36),-1270.83*Escalation!$B$17,Actuals!U36)</f>
        <v>-1270.83</v>
      </c>
      <c r="U218" s="13" t="n">
        <f aca="false">IF(ISBLANK(Actuals!V36),-1270.83*Escalation!$B$18,Actuals!V36)</f>
        <v>-1270.83</v>
      </c>
      <c r="V218" s="13" t="n">
        <f aca="false">IF(ISBLANK(Actuals!W36),-1270.83*Escalation!$B$19,Actuals!W36)</f>
        <v>-1270.83</v>
      </c>
      <c r="W218" s="13" t="n">
        <f aca="false">IF(ISBLANK(Actuals!X36),-1270.83*Escalation!$B$20,Actuals!X36)</f>
        <v>-1270.83</v>
      </c>
      <c r="X218" s="13" t="n">
        <f aca="false">IF(ISBLANK(Actuals!Y36),-1270.83*Escalation!$B$21,Actuals!Y36)</f>
        <v>-1270.83</v>
      </c>
      <c r="Y218" s="13" t="n">
        <f aca="false">IF(ISBLANK(Actuals!Z36),-1270.83*Escalation!$B$22,Actuals!Z36)</f>
        <v>-1270.83</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-1296.2466</v>
      </c>
      <c r="AD218" s="13" t="n">
        <f aca="false">IF(ISBLANK(Actuals!AE36),-1270.83*Escalation!$B$27,Actuals!AE36)</f>
        <v>-1296.2466</v>
      </c>
      <c r="AE218" s="13" t="n">
        <f aca="false">IF(ISBLANK(Actuals!AF36),-1270.83*Escalation!$B$28,Actuals!AF36)</f>
        <v>-1296.2466</v>
      </c>
      <c r="AF218" s="13" t="n">
        <f aca="false">IF(ISBLANK(Actuals!AG36),-1270.83*Escalation!$B$29,Actuals!AG36)</f>
        <v>-1296.2466</v>
      </c>
      <c r="AG218" s="13" t="n">
        <f aca="false">IF(ISBLANK(Actuals!AH36),-1270.83*Escalation!$B$30,Actuals!AH36)</f>
        <v>-1296.2466</v>
      </c>
      <c r="AH218" s="13" t="n">
        <f aca="false">IF(ISBLANK(Actuals!AI36),-1270.83*Escalation!$B$31,Actuals!AI36)</f>
        <v>-1296.2466</v>
      </c>
      <c r="AI218" s="13" t="n">
        <f aca="false">IF(ISBLANK(Actuals!AJ36),-1270.83*Escalation!$B$32,Actuals!AJ36)</f>
        <v>-1296.2466</v>
      </c>
      <c r="AJ218" s="13" t="n">
        <f aca="false">IF(ISBLANK(Actuals!AK36),-1270.83*Escalation!$B$33,Actuals!AK36)</f>
        <v>-1296.2466</v>
      </c>
      <c r="AK218" s="13" t="n">
        <f aca="false">IF(ISBLANK(Actuals!AL36),-1270.83*Escalation!$B$34,Actuals!AL36)</f>
        <v>-1296.2466</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-1322.171532</v>
      </c>
      <c r="AP218" s="13" t="n">
        <f aca="false">IF(ISBLANK(Actuals!AQ36),-1270.83*Escalation!$B$39,Actuals!AQ36)</f>
        <v>-1322.171532</v>
      </c>
      <c r="AQ218" s="13" t="n">
        <f aca="false">IF(ISBLANK(Actuals!AR36),-1270.83*Escalation!$B$40,Actuals!AR36)</f>
        <v>-1322.171532</v>
      </c>
      <c r="AR218" s="13" t="n">
        <f aca="false">IF(ISBLANK(Actuals!AS36),-1270.83*Escalation!$B$41,Actuals!AS36)</f>
        <v>-1322.171532</v>
      </c>
      <c r="AS218" s="13" t="n">
        <f aca="false">IF(ISBLANK(Actuals!AT36),-1270.83*Escalation!$B$42,Actuals!AT36)</f>
        <v>-1322.171532</v>
      </c>
      <c r="AT218" s="13" t="n">
        <f aca="false">IF(ISBLANK(Actuals!AU36),-1270.83*Escalation!$B$43,Actuals!AU36)</f>
        <v>-1322.171532</v>
      </c>
      <c r="AU218" s="13" t="n">
        <f aca="false">IF(ISBLANK(Actuals!AV36),-1270.83*Escalation!$B$44,Actuals!AV36)</f>
        <v>-1322.171532</v>
      </c>
      <c r="AV218" s="13" t="n">
        <f aca="false">IF(ISBLANK(Actuals!AW36),-1270.83*Escalation!$B$45,Actuals!AW36)</f>
        <v>-1322.171532</v>
      </c>
      <c r="AW218" s="13" t="n">
        <f aca="false">IF(ISBLANK(Actuals!AX36),-1270.83*Escalation!$B$46,Actuals!AX36)</f>
        <v>-1322.171532</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-1348.61496264</v>
      </c>
      <c r="BB218" s="13" t="n">
        <f aca="false">IF(ISBLANK(Actuals!BC36),-1270.83*Escalation!$B$51,Actuals!BC36)</f>
        <v>-1348.61496264</v>
      </c>
      <c r="BC218" s="13" t="n">
        <f aca="false">IF(ISBLANK(Actuals!BD36),-1270.83*Escalation!$B$52,Actuals!BD36)</f>
        <v>-1348.61496264</v>
      </c>
      <c r="BD218" s="13" t="n">
        <f aca="false">IF(ISBLANK(Actuals!BE36),-1270.83*Escalation!$B$53,Actuals!BE36)</f>
        <v>-1348.61496264</v>
      </c>
      <c r="BE218" s="13" t="n">
        <f aca="false">IF(ISBLANK(Actuals!BF36),-1270.83*Escalation!$B$54,Actuals!BF36)</f>
        <v>-1348.61496264</v>
      </c>
      <c r="BF218" s="13" t="n">
        <f aca="false">IF(ISBLANK(Actuals!BG36),-1270.83*Escalation!$B$55,Actuals!BG36)</f>
        <v>-1348.61496264</v>
      </c>
      <c r="BG218" s="13" t="n">
        <f aca="false">IF(ISBLANK(Actuals!BH36),-1270.83*Escalation!$B$56,Actuals!BH36)</f>
        <v>-1348.61496264</v>
      </c>
      <c r="BH218" s="13" t="n">
        <f aca="false">IF(ISBLANK(Actuals!BI36),-1270.83*Escalation!$B$57,Actuals!BI36)</f>
        <v>-1348.61496264</v>
      </c>
      <c r="BI218" s="13" t="n">
        <f aca="false">IF(ISBLANK(Actuals!BJ36),-1270.83*Escalation!$B$58,Actuals!BJ36)</f>
        <v>-1348.61496264</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-1375.5872618928</v>
      </c>
      <c r="BN218" s="13" t="n">
        <f aca="false">IF(ISBLANK(Actuals!BO36),-1270.83*Escalation!$B$63,Actuals!BO36)</f>
        <v>-1375.5872618928</v>
      </c>
      <c r="BO218" s="13" t="n">
        <f aca="false">IF(ISBLANK(Actuals!BP36),-1270.83*Escalation!$B$64,Actuals!BP36)</f>
        <v>-1375.5872618928</v>
      </c>
      <c r="BP218" s="13" t="n">
        <f aca="false">IF(ISBLANK(Actuals!BQ36),-1270.83*Escalation!$B$65,Actuals!BQ36)</f>
        <v>-1375.5872618928</v>
      </c>
      <c r="BQ218" s="13" t="n">
        <f aca="false">IF(ISBLANK(Actuals!BR36),-1270.83*Escalation!$B$66,Actuals!BR36)</f>
        <v>-1375.5872618928</v>
      </c>
      <c r="BR218" s="13" t="n">
        <f aca="false">IF(ISBLANK(Actuals!BS36),-1270.83*Escalation!$B$67,Actuals!BS36)</f>
        <v>-1375.5872618928</v>
      </c>
      <c r="BS218" s="13" t="n">
        <f aca="false">IF(ISBLANK(Actuals!BT36),-1270.83*Escalation!$B$68,Actuals!BT36)</f>
        <v>-1375.5872618928</v>
      </c>
      <c r="BT218" s="13" t="n">
        <f aca="false">IF(ISBLANK(Actuals!BU36),-1270.83*Escalation!$B$69,Actuals!BU36)</f>
        <v>-1375.5872618928</v>
      </c>
      <c r="BU218" s="13" t="n">
        <f aca="false">IF(ISBLANK(Actuals!BV36),-1270.83*Escalation!$B$70,Actuals!BV36)</f>
        <v>-1375.5872618928</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-1403.09900713066</v>
      </c>
      <c r="BZ218" s="13" t="n">
        <f aca="false">IF(ISBLANK(Actuals!CA36),-1270.83*Escalation!$B$75,Actuals!CA36)</f>
        <v>-1403.09900713066</v>
      </c>
      <c r="CA218" s="13" t="n">
        <f aca="false">IF(ISBLANK(Actuals!CB36),-1270.83*Escalation!$B$76,Actuals!CB36)</f>
        <v>-1403.09900713066</v>
      </c>
      <c r="CB218" s="13" t="n">
        <f aca="false">IF(ISBLANK(Actuals!CC36),-1270.83*Escalation!$B$77,Actuals!CC36)</f>
        <v>-1403.09900713066</v>
      </c>
      <c r="CC218" s="13" t="n">
        <f aca="false">IF(ISBLANK(Actuals!CD36),-1270.83*Escalation!$B$78,Actuals!CD36)</f>
        <v>-1403.09900713066</v>
      </c>
      <c r="CD218" s="13" t="n">
        <f aca="false">IF(ISBLANK(Actuals!CE36),-1270.83*Escalation!$B$79,Actuals!CE36)</f>
        <v>-1403.09900713066</v>
      </c>
      <c r="CE218" s="13" t="n">
        <f aca="false">IF(ISBLANK(Actuals!CF36),-1270.83*Escalation!$B$80,Actuals!CF36)</f>
        <v>-1403.09900713066</v>
      </c>
      <c r="CF218" s="13" t="n">
        <f aca="false">IF(ISBLANK(Actuals!CG36),-1270.83*Escalation!$B$81,Actuals!CG36)</f>
        <v>-1403.09900713066</v>
      </c>
      <c r="CG218" s="13" t="n">
        <f aca="false">IF(ISBLANK(Actuals!CH36),-1270.83*Escalation!$B$82,Actuals!CH36)</f>
        <v>-1403.09900713066</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-1431.16098727327</v>
      </c>
      <c r="CL218" s="13" t="n">
        <f aca="false">IF(ISBLANK(Actuals!CM36),-1270.83*Escalation!$B$87,Actuals!CM36)</f>
        <v>-1431.16098727327</v>
      </c>
      <c r="CM218" s="13" t="n">
        <f aca="false">IF(ISBLANK(Actuals!CN36),-1270.83*Escalation!$B$88,Actuals!CN36)</f>
        <v>-1431.16098727327</v>
      </c>
      <c r="CN218" s="13" t="n">
        <f aca="false">IF(ISBLANK(Actuals!CO36),-1270.83*Escalation!$B$89,Actuals!CO36)</f>
        <v>-1431.16098727327</v>
      </c>
      <c r="CO218" s="13" t="n">
        <f aca="false">IF(ISBLANK(Actuals!CP36),-1270.83*Escalation!$B$90,Actuals!CP36)</f>
        <v>-1431.16098727327</v>
      </c>
      <c r="CP218" s="13" t="n">
        <f aca="false">IF(ISBLANK(Actuals!CQ36),-1270.83*Escalation!$B$91,Actuals!CQ36)</f>
        <v>-1431.16098727327</v>
      </c>
      <c r="CQ218" s="13" t="n">
        <f aca="false">IF(ISBLANK(Actuals!CR36),-1270.83*Escalation!$B$92,Actuals!CR36)</f>
        <v>-1431.16098727327</v>
      </c>
      <c r="CR218" s="13" t="n">
        <f aca="false">IF(ISBLANK(Actuals!CS36),-1270.83*Escalation!$B$93,Actuals!CS36)</f>
        <v>-1431.16098727327</v>
      </c>
      <c r="CS218" s="13" t="n">
        <f aca="false">IF(ISBLANK(Actuals!CT36),-1270.83*Escalation!$B$94,Actuals!CT36)</f>
        <v>-1431.16098727327</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-1459.78420701873</v>
      </c>
      <c r="CX218" s="13" t="n">
        <f aca="false">IF(ISBLANK(Actuals!CY36),-1270.83*Escalation!$B$99,Actuals!CY36)</f>
        <v>-1459.78420701873</v>
      </c>
      <c r="CY218" s="13" t="n">
        <f aca="false">IF(ISBLANK(Actuals!CZ36),-1270.83*Escalation!$B$100,Actuals!CZ36)</f>
        <v>-1459.78420701873</v>
      </c>
      <c r="CZ218" s="13" t="n">
        <f aca="false">IF(ISBLANK(Actuals!DA36),-1270.83*Escalation!$B$101,Actuals!DA36)</f>
        <v>-1459.78420701873</v>
      </c>
      <c r="DA218" s="13" t="n">
        <f aca="false">IF(ISBLANK(Actuals!DB36),-1270.83*Escalation!$B$102,Actuals!DB36)</f>
        <v>-1459.78420701873</v>
      </c>
      <c r="DB218" s="13" t="n">
        <f aca="false">IF(ISBLANK(Actuals!DC36),-1270.83*Escalation!$B$103,Actuals!DC36)</f>
        <v>-1459.78420701873</v>
      </c>
      <c r="DC218" s="13" t="n">
        <f aca="false">IF(ISBLANK(Actuals!DD36),-1270.83*Escalation!$B$104,Actuals!DD36)</f>
        <v>-1459.78420701873</v>
      </c>
      <c r="DD218" s="13" t="n">
        <f aca="false">IF(ISBLANK(Actuals!DE36),-1270.83*Escalation!$B$105,Actuals!DE36)</f>
        <v>-1459.78420701873</v>
      </c>
      <c r="DE218" s="13" t="n">
        <f aca="false">IF(ISBLANK(Actuals!DF36),-1270.83*Escalation!$B$106,Actuals!DF36)</f>
        <v>-1459.78420701873</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-5250</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-5916.33</v>
      </c>
      <c r="R219" s="13" t="n">
        <f aca="false">IF(ISBLANK(Actuals!S37),-5916.33*Escalation!$B$15,Actuals!S37)</f>
        <v>-5916.33</v>
      </c>
      <c r="S219" s="13" t="n">
        <f aca="false">IF(ISBLANK(Actuals!T37),-5916.33*Escalation!$B$16,Actuals!T37)</f>
        <v>-5916.33</v>
      </c>
      <c r="T219" s="13" t="n">
        <f aca="false">IF(ISBLANK(Actuals!U37),-5916.33*Escalation!$B$17,Actuals!U37)</f>
        <v>-5916.33</v>
      </c>
      <c r="U219" s="13" t="n">
        <f aca="false">IF(ISBLANK(Actuals!V37),-5916.33*Escalation!$B$18,Actuals!V37)</f>
        <v>-5916.33</v>
      </c>
      <c r="V219" s="13" t="n">
        <f aca="false">IF(ISBLANK(Actuals!W37),-5916.33*Escalation!$B$19,Actuals!W37)</f>
        <v>-5916.33</v>
      </c>
      <c r="W219" s="13" t="n">
        <f aca="false">IF(ISBLANK(Actuals!X37),-5916.33*Escalation!$B$20,Actuals!X37)</f>
        <v>-5916.33</v>
      </c>
      <c r="X219" s="13" t="n">
        <f aca="false">IF(ISBLANK(Actuals!Y37),-5916.33*Escalation!$B$21,Actuals!Y37)</f>
        <v>-5916.33</v>
      </c>
      <c r="Y219" s="13" t="n">
        <f aca="false">IF(ISBLANK(Actuals!Z37),-5916.33*Escalation!$B$22,Actuals!Z37)</f>
        <v>-5916.33</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-6034.6566</v>
      </c>
      <c r="AD219" s="13" t="n">
        <f aca="false">IF(ISBLANK(Actuals!AE37),-5916.33*Escalation!$B$27,Actuals!AE37)</f>
        <v>-6034.6566</v>
      </c>
      <c r="AE219" s="13" t="n">
        <f aca="false">IF(ISBLANK(Actuals!AF37),-5916.33*Escalation!$B$28,Actuals!AF37)</f>
        <v>-6034.6566</v>
      </c>
      <c r="AF219" s="13" t="n">
        <f aca="false">IF(ISBLANK(Actuals!AG37),-5916.33*Escalation!$B$29,Actuals!AG37)</f>
        <v>-6034.6566</v>
      </c>
      <c r="AG219" s="13" t="n">
        <f aca="false">IF(ISBLANK(Actuals!AH37),-5916.33*Escalation!$B$30,Actuals!AH37)</f>
        <v>-6034.6566</v>
      </c>
      <c r="AH219" s="13" t="n">
        <f aca="false">IF(ISBLANK(Actuals!AI37),-5916.33*Escalation!$B$31,Actuals!AI37)</f>
        <v>-6034.6566</v>
      </c>
      <c r="AI219" s="13" t="n">
        <f aca="false">IF(ISBLANK(Actuals!AJ37),-5916.33*Escalation!$B$32,Actuals!AJ37)</f>
        <v>-6034.6566</v>
      </c>
      <c r="AJ219" s="13" t="n">
        <f aca="false">IF(ISBLANK(Actuals!AK37),-5916.33*Escalation!$B$33,Actuals!AK37)</f>
        <v>-6034.6566</v>
      </c>
      <c r="AK219" s="13" t="n">
        <f aca="false">IF(ISBLANK(Actuals!AL37),-5916.33*Escalation!$B$34,Actuals!AL37)</f>
        <v>-6034.6566</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-6155.349732</v>
      </c>
      <c r="AP219" s="13" t="n">
        <f aca="false">IF(ISBLANK(Actuals!AQ37),-5916.33*Escalation!$B$39,Actuals!AQ37)</f>
        <v>-6155.349732</v>
      </c>
      <c r="AQ219" s="13" t="n">
        <f aca="false">IF(ISBLANK(Actuals!AR37),-5916.33*Escalation!$B$40,Actuals!AR37)</f>
        <v>-6155.349732</v>
      </c>
      <c r="AR219" s="13" t="n">
        <f aca="false">IF(ISBLANK(Actuals!AS37),-5916.33*Escalation!$B$41,Actuals!AS37)</f>
        <v>-6155.349732</v>
      </c>
      <c r="AS219" s="13" t="n">
        <f aca="false">IF(ISBLANK(Actuals!AT37),-5916.33*Escalation!$B$42,Actuals!AT37)</f>
        <v>-6155.349732</v>
      </c>
      <c r="AT219" s="13" t="n">
        <f aca="false">IF(ISBLANK(Actuals!AU37),-5916.33*Escalation!$B$43,Actuals!AU37)</f>
        <v>-6155.349732</v>
      </c>
      <c r="AU219" s="13" t="n">
        <f aca="false">IF(ISBLANK(Actuals!AV37),-5916.33*Escalation!$B$44,Actuals!AV37)</f>
        <v>-6155.349732</v>
      </c>
      <c r="AV219" s="13" t="n">
        <f aca="false">IF(ISBLANK(Actuals!AW37),-5916.33*Escalation!$B$45,Actuals!AW37)</f>
        <v>-6155.349732</v>
      </c>
      <c r="AW219" s="13" t="n">
        <f aca="false">IF(ISBLANK(Actuals!AX37),-5916.33*Escalation!$B$46,Actuals!AX37)</f>
        <v>-6155.349732</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-6278.45672664</v>
      </c>
      <c r="BB219" s="13" t="n">
        <f aca="false">IF(ISBLANK(Actuals!BC37),-5916.33*Escalation!$B$51,Actuals!BC37)</f>
        <v>-6278.45672664</v>
      </c>
      <c r="BC219" s="13" t="n">
        <f aca="false">IF(ISBLANK(Actuals!BD37),-5916.33*Escalation!$B$52,Actuals!BD37)</f>
        <v>-6278.45672664</v>
      </c>
      <c r="BD219" s="13" t="n">
        <f aca="false">IF(ISBLANK(Actuals!BE37),-5916.33*Escalation!$B$53,Actuals!BE37)</f>
        <v>-6278.45672664</v>
      </c>
      <c r="BE219" s="13" t="n">
        <f aca="false">IF(ISBLANK(Actuals!BF37),-5916.33*Escalation!$B$54,Actuals!BF37)</f>
        <v>-6278.45672664</v>
      </c>
      <c r="BF219" s="13" t="n">
        <f aca="false">IF(ISBLANK(Actuals!BG37),-5916.33*Escalation!$B$55,Actuals!BG37)</f>
        <v>-6278.45672664</v>
      </c>
      <c r="BG219" s="13" t="n">
        <f aca="false">IF(ISBLANK(Actuals!BH37),-5916.33*Escalation!$B$56,Actuals!BH37)</f>
        <v>-6278.45672664</v>
      </c>
      <c r="BH219" s="13" t="n">
        <f aca="false">IF(ISBLANK(Actuals!BI37),-5916.33*Escalation!$B$57,Actuals!BI37)</f>
        <v>-6278.45672664</v>
      </c>
      <c r="BI219" s="13" t="n">
        <f aca="false">IF(ISBLANK(Actuals!BJ37),-5916.33*Escalation!$B$58,Actuals!BJ37)</f>
        <v>-6278.45672664</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-6404.0258611728</v>
      </c>
      <c r="BN219" s="13" t="n">
        <f aca="false">IF(ISBLANK(Actuals!BO37),-5916.33*Escalation!$B$63,Actuals!BO37)</f>
        <v>-6404.0258611728</v>
      </c>
      <c r="BO219" s="13" t="n">
        <f aca="false">IF(ISBLANK(Actuals!BP37),-5916.33*Escalation!$B$64,Actuals!BP37)</f>
        <v>-6404.0258611728</v>
      </c>
      <c r="BP219" s="13" t="n">
        <f aca="false">IF(ISBLANK(Actuals!BQ37),-5916.33*Escalation!$B$65,Actuals!BQ37)</f>
        <v>-6404.0258611728</v>
      </c>
      <c r="BQ219" s="13" t="n">
        <f aca="false">IF(ISBLANK(Actuals!BR37),-5916.33*Escalation!$B$66,Actuals!BR37)</f>
        <v>-6404.0258611728</v>
      </c>
      <c r="BR219" s="13" t="n">
        <f aca="false">IF(ISBLANK(Actuals!BS37),-5916.33*Escalation!$B$67,Actuals!BS37)</f>
        <v>-6404.0258611728</v>
      </c>
      <c r="BS219" s="13" t="n">
        <f aca="false">IF(ISBLANK(Actuals!BT37),-5916.33*Escalation!$B$68,Actuals!BT37)</f>
        <v>-6404.0258611728</v>
      </c>
      <c r="BT219" s="13" t="n">
        <f aca="false">IF(ISBLANK(Actuals!BU37),-5916.33*Escalation!$B$69,Actuals!BU37)</f>
        <v>-6404.0258611728</v>
      </c>
      <c r="BU219" s="13" t="n">
        <f aca="false">IF(ISBLANK(Actuals!BV37),-5916.33*Escalation!$B$70,Actuals!BV37)</f>
        <v>-6404.0258611728</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-6532.10637839626</v>
      </c>
      <c r="BZ219" s="13" t="n">
        <f aca="false">IF(ISBLANK(Actuals!CA37),-5916.33*Escalation!$B$75,Actuals!CA37)</f>
        <v>-6532.10637839626</v>
      </c>
      <c r="CA219" s="13" t="n">
        <f aca="false">IF(ISBLANK(Actuals!CB37),-5916.33*Escalation!$B$76,Actuals!CB37)</f>
        <v>-6532.10637839626</v>
      </c>
      <c r="CB219" s="13" t="n">
        <f aca="false">IF(ISBLANK(Actuals!CC37),-5916.33*Escalation!$B$77,Actuals!CC37)</f>
        <v>-6532.10637839626</v>
      </c>
      <c r="CC219" s="13" t="n">
        <f aca="false">IF(ISBLANK(Actuals!CD37),-5916.33*Escalation!$B$78,Actuals!CD37)</f>
        <v>-6532.10637839626</v>
      </c>
      <c r="CD219" s="13" t="n">
        <f aca="false">IF(ISBLANK(Actuals!CE37),-5916.33*Escalation!$B$79,Actuals!CE37)</f>
        <v>-6532.10637839626</v>
      </c>
      <c r="CE219" s="13" t="n">
        <f aca="false">IF(ISBLANK(Actuals!CF37),-5916.33*Escalation!$B$80,Actuals!CF37)</f>
        <v>-6532.10637839626</v>
      </c>
      <c r="CF219" s="13" t="n">
        <f aca="false">IF(ISBLANK(Actuals!CG37),-5916.33*Escalation!$B$81,Actuals!CG37)</f>
        <v>-6532.10637839626</v>
      </c>
      <c r="CG219" s="13" t="n">
        <f aca="false">IF(ISBLANK(Actuals!CH37),-5916.33*Escalation!$B$82,Actuals!CH37)</f>
        <v>-6532.10637839626</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-6662.74850596418</v>
      </c>
      <c r="CL219" s="13" t="n">
        <f aca="false">IF(ISBLANK(Actuals!CM37),-5916.33*Escalation!$B$87,Actuals!CM37)</f>
        <v>-6662.74850596418</v>
      </c>
      <c r="CM219" s="13" t="n">
        <f aca="false">IF(ISBLANK(Actuals!CN37),-5916.33*Escalation!$B$88,Actuals!CN37)</f>
        <v>-6662.74850596418</v>
      </c>
      <c r="CN219" s="13" t="n">
        <f aca="false">IF(ISBLANK(Actuals!CO37),-5916.33*Escalation!$B$89,Actuals!CO37)</f>
        <v>-6662.74850596418</v>
      </c>
      <c r="CO219" s="13" t="n">
        <f aca="false">IF(ISBLANK(Actuals!CP37),-5916.33*Escalation!$B$90,Actuals!CP37)</f>
        <v>-6662.74850596418</v>
      </c>
      <c r="CP219" s="13" t="n">
        <f aca="false">IF(ISBLANK(Actuals!CQ37),-5916.33*Escalation!$B$91,Actuals!CQ37)</f>
        <v>-6662.74850596418</v>
      </c>
      <c r="CQ219" s="13" t="n">
        <f aca="false">IF(ISBLANK(Actuals!CR37),-5916.33*Escalation!$B$92,Actuals!CR37)</f>
        <v>-6662.74850596418</v>
      </c>
      <c r="CR219" s="13" t="n">
        <f aca="false">IF(ISBLANK(Actuals!CS37),-5916.33*Escalation!$B$93,Actuals!CS37)</f>
        <v>-6662.74850596418</v>
      </c>
      <c r="CS219" s="13" t="n">
        <f aca="false">IF(ISBLANK(Actuals!CT37),-5916.33*Escalation!$B$94,Actuals!CT37)</f>
        <v>-6662.74850596418</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-6796.00347608347</v>
      </c>
      <c r="CX219" s="13" t="n">
        <f aca="false">IF(ISBLANK(Actuals!CY37),-5916.33*Escalation!$B$99,Actuals!CY37)</f>
        <v>-6796.00347608347</v>
      </c>
      <c r="CY219" s="13" t="n">
        <f aca="false">IF(ISBLANK(Actuals!CZ37),-5916.33*Escalation!$B$100,Actuals!CZ37)</f>
        <v>-6796.00347608347</v>
      </c>
      <c r="CZ219" s="13" t="n">
        <f aca="false">IF(ISBLANK(Actuals!DA37),-5916.33*Escalation!$B$101,Actuals!DA37)</f>
        <v>-6796.00347608347</v>
      </c>
      <c r="DA219" s="13" t="n">
        <f aca="false">IF(ISBLANK(Actuals!DB37),-5916.33*Escalation!$B$102,Actuals!DB37)</f>
        <v>-6796.00347608347</v>
      </c>
      <c r="DB219" s="13" t="n">
        <f aca="false">IF(ISBLANK(Actuals!DC37),-5916.33*Escalation!$B$103,Actuals!DC37)</f>
        <v>-6796.00347608347</v>
      </c>
      <c r="DC219" s="13" t="n">
        <f aca="false">IF(ISBLANK(Actuals!DD37),-5916.33*Escalation!$B$104,Actuals!DD37)</f>
        <v>-6796.00347608347</v>
      </c>
      <c r="DD219" s="13" t="n">
        <f aca="false">IF(ISBLANK(Actuals!DE37),-5916.33*Escalation!$B$105,Actuals!DE37)</f>
        <v>-6796.00347608347</v>
      </c>
      <c r="DE219" s="13" t="n">
        <f aca="false">IF(ISBLANK(Actuals!DF37),-5916.33*Escalation!$B$106,Actuals!DF37)</f>
        <v>-6796.00347608347</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-55000</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-250.13</v>
      </c>
      <c r="R220" s="13" t="n">
        <f aca="false">IF(ISBLANK(Actuals!S38),-250.13*Escalation!$B$15,Actuals!S38)</f>
        <v>-250.13</v>
      </c>
      <c r="S220" s="13" t="n">
        <f aca="false">IF(ISBLANK(Actuals!T38),-250.13*Escalation!$B$16,Actuals!T38)</f>
        <v>-250.13</v>
      </c>
      <c r="T220" s="13" t="n">
        <f aca="false">IF(ISBLANK(Actuals!U38),-250.13*Escalation!$B$17,Actuals!U38)</f>
        <v>-250.13</v>
      </c>
      <c r="U220" s="13" t="n">
        <f aca="false">IF(ISBLANK(Actuals!V38),-250.13*Escalation!$B$18,Actuals!V38)</f>
        <v>-250.13</v>
      </c>
      <c r="V220" s="13" t="n">
        <f aca="false">IF(ISBLANK(Actuals!W38),-250.13*Escalation!$B$19,Actuals!W38)</f>
        <v>-250.13</v>
      </c>
      <c r="W220" s="13" t="n">
        <f aca="false">IF(ISBLANK(Actuals!X38),-250.13*Escalation!$B$20,Actuals!X38)</f>
        <v>-250.13</v>
      </c>
      <c r="X220" s="13" t="n">
        <f aca="false">IF(ISBLANK(Actuals!Y38),-250.13*Escalation!$B$21,Actuals!Y38)</f>
        <v>-250.13</v>
      </c>
      <c r="Y220" s="13" t="n">
        <f aca="false">IF(ISBLANK(Actuals!Z38),-250.13*Escalation!$B$22,Actuals!Z38)</f>
        <v>-250.13</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-255.1326</v>
      </c>
      <c r="AD220" s="13" t="n">
        <f aca="false">IF(ISBLANK(Actuals!AE38),-250.13*Escalation!$B$27,Actuals!AE38)</f>
        <v>-255.1326</v>
      </c>
      <c r="AE220" s="13" t="n">
        <f aca="false">IF(ISBLANK(Actuals!AF38),-250.13*Escalation!$B$28,Actuals!AF38)</f>
        <v>-255.1326</v>
      </c>
      <c r="AF220" s="13" t="n">
        <f aca="false">IF(ISBLANK(Actuals!AG38),-250.13*Escalation!$B$29,Actuals!AG38)</f>
        <v>-255.1326</v>
      </c>
      <c r="AG220" s="13" t="n">
        <f aca="false">IF(ISBLANK(Actuals!AH38),-250.13*Escalation!$B$30,Actuals!AH38)</f>
        <v>-255.1326</v>
      </c>
      <c r="AH220" s="13" t="n">
        <f aca="false">IF(ISBLANK(Actuals!AI38),-250.13*Escalation!$B$31,Actuals!AI38)</f>
        <v>-255.1326</v>
      </c>
      <c r="AI220" s="13" t="n">
        <f aca="false">IF(ISBLANK(Actuals!AJ38),-250.13*Escalation!$B$32,Actuals!AJ38)</f>
        <v>-255.1326</v>
      </c>
      <c r="AJ220" s="13" t="n">
        <f aca="false">IF(ISBLANK(Actuals!AK38),-250.13*Escalation!$B$33,Actuals!AK38)</f>
        <v>-255.1326</v>
      </c>
      <c r="AK220" s="13" t="n">
        <f aca="false">IF(ISBLANK(Actuals!AL38),-250.13*Escalation!$B$34,Actuals!AL38)</f>
        <v>-255.1326</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-260.235252</v>
      </c>
      <c r="AP220" s="13" t="n">
        <f aca="false">IF(ISBLANK(Actuals!AQ38),-250.13*Escalation!$B$39,Actuals!AQ38)</f>
        <v>-260.235252</v>
      </c>
      <c r="AQ220" s="13" t="n">
        <f aca="false">IF(ISBLANK(Actuals!AR38),-250.13*Escalation!$B$40,Actuals!AR38)</f>
        <v>-260.235252</v>
      </c>
      <c r="AR220" s="13" t="n">
        <f aca="false">IF(ISBLANK(Actuals!AS38),-250.13*Escalation!$B$41,Actuals!AS38)</f>
        <v>-260.235252</v>
      </c>
      <c r="AS220" s="13" t="n">
        <f aca="false">IF(ISBLANK(Actuals!AT38),-250.13*Escalation!$B$42,Actuals!AT38)</f>
        <v>-260.235252</v>
      </c>
      <c r="AT220" s="13" t="n">
        <f aca="false">IF(ISBLANK(Actuals!AU38),-250.13*Escalation!$B$43,Actuals!AU38)</f>
        <v>-260.235252</v>
      </c>
      <c r="AU220" s="13" t="n">
        <f aca="false">IF(ISBLANK(Actuals!AV38),-250.13*Escalation!$B$44,Actuals!AV38)</f>
        <v>-260.235252</v>
      </c>
      <c r="AV220" s="13" t="n">
        <f aca="false">IF(ISBLANK(Actuals!AW38),-250.13*Escalation!$B$45,Actuals!AW38)</f>
        <v>-260.235252</v>
      </c>
      <c r="AW220" s="13" t="n">
        <f aca="false">IF(ISBLANK(Actuals!AX38),-250.13*Escalation!$B$46,Actuals!AX38)</f>
        <v>-260.235252</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-265.43995704</v>
      </c>
      <c r="BB220" s="13" t="n">
        <f aca="false">IF(ISBLANK(Actuals!BC38),-250.13*Escalation!$B$51,Actuals!BC38)</f>
        <v>-265.43995704</v>
      </c>
      <c r="BC220" s="13" t="n">
        <f aca="false">IF(ISBLANK(Actuals!BD38),-250.13*Escalation!$B$52,Actuals!BD38)</f>
        <v>-265.43995704</v>
      </c>
      <c r="BD220" s="13" t="n">
        <f aca="false">IF(ISBLANK(Actuals!BE38),-250.13*Escalation!$B$53,Actuals!BE38)</f>
        <v>-265.43995704</v>
      </c>
      <c r="BE220" s="13" t="n">
        <f aca="false">IF(ISBLANK(Actuals!BF38),-250.13*Escalation!$B$54,Actuals!BF38)</f>
        <v>-265.43995704</v>
      </c>
      <c r="BF220" s="13" t="n">
        <f aca="false">IF(ISBLANK(Actuals!BG38),-250.13*Escalation!$B$55,Actuals!BG38)</f>
        <v>-265.43995704</v>
      </c>
      <c r="BG220" s="13" t="n">
        <f aca="false">IF(ISBLANK(Actuals!BH38),-250.13*Escalation!$B$56,Actuals!BH38)</f>
        <v>-265.43995704</v>
      </c>
      <c r="BH220" s="13" t="n">
        <f aca="false">IF(ISBLANK(Actuals!BI38),-250.13*Escalation!$B$57,Actuals!BI38)</f>
        <v>-265.43995704</v>
      </c>
      <c r="BI220" s="13" t="n">
        <f aca="false">IF(ISBLANK(Actuals!BJ38),-250.13*Escalation!$B$58,Actuals!BJ38)</f>
        <v>-265.43995704</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-270.7487561808</v>
      </c>
      <c r="BN220" s="13" t="n">
        <f aca="false">IF(ISBLANK(Actuals!BO38),-250.13*Escalation!$B$63,Actuals!BO38)</f>
        <v>-270.7487561808</v>
      </c>
      <c r="BO220" s="13" t="n">
        <f aca="false">IF(ISBLANK(Actuals!BP38),-250.13*Escalation!$B$64,Actuals!BP38)</f>
        <v>-270.7487561808</v>
      </c>
      <c r="BP220" s="13" t="n">
        <f aca="false">IF(ISBLANK(Actuals!BQ38),-250.13*Escalation!$B$65,Actuals!BQ38)</f>
        <v>-270.7487561808</v>
      </c>
      <c r="BQ220" s="13" t="n">
        <f aca="false">IF(ISBLANK(Actuals!BR38),-250.13*Escalation!$B$66,Actuals!BR38)</f>
        <v>-270.7487561808</v>
      </c>
      <c r="BR220" s="13" t="n">
        <f aca="false">IF(ISBLANK(Actuals!BS38),-250.13*Escalation!$B$67,Actuals!BS38)</f>
        <v>-270.7487561808</v>
      </c>
      <c r="BS220" s="13" t="n">
        <f aca="false">IF(ISBLANK(Actuals!BT38),-250.13*Escalation!$B$68,Actuals!BT38)</f>
        <v>-270.7487561808</v>
      </c>
      <c r="BT220" s="13" t="n">
        <f aca="false">IF(ISBLANK(Actuals!BU38),-250.13*Escalation!$B$69,Actuals!BU38)</f>
        <v>-270.7487561808</v>
      </c>
      <c r="BU220" s="13" t="n">
        <f aca="false">IF(ISBLANK(Actuals!BV38),-250.13*Escalation!$B$70,Actuals!BV38)</f>
        <v>-270.7487561808</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-276.163731304416</v>
      </c>
      <c r="BZ220" s="13" t="n">
        <f aca="false">IF(ISBLANK(Actuals!CA38),-250.13*Escalation!$B$75,Actuals!CA38)</f>
        <v>-276.163731304416</v>
      </c>
      <c r="CA220" s="13" t="n">
        <f aca="false">IF(ISBLANK(Actuals!CB38),-250.13*Escalation!$B$76,Actuals!CB38)</f>
        <v>-276.163731304416</v>
      </c>
      <c r="CB220" s="13" t="n">
        <f aca="false">IF(ISBLANK(Actuals!CC38),-250.13*Escalation!$B$77,Actuals!CC38)</f>
        <v>-276.163731304416</v>
      </c>
      <c r="CC220" s="13" t="n">
        <f aca="false">IF(ISBLANK(Actuals!CD38),-250.13*Escalation!$B$78,Actuals!CD38)</f>
        <v>-276.163731304416</v>
      </c>
      <c r="CD220" s="13" t="n">
        <f aca="false">IF(ISBLANK(Actuals!CE38),-250.13*Escalation!$B$79,Actuals!CE38)</f>
        <v>-276.163731304416</v>
      </c>
      <c r="CE220" s="13" t="n">
        <f aca="false">IF(ISBLANK(Actuals!CF38),-250.13*Escalation!$B$80,Actuals!CF38)</f>
        <v>-276.163731304416</v>
      </c>
      <c r="CF220" s="13" t="n">
        <f aca="false">IF(ISBLANK(Actuals!CG38),-250.13*Escalation!$B$81,Actuals!CG38)</f>
        <v>-276.163731304416</v>
      </c>
      <c r="CG220" s="13" t="n">
        <f aca="false">IF(ISBLANK(Actuals!CH38),-250.13*Escalation!$B$82,Actuals!CH38)</f>
        <v>-276.163731304416</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-281.687005930504</v>
      </c>
      <c r="CL220" s="13" t="n">
        <f aca="false">IF(ISBLANK(Actuals!CM38),-250.13*Escalation!$B$87,Actuals!CM38)</f>
        <v>-281.687005930504</v>
      </c>
      <c r="CM220" s="13" t="n">
        <f aca="false">IF(ISBLANK(Actuals!CN38),-250.13*Escalation!$B$88,Actuals!CN38)</f>
        <v>-281.687005930504</v>
      </c>
      <c r="CN220" s="13" t="n">
        <f aca="false">IF(ISBLANK(Actuals!CO38),-250.13*Escalation!$B$89,Actuals!CO38)</f>
        <v>-281.687005930504</v>
      </c>
      <c r="CO220" s="13" t="n">
        <f aca="false">IF(ISBLANK(Actuals!CP38),-250.13*Escalation!$B$90,Actuals!CP38)</f>
        <v>-281.687005930504</v>
      </c>
      <c r="CP220" s="13" t="n">
        <f aca="false">IF(ISBLANK(Actuals!CQ38),-250.13*Escalation!$B$91,Actuals!CQ38)</f>
        <v>-281.687005930504</v>
      </c>
      <c r="CQ220" s="13" t="n">
        <f aca="false">IF(ISBLANK(Actuals!CR38),-250.13*Escalation!$B$92,Actuals!CR38)</f>
        <v>-281.687005930504</v>
      </c>
      <c r="CR220" s="13" t="n">
        <f aca="false">IF(ISBLANK(Actuals!CS38),-250.13*Escalation!$B$93,Actuals!CS38)</f>
        <v>-281.687005930504</v>
      </c>
      <c r="CS220" s="13" t="n">
        <f aca="false">IF(ISBLANK(Actuals!CT38),-250.13*Escalation!$B$94,Actuals!CT38)</f>
        <v>-281.687005930504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-287.320746049114</v>
      </c>
      <c r="CX220" s="13" t="n">
        <f aca="false">IF(ISBLANK(Actuals!CY38),-250.13*Escalation!$B$99,Actuals!CY38)</f>
        <v>-287.320746049114</v>
      </c>
      <c r="CY220" s="13" t="n">
        <f aca="false">IF(ISBLANK(Actuals!CZ38),-250.13*Escalation!$B$100,Actuals!CZ38)</f>
        <v>-287.320746049114</v>
      </c>
      <c r="CZ220" s="13" t="n">
        <f aca="false">IF(ISBLANK(Actuals!DA38),-250.13*Escalation!$B$101,Actuals!DA38)</f>
        <v>-287.320746049114</v>
      </c>
      <c r="DA220" s="13" t="n">
        <f aca="false">IF(ISBLANK(Actuals!DB38),-250.13*Escalation!$B$102,Actuals!DB38)</f>
        <v>-287.320746049114</v>
      </c>
      <c r="DB220" s="13" t="n">
        <f aca="false">IF(ISBLANK(Actuals!DC38),-250.13*Escalation!$B$103,Actuals!DC38)</f>
        <v>-287.320746049114</v>
      </c>
      <c r="DC220" s="13" t="n">
        <f aca="false">IF(ISBLANK(Actuals!DD38),-250.13*Escalation!$B$104,Actuals!DD38)</f>
        <v>-287.320746049114</v>
      </c>
      <c r="DD220" s="13" t="n">
        <f aca="false">IF(ISBLANK(Actuals!DE38),-250.13*Escalation!$B$105,Actuals!DE38)</f>
        <v>-287.320746049114</v>
      </c>
      <c r="DE220" s="13" t="n">
        <f aca="false">IF(ISBLANK(Actuals!DF38),-250.13*Escalation!$B$106,Actuals!DF38)</f>
        <v>-287.320746049114</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-3851.12</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-1750.91</v>
      </c>
      <c r="R221" s="13" t="n">
        <f aca="false">IF(ISBLANK(Actuals!S39),-1750.91*Escalation!$B$15,Actuals!S39)</f>
        <v>-1750.91</v>
      </c>
      <c r="S221" s="13" t="n">
        <f aca="false">IF(ISBLANK(Actuals!T39),-1750.91*Escalation!$B$16,Actuals!T39)</f>
        <v>-1750.91</v>
      </c>
      <c r="T221" s="13" t="n">
        <f aca="false">IF(ISBLANK(Actuals!U39),-1750.91*Escalation!$B$17,Actuals!U39)</f>
        <v>-1750.91</v>
      </c>
      <c r="U221" s="13" t="n">
        <f aca="false">IF(ISBLANK(Actuals!V39),-1750.91*Escalation!$B$18,Actuals!V39)</f>
        <v>-1750.91</v>
      </c>
      <c r="V221" s="13" t="n">
        <f aca="false">IF(ISBLANK(Actuals!W39),-1750.91*Escalation!$B$19,Actuals!W39)</f>
        <v>-1750.91</v>
      </c>
      <c r="W221" s="13" t="n">
        <f aca="false">IF(ISBLANK(Actuals!X39),-1750.91*Escalation!$B$20,Actuals!X39)</f>
        <v>-1750.91</v>
      </c>
      <c r="X221" s="13" t="n">
        <f aca="false">IF(ISBLANK(Actuals!Y39),-1750.91*Escalation!$B$21,Actuals!Y39)</f>
        <v>-1750.91</v>
      </c>
      <c r="Y221" s="13" t="n">
        <f aca="false">IF(ISBLANK(Actuals!Z39),-1750.91*Escalation!$B$22,Actuals!Z39)</f>
        <v>-1750.91</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-1785.9282</v>
      </c>
      <c r="AD221" s="13" t="n">
        <f aca="false">IF(ISBLANK(Actuals!AE39),-1750.91*Escalation!$B$27,Actuals!AE39)</f>
        <v>-1785.9282</v>
      </c>
      <c r="AE221" s="13" t="n">
        <f aca="false">IF(ISBLANK(Actuals!AF39),-1750.91*Escalation!$B$28,Actuals!AF39)</f>
        <v>-1785.9282</v>
      </c>
      <c r="AF221" s="13" t="n">
        <f aca="false">IF(ISBLANK(Actuals!AG39),-1750.91*Escalation!$B$29,Actuals!AG39)</f>
        <v>-1785.9282</v>
      </c>
      <c r="AG221" s="13" t="n">
        <f aca="false">IF(ISBLANK(Actuals!AH39),-1750.91*Escalation!$B$30,Actuals!AH39)</f>
        <v>-1785.9282</v>
      </c>
      <c r="AH221" s="13" t="n">
        <f aca="false">IF(ISBLANK(Actuals!AI39),-1750.91*Escalation!$B$31,Actuals!AI39)</f>
        <v>-1785.9282</v>
      </c>
      <c r="AI221" s="13" t="n">
        <f aca="false">IF(ISBLANK(Actuals!AJ39),-1750.91*Escalation!$B$32,Actuals!AJ39)</f>
        <v>-1785.9282</v>
      </c>
      <c r="AJ221" s="13" t="n">
        <f aca="false">IF(ISBLANK(Actuals!AK39),-1750.91*Escalation!$B$33,Actuals!AK39)</f>
        <v>-1785.9282</v>
      </c>
      <c r="AK221" s="13" t="n">
        <f aca="false">IF(ISBLANK(Actuals!AL39),-1750.91*Escalation!$B$34,Actuals!AL39)</f>
        <v>-1785.9282</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-1821.646764</v>
      </c>
      <c r="AP221" s="13" t="n">
        <f aca="false">IF(ISBLANK(Actuals!AQ39),-1750.91*Escalation!$B$39,Actuals!AQ39)</f>
        <v>-1821.646764</v>
      </c>
      <c r="AQ221" s="13" t="n">
        <f aca="false">IF(ISBLANK(Actuals!AR39),-1750.91*Escalation!$B$40,Actuals!AR39)</f>
        <v>-1821.646764</v>
      </c>
      <c r="AR221" s="13" t="n">
        <f aca="false">IF(ISBLANK(Actuals!AS39),-1750.91*Escalation!$B$41,Actuals!AS39)</f>
        <v>-1821.646764</v>
      </c>
      <c r="AS221" s="13" t="n">
        <f aca="false">IF(ISBLANK(Actuals!AT39),-1750.91*Escalation!$B$42,Actuals!AT39)</f>
        <v>-1821.646764</v>
      </c>
      <c r="AT221" s="13" t="n">
        <f aca="false">IF(ISBLANK(Actuals!AU39),-1750.91*Escalation!$B$43,Actuals!AU39)</f>
        <v>-1821.646764</v>
      </c>
      <c r="AU221" s="13" t="n">
        <f aca="false">IF(ISBLANK(Actuals!AV39),-1750.91*Escalation!$B$44,Actuals!AV39)</f>
        <v>-1821.646764</v>
      </c>
      <c r="AV221" s="13" t="n">
        <f aca="false">IF(ISBLANK(Actuals!AW39),-1750.91*Escalation!$B$45,Actuals!AW39)</f>
        <v>-1821.646764</v>
      </c>
      <c r="AW221" s="13" t="n">
        <f aca="false">IF(ISBLANK(Actuals!AX39),-1750.91*Escalation!$B$46,Actuals!AX39)</f>
        <v>-1821.646764</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-1858.07969928</v>
      </c>
      <c r="BB221" s="13" t="n">
        <f aca="false">IF(ISBLANK(Actuals!BC39),-1750.91*Escalation!$B$51,Actuals!BC39)</f>
        <v>-1858.07969928</v>
      </c>
      <c r="BC221" s="13" t="n">
        <f aca="false">IF(ISBLANK(Actuals!BD39),-1750.91*Escalation!$B$52,Actuals!BD39)</f>
        <v>-1858.07969928</v>
      </c>
      <c r="BD221" s="13" t="n">
        <f aca="false">IF(ISBLANK(Actuals!BE39),-1750.91*Escalation!$B$53,Actuals!BE39)</f>
        <v>-1858.07969928</v>
      </c>
      <c r="BE221" s="13" t="n">
        <f aca="false">IF(ISBLANK(Actuals!BF39),-1750.91*Escalation!$B$54,Actuals!BF39)</f>
        <v>-1858.07969928</v>
      </c>
      <c r="BF221" s="13" t="n">
        <f aca="false">IF(ISBLANK(Actuals!BG39),-1750.91*Escalation!$B$55,Actuals!BG39)</f>
        <v>-1858.07969928</v>
      </c>
      <c r="BG221" s="13" t="n">
        <f aca="false">IF(ISBLANK(Actuals!BH39),-1750.91*Escalation!$B$56,Actuals!BH39)</f>
        <v>-1858.07969928</v>
      </c>
      <c r="BH221" s="13" t="n">
        <f aca="false">IF(ISBLANK(Actuals!BI39),-1750.91*Escalation!$B$57,Actuals!BI39)</f>
        <v>-1858.07969928</v>
      </c>
      <c r="BI221" s="13" t="n">
        <f aca="false">IF(ISBLANK(Actuals!BJ39),-1750.91*Escalation!$B$58,Actuals!BJ39)</f>
        <v>-1858.07969928</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-1895.2412932656</v>
      </c>
      <c r="BN221" s="13" t="n">
        <f aca="false">IF(ISBLANK(Actuals!BO39),-1750.91*Escalation!$B$63,Actuals!BO39)</f>
        <v>-1895.2412932656</v>
      </c>
      <c r="BO221" s="13" t="n">
        <f aca="false">IF(ISBLANK(Actuals!BP39),-1750.91*Escalation!$B$64,Actuals!BP39)</f>
        <v>-1895.2412932656</v>
      </c>
      <c r="BP221" s="13" t="n">
        <f aca="false">IF(ISBLANK(Actuals!BQ39),-1750.91*Escalation!$B$65,Actuals!BQ39)</f>
        <v>-1895.2412932656</v>
      </c>
      <c r="BQ221" s="13" t="n">
        <f aca="false">IF(ISBLANK(Actuals!BR39),-1750.91*Escalation!$B$66,Actuals!BR39)</f>
        <v>-1895.2412932656</v>
      </c>
      <c r="BR221" s="13" t="n">
        <f aca="false">IF(ISBLANK(Actuals!BS39),-1750.91*Escalation!$B$67,Actuals!BS39)</f>
        <v>-1895.2412932656</v>
      </c>
      <c r="BS221" s="13" t="n">
        <f aca="false">IF(ISBLANK(Actuals!BT39),-1750.91*Escalation!$B$68,Actuals!BT39)</f>
        <v>-1895.2412932656</v>
      </c>
      <c r="BT221" s="13" t="n">
        <f aca="false">IF(ISBLANK(Actuals!BU39),-1750.91*Escalation!$B$69,Actuals!BU39)</f>
        <v>-1895.2412932656</v>
      </c>
      <c r="BU221" s="13" t="n">
        <f aca="false">IF(ISBLANK(Actuals!BV39),-1750.91*Escalation!$B$70,Actuals!BV39)</f>
        <v>-1895.2412932656</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-1933.14611913091</v>
      </c>
      <c r="BZ221" s="13" t="n">
        <f aca="false">IF(ISBLANK(Actuals!CA39),-1750.91*Escalation!$B$75,Actuals!CA39)</f>
        <v>-1933.14611913091</v>
      </c>
      <c r="CA221" s="13" t="n">
        <f aca="false">IF(ISBLANK(Actuals!CB39),-1750.91*Escalation!$B$76,Actuals!CB39)</f>
        <v>-1933.14611913091</v>
      </c>
      <c r="CB221" s="13" t="n">
        <f aca="false">IF(ISBLANK(Actuals!CC39),-1750.91*Escalation!$B$77,Actuals!CC39)</f>
        <v>-1933.14611913091</v>
      </c>
      <c r="CC221" s="13" t="n">
        <f aca="false">IF(ISBLANK(Actuals!CD39),-1750.91*Escalation!$B$78,Actuals!CD39)</f>
        <v>-1933.14611913091</v>
      </c>
      <c r="CD221" s="13" t="n">
        <f aca="false">IF(ISBLANK(Actuals!CE39),-1750.91*Escalation!$B$79,Actuals!CE39)</f>
        <v>-1933.14611913091</v>
      </c>
      <c r="CE221" s="13" t="n">
        <f aca="false">IF(ISBLANK(Actuals!CF39),-1750.91*Escalation!$B$80,Actuals!CF39)</f>
        <v>-1933.14611913091</v>
      </c>
      <c r="CF221" s="13" t="n">
        <f aca="false">IF(ISBLANK(Actuals!CG39),-1750.91*Escalation!$B$81,Actuals!CG39)</f>
        <v>-1933.14611913091</v>
      </c>
      <c r="CG221" s="13" t="n">
        <f aca="false">IF(ISBLANK(Actuals!CH39),-1750.91*Escalation!$B$82,Actuals!CH39)</f>
        <v>-1933.14611913091</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-1971.80904151353</v>
      </c>
      <c r="CL221" s="13" t="n">
        <f aca="false">IF(ISBLANK(Actuals!CM39),-1750.91*Escalation!$B$87,Actuals!CM39)</f>
        <v>-1971.80904151353</v>
      </c>
      <c r="CM221" s="13" t="n">
        <f aca="false">IF(ISBLANK(Actuals!CN39),-1750.91*Escalation!$B$88,Actuals!CN39)</f>
        <v>-1971.80904151353</v>
      </c>
      <c r="CN221" s="13" t="n">
        <f aca="false">IF(ISBLANK(Actuals!CO39),-1750.91*Escalation!$B$89,Actuals!CO39)</f>
        <v>-1971.80904151353</v>
      </c>
      <c r="CO221" s="13" t="n">
        <f aca="false">IF(ISBLANK(Actuals!CP39),-1750.91*Escalation!$B$90,Actuals!CP39)</f>
        <v>-1971.80904151353</v>
      </c>
      <c r="CP221" s="13" t="n">
        <f aca="false">IF(ISBLANK(Actuals!CQ39),-1750.91*Escalation!$B$91,Actuals!CQ39)</f>
        <v>-1971.80904151353</v>
      </c>
      <c r="CQ221" s="13" t="n">
        <f aca="false">IF(ISBLANK(Actuals!CR39),-1750.91*Escalation!$B$92,Actuals!CR39)</f>
        <v>-1971.80904151353</v>
      </c>
      <c r="CR221" s="13" t="n">
        <f aca="false">IF(ISBLANK(Actuals!CS39),-1750.91*Escalation!$B$93,Actuals!CS39)</f>
        <v>-1971.80904151353</v>
      </c>
      <c r="CS221" s="13" t="n">
        <f aca="false">IF(ISBLANK(Actuals!CT39),-1750.91*Escalation!$B$94,Actuals!CT39)</f>
        <v>-1971.80904151353</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-2011.2452223438</v>
      </c>
      <c r="CX221" s="13" t="n">
        <f aca="false">IF(ISBLANK(Actuals!CY39),-1750.91*Escalation!$B$99,Actuals!CY39)</f>
        <v>-2011.2452223438</v>
      </c>
      <c r="CY221" s="13" t="n">
        <f aca="false">IF(ISBLANK(Actuals!CZ39),-1750.91*Escalation!$B$100,Actuals!CZ39)</f>
        <v>-2011.2452223438</v>
      </c>
      <c r="CZ221" s="13" t="n">
        <f aca="false">IF(ISBLANK(Actuals!DA39),-1750.91*Escalation!$B$101,Actuals!DA39)</f>
        <v>-2011.2452223438</v>
      </c>
      <c r="DA221" s="13" t="n">
        <f aca="false">IF(ISBLANK(Actuals!DB39),-1750.91*Escalation!$B$102,Actuals!DB39)</f>
        <v>-2011.2452223438</v>
      </c>
      <c r="DB221" s="13" t="n">
        <f aca="false">IF(ISBLANK(Actuals!DC39),-1750.91*Escalation!$B$103,Actuals!DC39)</f>
        <v>-2011.2452223438</v>
      </c>
      <c r="DC221" s="13" t="n">
        <f aca="false">IF(ISBLANK(Actuals!DD39),-1750.91*Escalation!$B$104,Actuals!DD39)</f>
        <v>-2011.2452223438</v>
      </c>
      <c r="DD221" s="13" t="n">
        <f aca="false">IF(ISBLANK(Actuals!DE39),-1750.91*Escalation!$B$105,Actuals!DE39)</f>
        <v>-2011.2452223438</v>
      </c>
      <c r="DE221" s="13" t="n">
        <f aca="false">IF(ISBLANK(Actuals!DF39),-1750.91*Escalation!$B$106,Actuals!DF39)</f>
        <v>-2011.2452223438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-987.24</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-1988.67</v>
      </c>
      <c r="R222" s="13" t="n">
        <f aca="false">IF(ISBLANK(Actuals!S40),-1988.67*Escalation!$B$15,Actuals!S40)</f>
        <v>-1988.67</v>
      </c>
      <c r="S222" s="13" t="n">
        <f aca="false">IF(ISBLANK(Actuals!T40),-1988.67*Escalation!$B$16,Actuals!T40)</f>
        <v>-1988.67</v>
      </c>
      <c r="T222" s="13" t="n">
        <f aca="false">IF(ISBLANK(Actuals!U40),-1988.67*Escalation!$B$17,Actuals!U40)</f>
        <v>-1988.67</v>
      </c>
      <c r="U222" s="13" t="n">
        <f aca="false">IF(ISBLANK(Actuals!V40),-1988.67*Escalation!$B$18,Actuals!V40)</f>
        <v>-1988.67</v>
      </c>
      <c r="V222" s="13" t="n">
        <f aca="false">IF(ISBLANK(Actuals!W40),-1988.67*Escalation!$B$19,Actuals!W40)</f>
        <v>-1988.67</v>
      </c>
      <c r="W222" s="13" t="n">
        <f aca="false">IF(ISBLANK(Actuals!X40),-1988.67*Escalation!$B$20,Actuals!X40)</f>
        <v>-1988.67</v>
      </c>
      <c r="X222" s="13" t="n">
        <f aca="false">IF(ISBLANK(Actuals!Y40),-1988.67*Escalation!$B$21,Actuals!Y40)</f>
        <v>-1988.67</v>
      </c>
      <c r="Y222" s="13" t="n">
        <f aca="false">IF(ISBLANK(Actuals!Z40),-1988.67*Escalation!$B$22,Actuals!Z40)</f>
        <v>-1988.67</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-2028.4434</v>
      </c>
      <c r="AD222" s="13" t="n">
        <f aca="false">IF(ISBLANK(Actuals!AE40),-1988.67*Escalation!$B$27,Actuals!AE40)</f>
        <v>-2028.4434</v>
      </c>
      <c r="AE222" s="13" t="n">
        <f aca="false">IF(ISBLANK(Actuals!AF40),-1988.67*Escalation!$B$28,Actuals!AF40)</f>
        <v>-2028.4434</v>
      </c>
      <c r="AF222" s="13" t="n">
        <f aca="false">IF(ISBLANK(Actuals!AG40),-1988.67*Escalation!$B$29,Actuals!AG40)</f>
        <v>-2028.4434</v>
      </c>
      <c r="AG222" s="13" t="n">
        <f aca="false">IF(ISBLANK(Actuals!AH40),-1988.67*Escalation!$B$30,Actuals!AH40)</f>
        <v>-2028.4434</v>
      </c>
      <c r="AH222" s="13" t="n">
        <f aca="false">IF(ISBLANK(Actuals!AI40),-1988.67*Escalation!$B$31,Actuals!AI40)</f>
        <v>-2028.4434</v>
      </c>
      <c r="AI222" s="13" t="n">
        <f aca="false">IF(ISBLANK(Actuals!AJ40),-1988.67*Escalation!$B$32,Actuals!AJ40)</f>
        <v>-2028.4434</v>
      </c>
      <c r="AJ222" s="13" t="n">
        <f aca="false">IF(ISBLANK(Actuals!AK40),-1988.67*Escalation!$B$33,Actuals!AK40)</f>
        <v>-2028.4434</v>
      </c>
      <c r="AK222" s="13" t="n">
        <f aca="false">IF(ISBLANK(Actuals!AL40),-1988.67*Escalation!$B$34,Actuals!AL40)</f>
        <v>-2028.4434</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-2069.012268</v>
      </c>
      <c r="AP222" s="13" t="n">
        <f aca="false">IF(ISBLANK(Actuals!AQ40),-1988.67*Escalation!$B$39,Actuals!AQ40)</f>
        <v>-2069.012268</v>
      </c>
      <c r="AQ222" s="13" t="n">
        <f aca="false">IF(ISBLANK(Actuals!AR40),-1988.67*Escalation!$B$40,Actuals!AR40)</f>
        <v>-2069.012268</v>
      </c>
      <c r="AR222" s="13" t="n">
        <f aca="false">IF(ISBLANK(Actuals!AS40),-1988.67*Escalation!$B$41,Actuals!AS40)</f>
        <v>-2069.012268</v>
      </c>
      <c r="AS222" s="13" t="n">
        <f aca="false">IF(ISBLANK(Actuals!AT40),-1988.67*Escalation!$B$42,Actuals!AT40)</f>
        <v>-2069.012268</v>
      </c>
      <c r="AT222" s="13" t="n">
        <f aca="false">IF(ISBLANK(Actuals!AU40),-1988.67*Escalation!$B$43,Actuals!AU40)</f>
        <v>-2069.012268</v>
      </c>
      <c r="AU222" s="13" t="n">
        <f aca="false">IF(ISBLANK(Actuals!AV40),-1988.67*Escalation!$B$44,Actuals!AV40)</f>
        <v>-2069.012268</v>
      </c>
      <c r="AV222" s="13" t="n">
        <f aca="false">IF(ISBLANK(Actuals!AW40),-1988.67*Escalation!$B$45,Actuals!AW40)</f>
        <v>-2069.012268</v>
      </c>
      <c r="AW222" s="13" t="n">
        <f aca="false">IF(ISBLANK(Actuals!AX40),-1988.67*Escalation!$B$46,Actuals!AX40)</f>
        <v>-2069.012268</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-2110.39251336</v>
      </c>
      <c r="BB222" s="13" t="n">
        <f aca="false">IF(ISBLANK(Actuals!BC40),-1988.67*Escalation!$B$51,Actuals!BC40)</f>
        <v>-2110.39251336</v>
      </c>
      <c r="BC222" s="13" t="n">
        <f aca="false">IF(ISBLANK(Actuals!BD40),-1988.67*Escalation!$B$52,Actuals!BD40)</f>
        <v>-2110.39251336</v>
      </c>
      <c r="BD222" s="13" t="n">
        <f aca="false">IF(ISBLANK(Actuals!BE40),-1988.67*Escalation!$B$53,Actuals!BE40)</f>
        <v>-2110.39251336</v>
      </c>
      <c r="BE222" s="13" t="n">
        <f aca="false">IF(ISBLANK(Actuals!BF40),-1988.67*Escalation!$B$54,Actuals!BF40)</f>
        <v>-2110.39251336</v>
      </c>
      <c r="BF222" s="13" t="n">
        <f aca="false">IF(ISBLANK(Actuals!BG40),-1988.67*Escalation!$B$55,Actuals!BG40)</f>
        <v>-2110.39251336</v>
      </c>
      <c r="BG222" s="13" t="n">
        <f aca="false">IF(ISBLANK(Actuals!BH40),-1988.67*Escalation!$B$56,Actuals!BH40)</f>
        <v>-2110.39251336</v>
      </c>
      <c r="BH222" s="13" t="n">
        <f aca="false">IF(ISBLANK(Actuals!BI40),-1988.67*Escalation!$B$57,Actuals!BI40)</f>
        <v>-2110.39251336</v>
      </c>
      <c r="BI222" s="13" t="n">
        <f aca="false">IF(ISBLANK(Actuals!BJ40),-1988.67*Escalation!$B$58,Actuals!BJ40)</f>
        <v>-2110.39251336</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-2152.6003636272</v>
      </c>
      <c r="BN222" s="13" t="n">
        <f aca="false">IF(ISBLANK(Actuals!BO40),-1988.67*Escalation!$B$63,Actuals!BO40)</f>
        <v>-2152.6003636272</v>
      </c>
      <c r="BO222" s="13" t="n">
        <f aca="false">IF(ISBLANK(Actuals!BP40),-1988.67*Escalation!$B$64,Actuals!BP40)</f>
        <v>-2152.6003636272</v>
      </c>
      <c r="BP222" s="13" t="n">
        <f aca="false">IF(ISBLANK(Actuals!BQ40),-1988.67*Escalation!$B$65,Actuals!BQ40)</f>
        <v>-2152.6003636272</v>
      </c>
      <c r="BQ222" s="13" t="n">
        <f aca="false">IF(ISBLANK(Actuals!BR40),-1988.67*Escalation!$B$66,Actuals!BR40)</f>
        <v>-2152.6003636272</v>
      </c>
      <c r="BR222" s="13" t="n">
        <f aca="false">IF(ISBLANK(Actuals!BS40),-1988.67*Escalation!$B$67,Actuals!BS40)</f>
        <v>-2152.6003636272</v>
      </c>
      <c r="BS222" s="13" t="n">
        <f aca="false">IF(ISBLANK(Actuals!BT40),-1988.67*Escalation!$B$68,Actuals!BT40)</f>
        <v>-2152.6003636272</v>
      </c>
      <c r="BT222" s="13" t="n">
        <f aca="false">IF(ISBLANK(Actuals!BU40),-1988.67*Escalation!$B$69,Actuals!BU40)</f>
        <v>-2152.6003636272</v>
      </c>
      <c r="BU222" s="13" t="n">
        <f aca="false">IF(ISBLANK(Actuals!BV40),-1988.67*Escalation!$B$70,Actuals!BV40)</f>
        <v>-2152.6003636272</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-2195.65237089974</v>
      </c>
      <c r="BZ222" s="13" t="n">
        <f aca="false">IF(ISBLANK(Actuals!CA40),-1988.67*Escalation!$B$75,Actuals!CA40)</f>
        <v>-2195.65237089974</v>
      </c>
      <c r="CA222" s="13" t="n">
        <f aca="false">IF(ISBLANK(Actuals!CB40),-1988.67*Escalation!$B$76,Actuals!CB40)</f>
        <v>-2195.65237089974</v>
      </c>
      <c r="CB222" s="13" t="n">
        <f aca="false">IF(ISBLANK(Actuals!CC40),-1988.67*Escalation!$B$77,Actuals!CC40)</f>
        <v>-2195.65237089974</v>
      </c>
      <c r="CC222" s="13" t="n">
        <f aca="false">IF(ISBLANK(Actuals!CD40),-1988.67*Escalation!$B$78,Actuals!CD40)</f>
        <v>-2195.65237089974</v>
      </c>
      <c r="CD222" s="13" t="n">
        <f aca="false">IF(ISBLANK(Actuals!CE40),-1988.67*Escalation!$B$79,Actuals!CE40)</f>
        <v>-2195.65237089974</v>
      </c>
      <c r="CE222" s="13" t="n">
        <f aca="false">IF(ISBLANK(Actuals!CF40),-1988.67*Escalation!$B$80,Actuals!CF40)</f>
        <v>-2195.65237089974</v>
      </c>
      <c r="CF222" s="13" t="n">
        <f aca="false">IF(ISBLANK(Actuals!CG40),-1988.67*Escalation!$B$81,Actuals!CG40)</f>
        <v>-2195.65237089974</v>
      </c>
      <c r="CG222" s="13" t="n">
        <f aca="false">IF(ISBLANK(Actuals!CH40),-1988.67*Escalation!$B$82,Actuals!CH40)</f>
        <v>-2195.65237089974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-2239.56541831774</v>
      </c>
      <c r="CL222" s="13" t="n">
        <f aca="false">IF(ISBLANK(Actuals!CM40),-1988.67*Escalation!$B$87,Actuals!CM40)</f>
        <v>-2239.56541831774</v>
      </c>
      <c r="CM222" s="13" t="n">
        <f aca="false">IF(ISBLANK(Actuals!CN40),-1988.67*Escalation!$B$88,Actuals!CN40)</f>
        <v>-2239.56541831774</v>
      </c>
      <c r="CN222" s="13" t="n">
        <f aca="false">IF(ISBLANK(Actuals!CO40),-1988.67*Escalation!$B$89,Actuals!CO40)</f>
        <v>-2239.56541831774</v>
      </c>
      <c r="CO222" s="13" t="n">
        <f aca="false">IF(ISBLANK(Actuals!CP40),-1988.67*Escalation!$B$90,Actuals!CP40)</f>
        <v>-2239.56541831774</v>
      </c>
      <c r="CP222" s="13" t="n">
        <f aca="false">IF(ISBLANK(Actuals!CQ40),-1988.67*Escalation!$B$91,Actuals!CQ40)</f>
        <v>-2239.56541831774</v>
      </c>
      <c r="CQ222" s="13" t="n">
        <f aca="false">IF(ISBLANK(Actuals!CR40),-1988.67*Escalation!$B$92,Actuals!CR40)</f>
        <v>-2239.56541831774</v>
      </c>
      <c r="CR222" s="13" t="n">
        <f aca="false">IF(ISBLANK(Actuals!CS40),-1988.67*Escalation!$B$93,Actuals!CS40)</f>
        <v>-2239.56541831774</v>
      </c>
      <c r="CS222" s="13" t="n">
        <f aca="false">IF(ISBLANK(Actuals!CT40),-1988.67*Escalation!$B$94,Actuals!CT40)</f>
        <v>-2239.56541831774</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-2284.35672668409</v>
      </c>
      <c r="CX222" s="13" t="n">
        <f aca="false">IF(ISBLANK(Actuals!CY40),-1988.67*Escalation!$B$99,Actuals!CY40)</f>
        <v>-2284.35672668409</v>
      </c>
      <c r="CY222" s="13" t="n">
        <f aca="false">IF(ISBLANK(Actuals!CZ40),-1988.67*Escalation!$B$100,Actuals!CZ40)</f>
        <v>-2284.35672668409</v>
      </c>
      <c r="CZ222" s="13" t="n">
        <f aca="false">IF(ISBLANK(Actuals!DA40),-1988.67*Escalation!$B$101,Actuals!DA40)</f>
        <v>-2284.35672668409</v>
      </c>
      <c r="DA222" s="13" t="n">
        <f aca="false">IF(ISBLANK(Actuals!DB40),-1988.67*Escalation!$B$102,Actuals!DB40)</f>
        <v>-2284.35672668409</v>
      </c>
      <c r="DB222" s="13" t="n">
        <f aca="false">IF(ISBLANK(Actuals!DC40),-1988.67*Escalation!$B$103,Actuals!DC40)</f>
        <v>-2284.35672668409</v>
      </c>
      <c r="DC222" s="13" t="n">
        <f aca="false">IF(ISBLANK(Actuals!DD40),-1988.67*Escalation!$B$104,Actuals!DD40)</f>
        <v>-2284.35672668409</v>
      </c>
      <c r="DD222" s="13" t="n">
        <f aca="false">IF(ISBLANK(Actuals!DE40),-1988.67*Escalation!$B$105,Actuals!DE40)</f>
        <v>-2284.35672668409</v>
      </c>
      <c r="DE222" s="13" t="n">
        <f aca="false">IF(ISBLANK(Actuals!DF40),-1988.67*Escalation!$B$106,Actuals!DF40)</f>
        <v>-2284.35672668409</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0</v>
      </c>
      <c r="K223" s="13" t="n">
        <f aca="false">IF(ISBLANK(Actuals!L41),-(SUMPRODUCT((Personnel!$O$9:$O$100="GC")*(Personnel!$G$9:$G$100="Yes")*(Personnel!$E$9:$E$100&gt;=2)*(Personnel!$Q$9:$Q$100&lt;&gt;"No")*(Personnel!$E$9:$E$100=7)*Personnel!$C$9:$C$100)*Staffing!$B$21+Staffing!K84),Actuals!L41)</f>
        <v>-7500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-12000</v>
      </c>
      <c r="N223" s="13" t="n">
        <f aca="false">IF(ISBLANK(Actuals!O41),-(SUMPRODUCT((Personnel!$O$9:$O$100="GC")*(Personnel!$G$9:$G$100="Yes")*(Personnel!$E$9:$E$100&gt;=2)*(Personnel!$Q$9:$Q$100&lt;&gt;"No")*(Personnel!$E$9:$E$100=10)*Personnel!$C$9:$C$100)*Staffing!$B$21+Staffing!N84),Actuals!O41)</f>
        <v>-0</v>
      </c>
      <c r="O223" s="13" t="n">
        <f aca="false">IF(ISBLANK(Actuals!P41),-(SUMPRODUCT((Personnel!$O$9:$O$100="GC")*(Personnel!$G$9:$G$100="Yes")*(Personnel!$E$9:$E$100&gt;=2)*(Personnel!$Q$9:$Q$100&lt;&gt;"No")*(Personnel!$E$9:$E$100=11)*Personnel!$C$9:$C$100)*Staffing!$B$21+Staffing!O84),Actuals!P41)</f>
        <v>-9375</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-12000</v>
      </c>
      <c r="R223" s="13" t="n">
        <f aca="false">IF(ISBLANK(Actuals!S41),-(SUMPRODUCT((Personnel!$O$9:$O$100="GC")*(Personnel!$G$9:$G$100="Yes")*(Personnel!$E$9:$E$100&gt;=2)*(Personnel!$Q$9:$Q$100&lt;&gt;"No")*(Personnel!$E$9:$E$100=14)*Personnel!$C$9:$C$100)*Staffing!$B$21+Staffing!R84),Actuals!S41)</f>
        <v>-21375</v>
      </c>
      <c r="S223" s="13" t="n">
        <f aca="false">IF(ISBLANK(Actuals!T41),-(SUMPRODUCT((Personnel!$O$9:$O$100="GC")*(Personnel!$G$9:$G$100="Yes")*(Personnel!$E$9:$E$100&gt;=2)*(Personnel!$Q$9:$Q$100&lt;&gt;"No")*(Personnel!$E$9:$E$100=15)*Personnel!$C$9:$C$100)*Staffing!$B$21+Staffing!S84),Actuals!T41)</f>
        <v>-43125</v>
      </c>
      <c r="T223" s="13" t="n">
        <f aca="false">IF(ISBLANK(Actuals!U41),-(SUMPRODUCT((Personnel!$O$9:$O$100="GC")*(Personnel!$G$9:$G$100="Yes")*(Personnel!$E$9:$E$100&gt;=2)*(Personnel!$Q$9:$Q$100&lt;&gt;"No")*(Personnel!$E$9:$E$100=16)*Personnel!$C$9:$C$100)*Staffing!$B$21+Staffing!T84),Actuals!U41)</f>
        <v>-0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-42000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-0</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-0</v>
      </c>
      <c r="AC223" s="13" t="n">
        <f aca="false">IF(ISBLANK(Actuals!AD41),-(SUMPRODUCT((Personnel!$O$9:$O$100="GC")*(Personnel!$G$9:$G$100="Yes")*(Personnel!$E$9:$E$100&gt;=2)*(Personnel!$Q$9:$Q$100&lt;&gt;"No")*(Personnel!$E$9:$E$100=25)*Personnel!$C$9:$C$100)*Staffing!$B$21+Staffing!AC84),Actuals!AD41)</f>
        <v>-19615.3846153846</v>
      </c>
      <c r="AD223" s="13" t="n">
        <f aca="false">IF(ISBLANK(Actuals!AE41),-(SUMPRODUCT((Personnel!$O$9:$O$100="GC")*(Personnel!$G$9:$G$100="Yes")*(Personnel!$E$9:$E$100&gt;=2)*(Personnel!$Q$9:$Q$100&lt;&gt;"No")*(Personnel!$E$9:$E$100=26)*Personnel!$C$9:$C$100)*Staffing!$B$21+Staffing!AD84),Actuals!AE41)</f>
        <v>-21923.0769230769</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-13846.1538461538</v>
      </c>
      <c r="AH223" s="13" t="n">
        <f aca="false">IF(ISBLANK(Actuals!AI41),-(SUMPRODUCT((Personnel!$O$9:$O$100="GC")*(Personnel!$G$9:$G$100="Yes")*(Personnel!$E$9:$E$100&gt;=2)*(Personnel!$Q$9:$Q$100&lt;&gt;"No")*(Personnel!$E$9:$E$100=30)*Personnel!$C$9:$C$100)*Staffing!$B$21+Staffing!AH84),Actuals!AI41)</f>
        <v>-12307.6923076923</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-24615.3846153846</v>
      </c>
      <c r="AN223" s="13" t="n">
        <f aca="false">IF(ISBLANK(Actuals!AO41),-(SUMPRODUCT((Personnel!$O$9:$O$100="GC")*(Personnel!$G$9:$G$100="Yes")*(Personnel!$E$9:$E$100&gt;=2)*(Personnel!$Q$9:$Q$100&lt;&gt;"No")*(Personnel!$E$9:$E$100=36)*Personnel!$C$9:$C$100)*Staffing!$B$21+Staffing!AN84),Actuals!AO41)</f>
        <v>-9615.38461538462</v>
      </c>
      <c r="AO223" s="13" t="n">
        <f aca="false">IF(ISBLANK(Actuals!AP41),-(SUMPRODUCT((Personnel!$O$9:$O$100="GC")*(Personnel!$G$9:$G$100="Yes")*(Personnel!$E$9:$E$100&gt;=2)*(Personnel!$Q$9:$Q$100&lt;&gt;"No")*(Personnel!$E$9:$E$100=37)*Personnel!$C$9:$C$100)*Staffing!$B$21+Staffing!AO84),Actuals!AP41)</f>
        <v>-22307.6923076923</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-9615.38461538462</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-9615.38461538462</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-0</v>
      </c>
      <c r="BB223" s="13" t="n">
        <f aca="false">IF(ISBLANK(Actuals!BC41),-(SUMPRODUCT((Personnel!$O$9:$O$100="GC")*(Personnel!$G$9:$G$100="Yes")*(Personnel!$E$9:$E$100&gt;=2)*(Personnel!$Q$9:$Q$100&lt;&gt;"No")*(Personnel!$E$9:$E$100=50)*Personnel!$C$9:$C$100)*Staffing!$B$21+Staffing!BB84),Actuals!BC41)</f>
        <v>-0</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-0</v>
      </c>
      <c r="BN223" s="13" t="n">
        <f aca="false">IF(ISBLANK(Actuals!BO41),-(SUMPRODUCT((Personnel!$O$9:$O$100="GC")*(Personnel!$G$9:$G$100="Yes")*(Personnel!$E$9:$E$100&gt;=2)*(Personnel!$Q$9:$Q$100&lt;&gt;"No")*(Personnel!$E$9:$E$100=62)*Personnel!$C$9:$C$100)*Staffing!$B$21+Staffing!BN84),Actuals!BO41)</f>
        <v>-0</v>
      </c>
      <c r="BO223" s="13" t="n">
        <f aca="false">IF(ISBLANK(Actuals!BP41),-(SUMPRODUCT((Personnel!$O$9:$O$100="GC")*(Personnel!$G$9:$G$100="Yes")*(Personnel!$E$9:$E$100&gt;=2)*(Personnel!$Q$9:$Q$100&lt;&gt;"No")*(Personnel!$E$9:$E$100=63)*Personnel!$C$9:$C$100)*Staffing!$B$21+Staffing!BO84),Actuals!BP41)</f>
        <v>-0</v>
      </c>
      <c r="BP223" s="13" t="n">
        <f aca="false">IF(ISBLANK(Actuals!BQ41),-(SUMPRODUCT((Personnel!$O$9:$O$100="GC")*(Personnel!$G$9:$G$100="Yes")*(Personnel!$E$9:$E$100&gt;=2)*(Personnel!$Q$9:$Q$100&lt;&gt;"No")*(Personnel!$E$9:$E$100=64)*Personnel!$C$9:$C$100)*Staffing!$B$21+Staffing!BP84),Actuals!BQ41)</f>
        <v>-0</v>
      </c>
      <c r="BQ223" s="13" t="n">
        <f aca="false">IF(ISBLANK(Actuals!BR41),-(SUMPRODUCT((Personnel!$O$9:$O$100="GC")*(Personnel!$G$9:$G$100="Yes")*(Personnel!$E$9:$E$100&gt;=2)*(Personnel!$Q$9:$Q$100&lt;&gt;"No")*(Personnel!$E$9:$E$100=65)*Personnel!$C$9:$C$100)*Staffing!$B$21+Staffing!BQ84),Actuals!BR41)</f>
        <v>-0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-0</v>
      </c>
      <c r="BU223" s="13" t="n">
        <f aca="false">IF(ISBLANK(Actuals!BV41),-(SUMPRODUCT((Personnel!$O$9:$O$100="GC")*(Personnel!$G$9:$G$100="Yes")*(Personnel!$E$9:$E$100&gt;=2)*(Personnel!$Q$9:$Q$100&lt;&gt;"No")*(Personnel!$E$9:$E$100=69)*Personnel!$C$9:$C$100)*Staffing!$B$21+Staffing!BU84),Actuals!BV41)</f>
        <v>-0</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-330</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-55</v>
      </c>
      <c r="R224" s="13" t="n">
        <f aca="false">IF(ISBLANK(Actuals!S42),-55*Escalation!$B$15,Actuals!S42)</f>
        <v>-55</v>
      </c>
      <c r="S224" s="13" t="n">
        <f aca="false">IF(ISBLANK(Actuals!T42),-55*Escalation!$B$16,Actuals!T42)</f>
        <v>-55</v>
      </c>
      <c r="T224" s="13" t="n">
        <f aca="false">IF(ISBLANK(Actuals!U42),-55*Escalation!$B$17,Actuals!U42)</f>
        <v>-55</v>
      </c>
      <c r="U224" s="13" t="n">
        <f aca="false">IF(ISBLANK(Actuals!V42),-55*Escalation!$B$18,Actuals!V42)</f>
        <v>-55</v>
      </c>
      <c r="V224" s="13" t="n">
        <f aca="false">IF(ISBLANK(Actuals!W42),-55*Escalation!$B$19,Actuals!W42)</f>
        <v>-55</v>
      </c>
      <c r="W224" s="13" t="n">
        <f aca="false">IF(ISBLANK(Actuals!X42),-55*Escalation!$B$20,Actuals!X42)</f>
        <v>-55</v>
      </c>
      <c r="X224" s="13" t="n">
        <f aca="false">IF(ISBLANK(Actuals!Y42),-55*Escalation!$B$21,Actuals!Y42)</f>
        <v>-55</v>
      </c>
      <c r="Y224" s="13" t="n">
        <f aca="false">IF(ISBLANK(Actuals!Z42),-55*Escalation!$B$22,Actuals!Z42)</f>
        <v>-55</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-56.1</v>
      </c>
      <c r="AD224" s="13" t="n">
        <f aca="false">IF(ISBLANK(Actuals!AE42),-55*Escalation!$B$27,Actuals!AE42)</f>
        <v>-56.1</v>
      </c>
      <c r="AE224" s="13" t="n">
        <f aca="false">IF(ISBLANK(Actuals!AF42),-55*Escalation!$B$28,Actuals!AF42)</f>
        <v>-56.1</v>
      </c>
      <c r="AF224" s="13" t="n">
        <f aca="false">IF(ISBLANK(Actuals!AG42),-55*Escalation!$B$29,Actuals!AG42)</f>
        <v>-56.1</v>
      </c>
      <c r="AG224" s="13" t="n">
        <f aca="false">IF(ISBLANK(Actuals!AH42),-55*Escalation!$B$30,Actuals!AH42)</f>
        <v>-56.1</v>
      </c>
      <c r="AH224" s="13" t="n">
        <f aca="false">IF(ISBLANK(Actuals!AI42),-55*Escalation!$B$31,Actuals!AI42)</f>
        <v>-56.1</v>
      </c>
      <c r="AI224" s="13" t="n">
        <f aca="false">IF(ISBLANK(Actuals!AJ42),-55*Escalation!$B$32,Actuals!AJ42)</f>
        <v>-56.1</v>
      </c>
      <c r="AJ224" s="13" t="n">
        <f aca="false">IF(ISBLANK(Actuals!AK42),-55*Escalation!$B$33,Actuals!AK42)</f>
        <v>-56.1</v>
      </c>
      <c r="AK224" s="13" t="n">
        <f aca="false">IF(ISBLANK(Actuals!AL42),-55*Escalation!$B$34,Actuals!AL42)</f>
        <v>-56.1</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-57.222</v>
      </c>
      <c r="AP224" s="13" t="n">
        <f aca="false">IF(ISBLANK(Actuals!AQ42),-55*Escalation!$B$39,Actuals!AQ42)</f>
        <v>-57.222</v>
      </c>
      <c r="AQ224" s="13" t="n">
        <f aca="false">IF(ISBLANK(Actuals!AR42),-55*Escalation!$B$40,Actuals!AR42)</f>
        <v>-57.222</v>
      </c>
      <c r="AR224" s="13" t="n">
        <f aca="false">IF(ISBLANK(Actuals!AS42),-55*Escalation!$B$41,Actuals!AS42)</f>
        <v>-57.222</v>
      </c>
      <c r="AS224" s="13" t="n">
        <f aca="false">IF(ISBLANK(Actuals!AT42),-55*Escalation!$B$42,Actuals!AT42)</f>
        <v>-57.222</v>
      </c>
      <c r="AT224" s="13" t="n">
        <f aca="false">IF(ISBLANK(Actuals!AU42),-55*Escalation!$B$43,Actuals!AU42)</f>
        <v>-57.222</v>
      </c>
      <c r="AU224" s="13" t="n">
        <f aca="false">IF(ISBLANK(Actuals!AV42),-55*Escalation!$B$44,Actuals!AV42)</f>
        <v>-57.222</v>
      </c>
      <c r="AV224" s="13" t="n">
        <f aca="false">IF(ISBLANK(Actuals!AW42),-55*Escalation!$B$45,Actuals!AW42)</f>
        <v>-57.222</v>
      </c>
      <c r="AW224" s="13" t="n">
        <f aca="false">IF(ISBLANK(Actuals!AX42),-55*Escalation!$B$46,Actuals!AX42)</f>
        <v>-57.222</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-58.36644</v>
      </c>
      <c r="BB224" s="13" t="n">
        <f aca="false">IF(ISBLANK(Actuals!BC42),-55*Escalation!$B$51,Actuals!BC42)</f>
        <v>-58.36644</v>
      </c>
      <c r="BC224" s="13" t="n">
        <f aca="false">IF(ISBLANK(Actuals!BD42),-55*Escalation!$B$52,Actuals!BD42)</f>
        <v>-58.36644</v>
      </c>
      <c r="BD224" s="13" t="n">
        <f aca="false">IF(ISBLANK(Actuals!BE42),-55*Escalation!$B$53,Actuals!BE42)</f>
        <v>-58.36644</v>
      </c>
      <c r="BE224" s="13" t="n">
        <f aca="false">IF(ISBLANK(Actuals!BF42),-55*Escalation!$B$54,Actuals!BF42)</f>
        <v>-58.36644</v>
      </c>
      <c r="BF224" s="13" t="n">
        <f aca="false">IF(ISBLANK(Actuals!BG42),-55*Escalation!$B$55,Actuals!BG42)</f>
        <v>-58.36644</v>
      </c>
      <c r="BG224" s="13" t="n">
        <f aca="false">IF(ISBLANK(Actuals!BH42),-55*Escalation!$B$56,Actuals!BH42)</f>
        <v>-58.36644</v>
      </c>
      <c r="BH224" s="13" t="n">
        <f aca="false">IF(ISBLANK(Actuals!BI42),-55*Escalation!$B$57,Actuals!BI42)</f>
        <v>-58.36644</v>
      </c>
      <c r="BI224" s="13" t="n">
        <f aca="false">IF(ISBLANK(Actuals!BJ42),-55*Escalation!$B$58,Actuals!BJ42)</f>
        <v>-58.36644</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-59.5337688</v>
      </c>
      <c r="BN224" s="13" t="n">
        <f aca="false">IF(ISBLANK(Actuals!BO42),-55*Escalation!$B$63,Actuals!BO42)</f>
        <v>-59.5337688</v>
      </c>
      <c r="BO224" s="13" t="n">
        <f aca="false">IF(ISBLANK(Actuals!BP42),-55*Escalation!$B$64,Actuals!BP42)</f>
        <v>-59.5337688</v>
      </c>
      <c r="BP224" s="13" t="n">
        <f aca="false">IF(ISBLANK(Actuals!BQ42),-55*Escalation!$B$65,Actuals!BQ42)</f>
        <v>-59.5337688</v>
      </c>
      <c r="BQ224" s="13" t="n">
        <f aca="false">IF(ISBLANK(Actuals!BR42),-55*Escalation!$B$66,Actuals!BR42)</f>
        <v>-59.5337688</v>
      </c>
      <c r="BR224" s="13" t="n">
        <f aca="false">IF(ISBLANK(Actuals!BS42),-55*Escalation!$B$67,Actuals!BS42)</f>
        <v>-59.5337688</v>
      </c>
      <c r="BS224" s="13" t="n">
        <f aca="false">IF(ISBLANK(Actuals!BT42),-55*Escalation!$B$68,Actuals!BT42)</f>
        <v>-59.5337688</v>
      </c>
      <c r="BT224" s="13" t="n">
        <f aca="false">IF(ISBLANK(Actuals!BU42),-55*Escalation!$B$69,Actuals!BU42)</f>
        <v>-59.5337688</v>
      </c>
      <c r="BU224" s="13" t="n">
        <f aca="false">IF(ISBLANK(Actuals!BV42),-55*Escalation!$B$70,Actuals!BV42)</f>
        <v>-59.5337688</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-60.724444176</v>
      </c>
      <c r="BZ224" s="13" t="n">
        <f aca="false">IF(ISBLANK(Actuals!CA42),-55*Escalation!$B$75,Actuals!CA42)</f>
        <v>-60.724444176</v>
      </c>
      <c r="CA224" s="13" t="n">
        <f aca="false">IF(ISBLANK(Actuals!CB42),-55*Escalation!$B$76,Actuals!CB42)</f>
        <v>-60.724444176</v>
      </c>
      <c r="CB224" s="13" t="n">
        <f aca="false">IF(ISBLANK(Actuals!CC42),-55*Escalation!$B$77,Actuals!CC42)</f>
        <v>-60.724444176</v>
      </c>
      <c r="CC224" s="13" t="n">
        <f aca="false">IF(ISBLANK(Actuals!CD42),-55*Escalation!$B$78,Actuals!CD42)</f>
        <v>-60.724444176</v>
      </c>
      <c r="CD224" s="13" t="n">
        <f aca="false">IF(ISBLANK(Actuals!CE42),-55*Escalation!$B$79,Actuals!CE42)</f>
        <v>-60.724444176</v>
      </c>
      <c r="CE224" s="13" t="n">
        <f aca="false">IF(ISBLANK(Actuals!CF42),-55*Escalation!$B$80,Actuals!CF42)</f>
        <v>-60.724444176</v>
      </c>
      <c r="CF224" s="13" t="n">
        <f aca="false">IF(ISBLANK(Actuals!CG42),-55*Escalation!$B$81,Actuals!CG42)</f>
        <v>-60.724444176</v>
      </c>
      <c r="CG224" s="13" t="n">
        <f aca="false">IF(ISBLANK(Actuals!CH42),-55*Escalation!$B$82,Actuals!CH42)</f>
        <v>-60.724444176</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-61.93893305952</v>
      </c>
      <c r="CL224" s="13" t="n">
        <f aca="false">IF(ISBLANK(Actuals!CM42),-55*Escalation!$B$87,Actuals!CM42)</f>
        <v>-61.93893305952</v>
      </c>
      <c r="CM224" s="13" t="n">
        <f aca="false">IF(ISBLANK(Actuals!CN42),-55*Escalation!$B$88,Actuals!CN42)</f>
        <v>-61.93893305952</v>
      </c>
      <c r="CN224" s="13" t="n">
        <f aca="false">IF(ISBLANK(Actuals!CO42),-55*Escalation!$B$89,Actuals!CO42)</f>
        <v>-61.93893305952</v>
      </c>
      <c r="CO224" s="13" t="n">
        <f aca="false">IF(ISBLANK(Actuals!CP42),-55*Escalation!$B$90,Actuals!CP42)</f>
        <v>-61.93893305952</v>
      </c>
      <c r="CP224" s="13" t="n">
        <f aca="false">IF(ISBLANK(Actuals!CQ42),-55*Escalation!$B$91,Actuals!CQ42)</f>
        <v>-61.93893305952</v>
      </c>
      <c r="CQ224" s="13" t="n">
        <f aca="false">IF(ISBLANK(Actuals!CR42),-55*Escalation!$B$92,Actuals!CR42)</f>
        <v>-61.93893305952</v>
      </c>
      <c r="CR224" s="13" t="n">
        <f aca="false">IF(ISBLANK(Actuals!CS42),-55*Escalation!$B$93,Actuals!CS42)</f>
        <v>-61.93893305952</v>
      </c>
      <c r="CS224" s="13" t="n">
        <f aca="false">IF(ISBLANK(Actuals!CT42),-55*Escalation!$B$94,Actuals!CT42)</f>
        <v>-61.93893305952</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-63.1777117207104</v>
      </c>
      <c r="CX224" s="13" t="n">
        <f aca="false">IF(ISBLANK(Actuals!CY42),-55*Escalation!$B$99,Actuals!CY42)</f>
        <v>-63.1777117207104</v>
      </c>
      <c r="CY224" s="13" t="n">
        <f aca="false">IF(ISBLANK(Actuals!CZ42),-55*Escalation!$B$100,Actuals!CZ42)</f>
        <v>-63.1777117207104</v>
      </c>
      <c r="CZ224" s="13" t="n">
        <f aca="false">IF(ISBLANK(Actuals!DA42),-55*Escalation!$B$101,Actuals!DA42)</f>
        <v>-63.1777117207104</v>
      </c>
      <c r="DA224" s="13" t="n">
        <f aca="false">IF(ISBLANK(Actuals!DB42),-55*Escalation!$B$102,Actuals!DB42)</f>
        <v>-63.1777117207104</v>
      </c>
      <c r="DB224" s="13" t="n">
        <f aca="false">IF(ISBLANK(Actuals!DC42),-55*Escalation!$B$103,Actuals!DC42)</f>
        <v>-63.1777117207104</v>
      </c>
      <c r="DC224" s="13" t="n">
        <f aca="false">IF(ISBLANK(Actuals!DD42),-55*Escalation!$B$104,Actuals!DD42)</f>
        <v>-63.1777117207104</v>
      </c>
      <c r="DD224" s="13" t="n">
        <f aca="false">IF(ISBLANK(Actuals!DE42),-55*Escalation!$B$105,Actuals!DE42)</f>
        <v>-63.1777117207104</v>
      </c>
      <c r="DE224" s="13" t="n">
        <f aca="false">IF(ISBLANK(Actuals!DF42),-55*Escalation!$B$106,Actuals!DF42)</f>
        <v>-63.1777117207104</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-975</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-550</v>
      </c>
      <c r="R226" s="21" t="n">
        <f aca="false">IF(ISBLANK(Actuals!S44),-550*Escalation!$B$15,Actuals!S44)</f>
        <v>-550</v>
      </c>
      <c r="S226" s="21" t="n">
        <f aca="false">IF(ISBLANK(Actuals!T44),-550*Escalation!$B$16,Actuals!T44)</f>
        <v>-550</v>
      </c>
      <c r="T226" s="21" t="n">
        <f aca="false">IF(ISBLANK(Actuals!U44),-550*Escalation!$B$17,Actuals!U44)</f>
        <v>-550</v>
      </c>
      <c r="U226" s="21" t="n">
        <f aca="false">IF(ISBLANK(Actuals!V44),-550*Escalation!$B$18,Actuals!V44)</f>
        <v>-550</v>
      </c>
      <c r="V226" s="21" t="n">
        <f aca="false">IF(ISBLANK(Actuals!W44),-550*Escalation!$B$19,Actuals!W44)</f>
        <v>-550</v>
      </c>
      <c r="W226" s="21" t="n">
        <f aca="false">IF(ISBLANK(Actuals!X44),-550*Escalation!$B$20,Actuals!X44)</f>
        <v>-550</v>
      </c>
      <c r="X226" s="21" t="n">
        <f aca="false">IF(ISBLANK(Actuals!Y44),-550*Escalation!$B$21,Actuals!Y44)</f>
        <v>-550</v>
      </c>
      <c r="Y226" s="21" t="n">
        <f aca="false">IF(ISBLANK(Actuals!Z44),-550*Escalation!$B$22,Actuals!Z44)</f>
        <v>-550</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-561</v>
      </c>
      <c r="AD226" s="21" t="n">
        <f aca="false">IF(ISBLANK(Actuals!AE44),-550*Escalation!$B$27,Actuals!AE44)</f>
        <v>-561</v>
      </c>
      <c r="AE226" s="21" t="n">
        <f aca="false">IF(ISBLANK(Actuals!AF44),-550*Escalation!$B$28,Actuals!AF44)</f>
        <v>-561</v>
      </c>
      <c r="AF226" s="21" t="n">
        <f aca="false">IF(ISBLANK(Actuals!AG44),-550*Escalation!$B$29,Actuals!AG44)</f>
        <v>-561</v>
      </c>
      <c r="AG226" s="21" t="n">
        <f aca="false">IF(ISBLANK(Actuals!AH44),-550*Escalation!$B$30,Actuals!AH44)</f>
        <v>-561</v>
      </c>
      <c r="AH226" s="21" t="n">
        <f aca="false">IF(ISBLANK(Actuals!AI44),-550*Escalation!$B$31,Actuals!AI44)</f>
        <v>-561</v>
      </c>
      <c r="AI226" s="21" t="n">
        <f aca="false">IF(ISBLANK(Actuals!AJ44),-550*Escalation!$B$32,Actuals!AJ44)</f>
        <v>-561</v>
      </c>
      <c r="AJ226" s="21" t="n">
        <f aca="false">IF(ISBLANK(Actuals!AK44),-550*Escalation!$B$33,Actuals!AK44)</f>
        <v>-561</v>
      </c>
      <c r="AK226" s="21" t="n">
        <f aca="false">IF(ISBLANK(Actuals!AL44),-550*Escalation!$B$34,Actuals!AL44)</f>
        <v>-561</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-572.22</v>
      </c>
      <c r="AP226" s="21" t="n">
        <f aca="false">IF(ISBLANK(Actuals!AQ44),-550*Escalation!$B$39,Actuals!AQ44)</f>
        <v>-572.22</v>
      </c>
      <c r="AQ226" s="21" t="n">
        <f aca="false">IF(ISBLANK(Actuals!AR44),-550*Escalation!$B$40,Actuals!AR44)</f>
        <v>-572.22</v>
      </c>
      <c r="AR226" s="21" t="n">
        <f aca="false">IF(ISBLANK(Actuals!AS44),-550*Escalation!$B$41,Actuals!AS44)</f>
        <v>-572.22</v>
      </c>
      <c r="AS226" s="21" t="n">
        <f aca="false">IF(ISBLANK(Actuals!AT44),-550*Escalation!$B$42,Actuals!AT44)</f>
        <v>-572.22</v>
      </c>
      <c r="AT226" s="21" t="n">
        <f aca="false">IF(ISBLANK(Actuals!AU44),-550*Escalation!$B$43,Actuals!AU44)</f>
        <v>-572.22</v>
      </c>
      <c r="AU226" s="21" t="n">
        <f aca="false">IF(ISBLANK(Actuals!AV44),-550*Escalation!$B$44,Actuals!AV44)</f>
        <v>-572.22</v>
      </c>
      <c r="AV226" s="21" t="n">
        <f aca="false">IF(ISBLANK(Actuals!AW44),-550*Escalation!$B$45,Actuals!AW44)</f>
        <v>-572.22</v>
      </c>
      <c r="AW226" s="21" t="n">
        <f aca="false">IF(ISBLANK(Actuals!AX44),-550*Escalation!$B$46,Actuals!AX44)</f>
        <v>-572.22</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-583.6644</v>
      </c>
      <c r="BB226" s="21" t="n">
        <f aca="false">IF(ISBLANK(Actuals!BC44),-550*Escalation!$B$51,Actuals!BC44)</f>
        <v>-583.6644</v>
      </c>
      <c r="BC226" s="21" t="n">
        <f aca="false">IF(ISBLANK(Actuals!BD44),-550*Escalation!$B$52,Actuals!BD44)</f>
        <v>-583.6644</v>
      </c>
      <c r="BD226" s="21" t="n">
        <f aca="false">IF(ISBLANK(Actuals!BE44),-550*Escalation!$B$53,Actuals!BE44)</f>
        <v>-583.6644</v>
      </c>
      <c r="BE226" s="21" t="n">
        <f aca="false">IF(ISBLANK(Actuals!BF44),-550*Escalation!$B$54,Actuals!BF44)</f>
        <v>-583.6644</v>
      </c>
      <c r="BF226" s="21" t="n">
        <f aca="false">IF(ISBLANK(Actuals!BG44),-550*Escalation!$B$55,Actuals!BG44)</f>
        <v>-583.6644</v>
      </c>
      <c r="BG226" s="21" t="n">
        <f aca="false">IF(ISBLANK(Actuals!BH44),-550*Escalation!$B$56,Actuals!BH44)</f>
        <v>-583.6644</v>
      </c>
      <c r="BH226" s="21" t="n">
        <f aca="false">IF(ISBLANK(Actuals!BI44),-550*Escalation!$B$57,Actuals!BI44)</f>
        <v>-583.6644</v>
      </c>
      <c r="BI226" s="21" t="n">
        <f aca="false">IF(ISBLANK(Actuals!BJ44),-550*Escalation!$B$58,Actuals!BJ44)</f>
        <v>-583.6644</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-595.337688</v>
      </c>
      <c r="BN226" s="21" t="n">
        <f aca="false">IF(ISBLANK(Actuals!BO44),-550*Escalation!$B$63,Actuals!BO44)</f>
        <v>-595.337688</v>
      </c>
      <c r="BO226" s="21" t="n">
        <f aca="false">IF(ISBLANK(Actuals!BP44),-550*Escalation!$B$64,Actuals!BP44)</f>
        <v>-595.337688</v>
      </c>
      <c r="BP226" s="21" t="n">
        <f aca="false">IF(ISBLANK(Actuals!BQ44),-550*Escalation!$B$65,Actuals!BQ44)</f>
        <v>-595.337688</v>
      </c>
      <c r="BQ226" s="21" t="n">
        <f aca="false">IF(ISBLANK(Actuals!BR44),-550*Escalation!$B$66,Actuals!BR44)</f>
        <v>-595.337688</v>
      </c>
      <c r="BR226" s="21" t="n">
        <f aca="false">IF(ISBLANK(Actuals!BS44),-550*Escalation!$B$67,Actuals!BS44)</f>
        <v>-595.337688</v>
      </c>
      <c r="BS226" s="21" t="n">
        <f aca="false">IF(ISBLANK(Actuals!BT44),-550*Escalation!$B$68,Actuals!BT44)</f>
        <v>-595.337688</v>
      </c>
      <c r="BT226" s="21" t="n">
        <f aca="false">IF(ISBLANK(Actuals!BU44),-550*Escalation!$B$69,Actuals!BU44)</f>
        <v>-595.337688</v>
      </c>
      <c r="BU226" s="21" t="n">
        <f aca="false">IF(ISBLANK(Actuals!BV44),-550*Escalation!$B$70,Actuals!BV44)</f>
        <v>-595.337688</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-607.24444176</v>
      </c>
      <c r="BZ226" s="21" t="n">
        <f aca="false">IF(ISBLANK(Actuals!CA44),-550*Escalation!$B$75,Actuals!CA44)</f>
        <v>-607.24444176</v>
      </c>
      <c r="CA226" s="21" t="n">
        <f aca="false">IF(ISBLANK(Actuals!CB44),-550*Escalation!$B$76,Actuals!CB44)</f>
        <v>-607.24444176</v>
      </c>
      <c r="CB226" s="21" t="n">
        <f aca="false">IF(ISBLANK(Actuals!CC44),-550*Escalation!$B$77,Actuals!CC44)</f>
        <v>-607.24444176</v>
      </c>
      <c r="CC226" s="21" t="n">
        <f aca="false">IF(ISBLANK(Actuals!CD44),-550*Escalation!$B$78,Actuals!CD44)</f>
        <v>-607.24444176</v>
      </c>
      <c r="CD226" s="21" t="n">
        <f aca="false">IF(ISBLANK(Actuals!CE44),-550*Escalation!$B$79,Actuals!CE44)</f>
        <v>-607.24444176</v>
      </c>
      <c r="CE226" s="21" t="n">
        <f aca="false">IF(ISBLANK(Actuals!CF44),-550*Escalation!$B$80,Actuals!CF44)</f>
        <v>-607.24444176</v>
      </c>
      <c r="CF226" s="21" t="n">
        <f aca="false">IF(ISBLANK(Actuals!CG44),-550*Escalation!$B$81,Actuals!CG44)</f>
        <v>-607.24444176</v>
      </c>
      <c r="CG226" s="21" t="n">
        <f aca="false">IF(ISBLANK(Actuals!CH44),-550*Escalation!$B$82,Actuals!CH44)</f>
        <v>-607.24444176</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-619.3893305952</v>
      </c>
      <c r="CL226" s="21" t="n">
        <f aca="false">IF(ISBLANK(Actuals!CM44),-550*Escalation!$B$87,Actuals!CM44)</f>
        <v>-619.3893305952</v>
      </c>
      <c r="CM226" s="21" t="n">
        <f aca="false">IF(ISBLANK(Actuals!CN44),-550*Escalation!$B$88,Actuals!CN44)</f>
        <v>-619.3893305952</v>
      </c>
      <c r="CN226" s="21" t="n">
        <f aca="false">IF(ISBLANK(Actuals!CO44),-550*Escalation!$B$89,Actuals!CO44)</f>
        <v>-619.3893305952</v>
      </c>
      <c r="CO226" s="21" t="n">
        <f aca="false">IF(ISBLANK(Actuals!CP44),-550*Escalation!$B$90,Actuals!CP44)</f>
        <v>-619.3893305952</v>
      </c>
      <c r="CP226" s="21" t="n">
        <f aca="false">IF(ISBLANK(Actuals!CQ44),-550*Escalation!$B$91,Actuals!CQ44)</f>
        <v>-619.3893305952</v>
      </c>
      <c r="CQ226" s="21" t="n">
        <f aca="false">IF(ISBLANK(Actuals!CR44),-550*Escalation!$B$92,Actuals!CR44)</f>
        <v>-619.3893305952</v>
      </c>
      <c r="CR226" s="21" t="n">
        <f aca="false">IF(ISBLANK(Actuals!CS44),-550*Escalation!$B$93,Actuals!CS44)</f>
        <v>-619.3893305952</v>
      </c>
      <c r="CS226" s="21" t="n">
        <f aca="false">IF(ISBLANK(Actuals!CT44),-550*Escalation!$B$94,Actuals!CT44)</f>
        <v>-619.3893305952</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-631.777117207104</v>
      </c>
      <c r="CX226" s="21" t="n">
        <f aca="false">IF(ISBLANK(Actuals!CY44),-550*Escalation!$B$99,Actuals!CY44)</f>
        <v>-631.777117207104</v>
      </c>
      <c r="CY226" s="21" t="n">
        <f aca="false">IF(ISBLANK(Actuals!CZ44),-550*Escalation!$B$100,Actuals!CZ44)</f>
        <v>-631.777117207104</v>
      </c>
      <c r="CZ226" s="21" t="n">
        <f aca="false">IF(ISBLANK(Actuals!DA44),-550*Escalation!$B$101,Actuals!DA44)</f>
        <v>-631.777117207104</v>
      </c>
      <c r="DA226" s="21" t="n">
        <f aca="false">IF(ISBLANK(Actuals!DB44),-550*Escalation!$B$102,Actuals!DB44)</f>
        <v>-631.777117207104</v>
      </c>
      <c r="DB226" s="21" t="n">
        <f aca="false">IF(ISBLANK(Actuals!DC44),-550*Escalation!$B$103,Actuals!DC44)</f>
        <v>-631.777117207104</v>
      </c>
      <c r="DC226" s="21" t="n">
        <f aca="false">IF(ISBLANK(Actuals!DD44),-550*Escalation!$B$104,Actuals!DD44)</f>
        <v>-631.777117207104</v>
      </c>
      <c r="DD226" s="21" t="n">
        <f aca="false">IF(ISBLANK(Actuals!DE44),-550*Escalation!$B$105,Actuals!DE44)</f>
        <v>-631.777117207104</v>
      </c>
      <c r="DE226" s="21" t="n">
        <f aca="false">IF(ISBLANK(Actuals!DF44),-550*Escalation!$B$106,Actuals!DF44)</f>
        <v>-631.777117207104</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42.99</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-17638.14</v>
      </c>
      <c r="R227" s="21" t="n">
        <f aca="false">IF(ISBLANK(Actuals!S45),-17638.14*Escalation!$B$15,Actuals!S45)</f>
        <v>-17638.14</v>
      </c>
      <c r="S227" s="21" t="n">
        <f aca="false">IF(ISBLANK(Actuals!T45),-17638.14*Escalation!$B$16,Actuals!T45)</f>
        <v>-17638.14</v>
      </c>
      <c r="T227" s="21" t="n">
        <f aca="false">IF(ISBLANK(Actuals!U45),-17638.14*Escalation!$B$17,Actuals!U45)</f>
        <v>-17638.14</v>
      </c>
      <c r="U227" s="21" t="n">
        <f aca="false">IF(ISBLANK(Actuals!V45),-17638.14*Escalation!$B$18,Actuals!V45)</f>
        <v>-17638.14</v>
      </c>
      <c r="V227" s="21" t="n">
        <f aca="false">IF(ISBLANK(Actuals!W45),-17638.14*Escalation!$B$19,Actuals!W45)</f>
        <v>-17638.14</v>
      </c>
      <c r="W227" s="21" t="n">
        <f aca="false">IF(ISBLANK(Actuals!X45),-17638.14*Escalation!$B$20,Actuals!X45)</f>
        <v>-17638.14</v>
      </c>
      <c r="X227" s="21" t="n">
        <f aca="false">IF(ISBLANK(Actuals!Y45),-17638.14*Escalation!$B$21,Actuals!Y45)</f>
        <v>-17638.14</v>
      </c>
      <c r="Y227" s="21" t="n">
        <f aca="false">IF(ISBLANK(Actuals!Z45),-17638.14*Escalation!$B$22,Actuals!Z45)</f>
        <v>-17638.14</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-17990.9028</v>
      </c>
      <c r="AD227" s="21" t="n">
        <f aca="false">IF(ISBLANK(Actuals!AE45),-17638.14*Escalation!$B$27,Actuals!AE45)</f>
        <v>-17990.9028</v>
      </c>
      <c r="AE227" s="21" t="n">
        <f aca="false">IF(ISBLANK(Actuals!AF45),-17638.14*Escalation!$B$28,Actuals!AF45)</f>
        <v>-17990.9028</v>
      </c>
      <c r="AF227" s="21" t="n">
        <f aca="false">IF(ISBLANK(Actuals!AG45),-17638.14*Escalation!$B$29,Actuals!AG45)</f>
        <v>-17990.9028</v>
      </c>
      <c r="AG227" s="21" t="n">
        <f aca="false">IF(ISBLANK(Actuals!AH45),-17638.14*Escalation!$B$30,Actuals!AH45)</f>
        <v>-17990.9028</v>
      </c>
      <c r="AH227" s="21" t="n">
        <f aca="false">IF(ISBLANK(Actuals!AI45),-17638.14*Escalation!$B$31,Actuals!AI45)</f>
        <v>-17990.9028</v>
      </c>
      <c r="AI227" s="21" t="n">
        <f aca="false">IF(ISBLANK(Actuals!AJ45),-17638.14*Escalation!$B$32,Actuals!AJ45)</f>
        <v>-17990.9028</v>
      </c>
      <c r="AJ227" s="21" t="n">
        <f aca="false">IF(ISBLANK(Actuals!AK45),-17638.14*Escalation!$B$33,Actuals!AK45)</f>
        <v>-17990.9028</v>
      </c>
      <c r="AK227" s="21" t="n">
        <f aca="false">IF(ISBLANK(Actuals!AL45),-17638.14*Escalation!$B$34,Actuals!AL45)</f>
        <v>-17990.9028</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-18350.720856</v>
      </c>
      <c r="AP227" s="21" t="n">
        <f aca="false">IF(ISBLANK(Actuals!AQ45),-17638.14*Escalation!$B$39,Actuals!AQ45)</f>
        <v>-18350.720856</v>
      </c>
      <c r="AQ227" s="21" t="n">
        <f aca="false">IF(ISBLANK(Actuals!AR45),-17638.14*Escalation!$B$40,Actuals!AR45)</f>
        <v>-18350.720856</v>
      </c>
      <c r="AR227" s="21" t="n">
        <f aca="false">IF(ISBLANK(Actuals!AS45),-17638.14*Escalation!$B$41,Actuals!AS45)</f>
        <v>-18350.720856</v>
      </c>
      <c r="AS227" s="21" t="n">
        <f aca="false">IF(ISBLANK(Actuals!AT45),-17638.14*Escalation!$B$42,Actuals!AT45)</f>
        <v>-18350.720856</v>
      </c>
      <c r="AT227" s="21" t="n">
        <f aca="false">IF(ISBLANK(Actuals!AU45),-17638.14*Escalation!$B$43,Actuals!AU45)</f>
        <v>-18350.720856</v>
      </c>
      <c r="AU227" s="21" t="n">
        <f aca="false">IF(ISBLANK(Actuals!AV45),-17638.14*Escalation!$B$44,Actuals!AV45)</f>
        <v>-18350.720856</v>
      </c>
      <c r="AV227" s="21" t="n">
        <f aca="false">IF(ISBLANK(Actuals!AW45),-17638.14*Escalation!$B$45,Actuals!AW45)</f>
        <v>-18350.720856</v>
      </c>
      <c r="AW227" s="21" t="n">
        <f aca="false">IF(ISBLANK(Actuals!AX45),-17638.14*Escalation!$B$46,Actuals!AX45)</f>
        <v>-18350.720856</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-18717.73527312</v>
      </c>
      <c r="BB227" s="21" t="n">
        <f aca="false">IF(ISBLANK(Actuals!BC45),-17638.14*Escalation!$B$51,Actuals!BC45)</f>
        <v>-18717.73527312</v>
      </c>
      <c r="BC227" s="21" t="n">
        <f aca="false">IF(ISBLANK(Actuals!BD45),-17638.14*Escalation!$B$52,Actuals!BD45)</f>
        <v>-18717.73527312</v>
      </c>
      <c r="BD227" s="21" t="n">
        <f aca="false">IF(ISBLANK(Actuals!BE45),-17638.14*Escalation!$B$53,Actuals!BE45)</f>
        <v>-18717.73527312</v>
      </c>
      <c r="BE227" s="21" t="n">
        <f aca="false">IF(ISBLANK(Actuals!BF45),-17638.14*Escalation!$B$54,Actuals!BF45)</f>
        <v>-18717.73527312</v>
      </c>
      <c r="BF227" s="21" t="n">
        <f aca="false">IF(ISBLANK(Actuals!BG45),-17638.14*Escalation!$B$55,Actuals!BG45)</f>
        <v>-18717.73527312</v>
      </c>
      <c r="BG227" s="21" t="n">
        <f aca="false">IF(ISBLANK(Actuals!BH45),-17638.14*Escalation!$B$56,Actuals!BH45)</f>
        <v>-18717.73527312</v>
      </c>
      <c r="BH227" s="21" t="n">
        <f aca="false">IF(ISBLANK(Actuals!BI45),-17638.14*Escalation!$B$57,Actuals!BI45)</f>
        <v>-18717.73527312</v>
      </c>
      <c r="BI227" s="21" t="n">
        <f aca="false">IF(ISBLANK(Actuals!BJ45),-17638.14*Escalation!$B$58,Actuals!BJ45)</f>
        <v>-18717.73527312</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-19092.0899785824</v>
      </c>
      <c r="BN227" s="21" t="n">
        <f aca="false">IF(ISBLANK(Actuals!BO45),-17638.14*Escalation!$B$63,Actuals!BO45)</f>
        <v>-19092.0899785824</v>
      </c>
      <c r="BO227" s="21" t="n">
        <f aca="false">IF(ISBLANK(Actuals!BP45),-17638.14*Escalation!$B$64,Actuals!BP45)</f>
        <v>-19092.0899785824</v>
      </c>
      <c r="BP227" s="21" t="n">
        <f aca="false">IF(ISBLANK(Actuals!BQ45),-17638.14*Escalation!$B$65,Actuals!BQ45)</f>
        <v>-19092.0899785824</v>
      </c>
      <c r="BQ227" s="21" t="n">
        <f aca="false">IF(ISBLANK(Actuals!BR45),-17638.14*Escalation!$B$66,Actuals!BR45)</f>
        <v>-19092.0899785824</v>
      </c>
      <c r="BR227" s="21" t="n">
        <f aca="false">IF(ISBLANK(Actuals!BS45),-17638.14*Escalation!$B$67,Actuals!BS45)</f>
        <v>-19092.0899785824</v>
      </c>
      <c r="BS227" s="21" t="n">
        <f aca="false">IF(ISBLANK(Actuals!BT45),-17638.14*Escalation!$B$68,Actuals!BT45)</f>
        <v>-19092.0899785824</v>
      </c>
      <c r="BT227" s="21" t="n">
        <f aca="false">IF(ISBLANK(Actuals!BU45),-17638.14*Escalation!$B$69,Actuals!BU45)</f>
        <v>-19092.0899785824</v>
      </c>
      <c r="BU227" s="21" t="n">
        <f aca="false">IF(ISBLANK(Actuals!BV45),-17638.14*Escalation!$B$70,Actuals!BV45)</f>
        <v>-19092.0899785824</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-19473.9317781541</v>
      </c>
      <c r="BZ227" s="21" t="n">
        <f aca="false">IF(ISBLANK(Actuals!CA45),-17638.14*Escalation!$B$75,Actuals!CA45)</f>
        <v>-19473.9317781541</v>
      </c>
      <c r="CA227" s="21" t="n">
        <f aca="false">IF(ISBLANK(Actuals!CB45),-17638.14*Escalation!$B$76,Actuals!CB45)</f>
        <v>-19473.9317781541</v>
      </c>
      <c r="CB227" s="21" t="n">
        <f aca="false">IF(ISBLANK(Actuals!CC45),-17638.14*Escalation!$B$77,Actuals!CC45)</f>
        <v>-19473.9317781541</v>
      </c>
      <c r="CC227" s="21" t="n">
        <f aca="false">IF(ISBLANK(Actuals!CD45),-17638.14*Escalation!$B$78,Actuals!CD45)</f>
        <v>-19473.9317781541</v>
      </c>
      <c r="CD227" s="21" t="n">
        <f aca="false">IF(ISBLANK(Actuals!CE45),-17638.14*Escalation!$B$79,Actuals!CE45)</f>
        <v>-19473.9317781541</v>
      </c>
      <c r="CE227" s="21" t="n">
        <f aca="false">IF(ISBLANK(Actuals!CF45),-17638.14*Escalation!$B$80,Actuals!CF45)</f>
        <v>-19473.9317781541</v>
      </c>
      <c r="CF227" s="21" t="n">
        <f aca="false">IF(ISBLANK(Actuals!CG45),-17638.14*Escalation!$B$81,Actuals!CG45)</f>
        <v>-19473.9317781541</v>
      </c>
      <c r="CG227" s="21" t="n">
        <f aca="false">IF(ISBLANK(Actuals!CH45),-17638.14*Escalation!$B$82,Actuals!CH45)</f>
        <v>-19473.9317781541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-19863.4104137171</v>
      </c>
      <c r="CL227" s="21" t="n">
        <f aca="false">IF(ISBLANK(Actuals!CM45),-17638.14*Escalation!$B$87,Actuals!CM45)</f>
        <v>-19863.4104137171</v>
      </c>
      <c r="CM227" s="21" t="n">
        <f aca="false">IF(ISBLANK(Actuals!CN45),-17638.14*Escalation!$B$88,Actuals!CN45)</f>
        <v>-19863.4104137171</v>
      </c>
      <c r="CN227" s="21" t="n">
        <f aca="false">IF(ISBLANK(Actuals!CO45),-17638.14*Escalation!$B$89,Actuals!CO45)</f>
        <v>-19863.4104137171</v>
      </c>
      <c r="CO227" s="21" t="n">
        <f aca="false">IF(ISBLANK(Actuals!CP45),-17638.14*Escalation!$B$90,Actuals!CP45)</f>
        <v>-19863.4104137171</v>
      </c>
      <c r="CP227" s="21" t="n">
        <f aca="false">IF(ISBLANK(Actuals!CQ45),-17638.14*Escalation!$B$91,Actuals!CQ45)</f>
        <v>-19863.4104137171</v>
      </c>
      <c r="CQ227" s="21" t="n">
        <f aca="false">IF(ISBLANK(Actuals!CR45),-17638.14*Escalation!$B$92,Actuals!CR45)</f>
        <v>-19863.4104137171</v>
      </c>
      <c r="CR227" s="21" t="n">
        <f aca="false">IF(ISBLANK(Actuals!CS45),-17638.14*Escalation!$B$93,Actuals!CS45)</f>
        <v>-19863.4104137171</v>
      </c>
      <c r="CS227" s="21" t="n">
        <f aca="false">IF(ISBLANK(Actuals!CT45),-17638.14*Escalation!$B$94,Actuals!CT45)</f>
        <v>-19863.4104137171</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-20260.6786219915</v>
      </c>
      <c r="CX227" s="21" t="n">
        <f aca="false">IF(ISBLANK(Actuals!CY45),-17638.14*Escalation!$B$99,Actuals!CY45)</f>
        <v>-20260.6786219915</v>
      </c>
      <c r="CY227" s="21" t="n">
        <f aca="false">IF(ISBLANK(Actuals!CZ45),-17638.14*Escalation!$B$100,Actuals!CZ45)</f>
        <v>-20260.6786219915</v>
      </c>
      <c r="CZ227" s="21" t="n">
        <f aca="false">IF(ISBLANK(Actuals!DA45),-17638.14*Escalation!$B$101,Actuals!DA45)</f>
        <v>-20260.6786219915</v>
      </c>
      <c r="DA227" s="21" t="n">
        <f aca="false">IF(ISBLANK(Actuals!DB45),-17638.14*Escalation!$B$102,Actuals!DB45)</f>
        <v>-20260.6786219915</v>
      </c>
      <c r="DB227" s="21" t="n">
        <f aca="false">IF(ISBLANK(Actuals!DC45),-17638.14*Escalation!$B$103,Actuals!DC45)</f>
        <v>-20260.6786219915</v>
      </c>
      <c r="DC227" s="21" t="n">
        <f aca="false">IF(ISBLANK(Actuals!DD45),-17638.14*Escalation!$B$104,Actuals!DD45)</f>
        <v>-20260.6786219915</v>
      </c>
      <c r="DD227" s="21" t="n">
        <f aca="false">IF(ISBLANK(Actuals!DE45),-17638.14*Escalation!$B$105,Actuals!DE45)</f>
        <v>-20260.6786219915</v>
      </c>
      <c r="DE227" s="21" t="n">
        <f aca="false">IF(ISBLANK(Actuals!DF45),-17638.14*Escalation!$B$106,Actuals!DF45)</f>
        <v>-20260.6786219915</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-941.44</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-1422.33</v>
      </c>
      <c r="R228" s="21" t="n">
        <f aca="false">IF(ISBLANK(Actuals!S46),-1422.33*Escalation!$B$15,Actuals!S46)</f>
        <v>-1422.33</v>
      </c>
      <c r="S228" s="21" t="n">
        <f aca="false">IF(ISBLANK(Actuals!T46),-1422.33*Escalation!$B$16,Actuals!T46)</f>
        <v>-1422.33</v>
      </c>
      <c r="T228" s="21" t="n">
        <f aca="false">IF(ISBLANK(Actuals!U46),-1422.33*Escalation!$B$17,Actuals!U46)</f>
        <v>-1422.33</v>
      </c>
      <c r="U228" s="21" t="n">
        <f aca="false">IF(ISBLANK(Actuals!V46),-1422.33*Escalation!$B$18,Actuals!V46)</f>
        <v>-1422.33</v>
      </c>
      <c r="V228" s="21" t="n">
        <f aca="false">IF(ISBLANK(Actuals!W46),-1422.33*Escalation!$B$19,Actuals!W46)</f>
        <v>-1422.33</v>
      </c>
      <c r="W228" s="21" t="n">
        <f aca="false">IF(ISBLANK(Actuals!X46),-1422.33*Escalation!$B$20,Actuals!X46)</f>
        <v>-1422.33</v>
      </c>
      <c r="X228" s="21" t="n">
        <f aca="false">IF(ISBLANK(Actuals!Y46),-1422.33*Escalation!$B$21,Actuals!Y46)</f>
        <v>-1422.33</v>
      </c>
      <c r="Y228" s="21" t="n">
        <f aca="false">IF(ISBLANK(Actuals!Z46),-1422.33*Escalation!$B$22,Actuals!Z46)</f>
        <v>-1422.33</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-1450.7766</v>
      </c>
      <c r="AD228" s="21" t="n">
        <f aca="false">IF(ISBLANK(Actuals!AE46),-1422.33*Escalation!$B$27,Actuals!AE46)</f>
        <v>-1450.7766</v>
      </c>
      <c r="AE228" s="21" t="n">
        <f aca="false">IF(ISBLANK(Actuals!AF46),-1422.33*Escalation!$B$28,Actuals!AF46)</f>
        <v>-1450.7766</v>
      </c>
      <c r="AF228" s="21" t="n">
        <f aca="false">IF(ISBLANK(Actuals!AG46),-1422.33*Escalation!$B$29,Actuals!AG46)</f>
        <v>-1450.7766</v>
      </c>
      <c r="AG228" s="21" t="n">
        <f aca="false">IF(ISBLANK(Actuals!AH46),-1422.33*Escalation!$B$30,Actuals!AH46)</f>
        <v>-1450.7766</v>
      </c>
      <c r="AH228" s="21" t="n">
        <f aca="false">IF(ISBLANK(Actuals!AI46),-1422.33*Escalation!$B$31,Actuals!AI46)</f>
        <v>-1450.7766</v>
      </c>
      <c r="AI228" s="21" t="n">
        <f aca="false">IF(ISBLANK(Actuals!AJ46),-1422.33*Escalation!$B$32,Actuals!AJ46)</f>
        <v>-1450.7766</v>
      </c>
      <c r="AJ228" s="21" t="n">
        <f aca="false">IF(ISBLANK(Actuals!AK46),-1422.33*Escalation!$B$33,Actuals!AK46)</f>
        <v>-1450.7766</v>
      </c>
      <c r="AK228" s="21" t="n">
        <f aca="false">IF(ISBLANK(Actuals!AL46),-1422.33*Escalation!$B$34,Actuals!AL46)</f>
        <v>-1450.7766</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-1479.792132</v>
      </c>
      <c r="AP228" s="21" t="n">
        <f aca="false">IF(ISBLANK(Actuals!AQ46),-1422.33*Escalation!$B$39,Actuals!AQ46)</f>
        <v>-1479.792132</v>
      </c>
      <c r="AQ228" s="21" t="n">
        <f aca="false">IF(ISBLANK(Actuals!AR46),-1422.33*Escalation!$B$40,Actuals!AR46)</f>
        <v>-1479.792132</v>
      </c>
      <c r="AR228" s="21" t="n">
        <f aca="false">IF(ISBLANK(Actuals!AS46),-1422.33*Escalation!$B$41,Actuals!AS46)</f>
        <v>-1479.792132</v>
      </c>
      <c r="AS228" s="21" t="n">
        <f aca="false">IF(ISBLANK(Actuals!AT46),-1422.33*Escalation!$B$42,Actuals!AT46)</f>
        <v>-1479.792132</v>
      </c>
      <c r="AT228" s="21" t="n">
        <f aca="false">IF(ISBLANK(Actuals!AU46),-1422.33*Escalation!$B$43,Actuals!AU46)</f>
        <v>-1479.792132</v>
      </c>
      <c r="AU228" s="21" t="n">
        <f aca="false">IF(ISBLANK(Actuals!AV46),-1422.33*Escalation!$B$44,Actuals!AV46)</f>
        <v>-1479.792132</v>
      </c>
      <c r="AV228" s="21" t="n">
        <f aca="false">IF(ISBLANK(Actuals!AW46),-1422.33*Escalation!$B$45,Actuals!AW46)</f>
        <v>-1479.792132</v>
      </c>
      <c r="AW228" s="21" t="n">
        <f aca="false">IF(ISBLANK(Actuals!AX46),-1422.33*Escalation!$B$46,Actuals!AX46)</f>
        <v>-1479.792132</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-1509.38797464</v>
      </c>
      <c r="BB228" s="21" t="n">
        <f aca="false">IF(ISBLANK(Actuals!BC46),-1422.33*Escalation!$B$51,Actuals!BC46)</f>
        <v>-1509.38797464</v>
      </c>
      <c r="BC228" s="21" t="n">
        <f aca="false">IF(ISBLANK(Actuals!BD46),-1422.33*Escalation!$B$52,Actuals!BD46)</f>
        <v>-1509.38797464</v>
      </c>
      <c r="BD228" s="21" t="n">
        <f aca="false">IF(ISBLANK(Actuals!BE46),-1422.33*Escalation!$B$53,Actuals!BE46)</f>
        <v>-1509.38797464</v>
      </c>
      <c r="BE228" s="21" t="n">
        <f aca="false">IF(ISBLANK(Actuals!BF46),-1422.33*Escalation!$B$54,Actuals!BF46)</f>
        <v>-1509.38797464</v>
      </c>
      <c r="BF228" s="21" t="n">
        <f aca="false">IF(ISBLANK(Actuals!BG46),-1422.33*Escalation!$B$55,Actuals!BG46)</f>
        <v>-1509.38797464</v>
      </c>
      <c r="BG228" s="21" t="n">
        <f aca="false">IF(ISBLANK(Actuals!BH46),-1422.33*Escalation!$B$56,Actuals!BH46)</f>
        <v>-1509.38797464</v>
      </c>
      <c r="BH228" s="21" t="n">
        <f aca="false">IF(ISBLANK(Actuals!BI46),-1422.33*Escalation!$B$57,Actuals!BI46)</f>
        <v>-1509.38797464</v>
      </c>
      <c r="BI228" s="21" t="n">
        <f aca="false">IF(ISBLANK(Actuals!BJ46),-1422.33*Escalation!$B$58,Actuals!BJ46)</f>
        <v>-1509.38797464</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-1539.5757341328</v>
      </c>
      <c r="BN228" s="21" t="n">
        <f aca="false">IF(ISBLANK(Actuals!BO46),-1422.33*Escalation!$B$63,Actuals!BO46)</f>
        <v>-1539.5757341328</v>
      </c>
      <c r="BO228" s="21" t="n">
        <f aca="false">IF(ISBLANK(Actuals!BP46),-1422.33*Escalation!$B$64,Actuals!BP46)</f>
        <v>-1539.5757341328</v>
      </c>
      <c r="BP228" s="21" t="n">
        <f aca="false">IF(ISBLANK(Actuals!BQ46),-1422.33*Escalation!$B$65,Actuals!BQ46)</f>
        <v>-1539.5757341328</v>
      </c>
      <c r="BQ228" s="21" t="n">
        <f aca="false">IF(ISBLANK(Actuals!BR46),-1422.33*Escalation!$B$66,Actuals!BR46)</f>
        <v>-1539.5757341328</v>
      </c>
      <c r="BR228" s="21" t="n">
        <f aca="false">IF(ISBLANK(Actuals!BS46),-1422.33*Escalation!$B$67,Actuals!BS46)</f>
        <v>-1539.5757341328</v>
      </c>
      <c r="BS228" s="21" t="n">
        <f aca="false">IF(ISBLANK(Actuals!BT46),-1422.33*Escalation!$B$68,Actuals!BT46)</f>
        <v>-1539.5757341328</v>
      </c>
      <c r="BT228" s="21" t="n">
        <f aca="false">IF(ISBLANK(Actuals!BU46),-1422.33*Escalation!$B$69,Actuals!BU46)</f>
        <v>-1539.5757341328</v>
      </c>
      <c r="BU228" s="21" t="n">
        <f aca="false">IF(ISBLANK(Actuals!BV46),-1422.33*Escalation!$B$70,Actuals!BV46)</f>
        <v>-1539.5757341328</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-1570.36724881546</v>
      </c>
      <c r="BZ228" s="21" t="n">
        <f aca="false">IF(ISBLANK(Actuals!CA46),-1422.33*Escalation!$B$75,Actuals!CA46)</f>
        <v>-1570.36724881546</v>
      </c>
      <c r="CA228" s="21" t="n">
        <f aca="false">IF(ISBLANK(Actuals!CB46),-1422.33*Escalation!$B$76,Actuals!CB46)</f>
        <v>-1570.36724881546</v>
      </c>
      <c r="CB228" s="21" t="n">
        <f aca="false">IF(ISBLANK(Actuals!CC46),-1422.33*Escalation!$B$77,Actuals!CC46)</f>
        <v>-1570.36724881546</v>
      </c>
      <c r="CC228" s="21" t="n">
        <f aca="false">IF(ISBLANK(Actuals!CD46),-1422.33*Escalation!$B$78,Actuals!CD46)</f>
        <v>-1570.36724881546</v>
      </c>
      <c r="CD228" s="21" t="n">
        <f aca="false">IF(ISBLANK(Actuals!CE46),-1422.33*Escalation!$B$79,Actuals!CE46)</f>
        <v>-1570.36724881546</v>
      </c>
      <c r="CE228" s="21" t="n">
        <f aca="false">IF(ISBLANK(Actuals!CF46),-1422.33*Escalation!$B$80,Actuals!CF46)</f>
        <v>-1570.36724881546</v>
      </c>
      <c r="CF228" s="21" t="n">
        <f aca="false">IF(ISBLANK(Actuals!CG46),-1422.33*Escalation!$B$81,Actuals!CG46)</f>
        <v>-1570.36724881546</v>
      </c>
      <c r="CG228" s="21" t="n">
        <f aca="false">IF(ISBLANK(Actuals!CH46),-1422.33*Escalation!$B$82,Actuals!CH46)</f>
        <v>-1570.36724881546</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-1601.77459379177</v>
      </c>
      <c r="CL228" s="21" t="n">
        <f aca="false">IF(ISBLANK(Actuals!CM46),-1422.33*Escalation!$B$87,Actuals!CM46)</f>
        <v>-1601.77459379177</v>
      </c>
      <c r="CM228" s="21" t="n">
        <f aca="false">IF(ISBLANK(Actuals!CN46),-1422.33*Escalation!$B$88,Actuals!CN46)</f>
        <v>-1601.77459379177</v>
      </c>
      <c r="CN228" s="21" t="n">
        <f aca="false">IF(ISBLANK(Actuals!CO46),-1422.33*Escalation!$B$89,Actuals!CO46)</f>
        <v>-1601.77459379177</v>
      </c>
      <c r="CO228" s="21" t="n">
        <f aca="false">IF(ISBLANK(Actuals!CP46),-1422.33*Escalation!$B$90,Actuals!CP46)</f>
        <v>-1601.77459379177</v>
      </c>
      <c r="CP228" s="21" t="n">
        <f aca="false">IF(ISBLANK(Actuals!CQ46),-1422.33*Escalation!$B$91,Actuals!CQ46)</f>
        <v>-1601.77459379177</v>
      </c>
      <c r="CQ228" s="21" t="n">
        <f aca="false">IF(ISBLANK(Actuals!CR46),-1422.33*Escalation!$B$92,Actuals!CR46)</f>
        <v>-1601.77459379177</v>
      </c>
      <c r="CR228" s="21" t="n">
        <f aca="false">IF(ISBLANK(Actuals!CS46),-1422.33*Escalation!$B$93,Actuals!CS46)</f>
        <v>-1601.77459379177</v>
      </c>
      <c r="CS228" s="21" t="n">
        <f aca="false">IF(ISBLANK(Actuals!CT46),-1422.33*Escalation!$B$94,Actuals!CT46)</f>
        <v>-1601.77459379177</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-1633.8100856676</v>
      </c>
      <c r="CX228" s="21" t="n">
        <f aca="false">IF(ISBLANK(Actuals!CY46),-1422.33*Escalation!$B$99,Actuals!CY46)</f>
        <v>-1633.8100856676</v>
      </c>
      <c r="CY228" s="21" t="n">
        <f aca="false">IF(ISBLANK(Actuals!CZ46),-1422.33*Escalation!$B$100,Actuals!CZ46)</f>
        <v>-1633.8100856676</v>
      </c>
      <c r="CZ228" s="21" t="n">
        <f aca="false">IF(ISBLANK(Actuals!DA46),-1422.33*Escalation!$B$101,Actuals!DA46)</f>
        <v>-1633.8100856676</v>
      </c>
      <c r="DA228" s="21" t="n">
        <f aca="false">IF(ISBLANK(Actuals!DB46),-1422.33*Escalation!$B$102,Actuals!DB46)</f>
        <v>-1633.8100856676</v>
      </c>
      <c r="DB228" s="21" t="n">
        <f aca="false">IF(ISBLANK(Actuals!DC46),-1422.33*Escalation!$B$103,Actuals!DC46)</f>
        <v>-1633.8100856676</v>
      </c>
      <c r="DC228" s="21" t="n">
        <f aca="false">IF(ISBLANK(Actuals!DD46),-1422.33*Escalation!$B$104,Actuals!DD46)</f>
        <v>-1633.8100856676</v>
      </c>
      <c r="DD228" s="21" t="n">
        <f aca="false">IF(ISBLANK(Actuals!DE46),-1422.33*Escalation!$B$105,Actuals!DE46)</f>
        <v>-1633.8100856676</v>
      </c>
      <c r="DE228" s="21" t="n">
        <f aca="false">IF(ISBLANK(Actuals!DF46),-1422.33*Escalation!$B$106,Actuals!DF46)</f>
        <v>-1633.8100856676</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-160</v>
      </c>
      <c r="R229" s="21" t="n">
        <f aca="false">IF(ISBLANK(Actuals!S47),-160*Escalation!$B$15,Actuals!S47)</f>
        <v>-160</v>
      </c>
      <c r="S229" s="21" t="n">
        <f aca="false">IF(ISBLANK(Actuals!T47),-160*Escalation!$B$16,Actuals!T47)</f>
        <v>-160</v>
      </c>
      <c r="T229" s="21" t="n">
        <f aca="false">IF(ISBLANK(Actuals!U47),-160*Escalation!$B$17,Actuals!U47)</f>
        <v>-160</v>
      </c>
      <c r="U229" s="21" t="n">
        <f aca="false">IF(ISBLANK(Actuals!V47),-160*Escalation!$B$18,Actuals!V47)</f>
        <v>-160</v>
      </c>
      <c r="V229" s="21" t="n">
        <f aca="false">IF(ISBLANK(Actuals!W47),-160*Escalation!$B$19,Actuals!W47)</f>
        <v>-160</v>
      </c>
      <c r="W229" s="21" t="n">
        <f aca="false">IF(ISBLANK(Actuals!X47),-160*Escalation!$B$20,Actuals!X47)</f>
        <v>-160</v>
      </c>
      <c r="X229" s="21" t="n">
        <f aca="false">IF(ISBLANK(Actuals!Y47),-160*Escalation!$B$21,Actuals!Y47)</f>
        <v>-160</v>
      </c>
      <c r="Y229" s="21" t="n">
        <f aca="false">IF(ISBLANK(Actuals!Z47),-160*Escalation!$B$22,Actuals!Z47)</f>
        <v>-160</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-163.2</v>
      </c>
      <c r="AD229" s="21" t="n">
        <f aca="false">IF(ISBLANK(Actuals!AE47),-160*Escalation!$B$27,Actuals!AE47)</f>
        <v>-163.2</v>
      </c>
      <c r="AE229" s="21" t="n">
        <f aca="false">IF(ISBLANK(Actuals!AF47),-160*Escalation!$B$28,Actuals!AF47)</f>
        <v>-163.2</v>
      </c>
      <c r="AF229" s="21" t="n">
        <f aca="false">IF(ISBLANK(Actuals!AG47),-160*Escalation!$B$29,Actuals!AG47)</f>
        <v>-163.2</v>
      </c>
      <c r="AG229" s="21" t="n">
        <f aca="false">IF(ISBLANK(Actuals!AH47),-160*Escalation!$B$30,Actuals!AH47)</f>
        <v>-163.2</v>
      </c>
      <c r="AH229" s="21" t="n">
        <f aca="false">IF(ISBLANK(Actuals!AI47),-160*Escalation!$B$31,Actuals!AI47)</f>
        <v>-163.2</v>
      </c>
      <c r="AI229" s="21" t="n">
        <f aca="false">IF(ISBLANK(Actuals!AJ47),-160*Escalation!$B$32,Actuals!AJ47)</f>
        <v>-163.2</v>
      </c>
      <c r="AJ229" s="21" t="n">
        <f aca="false">IF(ISBLANK(Actuals!AK47),-160*Escalation!$B$33,Actuals!AK47)</f>
        <v>-163.2</v>
      </c>
      <c r="AK229" s="21" t="n">
        <f aca="false">IF(ISBLANK(Actuals!AL47),-160*Escalation!$B$34,Actuals!AL47)</f>
        <v>-163.2</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-166.464</v>
      </c>
      <c r="AP229" s="21" t="n">
        <f aca="false">IF(ISBLANK(Actuals!AQ47),-160*Escalation!$B$39,Actuals!AQ47)</f>
        <v>-166.464</v>
      </c>
      <c r="AQ229" s="21" t="n">
        <f aca="false">IF(ISBLANK(Actuals!AR47),-160*Escalation!$B$40,Actuals!AR47)</f>
        <v>-166.464</v>
      </c>
      <c r="AR229" s="21" t="n">
        <f aca="false">IF(ISBLANK(Actuals!AS47),-160*Escalation!$B$41,Actuals!AS47)</f>
        <v>-166.464</v>
      </c>
      <c r="AS229" s="21" t="n">
        <f aca="false">IF(ISBLANK(Actuals!AT47),-160*Escalation!$B$42,Actuals!AT47)</f>
        <v>-166.464</v>
      </c>
      <c r="AT229" s="21" t="n">
        <f aca="false">IF(ISBLANK(Actuals!AU47),-160*Escalation!$B$43,Actuals!AU47)</f>
        <v>-166.464</v>
      </c>
      <c r="AU229" s="21" t="n">
        <f aca="false">IF(ISBLANK(Actuals!AV47),-160*Escalation!$B$44,Actuals!AV47)</f>
        <v>-166.464</v>
      </c>
      <c r="AV229" s="21" t="n">
        <f aca="false">IF(ISBLANK(Actuals!AW47),-160*Escalation!$B$45,Actuals!AW47)</f>
        <v>-166.464</v>
      </c>
      <c r="AW229" s="21" t="n">
        <f aca="false">IF(ISBLANK(Actuals!AX47),-160*Escalation!$B$46,Actuals!AX47)</f>
        <v>-166.464</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-169.79328</v>
      </c>
      <c r="BB229" s="21" t="n">
        <f aca="false">IF(ISBLANK(Actuals!BC47),-160*Escalation!$B$51,Actuals!BC47)</f>
        <v>-169.79328</v>
      </c>
      <c r="BC229" s="21" t="n">
        <f aca="false">IF(ISBLANK(Actuals!BD47),-160*Escalation!$B$52,Actuals!BD47)</f>
        <v>-169.79328</v>
      </c>
      <c r="BD229" s="21" t="n">
        <f aca="false">IF(ISBLANK(Actuals!BE47),-160*Escalation!$B$53,Actuals!BE47)</f>
        <v>-169.79328</v>
      </c>
      <c r="BE229" s="21" t="n">
        <f aca="false">IF(ISBLANK(Actuals!BF47),-160*Escalation!$B$54,Actuals!BF47)</f>
        <v>-169.79328</v>
      </c>
      <c r="BF229" s="21" t="n">
        <f aca="false">IF(ISBLANK(Actuals!BG47),-160*Escalation!$B$55,Actuals!BG47)</f>
        <v>-169.79328</v>
      </c>
      <c r="BG229" s="21" t="n">
        <f aca="false">IF(ISBLANK(Actuals!BH47),-160*Escalation!$B$56,Actuals!BH47)</f>
        <v>-169.79328</v>
      </c>
      <c r="BH229" s="21" t="n">
        <f aca="false">IF(ISBLANK(Actuals!BI47),-160*Escalation!$B$57,Actuals!BI47)</f>
        <v>-169.79328</v>
      </c>
      <c r="BI229" s="21" t="n">
        <f aca="false">IF(ISBLANK(Actuals!BJ47),-160*Escalation!$B$58,Actuals!BJ47)</f>
        <v>-169.79328</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-173.1891456</v>
      </c>
      <c r="BN229" s="21" t="n">
        <f aca="false">IF(ISBLANK(Actuals!BO47),-160*Escalation!$B$63,Actuals!BO47)</f>
        <v>-173.1891456</v>
      </c>
      <c r="BO229" s="21" t="n">
        <f aca="false">IF(ISBLANK(Actuals!BP47),-160*Escalation!$B$64,Actuals!BP47)</f>
        <v>-173.1891456</v>
      </c>
      <c r="BP229" s="21" t="n">
        <f aca="false">IF(ISBLANK(Actuals!BQ47),-160*Escalation!$B$65,Actuals!BQ47)</f>
        <v>-173.1891456</v>
      </c>
      <c r="BQ229" s="21" t="n">
        <f aca="false">IF(ISBLANK(Actuals!BR47),-160*Escalation!$B$66,Actuals!BR47)</f>
        <v>-173.1891456</v>
      </c>
      <c r="BR229" s="21" t="n">
        <f aca="false">IF(ISBLANK(Actuals!BS47),-160*Escalation!$B$67,Actuals!BS47)</f>
        <v>-173.1891456</v>
      </c>
      <c r="BS229" s="21" t="n">
        <f aca="false">IF(ISBLANK(Actuals!BT47),-160*Escalation!$B$68,Actuals!BT47)</f>
        <v>-173.1891456</v>
      </c>
      <c r="BT229" s="21" t="n">
        <f aca="false">IF(ISBLANK(Actuals!BU47),-160*Escalation!$B$69,Actuals!BU47)</f>
        <v>-173.1891456</v>
      </c>
      <c r="BU229" s="21" t="n">
        <f aca="false">IF(ISBLANK(Actuals!BV47),-160*Escalation!$B$70,Actuals!BV47)</f>
        <v>-173.1891456</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-176.652928512</v>
      </c>
      <c r="BZ229" s="21" t="n">
        <f aca="false">IF(ISBLANK(Actuals!CA47),-160*Escalation!$B$75,Actuals!CA47)</f>
        <v>-176.652928512</v>
      </c>
      <c r="CA229" s="21" t="n">
        <f aca="false">IF(ISBLANK(Actuals!CB47),-160*Escalation!$B$76,Actuals!CB47)</f>
        <v>-176.652928512</v>
      </c>
      <c r="CB229" s="21" t="n">
        <f aca="false">IF(ISBLANK(Actuals!CC47),-160*Escalation!$B$77,Actuals!CC47)</f>
        <v>-176.652928512</v>
      </c>
      <c r="CC229" s="21" t="n">
        <f aca="false">IF(ISBLANK(Actuals!CD47),-160*Escalation!$B$78,Actuals!CD47)</f>
        <v>-176.652928512</v>
      </c>
      <c r="CD229" s="21" t="n">
        <f aca="false">IF(ISBLANK(Actuals!CE47),-160*Escalation!$B$79,Actuals!CE47)</f>
        <v>-176.652928512</v>
      </c>
      <c r="CE229" s="21" t="n">
        <f aca="false">IF(ISBLANK(Actuals!CF47),-160*Escalation!$B$80,Actuals!CF47)</f>
        <v>-176.652928512</v>
      </c>
      <c r="CF229" s="21" t="n">
        <f aca="false">IF(ISBLANK(Actuals!CG47),-160*Escalation!$B$81,Actuals!CG47)</f>
        <v>-176.652928512</v>
      </c>
      <c r="CG229" s="21" t="n">
        <f aca="false">IF(ISBLANK(Actuals!CH47),-160*Escalation!$B$82,Actuals!CH47)</f>
        <v>-176.652928512</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-180.18598708224</v>
      </c>
      <c r="CL229" s="21" t="n">
        <f aca="false">IF(ISBLANK(Actuals!CM47),-160*Escalation!$B$87,Actuals!CM47)</f>
        <v>-180.18598708224</v>
      </c>
      <c r="CM229" s="21" t="n">
        <f aca="false">IF(ISBLANK(Actuals!CN47),-160*Escalation!$B$88,Actuals!CN47)</f>
        <v>-180.18598708224</v>
      </c>
      <c r="CN229" s="21" t="n">
        <f aca="false">IF(ISBLANK(Actuals!CO47),-160*Escalation!$B$89,Actuals!CO47)</f>
        <v>-180.18598708224</v>
      </c>
      <c r="CO229" s="21" t="n">
        <f aca="false">IF(ISBLANK(Actuals!CP47),-160*Escalation!$B$90,Actuals!CP47)</f>
        <v>-180.18598708224</v>
      </c>
      <c r="CP229" s="21" t="n">
        <f aca="false">IF(ISBLANK(Actuals!CQ47),-160*Escalation!$B$91,Actuals!CQ47)</f>
        <v>-180.18598708224</v>
      </c>
      <c r="CQ229" s="21" t="n">
        <f aca="false">IF(ISBLANK(Actuals!CR47),-160*Escalation!$B$92,Actuals!CR47)</f>
        <v>-180.18598708224</v>
      </c>
      <c r="CR229" s="21" t="n">
        <f aca="false">IF(ISBLANK(Actuals!CS47),-160*Escalation!$B$93,Actuals!CS47)</f>
        <v>-180.18598708224</v>
      </c>
      <c r="CS229" s="21" t="n">
        <f aca="false">IF(ISBLANK(Actuals!CT47),-160*Escalation!$B$94,Actuals!CT47)</f>
        <v>-180.18598708224</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-183.789706823885</v>
      </c>
      <c r="CX229" s="21" t="n">
        <f aca="false">IF(ISBLANK(Actuals!CY47),-160*Escalation!$B$99,Actuals!CY47)</f>
        <v>-183.789706823885</v>
      </c>
      <c r="CY229" s="21" t="n">
        <f aca="false">IF(ISBLANK(Actuals!CZ47),-160*Escalation!$B$100,Actuals!CZ47)</f>
        <v>-183.789706823885</v>
      </c>
      <c r="CZ229" s="21" t="n">
        <f aca="false">IF(ISBLANK(Actuals!DA47),-160*Escalation!$B$101,Actuals!DA47)</f>
        <v>-183.789706823885</v>
      </c>
      <c r="DA229" s="21" t="n">
        <f aca="false">IF(ISBLANK(Actuals!DB47),-160*Escalation!$B$102,Actuals!DB47)</f>
        <v>-183.789706823885</v>
      </c>
      <c r="DB229" s="21" t="n">
        <f aca="false">IF(ISBLANK(Actuals!DC47),-160*Escalation!$B$103,Actuals!DC47)</f>
        <v>-183.789706823885</v>
      </c>
      <c r="DC229" s="21" t="n">
        <f aca="false">IF(ISBLANK(Actuals!DD47),-160*Escalation!$B$104,Actuals!DD47)</f>
        <v>-183.789706823885</v>
      </c>
      <c r="DD229" s="21" t="n">
        <f aca="false">IF(ISBLANK(Actuals!DE47),-160*Escalation!$B$105,Actuals!DE47)</f>
        <v>-183.789706823885</v>
      </c>
      <c r="DE229" s="21" t="n">
        <f aca="false">IF(ISBLANK(Actuals!DF47),-160*Escalation!$B$106,Actuals!DF47)</f>
        <v>-183.789706823885</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-5000</v>
      </c>
      <c r="R230" s="21" t="n">
        <f aca="false">IF(ISBLANK(Actuals!S48),-5000*Escalation!$B$15,Actuals!S48)</f>
        <v>-5000</v>
      </c>
      <c r="S230" s="21" t="n">
        <f aca="false">IF(ISBLANK(Actuals!T48),-5000*Escalation!$B$16,Actuals!T48)</f>
        <v>-5000</v>
      </c>
      <c r="T230" s="21" t="n">
        <f aca="false">IF(ISBLANK(Actuals!U48),-5000*Escalation!$B$17,Actuals!U48)</f>
        <v>-5000</v>
      </c>
      <c r="U230" s="21" t="n">
        <f aca="false">IF(ISBLANK(Actuals!V48),-5000*Escalation!$B$18,Actuals!V48)</f>
        <v>-5000</v>
      </c>
      <c r="V230" s="21" t="n">
        <f aca="false">IF(ISBLANK(Actuals!W48),-5000*Escalation!$B$19,Actuals!W48)</f>
        <v>-5000</v>
      </c>
      <c r="W230" s="21" t="n">
        <f aca="false">IF(ISBLANK(Actuals!X48),-5000*Escalation!$B$20,Actuals!X48)</f>
        <v>-5000</v>
      </c>
      <c r="X230" s="21" t="n">
        <f aca="false">IF(ISBLANK(Actuals!Y48),-5000*Escalation!$B$21,Actuals!Y48)</f>
        <v>-5000</v>
      </c>
      <c r="Y230" s="21" t="n">
        <f aca="false">IF(ISBLANK(Actuals!Z48),-5000*Escalation!$B$22,Actuals!Z48)</f>
        <v>-5000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-5100</v>
      </c>
      <c r="AD230" s="21" t="n">
        <f aca="false">IF(ISBLANK(Actuals!AE48),-5000*Escalation!$B$27,Actuals!AE48)</f>
        <v>-5100</v>
      </c>
      <c r="AE230" s="21" t="n">
        <f aca="false">IF(ISBLANK(Actuals!AF48),-5000*Escalation!$B$28,Actuals!AF48)</f>
        <v>-5100</v>
      </c>
      <c r="AF230" s="21" t="n">
        <f aca="false">IF(ISBLANK(Actuals!AG48),-5000*Escalation!$B$29,Actuals!AG48)</f>
        <v>-5100</v>
      </c>
      <c r="AG230" s="21" t="n">
        <f aca="false">IF(ISBLANK(Actuals!AH48),-5000*Escalation!$B$30,Actuals!AH48)</f>
        <v>-5100</v>
      </c>
      <c r="AH230" s="21" t="n">
        <f aca="false">IF(ISBLANK(Actuals!AI48),-5000*Escalation!$B$31,Actuals!AI48)</f>
        <v>-5100</v>
      </c>
      <c r="AI230" s="21" t="n">
        <f aca="false">IF(ISBLANK(Actuals!AJ48),-5000*Escalation!$B$32,Actuals!AJ48)</f>
        <v>-5100</v>
      </c>
      <c r="AJ230" s="21" t="n">
        <f aca="false">IF(ISBLANK(Actuals!AK48),-5000*Escalation!$B$33,Actuals!AK48)</f>
        <v>-5100</v>
      </c>
      <c r="AK230" s="21" t="n">
        <f aca="false">IF(ISBLANK(Actuals!AL48),-5000*Escalation!$B$34,Actuals!AL48)</f>
        <v>-5100</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-5202</v>
      </c>
      <c r="AP230" s="21" t="n">
        <f aca="false">IF(ISBLANK(Actuals!AQ48),-5000*Escalation!$B$39,Actuals!AQ48)</f>
        <v>-5202</v>
      </c>
      <c r="AQ230" s="21" t="n">
        <f aca="false">IF(ISBLANK(Actuals!AR48),-5000*Escalation!$B$40,Actuals!AR48)</f>
        <v>-5202</v>
      </c>
      <c r="AR230" s="21" t="n">
        <f aca="false">IF(ISBLANK(Actuals!AS48),-5000*Escalation!$B$41,Actuals!AS48)</f>
        <v>-5202</v>
      </c>
      <c r="AS230" s="21" t="n">
        <f aca="false">IF(ISBLANK(Actuals!AT48),-5000*Escalation!$B$42,Actuals!AT48)</f>
        <v>-5202</v>
      </c>
      <c r="AT230" s="21" t="n">
        <f aca="false">IF(ISBLANK(Actuals!AU48),-5000*Escalation!$B$43,Actuals!AU48)</f>
        <v>-5202</v>
      </c>
      <c r="AU230" s="21" t="n">
        <f aca="false">IF(ISBLANK(Actuals!AV48),-5000*Escalation!$B$44,Actuals!AV48)</f>
        <v>-5202</v>
      </c>
      <c r="AV230" s="21" t="n">
        <f aca="false">IF(ISBLANK(Actuals!AW48),-5000*Escalation!$B$45,Actuals!AW48)</f>
        <v>-5202</v>
      </c>
      <c r="AW230" s="21" t="n">
        <f aca="false">IF(ISBLANK(Actuals!AX48),-5000*Escalation!$B$46,Actuals!AX48)</f>
        <v>-5202</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-5306.04</v>
      </c>
      <c r="BB230" s="21" t="n">
        <f aca="false">IF(ISBLANK(Actuals!BC48),-5000*Escalation!$B$51,Actuals!BC48)</f>
        <v>-5306.04</v>
      </c>
      <c r="BC230" s="21" t="n">
        <f aca="false">IF(ISBLANK(Actuals!BD48),-5000*Escalation!$B$52,Actuals!BD48)</f>
        <v>-5306.04</v>
      </c>
      <c r="BD230" s="21" t="n">
        <f aca="false">IF(ISBLANK(Actuals!BE48),-5000*Escalation!$B$53,Actuals!BE48)</f>
        <v>-5306.04</v>
      </c>
      <c r="BE230" s="21" t="n">
        <f aca="false">IF(ISBLANK(Actuals!BF48),-5000*Escalation!$B$54,Actuals!BF48)</f>
        <v>-5306.04</v>
      </c>
      <c r="BF230" s="21" t="n">
        <f aca="false">IF(ISBLANK(Actuals!BG48),-5000*Escalation!$B$55,Actuals!BG48)</f>
        <v>-5306.04</v>
      </c>
      <c r="BG230" s="21" t="n">
        <f aca="false">IF(ISBLANK(Actuals!BH48),-5000*Escalation!$B$56,Actuals!BH48)</f>
        <v>-5306.04</v>
      </c>
      <c r="BH230" s="21" t="n">
        <f aca="false">IF(ISBLANK(Actuals!BI48),-5000*Escalation!$B$57,Actuals!BI48)</f>
        <v>-5306.04</v>
      </c>
      <c r="BI230" s="21" t="n">
        <f aca="false">IF(ISBLANK(Actuals!BJ48),-5000*Escalation!$B$58,Actuals!BJ48)</f>
        <v>-5306.04</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-5412.1608</v>
      </c>
      <c r="BN230" s="21" t="n">
        <f aca="false">IF(ISBLANK(Actuals!BO48),-5000*Escalation!$B$63,Actuals!BO48)</f>
        <v>-5412.1608</v>
      </c>
      <c r="BO230" s="21" t="n">
        <f aca="false">IF(ISBLANK(Actuals!BP48),-5000*Escalation!$B$64,Actuals!BP48)</f>
        <v>-5412.1608</v>
      </c>
      <c r="BP230" s="21" t="n">
        <f aca="false">IF(ISBLANK(Actuals!BQ48),-5000*Escalation!$B$65,Actuals!BQ48)</f>
        <v>-5412.1608</v>
      </c>
      <c r="BQ230" s="21" t="n">
        <f aca="false">IF(ISBLANK(Actuals!BR48),-5000*Escalation!$B$66,Actuals!BR48)</f>
        <v>-5412.1608</v>
      </c>
      <c r="BR230" s="21" t="n">
        <f aca="false">IF(ISBLANK(Actuals!BS48),-5000*Escalation!$B$67,Actuals!BS48)</f>
        <v>-5412.1608</v>
      </c>
      <c r="BS230" s="21" t="n">
        <f aca="false">IF(ISBLANK(Actuals!BT48),-5000*Escalation!$B$68,Actuals!BT48)</f>
        <v>-5412.1608</v>
      </c>
      <c r="BT230" s="21" t="n">
        <f aca="false">IF(ISBLANK(Actuals!BU48),-5000*Escalation!$B$69,Actuals!BU48)</f>
        <v>-5412.1608</v>
      </c>
      <c r="BU230" s="21" t="n">
        <f aca="false">IF(ISBLANK(Actuals!BV48),-5000*Escalation!$B$70,Actuals!BV48)</f>
        <v>-5412.1608</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-5520.404016</v>
      </c>
      <c r="BZ230" s="21" t="n">
        <f aca="false">IF(ISBLANK(Actuals!CA48),-5000*Escalation!$B$75,Actuals!CA48)</f>
        <v>-5520.404016</v>
      </c>
      <c r="CA230" s="21" t="n">
        <f aca="false">IF(ISBLANK(Actuals!CB48),-5000*Escalation!$B$76,Actuals!CB48)</f>
        <v>-5520.404016</v>
      </c>
      <c r="CB230" s="21" t="n">
        <f aca="false">IF(ISBLANK(Actuals!CC48),-5000*Escalation!$B$77,Actuals!CC48)</f>
        <v>-5520.404016</v>
      </c>
      <c r="CC230" s="21" t="n">
        <f aca="false">IF(ISBLANK(Actuals!CD48),-5000*Escalation!$B$78,Actuals!CD48)</f>
        <v>-5520.404016</v>
      </c>
      <c r="CD230" s="21" t="n">
        <f aca="false">IF(ISBLANK(Actuals!CE48),-5000*Escalation!$B$79,Actuals!CE48)</f>
        <v>-5520.404016</v>
      </c>
      <c r="CE230" s="21" t="n">
        <f aca="false">IF(ISBLANK(Actuals!CF48),-5000*Escalation!$B$80,Actuals!CF48)</f>
        <v>-5520.404016</v>
      </c>
      <c r="CF230" s="21" t="n">
        <f aca="false">IF(ISBLANK(Actuals!CG48),-5000*Escalation!$B$81,Actuals!CG48)</f>
        <v>-5520.404016</v>
      </c>
      <c r="CG230" s="21" t="n">
        <f aca="false">IF(ISBLANK(Actuals!CH48),-5000*Escalation!$B$82,Actuals!CH48)</f>
        <v>-5520.404016</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-5630.81209632</v>
      </c>
      <c r="CL230" s="21" t="n">
        <f aca="false">IF(ISBLANK(Actuals!CM48),-5000*Escalation!$B$87,Actuals!CM48)</f>
        <v>-5630.81209632</v>
      </c>
      <c r="CM230" s="21" t="n">
        <f aca="false">IF(ISBLANK(Actuals!CN48),-5000*Escalation!$B$88,Actuals!CN48)</f>
        <v>-5630.81209632</v>
      </c>
      <c r="CN230" s="21" t="n">
        <f aca="false">IF(ISBLANK(Actuals!CO48),-5000*Escalation!$B$89,Actuals!CO48)</f>
        <v>-5630.81209632</v>
      </c>
      <c r="CO230" s="21" t="n">
        <f aca="false">IF(ISBLANK(Actuals!CP48),-5000*Escalation!$B$90,Actuals!CP48)</f>
        <v>-5630.81209632</v>
      </c>
      <c r="CP230" s="21" t="n">
        <f aca="false">IF(ISBLANK(Actuals!CQ48),-5000*Escalation!$B$91,Actuals!CQ48)</f>
        <v>-5630.81209632</v>
      </c>
      <c r="CQ230" s="21" t="n">
        <f aca="false">IF(ISBLANK(Actuals!CR48),-5000*Escalation!$B$92,Actuals!CR48)</f>
        <v>-5630.81209632</v>
      </c>
      <c r="CR230" s="21" t="n">
        <f aca="false">IF(ISBLANK(Actuals!CS48),-5000*Escalation!$B$93,Actuals!CS48)</f>
        <v>-5630.81209632</v>
      </c>
      <c r="CS230" s="21" t="n">
        <f aca="false">IF(ISBLANK(Actuals!CT48),-5000*Escalation!$B$94,Actuals!CT48)</f>
        <v>-5630.81209632</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-5743.4283382464</v>
      </c>
      <c r="CX230" s="21" t="n">
        <f aca="false">IF(ISBLANK(Actuals!CY48),-5000*Escalation!$B$99,Actuals!CY48)</f>
        <v>-5743.4283382464</v>
      </c>
      <c r="CY230" s="21" t="n">
        <f aca="false">IF(ISBLANK(Actuals!CZ48),-5000*Escalation!$B$100,Actuals!CZ48)</f>
        <v>-5743.4283382464</v>
      </c>
      <c r="CZ230" s="21" t="n">
        <f aca="false">IF(ISBLANK(Actuals!DA48),-5000*Escalation!$B$101,Actuals!DA48)</f>
        <v>-5743.4283382464</v>
      </c>
      <c r="DA230" s="21" t="n">
        <f aca="false">IF(ISBLANK(Actuals!DB48),-5000*Escalation!$B$102,Actuals!DB48)</f>
        <v>-5743.4283382464</v>
      </c>
      <c r="DB230" s="21" t="n">
        <f aca="false">IF(ISBLANK(Actuals!DC48),-5000*Escalation!$B$103,Actuals!DC48)</f>
        <v>-5743.4283382464</v>
      </c>
      <c r="DC230" s="21" t="n">
        <f aca="false">IF(ISBLANK(Actuals!DD48),-5000*Escalation!$B$104,Actuals!DD48)</f>
        <v>-5743.4283382464</v>
      </c>
      <c r="DD230" s="21" t="n">
        <f aca="false">IF(ISBLANK(Actuals!DE48),-5000*Escalation!$B$105,Actuals!DE48)</f>
        <v>-5743.4283382464</v>
      </c>
      <c r="DE230" s="21" t="n">
        <f aca="false">IF(ISBLANK(Actuals!DF48),-5000*Escalation!$B$106,Actuals!DF48)</f>
        <v>-5743.4283382464</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-41.55</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-417.6</v>
      </c>
      <c r="R231" s="21" t="n">
        <f aca="false">IF(ISBLANK(Actuals!S49),-417.6*Escalation!$B$15,Actuals!S49)</f>
        <v>-417.6</v>
      </c>
      <c r="S231" s="21" t="n">
        <f aca="false">IF(ISBLANK(Actuals!T49),-417.6*Escalation!$B$16,Actuals!T49)</f>
        <v>-417.6</v>
      </c>
      <c r="T231" s="21" t="n">
        <f aca="false">IF(ISBLANK(Actuals!U49),-417.6*Escalation!$B$17,Actuals!U49)</f>
        <v>-417.6</v>
      </c>
      <c r="U231" s="21" t="n">
        <f aca="false">IF(ISBLANK(Actuals!V49),-417.6*Escalation!$B$18,Actuals!V49)</f>
        <v>-417.6</v>
      </c>
      <c r="V231" s="21" t="n">
        <f aca="false">IF(ISBLANK(Actuals!W49),-417.6*Escalation!$B$19,Actuals!W49)</f>
        <v>-417.6</v>
      </c>
      <c r="W231" s="21" t="n">
        <f aca="false">IF(ISBLANK(Actuals!X49),-417.6*Escalation!$B$20,Actuals!X49)</f>
        <v>-417.6</v>
      </c>
      <c r="X231" s="21" t="n">
        <f aca="false">IF(ISBLANK(Actuals!Y49),-417.6*Escalation!$B$21,Actuals!Y49)</f>
        <v>-417.6</v>
      </c>
      <c r="Y231" s="21" t="n">
        <f aca="false">IF(ISBLANK(Actuals!Z49),-417.6*Escalation!$B$22,Actuals!Z49)</f>
        <v>-417.6</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-425.952</v>
      </c>
      <c r="AD231" s="21" t="n">
        <f aca="false">IF(ISBLANK(Actuals!AE49),-417.6*Escalation!$B$27,Actuals!AE49)</f>
        <v>-425.952</v>
      </c>
      <c r="AE231" s="21" t="n">
        <f aca="false">IF(ISBLANK(Actuals!AF49),-417.6*Escalation!$B$28,Actuals!AF49)</f>
        <v>-425.952</v>
      </c>
      <c r="AF231" s="21" t="n">
        <f aca="false">IF(ISBLANK(Actuals!AG49),-417.6*Escalation!$B$29,Actuals!AG49)</f>
        <v>-425.952</v>
      </c>
      <c r="AG231" s="21" t="n">
        <f aca="false">IF(ISBLANK(Actuals!AH49),-417.6*Escalation!$B$30,Actuals!AH49)</f>
        <v>-425.952</v>
      </c>
      <c r="AH231" s="21" t="n">
        <f aca="false">IF(ISBLANK(Actuals!AI49),-417.6*Escalation!$B$31,Actuals!AI49)</f>
        <v>-425.952</v>
      </c>
      <c r="AI231" s="21" t="n">
        <f aca="false">IF(ISBLANK(Actuals!AJ49),-417.6*Escalation!$B$32,Actuals!AJ49)</f>
        <v>-425.952</v>
      </c>
      <c r="AJ231" s="21" t="n">
        <f aca="false">IF(ISBLANK(Actuals!AK49),-417.6*Escalation!$B$33,Actuals!AK49)</f>
        <v>-425.952</v>
      </c>
      <c r="AK231" s="21" t="n">
        <f aca="false">IF(ISBLANK(Actuals!AL49),-417.6*Escalation!$B$34,Actuals!AL49)</f>
        <v>-425.952</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-434.47104</v>
      </c>
      <c r="AP231" s="21" t="n">
        <f aca="false">IF(ISBLANK(Actuals!AQ49),-417.6*Escalation!$B$39,Actuals!AQ49)</f>
        <v>-434.47104</v>
      </c>
      <c r="AQ231" s="21" t="n">
        <f aca="false">IF(ISBLANK(Actuals!AR49),-417.6*Escalation!$B$40,Actuals!AR49)</f>
        <v>-434.47104</v>
      </c>
      <c r="AR231" s="21" t="n">
        <f aca="false">IF(ISBLANK(Actuals!AS49),-417.6*Escalation!$B$41,Actuals!AS49)</f>
        <v>-434.47104</v>
      </c>
      <c r="AS231" s="21" t="n">
        <f aca="false">IF(ISBLANK(Actuals!AT49),-417.6*Escalation!$B$42,Actuals!AT49)</f>
        <v>-434.47104</v>
      </c>
      <c r="AT231" s="21" t="n">
        <f aca="false">IF(ISBLANK(Actuals!AU49),-417.6*Escalation!$B$43,Actuals!AU49)</f>
        <v>-434.47104</v>
      </c>
      <c r="AU231" s="21" t="n">
        <f aca="false">IF(ISBLANK(Actuals!AV49),-417.6*Escalation!$B$44,Actuals!AV49)</f>
        <v>-434.47104</v>
      </c>
      <c r="AV231" s="21" t="n">
        <f aca="false">IF(ISBLANK(Actuals!AW49),-417.6*Escalation!$B$45,Actuals!AW49)</f>
        <v>-434.47104</v>
      </c>
      <c r="AW231" s="21" t="n">
        <f aca="false">IF(ISBLANK(Actuals!AX49),-417.6*Escalation!$B$46,Actuals!AX49)</f>
        <v>-434.47104</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-443.1604608</v>
      </c>
      <c r="BB231" s="21" t="n">
        <f aca="false">IF(ISBLANK(Actuals!BC49),-417.6*Escalation!$B$51,Actuals!BC49)</f>
        <v>-443.1604608</v>
      </c>
      <c r="BC231" s="21" t="n">
        <f aca="false">IF(ISBLANK(Actuals!BD49),-417.6*Escalation!$B$52,Actuals!BD49)</f>
        <v>-443.1604608</v>
      </c>
      <c r="BD231" s="21" t="n">
        <f aca="false">IF(ISBLANK(Actuals!BE49),-417.6*Escalation!$B$53,Actuals!BE49)</f>
        <v>-443.1604608</v>
      </c>
      <c r="BE231" s="21" t="n">
        <f aca="false">IF(ISBLANK(Actuals!BF49),-417.6*Escalation!$B$54,Actuals!BF49)</f>
        <v>-443.1604608</v>
      </c>
      <c r="BF231" s="21" t="n">
        <f aca="false">IF(ISBLANK(Actuals!BG49),-417.6*Escalation!$B$55,Actuals!BG49)</f>
        <v>-443.1604608</v>
      </c>
      <c r="BG231" s="21" t="n">
        <f aca="false">IF(ISBLANK(Actuals!BH49),-417.6*Escalation!$B$56,Actuals!BH49)</f>
        <v>-443.1604608</v>
      </c>
      <c r="BH231" s="21" t="n">
        <f aca="false">IF(ISBLANK(Actuals!BI49),-417.6*Escalation!$B$57,Actuals!BI49)</f>
        <v>-443.1604608</v>
      </c>
      <c r="BI231" s="21" t="n">
        <f aca="false">IF(ISBLANK(Actuals!BJ49),-417.6*Escalation!$B$58,Actuals!BJ49)</f>
        <v>-443.1604608</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-452.023670016</v>
      </c>
      <c r="BN231" s="21" t="n">
        <f aca="false">IF(ISBLANK(Actuals!BO49),-417.6*Escalation!$B$63,Actuals!BO49)</f>
        <v>-452.023670016</v>
      </c>
      <c r="BO231" s="21" t="n">
        <f aca="false">IF(ISBLANK(Actuals!BP49),-417.6*Escalation!$B$64,Actuals!BP49)</f>
        <v>-452.023670016</v>
      </c>
      <c r="BP231" s="21" t="n">
        <f aca="false">IF(ISBLANK(Actuals!BQ49),-417.6*Escalation!$B$65,Actuals!BQ49)</f>
        <v>-452.023670016</v>
      </c>
      <c r="BQ231" s="21" t="n">
        <f aca="false">IF(ISBLANK(Actuals!BR49),-417.6*Escalation!$B$66,Actuals!BR49)</f>
        <v>-452.023670016</v>
      </c>
      <c r="BR231" s="21" t="n">
        <f aca="false">IF(ISBLANK(Actuals!BS49),-417.6*Escalation!$B$67,Actuals!BS49)</f>
        <v>-452.023670016</v>
      </c>
      <c r="BS231" s="21" t="n">
        <f aca="false">IF(ISBLANK(Actuals!BT49),-417.6*Escalation!$B$68,Actuals!BT49)</f>
        <v>-452.023670016</v>
      </c>
      <c r="BT231" s="21" t="n">
        <f aca="false">IF(ISBLANK(Actuals!BU49),-417.6*Escalation!$B$69,Actuals!BU49)</f>
        <v>-452.023670016</v>
      </c>
      <c r="BU231" s="21" t="n">
        <f aca="false">IF(ISBLANK(Actuals!BV49),-417.6*Escalation!$B$70,Actuals!BV49)</f>
        <v>-452.023670016</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-461.06414341632</v>
      </c>
      <c r="BZ231" s="21" t="n">
        <f aca="false">IF(ISBLANK(Actuals!CA49),-417.6*Escalation!$B$75,Actuals!CA49)</f>
        <v>-461.06414341632</v>
      </c>
      <c r="CA231" s="21" t="n">
        <f aca="false">IF(ISBLANK(Actuals!CB49),-417.6*Escalation!$B$76,Actuals!CB49)</f>
        <v>-461.06414341632</v>
      </c>
      <c r="CB231" s="21" t="n">
        <f aca="false">IF(ISBLANK(Actuals!CC49),-417.6*Escalation!$B$77,Actuals!CC49)</f>
        <v>-461.06414341632</v>
      </c>
      <c r="CC231" s="21" t="n">
        <f aca="false">IF(ISBLANK(Actuals!CD49),-417.6*Escalation!$B$78,Actuals!CD49)</f>
        <v>-461.06414341632</v>
      </c>
      <c r="CD231" s="21" t="n">
        <f aca="false">IF(ISBLANK(Actuals!CE49),-417.6*Escalation!$B$79,Actuals!CE49)</f>
        <v>-461.06414341632</v>
      </c>
      <c r="CE231" s="21" t="n">
        <f aca="false">IF(ISBLANK(Actuals!CF49),-417.6*Escalation!$B$80,Actuals!CF49)</f>
        <v>-461.06414341632</v>
      </c>
      <c r="CF231" s="21" t="n">
        <f aca="false">IF(ISBLANK(Actuals!CG49),-417.6*Escalation!$B$81,Actuals!CG49)</f>
        <v>-461.06414341632</v>
      </c>
      <c r="CG231" s="21" t="n">
        <f aca="false">IF(ISBLANK(Actuals!CH49),-417.6*Escalation!$B$82,Actuals!CH49)</f>
        <v>-461.06414341632</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-470.285426284646</v>
      </c>
      <c r="CL231" s="21" t="n">
        <f aca="false">IF(ISBLANK(Actuals!CM49),-417.6*Escalation!$B$87,Actuals!CM49)</f>
        <v>-470.285426284646</v>
      </c>
      <c r="CM231" s="21" t="n">
        <f aca="false">IF(ISBLANK(Actuals!CN49),-417.6*Escalation!$B$88,Actuals!CN49)</f>
        <v>-470.285426284646</v>
      </c>
      <c r="CN231" s="21" t="n">
        <f aca="false">IF(ISBLANK(Actuals!CO49),-417.6*Escalation!$B$89,Actuals!CO49)</f>
        <v>-470.285426284646</v>
      </c>
      <c r="CO231" s="21" t="n">
        <f aca="false">IF(ISBLANK(Actuals!CP49),-417.6*Escalation!$B$90,Actuals!CP49)</f>
        <v>-470.285426284646</v>
      </c>
      <c r="CP231" s="21" t="n">
        <f aca="false">IF(ISBLANK(Actuals!CQ49),-417.6*Escalation!$B$91,Actuals!CQ49)</f>
        <v>-470.285426284646</v>
      </c>
      <c r="CQ231" s="21" t="n">
        <f aca="false">IF(ISBLANK(Actuals!CR49),-417.6*Escalation!$B$92,Actuals!CR49)</f>
        <v>-470.285426284646</v>
      </c>
      <c r="CR231" s="21" t="n">
        <f aca="false">IF(ISBLANK(Actuals!CS49),-417.6*Escalation!$B$93,Actuals!CS49)</f>
        <v>-470.285426284646</v>
      </c>
      <c r="CS231" s="21" t="n">
        <f aca="false">IF(ISBLANK(Actuals!CT49),-417.6*Escalation!$B$94,Actuals!CT49)</f>
        <v>-470.285426284646</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-479.691134810339</v>
      </c>
      <c r="CX231" s="21" t="n">
        <f aca="false">IF(ISBLANK(Actuals!CY49),-417.6*Escalation!$B$99,Actuals!CY49)</f>
        <v>-479.691134810339</v>
      </c>
      <c r="CY231" s="21" t="n">
        <f aca="false">IF(ISBLANK(Actuals!CZ49),-417.6*Escalation!$B$100,Actuals!CZ49)</f>
        <v>-479.691134810339</v>
      </c>
      <c r="CZ231" s="21" t="n">
        <f aca="false">IF(ISBLANK(Actuals!DA49),-417.6*Escalation!$B$101,Actuals!DA49)</f>
        <v>-479.691134810339</v>
      </c>
      <c r="DA231" s="21" t="n">
        <f aca="false">IF(ISBLANK(Actuals!DB49),-417.6*Escalation!$B$102,Actuals!DB49)</f>
        <v>-479.691134810339</v>
      </c>
      <c r="DB231" s="21" t="n">
        <f aca="false">IF(ISBLANK(Actuals!DC49),-417.6*Escalation!$B$103,Actuals!DC49)</f>
        <v>-479.691134810339</v>
      </c>
      <c r="DC231" s="21" t="n">
        <f aca="false">IF(ISBLANK(Actuals!DD49),-417.6*Escalation!$B$104,Actuals!DD49)</f>
        <v>-479.691134810339</v>
      </c>
      <c r="DD231" s="21" t="n">
        <f aca="false">IF(ISBLANK(Actuals!DE49),-417.6*Escalation!$B$105,Actuals!DE49)</f>
        <v>-479.691134810339</v>
      </c>
      <c r="DE231" s="21" t="n">
        <f aca="false">IF(ISBLANK(Actuals!DF49),-417.6*Escalation!$B$106,Actuals!DF49)</f>
        <v>-479.691134810339</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-75</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-26.67</v>
      </c>
      <c r="R232" s="21" t="n">
        <f aca="false">IF(ISBLANK(Actuals!S50),-26.67*Escalation!$B$15,Actuals!S50)</f>
        <v>-26.67</v>
      </c>
      <c r="S232" s="21" t="n">
        <f aca="false">IF(ISBLANK(Actuals!T50),-26.67*Escalation!$B$16,Actuals!T50)</f>
        <v>-26.67</v>
      </c>
      <c r="T232" s="21" t="n">
        <f aca="false">IF(ISBLANK(Actuals!U50),-26.67*Escalation!$B$17,Actuals!U50)</f>
        <v>-26.67</v>
      </c>
      <c r="U232" s="21" t="n">
        <f aca="false">IF(ISBLANK(Actuals!V50),-26.67*Escalation!$B$18,Actuals!V50)</f>
        <v>-26.67</v>
      </c>
      <c r="V232" s="21" t="n">
        <f aca="false">IF(ISBLANK(Actuals!W50),-26.67*Escalation!$B$19,Actuals!W50)</f>
        <v>-26.67</v>
      </c>
      <c r="W232" s="21" t="n">
        <f aca="false">IF(ISBLANK(Actuals!X50),-26.67*Escalation!$B$20,Actuals!X50)</f>
        <v>-26.67</v>
      </c>
      <c r="X232" s="21" t="n">
        <f aca="false">IF(ISBLANK(Actuals!Y50),-26.67*Escalation!$B$21,Actuals!Y50)</f>
        <v>-26.67</v>
      </c>
      <c r="Y232" s="21" t="n">
        <f aca="false">IF(ISBLANK(Actuals!Z50),-26.67*Escalation!$B$22,Actuals!Z50)</f>
        <v>-26.67</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-27.2034</v>
      </c>
      <c r="AD232" s="21" t="n">
        <f aca="false">IF(ISBLANK(Actuals!AE50),-26.67*Escalation!$B$27,Actuals!AE50)</f>
        <v>-27.2034</v>
      </c>
      <c r="AE232" s="21" t="n">
        <f aca="false">IF(ISBLANK(Actuals!AF50),-26.67*Escalation!$B$28,Actuals!AF50)</f>
        <v>-27.2034</v>
      </c>
      <c r="AF232" s="21" t="n">
        <f aca="false">IF(ISBLANK(Actuals!AG50),-26.67*Escalation!$B$29,Actuals!AG50)</f>
        <v>-27.2034</v>
      </c>
      <c r="AG232" s="21" t="n">
        <f aca="false">IF(ISBLANK(Actuals!AH50),-26.67*Escalation!$B$30,Actuals!AH50)</f>
        <v>-27.2034</v>
      </c>
      <c r="AH232" s="21" t="n">
        <f aca="false">IF(ISBLANK(Actuals!AI50),-26.67*Escalation!$B$31,Actuals!AI50)</f>
        <v>-27.2034</v>
      </c>
      <c r="AI232" s="21" t="n">
        <f aca="false">IF(ISBLANK(Actuals!AJ50),-26.67*Escalation!$B$32,Actuals!AJ50)</f>
        <v>-27.2034</v>
      </c>
      <c r="AJ232" s="21" t="n">
        <f aca="false">IF(ISBLANK(Actuals!AK50),-26.67*Escalation!$B$33,Actuals!AK50)</f>
        <v>-27.2034</v>
      </c>
      <c r="AK232" s="21" t="n">
        <f aca="false">IF(ISBLANK(Actuals!AL50),-26.67*Escalation!$B$34,Actuals!AL50)</f>
        <v>-27.2034</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-27.747468</v>
      </c>
      <c r="AP232" s="21" t="n">
        <f aca="false">IF(ISBLANK(Actuals!AQ50),-26.67*Escalation!$B$39,Actuals!AQ50)</f>
        <v>-27.747468</v>
      </c>
      <c r="AQ232" s="21" t="n">
        <f aca="false">IF(ISBLANK(Actuals!AR50),-26.67*Escalation!$B$40,Actuals!AR50)</f>
        <v>-27.747468</v>
      </c>
      <c r="AR232" s="21" t="n">
        <f aca="false">IF(ISBLANK(Actuals!AS50),-26.67*Escalation!$B$41,Actuals!AS50)</f>
        <v>-27.747468</v>
      </c>
      <c r="AS232" s="21" t="n">
        <f aca="false">IF(ISBLANK(Actuals!AT50),-26.67*Escalation!$B$42,Actuals!AT50)</f>
        <v>-27.747468</v>
      </c>
      <c r="AT232" s="21" t="n">
        <f aca="false">IF(ISBLANK(Actuals!AU50),-26.67*Escalation!$B$43,Actuals!AU50)</f>
        <v>-27.747468</v>
      </c>
      <c r="AU232" s="21" t="n">
        <f aca="false">IF(ISBLANK(Actuals!AV50),-26.67*Escalation!$B$44,Actuals!AV50)</f>
        <v>-27.747468</v>
      </c>
      <c r="AV232" s="21" t="n">
        <f aca="false">IF(ISBLANK(Actuals!AW50),-26.67*Escalation!$B$45,Actuals!AW50)</f>
        <v>-27.747468</v>
      </c>
      <c r="AW232" s="21" t="n">
        <f aca="false">IF(ISBLANK(Actuals!AX50),-26.67*Escalation!$B$46,Actuals!AX50)</f>
        <v>-27.747468</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-28.30241736</v>
      </c>
      <c r="BB232" s="21" t="n">
        <f aca="false">IF(ISBLANK(Actuals!BC50),-26.67*Escalation!$B$51,Actuals!BC50)</f>
        <v>-28.30241736</v>
      </c>
      <c r="BC232" s="21" t="n">
        <f aca="false">IF(ISBLANK(Actuals!BD50),-26.67*Escalation!$B$52,Actuals!BD50)</f>
        <v>-28.30241736</v>
      </c>
      <c r="BD232" s="21" t="n">
        <f aca="false">IF(ISBLANK(Actuals!BE50),-26.67*Escalation!$B$53,Actuals!BE50)</f>
        <v>-28.30241736</v>
      </c>
      <c r="BE232" s="21" t="n">
        <f aca="false">IF(ISBLANK(Actuals!BF50),-26.67*Escalation!$B$54,Actuals!BF50)</f>
        <v>-28.30241736</v>
      </c>
      <c r="BF232" s="21" t="n">
        <f aca="false">IF(ISBLANK(Actuals!BG50),-26.67*Escalation!$B$55,Actuals!BG50)</f>
        <v>-28.30241736</v>
      </c>
      <c r="BG232" s="21" t="n">
        <f aca="false">IF(ISBLANK(Actuals!BH50),-26.67*Escalation!$B$56,Actuals!BH50)</f>
        <v>-28.30241736</v>
      </c>
      <c r="BH232" s="21" t="n">
        <f aca="false">IF(ISBLANK(Actuals!BI50),-26.67*Escalation!$B$57,Actuals!BI50)</f>
        <v>-28.30241736</v>
      </c>
      <c r="BI232" s="21" t="n">
        <f aca="false">IF(ISBLANK(Actuals!BJ50),-26.67*Escalation!$B$58,Actuals!BJ50)</f>
        <v>-28.30241736</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-28.8684657072</v>
      </c>
      <c r="BN232" s="21" t="n">
        <f aca="false">IF(ISBLANK(Actuals!BO50),-26.67*Escalation!$B$63,Actuals!BO50)</f>
        <v>-28.8684657072</v>
      </c>
      <c r="BO232" s="21" t="n">
        <f aca="false">IF(ISBLANK(Actuals!BP50),-26.67*Escalation!$B$64,Actuals!BP50)</f>
        <v>-28.8684657072</v>
      </c>
      <c r="BP232" s="21" t="n">
        <f aca="false">IF(ISBLANK(Actuals!BQ50),-26.67*Escalation!$B$65,Actuals!BQ50)</f>
        <v>-28.8684657072</v>
      </c>
      <c r="BQ232" s="21" t="n">
        <f aca="false">IF(ISBLANK(Actuals!BR50),-26.67*Escalation!$B$66,Actuals!BR50)</f>
        <v>-28.8684657072</v>
      </c>
      <c r="BR232" s="21" t="n">
        <f aca="false">IF(ISBLANK(Actuals!BS50),-26.67*Escalation!$B$67,Actuals!BS50)</f>
        <v>-28.8684657072</v>
      </c>
      <c r="BS232" s="21" t="n">
        <f aca="false">IF(ISBLANK(Actuals!BT50),-26.67*Escalation!$B$68,Actuals!BT50)</f>
        <v>-28.8684657072</v>
      </c>
      <c r="BT232" s="21" t="n">
        <f aca="false">IF(ISBLANK(Actuals!BU50),-26.67*Escalation!$B$69,Actuals!BU50)</f>
        <v>-28.8684657072</v>
      </c>
      <c r="BU232" s="21" t="n">
        <f aca="false">IF(ISBLANK(Actuals!BV50),-26.67*Escalation!$B$70,Actuals!BV50)</f>
        <v>-28.8684657072</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-29.445835021344</v>
      </c>
      <c r="BZ232" s="21" t="n">
        <f aca="false">IF(ISBLANK(Actuals!CA50),-26.67*Escalation!$B$75,Actuals!CA50)</f>
        <v>-29.445835021344</v>
      </c>
      <c r="CA232" s="21" t="n">
        <f aca="false">IF(ISBLANK(Actuals!CB50),-26.67*Escalation!$B$76,Actuals!CB50)</f>
        <v>-29.445835021344</v>
      </c>
      <c r="CB232" s="21" t="n">
        <f aca="false">IF(ISBLANK(Actuals!CC50),-26.67*Escalation!$B$77,Actuals!CC50)</f>
        <v>-29.445835021344</v>
      </c>
      <c r="CC232" s="21" t="n">
        <f aca="false">IF(ISBLANK(Actuals!CD50),-26.67*Escalation!$B$78,Actuals!CD50)</f>
        <v>-29.445835021344</v>
      </c>
      <c r="CD232" s="21" t="n">
        <f aca="false">IF(ISBLANK(Actuals!CE50),-26.67*Escalation!$B$79,Actuals!CE50)</f>
        <v>-29.445835021344</v>
      </c>
      <c r="CE232" s="21" t="n">
        <f aca="false">IF(ISBLANK(Actuals!CF50),-26.67*Escalation!$B$80,Actuals!CF50)</f>
        <v>-29.445835021344</v>
      </c>
      <c r="CF232" s="21" t="n">
        <f aca="false">IF(ISBLANK(Actuals!CG50),-26.67*Escalation!$B$81,Actuals!CG50)</f>
        <v>-29.445835021344</v>
      </c>
      <c r="CG232" s="21" t="n">
        <f aca="false">IF(ISBLANK(Actuals!CH50),-26.67*Escalation!$B$82,Actuals!CH50)</f>
        <v>-29.445835021344</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-30.0347517217709</v>
      </c>
      <c r="CL232" s="21" t="n">
        <f aca="false">IF(ISBLANK(Actuals!CM50),-26.67*Escalation!$B$87,Actuals!CM50)</f>
        <v>-30.0347517217709</v>
      </c>
      <c r="CM232" s="21" t="n">
        <f aca="false">IF(ISBLANK(Actuals!CN50),-26.67*Escalation!$B$88,Actuals!CN50)</f>
        <v>-30.0347517217709</v>
      </c>
      <c r="CN232" s="21" t="n">
        <f aca="false">IF(ISBLANK(Actuals!CO50),-26.67*Escalation!$B$89,Actuals!CO50)</f>
        <v>-30.0347517217709</v>
      </c>
      <c r="CO232" s="21" t="n">
        <f aca="false">IF(ISBLANK(Actuals!CP50),-26.67*Escalation!$B$90,Actuals!CP50)</f>
        <v>-30.0347517217709</v>
      </c>
      <c r="CP232" s="21" t="n">
        <f aca="false">IF(ISBLANK(Actuals!CQ50),-26.67*Escalation!$B$91,Actuals!CQ50)</f>
        <v>-30.0347517217709</v>
      </c>
      <c r="CQ232" s="21" t="n">
        <f aca="false">IF(ISBLANK(Actuals!CR50),-26.67*Escalation!$B$92,Actuals!CR50)</f>
        <v>-30.0347517217709</v>
      </c>
      <c r="CR232" s="21" t="n">
        <f aca="false">IF(ISBLANK(Actuals!CS50),-26.67*Escalation!$B$93,Actuals!CS50)</f>
        <v>-30.0347517217709</v>
      </c>
      <c r="CS232" s="21" t="n">
        <f aca="false">IF(ISBLANK(Actuals!CT50),-26.67*Escalation!$B$94,Actuals!CT50)</f>
        <v>-30.0347517217709</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-30.6354467562063</v>
      </c>
      <c r="CX232" s="21" t="n">
        <f aca="false">IF(ISBLANK(Actuals!CY50),-26.67*Escalation!$B$99,Actuals!CY50)</f>
        <v>-30.6354467562063</v>
      </c>
      <c r="CY232" s="21" t="n">
        <f aca="false">IF(ISBLANK(Actuals!CZ50),-26.67*Escalation!$B$100,Actuals!CZ50)</f>
        <v>-30.6354467562063</v>
      </c>
      <c r="CZ232" s="21" t="n">
        <f aca="false">IF(ISBLANK(Actuals!DA50),-26.67*Escalation!$B$101,Actuals!DA50)</f>
        <v>-30.6354467562063</v>
      </c>
      <c r="DA232" s="21" t="n">
        <f aca="false">IF(ISBLANK(Actuals!DB50),-26.67*Escalation!$B$102,Actuals!DB50)</f>
        <v>-30.6354467562063</v>
      </c>
      <c r="DB232" s="21" t="n">
        <f aca="false">IF(ISBLANK(Actuals!DC50),-26.67*Escalation!$B$103,Actuals!DC50)</f>
        <v>-30.6354467562063</v>
      </c>
      <c r="DC232" s="21" t="n">
        <f aca="false">IF(ISBLANK(Actuals!DD50),-26.67*Escalation!$B$104,Actuals!DD50)</f>
        <v>-30.6354467562063</v>
      </c>
      <c r="DD232" s="21" t="n">
        <f aca="false">IF(ISBLANK(Actuals!DE50),-26.67*Escalation!$B$105,Actuals!DE50)</f>
        <v>-30.6354467562063</v>
      </c>
      <c r="DE232" s="21" t="n">
        <f aca="false">IF(ISBLANK(Actuals!DF50),-26.67*Escalation!$B$106,Actuals!DF50)</f>
        <v>-30.6354467562063</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0</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v>
      </c>
      <c r="R233" s="21" t="n">
        <f aca="false">IF(ISBLANK(Actuals!S51),-21*Escalation!$B$15,Actuals!S51)</f>
        <v>-21</v>
      </c>
      <c r="S233" s="21" t="n">
        <f aca="false">IF(ISBLANK(Actuals!T51),-21*Escalation!$B$16,Actuals!T51)</f>
        <v>-21</v>
      </c>
      <c r="T233" s="21" t="n">
        <f aca="false">IF(ISBLANK(Actuals!U51),-21*Escalation!$B$17,Actuals!U51)</f>
        <v>-21</v>
      </c>
      <c r="U233" s="21" t="n">
        <f aca="false">IF(ISBLANK(Actuals!V51),-21*Escalation!$B$18,Actuals!V51)</f>
        <v>-21</v>
      </c>
      <c r="V233" s="21" t="n">
        <f aca="false">IF(ISBLANK(Actuals!W51),-21*Escalation!$B$19,Actuals!W51)</f>
        <v>-21</v>
      </c>
      <c r="W233" s="21" t="n">
        <f aca="false">IF(ISBLANK(Actuals!X51),-21*Escalation!$B$20,Actuals!X51)</f>
        <v>-21</v>
      </c>
      <c r="X233" s="21" t="n">
        <f aca="false">IF(ISBLANK(Actuals!Y51),-21*Escalation!$B$21,Actuals!Y51)</f>
        <v>-21</v>
      </c>
      <c r="Y233" s="21" t="n">
        <f aca="false">IF(ISBLANK(Actuals!Z51),-21*Escalation!$B$22,Actuals!Z51)</f>
        <v>-21</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-21.42</v>
      </c>
      <c r="AD233" s="21" t="n">
        <f aca="false">IF(ISBLANK(Actuals!AE51),-21*Escalation!$B$27,Actuals!AE51)</f>
        <v>-21.42</v>
      </c>
      <c r="AE233" s="21" t="n">
        <f aca="false">IF(ISBLANK(Actuals!AF51),-21*Escalation!$B$28,Actuals!AF51)</f>
        <v>-21.42</v>
      </c>
      <c r="AF233" s="21" t="n">
        <f aca="false">IF(ISBLANK(Actuals!AG51),-21*Escalation!$B$29,Actuals!AG51)</f>
        <v>-21.42</v>
      </c>
      <c r="AG233" s="21" t="n">
        <f aca="false">IF(ISBLANK(Actuals!AH51),-21*Escalation!$B$30,Actuals!AH51)</f>
        <v>-21.42</v>
      </c>
      <c r="AH233" s="21" t="n">
        <f aca="false">IF(ISBLANK(Actuals!AI51),-21*Escalation!$B$31,Actuals!AI51)</f>
        <v>-21.42</v>
      </c>
      <c r="AI233" s="21" t="n">
        <f aca="false">IF(ISBLANK(Actuals!AJ51),-21*Escalation!$B$32,Actuals!AJ51)</f>
        <v>-21.42</v>
      </c>
      <c r="AJ233" s="21" t="n">
        <f aca="false">IF(ISBLANK(Actuals!AK51),-21*Escalation!$B$33,Actuals!AK51)</f>
        <v>-21.42</v>
      </c>
      <c r="AK233" s="21" t="n">
        <f aca="false">IF(ISBLANK(Actuals!AL51),-21*Escalation!$B$34,Actuals!AL51)</f>
        <v>-21.42</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-21.8484</v>
      </c>
      <c r="AP233" s="21" t="n">
        <f aca="false">IF(ISBLANK(Actuals!AQ51),-21*Escalation!$B$39,Actuals!AQ51)</f>
        <v>-21.8484</v>
      </c>
      <c r="AQ233" s="21" t="n">
        <f aca="false">IF(ISBLANK(Actuals!AR51),-21*Escalation!$B$40,Actuals!AR51)</f>
        <v>-21.8484</v>
      </c>
      <c r="AR233" s="21" t="n">
        <f aca="false">IF(ISBLANK(Actuals!AS51),-21*Escalation!$B$41,Actuals!AS51)</f>
        <v>-21.8484</v>
      </c>
      <c r="AS233" s="21" t="n">
        <f aca="false">IF(ISBLANK(Actuals!AT51),-21*Escalation!$B$42,Actuals!AT51)</f>
        <v>-21.8484</v>
      </c>
      <c r="AT233" s="21" t="n">
        <f aca="false">IF(ISBLANK(Actuals!AU51),-21*Escalation!$B$43,Actuals!AU51)</f>
        <v>-21.8484</v>
      </c>
      <c r="AU233" s="21" t="n">
        <f aca="false">IF(ISBLANK(Actuals!AV51),-21*Escalation!$B$44,Actuals!AV51)</f>
        <v>-21.8484</v>
      </c>
      <c r="AV233" s="21" t="n">
        <f aca="false">IF(ISBLANK(Actuals!AW51),-21*Escalation!$B$45,Actuals!AW51)</f>
        <v>-21.8484</v>
      </c>
      <c r="AW233" s="21" t="n">
        <f aca="false">IF(ISBLANK(Actuals!AX51),-21*Escalation!$B$46,Actuals!AX51)</f>
        <v>-21.8484</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-22.285368</v>
      </c>
      <c r="BB233" s="21" t="n">
        <f aca="false">IF(ISBLANK(Actuals!BC51),-21*Escalation!$B$51,Actuals!BC51)</f>
        <v>-22.285368</v>
      </c>
      <c r="BC233" s="21" t="n">
        <f aca="false">IF(ISBLANK(Actuals!BD51),-21*Escalation!$B$52,Actuals!BD51)</f>
        <v>-22.285368</v>
      </c>
      <c r="BD233" s="21" t="n">
        <f aca="false">IF(ISBLANK(Actuals!BE51),-21*Escalation!$B$53,Actuals!BE51)</f>
        <v>-22.285368</v>
      </c>
      <c r="BE233" s="21" t="n">
        <f aca="false">IF(ISBLANK(Actuals!BF51),-21*Escalation!$B$54,Actuals!BF51)</f>
        <v>-22.285368</v>
      </c>
      <c r="BF233" s="21" t="n">
        <f aca="false">IF(ISBLANK(Actuals!BG51),-21*Escalation!$B$55,Actuals!BG51)</f>
        <v>-22.285368</v>
      </c>
      <c r="BG233" s="21" t="n">
        <f aca="false">IF(ISBLANK(Actuals!BH51),-21*Escalation!$B$56,Actuals!BH51)</f>
        <v>-22.285368</v>
      </c>
      <c r="BH233" s="21" t="n">
        <f aca="false">IF(ISBLANK(Actuals!BI51),-21*Escalation!$B$57,Actuals!BI51)</f>
        <v>-22.285368</v>
      </c>
      <c r="BI233" s="21" t="n">
        <f aca="false">IF(ISBLANK(Actuals!BJ51),-21*Escalation!$B$58,Actuals!BJ51)</f>
        <v>-22.285368</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-22.73107536</v>
      </c>
      <c r="BN233" s="21" t="n">
        <f aca="false">IF(ISBLANK(Actuals!BO51),-21*Escalation!$B$63,Actuals!BO51)</f>
        <v>-22.73107536</v>
      </c>
      <c r="BO233" s="21" t="n">
        <f aca="false">IF(ISBLANK(Actuals!BP51),-21*Escalation!$B$64,Actuals!BP51)</f>
        <v>-22.73107536</v>
      </c>
      <c r="BP233" s="21" t="n">
        <f aca="false">IF(ISBLANK(Actuals!BQ51),-21*Escalation!$B$65,Actuals!BQ51)</f>
        <v>-22.73107536</v>
      </c>
      <c r="BQ233" s="21" t="n">
        <f aca="false">IF(ISBLANK(Actuals!BR51),-21*Escalation!$B$66,Actuals!BR51)</f>
        <v>-22.73107536</v>
      </c>
      <c r="BR233" s="21" t="n">
        <f aca="false">IF(ISBLANK(Actuals!BS51),-21*Escalation!$B$67,Actuals!BS51)</f>
        <v>-22.73107536</v>
      </c>
      <c r="BS233" s="21" t="n">
        <f aca="false">IF(ISBLANK(Actuals!BT51),-21*Escalation!$B$68,Actuals!BT51)</f>
        <v>-22.73107536</v>
      </c>
      <c r="BT233" s="21" t="n">
        <f aca="false">IF(ISBLANK(Actuals!BU51),-21*Escalation!$B$69,Actuals!BU51)</f>
        <v>-22.73107536</v>
      </c>
      <c r="BU233" s="21" t="n">
        <f aca="false">IF(ISBLANK(Actuals!BV51),-21*Escalation!$B$70,Actuals!BV51)</f>
        <v>-22.73107536</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-23.1856968672</v>
      </c>
      <c r="BZ233" s="21" t="n">
        <f aca="false">IF(ISBLANK(Actuals!CA51),-21*Escalation!$B$75,Actuals!CA51)</f>
        <v>-23.1856968672</v>
      </c>
      <c r="CA233" s="21" t="n">
        <f aca="false">IF(ISBLANK(Actuals!CB51),-21*Escalation!$B$76,Actuals!CB51)</f>
        <v>-23.1856968672</v>
      </c>
      <c r="CB233" s="21" t="n">
        <f aca="false">IF(ISBLANK(Actuals!CC51),-21*Escalation!$B$77,Actuals!CC51)</f>
        <v>-23.1856968672</v>
      </c>
      <c r="CC233" s="21" t="n">
        <f aca="false">IF(ISBLANK(Actuals!CD51),-21*Escalation!$B$78,Actuals!CD51)</f>
        <v>-23.1856968672</v>
      </c>
      <c r="CD233" s="21" t="n">
        <f aca="false">IF(ISBLANK(Actuals!CE51),-21*Escalation!$B$79,Actuals!CE51)</f>
        <v>-23.1856968672</v>
      </c>
      <c r="CE233" s="21" t="n">
        <f aca="false">IF(ISBLANK(Actuals!CF51),-21*Escalation!$B$80,Actuals!CF51)</f>
        <v>-23.1856968672</v>
      </c>
      <c r="CF233" s="21" t="n">
        <f aca="false">IF(ISBLANK(Actuals!CG51),-21*Escalation!$B$81,Actuals!CG51)</f>
        <v>-23.1856968672</v>
      </c>
      <c r="CG233" s="21" t="n">
        <f aca="false">IF(ISBLANK(Actuals!CH51),-21*Escalation!$B$82,Actuals!CH51)</f>
        <v>-23.1856968672</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-23.649410804544</v>
      </c>
      <c r="CL233" s="21" t="n">
        <f aca="false">IF(ISBLANK(Actuals!CM51),-21*Escalation!$B$87,Actuals!CM51)</f>
        <v>-23.649410804544</v>
      </c>
      <c r="CM233" s="21" t="n">
        <f aca="false">IF(ISBLANK(Actuals!CN51),-21*Escalation!$B$88,Actuals!CN51)</f>
        <v>-23.649410804544</v>
      </c>
      <c r="CN233" s="21" t="n">
        <f aca="false">IF(ISBLANK(Actuals!CO51),-21*Escalation!$B$89,Actuals!CO51)</f>
        <v>-23.649410804544</v>
      </c>
      <c r="CO233" s="21" t="n">
        <f aca="false">IF(ISBLANK(Actuals!CP51),-21*Escalation!$B$90,Actuals!CP51)</f>
        <v>-23.649410804544</v>
      </c>
      <c r="CP233" s="21" t="n">
        <f aca="false">IF(ISBLANK(Actuals!CQ51),-21*Escalation!$B$91,Actuals!CQ51)</f>
        <v>-23.649410804544</v>
      </c>
      <c r="CQ233" s="21" t="n">
        <f aca="false">IF(ISBLANK(Actuals!CR51),-21*Escalation!$B$92,Actuals!CR51)</f>
        <v>-23.649410804544</v>
      </c>
      <c r="CR233" s="21" t="n">
        <f aca="false">IF(ISBLANK(Actuals!CS51),-21*Escalation!$B$93,Actuals!CS51)</f>
        <v>-23.649410804544</v>
      </c>
      <c r="CS233" s="21" t="n">
        <f aca="false">IF(ISBLANK(Actuals!CT51),-21*Escalation!$B$94,Actuals!CT51)</f>
        <v>-23.649410804544</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-24.1223990206349</v>
      </c>
      <c r="CX233" s="21" t="n">
        <f aca="false">IF(ISBLANK(Actuals!CY51),-21*Escalation!$B$99,Actuals!CY51)</f>
        <v>-24.1223990206349</v>
      </c>
      <c r="CY233" s="21" t="n">
        <f aca="false">IF(ISBLANK(Actuals!CZ51),-21*Escalation!$B$100,Actuals!CZ51)</f>
        <v>-24.1223990206349</v>
      </c>
      <c r="CZ233" s="21" t="n">
        <f aca="false">IF(ISBLANK(Actuals!DA51),-21*Escalation!$B$101,Actuals!DA51)</f>
        <v>-24.1223990206349</v>
      </c>
      <c r="DA233" s="21" t="n">
        <f aca="false">IF(ISBLANK(Actuals!DB51),-21*Escalation!$B$102,Actuals!DB51)</f>
        <v>-24.1223990206349</v>
      </c>
      <c r="DB233" s="21" t="n">
        <f aca="false">IF(ISBLANK(Actuals!DC51),-21*Escalation!$B$103,Actuals!DC51)</f>
        <v>-24.1223990206349</v>
      </c>
      <c r="DC233" s="21" t="n">
        <f aca="false">IF(ISBLANK(Actuals!DD51),-21*Escalation!$B$104,Actuals!DD51)</f>
        <v>-24.1223990206349</v>
      </c>
      <c r="DD233" s="21" t="n">
        <f aca="false">IF(ISBLANK(Actuals!DE51),-21*Escalation!$B$105,Actuals!DE51)</f>
        <v>-24.1223990206349</v>
      </c>
      <c r="DE233" s="21" t="n">
        <f aca="false">IF(ISBLANK(Actuals!DF51),-21*Escalation!$B$106,Actuals!DF51)</f>
        <v>-24.1223990206349</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-0</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-0</v>
      </c>
      <c r="T234" s="21" t="n">
        <f aca="false">IF(ISBLANK(Actuals!U52),-MAX(0,'BD Commission Detail'!U53),Actuals!U52)</f>
        <v>-0</v>
      </c>
      <c r="U234" s="21" t="n">
        <f aca="false">IF(ISBLANK(Actuals!V52),-MAX(0,'BD Commission Detail'!V53),Actuals!V52)</f>
        <v>-0</v>
      </c>
      <c r="V234" s="21" t="n">
        <f aca="false">IF(ISBLANK(Actuals!W52),-MAX(0,'BD Commission Detail'!W53),Actuals!W52)</f>
        <v>-0</v>
      </c>
      <c r="W234" s="21" t="n">
        <f aca="false">IF(ISBLANK(Actuals!X52),-MAX(0,'BD Commission Detail'!X53),Actuals!X52)</f>
        <v>-0</v>
      </c>
      <c r="X234" s="21" t="n">
        <f aca="false">IF(ISBLANK(Actuals!Y52),-MAX(0,'BD Commission Detail'!Y53),Actuals!Y52)</f>
        <v>-62565.82645</v>
      </c>
      <c r="Y234" s="21" t="n">
        <f aca="false">IF(ISBLANK(Actuals!Z52),-MAX(0,'BD Commission Detail'!Z53),Actuals!Z52)</f>
        <v>-0</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-0</v>
      </c>
      <c r="AI234" s="21" t="n">
        <f aca="false">IF(ISBLANK(Actuals!AJ52),-MAX(0,'BD Commission Detail'!AJ53),Actuals!AJ52)</f>
        <v>-0</v>
      </c>
      <c r="AJ234" s="21" t="n">
        <f aca="false">IF(ISBLANK(Actuals!AK52),-MAX(0,'BD Commission Detail'!AK53),Actuals!AK52)</f>
        <v>-0</v>
      </c>
      <c r="AK234" s="21" t="n">
        <f aca="false">IF(ISBLANK(Actuals!AL52),-MAX(0,'BD Commission Detail'!AL53),Actuals!AL52)</f>
        <v>-0</v>
      </c>
      <c r="AL234" s="21" t="n">
        <f aca="false">IF(ISBLANK(Actuals!AM52),-MAX(0,'BD Commission Detail'!AM53),Actuals!AM52)</f>
        <v>-0</v>
      </c>
      <c r="AM234" s="21" t="n">
        <f aca="false">IF(ISBLANK(Actuals!AN52),-MAX(0,'BD Commission Detail'!AN53),Actuals!AN52)</f>
        <v>-0</v>
      </c>
      <c r="AN234" s="21" t="n">
        <f aca="false">IF(ISBLANK(Actuals!AO52),-MAX(0,'BD Commission Detail'!AO53),Actuals!AO52)</f>
        <v>-0</v>
      </c>
      <c r="AO234" s="21" t="n">
        <f aca="false">IF(ISBLANK(Actuals!AP52),-MAX(0,'BD Commission Detail'!AP53),Actuals!AP52)</f>
        <v>-0</v>
      </c>
      <c r="AP234" s="21" t="n">
        <f aca="false">IF(ISBLANK(Actuals!AQ52),-MAX(0,'BD Commission Detail'!AQ53),Actuals!AQ52)</f>
        <v>-0</v>
      </c>
      <c r="AQ234" s="21" t="n">
        <f aca="false">IF(ISBLANK(Actuals!AR52),-MAX(0,'BD Commission Detail'!AR53),Actuals!AR52)</f>
        <v>-0</v>
      </c>
      <c r="AR234" s="21" t="n">
        <f aca="false">IF(ISBLANK(Actuals!AS52),-MAX(0,'BD Commission Detail'!AS53),Actuals!AS52)</f>
        <v>-0</v>
      </c>
      <c r="AS234" s="21" t="n">
        <f aca="false">IF(ISBLANK(Actuals!AT52),-MAX(0,'BD Commission Detail'!AT53),Actuals!AT52)</f>
        <v>-0</v>
      </c>
      <c r="AT234" s="21" t="n">
        <f aca="false">IF(ISBLANK(Actuals!AU52),-MAX(0,'BD Commission Detail'!AU53),Actuals!AU52)</f>
        <v>-53891.1325195699</v>
      </c>
      <c r="AU234" s="21" t="n">
        <f aca="false">IF(ISBLANK(Actuals!AV52),-MAX(0,'BD Commission Detail'!AV53),Actuals!AV52)</f>
        <v>-0</v>
      </c>
      <c r="AV234" s="21" t="n">
        <f aca="false">IF(ISBLANK(Actuals!AW52),-MAX(0,'BD Commission Detail'!AW53),Actuals!AW52)</f>
        <v>-0</v>
      </c>
      <c r="AW234" s="21" t="n">
        <f aca="false">IF(ISBLANK(Actuals!AX52),-MAX(0,'BD Commission Detail'!AX53),Actuals!AX52)</f>
        <v>-0</v>
      </c>
      <c r="AX234" s="21" t="n">
        <f aca="false">IF(ISBLANK(Actuals!AY52),-MAX(0,'BD Commission Detail'!AY53),Actuals!AY52)</f>
        <v>-0</v>
      </c>
      <c r="AY234" s="21" t="n">
        <f aca="false">IF(ISBLANK(Actuals!AZ52),-MAX(0,'BD Commission Detail'!AZ53),Actuals!AZ52)</f>
        <v>-0</v>
      </c>
      <c r="AZ234" s="21" t="n">
        <f aca="false">IF(ISBLANK(Actuals!BA52),-MAX(0,'BD Commission Detail'!BA53),Actuals!BA52)</f>
        <v>-0</v>
      </c>
      <c r="BA234" s="21" t="n">
        <f aca="false">IF(ISBLANK(Actuals!BB52),-MAX(0,'BD Commission Detail'!BB53),Actuals!BB52)</f>
        <v>-0</v>
      </c>
      <c r="BB234" s="21" t="n">
        <f aca="false">IF(ISBLANK(Actuals!BC52),-MAX(0,'BD Commission Detail'!BC53),Actuals!BC52)</f>
        <v>-0</v>
      </c>
      <c r="BC234" s="21" t="n">
        <f aca="false">IF(ISBLANK(Actuals!BD52),-MAX(0,'BD Commission Detail'!BD53),Actuals!BD52)</f>
        <v>-0</v>
      </c>
      <c r="BD234" s="21" t="n">
        <f aca="false">IF(ISBLANK(Actuals!BE52),-MAX(0,'BD Commission Detail'!BE53),Actuals!BE52)</f>
        <v>-0</v>
      </c>
      <c r="BE234" s="21" t="n">
        <f aca="false">IF(ISBLANK(Actuals!BF52),-MAX(0,'BD Commission Detail'!BF53),Actuals!BF52)</f>
        <v>-0</v>
      </c>
      <c r="BF234" s="21" t="n">
        <f aca="false">IF(ISBLANK(Actuals!BG52),-MAX(0,'BD Commission Detail'!BG53),Actuals!BG52)</f>
        <v>-0</v>
      </c>
      <c r="BG234" s="21" t="n">
        <f aca="false">IF(ISBLANK(Actuals!BH52),-MAX(0,'BD Commission Detail'!BH53),Actuals!BH52)</f>
        <v>-0</v>
      </c>
      <c r="BH234" s="21" t="n">
        <f aca="false">IF(ISBLANK(Actuals!BI52),-MAX(0,'BD Commission Detail'!BI53),Actuals!BI52)</f>
        <v>-0</v>
      </c>
      <c r="BI234" s="21" t="n">
        <f aca="false">IF(ISBLANK(Actuals!BJ52),-MAX(0,'BD Commission Detail'!BJ53),Actuals!BJ52)</f>
        <v>-0</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-0</v>
      </c>
      <c r="BN234" s="21" t="n">
        <f aca="false">IF(ISBLANK(Actuals!BO52),-MAX(0,'BD Commission Detail'!BO53),Actuals!BO52)</f>
        <v>-0</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-0</v>
      </c>
      <c r="BS234" s="21" t="n">
        <f aca="false">IF(ISBLANK(Actuals!BT52),-MAX(0,'BD Commission Detail'!BT53),Actuals!BT52)</f>
        <v>-0</v>
      </c>
      <c r="BT234" s="21" t="n">
        <f aca="false">IF(ISBLANK(Actuals!BU52),-MAX(0,'BD Commission Detail'!BU53),Actuals!BU52)</f>
        <v>-0</v>
      </c>
      <c r="BU234" s="21" t="n">
        <f aca="false">IF(ISBLANK(Actuals!BV52),-MAX(0,'BD Commission Detail'!BV53),Actuals!BV52)</f>
        <v>-0</v>
      </c>
      <c r="BV234" s="21" t="n">
        <f aca="false">IF(ISBLANK(Actuals!BW52),-MAX(0,'BD Commission Detail'!BW53),Actuals!BW52)</f>
        <v>-0</v>
      </c>
      <c r="BW234" s="21" t="n">
        <f aca="false">IF(ISBLANK(Actuals!BX52),-MAX(0,'BD Commission Detail'!BX53),Actuals!BX52)</f>
        <v>-0</v>
      </c>
      <c r="BX234" s="21" t="n">
        <f aca="false">IF(ISBLANK(Actuals!BY52),-MAX(0,'BD Commission Detail'!BY53),Actuals!BY52)</f>
        <v>-0</v>
      </c>
      <c r="BY234" s="21" t="n">
        <f aca="false">IF(ISBLANK(Actuals!BZ52),-MAX(0,'BD Commission Detail'!BZ53),Actuals!BZ52)</f>
        <v>-0</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IF(ISBLANK(Actuals!K53),-1250*Escalation!$B$7,Actuals!K53)</f>
        <v>0</v>
      </c>
      <c r="K235" s="21" t="n">
        <f aca="false">IF(ISBLANK(Actuals!L53),-1250*Escalation!$B$8,Actuals!L53)</f>
        <v>-1250</v>
      </c>
      <c r="L235" s="21" t="n">
        <f aca="false">IF(ISBLANK(Actuals!M53),-1250*Escalation!$B$9,Actuals!M53)</f>
        <v>-1250</v>
      </c>
      <c r="M235" s="21" t="n">
        <f aca="false">IF(ISBLANK(Actuals!N53),-1250*Escalation!$B$10,Actuals!N53)</f>
        <v>-1250</v>
      </c>
      <c r="N235" s="21" t="n">
        <f aca="false">IF(ISBLANK(Actuals!O53),-1250*Escalation!$B$11,Actuals!O53)</f>
        <v>-1250</v>
      </c>
      <c r="O235" s="21" t="n">
        <f aca="false">IF(ISBLANK(Actuals!P53),-1250*Escalation!$B$12,Actuals!P53)</f>
        <v>-1250</v>
      </c>
      <c r="P235" s="21" t="n">
        <f aca="false">IF(ISBLANK(Actuals!Q53),-1250*Escalation!$B$13,Actuals!Q53)</f>
        <v>-1250</v>
      </c>
      <c r="Q235" s="21" t="n">
        <f aca="false">IF(ISBLANK(Actuals!R53),-1250*Escalation!$B$14,Actuals!R53)</f>
        <v>-1250</v>
      </c>
      <c r="R235" s="21" t="n">
        <f aca="false">IF(ISBLANK(Actuals!S53),-1250*Escalation!$B$15,Actuals!S53)</f>
        <v>-1250</v>
      </c>
      <c r="S235" s="21" t="n">
        <f aca="false">IF(ISBLANK(Actuals!T53),-1250*Escalation!$B$16,Actuals!T53)</f>
        <v>-1250</v>
      </c>
      <c r="T235" s="21" t="n">
        <f aca="false">IF(ISBLANK(Actuals!U53),-1250*Escalation!$B$17,Actuals!U53)</f>
        <v>-1250</v>
      </c>
      <c r="U235" s="21" t="n">
        <f aca="false">IF(ISBLANK(Actuals!V53),-1250*Escalation!$B$18,Actuals!V53)</f>
        <v>-1250</v>
      </c>
      <c r="V235" s="21" t="n">
        <f aca="false">IF(ISBLANK(Actuals!W53),-1250*Escalation!$B$19,Actuals!W53)</f>
        <v>-1250</v>
      </c>
      <c r="W235" s="21" t="n">
        <f aca="false">IF(ISBLANK(Actuals!X53),-1250*Escalation!$B$20,Actuals!X53)</f>
        <v>-1250</v>
      </c>
      <c r="X235" s="21" t="n">
        <f aca="false">IF(ISBLANK(Actuals!Y53),-1250*Escalation!$B$21,Actuals!Y53)</f>
        <v>-1250</v>
      </c>
      <c r="Y235" s="21" t="n">
        <f aca="false">IF(ISBLANK(Actuals!Z53),-1250*Escalation!$B$22,Actuals!Z53)</f>
        <v>-1250</v>
      </c>
      <c r="Z235" s="21" t="n">
        <f aca="false">IF(ISBLANK(Actuals!AA53),-1250*Escalation!$B$23,Actuals!AA53)</f>
        <v>-1275</v>
      </c>
      <c r="AA235" s="21" t="n">
        <f aca="false">IF(ISBLANK(Actuals!AB53),-1250*Escalation!$B$24,Actuals!AB53)</f>
        <v>-1275</v>
      </c>
      <c r="AB235" s="21" t="n">
        <f aca="false">IF(ISBLANK(Actuals!AC53),-1250*Escalation!$B$25,Actuals!AC53)</f>
        <v>-1275</v>
      </c>
      <c r="AC235" s="21" t="n">
        <f aca="false">IF(ISBLANK(Actuals!AD53),-1250*Escalation!$B$26,Actuals!AD53)</f>
        <v>-1275</v>
      </c>
      <c r="AD235" s="21" t="n">
        <f aca="false">IF(ISBLANK(Actuals!AE53),-1250*Escalation!$B$27,Actuals!AE53)</f>
        <v>-1275</v>
      </c>
      <c r="AE235" s="21" t="n">
        <f aca="false">IF(ISBLANK(Actuals!AF53),-1250*Escalation!$B$28,Actuals!AF53)</f>
        <v>-1275</v>
      </c>
      <c r="AF235" s="21" t="n">
        <f aca="false">IF(ISBLANK(Actuals!AG53),-1250*Escalation!$B$29,Actuals!AG53)</f>
        <v>-1275</v>
      </c>
      <c r="AG235" s="21" t="n">
        <f aca="false">IF(ISBLANK(Actuals!AH53),-1250*Escalation!$B$30,Actuals!AH53)</f>
        <v>-1275</v>
      </c>
      <c r="AH235" s="21" t="n">
        <f aca="false">IF(ISBLANK(Actuals!AI53),-1250*Escalation!$B$31,Actuals!AI53)</f>
        <v>-1275</v>
      </c>
      <c r="AI235" s="21" t="n">
        <f aca="false">IF(ISBLANK(Actuals!AJ53),-1250*Escalation!$B$32,Actuals!AJ53)</f>
        <v>-1275</v>
      </c>
      <c r="AJ235" s="21" t="n">
        <f aca="false">IF(ISBLANK(Actuals!AK53),-1250*Escalation!$B$33,Actuals!AK53)</f>
        <v>-1275</v>
      </c>
      <c r="AK235" s="21" t="n">
        <f aca="false">IF(ISBLANK(Actuals!AL53),-1250*Escalation!$B$34,Actuals!AL53)</f>
        <v>-1275</v>
      </c>
      <c r="AL235" s="21" t="n">
        <f aca="false">IF(ISBLANK(Actuals!AM53),-1250*Escalation!$B$35,Actuals!AM53)</f>
        <v>-1300.5</v>
      </c>
      <c r="AM235" s="21" t="n">
        <f aca="false">IF(ISBLANK(Actuals!AN53),-1250*Escalation!$B$36,Actuals!AN53)</f>
        <v>-1300.5</v>
      </c>
      <c r="AN235" s="21" t="n">
        <f aca="false">IF(ISBLANK(Actuals!AO53),-1250*Escalation!$B$37,Actuals!AO53)</f>
        <v>-1300.5</v>
      </c>
      <c r="AO235" s="21" t="n">
        <f aca="false">IF(ISBLANK(Actuals!AP53),-1250*Escalation!$B$38,Actuals!AP53)</f>
        <v>-1300.5</v>
      </c>
      <c r="AP235" s="21" t="n">
        <f aca="false">IF(ISBLANK(Actuals!AQ53),-1250*Escalation!$B$39,Actuals!AQ53)</f>
        <v>-1300.5</v>
      </c>
      <c r="AQ235" s="21" t="n">
        <f aca="false">IF(ISBLANK(Actuals!AR53),-1250*Escalation!$B$40,Actuals!AR53)</f>
        <v>-1300.5</v>
      </c>
      <c r="AR235" s="21" t="n">
        <f aca="false">IF(ISBLANK(Actuals!AS53),-1250*Escalation!$B$41,Actuals!AS53)</f>
        <v>-1300.5</v>
      </c>
      <c r="AS235" s="21" t="n">
        <f aca="false">IF(ISBLANK(Actuals!AT53),-1250*Escalation!$B$42,Actuals!AT53)</f>
        <v>-1300.5</v>
      </c>
      <c r="AT235" s="21" t="n">
        <f aca="false">IF(ISBLANK(Actuals!AU53),-1250*Escalation!$B$43,Actuals!AU53)</f>
        <v>-1300.5</v>
      </c>
      <c r="AU235" s="21" t="n">
        <f aca="false">IF(ISBLANK(Actuals!AV53),-1250*Escalation!$B$44,Actuals!AV53)</f>
        <v>-1300.5</v>
      </c>
      <c r="AV235" s="21" t="n">
        <f aca="false">IF(ISBLANK(Actuals!AW53),-1250*Escalation!$B$45,Actuals!AW53)</f>
        <v>-1300.5</v>
      </c>
      <c r="AW235" s="21" t="n">
        <f aca="false">IF(ISBLANK(Actuals!AX53),-1250*Escalation!$B$46,Actuals!AX53)</f>
        <v>-1300.5</v>
      </c>
      <c r="AX235" s="21" t="n">
        <f aca="false">IF(ISBLANK(Actuals!AY53),-1250*Escalation!$B$47,Actuals!AY53)</f>
        <v>-1326.51</v>
      </c>
      <c r="AY235" s="21" t="n">
        <f aca="false">IF(ISBLANK(Actuals!AZ53),-1250*Escalation!$B$48,Actuals!AZ53)</f>
        <v>-1326.51</v>
      </c>
      <c r="AZ235" s="21" t="n">
        <f aca="false">IF(ISBLANK(Actuals!BA53),-1250*Escalation!$B$49,Actuals!BA53)</f>
        <v>-1326.51</v>
      </c>
      <c r="BA235" s="21" t="n">
        <f aca="false">IF(ISBLANK(Actuals!BB53),-1250*Escalation!$B$50,Actuals!BB53)</f>
        <v>-1326.51</v>
      </c>
      <c r="BB235" s="21" t="n">
        <f aca="false">IF(ISBLANK(Actuals!BC53),-1250*Escalation!$B$51,Actuals!BC53)</f>
        <v>-1326.51</v>
      </c>
      <c r="BC235" s="21" t="n">
        <f aca="false">IF(ISBLANK(Actuals!BD53),-1250*Escalation!$B$52,Actuals!BD53)</f>
        <v>-1326.51</v>
      </c>
      <c r="BD235" s="21" t="n">
        <f aca="false">IF(ISBLANK(Actuals!BE53),-1250*Escalation!$B$53,Actuals!BE53)</f>
        <v>-1326.51</v>
      </c>
      <c r="BE235" s="21" t="n">
        <f aca="false">IF(ISBLANK(Actuals!BF53),-1250*Escalation!$B$54,Actuals!BF53)</f>
        <v>-1326.51</v>
      </c>
      <c r="BF235" s="21" t="n">
        <f aca="false">IF(ISBLANK(Actuals!BG53),-1250*Escalation!$B$55,Actuals!BG53)</f>
        <v>-1326.51</v>
      </c>
      <c r="BG235" s="21" t="n">
        <f aca="false">IF(ISBLANK(Actuals!BH53),-1250*Escalation!$B$56,Actuals!BH53)</f>
        <v>-1326.51</v>
      </c>
      <c r="BH235" s="21" t="n">
        <f aca="false">IF(ISBLANK(Actuals!BI53),-1250*Escalation!$B$57,Actuals!BI53)</f>
        <v>-1326.51</v>
      </c>
      <c r="BI235" s="21" t="n">
        <f aca="false">IF(ISBLANK(Actuals!BJ53),-1250*Escalation!$B$58,Actuals!BJ53)</f>
        <v>-1326.51</v>
      </c>
      <c r="BJ235" s="21" t="n">
        <f aca="false">IF(ISBLANK(Actuals!BK53),-1250*Escalation!$B$59,Actuals!BK53)</f>
        <v>-1353.0402</v>
      </c>
      <c r="BK235" s="21" t="n">
        <f aca="false">IF(ISBLANK(Actuals!BL53),-1250*Escalation!$B$60,Actuals!BL53)</f>
        <v>-1353.0402</v>
      </c>
      <c r="BL235" s="21" t="n">
        <f aca="false">IF(ISBLANK(Actuals!BM53),-1250*Escalation!$B$61,Actuals!BM53)</f>
        <v>-1353.0402</v>
      </c>
      <c r="BM235" s="21" t="n">
        <f aca="false">IF(ISBLANK(Actuals!BN53),-1250*Escalation!$B$62,Actuals!BN53)</f>
        <v>-1353.0402</v>
      </c>
      <c r="BN235" s="21" t="n">
        <f aca="false">IF(ISBLANK(Actuals!BO53),-1250*Escalation!$B$63,Actuals!BO53)</f>
        <v>-1353.0402</v>
      </c>
      <c r="BO235" s="21" t="n">
        <f aca="false">IF(ISBLANK(Actuals!BP53),-1250*Escalation!$B$64,Actuals!BP53)</f>
        <v>-1353.0402</v>
      </c>
      <c r="BP235" s="21" t="n">
        <f aca="false">IF(ISBLANK(Actuals!BQ53),-1250*Escalation!$B$65,Actuals!BQ53)</f>
        <v>-1353.0402</v>
      </c>
      <c r="BQ235" s="21" t="n">
        <f aca="false">IF(ISBLANK(Actuals!BR53),-1250*Escalation!$B$66,Actuals!BR53)</f>
        <v>-1353.0402</v>
      </c>
      <c r="BR235" s="21" t="n">
        <f aca="false">IF(ISBLANK(Actuals!BS53),-1250*Escalation!$B$67,Actuals!BS53)</f>
        <v>-1353.0402</v>
      </c>
      <c r="BS235" s="21" t="n">
        <f aca="false">IF(ISBLANK(Actuals!BT53),-1250*Escalation!$B$68,Actuals!BT53)</f>
        <v>-1353.0402</v>
      </c>
      <c r="BT235" s="21" t="n">
        <f aca="false">IF(ISBLANK(Actuals!BU53),-1250*Escalation!$B$69,Actuals!BU53)</f>
        <v>-1353.0402</v>
      </c>
      <c r="BU235" s="21" t="n">
        <f aca="false">IF(ISBLANK(Actuals!BV53),-1250*Escalation!$B$70,Actuals!BV53)</f>
        <v>-1353.0402</v>
      </c>
      <c r="BV235" s="21" t="n">
        <f aca="false">IF(ISBLANK(Actuals!BW53),-1250*Escalation!$B$71,Actuals!BW53)</f>
        <v>-1380.101004</v>
      </c>
      <c r="BW235" s="21" t="n">
        <f aca="false">IF(ISBLANK(Actuals!BX53),-1250*Escalation!$B$72,Actuals!BX53)</f>
        <v>-1380.101004</v>
      </c>
      <c r="BX235" s="21" t="n">
        <f aca="false">IF(ISBLANK(Actuals!BY53),-1250*Escalation!$B$73,Actuals!BY53)</f>
        <v>-1380.101004</v>
      </c>
      <c r="BY235" s="21" t="n">
        <f aca="false">IF(ISBLANK(Actuals!BZ53),-1250*Escalation!$B$74,Actuals!BZ53)</f>
        <v>-1380.101004</v>
      </c>
      <c r="BZ235" s="21" t="n">
        <f aca="false">IF(ISBLANK(Actuals!CA53),-1250*Escalation!$B$75,Actuals!CA53)</f>
        <v>-1380.101004</v>
      </c>
      <c r="CA235" s="21" t="n">
        <f aca="false">IF(ISBLANK(Actuals!CB53),-1250*Escalation!$B$76,Actuals!CB53)</f>
        <v>-1380.101004</v>
      </c>
      <c r="CB235" s="21" t="n">
        <f aca="false">IF(ISBLANK(Actuals!CC53),-1250*Escalation!$B$77,Actuals!CC53)</f>
        <v>-1380.101004</v>
      </c>
      <c r="CC235" s="21" t="n">
        <f aca="false">IF(ISBLANK(Actuals!CD53),-1250*Escalation!$B$78,Actuals!CD53)</f>
        <v>-1380.101004</v>
      </c>
      <c r="CD235" s="21" t="n">
        <f aca="false">IF(ISBLANK(Actuals!CE53),-1250*Escalation!$B$79,Actuals!CE53)</f>
        <v>-1380.101004</v>
      </c>
      <c r="CE235" s="21" t="n">
        <f aca="false">IF(ISBLANK(Actuals!CF53),-1250*Escalation!$B$80,Actuals!CF53)</f>
        <v>-1380.101004</v>
      </c>
      <c r="CF235" s="21" t="n">
        <f aca="false">IF(ISBLANK(Actuals!CG53),-1250*Escalation!$B$81,Actuals!CG53)</f>
        <v>-1380.101004</v>
      </c>
      <c r="CG235" s="21" t="n">
        <f aca="false">IF(ISBLANK(Actuals!CH53),-1250*Escalation!$B$82,Actuals!CH53)</f>
        <v>-1380.101004</v>
      </c>
      <c r="CH235" s="21" t="n">
        <f aca="false">IF(ISBLANK(Actuals!CI53),-1250*Escalation!$B$83,Actuals!CI53)</f>
        <v>-1407.70302408</v>
      </c>
      <c r="CI235" s="21" t="n">
        <f aca="false">IF(ISBLANK(Actuals!CJ53),-1250*Escalation!$B$84,Actuals!CJ53)</f>
        <v>-1407.70302408</v>
      </c>
      <c r="CJ235" s="21" t="n">
        <f aca="false">IF(ISBLANK(Actuals!CK53),-1250*Escalation!$B$85,Actuals!CK53)</f>
        <v>-1407.70302408</v>
      </c>
      <c r="CK235" s="21" t="n">
        <f aca="false">IF(ISBLANK(Actuals!CL53),-1250*Escalation!$B$86,Actuals!CL53)</f>
        <v>-1407.70302408</v>
      </c>
      <c r="CL235" s="21" t="n">
        <f aca="false">IF(ISBLANK(Actuals!CM53),-1250*Escalation!$B$87,Actuals!CM53)</f>
        <v>-1407.70302408</v>
      </c>
      <c r="CM235" s="21" t="n">
        <f aca="false">IF(ISBLANK(Actuals!CN53),-1250*Escalation!$B$88,Actuals!CN53)</f>
        <v>-1407.70302408</v>
      </c>
      <c r="CN235" s="21" t="n">
        <f aca="false">IF(ISBLANK(Actuals!CO53),-1250*Escalation!$B$89,Actuals!CO53)</f>
        <v>-1407.70302408</v>
      </c>
      <c r="CO235" s="21" t="n">
        <f aca="false">IF(ISBLANK(Actuals!CP53),-1250*Escalation!$B$90,Actuals!CP53)</f>
        <v>-1407.70302408</v>
      </c>
      <c r="CP235" s="21" t="n">
        <f aca="false">IF(ISBLANK(Actuals!CQ53),-1250*Escalation!$B$91,Actuals!CQ53)</f>
        <v>-1407.70302408</v>
      </c>
      <c r="CQ235" s="21" t="n">
        <f aca="false">IF(ISBLANK(Actuals!CR53),-1250*Escalation!$B$92,Actuals!CR53)</f>
        <v>-1407.70302408</v>
      </c>
      <c r="CR235" s="21" t="n">
        <f aca="false">IF(ISBLANK(Actuals!CS53),-1250*Escalation!$B$93,Actuals!CS53)</f>
        <v>-1407.70302408</v>
      </c>
      <c r="CS235" s="21" t="n">
        <f aca="false">IF(ISBLANK(Actuals!CT53),-1250*Escalation!$B$94,Actuals!CT53)</f>
        <v>-1407.70302408</v>
      </c>
      <c r="CT235" s="21" t="n">
        <f aca="false">IF(ISBLANK(Actuals!CU53),-1250*Escalation!$B$95,Actuals!CU53)</f>
        <v>-1435.8570845616</v>
      </c>
      <c r="CU235" s="21" t="n">
        <f aca="false">IF(ISBLANK(Actuals!CV53),-1250*Escalation!$B$96,Actuals!CV53)</f>
        <v>-1435.8570845616</v>
      </c>
      <c r="CV235" s="21" t="n">
        <f aca="false">IF(ISBLANK(Actuals!CW53),-1250*Escalation!$B$97,Actuals!CW53)</f>
        <v>-1435.8570845616</v>
      </c>
      <c r="CW235" s="21" t="n">
        <f aca="false">IF(ISBLANK(Actuals!CX53),-1250*Escalation!$B$98,Actuals!CX53)</f>
        <v>-1435.8570845616</v>
      </c>
      <c r="CX235" s="21" t="n">
        <f aca="false">IF(ISBLANK(Actuals!CY53),-1250*Escalation!$B$99,Actuals!CY53)</f>
        <v>-1435.8570845616</v>
      </c>
      <c r="CY235" s="21" t="n">
        <f aca="false">IF(ISBLANK(Actuals!CZ53),-1250*Escalation!$B$100,Actuals!CZ53)</f>
        <v>-1435.8570845616</v>
      </c>
      <c r="CZ235" s="21" t="n">
        <f aca="false">IF(ISBLANK(Actuals!DA53),-1250*Escalation!$B$101,Actuals!DA53)</f>
        <v>-1435.8570845616</v>
      </c>
      <c r="DA235" s="21" t="n">
        <f aca="false">IF(ISBLANK(Actuals!DB53),-1250*Escalation!$B$102,Actuals!DB53)</f>
        <v>-1435.8570845616</v>
      </c>
      <c r="DB235" s="21" t="n">
        <f aca="false">IF(ISBLANK(Actuals!DC53),-1250*Escalation!$B$103,Actuals!DC53)</f>
        <v>-1435.8570845616</v>
      </c>
      <c r="DC235" s="21" t="n">
        <f aca="false">IF(ISBLANK(Actuals!DD53),-1250*Escalation!$B$104,Actuals!DD53)</f>
        <v>-1435.8570845616</v>
      </c>
      <c r="DD235" s="21" t="n">
        <f aca="false">IF(ISBLANK(Actuals!DE53),-1250*Escalation!$B$105,Actuals!DE53)</f>
        <v>-1435.8570845616</v>
      </c>
      <c r="DE235" s="21" t="n">
        <f aca="false">IF(ISBLANK(Actuals!DF53),-1250*Escalation!$B$106,Actuals!DF53)</f>
        <v>-1435.8570845616</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-380731.51</v>
      </c>
      <c r="K236" s="30" t="n">
        <f aca="false">SUM(K202:K235)+Actuals!L54</f>
        <v>-403247.629666667</v>
      </c>
      <c r="L236" s="30" t="n">
        <f aca="false">SUM(L202:L235)+Actuals!M54</f>
        <v>-395747.629666667</v>
      </c>
      <c r="M236" s="30" t="n">
        <f aca="false">SUM(M202:M235)+Actuals!N54</f>
        <v>-497587.629666667</v>
      </c>
      <c r="N236" s="30" t="n">
        <f aca="false">SUM(N202:N235)+Actuals!O54</f>
        <v>-416147.838</v>
      </c>
      <c r="O236" s="30" t="n">
        <f aca="false">SUM(O202:O235)+Actuals!P54</f>
        <v>-437116.588</v>
      </c>
      <c r="P236" s="30" t="n">
        <f aca="false">SUM(P202:P235)+Actuals!Q54</f>
        <v>-404241.588</v>
      </c>
      <c r="Q236" s="30" t="n">
        <f aca="false">SUM(Q202:Q235)+Actuals!R54</f>
        <v>-431081.588</v>
      </c>
      <c r="R236" s="30" t="n">
        <f aca="false">SUM(R202:R235)+Actuals!S54</f>
        <v>-466890.338</v>
      </c>
      <c r="S236" s="30" t="n">
        <f aca="false">SUM(S202:S235)+Actuals!T54</f>
        <v>-541971.588</v>
      </c>
      <c r="T236" s="30" t="n">
        <f aca="false">SUM(T202:T235)+Actuals!U54</f>
        <v>-498846.588</v>
      </c>
      <c r="U236" s="30" t="n">
        <f aca="false">SUM(U202:U235)+Actuals!V54</f>
        <v>-498846.588</v>
      </c>
      <c r="V236" s="30" t="n">
        <f aca="false">SUM(V202:V235)+Actuals!W54</f>
        <v>-498846.588</v>
      </c>
      <c r="W236" s="30" t="n">
        <f aca="false">SUM(W202:W235)+Actuals!X54</f>
        <v>-592786.588</v>
      </c>
      <c r="X236" s="30" t="n">
        <f aca="false">SUM(X202:X235)+Actuals!Y54</f>
        <v>-613352.41445</v>
      </c>
      <c r="Y236" s="30" t="n">
        <f aca="false">SUM(Y202:Y235)+Actuals!Z54</f>
        <v>-750786.588</v>
      </c>
      <c r="Z236" s="30" t="n">
        <f aca="false">SUM(Z202:Z235)+Actuals!AA54</f>
        <v>-562972.31976</v>
      </c>
      <c r="AA236" s="30" t="n">
        <f aca="false">SUM(AA202:AA235)+Actuals!AB54</f>
        <v>-562972.31976</v>
      </c>
      <c r="AB236" s="30" t="n">
        <f aca="false">SUM(AB202:AB235)+Actuals!AC54</f>
        <v>-562972.31976</v>
      </c>
      <c r="AC236" s="30" t="n">
        <f aca="false">SUM(AC202:AC235)+Actuals!AD54</f>
        <v>-558463.429375385</v>
      </c>
      <c r="AD236" s="30" t="n">
        <f aca="false">SUM(AD202:AD235)+Actuals!AE54</f>
        <v>-533808.696683077</v>
      </c>
      <c r="AE236" s="30" t="n">
        <f aca="false">SUM(AE202:AE235)+Actuals!AF54</f>
        <v>-511885.61976</v>
      </c>
      <c r="AF236" s="30" t="n">
        <f aca="false">SUM(AF202:AF235)+Actuals!AG54</f>
        <v>-511885.61976</v>
      </c>
      <c r="AG236" s="30" t="n">
        <f aca="false">SUM(AG202:AG235)+Actuals!AH54</f>
        <v>-508702.873606154</v>
      </c>
      <c r="AH236" s="30" t="n">
        <f aca="false">SUM(AH202:AH235)+Actuals!AI54</f>
        <v>-492027.612067692</v>
      </c>
      <c r="AI236" s="30" t="n">
        <f aca="false">SUM(AI202:AI235)+Actuals!AJ54</f>
        <v>-479719.91976</v>
      </c>
      <c r="AJ236" s="30" t="n">
        <f aca="false">SUM(AJ202:AJ235)+Actuals!AK54</f>
        <v>-479719.91976</v>
      </c>
      <c r="AK236" s="30" t="n">
        <f aca="false">SUM(AK202:AK235)+Actuals!AL54</f>
        <v>-679719.91976</v>
      </c>
      <c r="AL236" s="30" t="n">
        <f aca="false">SUM(AL202:AL235)+Actuals!AM54</f>
        <v>-488903.3181552</v>
      </c>
      <c r="AM236" s="30" t="n">
        <f aca="false">SUM(AM202:AM235)+Actuals!AN54</f>
        <v>-482639.630770585</v>
      </c>
      <c r="AN236" s="30" t="n">
        <f aca="false">SUM(AN202:AN235)+Actuals!AO54</f>
        <v>-455577.493270585</v>
      </c>
      <c r="AO236" s="30" t="n">
        <f aca="false">SUM(AO202:AO235)+Actuals!AP54</f>
        <v>-440285.641962892</v>
      </c>
      <c r="AP236" s="30" t="n">
        <f aca="false">SUM(AP202:AP235)+Actuals!AQ54</f>
        <v>-417977.9496552</v>
      </c>
      <c r="AQ236" s="30" t="n">
        <f aca="false">SUM(AQ202:AQ235)+Actuals!AR54</f>
        <v>-415531.196770585</v>
      </c>
      <c r="AR236" s="30" t="n">
        <f aca="false">SUM(AR202:AR235)+Actuals!AS54</f>
        <v>-405915.8121552</v>
      </c>
      <c r="AS236" s="30" t="n">
        <f aca="false">SUM(AS202:AS235)+Actuals!AT54</f>
        <v>-405915.8121552</v>
      </c>
      <c r="AT236" s="30" t="n">
        <f aca="false">SUM(AT202:AT235)+Actuals!AU54</f>
        <v>-459806.94467477</v>
      </c>
      <c r="AU236" s="30" t="n">
        <f aca="false">SUM(AU202:AU235)+Actuals!AV54</f>
        <v>-403469.059270585</v>
      </c>
      <c r="AV236" s="30" t="n">
        <f aca="false">SUM(AV202:AV235)+Actuals!AW54</f>
        <v>-393853.6746552</v>
      </c>
      <c r="AW236" s="30" t="n">
        <f aca="false">SUM(AW202:AW235)+Actuals!AX54</f>
        <v>-593853.6746552</v>
      </c>
      <c r="AX236" s="30" t="n">
        <f aca="false">SUM(AX202:AX235)+Actuals!AY54</f>
        <v>-401319.748148304</v>
      </c>
      <c r="AY236" s="30" t="n">
        <f aca="false">SUM(AY202:AY235)+Actuals!AZ54</f>
        <v>-401319.748148304</v>
      </c>
      <c r="AZ236" s="30" t="n">
        <f aca="false">SUM(AZ202:AZ235)+Actuals!BA54</f>
        <v>-401319.748148304</v>
      </c>
      <c r="BA236" s="30" t="n">
        <f aca="false">SUM(BA202:BA235)+Actuals!BB54</f>
        <v>-401319.748148304</v>
      </c>
      <c r="BB236" s="30" t="n">
        <f aca="false">SUM(BB202:BB235)+Actuals!BC54</f>
        <v>-401319.748148304</v>
      </c>
      <c r="BC236" s="30" t="n">
        <f aca="false">SUM(BC202:BC235)+Actuals!BD54</f>
        <v>-401319.748148304</v>
      </c>
      <c r="BD236" s="30" t="n">
        <f aca="false">SUM(BD202:BD235)+Actuals!BE54</f>
        <v>-401319.748148304</v>
      </c>
      <c r="BE236" s="30" t="n">
        <f aca="false">SUM(BE202:BE235)+Actuals!BF54</f>
        <v>-401319.748148304</v>
      </c>
      <c r="BF236" s="30" t="n">
        <f aca="false">SUM(BF202:BF235)+Actuals!BG54</f>
        <v>-401319.748148304</v>
      </c>
      <c r="BG236" s="30" t="n">
        <f aca="false">SUM(BG202:BG235)+Actuals!BH54</f>
        <v>-401319.748148304</v>
      </c>
      <c r="BH236" s="30" t="n">
        <f aca="false">SUM(BH202:BH235)+Actuals!BI54</f>
        <v>-401319.748148304</v>
      </c>
      <c r="BI236" s="30" t="n">
        <f aca="false">SUM(BI202:BI235)+Actuals!BJ54</f>
        <v>-601319.748148304</v>
      </c>
      <c r="BJ236" s="30" t="n">
        <f aca="false">SUM(BJ202:BJ235)+Actuals!BK54</f>
        <v>-408935.14311127</v>
      </c>
      <c r="BK236" s="30" t="n">
        <f aca="false">SUM(BK202:BK235)+Actuals!BL54</f>
        <v>-408935.14311127</v>
      </c>
      <c r="BL236" s="30" t="n">
        <f aca="false">SUM(BL202:BL235)+Actuals!BM54</f>
        <v>-408935.14311127</v>
      </c>
      <c r="BM236" s="30" t="n">
        <f aca="false">SUM(BM202:BM235)+Actuals!BN54</f>
        <v>-408935.14311127</v>
      </c>
      <c r="BN236" s="30" t="n">
        <f aca="false">SUM(BN202:BN235)+Actuals!BO54</f>
        <v>-408935.14311127</v>
      </c>
      <c r="BO236" s="30" t="n">
        <f aca="false">SUM(BO202:BO235)+Actuals!BP54</f>
        <v>-408935.14311127</v>
      </c>
      <c r="BP236" s="30" t="n">
        <f aca="false">SUM(BP202:BP235)+Actuals!BQ54</f>
        <v>-408935.14311127</v>
      </c>
      <c r="BQ236" s="30" t="n">
        <f aca="false">SUM(BQ202:BQ235)+Actuals!BR54</f>
        <v>-408935.14311127</v>
      </c>
      <c r="BR236" s="30" t="n">
        <f aca="false">SUM(BR202:BR235)+Actuals!BS54</f>
        <v>-408935.14311127</v>
      </c>
      <c r="BS236" s="30" t="n">
        <f aca="false">SUM(BS202:BS235)+Actuals!BT54</f>
        <v>-408935.14311127</v>
      </c>
      <c r="BT236" s="30" t="n">
        <f aca="false">SUM(BT202:BT235)+Actuals!BU54</f>
        <v>-408935.14311127</v>
      </c>
      <c r="BU236" s="30" t="n">
        <f aca="false">SUM(BU202:BU235)+Actuals!BV54</f>
        <v>-608935.14311127</v>
      </c>
      <c r="BV236" s="30" t="n">
        <f aca="false">SUM(BV202:BV235)+Actuals!BW54</f>
        <v>-416702.845973495</v>
      </c>
      <c r="BW236" s="30" t="n">
        <f aca="false">SUM(BW202:BW235)+Actuals!BX54</f>
        <v>-416702.845973495</v>
      </c>
      <c r="BX236" s="30" t="n">
        <f aca="false">SUM(BX202:BX235)+Actuals!BY54</f>
        <v>-416702.845973495</v>
      </c>
      <c r="BY236" s="30" t="n">
        <f aca="false">SUM(BY202:BY235)+Actuals!BZ54</f>
        <v>-416702.845973495</v>
      </c>
      <c r="BZ236" s="30" t="n">
        <f aca="false">SUM(BZ202:BZ235)+Actuals!CA54</f>
        <v>-416702.845973495</v>
      </c>
      <c r="CA236" s="30" t="n">
        <f aca="false">SUM(CA202:CA235)+Actuals!CB54</f>
        <v>-416702.845973495</v>
      </c>
      <c r="CB236" s="30" t="n">
        <f aca="false">SUM(CB202:CB235)+Actuals!CC54</f>
        <v>-416702.845973495</v>
      </c>
      <c r="CC236" s="30" t="n">
        <f aca="false">SUM(CC202:CC235)+Actuals!CD54</f>
        <v>-416702.845973495</v>
      </c>
      <c r="CD236" s="30" t="n">
        <f aca="false">SUM(CD202:CD235)+Actuals!CE54</f>
        <v>-416702.845973495</v>
      </c>
      <c r="CE236" s="30" t="n">
        <f aca="false">SUM(CE202:CE235)+Actuals!CF54</f>
        <v>-416702.845973495</v>
      </c>
      <c r="CF236" s="30" t="n">
        <f aca="false">SUM(CF202:CF235)+Actuals!CG54</f>
        <v>-416702.845973495</v>
      </c>
      <c r="CG236" s="30" t="n">
        <f aca="false">SUM(CG202:CG235)+Actuals!CH54</f>
        <v>-616702.845973496</v>
      </c>
      <c r="CH236" s="30" t="n">
        <f aca="false">SUM(CH202:CH235)+Actuals!CI54</f>
        <v>-424625.902892965</v>
      </c>
      <c r="CI236" s="30" t="n">
        <f aca="false">SUM(CI202:CI235)+Actuals!CJ54</f>
        <v>-424625.902892965</v>
      </c>
      <c r="CJ236" s="30" t="n">
        <f aca="false">SUM(CJ202:CJ235)+Actuals!CK54</f>
        <v>-424625.902892965</v>
      </c>
      <c r="CK236" s="30" t="n">
        <f aca="false">SUM(CK202:CK235)+Actuals!CL54</f>
        <v>-424625.902892965</v>
      </c>
      <c r="CL236" s="30" t="n">
        <f aca="false">SUM(CL202:CL235)+Actuals!CM54</f>
        <v>-424625.902892965</v>
      </c>
      <c r="CM236" s="30" t="n">
        <f aca="false">SUM(CM202:CM235)+Actuals!CN54</f>
        <v>-424625.902892965</v>
      </c>
      <c r="CN236" s="30" t="n">
        <f aca="false">SUM(CN202:CN235)+Actuals!CO54</f>
        <v>-424625.902892965</v>
      </c>
      <c r="CO236" s="30" t="n">
        <f aca="false">SUM(CO202:CO235)+Actuals!CP54</f>
        <v>-424625.902892965</v>
      </c>
      <c r="CP236" s="30" t="n">
        <f aca="false">SUM(CP202:CP235)+Actuals!CQ54</f>
        <v>-424625.902892965</v>
      </c>
      <c r="CQ236" s="30" t="n">
        <f aca="false">SUM(CQ202:CQ235)+Actuals!CR54</f>
        <v>-424625.902892965</v>
      </c>
      <c r="CR236" s="30" t="n">
        <f aca="false">SUM(CR202:CR235)+Actuals!CS54</f>
        <v>-424625.902892965</v>
      </c>
      <c r="CS236" s="30" t="n">
        <f aca="false">SUM(CS202:CS235)+Actuals!CT54</f>
        <v>-624625.902892966</v>
      </c>
      <c r="CT236" s="30" t="n">
        <f aca="false">SUM(CT202:CT235)+Actuals!CU54</f>
        <v>-392165.313083151</v>
      </c>
      <c r="CU236" s="30" t="n">
        <f aca="false">SUM(CU202:CU235)+Actuals!CV54</f>
        <v>-392165.313083151</v>
      </c>
      <c r="CV236" s="30" t="n">
        <f aca="false">SUM(CV202:CV235)+Actuals!CW54</f>
        <v>-392165.313083151</v>
      </c>
      <c r="CW236" s="30" t="n">
        <f aca="false">SUM(CW202:CW235)+Actuals!CX54</f>
        <v>-392165.313083151</v>
      </c>
      <c r="CX236" s="30" t="n">
        <f aca="false">SUM(CX202:CX235)+Actuals!CY54</f>
        <v>-392165.313083151</v>
      </c>
      <c r="CY236" s="30" t="n">
        <f aca="false">SUM(CY202:CY235)+Actuals!CZ54</f>
        <v>-392165.313083151</v>
      </c>
      <c r="CZ236" s="30" t="n">
        <f aca="false">SUM(CZ202:CZ235)+Actuals!DA54</f>
        <v>-392165.313083151</v>
      </c>
      <c r="DA236" s="30" t="n">
        <f aca="false">SUM(DA202:DA235)+Actuals!DB54</f>
        <v>-392165.313083151</v>
      </c>
      <c r="DB236" s="30" t="n">
        <f aca="false">SUM(DB202:DB235)+Actuals!DC54</f>
        <v>-392165.313083151</v>
      </c>
      <c r="DC236" s="30" t="n">
        <f aca="false">SUM(DC202:DC235)+Actuals!DD54</f>
        <v>-392165.313083151</v>
      </c>
      <c r="DD236" s="30" t="n">
        <f aca="false">SUM(DD202:DD235)+Actuals!DE54</f>
        <v>-392165.313083151</v>
      </c>
      <c r="DE236" s="30" t="n">
        <f aca="false">SUM(DE202:DE235)+Actuals!DF54</f>
        <v>-592165.313083151</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1445137.94</v>
      </c>
      <c r="I237" s="37" t="n">
        <f aca="false">I199+I236</f>
        <v>175572.22</v>
      </c>
      <c r="J237" s="37" t="n">
        <f aca="false">J199+J236</f>
        <v>-36864.6251250005</v>
      </c>
      <c r="K237" s="37" t="n">
        <f aca="false">K199+K236</f>
        <v>103378.790333334</v>
      </c>
      <c r="L237" s="37" t="n">
        <f aca="false">L199+L236</f>
        <v>52159.3503333338</v>
      </c>
      <c r="M237" s="37" t="n">
        <f aca="false">M199+M236</f>
        <v>-341656.859851395</v>
      </c>
      <c r="N237" s="37" t="n">
        <f aca="false">N199+N236</f>
        <v>240471.06871865</v>
      </c>
      <c r="O237" s="37" t="n">
        <f aca="false">O199+O236</f>
        <v>248763.335199601</v>
      </c>
      <c r="P237" s="37" t="n">
        <f aca="false">P199+P236</f>
        <v>300112.9551996</v>
      </c>
      <c r="Q237" s="37" t="n">
        <f aca="false">Q199+Q236</f>
        <v>34519.3803583153</v>
      </c>
      <c r="R237" s="37" t="n">
        <f aca="false">R199+R236</f>
        <v>182841.768522535</v>
      </c>
      <c r="S237" s="37" t="n">
        <f aca="false">S199+S236</f>
        <v>10578.0681115802</v>
      </c>
      <c r="T237" s="37" t="n">
        <f aca="false">T199+T236</f>
        <v>720502.047621382</v>
      </c>
      <c r="U237" s="37" t="n">
        <f aca="false">U199+U236</f>
        <v>616799.987621383</v>
      </c>
      <c r="V237" s="37" t="n">
        <f aca="false">V199+V236</f>
        <v>536272.366339433</v>
      </c>
      <c r="W237" s="37" t="n">
        <f aca="false">W199+W236</f>
        <v>474044.771022976</v>
      </c>
      <c r="X237" s="37" t="n">
        <f aca="false">X199+X236</f>
        <v>847036.180435048</v>
      </c>
      <c r="Y237" s="37" t="n">
        <f aca="false">Y199+Y236</f>
        <v>526075.086885048</v>
      </c>
      <c r="Z237" s="37" t="n">
        <f aca="false">Z199+Z236</f>
        <v>813816.355125048</v>
      </c>
      <c r="AA237" s="37" t="n">
        <f aca="false">AA199+AA236</f>
        <v>723649.415125044</v>
      </c>
      <c r="AB237" s="37" t="n">
        <f aca="false">AB199+AB236</f>
        <v>585515.145125045</v>
      </c>
      <c r="AC237" s="37" t="n">
        <f aca="false">AC199+AC236</f>
        <v>493787.195509662</v>
      </c>
      <c r="AD237" s="37" t="n">
        <f aca="false">AD199+AD236</f>
        <v>541007.968201969</v>
      </c>
      <c r="AE237" s="37" t="n">
        <f aca="false">AE199+AE236</f>
        <v>-21198.9769620728</v>
      </c>
      <c r="AF237" s="37" t="n">
        <f aca="false">AF199+AF236</f>
        <v>870058.492712246</v>
      </c>
      <c r="AG237" s="37" t="n">
        <f aca="false">AG199+AG236</f>
        <v>806640.74190974</v>
      </c>
      <c r="AH237" s="37" t="n">
        <f aca="false">AH199+AH236</f>
        <v>799934.878123048</v>
      </c>
      <c r="AI237" s="37" t="n">
        <f aca="false">AI199+AI236</f>
        <v>573994.903066317</v>
      </c>
      <c r="AJ237" s="37" t="n">
        <f aca="false">AJ199+AJ236</f>
        <v>522871.92246206</v>
      </c>
      <c r="AK237" s="37" t="n">
        <f aca="false">AK199+AK236</f>
        <v>159380.313670564</v>
      </c>
      <c r="AL237" s="37" t="n">
        <f aca="false">AL199+AL236</f>
        <v>364267.625275363</v>
      </c>
      <c r="AM237" s="37" t="n">
        <f aca="false">AM199+AM236</f>
        <v>382214.352659977</v>
      </c>
      <c r="AN237" s="37" t="n">
        <f aca="false">AN199+AN236</f>
        <v>388204.242264726</v>
      </c>
      <c r="AO237" s="37" t="n">
        <f aca="false">AO199+AO236</f>
        <v>275548.781662921</v>
      </c>
      <c r="AP237" s="37" t="n">
        <f aca="false">AP199+AP236</f>
        <v>260844.698938363</v>
      </c>
      <c r="AQ237" s="37" t="n">
        <f aca="false">AQ199+AQ236</f>
        <v>33965.0530140927</v>
      </c>
      <c r="AR237" s="37" t="n">
        <f aca="false">AR199+AR236</f>
        <v>43580.4376294773</v>
      </c>
      <c r="AS237" s="37" t="n">
        <f aca="false">AS199+AS236</f>
        <v>43580.4376294773</v>
      </c>
      <c r="AT237" s="37" t="n">
        <f aca="false">AT199+AT236</f>
        <v>140336.553352747</v>
      </c>
      <c r="AU237" s="37" t="n">
        <f aca="false">AU199+AU236</f>
        <v>-73235.2143448211</v>
      </c>
      <c r="AV237" s="37" t="n">
        <f aca="false">AV199+AV236</f>
        <v>208865.755624063</v>
      </c>
      <c r="AW237" s="37" t="n">
        <f aca="false">AW199+AW236</f>
        <v>-436194.033786653</v>
      </c>
      <c r="AX237" s="37" t="n">
        <f aca="false">AX199+AX236</f>
        <v>-243660.107279757</v>
      </c>
      <c r="AY237" s="37" t="n">
        <f aca="false">AY199+AY236</f>
        <v>-243660.107279757</v>
      </c>
      <c r="AZ237" s="37" t="n">
        <f aca="false">AZ199+AZ236</f>
        <v>-243660.107279757</v>
      </c>
      <c r="BA237" s="37" t="n">
        <f aca="false">BA199+BA236</f>
        <v>-243660.107279757</v>
      </c>
      <c r="BB237" s="37" t="n">
        <f aca="false">BB199+BB236</f>
        <v>-243660.107279757</v>
      </c>
      <c r="BC237" s="37" t="n">
        <f aca="false">BC199+BC236</f>
        <v>-243660.107279757</v>
      </c>
      <c r="BD237" s="37" t="n">
        <f aca="false">BD199+BD236</f>
        <v>-243660.107279757</v>
      </c>
      <c r="BE237" s="37" t="n">
        <f aca="false">BE199+BE236</f>
        <v>-243660.107279757</v>
      </c>
      <c r="BF237" s="37" t="n">
        <f aca="false">BF199+BF236</f>
        <v>-243660.107279757</v>
      </c>
      <c r="BG237" s="37" t="n">
        <f aca="false">BG199+BG236</f>
        <v>-243660.107279757</v>
      </c>
      <c r="BH237" s="37" t="n">
        <f aca="false">BH199+BH236</f>
        <v>5276.16777584259</v>
      </c>
      <c r="BI237" s="37" t="n">
        <f aca="false">BI199+BI236</f>
        <v>-601319.748148304</v>
      </c>
      <c r="BJ237" s="37" t="n">
        <f aca="false">BJ199+BJ236</f>
        <v>-408935.14311127</v>
      </c>
      <c r="BK237" s="37" t="n">
        <f aca="false">BK199+BK236</f>
        <v>-408935.14311127</v>
      </c>
      <c r="BL237" s="37" t="n">
        <f aca="false">BL199+BL236</f>
        <v>-408935.14311127</v>
      </c>
      <c r="BM237" s="37" t="n">
        <f aca="false">BM199+BM236</f>
        <v>-408935.14311127</v>
      </c>
      <c r="BN237" s="37" t="n">
        <f aca="false">BN199+BN236</f>
        <v>-408935.14311127</v>
      </c>
      <c r="BO237" s="37" t="n">
        <f aca="false">BO199+BO236</f>
        <v>-408935.14311127</v>
      </c>
      <c r="BP237" s="37" t="n">
        <f aca="false">BP199+BP236</f>
        <v>-408935.14311127</v>
      </c>
      <c r="BQ237" s="37" t="n">
        <f aca="false">BQ199+BQ236</f>
        <v>-408935.14311127</v>
      </c>
      <c r="BR237" s="37" t="n">
        <f aca="false">BR199+BR236</f>
        <v>-408935.14311127</v>
      </c>
      <c r="BS237" s="37" t="n">
        <f aca="false">BS199+BS236</f>
        <v>-408935.14311127</v>
      </c>
      <c r="BT237" s="37" t="n">
        <f aca="false">BT199+BT236</f>
        <v>-408935.14311127</v>
      </c>
      <c r="BU237" s="37" t="n">
        <f aca="false">BU199+BU236</f>
        <v>-608935.14311127</v>
      </c>
      <c r="BV237" s="37" t="n">
        <f aca="false">BV199+BV236</f>
        <v>-416702.845973495</v>
      </c>
      <c r="BW237" s="37" t="n">
        <f aca="false">BW199+BW236</f>
        <v>-416702.845973495</v>
      </c>
      <c r="BX237" s="37" t="n">
        <f aca="false">BX199+BX236</f>
        <v>-416702.845973495</v>
      </c>
      <c r="BY237" s="37" t="n">
        <f aca="false">BY199+BY236</f>
        <v>-416702.845973495</v>
      </c>
      <c r="BZ237" s="37" t="n">
        <f aca="false">BZ199+BZ236</f>
        <v>-416702.845973495</v>
      </c>
      <c r="CA237" s="37" t="n">
        <f aca="false">CA199+CA236</f>
        <v>-416702.845973495</v>
      </c>
      <c r="CB237" s="37" t="n">
        <f aca="false">CB199+CB236</f>
        <v>-416702.845973495</v>
      </c>
      <c r="CC237" s="37" t="n">
        <f aca="false">CC199+CC236</f>
        <v>-416702.845973495</v>
      </c>
      <c r="CD237" s="37" t="n">
        <f aca="false">CD199+CD236</f>
        <v>-416702.845973495</v>
      </c>
      <c r="CE237" s="37" t="n">
        <f aca="false">CE199+CE236</f>
        <v>-416702.845973495</v>
      </c>
      <c r="CF237" s="37" t="n">
        <f aca="false">CF199+CF236</f>
        <v>-416702.845973495</v>
      </c>
      <c r="CG237" s="37" t="n">
        <f aca="false">CG199+CG236</f>
        <v>-616702.845973496</v>
      </c>
      <c r="CH237" s="37" t="n">
        <f aca="false">CH199+CH236</f>
        <v>-424625.902892965</v>
      </c>
      <c r="CI237" s="37" t="n">
        <f aca="false">CI199+CI236</f>
        <v>-424625.902892965</v>
      </c>
      <c r="CJ237" s="37" t="n">
        <f aca="false">CJ199+CJ236</f>
        <v>-424625.902892965</v>
      </c>
      <c r="CK237" s="37" t="n">
        <f aca="false">CK199+CK236</f>
        <v>-424625.902892965</v>
      </c>
      <c r="CL237" s="37" t="n">
        <f aca="false">CL199+CL236</f>
        <v>-424625.902892965</v>
      </c>
      <c r="CM237" s="37" t="n">
        <f aca="false">CM199+CM236</f>
        <v>-424625.902892965</v>
      </c>
      <c r="CN237" s="37" t="n">
        <f aca="false">CN199+CN236</f>
        <v>-424625.902892965</v>
      </c>
      <c r="CO237" s="37" t="n">
        <f aca="false">CO199+CO236</f>
        <v>-424625.902892965</v>
      </c>
      <c r="CP237" s="37" t="n">
        <f aca="false">CP199+CP236</f>
        <v>-424625.902892965</v>
      </c>
      <c r="CQ237" s="37" t="n">
        <f aca="false">CQ199+CQ236</f>
        <v>-424625.902892965</v>
      </c>
      <c r="CR237" s="37" t="n">
        <f aca="false">CR199+CR236</f>
        <v>-424625.902892965</v>
      </c>
      <c r="CS237" s="37" t="n">
        <f aca="false">CS199+CS236</f>
        <v>-624625.902892966</v>
      </c>
      <c r="CT237" s="37" t="n">
        <f aca="false">CT199+CT236</f>
        <v>-392165.313083151</v>
      </c>
      <c r="CU237" s="37" t="n">
        <f aca="false">CU199+CU236</f>
        <v>-392165.313083151</v>
      </c>
      <c r="CV237" s="37" t="n">
        <f aca="false">CV199+CV236</f>
        <v>-392165.313083151</v>
      </c>
      <c r="CW237" s="37" t="n">
        <f aca="false">CW199+CW236</f>
        <v>-392165.313083151</v>
      </c>
      <c r="CX237" s="37" t="n">
        <f aca="false">CX199+CX236</f>
        <v>-392165.313083151</v>
      </c>
      <c r="CY237" s="37" t="n">
        <f aca="false">CY199+CY236</f>
        <v>-392165.313083151</v>
      </c>
      <c r="CZ237" s="37" t="n">
        <f aca="false">CZ199+CZ236</f>
        <v>-392165.313083151</v>
      </c>
      <c r="DA237" s="37" t="n">
        <f aca="false">DA199+DA236</f>
        <v>-392165.313083151</v>
      </c>
      <c r="DB237" s="37" t="n">
        <f aca="false">DB199+DB236</f>
        <v>-392165.313083151</v>
      </c>
      <c r="DC237" s="37" t="n">
        <f aca="false">DC199+DC236</f>
        <v>-392165.313083151</v>
      </c>
      <c r="DD237" s="37" t="n">
        <f aca="false">DD199+DD236</f>
        <v>-392165.313083151</v>
      </c>
      <c r="DE237" s="37" t="n">
        <f aca="false">DE199+DE236</f>
        <v>-592165.313083151</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0.205696144781689</v>
      </c>
      <c r="I238" s="33" t="n">
        <f aca="false">IFERROR(I237/I58,0)</f>
        <v>0.0289497032398613</v>
      </c>
      <c r="J238" s="33" t="n">
        <f aca="false">IFERROR(J237/J58,0)</f>
        <v>-0.00577735567530205</v>
      </c>
      <c r="K238" s="33" t="n">
        <f aca="false">IFERROR(K237/K58,0)</f>
        <v>0.0176295286466172</v>
      </c>
      <c r="L238" s="33" t="n">
        <f aca="false">IFERROR(L237/L58,0)</f>
        <v>0.0110278344895882</v>
      </c>
      <c r="M238" s="33" t="n">
        <f aca="false">IFERROR(M237/M58,0)</f>
        <v>-0.0727444154082106</v>
      </c>
      <c r="N238" s="33" t="n">
        <f aca="false">IFERROR(N237/N58,0)</f>
        <v>0.0425355466833239</v>
      </c>
      <c r="O238" s="33" t="n">
        <f aca="false">IFERROR(O237/O58,0)</f>
        <v>0.0433610030195023</v>
      </c>
      <c r="P238" s="33" t="n">
        <f aca="false">IFERROR(P237/P58,0)</f>
        <v>0.0480247020190894</v>
      </c>
      <c r="Q238" s="33" t="n">
        <f aca="false">IFERROR(Q237/Q58,0)</f>
        <v>0.00515954342798888</v>
      </c>
      <c r="R238" s="33" t="n">
        <f aca="false">IFERROR(R237/R58,0)</f>
        <v>0.0256314438166746</v>
      </c>
      <c r="S238" s="33" t="n">
        <f aca="false">IFERROR(S237/S58,0)</f>
        <v>0.00120643461635969</v>
      </c>
      <c r="T238" s="33" t="n">
        <f aca="false">IFERROR(T237/T58,0)</f>
        <v>0.0710249778642803</v>
      </c>
      <c r="U238" s="33" t="n">
        <f aca="false">IFERROR(U237/U58,0)</f>
        <v>0.0629633086401576</v>
      </c>
      <c r="V238" s="33" t="n">
        <f aca="false">IFERROR(V237/V58,0)</f>
        <v>0.0482979816165096</v>
      </c>
      <c r="W238" s="33" t="n">
        <f aca="false">IFERROR(W237/W58,0)</f>
        <v>0.0431303414257327</v>
      </c>
      <c r="X238" s="33" t="n">
        <f aca="false">IFERROR(X237/X58,0)</f>
        <v>0.0656529463493581</v>
      </c>
      <c r="Y238" s="33" t="n">
        <f aca="false">IFERROR(Y237/Y58,0)</f>
        <v>0.0440448300500901</v>
      </c>
      <c r="Z238" s="33" t="n">
        <f aca="false">IFERROR(Z237/Z58,0)</f>
        <v>0.061425349080744</v>
      </c>
      <c r="AA238" s="33" t="n">
        <f aca="false">IFERROR(AA237/AA58,0)</f>
        <v>0.0563996017765619</v>
      </c>
      <c r="AB238" s="33" t="n">
        <f aca="false">IFERROR(AB237/AB58,0)</f>
        <v>0.0493367751897061</v>
      </c>
      <c r="AC238" s="33" t="n">
        <f aca="false">IFERROR(AC237/AC58,0)</f>
        <v>0.0444037697817551</v>
      </c>
      <c r="AD238" s="33" t="n">
        <f aca="false">IFERROR(AD237/AD58,0)</f>
        <v>0.0482256166778158</v>
      </c>
      <c r="AE238" s="33" t="n">
        <f aca="false">IFERROR(AE237/AE58,0)</f>
        <v>-0.00183160672668298</v>
      </c>
      <c r="AF238" s="33" t="n">
        <f aca="false">IFERROR(AF237/AF58,0)</f>
        <v>0.0751580534321037</v>
      </c>
      <c r="AG238" s="33" t="n">
        <f aca="false">IFERROR(AG237/AG58,0)</f>
        <v>0.0685023591382385</v>
      </c>
      <c r="AH238" s="33" t="n">
        <f aca="false">IFERROR(AH237/AH58,0)</f>
        <v>0.0725186803158376</v>
      </c>
      <c r="AI238" s="33" t="n">
        <f aca="false">IFERROR(AI237/AI58,0)</f>
        <v>0.0564907328043447</v>
      </c>
      <c r="AJ238" s="33" t="n">
        <f aca="false">IFERROR(AJ237/AJ58,0)</f>
        <v>0.0595724252110866</v>
      </c>
      <c r="AK238" s="33" t="n">
        <f aca="false">IFERROR(AK237/AK58,0)</f>
        <v>0.0201936014285239</v>
      </c>
      <c r="AL238" s="33" t="n">
        <f aca="false">IFERROR(AL237/AL58,0)</f>
        <v>0.0479882152048821</v>
      </c>
      <c r="AM238" s="33" t="n">
        <f aca="false">IFERROR(AM237/AM58,0)</f>
        <v>0.05276064831861</v>
      </c>
      <c r="AN238" s="33" t="n">
        <f aca="false">IFERROR(AN237/AN58,0)</f>
        <v>0.065766785644639</v>
      </c>
      <c r="AO238" s="33" t="n">
        <f aca="false">IFERROR(AO237/AO58,0)</f>
        <v>0.0569556483232049</v>
      </c>
      <c r="AP238" s="33" t="n">
        <f aca="false">IFERROR(AP237/AP58,0)</f>
        <v>0.0709099731487373</v>
      </c>
      <c r="AQ238" s="33" t="n">
        <f aca="false">IFERROR(AQ237/AQ58,0)</f>
        <v>0.0107067199849826</v>
      </c>
      <c r="AR238" s="33" t="n">
        <f aca="false">IFERROR(AR237/AR58,0)</f>
        <v>0.0141342245245589</v>
      </c>
      <c r="AS238" s="33" t="n">
        <f aca="false">IFERROR(AS237/AS58,0)</f>
        <v>0.0146380649780773</v>
      </c>
      <c r="AT238" s="33" t="n">
        <f aca="false">IFERROR(AT237/AT58,0)</f>
        <v>0.0491441111209275</v>
      </c>
      <c r="AU238" s="33" t="n">
        <f aca="false">IFERROR(AU237/AU58,0)</f>
        <v>-0.0269205205310351</v>
      </c>
      <c r="AV238" s="33" t="n">
        <f aca="false">IFERROR(AV237/AV58,0)</f>
        <v>0.0811509072592449</v>
      </c>
      <c r="AW238" s="33" t="n">
        <f aca="false">IFERROR(AW237/AW58,0)</f>
        <v>-0.243622736170083</v>
      </c>
      <c r="AX238" s="33" t="n">
        <f aca="false">IFERROR(AX237/AX58,0)</f>
        <v>-0.141637215369316</v>
      </c>
      <c r="AY238" s="33" t="n">
        <f aca="false">IFERROR(AY237/AY58,0)</f>
        <v>-0.14889231077904</v>
      </c>
      <c r="AZ238" s="33" t="n">
        <f aca="false">IFERROR(AZ237/AZ58,0)</f>
        <v>-0.158092959890208</v>
      </c>
      <c r="BA238" s="33" t="n">
        <f aca="false">IFERROR(BA237/BA58,0)</f>
        <v>-0.169543235559052</v>
      </c>
      <c r="BB238" s="33" t="n">
        <f aca="false">IFERROR(BB237/BB58,0)</f>
        <v>-0.183653342127927</v>
      </c>
      <c r="BC238" s="33" t="n">
        <f aca="false">IFERROR(BC237/BC58,0)</f>
        <v>-0.20093327838721</v>
      </c>
      <c r="BD238" s="33" t="n">
        <f aca="false">IFERROR(BD237/BD58,0)</f>
        <v>-0.222045092223409</v>
      </c>
      <c r="BE238" s="33" t="n">
        <f aca="false">IFERROR(BE237/BE58,0)</f>
        <v>-0.247842784762048</v>
      </c>
      <c r="BF238" s="33" t="n">
        <f aca="false">IFERROR(BF237/BF58,0)</f>
        <v>-0.279412269272451</v>
      </c>
      <c r="BG238" s="33" t="n">
        <f aca="false">IFERROR(BG237/BG58,0)</f>
        <v>-0.318175101098832</v>
      </c>
      <c r="BH238" s="33" t="n">
        <f aca="false">IFERROR(BH237/BH58,0)</f>
        <v>0.0079239474474772</v>
      </c>
      <c r="BI238" s="33" t="n">
        <f aca="false">IFERROR(BI237/BI58,0)</f>
        <v>0</v>
      </c>
      <c r="BJ238" s="33" t="n">
        <f aca="false">IFERROR(BJ237/BJ58,0)</f>
        <v>0</v>
      </c>
      <c r="BK238" s="33" t="n">
        <f aca="false">IFERROR(BK237/BK58,0)</f>
        <v>0</v>
      </c>
      <c r="BL238" s="33" t="n">
        <f aca="false">IFERROR(BL237/BL58,0)</f>
        <v>0</v>
      </c>
      <c r="BM238" s="33" t="n">
        <f aca="false">IFERROR(BM237/BM58,0)</f>
        <v>0</v>
      </c>
      <c r="BN238" s="33" t="n">
        <f aca="false">IFERROR(BN237/BN58,0)</f>
        <v>0</v>
      </c>
      <c r="BO238" s="33" t="n">
        <f aca="false">IFERROR(BO237/BO58,0)</f>
        <v>0</v>
      </c>
      <c r="BP238" s="33" t="n">
        <f aca="false">IFERROR(BP237/BP58,0)</f>
        <v>0</v>
      </c>
      <c r="BQ238" s="33" t="n">
        <f aca="false">IFERROR(BQ237/BQ58,0)</f>
        <v>0</v>
      </c>
      <c r="BR238" s="33" t="n">
        <f aca="false">IFERROR(BR237/BR58,0)</f>
        <v>0</v>
      </c>
      <c r="BS238" s="33" t="n">
        <f aca="false">IFERROR(BS237/BS58,0)</f>
        <v>0</v>
      </c>
      <c r="BT238" s="33" t="n">
        <f aca="false">IFERROR(BT237/BT58,0)</f>
        <v>0</v>
      </c>
      <c r="BU238" s="33" t="n">
        <f aca="false">IFERROR(BU237/BU58,0)</f>
        <v>0</v>
      </c>
      <c r="BV238" s="33" t="n">
        <f aca="false">IFERROR(BV237/BV58,0)</f>
        <v>0</v>
      </c>
      <c r="BW238" s="33" t="n">
        <f aca="false">IFERROR(BW237/BW58,0)</f>
        <v>0</v>
      </c>
      <c r="BX238" s="33" t="n">
        <f aca="false">IFERROR(BX237/BX58,0)</f>
        <v>0</v>
      </c>
      <c r="BY238" s="33" t="n">
        <f aca="false">IFERROR(BY237/BY58,0)</f>
        <v>0</v>
      </c>
      <c r="BZ238" s="33" t="n">
        <f aca="false">IFERROR(BZ237/BZ58,0)</f>
        <v>0</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-833.33</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23906.25</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9375</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8800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IF(ISBLANK(Actuals!F71),0,Actuals!F71)</f>
        <v>0</v>
      </c>
      <c r="F248" s="13" t="n">
        <f aca="false">IF(ISBLANK(Actuals!G71),0,Actuals!G71)</f>
        <v>0</v>
      </c>
      <c r="G248" s="13" t="n">
        <f aca="false">IF(ISBLANK(Actuals!H71),0,Actuals!H71)</f>
        <v>0</v>
      </c>
      <c r="H248" s="13" t="n">
        <f aca="false">IF(ISBLANK(Actuals!I71),0,Actuals!I71)</f>
        <v>0</v>
      </c>
      <c r="I248" s="13" t="n">
        <f aca="false">IF(ISBLANK(Actuals!J71),0,Actuals!J71)</f>
        <v>0</v>
      </c>
      <c r="J248" s="13" t="n">
        <f aca="false">IF(ISBLANK(Actuals!K71),0,Actuals!K71)</f>
        <v>0</v>
      </c>
      <c r="K248" s="13" t="n">
        <f aca="false">IF(ISBLANK(Actuals!L71),0,Actuals!L71)</f>
        <v>0</v>
      </c>
      <c r="L248" s="13" t="n">
        <f aca="false">IF(ISBLANK(Actuals!M71),0,Actuals!M71)</f>
        <v>0</v>
      </c>
      <c r="M248" s="13" t="n">
        <f aca="false">IF(ISBLANK(Actuals!N71),0,Actuals!N71)</f>
        <v>0</v>
      </c>
      <c r="N248" s="13" t="n">
        <f aca="false">IF(ISBLANK(Actuals!O71),0,Actuals!O71)</f>
        <v>0</v>
      </c>
      <c r="O248" s="13" t="n">
        <f aca="false">IF(ISBLANK(Actuals!P71),0,Actuals!P71)</f>
        <v>0</v>
      </c>
      <c r="P248" s="13" t="n">
        <f aca="false">IF(ISBLANK(Actuals!Q71),0,Actuals!Q71)</f>
        <v>0</v>
      </c>
      <c r="Q248" s="13" t="n">
        <f aca="false">IF(ISBLANK(Actuals!R71),0,Actuals!R71)</f>
        <v>0</v>
      </c>
      <c r="R248" s="13" t="n">
        <f aca="false">IF(ISBLANK(Actuals!S71),0,Actuals!S71)</f>
        <v>0</v>
      </c>
      <c r="S248" s="13" t="n">
        <f aca="false">IF(ISBLANK(Actuals!T71),0,Actuals!T71)</f>
        <v>0</v>
      </c>
      <c r="T248" s="13" t="n">
        <f aca="false">IF(ISBLANK(Actuals!U71),0,Actuals!U71)</f>
        <v>0</v>
      </c>
      <c r="U248" s="13" t="n">
        <f aca="false">IF(ISBLANK(Actuals!V71),0,Actuals!V71)</f>
        <v>0</v>
      </c>
      <c r="V248" s="13" t="n">
        <f aca="false">IF(ISBLANK(Actuals!W71),0,Actuals!W71)</f>
        <v>0</v>
      </c>
      <c r="W248" s="13" t="n">
        <f aca="false">IF(ISBLANK(Actuals!X71),0,Actuals!X71)</f>
        <v>0</v>
      </c>
      <c r="X248" s="13" t="n">
        <f aca="false">IF(ISBLANK(Actuals!Y71),0,Actuals!Y71)</f>
        <v>0</v>
      </c>
      <c r="Y248" s="13" t="n">
        <f aca="false">IF(ISBLANK(Actuals!Z71),0,Actuals!Z71)</f>
        <v>0</v>
      </c>
      <c r="Z248" s="13" t="n">
        <f aca="false">IF(ISBLANK(Actuals!AA71),0,Actuals!AA71)</f>
        <v>0</v>
      </c>
      <c r="AA248" s="13" t="n">
        <f aca="false">IF(ISBLANK(Actuals!AB71),0,Actuals!AB71)</f>
        <v>0</v>
      </c>
      <c r="AB248" s="13" t="n">
        <f aca="false">IF(ISBLANK(Actuals!AC71),0,Actuals!AC71)</f>
        <v>0</v>
      </c>
      <c r="AC248" s="13" t="n">
        <f aca="false">IF(ISBLANK(Actuals!AD71),0,Actuals!AD71)</f>
        <v>0</v>
      </c>
      <c r="AD248" s="13" t="n">
        <f aca="false">IF(ISBLANK(Actuals!AE71),0,Actuals!AE71)</f>
        <v>0</v>
      </c>
      <c r="AE248" s="13" t="n">
        <f aca="false">IF(ISBLANK(Actuals!AF71),0,Actuals!AF71)</f>
        <v>0</v>
      </c>
      <c r="AF248" s="13" t="n">
        <f aca="false">IF(ISBLANK(Actuals!AG71),0,Actuals!AG71)</f>
        <v>0</v>
      </c>
      <c r="AG248" s="13" t="n">
        <f aca="false">IF(ISBLANK(Actuals!AH71),0,Actuals!AH71)</f>
        <v>0</v>
      </c>
      <c r="AH248" s="13" t="n">
        <f aca="false">IF(ISBLANK(Actuals!AI71),0,Actuals!AI71)</f>
        <v>0</v>
      </c>
      <c r="AI248" s="13" t="n">
        <f aca="false">IF(ISBLANK(Actuals!AJ71),0,Actuals!AJ71)</f>
        <v>0</v>
      </c>
      <c r="AJ248" s="13" t="n">
        <f aca="false">IF(ISBLANK(Actuals!AK71),0,Actuals!AK71)</f>
        <v>0</v>
      </c>
      <c r="AK248" s="13" t="n">
        <f aca="false">IF(ISBLANK(Actuals!AL71),0,Actuals!AL71)</f>
        <v>0</v>
      </c>
      <c r="AL248" s="13" t="n">
        <f aca="false">IF(ISBLANK(Actuals!AM71),0,Actuals!AM71)</f>
        <v>0</v>
      </c>
      <c r="AM248" s="13" t="n">
        <f aca="false">IF(ISBLANK(Actuals!AN71),0,Actuals!AN71)</f>
        <v>0</v>
      </c>
      <c r="AN248" s="13" t="n">
        <f aca="false">IF(ISBLANK(Actuals!AO71),0,Actuals!AO71)</f>
        <v>0</v>
      </c>
      <c r="AO248" s="13" t="n">
        <f aca="false">IF(ISBLANK(Actuals!AP71),0,Actuals!AP71)</f>
        <v>0</v>
      </c>
      <c r="AP248" s="13" t="n">
        <f aca="false">IF(ISBLANK(Actuals!AQ71),0,Actuals!AQ71)</f>
        <v>0</v>
      </c>
      <c r="AQ248" s="13" t="n">
        <f aca="false">IF(ISBLANK(Actuals!AR71),0,Actuals!AR71)</f>
        <v>0</v>
      </c>
      <c r="AR248" s="13" t="n">
        <f aca="false">IF(ISBLANK(Actuals!AS71),0,Actuals!AS71)</f>
        <v>0</v>
      </c>
      <c r="AS248" s="13" t="n">
        <f aca="false">IF(ISBLANK(Actuals!AT71),0,Actuals!AT71)</f>
        <v>0</v>
      </c>
      <c r="AT248" s="13" t="n">
        <f aca="false">IF(ISBLANK(Actuals!AU71),0,Actuals!AU71)</f>
        <v>0</v>
      </c>
      <c r="AU248" s="13" t="n">
        <f aca="false">IF(ISBLANK(Actuals!AV71),0,Actuals!AV71)</f>
        <v>0</v>
      </c>
      <c r="AV248" s="13" t="n">
        <f aca="false">IF(ISBLANK(Actuals!AW71),0,Actuals!AW71)</f>
        <v>0</v>
      </c>
      <c r="AW248" s="13" t="n">
        <f aca="false">IF(ISBLANK(Actuals!AX71),0,Actuals!AX71)</f>
        <v>0</v>
      </c>
      <c r="AX248" s="13" t="n">
        <f aca="false">IF(ISBLANK(Actuals!AY71),0,Actuals!AY71)</f>
        <v>0</v>
      </c>
      <c r="AY248" s="13" t="n">
        <f aca="false">IF(ISBLANK(Actuals!AZ71),0,Actuals!AZ71)</f>
        <v>0</v>
      </c>
      <c r="AZ248" s="13" t="n">
        <f aca="false">IF(ISBLANK(Actuals!BA71),0,Actuals!BA71)</f>
        <v>0</v>
      </c>
      <c r="BA248" s="13" t="n">
        <f aca="false">IF(ISBLANK(Actuals!BB71),0,Actuals!BB71)</f>
        <v>0</v>
      </c>
      <c r="BB248" s="13" t="n">
        <f aca="false">IF(ISBLANK(Actuals!BC71),0,Actuals!BC71)</f>
        <v>0</v>
      </c>
      <c r="BC248" s="13" t="n">
        <f aca="false">IF(ISBLANK(Actuals!BD71),0,Actuals!BD71)</f>
        <v>0</v>
      </c>
      <c r="BD248" s="13" t="n">
        <f aca="false">IF(ISBLANK(Actuals!BE71),0,Actuals!BE71)</f>
        <v>0</v>
      </c>
      <c r="BE248" s="13" t="n">
        <f aca="false">IF(ISBLANK(Actuals!BF71),0,Actuals!BF71)</f>
        <v>0</v>
      </c>
      <c r="BF248" s="13" t="n">
        <f aca="false">IF(ISBLANK(Actuals!BG71),0,Actuals!BG71)</f>
        <v>0</v>
      </c>
      <c r="BG248" s="13" t="n">
        <f aca="false">IF(ISBLANK(Actuals!BH71),0,Actuals!BH71)</f>
        <v>0</v>
      </c>
      <c r="BH248" s="13" t="n">
        <f aca="false">IF(ISBLANK(Actuals!BI71),0,Actuals!BI71)</f>
        <v>0</v>
      </c>
      <c r="BI248" s="13" t="n">
        <f aca="false">IF(ISBLANK(Actuals!BJ71),0,Actuals!BJ71)</f>
        <v>0</v>
      </c>
      <c r="BJ248" s="13" t="n">
        <f aca="false">IF(ISBLANK(Actuals!BK71),0,Actuals!BK71)</f>
        <v>0</v>
      </c>
      <c r="BK248" s="13" t="n">
        <f aca="false">IF(ISBLANK(Actuals!BL71),0,Actuals!BL71)</f>
        <v>0</v>
      </c>
      <c r="BL248" s="13" t="n">
        <f aca="false">IF(ISBLANK(Actuals!BM71),0,Actuals!BM71)</f>
        <v>0</v>
      </c>
      <c r="BM248" s="13" t="n">
        <f aca="false">IF(ISBLANK(Actuals!BN71),0,Actuals!BN71)</f>
        <v>0</v>
      </c>
      <c r="BN248" s="13" t="n">
        <f aca="false">IF(ISBLANK(Actuals!BO71),0,Actuals!BO71)</f>
        <v>0</v>
      </c>
      <c r="BO248" s="13" t="n">
        <f aca="false">IF(ISBLANK(Actuals!BP71),0,Actuals!BP71)</f>
        <v>0</v>
      </c>
      <c r="BP248" s="13" t="n">
        <f aca="false">IF(ISBLANK(Actuals!BQ71),0,Actuals!BQ71)</f>
        <v>0</v>
      </c>
      <c r="BQ248" s="13" t="n">
        <f aca="false">IF(ISBLANK(Actuals!BR71),0,Actuals!BR71)</f>
        <v>0</v>
      </c>
      <c r="BR248" s="13" t="n">
        <f aca="false">IF(ISBLANK(Actuals!BS71),0,Actuals!BS71)</f>
        <v>0</v>
      </c>
      <c r="BS248" s="13" t="n">
        <f aca="false">IF(ISBLANK(Actuals!BT71),0,Actuals!BT71)</f>
        <v>0</v>
      </c>
      <c r="BT248" s="13" t="n">
        <f aca="false">IF(ISBLANK(Actuals!BU71),0,Actuals!BU71)</f>
        <v>0</v>
      </c>
      <c r="BU248" s="13" t="n">
        <f aca="false">IF(ISBLANK(Actuals!BV71),0,Actuals!BV71)</f>
        <v>0</v>
      </c>
      <c r="BV248" s="13" t="n">
        <f aca="false">IF(ISBLANK(Actuals!BW71),0,Actuals!BW71)</f>
        <v>0</v>
      </c>
      <c r="BW248" s="13" t="n">
        <f aca="false">IF(ISBLANK(Actuals!BX71),0,Actuals!BX71)</f>
        <v>0</v>
      </c>
      <c r="BX248" s="13" t="n">
        <f aca="false">IF(ISBLANK(Actuals!BY71),0,Actuals!BY71)</f>
        <v>0</v>
      </c>
      <c r="BY248" s="13" t="n">
        <f aca="false">IF(ISBLANK(Actuals!BZ71),0,Actuals!BZ71)</f>
        <v>0</v>
      </c>
      <c r="BZ248" s="13" t="n">
        <f aca="false">IF(ISBLANK(Actuals!CA71),0,Actuals!CA71)</f>
        <v>0</v>
      </c>
      <c r="CA248" s="13" t="n">
        <f aca="false">IF(ISBLANK(Actuals!CB71),0,Actuals!CB71)</f>
        <v>0</v>
      </c>
      <c r="CB248" s="13" t="n">
        <f aca="false">IF(ISBLANK(Actuals!CC71),0,Actuals!CC71)</f>
        <v>0</v>
      </c>
      <c r="CC248" s="13" t="n">
        <f aca="false">IF(ISBLANK(Actuals!CD71),0,Actuals!CD71)</f>
        <v>0</v>
      </c>
      <c r="CD248" s="13" t="n">
        <f aca="false">IF(ISBLANK(Actuals!CE71),0,Actuals!CE71)</f>
        <v>0</v>
      </c>
      <c r="CE248" s="13" t="n">
        <f aca="false">IF(ISBLANK(Actuals!CF71),0,Actuals!CF71)</f>
        <v>0</v>
      </c>
      <c r="CF248" s="13" t="n">
        <f aca="false">IF(ISBLANK(Actuals!CG71),0,Actuals!CG71)</f>
        <v>0</v>
      </c>
      <c r="CG248" s="13" t="n">
        <f aca="false">IF(ISBLANK(Actuals!CH71),0,Actuals!CH71)</f>
        <v>0</v>
      </c>
      <c r="CH248" s="13" t="n">
        <f aca="false">IF(ISBLANK(Actuals!CI71),0,Actuals!CI71)</f>
        <v>0</v>
      </c>
      <c r="CI248" s="13" t="n">
        <f aca="false">IF(ISBLANK(Actuals!CJ71),0,Actuals!CJ71)</f>
        <v>0</v>
      </c>
      <c r="CJ248" s="13" t="n">
        <f aca="false">IF(ISBLANK(Actuals!CK71),0,Actuals!CK71)</f>
        <v>0</v>
      </c>
      <c r="CK248" s="13" t="n">
        <f aca="false">IF(ISBLANK(Actuals!CL71),0,Actuals!CL71)</f>
        <v>0</v>
      </c>
      <c r="CL248" s="13" t="n">
        <f aca="false">IF(ISBLANK(Actuals!CM71),0,Actuals!CM71)</f>
        <v>0</v>
      </c>
      <c r="CM248" s="13" t="n">
        <f aca="false">IF(ISBLANK(Actuals!CN71),0,Actuals!CN71)</f>
        <v>0</v>
      </c>
      <c r="CN248" s="13" t="n">
        <f aca="false">IF(ISBLANK(Actuals!CO71),0,Actuals!CO71)</f>
        <v>0</v>
      </c>
      <c r="CO248" s="13" t="n">
        <f aca="false">IF(ISBLANK(Actuals!CP71),0,Actuals!CP71)</f>
        <v>0</v>
      </c>
      <c r="CP248" s="13" t="n">
        <f aca="false">IF(ISBLANK(Actuals!CQ71),0,Actuals!CQ71)</f>
        <v>0</v>
      </c>
      <c r="CQ248" s="13" t="n">
        <f aca="false">IF(ISBLANK(Actuals!CR71),0,Actuals!CR71)</f>
        <v>0</v>
      </c>
      <c r="CR248" s="13" t="n">
        <f aca="false">IF(ISBLANK(Actuals!CS71),0,Actuals!CS71)</f>
        <v>0</v>
      </c>
      <c r="CS248" s="13" t="n">
        <f aca="false">IF(ISBLANK(Actuals!CT71),0,Actuals!CT71)</f>
        <v>0</v>
      </c>
      <c r="CT248" s="13" t="n">
        <f aca="false">IF(ISBLANK(Actuals!CU71),0,Actuals!CU71)</f>
        <v>0</v>
      </c>
      <c r="CU248" s="13" t="n">
        <f aca="false">IF(ISBLANK(Actuals!CV71),0,Actuals!CV71)</f>
        <v>0</v>
      </c>
      <c r="CV248" s="13" t="n">
        <f aca="false">IF(ISBLANK(Actuals!CW71),0,Actuals!CW71)</f>
        <v>0</v>
      </c>
      <c r="CW248" s="13" t="n">
        <f aca="false">IF(ISBLANK(Actuals!CX71),0,Actuals!CX71)</f>
        <v>0</v>
      </c>
      <c r="CX248" s="13" t="n">
        <f aca="false">IF(ISBLANK(Actuals!CY71),0,Actuals!CY71)</f>
        <v>0</v>
      </c>
      <c r="CY248" s="13" t="n">
        <f aca="false">IF(ISBLANK(Actuals!CZ71),0,Actuals!CZ71)</f>
        <v>0</v>
      </c>
      <c r="CZ248" s="13" t="n">
        <f aca="false">IF(ISBLANK(Actuals!DA71),0,Actuals!DA71)</f>
        <v>0</v>
      </c>
      <c r="DA248" s="13" t="n">
        <f aca="false">IF(ISBLANK(Actuals!DB71),0,Actuals!DB71)</f>
        <v>0</v>
      </c>
      <c r="DB248" s="13" t="n">
        <f aca="false">IF(ISBLANK(Actuals!DC71),0,Actuals!DC71)</f>
        <v>0</v>
      </c>
      <c r="DC248" s="13" t="n">
        <f aca="false">IF(ISBLANK(Actuals!DD71),0,Actuals!DD71)</f>
        <v>0</v>
      </c>
      <c r="DD248" s="13" t="n">
        <f aca="false">IF(ISBLANK(Actuals!DE71),0,Actuals!DE71)</f>
        <v>0</v>
      </c>
      <c r="DE248" s="13" t="n">
        <f aca="false">IF(ISBLANK(Actuals!DF71),0,Actuals!DF71)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IF(ISBLANK(Actuals!F72),IF(AND(Projects!$G$11="Yes",1&gt;=Projects!$C$11,1&lt;Projects!$C$11+Projects!$D$11),Assumptions!$B$65/Projects!$D$11,0),Actuals!F72)</f>
        <v>0</v>
      </c>
      <c r="F249" s="13" t="n">
        <f aca="false">IF(ISBLANK(Actuals!G72),IF(AND(Projects!$G$11="Yes",2&gt;=Projects!$C$11,2&lt;Projects!$C$11+Projects!$D$11),Assumptions!$B$65/Projects!$D$11,0),Actuals!G72)</f>
        <v>0</v>
      </c>
      <c r="G249" s="13" t="n">
        <f aca="false">IF(ISBLANK(Actuals!H72),IF(AND(Projects!$G$11="Yes",3&gt;=Projects!$C$11,3&lt;Projects!$C$11+Projects!$D$11),Assumptions!$B$65/Projects!$D$11,0),Actuals!H72)</f>
        <v>0</v>
      </c>
      <c r="H249" s="13" t="n">
        <f aca="false">IF(ISBLANK(Actuals!I72),IF(AND(Projects!$G$11="Yes",4&gt;=Projects!$C$11,4&lt;Projects!$C$11+Projects!$D$11),Assumptions!$B$65/Projects!$D$11,0),Actuals!I72)</f>
        <v>0</v>
      </c>
      <c r="I249" s="13" t="n">
        <f aca="false">IF(ISBLANK(Actuals!J72),IF(AND(Projects!$G$11="Yes",5&gt;=Projects!$C$11,5&lt;Projects!$C$11+Projects!$D$11),Assumptions!$B$65/Projects!$D$11,0),Actuals!J72)</f>
        <v>0</v>
      </c>
      <c r="J249" s="13" t="n">
        <f aca="false">IF(ISBLANK(Actuals!K72),IF(AND(Projects!$G$11="Yes",6&gt;=Projects!$C$11,6&lt;Projects!$C$11+Projects!$D$11),Assumptions!$B$65/Projects!$D$11,0),Actuals!K72)</f>
        <v>0</v>
      </c>
      <c r="K249" s="13" t="n">
        <f aca="false">IF(ISBLANK(Actuals!L72),IF(AND(Projects!$G$11="Yes",7&gt;=Projects!$C$11,7&lt;Projects!$C$11+Projects!$D$11),Assumptions!$B$65/Projects!$D$11,0),Actuals!L72)</f>
        <v>0</v>
      </c>
      <c r="L249" s="13" t="n">
        <f aca="false">IF(ISBLANK(Actuals!M72),IF(AND(Projects!$G$11="Yes",8&gt;=Projects!$C$11,8&lt;Projects!$C$11+Projects!$D$11),Assumptions!$B$65/Projects!$D$11,0),Actuals!M72)</f>
        <v>0</v>
      </c>
      <c r="M249" s="13" t="n">
        <f aca="false">IF(ISBLANK(Actuals!N72),IF(AND(Projects!$G$11="Yes",9&gt;=Projects!$C$11,9&lt;Projects!$C$11+Projects!$D$11),Assumptions!$B$65/Projects!$D$11,0),Actuals!N72)</f>
        <v>0</v>
      </c>
      <c r="N249" s="13" t="n">
        <f aca="false">IF(ISBLANK(Actuals!O72),IF(AND(Projects!$G$11="Yes",10&gt;=Projects!$C$11,10&lt;Projects!$C$11+Projects!$D$11),Assumptions!$B$65/Projects!$D$11,0),Actuals!O72)</f>
        <v>0</v>
      </c>
      <c r="O249" s="13" t="n">
        <f aca="false">IF(ISBLANK(Actuals!P72),IF(AND(Projects!$G$11="Yes",11&gt;=Projects!$C$11,11&lt;Projects!$C$11+Projects!$D$11),Assumptions!$B$65/Projects!$D$11,0),Actuals!P72)</f>
        <v>3157.89473684211</v>
      </c>
      <c r="P249" s="13" t="n">
        <f aca="false">IF(ISBLANK(Actuals!Q72),IF(AND(Projects!$G$11="Yes",12&gt;=Projects!$C$11,12&lt;Projects!$C$11+Projects!$D$11),Assumptions!$B$65/Projects!$D$11,0),Actuals!Q72)</f>
        <v>3157.89473684211</v>
      </c>
      <c r="Q249" s="13" t="n">
        <f aca="false">IF(ISBLANK(Actuals!R72),IF(AND(Projects!$G$11="Yes",13&gt;=Projects!$C$11,13&lt;Projects!$C$11+Projects!$D$11),Assumptions!$B$65/Projects!$D$11,0),Actuals!R72)</f>
        <v>3157.89473684211</v>
      </c>
      <c r="R249" s="13" t="n">
        <f aca="false">IF(ISBLANK(Actuals!S72),IF(AND(Projects!$G$11="Yes",14&gt;=Projects!$C$11,14&lt;Projects!$C$11+Projects!$D$11),Assumptions!$B$65/Projects!$D$11,0),Actuals!S72)</f>
        <v>3157.89473684211</v>
      </c>
      <c r="S249" s="13" t="n">
        <f aca="false">IF(ISBLANK(Actuals!T72),IF(AND(Projects!$G$11="Yes",15&gt;=Projects!$C$11,15&lt;Projects!$C$11+Projects!$D$11),Assumptions!$B$65/Projects!$D$11,0),Actuals!T72)</f>
        <v>3157.89473684211</v>
      </c>
      <c r="T249" s="13" t="n">
        <f aca="false">IF(ISBLANK(Actuals!U72),IF(AND(Projects!$G$11="Yes",16&gt;=Projects!$C$11,16&lt;Projects!$C$11+Projects!$D$11),Assumptions!$B$65/Projects!$D$11,0),Actuals!U72)</f>
        <v>3157.89473684211</v>
      </c>
      <c r="U249" s="13" t="n">
        <f aca="false">IF(ISBLANK(Actuals!V72),IF(AND(Projects!$G$11="Yes",17&gt;=Projects!$C$11,17&lt;Projects!$C$11+Projects!$D$11),Assumptions!$B$65/Projects!$D$11,0),Actuals!V72)</f>
        <v>3157.89473684211</v>
      </c>
      <c r="V249" s="13" t="n">
        <f aca="false">IF(ISBLANK(Actuals!W72),IF(AND(Projects!$G$11="Yes",18&gt;=Projects!$C$11,18&lt;Projects!$C$11+Projects!$D$11),Assumptions!$B$65/Projects!$D$11,0),Actuals!W72)</f>
        <v>3157.89473684211</v>
      </c>
      <c r="W249" s="13" t="n">
        <f aca="false">IF(ISBLANK(Actuals!X72),IF(AND(Projects!$G$11="Yes",19&gt;=Projects!$C$11,19&lt;Projects!$C$11+Projects!$D$11),Assumptions!$B$65/Projects!$D$11,0),Actuals!X72)</f>
        <v>3157.89473684211</v>
      </c>
      <c r="X249" s="13" t="n">
        <f aca="false">IF(ISBLANK(Actuals!Y72),IF(AND(Projects!$G$11="Yes",20&gt;=Projects!$C$11,20&lt;Projects!$C$11+Projects!$D$11),Assumptions!$B$65/Projects!$D$11,0),Actuals!Y72)</f>
        <v>3157.89473684211</v>
      </c>
      <c r="Y249" s="13" t="n">
        <f aca="false">IF(ISBLANK(Actuals!Z72),IF(AND(Projects!$G$11="Yes",21&gt;=Projects!$C$11,21&lt;Projects!$C$11+Projects!$D$11),Assumptions!$B$65/Projects!$D$11,0),Actuals!Z72)</f>
        <v>3157.89473684211</v>
      </c>
      <c r="Z249" s="13" t="n">
        <f aca="false">IF(ISBLANK(Actuals!AA72),IF(AND(Projects!$G$11="Yes",22&gt;=Projects!$C$11,22&lt;Projects!$C$11+Projects!$D$11),Assumptions!$B$65/Projects!$D$11,0),Actuals!AA72)</f>
        <v>3157.89473684211</v>
      </c>
      <c r="AA249" s="13" t="n">
        <f aca="false">IF(ISBLANK(Actuals!AB72),IF(AND(Projects!$G$11="Yes",23&gt;=Projects!$C$11,23&lt;Projects!$C$11+Projects!$D$11),Assumptions!$B$65/Projects!$D$11,0),Actuals!AB72)</f>
        <v>3157.89473684211</v>
      </c>
      <c r="AB249" s="13" t="n">
        <f aca="false">IF(ISBLANK(Actuals!AC72),IF(AND(Projects!$G$11="Yes",24&gt;=Projects!$C$11,24&lt;Projects!$C$11+Projects!$D$11),Assumptions!$B$65/Projects!$D$11,0),Actuals!AC72)</f>
        <v>3157.89473684211</v>
      </c>
      <c r="AC249" s="13" t="n">
        <f aca="false">IF(ISBLANK(Actuals!AD72),IF(AND(Projects!$G$11="Yes",25&gt;=Projects!$C$11,25&lt;Projects!$C$11+Projects!$D$11),Assumptions!$B$65/Projects!$D$11,0),Actuals!AD72)</f>
        <v>3157.89473684211</v>
      </c>
      <c r="AD249" s="13" t="n">
        <f aca="false">IF(ISBLANK(Actuals!AE72),IF(AND(Projects!$G$11="Yes",26&gt;=Projects!$C$11,26&lt;Projects!$C$11+Projects!$D$11),Assumptions!$B$65/Projects!$D$11,0),Actuals!AE72)</f>
        <v>3157.89473684211</v>
      </c>
      <c r="AE249" s="13" t="n">
        <f aca="false">IF(ISBLANK(Actuals!AF72),IF(AND(Projects!$G$11="Yes",27&gt;=Projects!$C$11,27&lt;Projects!$C$11+Projects!$D$11),Assumptions!$B$65/Projects!$D$11,0),Actuals!AF72)</f>
        <v>3157.89473684211</v>
      </c>
      <c r="AF249" s="13" t="n">
        <f aca="false">IF(ISBLANK(Actuals!AG72),IF(AND(Projects!$G$11="Yes",28&gt;=Projects!$C$11,28&lt;Projects!$C$11+Projects!$D$11),Assumptions!$B$65/Projects!$D$11,0),Actuals!AG72)</f>
        <v>3157.89473684211</v>
      </c>
      <c r="AG249" s="13" t="n">
        <f aca="false">IF(ISBLANK(Actuals!AH72),IF(AND(Projects!$G$11="Yes",29&gt;=Projects!$C$11,29&lt;Projects!$C$11+Projects!$D$11),Assumptions!$B$65/Projects!$D$11,0),Actuals!AH72)</f>
        <v>3157.89473684211</v>
      </c>
      <c r="AH249" s="13" t="n">
        <f aca="false">IF(ISBLANK(Actuals!AI72),IF(AND(Projects!$G$11="Yes",30&gt;=Projects!$C$11,30&lt;Projects!$C$11+Projects!$D$11),Assumptions!$B$65/Projects!$D$11,0),Actuals!AI72)</f>
        <v>0</v>
      </c>
      <c r="AI249" s="13" t="n">
        <f aca="false">IF(ISBLANK(Actuals!AJ72),IF(AND(Projects!$G$11="Yes",31&gt;=Projects!$C$11,31&lt;Projects!$C$11+Projects!$D$11),Assumptions!$B$65/Projects!$D$11,0),Actuals!AJ72)</f>
        <v>0</v>
      </c>
      <c r="AJ249" s="13" t="n">
        <f aca="false">IF(ISBLANK(Actuals!AK72),IF(AND(Projects!$G$11="Yes",32&gt;=Projects!$C$11,32&lt;Projects!$C$11+Projects!$D$11),Assumptions!$B$65/Projects!$D$11,0),Actuals!AK72)</f>
        <v>0</v>
      </c>
      <c r="AK249" s="13" t="n">
        <f aca="false">IF(ISBLANK(Actuals!AL72),IF(AND(Projects!$G$11="Yes",33&gt;=Projects!$C$11,33&lt;Projects!$C$11+Projects!$D$11),Assumptions!$B$65/Projects!$D$11,0),Actuals!AL72)</f>
        <v>0</v>
      </c>
      <c r="AL249" s="13" t="n">
        <f aca="false">IF(ISBLANK(Actuals!AM72),IF(AND(Projects!$G$11="Yes",34&gt;=Projects!$C$11,34&lt;Projects!$C$11+Projects!$D$11),Assumptions!$B$65/Projects!$D$11,0),Actuals!AM72)</f>
        <v>0</v>
      </c>
      <c r="AM249" s="13" t="n">
        <f aca="false">IF(ISBLANK(Actuals!AN72),IF(AND(Projects!$G$11="Yes",35&gt;=Projects!$C$11,35&lt;Projects!$C$11+Projects!$D$11),Assumptions!$B$65/Projects!$D$11,0),Actuals!AN72)</f>
        <v>0</v>
      </c>
      <c r="AN249" s="13" t="n">
        <f aca="false">IF(ISBLANK(Actuals!AO72),IF(AND(Projects!$G$11="Yes",36&gt;=Projects!$C$11,36&lt;Projects!$C$11+Projects!$D$11),Assumptions!$B$65/Projects!$D$11,0),Actuals!AO72)</f>
        <v>0</v>
      </c>
      <c r="AO249" s="13" t="n">
        <f aca="false">IF(ISBLANK(Actuals!AP72),IF(AND(Projects!$G$11="Yes",37&gt;=Projects!$C$11,37&lt;Projects!$C$11+Projects!$D$11),Assumptions!$B$65/Projects!$D$11,0),Actuals!AP72)</f>
        <v>0</v>
      </c>
      <c r="AP249" s="13" t="n">
        <f aca="false">IF(ISBLANK(Actuals!AQ72),IF(AND(Projects!$G$11="Yes",38&gt;=Projects!$C$11,38&lt;Projects!$C$11+Projects!$D$11),Assumptions!$B$65/Projects!$D$11,0),Actuals!AQ72)</f>
        <v>0</v>
      </c>
      <c r="AQ249" s="13" t="n">
        <f aca="false">IF(ISBLANK(Actuals!AR72),IF(AND(Projects!$G$11="Yes",39&gt;=Projects!$C$11,39&lt;Projects!$C$11+Projects!$D$11),Assumptions!$B$65/Projects!$D$11,0),Actuals!AR72)</f>
        <v>0</v>
      </c>
      <c r="AR249" s="13" t="n">
        <f aca="false">IF(ISBLANK(Actuals!AS72),IF(AND(Projects!$G$11="Yes",40&gt;=Projects!$C$11,40&lt;Projects!$C$11+Projects!$D$11),Assumptions!$B$65/Projects!$D$11,0),Actuals!AS72)</f>
        <v>0</v>
      </c>
      <c r="AS249" s="13" t="n">
        <f aca="false">IF(ISBLANK(Actuals!AT72),IF(AND(Projects!$G$11="Yes",41&gt;=Projects!$C$11,41&lt;Projects!$C$11+Projects!$D$11),Assumptions!$B$65/Projects!$D$11,0),Actuals!AT72)</f>
        <v>0</v>
      </c>
      <c r="AT249" s="13" t="n">
        <f aca="false">IF(ISBLANK(Actuals!AU72),IF(AND(Projects!$G$11="Yes",42&gt;=Projects!$C$11,42&lt;Projects!$C$11+Projects!$D$11),Assumptions!$B$65/Projects!$D$11,0),Actuals!AU72)</f>
        <v>0</v>
      </c>
      <c r="AU249" s="13" t="n">
        <f aca="false">IF(ISBLANK(Actuals!AV72),IF(AND(Projects!$G$11="Yes",43&gt;=Projects!$C$11,43&lt;Projects!$C$11+Projects!$D$11),Assumptions!$B$65/Projects!$D$11,0),Actuals!AV72)</f>
        <v>0</v>
      </c>
      <c r="AV249" s="13" t="n">
        <f aca="false">IF(ISBLANK(Actuals!AW72),IF(AND(Projects!$G$11="Yes",44&gt;=Projects!$C$11,44&lt;Projects!$C$11+Projects!$D$11),Assumptions!$B$65/Projects!$D$11,0),Actuals!AW72)</f>
        <v>0</v>
      </c>
      <c r="AW249" s="13" t="n">
        <f aca="false">IF(ISBLANK(Actuals!AX72),IF(AND(Projects!$G$11="Yes",45&gt;=Projects!$C$11,45&lt;Projects!$C$11+Projects!$D$11),Assumptions!$B$65/Projects!$D$11,0),Actuals!AX72)</f>
        <v>0</v>
      </c>
      <c r="AX249" s="13" t="n">
        <f aca="false">IF(ISBLANK(Actuals!AY72),IF(AND(Projects!$G$11="Yes",46&gt;=Projects!$C$11,46&lt;Projects!$C$11+Projects!$D$11),Assumptions!$B$65/Projects!$D$11,0),Actuals!AY72)</f>
        <v>0</v>
      </c>
      <c r="AY249" s="13" t="n">
        <f aca="false">IF(ISBLANK(Actuals!AZ72),IF(AND(Projects!$G$11="Yes",47&gt;=Projects!$C$11,47&lt;Projects!$C$11+Projects!$D$11),Assumptions!$B$65/Projects!$D$11,0),Actuals!AZ72)</f>
        <v>0</v>
      </c>
      <c r="AZ249" s="13" t="n">
        <f aca="false">IF(ISBLANK(Actuals!BA72),IF(AND(Projects!$G$11="Yes",48&gt;=Projects!$C$11,48&lt;Projects!$C$11+Projects!$D$11),Assumptions!$B$65/Projects!$D$11,0),Actuals!BA72)</f>
        <v>0</v>
      </c>
      <c r="BA249" s="13" t="n">
        <f aca="false">IF(ISBLANK(Actuals!BB72),IF(AND(Projects!$G$11="Yes",49&gt;=Projects!$C$11,49&lt;Projects!$C$11+Projects!$D$11),Assumptions!$B$65/Projects!$D$11,0),Actuals!BB72)</f>
        <v>0</v>
      </c>
      <c r="BB249" s="13" t="n">
        <f aca="false">IF(ISBLANK(Actuals!BC72),IF(AND(Projects!$G$11="Yes",50&gt;=Projects!$C$11,50&lt;Projects!$C$11+Projects!$D$11),Assumptions!$B$65/Projects!$D$11,0),Actuals!BC72)</f>
        <v>0</v>
      </c>
      <c r="BC249" s="13" t="n">
        <f aca="false">IF(ISBLANK(Actuals!BD72),IF(AND(Projects!$G$11="Yes",51&gt;=Projects!$C$11,51&lt;Projects!$C$11+Projects!$D$11),Assumptions!$B$65/Projects!$D$11,0),Actuals!BD72)</f>
        <v>0</v>
      </c>
      <c r="BD249" s="13" t="n">
        <f aca="false">IF(ISBLANK(Actuals!BE72),IF(AND(Projects!$G$11="Yes",52&gt;=Projects!$C$11,52&lt;Projects!$C$11+Projects!$D$11),Assumptions!$B$65/Projects!$D$11,0),Actuals!BE72)</f>
        <v>0</v>
      </c>
      <c r="BE249" s="13" t="n">
        <f aca="false">IF(ISBLANK(Actuals!BF72),IF(AND(Projects!$G$11="Yes",53&gt;=Projects!$C$11,53&lt;Projects!$C$11+Projects!$D$11),Assumptions!$B$65/Projects!$D$11,0),Actuals!BF72)</f>
        <v>0</v>
      </c>
      <c r="BF249" s="13" t="n">
        <f aca="false">IF(ISBLANK(Actuals!BG72),IF(AND(Projects!$G$11="Yes",54&gt;=Projects!$C$11,54&lt;Projects!$C$11+Projects!$D$11),Assumptions!$B$65/Projects!$D$11,0),Actuals!BG72)</f>
        <v>0</v>
      </c>
      <c r="BG249" s="13" t="n">
        <f aca="false">IF(ISBLANK(Actuals!BH72),IF(AND(Projects!$G$11="Yes",55&gt;=Projects!$C$11,55&lt;Projects!$C$11+Projects!$D$11),Assumptions!$B$65/Projects!$D$11,0),Actuals!BH72)</f>
        <v>0</v>
      </c>
      <c r="BH249" s="13" t="n">
        <f aca="false">IF(ISBLANK(Actuals!BI72),IF(AND(Projects!$G$11="Yes",56&gt;=Projects!$C$11,56&lt;Projects!$C$11+Projects!$D$11),Assumptions!$B$65/Projects!$D$11,0),Actuals!BI72)</f>
        <v>0</v>
      </c>
      <c r="BI249" s="13" t="n">
        <f aca="false">IF(ISBLANK(Actuals!BJ72),IF(AND(Projects!$G$11="Yes",57&gt;=Projects!$C$11,57&lt;Projects!$C$11+Projects!$D$11),Assumptions!$B$65/Projects!$D$11,0),Actuals!BJ72)</f>
        <v>0</v>
      </c>
      <c r="BJ249" s="13" t="n">
        <f aca="false">IF(ISBLANK(Actuals!BK72),IF(AND(Projects!$G$11="Yes",58&gt;=Projects!$C$11,58&lt;Projects!$C$11+Projects!$D$11),Assumptions!$B$65/Projects!$D$11,0),Actuals!BK72)</f>
        <v>0</v>
      </c>
      <c r="BK249" s="13" t="n">
        <f aca="false">IF(ISBLANK(Actuals!BL72),IF(AND(Projects!$G$11="Yes",59&gt;=Projects!$C$11,59&lt;Projects!$C$11+Projects!$D$11),Assumptions!$B$65/Projects!$D$11,0),Actuals!BL72)</f>
        <v>0</v>
      </c>
      <c r="BL249" s="13" t="n">
        <f aca="false">IF(ISBLANK(Actuals!BM72),IF(AND(Projects!$G$11="Yes",60&gt;=Projects!$C$11,60&lt;Projects!$C$11+Projects!$D$11),Assumptions!$B$65/Projects!$D$11,0),Actuals!BM72)</f>
        <v>0</v>
      </c>
      <c r="BM249" s="13" t="n">
        <f aca="false">IF(ISBLANK(Actuals!BN72),IF(AND(Projects!$G$11="Yes",61&gt;=Projects!$C$11,61&lt;Projects!$C$11+Projects!$D$11),Assumptions!$B$65/Projects!$D$11,0),Actuals!BN72)</f>
        <v>0</v>
      </c>
      <c r="BN249" s="13" t="n">
        <f aca="false">IF(ISBLANK(Actuals!BO72),IF(AND(Projects!$G$11="Yes",62&gt;=Projects!$C$11,62&lt;Projects!$C$11+Projects!$D$11),Assumptions!$B$65/Projects!$D$11,0),Actuals!BO72)</f>
        <v>0</v>
      </c>
      <c r="BO249" s="13" t="n">
        <f aca="false">IF(ISBLANK(Actuals!BP72),IF(AND(Projects!$G$11="Yes",63&gt;=Projects!$C$11,63&lt;Projects!$C$11+Projects!$D$11),Assumptions!$B$65/Projects!$D$11,0),Actuals!BP72)</f>
        <v>0</v>
      </c>
      <c r="BP249" s="13" t="n">
        <f aca="false">IF(ISBLANK(Actuals!BQ72),IF(AND(Projects!$G$11="Yes",64&gt;=Projects!$C$11,64&lt;Projects!$C$11+Projects!$D$11),Assumptions!$B$65/Projects!$D$11,0),Actuals!BQ72)</f>
        <v>0</v>
      </c>
      <c r="BQ249" s="13" t="n">
        <f aca="false">IF(ISBLANK(Actuals!BR72),IF(AND(Projects!$G$11="Yes",65&gt;=Projects!$C$11,65&lt;Projects!$C$11+Projects!$D$11),Assumptions!$B$65/Projects!$D$11,0),Actuals!BR72)</f>
        <v>0</v>
      </c>
      <c r="BR249" s="13" t="n">
        <f aca="false">IF(ISBLANK(Actuals!BS72),IF(AND(Projects!$G$11="Yes",66&gt;=Projects!$C$11,66&lt;Projects!$C$11+Projects!$D$11),Assumptions!$B$65/Projects!$D$11,0),Actuals!BS72)</f>
        <v>0</v>
      </c>
      <c r="BS249" s="13" t="n">
        <f aca="false">IF(ISBLANK(Actuals!BT72),IF(AND(Projects!$G$11="Yes",67&gt;=Projects!$C$11,67&lt;Projects!$C$11+Projects!$D$11),Assumptions!$B$65/Projects!$D$11,0),Actuals!BT72)</f>
        <v>0</v>
      </c>
      <c r="BT249" s="13" t="n">
        <f aca="false">IF(ISBLANK(Actuals!BU72),IF(AND(Projects!$G$11="Yes",68&gt;=Projects!$C$11,68&lt;Projects!$C$11+Projects!$D$11),Assumptions!$B$65/Projects!$D$11,0),Actuals!BU72)</f>
        <v>0</v>
      </c>
      <c r="BU249" s="13" t="n">
        <f aca="false">IF(ISBLANK(Actuals!BV72),IF(AND(Projects!$G$11="Yes",69&gt;=Projects!$C$11,69&lt;Projects!$C$11+Projects!$D$11),Assumptions!$B$65/Projects!$D$11,0),Actuals!BV72)</f>
        <v>0</v>
      </c>
      <c r="BV249" s="13" t="n">
        <f aca="false">IF(ISBLANK(Actuals!BW72),IF(AND(Projects!$G$11="Yes",70&gt;=Projects!$C$11,70&lt;Projects!$C$11+Projects!$D$11),Assumptions!$B$65/Projects!$D$11,0),Actuals!BW72)</f>
        <v>0</v>
      </c>
      <c r="BW249" s="13" t="n">
        <f aca="false">IF(ISBLANK(Actuals!BX72),IF(AND(Projects!$G$11="Yes",71&gt;=Projects!$C$11,71&lt;Projects!$C$11+Projects!$D$11),Assumptions!$B$65/Projects!$D$11,0),Actuals!BX72)</f>
        <v>0</v>
      </c>
      <c r="BX249" s="13" t="n">
        <f aca="false">IF(ISBLANK(Actuals!BY72),IF(AND(Projects!$G$11="Yes",72&gt;=Projects!$C$11,72&lt;Projects!$C$11+Projects!$D$11),Assumptions!$B$65/Projects!$D$11,0),Actuals!BY72)</f>
        <v>0</v>
      </c>
      <c r="BY249" s="13" t="n">
        <f aca="false">IF(ISBLANK(Actuals!BZ72),IF(AND(Projects!$G$11="Yes",73&gt;=Projects!$C$11,73&lt;Projects!$C$11+Projects!$D$11),Assumptions!$B$65/Projects!$D$11,0),Actuals!BZ72)</f>
        <v>0</v>
      </c>
      <c r="BZ249" s="13" t="n">
        <f aca="false">IF(ISBLANK(Actuals!CA72),IF(AND(Projects!$G$11="Yes",74&gt;=Projects!$C$11,74&lt;Projects!$C$11+Projects!$D$11),Assumptions!$B$65/Projects!$D$11,0),Actuals!CA72)</f>
        <v>0</v>
      </c>
      <c r="CA249" s="13" t="n">
        <f aca="false">IF(ISBLANK(Actuals!CB72),IF(AND(Projects!$G$11="Yes",75&gt;=Projects!$C$11,75&lt;Projects!$C$11+Projects!$D$11),Assumptions!$B$65/Projects!$D$11,0),Actuals!CB72)</f>
        <v>0</v>
      </c>
      <c r="CB249" s="13" t="n">
        <f aca="false">IF(ISBLANK(Actuals!CC72),IF(AND(Projects!$G$11="Yes",76&gt;=Projects!$C$11,76&lt;Projects!$C$11+Projects!$D$11),Assumptions!$B$65/Projects!$D$11,0),Actuals!CC72)</f>
        <v>0</v>
      </c>
      <c r="CC249" s="13" t="n">
        <f aca="false">IF(ISBLANK(Actuals!CD72),IF(AND(Projects!$G$11="Yes",77&gt;=Projects!$C$11,77&lt;Projects!$C$11+Projects!$D$11),Assumptions!$B$65/Projects!$D$11,0),Actuals!CD72)</f>
        <v>0</v>
      </c>
      <c r="CD249" s="13" t="n">
        <f aca="false">IF(ISBLANK(Actuals!CE72),IF(AND(Projects!$G$11="Yes",78&gt;=Projects!$C$11,78&lt;Projects!$C$11+Projects!$D$11),Assumptions!$B$65/Projects!$D$11,0),Actuals!CE72)</f>
        <v>0</v>
      </c>
      <c r="CE249" s="13" t="n">
        <f aca="false">IF(ISBLANK(Actuals!CF72),IF(AND(Projects!$G$11="Yes",79&gt;=Projects!$C$11,79&lt;Projects!$C$11+Projects!$D$11),Assumptions!$B$65/Projects!$D$11,0),Actuals!CF72)</f>
        <v>0</v>
      </c>
      <c r="CF249" s="13" t="n">
        <f aca="false">IF(ISBLANK(Actuals!CG72),IF(AND(Projects!$G$11="Yes",80&gt;=Projects!$C$11,80&lt;Projects!$C$11+Projects!$D$11),Assumptions!$B$65/Projects!$D$11,0),Actuals!CG72)</f>
        <v>0</v>
      </c>
      <c r="CG249" s="13" t="n">
        <f aca="false">IF(ISBLANK(Actuals!CH72),IF(AND(Projects!$G$11="Yes",81&gt;=Projects!$C$11,81&lt;Projects!$C$11+Projects!$D$11),Assumptions!$B$65/Projects!$D$11,0),Actuals!CH72)</f>
        <v>0</v>
      </c>
      <c r="CH249" s="13" t="n">
        <f aca="false">IF(ISBLANK(Actuals!CI72),IF(AND(Projects!$G$11="Yes",82&gt;=Projects!$C$11,82&lt;Projects!$C$11+Projects!$D$11),Assumptions!$B$65/Projects!$D$11,0),Actuals!CI72)</f>
        <v>0</v>
      </c>
      <c r="CI249" s="13" t="n">
        <f aca="false">IF(ISBLANK(Actuals!CJ72),IF(AND(Projects!$G$11="Yes",83&gt;=Projects!$C$11,83&lt;Projects!$C$11+Projects!$D$11),Assumptions!$B$65/Projects!$D$11,0),Actuals!CJ72)</f>
        <v>0</v>
      </c>
      <c r="CJ249" s="13" t="n">
        <f aca="false">IF(ISBLANK(Actuals!CK72),IF(AND(Projects!$G$11="Yes",84&gt;=Projects!$C$11,84&lt;Projects!$C$11+Projects!$D$11),Assumptions!$B$65/Projects!$D$11,0),Actuals!CK72)</f>
        <v>0</v>
      </c>
      <c r="CK249" s="13" t="n">
        <f aca="false">IF(ISBLANK(Actuals!CL72),IF(AND(Projects!$G$11="Yes",85&gt;=Projects!$C$11,85&lt;Projects!$C$11+Projects!$D$11),Assumptions!$B$65/Projects!$D$11,0),Actuals!CL72)</f>
        <v>0</v>
      </c>
      <c r="CL249" s="13" t="n">
        <f aca="false">IF(ISBLANK(Actuals!CM72),IF(AND(Projects!$G$11="Yes",86&gt;=Projects!$C$11,86&lt;Projects!$C$11+Projects!$D$11),Assumptions!$B$65/Projects!$D$11,0),Actuals!CM72)</f>
        <v>0</v>
      </c>
      <c r="CM249" s="13" t="n">
        <f aca="false">IF(ISBLANK(Actuals!CN72),IF(AND(Projects!$G$11="Yes",87&gt;=Projects!$C$11,87&lt;Projects!$C$11+Projects!$D$11),Assumptions!$B$65/Projects!$D$11,0),Actuals!CN72)</f>
        <v>0</v>
      </c>
      <c r="CN249" s="13" t="n">
        <f aca="false">IF(ISBLANK(Actuals!CO72),IF(AND(Projects!$G$11="Yes",88&gt;=Projects!$C$11,88&lt;Projects!$C$11+Projects!$D$11),Assumptions!$B$65/Projects!$D$11,0),Actuals!CO72)</f>
        <v>0</v>
      </c>
      <c r="CO249" s="13" t="n">
        <f aca="false">IF(ISBLANK(Actuals!CP72),IF(AND(Projects!$G$11="Yes",89&gt;=Projects!$C$11,89&lt;Projects!$C$11+Projects!$D$11),Assumptions!$B$65/Projects!$D$11,0),Actuals!CP72)</f>
        <v>0</v>
      </c>
      <c r="CP249" s="13" t="n">
        <f aca="false">IF(ISBLANK(Actuals!CQ72),IF(AND(Projects!$G$11="Yes",90&gt;=Projects!$C$11,90&lt;Projects!$C$11+Projects!$D$11),Assumptions!$B$65/Projects!$D$11,0),Actuals!CQ72)</f>
        <v>0</v>
      </c>
      <c r="CQ249" s="13" t="n">
        <f aca="false">IF(ISBLANK(Actuals!CR72),IF(AND(Projects!$G$11="Yes",91&gt;=Projects!$C$11,91&lt;Projects!$C$11+Projects!$D$11),Assumptions!$B$65/Projects!$D$11,0),Actuals!CR72)</f>
        <v>0</v>
      </c>
      <c r="CR249" s="13" t="n">
        <f aca="false">IF(ISBLANK(Actuals!CS72),IF(AND(Projects!$G$11="Yes",92&gt;=Projects!$C$11,92&lt;Projects!$C$11+Projects!$D$11),Assumptions!$B$65/Projects!$D$11,0),Actuals!CS72)</f>
        <v>0</v>
      </c>
      <c r="CS249" s="13" t="n">
        <f aca="false">IF(ISBLANK(Actuals!CT72),IF(AND(Projects!$G$11="Yes",93&gt;=Projects!$C$11,93&lt;Projects!$C$11+Projects!$D$11),Assumptions!$B$65/Projects!$D$11,0),Actuals!CT72)</f>
        <v>0</v>
      </c>
      <c r="CT249" s="13" t="n">
        <f aca="false">IF(ISBLANK(Actuals!CU72),IF(AND(Projects!$G$11="Yes",94&gt;=Projects!$C$11,94&lt;Projects!$C$11+Projects!$D$11),Assumptions!$B$65/Projects!$D$11,0),Actuals!CU72)</f>
        <v>0</v>
      </c>
      <c r="CU249" s="13" t="n">
        <f aca="false">IF(ISBLANK(Actuals!CV72),IF(AND(Projects!$G$11="Yes",95&gt;=Projects!$C$11,95&lt;Projects!$C$11+Projects!$D$11),Assumptions!$B$65/Projects!$D$11,0),Actuals!CV72)</f>
        <v>0</v>
      </c>
      <c r="CV249" s="13" t="n">
        <f aca="false">IF(ISBLANK(Actuals!CW72),IF(AND(Projects!$G$11="Yes",96&gt;=Projects!$C$11,96&lt;Projects!$C$11+Projects!$D$11),Assumptions!$B$65/Projects!$D$11,0),Actuals!CW72)</f>
        <v>0</v>
      </c>
      <c r="CW249" s="13" t="n">
        <f aca="false">IF(ISBLANK(Actuals!CX72),IF(AND(Projects!$G$11="Yes",97&gt;=Projects!$C$11,97&lt;Projects!$C$11+Projects!$D$11),Assumptions!$B$65/Projects!$D$11,0),Actuals!CX72)</f>
        <v>0</v>
      </c>
      <c r="CX249" s="13" t="n">
        <f aca="false">IF(ISBLANK(Actuals!CY72),IF(AND(Projects!$G$11="Yes",98&gt;=Projects!$C$11,98&lt;Projects!$C$11+Projects!$D$11),Assumptions!$B$65/Projects!$D$11,0),Actuals!CY72)</f>
        <v>0</v>
      </c>
      <c r="CY249" s="13" t="n">
        <f aca="false">IF(ISBLANK(Actuals!CZ72),IF(AND(Projects!$G$11="Yes",99&gt;=Projects!$C$11,99&lt;Projects!$C$11+Projects!$D$11),Assumptions!$B$65/Projects!$D$11,0),Actuals!CZ72)</f>
        <v>0</v>
      </c>
      <c r="CZ249" s="13" t="n">
        <f aca="false">IF(ISBLANK(Actuals!DA72),IF(AND(Projects!$G$11="Yes",100&gt;=Projects!$C$11,100&lt;Projects!$C$11+Projects!$D$11),Assumptions!$B$65/Projects!$D$11,0),Actuals!DA72)</f>
        <v>0</v>
      </c>
      <c r="DA249" s="13" t="n">
        <f aca="false">IF(ISBLANK(Actuals!DB72),IF(AND(Projects!$G$11="Yes",101&gt;=Projects!$C$11,101&lt;Projects!$C$11+Projects!$D$11),Assumptions!$B$65/Projects!$D$11,0),Actuals!DB72)</f>
        <v>0</v>
      </c>
      <c r="DB249" s="13" t="n">
        <f aca="false">IF(ISBLANK(Actuals!DC72),IF(AND(Projects!$G$11="Yes",102&gt;=Projects!$C$11,102&lt;Projects!$C$11+Projects!$D$11),Assumptions!$B$65/Projects!$D$11,0),Actuals!DC72)</f>
        <v>0</v>
      </c>
      <c r="DC249" s="13" t="n">
        <f aca="false">IF(ISBLANK(Actuals!DD72),IF(AND(Projects!$G$11="Yes",103&gt;=Projects!$C$11,103&lt;Projects!$C$11+Projects!$D$11),Assumptions!$B$65/Projects!$D$11,0),Actuals!DD72)</f>
        <v>0</v>
      </c>
      <c r="DD249" s="13" t="n">
        <f aca="false">IF(ISBLANK(Actuals!DE72),IF(AND(Projects!$G$11="Yes",104&gt;=Projects!$C$11,104&lt;Projects!$C$11+Projects!$D$11),Assumptions!$B$65/Projects!$D$11,0),Actuals!DE72)</f>
        <v>0</v>
      </c>
      <c r="DE249" s="13" t="n">
        <f aca="false">IF(ISBLANK(Actuals!DF72),IF(AND(Projects!$G$11="Yes",105&gt;=Projects!$C$11,105&lt;Projects!$C$11+Projects!$D$11),Assumptions!$B$65/Projects!$D$11,0),Actuals!DF72)</f>
        <v>0</v>
      </c>
    </row>
    <row r="250" customFormat="false" ht="15" hidden="false" customHeight="true" outlineLevel="0" collapsed="false">
      <c r="A250" s="22" t="s">
        <v>110</v>
      </c>
      <c r="B250" s="13" t="n">
        <f aca="false">IF(ISBLANK(Actuals!C73),0,Actuals!C73)</f>
        <v>0</v>
      </c>
      <c r="C250" s="13" t="n">
        <f aca="false">IF(ISBLANK(Actuals!D73),0,Actuals!D73)</f>
        <v>0</v>
      </c>
      <c r="D250" s="13" t="n">
        <f aca="false">IF(ISBLANK(Actuals!E73),0,Actuals!E73)</f>
        <v>0</v>
      </c>
      <c r="E250" s="13" t="n">
        <f aca="false">IF(ISBLANK(Actuals!F73),0,Actuals!F73)</f>
        <v>0</v>
      </c>
      <c r="F250" s="13" t="n">
        <f aca="false">IF(ISBLANK(Actuals!G73),0,Actuals!G73)</f>
        <v>0</v>
      </c>
      <c r="G250" s="13" t="n">
        <f aca="false">IF(ISBLANK(Actuals!H73),0,Actuals!H73)</f>
        <v>0</v>
      </c>
      <c r="H250" s="13" t="n">
        <f aca="false">IF(ISBLANK(Actuals!I73),0,Actuals!I73)</f>
        <v>0</v>
      </c>
      <c r="I250" s="13" t="n">
        <f aca="false">IF(ISBLANK(Actuals!J73),0,Actuals!J73)</f>
        <v>0</v>
      </c>
      <c r="J250" s="13" t="n">
        <f aca="false">IF(ISBLANK(Actuals!K73),0,Actuals!K73)</f>
        <v>0</v>
      </c>
      <c r="K250" s="13" t="n">
        <f aca="false">IF(ISBLANK(Actuals!L73),0,Actuals!L73)</f>
        <v>0</v>
      </c>
      <c r="L250" s="13" t="n">
        <f aca="false">IF(ISBLANK(Actuals!M73),0,Actuals!M73)</f>
        <v>0</v>
      </c>
      <c r="M250" s="13" t="n">
        <f aca="false">IF(ISBLANK(Actuals!N73),0,Actuals!N73)</f>
        <v>0</v>
      </c>
      <c r="N250" s="13" t="n">
        <f aca="false">IF(ISBLANK(Actuals!O73),0,Actuals!O73)</f>
        <v>0</v>
      </c>
      <c r="O250" s="13" t="n">
        <f aca="false">IF(ISBLANK(Actuals!P73),0,Actuals!P73)</f>
        <v>0</v>
      </c>
      <c r="P250" s="13" t="n">
        <f aca="false">IF(ISBLANK(Actuals!Q73),0,Actuals!Q73)</f>
        <v>0</v>
      </c>
      <c r="Q250" s="13" t="n">
        <f aca="false">IF(ISBLANK(Actuals!R73),0,Actuals!R73)</f>
        <v>0</v>
      </c>
      <c r="R250" s="13" t="n">
        <f aca="false">IF(ISBLANK(Actuals!S73),0,Actuals!S73)</f>
        <v>0</v>
      </c>
      <c r="S250" s="13" t="n">
        <f aca="false">IF(ISBLANK(Actuals!T73),0,Actuals!T73)</f>
        <v>0</v>
      </c>
      <c r="T250" s="13" t="n">
        <f aca="false">IF(ISBLANK(Actuals!U73),0,Actuals!U73)</f>
        <v>0</v>
      </c>
      <c r="U250" s="13" t="n">
        <f aca="false">IF(ISBLANK(Actuals!V73),0,Actuals!V73)</f>
        <v>0</v>
      </c>
      <c r="V250" s="13" t="n">
        <f aca="false">IF(ISBLANK(Actuals!W73),0,Actuals!W73)</f>
        <v>0</v>
      </c>
      <c r="W250" s="13" t="n">
        <f aca="false">IF(ISBLANK(Actuals!X73),0,Actuals!X73)</f>
        <v>0</v>
      </c>
      <c r="X250" s="13" t="n">
        <f aca="false">IF(ISBLANK(Actuals!Y73),0,Actuals!Y73)</f>
        <v>0</v>
      </c>
      <c r="Y250" s="13" t="n">
        <f aca="false">IF(ISBLANK(Actuals!Z73),0,Actuals!Z73)</f>
        <v>0</v>
      </c>
      <c r="Z250" s="13" t="n">
        <f aca="false">IF(ISBLANK(Actuals!AA73),0,Actuals!AA73)</f>
        <v>0</v>
      </c>
      <c r="AA250" s="13" t="n">
        <f aca="false">IF(ISBLANK(Actuals!AB73),0,Actuals!AB73)</f>
        <v>0</v>
      </c>
      <c r="AB250" s="13" t="n">
        <f aca="false">IF(ISBLANK(Actuals!AC73),0,Actuals!AC73)</f>
        <v>0</v>
      </c>
      <c r="AC250" s="13" t="n">
        <f aca="false">IF(ISBLANK(Actuals!AD73),0,Actuals!AD73)</f>
        <v>0</v>
      </c>
      <c r="AD250" s="13" t="n">
        <f aca="false">IF(ISBLANK(Actuals!AE73),0,Actuals!AE73)</f>
        <v>0</v>
      </c>
      <c r="AE250" s="13" t="n">
        <f aca="false">IF(ISBLANK(Actuals!AF73),0,Actuals!AF73)</f>
        <v>0</v>
      </c>
      <c r="AF250" s="13" t="n">
        <f aca="false">IF(ISBLANK(Actuals!AG73),0,Actuals!AG73)</f>
        <v>0</v>
      </c>
      <c r="AG250" s="13" t="n">
        <f aca="false">IF(ISBLANK(Actuals!AH73),0,Actuals!AH73)</f>
        <v>0</v>
      </c>
      <c r="AH250" s="13" t="n">
        <f aca="false">IF(ISBLANK(Actuals!AI73),0,Actuals!AI73)</f>
        <v>0</v>
      </c>
      <c r="AI250" s="13" t="n">
        <f aca="false">IF(ISBLANK(Actuals!AJ73),0,Actuals!AJ73)</f>
        <v>0</v>
      </c>
      <c r="AJ250" s="13" t="n">
        <f aca="false">IF(ISBLANK(Actuals!AK73),0,Actuals!AK73)</f>
        <v>0</v>
      </c>
      <c r="AK250" s="13" t="n">
        <f aca="false">IF(ISBLANK(Actuals!AL73),0,Actuals!AL73)</f>
        <v>0</v>
      </c>
      <c r="AL250" s="13" t="n">
        <f aca="false">IF(ISBLANK(Actuals!AM73),0,Actuals!AM73)</f>
        <v>0</v>
      </c>
      <c r="AM250" s="13" t="n">
        <f aca="false">IF(ISBLANK(Actuals!AN73),0,Actuals!AN73)</f>
        <v>0</v>
      </c>
      <c r="AN250" s="13" t="n">
        <f aca="false">IF(ISBLANK(Actuals!AO73),0,Actuals!AO73)</f>
        <v>0</v>
      </c>
      <c r="AO250" s="13" t="n">
        <f aca="false">IF(ISBLANK(Actuals!AP73),0,Actuals!AP73)</f>
        <v>0</v>
      </c>
      <c r="AP250" s="13" t="n">
        <f aca="false">IF(ISBLANK(Actuals!AQ73),0,Actuals!AQ73)</f>
        <v>0</v>
      </c>
      <c r="AQ250" s="13" t="n">
        <f aca="false">IF(ISBLANK(Actuals!AR73),0,Actuals!AR73)</f>
        <v>0</v>
      </c>
      <c r="AR250" s="13" t="n">
        <f aca="false">IF(ISBLANK(Actuals!AS73),0,Actuals!AS73)</f>
        <v>0</v>
      </c>
      <c r="AS250" s="13" t="n">
        <f aca="false">IF(ISBLANK(Actuals!AT73),0,Actuals!AT73)</f>
        <v>0</v>
      </c>
      <c r="AT250" s="13" t="n">
        <f aca="false">IF(ISBLANK(Actuals!AU73),0,Actuals!AU73)</f>
        <v>0</v>
      </c>
      <c r="AU250" s="13" t="n">
        <f aca="false">IF(ISBLANK(Actuals!AV73),0,Actuals!AV73)</f>
        <v>0</v>
      </c>
      <c r="AV250" s="13" t="n">
        <f aca="false">IF(ISBLANK(Actuals!AW73),0,Actuals!AW73)</f>
        <v>0</v>
      </c>
      <c r="AW250" s="13" t="n">
        <f aca="false">IF(ISBLANK(Actuals!AX73),0,Actuals!AX73)</f>
        <v>0</v>
      </c>
      <c r="AX250" s="13" t="n">
        <f aca="false">IF(ISBLANK(Actuals!AY73),0,Actuals!AY73)</f>
        <v>0</v>
      </c>
      <c r="AY250" s="13" t="n">
        <f aca="false">IF(ISBLANK(Actuals!AZ73),0,Actuals!AZ73)</f>
        <v>0</v>
      </c>
      <c r="AZ250" s="13" t="n">
        <f aca="false">IF(ISBLANK(Actuals!BA73),0,Actuals!BA73)</f>
        <v>0</v>
      </c>
      <c r="BA250" s="13" t="n">
        <f aca="false">IF(ISBLANK(Actuals!BB73),0,Actuals!BB73)</f>
        <v>0</v>
      </c>
      <c r="BB250" s="13" t="n">
        <f aca="false">IF(ISBLANK(Actuals!BC73),0,Actuals!BC73)</f>
        <v>0</v>
      </c>
      <c r="BC250" s="13" t="n">
        <f aca="false">IF(ISBLANK(Actuals!BD73),0,Actuals!BD73)</f>
        <v>0</v>
      </c>
      <c r="BD250" s="13" t="n">
        <f aca="false">IF(ISBLANK(Actuals!BE73),0,Actuals!BE73)</f>
        <v>0</v>
      </c>
      <c r="BE250" s="13" t="n">
        <f aca="false">IF(ISBLANK(Actuals!BF73),0,Actuals!BF73)</f>
        <v>0</v>
      </c>
      <c r="BF250" s="13" t="n">
        <f aca="false">IF(ISBLANK(Actuals!BG73),0,Actuals!BG73)</f>
        <v>0</v>
      </c>
      <c r="BG250" s="13" t="n">
        <f aca="false">IF(ISBLANK(Actuals!BH73),0,Actuals!BH73)</f>
        <v>0</v>
      </c>
      <c r="BH250" s="13" t="n">
        <f aca="false">IF(ISBLANK(Actuals!BI73),0,Actuals!BI73)</f>
        <v>0</v>
      </c>
      <c r="BI250" s="13" t="n">
        <f aca="false">IF(ISBLANK(Actuals!BJ73),0,Actuals!BJ73)</f>
        <v>0</v>
      </c>
      <c r="BJ250" s="13" t="n">
        <f aca="false">IF(ISBLANK(Actuals!BK73),0,Actuals!BK73)</f>
        <v>0</v>
      </c>
      <c r="BK250" s="13" t="n">
        <f aca="false">IF(ISBLANK(Actuals!BL73),0,Actuals!BL73)</f>
        <v>0</v>
      </c>
      <c r="BL250" s="13" t="n">
        <f aca="false">IF(ISBLANK(Actuals!BM73),0,Actuals!BM73)</f>
        <v>0</v>
      </c>
      <c r="BM250" s="13" t="n">
        <f aca="false">IF(ISBLANK(Actuals!BN73),0,Actuals!BN73)</f>
        <v>0</v>
      </c>
      <c r="BN250" s="13" t="n">
        <f aca="false">IF(ISBLANK(Actuals!BO73),0,Actuals!BO73)</f>
        <v>0</v>
      </c>
      <c r="BO250" s="13" t="n">
        <f aca="false">IF(ISBLANK(Actuals!BP73),0,Actuals!BP73)</f>
        <v>0</v>
      </c>
      <c r="BP250" s="13" t="n">
        <f aca="false">IF(ISBLANK(Actuals!BQ73),0,Actuals!BQ73)</f>
        <v>0</v>
      </c>
      <c r="BQ250" s="13" t="n">
        <f aca="false">IF(ISBLANK(Actuals!BR73),0,Actuals!BR73)</f>
        <v>0</v>
      </c>
      <c r="BR250" s="13" t="n">
        <f aca="false">IF(ISBLANK(Actuals!BS73),0,Actuals!BS73)</f>
        <v>0</v>
      </c>
      <c r="BS250" s="13" t="n">
        <f aca="false">IF(ISBLANK(Actuals!BT73),0,Actuals!BT73)</f>
        <v>0</v>
      </c>
      <c r="BT250" s="13" t="n">
        <f aca="false">IF(ISBLANK(Actuals!BU73),0,Actuals!BU73)</f>
        <v>0</v>
      </c>
      <c r="BU250" s="13" t="n">
        <f aca="false">IF(ISBLANK(Actuals!BV73),0,Actuals!BV73)</f>
        <v>0</v>
      </c>
      <c r="BV250" s="13" t="n">
        <f aca="false">IF(ISBLANK(Actuals!BW73),0,Actuals!BW73)</f>
        <v>0</v>
      </c>
      <c r="BW250" s="13" t="n">
        <f aca="false">IF(ISBLANK(Actuals!BX73),0,Actuals!BX73)</f>
        <v>0</v>
      </c>
      <c r="BX250" s="13" t="n">
        <f aca="false">IF(ISBLANK(Actuals!BY73),0,Actuals!BY73)</f>
        <v>0</v>
      </c>
      <c r="BY250" s="13" t="n">
        <f aca="false">IF(ISBLANK(Actuals!BZ73),0,Actuals!BZ73)</f>
        <v>0</v>
      </c>
      <c r="BZ250" s="13" t="n">
        <f aca="false">IF(ISBLANK(Actuals!CA73),0,Actuals!CA73)</f>
        <v>0</v>
      </c>
      <c r="CA250" s="13" t="n">
        <f aca="false">IF(ISBLANK(Actuals!CB73),0,Actuals!CB73)</f>
        <v>0</v>
      </c>
      <c r="CB250" s="13" t="n">
        <f aca="false">IF(ISBLANK(Actuals!CC73),0,Actuals!CC73)</f>
        <v>0</v>
      </c>
      <c r="CC250" s="13" t="n">
        <f aca="false">IF(ISBLANK(Actuals!CD73),0,Actuals!CD73)</f>
        <v>0</v>
      </c>
      <c r="CD250" s="13" t="n">
        <f aca="false">IF(ISBLANK(Actuals!CE73),0,Actuals!CE73)</f>
        <v>0</v>
      </c>
      <c r="CE250" s="13" t="n">
        <f aca="false">IF(ISBLANK(Actuals!CF73),0,Actuals!CF73)</f>
        <v>0</v>
      </c>
      <c r="CF250" s="13" t="n">
        <f aca="false">IF(ISBLANK(Actuals!CG73),0,Actuals!CG73)</f>
        <v>0</v>
      </c>
      <c r="CG250" s="13" t="n">
        <f aca="false">IF(ISBLANK(Actuals!CH73),0,Actuals!CH73)</f>
        <v>0</v>
      </c>
      <c r="CH250" s="13" t="n">
        <f aca="false">IF(ISBLANK(Actuals!CI73),0,Actuals!CI73)</f>
        <v>0</v>
      </c>
      <c r="CI250" s="13" t="n">
        <f aca="false">IF(ISBLANK(Actuals!CJ73),0,Actuals!CJ73)</f>
        <v>0</v>
      </c>
      <c r="CJ250" s="13" t="n">
        <f aca="false">IF(ISBLANK(Actuals!CK73),0,Actuals!CK73)</f>
        <v>0</v>
      </c>
      <c r="CK250" s="13" t="n">
        <f aca="false">IF(ISBLANK(Actuals!CL73),0,Actuals!CL73)</f>
        <v>0</v>
      </c>
      <c r="CL250" s="13" t="n">
        <f aca="false">IF(ISBLANK(Actuals!CM73),0,Actuals!CM73)</f>
        <v>0</v>
      </c>
      <c r="CM250" s="13" t="n">
        <f aca="false">IF(ISBLANK(Actuals!CN73),0,Actuals!CN73)</f>
        <v>0</v>
      </c>
      <c r="CN250" s="13" t="n">
        <f aca="false">IF(ISBLANK(Actuals!CO73),0,Actuals!CO73)</f>
        <v>0</v>
      </c>
      <c r="CO250" s="13" t="n">
        <f aca="false">IF(ISBLANK(Actuals!CP73),0,Actuals!CP73)</f>
        <v>0</v>
      </c>
      <c r="CP250" s="13" t="n">
        <f aca="false">IF(ISBLANK(Actuals!CQ73),0,Actuals!CQ73)</f>
        <v>0</v>
      </c>
      <c r="CQ250" s="13" t="n">
        <f aca="false">IF(ISBLANK(Actuals!CR73),0,Actuals!CR73)</f>
        <v>0</v>
      </c>
      <c r="CR250" s="13" t="n">
        <f aca="false">IF(ISBLANK(Actuals!CS73),0,Actuals!CS73)</f>
        <v>0</v>
      </c>
      <c r="CS250" s="13" t="n">
        <f aca="false">IF(ISBLANK(Actuals!CT73),0,Actuals!CT73)</f>
        <v>0</v>
      </c>
      <c r="CT250" s="13" t="n">
        <f aca="false">IF(ISBLANK(Actuals!CU73),0,Actuals!CU73)</f>
        <v>0</v>
      </c>
      <c r="CU250" s="13" t="n">
        <f aca="false">IF(ISBLANK(Actuals!CV73),0,Actuals!CV73)</f>
        <v>0</v>
      </c>
      <c r="CV250" s="13" t="n">
        <f aca="false">IF(ISBLANK(Actuals!CW73),0,Actuals!CW73)</f>
        <v>0</v>
      </c>
      <c r="CW250" s="13" t="n">
        <f aca="false">IF(ISBLANK(Actuals!CX73),0,Actuals!CX73)</f>
        <v>0</v>
      </c>
      <c r="CX250" s="13" t="n">
        <f aca="false">IF(ISBLANK(Actuals!CY73),0,Actuals!CY73)</f>
        <v>0</v>
      </c>
      <c r="CY250" s="13" t="n">
        <f aca="false">IF(ISBLANK(Actuals!CZ73),0,Actuals!CZ73)</f>
        <v>0</v>
      </c>
      <c r="CZ250" s="13" t="n">
        <f aca="false">IF(ISBLANK(Actuals!DA73),0,Actuals!DA73)</f>
        <v>0</v>
      </c>
      <c r="DA250" s="13" t="n">
        <f aca="false">IF(ISBLANK(Actuals!DB73),0,Actuals!DB73)</f>
        <v>0</v>
      </c>
      <c r="DB250" s="13" t="n">
        <f aca="false">IF(ISBLANK(Actuals!DC73),0,Actuals!DC73)</f>
        <v>0</v>
      </c>
      <c r="DC250" s="13" t="n">
        <f aca="false">IF(ISBLANK(Actuals!DD73),0,Actuals!DD73)</f>
        <v>0</v>
      </c>
      <c r="DD250" s="13" t="n">
        <f aca="false">IF(ISBLANK(Actuals!DE73),0,Actuals!DE73)</f>
        <v>0</v>
      </c>
      <c r="DE250" s="13" t="n">
        <f aca="false">IF(ISBLANK(Actuals!DF73),0,Actuals!DF73)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IF(ISBLANK(Actuals!F74),0,Actuals!F74)</f>
        <v>0</v>
      </c>
      <c r="F251" s="13" t="n">
        <f aca="false">IF(ISBLANK(Actuals!G74),0,Actuals!G74)</f>
        <v>0</v>
      </c>
      <c r="G251" s="13" t="n">
        <f aca="false">IF(ISBLANK(Actuals!H74),0,Actuals!H74)</f>
        <v>0</v>
      </c>
      <c r="H251" s="13" t="n">
        <f aca="false">IF(ISBLANK(Actuals!I74),0,Actuals!I74)</f>
        <v>0</v>
      </c>
      <c r="I251" s="13" t="n">
        <f aca="false">IF(ISBLANK(Actuals!J74),0,Actuals!J74)</f>
        <v>0</v>
      </c>
      <c r="J251" s="13" t="n">
        <f aca="false">IF(ISBLANK(Actuals!K74),0,Actuals!K74)</f>
        <v>0</v>
      </c>
      <c r="K251" s="13" t="n">
        <f aca="false">IF(ISBLANK(Actuals!L74),0,Actuals!L74)</f>
        <v>0</v>
      </c>
      <c r="L251" s="13" t="n">
        <f aca="false">IF(ISBLANK(Actuals!M74),0,Actuals!M74)</f>
        <v>0</v>
      </c>
      <c r="M251" s="13" t="n">
        <f aca="false">IF(ISBLANK(Actuals!N74),0,Actuals!N74)</f>
        <v>0</v>
      </c>
      <c r="N251" s="13" t="n">
        <f aca="false">IF(ISBLANK(Actuals!O74),0,Actuals!O74)</f>
        <v>0</v>
      </c>
      <c r="O251" s="13" t="n">
        <f aca="false">IF(ISBLANK(Actuals!P74),0,Actuals!P74)</f>
        <v>0</v>
      </c>
      <c r="P251" s="13" t="n">
        <f aca="false">IF(ISBLANK(Actuals!Q74),0,Actuals!Q74)</f>
        <v>0</v>
      </c>
      <c r="Q251" s="13" t="n">
        <f aca="false">IF(ISBLANK(Actuals!R74),0,Actuals!R74)</f>
        <v>0</v>
      </c>
      <c r="R251" s="13" t="n">
        <f aca="false">IF(ISBLANK(Actuals!S74),0,Actuals!S74)</f>
        <v>0</v>
      </c>
      <c r="S251" s="13" t="n">
        <f aca="false">IF(ISBLANK(Actuals!T74),0,Actuals!T74)</f>
        <v>0</v>
      </c>
      <c r="T251" s="13" t="n">
        <f aca="false">IF(ISBLANK(Actuals!U74),0,Actuals!U74)</f>
        <v>0</v>
      </c>
      <c r="U251" s="13" t="n">
        <f aca="false">IF(ISBLANK(Actuals!V74),0,Actuals!V74)</f>
        <v>0</v>
      </c>
      <c r="V251" s="13" t="n">
        <f aca="false">IF(ISBLANK(Actuals!W74),0,Actuals!W74)</f>
        <v>0</v>
      </c>
      <c r="W251" s="13" t="n">
        <f aca="false">IF(ISBLANK(Actuals!X74),0,Actuals!X74)</f>
        <v>0</v>
      </c>
      <c r="X251" s="13" t="n">
        <f aca="false">IF(ISBLANK(Actuals!Y74),0,Actuals!Y74)</f>
        <v>0</v>
      </c>
      <c r="Y251" s="13" t="n">
        <f aca="false">IF(ISBLANK(Actuals!Z74),0,Actuals!Z74)</f>
        <v>0</v>
      </c>
      <c r="Z251" s="13" t="n">
        <f aca="false">IF(ISBLANK(Actuals!AA74),0,Actuals!AA74)</f>
        <v>0</v>
      </c>
      <c r="AA251" s="13" t="n">
        <f aca="false">IF(ISBLANK(Actuals!AB74),0,Actuals!AB74)</f>
        <v>0</v>
      </c>
      <c r="AB251" s="13" t="n">
        <f aca="false">IF(ISBLANK(Actuals!AC74),0,Actuals!AC74)</f>
        <v>0</v>
      </c>
      <c r="AC251" s="13" t="n">
        <f aca="false">IF(ISBLANK(Actuals!AD74),0,Actuals!AD74)</f>
        <v>0</v>
      </c>
      <c r="AD251" s="13" t="n">
        <f aca="false">IF(ISBLANK(Actuals!AE74),0,Actuals!AE74)</f>
        <v>0</v>
      </c>
      <c r="AE251" s="13" t="n">
        <f aca="false">IF(ISBLANK(Actuals!AF74),0,Actuals!AF74)</f>
        <v>0</v>
      </c>
      <c r="AF251" s="13" t="n">
        <f aca="false">IF(ISBLANK(Actuals!AG74),0,Actuals!AG74)</f>
        <v>0</v>
      </c>
      <c r="AG251" s="13" t="n">
        <f aca="false">IF(ISBLANK(Actuals!AH74),0,Actuals!AH74)</f>
        <v>0</v>
      </c>
      <c r="AH251" s="13" t="n">
        <f aca="false">IF(ISBLANK(Actuals!AI74),0,Actuals!AI74)</f>
        <v>0</v>
      </c>
      <c r="AI251" s="13" t="n">
        <f aca="false">IF(ISBLANK(Actuals!AJ74),0,Actuals!AJ74)</f>
        <v>0</v>
      </c>
      <c r="AJ251" s="13" t="n">
        <f aca="false">IF(ISBLANK(Actuals!AK74),0,Actuals!AK74)</f>
        <v>0</v>
      </c>
      <c r="AK251" s="13" t="n">
        <f aca="false">IF(ISBLANK(Actuals!AL74),0,Actuals!AL74)</f>
        <v>0</v>
      </c>
      <c r="AL251" s="13" t="n">
        <f aca="false">IF(ISBLANK(Actuals!AM74),0,Actuals!AM74)</f>
        <v>0</v>
      </c>
      <c r="AM251" s="13" t="n">
        <f aca="false">IF(ISBLANK(Actuals!AN74),0,Actuals!AN74)</f>
        <v>0</v>
      </c>
      <c r="AN251" s="13" t="n">
        <f aca="false">IF(ISBLANK(Actuals!AO74),0,Actuals!AO74)</f>
        <v>0</v>
      </c>
      <c r="AO251" s="13" t="n">
        <f aca="false">IF(ISBLANK(Actuals!AP74),0,Actuals!AP74)</f>
        <v>0</v>
      </c>
      <c r="AP251" s="13" t="n">
        <f aca="false">IF(ISBLANK(Actuals!AQ74),0,Actuals!AQ74)</f>
        <v>0</v>
      </c>
      <c r="AQ251" s="13" t="n">
        <f aca="false">IF(ISBLANK(Actuals!AR74),0,Actuals!AR74)</f>
        <v>0</v>
      </c>
      <c r="AR251" s="13" t="n">
        <f aca="false">IF(ISBLANK(Actuals!AS74),0,Actuals!AS74)</f>
        <v>0</v>
      </c>
      <c r="AS251" s="13" t="n">
        <f aca="false">IF(ISBLANK(Actuals!AT74),0,Actuals!AT74)</f>
        <v>0</v>
      </c>
      <c r="AT251" s="13" t="n">
        <f aca="false">IF(ISBLANK(Actuals!AU74),0,Actuals!AU74)</f>
        <v>0</v>
      </c>
      <c r="AU251" s="13" t="n">
        <f aca="false">IF(ISBLANK(Actuals!AV74),0,Actuals!AV74)</f>
        <v>0</v>
      </c>
      <c r="AV251" s="13" t="n">
        <f aca="false">IF(ISBLANK(Actuals!AW74),0,Actuals!AW74)</f>
        <v>0</v>
      </c>
      <c r="AW251" s="13" t="n">
        <f aca="false">IF(ISBLANK(Actuals!AX74),0,Actuals!AX74)</f>
        <v>0</v>
      </c>
      <c r="AX251" s="13" t="n">
        <f aca="false">IF(ISBLANK(Actuals!AY74),0,Actuals!AY74)</f>
        <v>0</v>
      </c>
      <c r="AY251" s="13" t="n">
        <f aca="false">IF(ISBLANK(Actuals!AZ74),0,Actuals!AZ74)</f>
        <v>0</v>
      </c>
      <c r="AZ251" s="13" t="n">
        <f aca="false">IF(ISBLANK(Actuals!BA74),0,Actuals!BA74)</f>
        <v>0</v>
      </c>
      <c r="BA251" s="13" t="n">
        <f aca="false">IF(ISBLANK(Actuals!BB74),0,Actuals!BB74)</f>
        <v>0</v>
      </c>
      <c r="BB251" s="13" t="n">
        <f aca="false">IF(ISBLANK(Actuals!BC74),0,Actuals!BC74)</f>
        <v>0</v>
      </c>
      <c r="BC251" s="13" t="n">
        <f aca="false">IF(ISBLANK(Actuals!BD74),0,Actuals!BD74)</f>
        <v>0</v>
      </c>
      <c r="BD251" s="13" t="n">
        <f aca="false">IF(ISBLANK(Actuals!BE74),0,Actuals!BE74)</f>
        <v>0</v>
      </c>
      <c r="BE251" s="13" t="n">
        <f aca="false">IF(ISBLANK(Actuals!BF74),0,Actuals!BF74)</f>
        <v>0</v>
      </c>
      <c r="BF251" s="13" t="n">
        <f aca="false">IF(ISBLANK(Actuals!BG74),0,Actuals!BG74)</f>
        <v>0</v>
      </c>
      <c r="BG251" s="13" t="n">
        <f aca="false">IF(ISBLANK(Actuals!BH74),0,Actuals!BH74)</f>
        <v>0</v>
      </c>
      <c r="BH251" s="13" t="n">
        <f aca="false">IF(ISBLANK(Actuals!BI74),0,Actuals!BI74)</f>
        <v>0</v>
      </c>
      <c r="BI251" s="13" t="n">
        <f aca="false">IF(ISBLANK(Actuals!BJ74),0,Actuals!BJ74)</f>
        <v>0</v>
      </c>
      <c r="BJ251" s="13" t="n">
        <f aca="false">IF(ISBLANK(Actuals!BK74),0,Actuals!BK74)</f>
        <v>0</v>
      </c>
      <c r="BK251" s="13" t="n">
        <f aca="false">IF(ISBLANK(Actuals!BL74),0,Actuals!BL74)</f>
        <v>0</v>
      </c>
      <c r="BL251" s="13" t="n">
        <f aca="false">IF(ISBLANK(Actuals!BM74),0,Actuals!BM74)</f>
        <v>0</v>
      </c>
      <c r="BM251" s="13" t="n">
        <f aca="false">IF(ISBLANK(Actuals!BN74),0,Actuals!BN74)</f>
        <v>0</v>
      </c>
      <c r="BN251" s="13" t="n">
        <f aca="false">IF(ISBLANK(Actuals!BO74),0,Actuals!BO74)</f>
        <v>0</v>
      </c>
      <c r="BO251" s="13" t="n">
        <f aca="false">IF(ISBLANK(Actuals!BP74),0,Actuals!BP74)</f>
        <v>0</v>
      </c>
      <c r="BP251" s="13" t="n">
        <f aca="false">IF(ISBLANK(Actuals!BQ74),0,Actuals!BQ74)</f>
        <v>0</v>
      </c>
      <c r="BQ251" s="13" t="n">
        <f aca="false">IF(ISBLANK(Actuals!BR74),0,Actuals!BR74)</f>
        <v>0</v>
      </c>
      <c r="BR251" s="13" t="n">
        <f aca="false">IF(ISBLANK(Actuals!BS74),0,Actuals!BS74)</f>
        <v>0</v>
      </c>
      <c r="BS251" s="13" t="n">
        <f aca="false">IF(ISBLANK(Actuals!BT74),0,Actuals!BT74)</f>
        <v>0</v>
      </c>
      <c r="BT251" s="13" t="n">
        <f aca="false">IF(ISBLANK(Actuals!BU74),0,Actuals!BU74)</f>
        <v>0</v>
      </c>
      <c r="BU251" s="13" t="n">
        <f aca="false">IF(ISBLANK(Actuals!BV74),0,Actuals!BV74)</f>
        <v>0</v>
      </c>
      <c r="BV251" s="13" t="n">
        <f aca="false">IF(ISBLANK(Actuals!BW74),0,Actuals!BW74)</f>
        <v>0</v>
      </c>
      <c r="BW251" s="13" t="n">
        <f aca="false">IF(ISBLANK(Actuals!BX74),0,Actuals!BX74)</f>
        <v>0</v>
      </c>
      <c r="BX251" s="13" t="n">
        <f aca="false">IF(ISBLANK(Actuals!BY74),0,Actuals!BY74)</f>
        <v>0</v>
      </c>
      <c r="BY251" s="13" t="n">
        <f aca="false">IF(ISBLANK(Actuals!BZ74),0,Actuals!BZ74)</f>
        <v>0</v>
      </c>
      <c r="BZ251" s="13" t="n">
        <f aca="false">IF(ISBLANK(Actuals!CA74),0,Actuals!CA74)</f>
        <v>0</v>
      </c>
      <c r="CA251" s="13" t="n">
        <f aca="false">IF(ISBLANK(Actuals!CB74),0,Actuals!CB74)</f>
        <v>0</v>
      </c>
      <c r="CB251" s="13" t="n">
        <f aca="false">IF(ISBLANK(Actuals!CC74),0,Actuals!CC74)</f>
        <v>0</v>
      </c>
      <c r="CC251" s="13" t="n">
        <f aca="false">IF(ISBLANK(Actuals!CD74),0,Actuals!CD74)</f>
        <v>0</v>
      </c>
      <c r="CD251" s="13" t="n">
        <f aca="false">IF(ISBLANK(Actuals!CE74),0,Actuals!CE74)</f>
        <v>0</v>
      </c>
      <c r="CE251" s="13" t="n">
        <f aca="false">IF(ISBLANK(Actuals!CF74),0,Actuals!CF74)</f>
        <v>0</v>
      </c>
      <c r="CF251" s="13" t="n">
        <f aca="false">IF(ISBLANK(Actuals!CG74),0,Actuals!CG74)</f>
        <v>0</v>
      </c>
      <c r="CG251" s="13" t="n">
        <f aca="false">IF(ISBLANK(Actuals!CH74),0,Actuals!CH74)</f>
        <v>0</v>
      </c>
      <c r="CH251" s="13" t="n">
        <f aca="false">IF(ISBLANK(Actuals!CI74),0,Actuals!CI74)</f>
        <v>0</v>
      </c>
      <c r="CI251" s="13" t="n">
        <f aca="false">IF(ISBLANK(Actuals!CJ74),0,Actuals!CJ74)</f>
        <v>0</v>
      </c>
      <c r="CJ251" s="13" t="n">
        <f aca="false">IF(ISBLANK(Actuals!CK74),0,Actuals!CK74)</f>
        <v>0</v>
      </c>
      <c r="CK251" s="13" t="n">
        <f aca="false">IF(ISBLANK(Actuals!CL74),0,Actuals!CL74)</f>
        <v>0</v>
      </c>
      <c r="CL251" s="13" t="n">
        <f aca="false">IF(ISBLANK(Actuals!CM74),0,Actuals!CM74)</f>
        <v>0</v>
      </c>
      <c r="CM251" s="13" t="n">
        <f aca="false">IF(ISBLANK(Actuals!CN74),0,Actuals!CN74)</f>
        <v>0</v>
      </c>
      <c r="CN251" s="13" t="n">
        <f aca="false">IF(ISBLANK(Actuals!CO74),0,Actuals!CO74)</f>
        <v>0</v>
      </c>
      <c r="CO251" s="13" t="n">
        <f aca="false">IF(ISBLANK(Actuals!CP74),0,Actuals!CP74)</f>
        <v>0</v>
      </c>
      <c r="CP251" s="13" t="n">
        <f aca="false">IF(ISBLANK(Actuals!CQ74),0,Actuals!CQ74)</f>
        <v>0</v>
      </c>
      <c r="CQ251" s="13" t="n">
        <f aca="false">IF(ISBLANK(Actuals!CR74),0,Actuals!CR74)</f>
        <v>0</v>
      </c>
      <c r="CR251" s="13" t="n">
        <f aca="false">IF(ISBLANK(Actuals!CS74),0,Actuals!CS74)</f>
        <v>0</v>
      </c>
      <c r="CS251" s="13" t="n">
        <f aca="false">IF(ISBLANK(Actuals!CT74),0,Actuals!CT74)</f>
        <v>0</v>
      </c>
      <c r="CT251" s="13" t="n">
        <f aca="false">IF(ISBLANK(Actuals!CU74),0,Actuals!CU74)</f>
        <v>0</v>
      </c>
      <c r="CU251" s="13" t="n">
        <f aca="false">IF(ISBLANK(Actuals!CV74),0,Actuals!CV74)</f>
        <v>0</v>
      </c>
      <c r="CV251" s="13" t="n">
        <f aca="false">IF(ISBLANK(Actuals!CW74),0,Actuals!CW74)</f>
        <v>0</v>
      </c>
      <c r="CW251" s="13" t="n">
        <f aca="false">IF(ISBLANK(Actuals!CX74),0,Actuals!CX74)</f>
        <v>0</v>
      </c>
      <c r="CX251" s="13" t="n">
        <f aca="false">IF(ISBLANK(Actuals!CY74),0,Actuals!CY74)</f>
        <v>0</v>
      </c>
      <c r="CY251" s="13" t="n">
        <f aca="false">IF(ISBLANK(Actuals!CZ74),0,Actuals!CZ74)</f>
        <v>0</v>
      </c>
      <c r="CZ251" s="13" t="n">
        <f aca="false">IF(ISBLANK(Actuals!DA74),0,Actuals!DA74)</f>
        <v>0</v>
      </c>
      <c r="DA251" s="13" t="n">
        <f aca="false">IF(ISBLANK(Actuals!DB74),0,Actuals!DB74)</f>
        <v>0</v>
      </c>
      <c r="DB251" s="13" t="n">
        <f aca="false">IF(ISBLANK(Actuals!DC74),0,Actuals!DC74)</f>
        <v>0</v>
      </c>
      <c r="DC251" s="13" t="n">
        <f aca="false">IF(ISBLANK(Actuals!DD74),0,Actuals!DD74)</f>
        <v>0</v>
      </c>
      <c r="DD251" s="13" t="n">
        <f aca="false">IF(ISBLANK(Actuals!DE74),0,Actuals!DE74)</f>
        <v>0</v>
      </c>
      <c r="DE251" s="13" t="n">
        <f aca="false">IF(ISBLANK(Actuals!DF74),0,Actuals!DF74)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IF(ISBLANK(Actuals!F75),IF(AND(Projects!$G$12="Yes",1&gt;=Projects!$C$12,1&lt;Projects!$C$12+Projects!$D$12),Assumptions!$B$65/Projects!$D$12,0),Actuals!F75)</f>
        <v>0</v>
      </c>
      <c r="F252" s="13" t="n">
        <f aca="false">IF(ISBLANK(Actuals!G75),IF(AND(Projects!$G$12="Yes",2&gt;=Projects!$C$12,2&lt;Projects!$C$12+Projects!$D$12),Assumptions!$B$65/Projects!$D$12,0),Actuals!G75)</f>
        <v>0</v>
      </c>
      <c r="G252" s="13" t="n">
        <f aca="false">IF(ISBLANK(Actuals!H75),IF(AND(Projects!$G$12="Yes",3&gt;=Projects!$C$12,3&lt;Projects!$C$12+Projects!$D$12),Assumptions!$B$65/Projects!$D$12,0),Actuals!H75)</f>
        <v>0</v>
      </c>
      <c r="H252" s="13" t="n">
        <f aca="false">IF(ISBLANK(Actuals!I75),IF(AND(Projects!$G$12="Yes",4&gt;=Projects!$C$12,4&lt;Projects!$C$12+Projects!$D$12),Assumptions!$B$65/Projects!$D$12,0),Actuals!I75)</f>
        <v>0</v>
      </c>
      <c r="I252" s="13" t="n">
        <f aca="false">IF(ISBLANK(Actuals!J75),IF(AND(Projects!$G$12="Yes",5&gt;=Projects!$C$12,5&lt;Projects!$C$12+Projects!$D$12),Assumptions!$B$65/Projects!$D$12,0),Actuals!J75)</f>
        <v>0</v>
      </c>
      <c r="J252" s="13" t="n">
        <f aca="false">IF(ISBLANK(Actuals!K75),IF(AND(Projects!$G$12="Yes",6&gt;=Projects!$C$12,6&lt;Projects!$C$12+Projects!$D$12),Assumptions!$B$65/Projects!$D$12,0),Actuals!K75)</f>
        <v>0</v>
      </c>
      <c r="K252" s="13" t="n">
        <f aca="false">IF(ISBLANK(Actuals!L75),IF(AND(Projects!$G$12="Yes",7&gt;=Projects!$C$12,7&lt;Projects!$C$12+Projects!$D$12),Assumptions!$B$65/Projects!$D$12,0),Actuals!L75)</f>
        <v>0</v>
      </c>
      <c r="L252" s="13" t="n">
        <f aca="false">IF(ISBLANK(Actuals!M75),IF(AND(Projects!$G$12="Yes",8&gt;=Projects!$C$12,8&lt;Projects!$C$12+Projects!$D$12),Assumptions!$B$65/Projects!$D$12,0),Actuals!M75)</f>
        <v>0</v>
      </c>
      <c r="M252" s="13" t="n">
        <f aca="false">IF(ISBLANK(Actuals!N75),IF(AND(Projects!$G$12="Yes",9&gt;=Projects!$C$12,9&lt;Projects!$C$12+Projects!$D$12),Assumptions!$B$65/Projects!$D$12,0),Actuals!N75)</f>
        <v>0</v>
      </c>
      <c r="N252" s="13" t="n">
        <f aca="false">IF(ISBLANK(Actuals!O75),IF(AND(Projects!$G$12="Yes",10&gt;=Projects!$C$12,10&lt;Projects!$C$12+Projects!$D$12),Assumptions!$B$65/Projects!$D$12,0),Actuals!O75)</f>
        <v>3157.89473684211</v>
      </c>
      <c r="O252" s="13" t="n">
        <f aca="false">IF(ISBLANK(Actuals!P75),IF(AND(Projects!$G$12="Yes",11&gt;=Projects!$C$12,11&lt;Projects!$C$12+Projects!$D$12),Assumptions!$B$65/Projects!$D$12,0),Actuals!P75)</f>
        <v>3157.89473684211</v>
      </c>
      <c r="P252" s="13" t="n">
        <f aca="false">IF(ISBLANK(Actuals!Q75),IF(AND(Projects!$G$12="Yes",12&gt;=Projects!$C$12,12&lt;Projects!$C$12+Projects!$D$12),Assumptions!$B$65/Projects!$D$12,0),Actuals!Q75)</f>
        <v>3157.89473684211</v>
      </c>
      <c r="Q252" s="13" t="n">
        <f aca="false">IF(ISBLANK(Actuals!R75),IF(AND(Projects!$G$12="Yes",13&gt;=Projects!$C$12,13&lt;Projects!$C$12+Projects!$D$12),Assumptions!$B$65/Projects!$D$12,0),Actuals!R75)</f>
        <v>3157.89473684211</v>
      </c>
      <c r="R252" s="13" t="n">
        <f aca="false">IF(ISBLANK(Actuals!S75),IF(AND(Projects!$G$12="Yes",14&gt;=Projects!$C$12,14&lt;Projects!$C$12+Projects!$D$12),Assumptions!$B$65/Projects!$D$12,0),Actuals!S75)</f>
        <v>3157.89473684211</v>
      </c>
      <c r="S252" s="13" t="n">
        <f aca="false">IF(ISBLANK(Actuals!T75),IF(AND(Projects!$G$12="Yes",15&gt;=Projects!$C$12,15&lt;Projects!$C$12+Projects!$D$12),Assumptions!$B$65/Projects!$D$12,0),Actuals!T75)</f>
        <v>3157.89473684211</v>
      </c>
      <c r="T252" s="13" t="n">
        <f aca="false">IF(ISBLANK(Actuals!U75),IF(AND(Projects!$G$12="Yes",16&gt;=Projects!$C$12,16&lt;Projects!$C$12+Projects!$D$12),Assumptions!$B$65/Projects!$D$12,0),Actuals!U75)</f>
        <v>3157.89473684211</v>
      </c>
      <c r="U252" s="13" t="n">
        <f aca="false">IF(ISBLANK(Actuals!V75),IF(AND(Projects!$G$12="Yes",17&gt;=Projects!$C$12,17&lt;Projects!$C$12+Projects!$D$12),Assumptions!$B$65/Projects!$D$12,0),Actuals!V75)</f>
        <v>3157.89473684211</v>
      </c>
      <c r="V252" s="13" t="n">
        <f aca="false">IF(ISBLANK(Actuals!W75),IF(AND(Projects!$G$12="Yes",18&gt;=Projects!$C$12,18&lt;Projects!$C$12+Projects!$D$12),Assumptions!$B$65/Projects!$D$12,0),Actuals!W75)</f>
        <v>3157.89473684211</v>
      </c>
      <c r="W252" s="13" t="n">
        <f aca="false">IF(ISBLANK(Actuals!X75),IF(AND(Projects!$G$12="Yes",19&gt;=Projects!$C$12,19&lt;Projects!$C$12+Projects!$D$12),Assumptions!$B$65/Projects!$D$12,0),Actuals!X75)</f>
        <v>3157.89473684211</v>
      </c>
      <c r="X252" s="13" t="n">
        <f aca="false">IF(ISBLANK(Actuals!Y75),IF(AND(Projects!$G$12="Yes",20&gt;=Projects!$C$12,20&lt;Projects!$C$12+Projects!$D$12),Assumptions!$B$65/Projects!$D$12,0),Actuals!Y75)</f>
        <v>3157.89473684211</v>
      </c>
      <c r="Y252" s="13" t="n">
        <f aca="false">IF(ISBLANK(Actuals!Z75),IF(AND(Projects!$G$12="Yes",21&gt;=Projects!$C$12,21&lt;Projects!$C$12+Projects!$D$12),Assumptions!$B$65/Projects!$D$12,0),Actuals!Z75)</f>
        <v>3157.89473684211</v>
      </c>
      <c r="Z252" s="13" t="n">
        <f aca="false">IF(ISBLANK(Actuals!AA75),IF(AND(Projects!$G$12="Yes",22&gt;=Projects!$C$12,22&lt;Projects!$C$12+Projects!$D$12),Assumptions!$B$65/Projects!$D$12,0),Actuals!AA75)</f>
        <v>3157.89473684211</v>
      </c>
      <c r="AA252" s="13" t="n">
        <f aca="false">IF(ISBLANK(Actuals!AB75),IF(AND(Projects!$G$12="Yes",23&gt;=Projects!$C$12,23&lt;Projects!$C$12+Projects!$D$12),Assumptions!$B$65/Projects!$D$12,0),Actuals!AB75)</f>
        <v>3157.89473684211</v>
      </c>
      <c r="AB252" s="13" t="n">
        <f aca="false">IF(ISBLANK(Actuals!AC75),IF(AND(Projects!$G$12="Yes",24&gt;=Projects!$C$12,24&lt;Projects!$C$12+Projects!$D$12),Assumptions!$B$65/Projects!$D$12,0),Actuals!AC75)</f>
        <v>3157.89473684211</v>
      </c>
      <c r="AC252" s="13" t="n">
        <f aca="false">IF(ISBLANK(Actuals!AD75),IF(AND(Projects!$G$12="Yes",25&gt;=Projects!$C$12,25&lt;Projects!$C$12+Projects!$D$12),Assumptions!$B$65/Projects!$D$12,0),Actuals!AD75)</f>
        <v>3157.89473684211</v>
      </c>
      <c r="AD252" s="13" t="n">
        <f aca="false">IF(ISBLANK(Actuals!AE75),IF(AND(Projects!$G$12="Yes",26&gt;=Projects!$C$12,26&lt;Projects!$C$12+Projects!$D$12),Assumptions!$B$65/Projects!$D$12,0),Actuals!AE75)</f>
        <v>3157.89473684211</v>
      </c>
      <c r="AE252" s="13" t="n">
        <f aca="false">IF(ISBLANK(Actuals!AF75),IF(AND(Projects!$G$12="Yes",27&gt;=Projects!$C$12,27&lt;Projects!$C$12+Projects!$D$12),Assumptions!$B$65/Projects!$D$12,0),Actuals!AF75)</f>
        <v>3157.89473684211</v>
      </c>
      <c r="AF252" s="13" t="n">
        <f aca="false">IF(ISBLANK(Actuals!AG75),IF(AND(Projects!$G$12="Yes",28&gt;=Projects!$C$12,28&lt;Projects!$C$12+Projects!$D$12),Assumptions!$B$65/Projects!$D$12,0),Actuals!AG75)</f>
        <v>3157.89473684211</v>
      </c>
      <c r="AG252" s="13" t="n">
        <f aca="false">IF(ISBLANK(Actuals!AH75),IF(AND(Projects!$G$12="Yes",29&gt;=Projects!$C$12,29&lt;Projects!$C$12+Projects!$D$12),Assumptions!$B$65/Projects!$D$12,0),Actuals!AH75)</f>
        <v>0</v>
      </c>
      <c r="AH252" s="13" t="n">
        <f aca="false">IF(ISBLANK(Actuals!AI75),IF(AND(Projects!$G$12="Yes",30&gt;=Projects!$C$12,30&lt;Projects!$C$12+Projects!$D$12),Assumptions!$B$65/Projects!$D$12,0),Actuals!AI75)</f>
        <v>0</v>
      </c>
      <c r="AI252" s="13" t="n">
        <f aca="false">IF(ISBLANK(Actuals!AJ75),IF(AND(Projects!$G$12="Yes",31&gt;=Projects!$C$12,31&lt;Projects!$C$12+Projects!$D$12),Assumptions!$B$65/Projects!$D$12,0),Actuals!AJ75)</f>
        <v>0</v>
      </c>
      <c r="AJ252" s="13" t="n">
        <f aca="false">IF(ISBLANK(Actuals!AK75),IF(AND(Projects!$G$12="Yes",32&gt;=Projects!$C$12,32&lt;Projects!$C$12+Projects!$D$12),Assumptions!$B$65/Projects!$D$12,0),Actuals!AK75)</f>
        <v>0</v>
      </c>
      <c r="AK252" s="13" t="n">
        <f aca="false">IF(ISBLANK(Actuals!AL75),IF(AND(Projects!$G$12="Yes",33&gt;=Projects!$C$12,33&lt;Projects!$C$12+Projects!$D$12),Assumptions!$B$65/Projects!$D$12,0),Actuals!AL75)</f>
        <v>0</v>
      </c>
      <c r="AL252" s="13" t="n">
        <f aca="false">IF(ISBLANK(Actuals!AM75),IF(AND(Projects!$G$12="Yes",34&gt;=Projects!$C$12,34&lt;Projects!$C$12+Projects!$D$12),Assumptions!$B$65/Projects!$D$12,0),Actuals!AM75)</f>
        <v>0</v>
      </c>
      <c r="AM252" s="13" t="n">
        <f aca="false">IF(ISBLANK(Actuals!AN75),IF(AND(Projects!$G$12="Yes",35&gt;=Projects!$C$12,35&lt;Projects!$C$12+Projects!$D$12),Assumptions!$B$65/Projects!$D$12,0),Actuals!AN75)</f>
        <v>0</v>
      </c>
      <c r="AN252" s="13" t="n">
        <f aca="false">IF(ISBLANK(Actuals!AO75),IF(AND(Projects!$G$12="Yes",36&gt;=Projects!$C$12,36&lt;Projects!$C$12+Projects!$D$12),Assumptions!$B$65/Projects!$D$12,0),Actuals!AO75)</f>
        <v>0</v>
      </c>
      <c r="AO252" s="13" t="n">
        <f aca="false">IF(ISBLANK(Actuals!AP75),IF(AND(Projects!$G$12="Yes",37&gt;=Projects!$C$12,37&lt;Projects!$C$12+Projects!$D$12),Assumptions!$B$65/Projects!$D$12,0),Actuals!AP75)</f>
        <v>0</v>
      </c>
      <c r="AP252" s="13" t="n">
        <f aca="false">IF(ISBLANK(Actuals!AQ75),IF(AND(Projects!$G$12="Yes",38&gt;=Projects!$C$12,38&lt;Projects!$C$12+Projects!$D$12),Assumptions!$B$65/Projects!$D$12,0),Actuals!AQ75)</f>
        <v>0</v>
      </c>
      <c r="AQ252" s="13" t="n">
        <f aca="false">IF(ISBLANK(Actuals!AR75),IF(AND(Projects!$G$12="Yes",39&gt;=Projects!$C$12,39&lt;Projects!$C$12+Projects!$D$12),Assumptions!$B$65/Projects!$D$12,0),Actuals!AR75)</f>
        <v>0</v>
      </c>
      <c r="AR252" s="13" t="n">
        <f aca="false">IF(ISBLANK(Actuals!AS75),IF(AND(Projects!$G$12="Yes",40&gt;=Projects!$C$12,40&lt;Projects!$C$12+Projects!$D$12),Assumptions!$B$65/Projects!$D$12,0),Actuals!AS75)</f>
        <v>0</v>
      </c>
      <c r="AS252" s="13" t="n">
        <f aca="false">IF(ISBLANK(Actuals!AT75),IF(AND(Projects!$G$12="Yes",41&gt;=Projects!$C$12,41&lt;Projects!$C$12+Projects!$D$12),Assumptions!$B$65/Projects!$D$12,0),Actuals!AT75)</f>
        <v>0</v>
      </c>
      <c r="AT252" s="13" t="n">
        <f aca="false">IF(ISBLANK(Actuals!AU75),IF(AND(Projects!$G$12="Yes",42&gt;=Projects!$C$12,42&lt;Projects!$C$12+Projects!$D$12),Assumptions!$B$65/Projects!$D$12,0),Actuals!AU75)</f>
        <v>0</v>
      </c>
      <c r="AU252" s="13" t="n">
        <f aca="false">IF(ISBLANK(Actuals!AV75),IF(AND(Projects!$G$12="Yes",43&gt;=Projects!$C$12,43&lt;Projects!$C$12+Projects!$D$12),Assumptions!$B$65/Projects!$D$12,0),Actuals!AV75)</f>
        <v>0</v>
      </c>
      <c r="AV252" s="13" t="n">
        <f aca="false">IF(ISBLANK(Actuals!AW75),IF(AND(Projects!$G$12="Yes",44&gt;=Projects!$C$12,44&lt;Projects!$C$12+Projects!$D$12),Assumptions!$B$65/Projects!$D$12,0),Actuals!AW75)</f>
        <v>0</v>
      </c>
      <c r="AW252" s="13" t="n">
        <f aca="false">IF(ISBLANK(Actuals!AX75),IF(AND(Projects!$G$12="Yes",45&gt;=Projects!$C$12,45&lt;Projects!$C$12+Projects!$D$12),Assumptions!$B$65/Projects!$D$12,0),Actuals!AX75)</f>
        <v>0</v>
      </c>
      <c r="AX252" s="13" t="n">
        <f aca="false">IF(ISBLANK(Actuals!AY75),IF(AND(Projects!$G$12="Yes",46&gt;=Projects!$C$12,46&lt;Projects!$C$12+Projects!$D$12),Assumptions!$B$65/Projects!$D$12,0),Actuals!AY75)</f>
        <v>0</v>
      </c>
      <c r="AY252" s="13" t="n">
        <f aca="false">IF(ISBLANK(Actuals!AZ75),IF(AND(Projects!$G$12="Yes",47&gt;=Projects!$C$12,47&lt;Projects!$C$12+Projects!$D$12),Assumptions!$B$65/Projects!$D$12,0),Actuals!AZ75)</f>
        <v>0</v>
      </c>
      <c r="AZ252" s="13" t="n">
        <f aca="false">IF(ISBLANK(Actuals!BA75),IF(AND(Projects!$G$12="Yes",48&gt;=Projects!$C$12,48&lt;Projects!$C$12+Projects!$D$12),Assumptions!$B$65/Projects!$D$12,0),Actuals!BA75)</f>
        <v>0</v>
      </c>
      <c r="BA252" s="13" t="n">
        <f aca="false">IF(ISBLANK(Actuals!BB75),IF(AND(Projects!$G$12="Yes",49&gt;=Projects!$C$12,49&lt;Projects!$C$12+Projects!$D$12),Assumptions!$B$65/Projects!$D$12,0),Actuals!BB75)</f>
        <v>0</v>
      </c>
      <c r="BB252" s="13" t="n">
        <f aca="false">IF(ISBLANK(Actuals!BC75),IF(AND(Projects!$G$12="Yes",50&gt;=Projects!$C$12,50&lt;Projects!$C$12+Projects!$D$12),Assumptions!$B$65/Projects!$D$12,0),Actuals!BC75)</f>
        <v>0</v>
      </c>
      <c r="BC252" s="13" t="n">
        <f aca="false">IF(ISBLANK(Actuals!BD75),IF(AND(Projects!$G$12="Yes",51&gt;=Projects!$C$12,51&lt;Projects!$C$12+Projects!$D$12),Assumptions!$B$65/Projects!$D$12,0),Actuals!BD75)</f>
        <v>0</v>
      </c>
      <c r="BD252" s="13" t="n">
        <f aca="false">IF(ISBLANK(Actuals!BE75),IF(AND(Projects!$G$12="Yes",52&gt;=Projects!$C$12,52&lt;Projects!$C$12+Projects!$D$12),Assumptions!$B$65/Projects!$D$12,0),Actuals!BE75)</f>
        <v>0</v>
      </c>
      <c r="BE252" s="13" t="n">
        <f aca="false">IF(ISBLANK(Actuals!BF75),IF(AND(Projects!$G$12="Yes",53&gt;=Projects!$C$12,53&lt;Projects!$C$12+Projects!$D$12),Assumptions!$B$65/Projects!$D$12,0),Actuals!BF75)</f>
        <v>0</v>
      </c>
      <c r="BF252" s="13" t="n">
        <f aca="false">IF(ISBLANK(Actuals!BG75),IF(AND(Projects!$G$12="Yes",54&gt;=Projects!$C$12,54&lt;Projects!$C$12+Projects!$D$12),Assumptions!$B$65/Projects!$D$12,0),Actuals!BG75)</f>
        <v>0</v>
      </c>
      <c r="BG252" s="13" t="n">
        <f aca="false">IF(ISBLANK(Actuals!BH75),IF(AND(Projects!$G$12="Yes",55&gt;=Projects!$C$12,55&lt;Projects!$C$12+Projects!$D$12),Assumptions!$B$65/Projects!$D$12,0),Actuals!BH75)</f>
        <v>0</v>
      </c>
      <c r="BH252" s="13" t="n">
        <f aca="false">IF(ISBLANK(Actuals!BI75),IF(AND(Projects!$G$12="Yes",56&gt;=Projects!$C$12,56&lt;Projects!$C$12+Projects!$D$12),Assumptions!$B$65/Projects!$D$12,0),Actuals!BI75)</f>
        <v>0</v>
      </c>
      <c r="BI252" s="13" t="n">
        <f aca="false">IF(ISBLANK(Actuals!BJ75),IF(AND(Projects!$G$12="Yes",57&gt;=Projects!$C$12,57&lt;Projects!$C$12+Projects!$D$12),Assumptions!$B$65/Projects!$D$12,0),Actuals!BJ75)</f>
        <v>0</v>
      </c>
      <c r="BJ252" s="13" t="n">
        <f aca="false">IF(ISBLANK(Actuals!BK75),IF(AND(Projects!$G$12="Yes",58&gt;=Projects!$C$12,58&lt;Projects!$C$12+Projects!$D$12),Assumptions!$B$65/Projects!$D$12,0),Actuals!BK75)</f>
        <v>0</v>
      </c>
      <c r="BK252" s="13" t="n">
        <f aca="false">IF(ISBLANK(Actuals!BL75),IF(AND(Projects!$G$12="Yes",59&gt;=Projects!$C$12,59&lt;Projects!$C$12+Projects!$D$12),Assumptions!$B$65/Projects!$D$12,0),Actuals!BL75)</f>
        <v>0</v>
      </c>
      <c r="BL252" s="13" t="n">
        <f aca="false">IF(ISBLANK(Actuals!BM75),IF(AND(Projects!$G$12="Yes",60&gt;=Projects!$C$12,60&lt;Projects!$C$12+Projects!$D$12),Assumptions!$B$65/Projects!$D$12,0),Actuals!BM75)</f>
        <v>0</v>
      </c>
      <c r="BM252" s="13" t="n">
        <f aca="false">IF(ISBLANK(Actuals!BN75),IF(AND(Projects!$G$12="Yes",61&gt;=Projects!$C$12,61&lt;Projects!$C$12+Projects!$D$12),Assumptions!$B$65/Projects!$D$12,0),Actuals!BN75)</f>
        <v>0</v>
      </c>
      <c r="BN252" s="13" t="n">
        <f aca="false">IF(ISBLANK(Actuals!BO75),IF(AND(Projects!$G$12="Yes",62&gt;=Projects!$C$12,62&lt;Projects!$C$12+Projects!$D$12),Assumptions!$B$65/Projects!$D$12,0),Actuals!BO75)</f>
        <v>0</v>
      </c>
      <c r="BO252" s="13" t="n">
        <f aca="false">IF(ISBLANK(Actuals!BP75),IF(AND(Projects!$G$12="Yes",63&gt;=Projects!$C$12,63&lt;Projects!$C$12+Projects!$D$12),Assumptions!$B$65/Projects!$D$12,0),Actuals!BP75)</f>
        <v>0</v>
      </c>
      <c r="BP252" s="13" t="n">
        <f aca="false">IF(ISBLANK(Actuals!BQ75),IF(AND(Projects!$G$12="Yes",64&gt;=Projects!$C$12,64&lt;Projects!$C$12+Projects!$D$12),Assumptions!$B$65/Projects!$D$12,0),Actuals!BQ75)</f>
        <v>0</v>
      </c>
      <c r="BQ252" s="13" t="n">
        <f aca="false">IF(ISBLANK(Actuals!BR75),IF(AND(Projects!$G$12="Yes",65&gt;=Projects!$C$12,65&lt;Projects!$C$12+Projects!$D$12),Assumptions!$B$65/Projects!$D$12,0),Actuals!BR75)</f>
        <v>0</v>
      </c>
      <c r="BR252" s="13" t="n">
        <f aca="false">IF(ISBLANK(Actuals!BS75),IF(AND(Projects!$G$12="Yes",66&gt;=Projects!$C$12,66&lt;Projects!$C$12+Projects!$D$12),Assumptions!$B$65/Projects!$D$12,0),Actuals!BS75)</f>
        <v>0</v>
      </c>
      <c r="BS252" s="13" t="n">
        <f aca="false">IF(ISBLANK(Actuals!BT75),IF(AND(Projects!$G$12="Yes",67&gt;=Projects!$C$12,67&lt;Projects!$C$12+Projects!$D$12),Assumptions!$B$65/Projects!$D$12,0),Actuals!BT75)</f>
        <v>0</v>
      </c>
      <c r="BT252" s="13" t="n">
        <f aca="false">IF(ISBLANK(Actuals!BU75),IF(AND(Projects!$G$12="Yes",68&gt;=Projects!$C$12,68&lt;Projects!$C$12+Projects!$D$12),Assumptions!$B$65/Projects!$D$12,0),Actuals!BU75)</f>
        <v>0</v>
      </c>
      <c r="BU252" s="13" t="n">
        <f aca="false">IF(ISBLANK(Actuals!BV75),IF(AND(Projects!$G$12="Yes",69&gt;=Projects!$C$12,69&lt;Projects!$C$12+Projects!$D$12),Assumptions!$B$65/Projects!$D$12,0),Actuals!BV75)</f>
        <v>0</v>
      </c>
      <c r="BV252" s="13" t="n">
        <f aca="false">IF(ISBLANK(Actuals!BW75),IF(AND(Projects!$G$12="Yes",70&gt;=Projects!$C$12,70&lt;Projects!$C$12+Projects!$D$12),Assumptions!$B$65/Projects!$D$12,0),Actuals!BW75)</f>
        <v>0</v>
      </c>
      <c r="BW252" s="13" t="n">
        <f aca="false">IF(ISBLANK(Actuals!BX75),IF(AND(Projects!$G$12="Yes",71&gt;=Projects!$C$12,71&lt;Projects!$C$12+Projects!$D$12),Assumptions!$B$65/Projects!$D$12,0),Actuals!BX75)</f>
        <v>0</v>
      </c>
      <c r="BX252" s="13" t="n">
        <f aca="false">IF(ISBLANK(Actuals!BY75),IF(AND(Projects!$G$12="Yes",72&gt;=Projects!$C$12,72&lt;Projects!$C$12+Projects!$D$12),Assumptions!$B$65/Projects!$D$12,0),Actuals!BY75)</f>
        <v>0</v>
      </c>
      <c r="BY252" s="13" t="n">
        <f aca="false">IF(ISBLANK(Actuals!BZ75),IF(AND(Projects!$G$12="Yes",73&gt;=Projects!$C$12,73&lt;Projects!$C$12+Projects!$D$12),Assumptions!$B$65/Projects!$D$12,0),Actuals!BZ75)</f>
        <v>0</v>
      </c>
      <c r="BZ252" s="13" t="n">
        <f aca="false">IF(ISBLANK(Actuals!CA75),IF(AND(Projects!$G$12="Yes",74&gt;=Projects!$C$12,74&lt;Projects!$C$12+Projects!$D$12),Assumptions!$B$65/Projects!$D$12,0),Actuals!CA75)</f>
        <v>0</v>
      </c>
      <c r="CA252" s="13" t="n">
        <f aca="false">IF(ISBLANK(Actuals!CB75),IF(AND(Projects!$G$12="Yes",75&gt;=Projects!$C$12,75&lt;Projects!$C$12+Projects!$D$12),Assumptions!$B$65/Projects!$D$12,0),Actuals!CB75)</f>
        <v>0</v>
      </c>
      <c r="CB252" s="13" t="n">
        <f aca="false">IF(ISBLANK(Actuals!CC75),IF(AND(Projects!$G$12="Yes",76&gt;=Projects!$C$12,76&lt;Projects!$C$12+Projects!$D$12),Assumptions!$B$65/Projects!$D$12,0),Actuals!CC75)</f>
        <v>0</v>
      </c>
      <c r="CC252" s="13" t="n">
        <f aca="false">IF(ISBLANK(Actuals!CD75),IF(AND(Projects!$G$12="Yes",77&gt;=Projects!$C$12,77&lt;Projects!$C$12+Projects!$D$12),Assumptions!$B$65/Projects!$D$12,0),Actuals!CD75)</f>
        <v>0</v>
      </c>
      <c r="CD252" s="13" t="n">
        <f aca="false">IF(ISBLANK(Actuals!CE75),IF(AND(Projects!$G$12="Yes",78&gt;=Projects!$C$12,78&lt;Projects!$C$12+Projects!$D$12),Assumptions!$B$65/Projects!$D$12,0),Actuals!CE75)</f>
        <v>0</v>
      </c>
      <c r="CE252" s="13" t="n">
        <f aca="false">IF(ISBLANK(Actuals!CF75),IF(AND(Projects!$G$12="Yes",79&gt;=Projects!$C$12,79&lt;Projects!$C$12+Projects!$D$12),Assumptions!$B$65/Projects!$D$12,0),Actuals!CF75)</f>
        <v>0</v>
      </c>
      <c r="CF252" s="13" t="n">
        <f aca="false">IF(ISBLANK(Actuals!CG75),IF(AND(Projects!$G$12="Yes",80&gt;=Projects!$C$12,80&lt;Projects!$C$12+Projects!$D$12),Assumptions!$B$65/Projects!$D$12,0),Actuals!CG75)</f>
        <v>0</v>
      </c>
      <c r="CG252" s="13" t="n">
        <f aca="false">IF(ISBLANK(Actuals!CH75),IF(AND(Projects!$G$12="Yes",81&gt;=Projects!$C$12,81&lt;Projects!$C$12+Projects!$D$12),Assumptions!$B$65/Projects!$D$12,0),Actuals!CH75)</f>
        <v>0</v>
      </c>
      <c r="CH252" s="13" t="n">
        <f aca="false">IF(ISBLANK(Actuals!CI75),IF(AND(Projects!$G$12="Yes",82&gt;=Projects!$C$12,82&lt;Projects!$C$12+Projects!$D$12),Assumptions!$B$65/Projects!$D$12,0),Actuals!CI75)</f>
        <v>0</v>
      </c>
      <c r="CI252" s="13" t="n">
        <f aca="false">IF(ISBLANK(Actuals!CJ75),IF(AND(Projects!$G$12="Yes",83&gt;=Projects!$C$12,83&lt;Projects!$C$12+Projects!$D$12),Assumptions!$B$65/Projects!$D$12,0),Actuals!CJ75)</f>
        <v>0</v>
      </c>
      <c r="CJ252" s="13" t="n">
        <f aca="false">IF(ISBLANK(Actuals!CK75),IF(AND(Projects!$G$12="Yes",84&gt;=Projects!$C$12,84&lt;Projects!$C$12+Projects!$D$12),Assumptions!$B$65/Projects!$D$12,0),Actuals!CK75)</f>
        <v>0</v>
      </c>
      <c r="CK252" s="13" t="n">
        <f aca="false">IF(ISBLANK(Actuals!CL75),IF(AND(Projects!$G$12="Yes",85&gt;=Projects!$C$12,85&lt;Projects!$C$12+Projects!$D$12),Assumptions!$B$65/Projects!$D$12,0),Actuals!CL75)</f>
        <v>0</v>
      </c>
      <c r="CL252" s="13" t="n">
        <f aca="false">IF(ISBLANK(Actuals!CM75),IF(AND(Projects!$G$12="Yes",86&gt;=Projects!$C$12,86&lt;Projects!$C$12+Projects!$D$12),Assumptions!$B$65/Projects!$D$12,0),Actuals!CM75)</f>
        <v>0</v>
      </c>
      <c r="CM252" s="13" t="n">
        <f aca="false">IF(ISBLANK(Actuals!CN75),IF(AND(Projects!$G$12="Yes",87&gt;=Projects!$C$12,87&lt;Projects!$C$12+Projects!$D$12),Assumptions!$B$65/Projects!$D$12,0),Actuals!CN75)</f>
        <v>0</v>
      </c>
      <c r="CN252" s="13" t="n">
        <f aca="false">IF(ISBLANK(Actuals!CO75),IF(AND(Projects!$G$12="Yes",88&gt;=Projects!$C$12,88&lt;Projects!$C$12+Projects!$D$12),Assumptions!$B$65/Projects!$D$12,0),Actuals!CO75)</f>
        <v>0</v>
      </c>
      <c r="CO252" s="13" t="n">
        <f aca="false">IF(ISBLANK(Actuals!CP75),IF(AND(Projects!$G$12="Yes",89&gt;=Projects!$C$12,89&lt;Projects!$C$12+Projects!$D$12),Assumptions!$B$65/Projects!$D$12,0),Actuals!CP75)</f>
        <v>0</v>
      </c>
      <c r="CP252" s="13" t="n">
        <f aca="false">IF(ISBLANK(Actuals!CQ75),IF(AND(Projects!$G$12="Yes",90&gt;=Projects!$C$12,90&lt;Projects!$C$12+Projects!$D$12),Assumptions!$B$65/Projects!$D$12,0),Actuals!CQ75)</f>
        <v>0</v>
      </c>
      <c r="CQ252" s="13" t="n">
        <f aca="false">IF(ISBLANK(Actuals!CR75),IF(AND(Projects!$G$12="Yes",91&gt;=Projects!$C$12,91&lt;Projects!$C$12+Projects!$D$12),Assumptions!$B$65/Projects!$D$12,0),Actuals!CR75)</f>
        <v>0</v>
      </c>
      <c r="CR252" s="13" t="n">
        <f aca="false">IF(ISBLANK(Actuals!CS75),IF(AND(Projects!$G$12="Yes",92&gt;=Projects!$C$12,92&lt;Projects!$C$12+Projects!$D$12),Assumptions!$B$65/Projects!$D$12,0),Actuals!CS75)</f>
        <v>0</v>
      </c>
      <c r="CS252" s="13" t="n">
        <f aca="false">IF(ISBLANK(Actuals!CT75),IF(AND(Projects!$G$12="Yes",93&gt;=Projects!$C$12,93&lt;Projects!$C$12+Projects!$D$12),Assumptions!$B$65/Projects!$D$12,0),Actuals!CT75)</f>
        <v>0</v>
      </c>
      <c r="CT252" s="13" t="n">
        <f aca="false">IF(ISBLANK(Actuals!CU75),IF(AND(Projects!$G$12="Yes",94&gt;=Projects!$C$12,94&lt;Projects!$C$12+Projects!$D$12),Assumptions!$B$65/Projects!$D$12,0),Actuals!CU75)</f>
        <v>0</v>
      </c>
      <c r="CU252" s="13" t="n">
        <f aca="false">IF(ISBLANK(Actuals!CV75),IF(AND(Projects!$G$12="Yes",95&gt;=Projects!$C$12,95&lt;Projects!$C$12+Projects!$D$12),Assumptions!$B$65/Projects!$D$12,0),Actuals!CV75)</f>
        <v>0</v>
      </c>
      <c r="CV252" s="13" t="n">
        <f aca="false">IF(ISBLANK(Actuals!CW75),IF(AND(Projects!$G$12="Yes",96&gt;=Projects!$C$12,96&lt;Projects!$C$12+Projects!$D$12),Assumptions!$B$65/Projects!$D$12,0),Actuals!CW75)</f>
        <v>0</v>
      </c>
      <c r="CW252" s="13" t="n">
        <f aca="false">IF(ISBLANK(Actuals!CX75),IF(AND(Projects!$G$12="Yes",97&gt;=Projects!$C$12,97&lt;Projects!$C$12+Projects!$D$12),Assumptions!$B$65/Projects!$D$12,0),Actuals!CX75)</f>
        <v>0</v>
      </c>
      <c r="CX252" s="13" t="n">
        <f aca="false">IF(ISBLANK(Actuals!CY75),IF(AND(Projects!$G$12="Yes",98&gt;=Projects!$C$12,98&lt;Projects!$C$12+Projects!$D$12),Assumptions!$B$65/Projects!$D$12,0),Actuals!CY75)</f>
        <v>0</v>
      </c>
      <c r="CY252" s="13" t="n">
        <f aca="false">IF(ISBLANK(Actuals!CZ75),IF(AND(Projects!$G$12="Yes",99&gt;=Projects!$C$12,99&lt;Projects!$C$12+Projects!$D$12),Assumptions!$B$65/Projects!$D$12,0),Actuals!CZ75)</f>
        <v>0</v>
      </c>
      <c r="CZ252" s="13" t="n">
        <f aca="false">IF(ISBLANK(Actuals!DA75),IF(AND(Projects!$G$12="Yes",100&gt;=Projects!$C$12,100&lt;Projects!$C$12+Projects!$D$12),Assumptions!$B$65/Projects!$D$12,0),Actuals!DA75)</f>
        <v>0</v>
      </c>
      <c r="DA252" s="13" t="n">
        <f aca="false">IF(ISBLANK(Actuals!DB75),IF(AND(Projects!$G$12="Yes",101&gt;=Projects!$C$12,101&lt;Projects!$C$12+Projects!$D$12),Assumptions!$B$65/Projects!$D$12,0),Actuals!DB75)</f>
        <v>0</v>
      </c>
      <c r="DB252" s="13" t="n">
        <f aca="false">IF(ISBLANK(Actuals!DC75),IF(AND(Projects!$G$12="Yes",102&gt;=Projects!$C$12,102&lt;Projects!$C$12+Projects!$D$12),Assumptions!$B$65/Projects!$D$12,0),Actuals!DC75)</f>
        <v>0</v>
      </c>
      <c r="DC252" s="13" t="n">
        <f aca="false">IF(ISBLANK(Actuals!DD75),IF(AND(Projects!$G$12="Yes",103&gt;=Projects!$C$12,103&lt;Projects!$C$12+Projects!$D$12),Assumptions!$B$65/Projects!$D$12,0),Actuals!DD75)</f>
        <v>0</v>
      </c>
      <c r="DD252" s="13" t="n">
        <f aca="false">IF(ISBLANK(Actuals!DE75),IF(AND(Projects!$G$12="Yes",104&gt;=Projects!$C$12,104&lt;Projects!$C$12+Projects!$D$12),Assumptions!$B$65/Projects!$D$12,0),Actuals!DE75)</f>
        <v>0</v>
      </c>
      <c r="DE252" s="13" t="n">
        <f aca="false">IF(ISBLANK(Actuals!DF75),IF(AND(Projects!$G$12="Yes",105&gt;=Projects!$C$12,105&lt;Projects!$C$12+Projects!$D$12),Assumptions!$B$65/Projects!$D$12,0),Actuals!DF75)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IF(ISBLANK(Actuals!F76),0,Actuals!F76)</f>
        <v>0</v>
      </c>
      <c r="F253" s="13" t="n">
        <f aca="false">IF(ISBLANK(Actuals!G76),0,Actuals!G76)</f>
        <v>0</v>
      </c>
      <c r="G253" s="13" t="n">
        <f aca="false">IF(ISBLANK(Actuals!H76),0,Actuals!H76)</f>
        <v>0</v>
      </c>
      <c r="H253" s="13" t="n">
        <f aca="false">IF(ISBLANK(Actuals!I76),0,Actuals!I76)</f>
        <v>0</v>
      </c>
      <c r="I253" s="13" t="n">
        <f aca="false">IF(ISBLANK(Actuals!J76),0,Actuals!J76)</f>
        <v>0</v>
      </c>
      <c r="J253" s="13" t="n">
        <f aca="false">IF(ISBLANK(Actuals!K76),0,Actuals!K76)</f>
        <v>0</v>
      </c>
      <c r="K253" s="13" t="n">
        <f aca="false">IF(ISBLANK(Actuals!L76),0,Actuals!L76)</f>
        <v>0</v>
      </c>
      <c r="L253" s="13" t="n">
        <f aca="false">IF(ISBLANK(Actuals!M76),0,Actuals!M76)</f>
        <v>0</v>
      </c>
      <c r="M253" s="13" t="n">
        <f aca="false">IF(ISBLANK(Actuals!N76),0,Actuals!N76)</f>
        <v>0</v>
      </c>
      <c r="N253" s="13" t="n">
        <f aca="false">IF(ISBLANK(Actuals!O76),0,Actuals!O76)</f>
        <v>0</v>
      </c>
      <c r="O253" s="13" t="n">
        <f aca="false">IF(ISBLANK(Actuals!P76),0,Actuals!P76)</f>
        <v>0</v>
      </c>
      <c r="P253" s="13" t="n">
        <f aca="false">IF(ISBLANK(Actuals!Q76),0,Actuals!Q76)</f>
        <v>0</v>
      </c>
      <c r="Q253" s="13" t="n">
        <f aca="false">IF(ISBLANK(Actuals!R76),0,Actuals!R76)</f>
        <v>0</v>
      </c>
      <c r="R253" s="13" t="n">
        <f aca="false">IF(ISBLANK(Actuals!S76),0,Actuals!S76)</f>
        <v>0</v>
      </c>
      <c r="S253" s="13" t="n">
        <f aca="false">IF(ISBLANK(Actuals!T76),0,Actuals!T76)</f>
        <v>0</v>
      </c>
      <c r="T253" s="13" t="n">
        <f aca="false">IF(ISBLANK(Actuals!U76),0,Actuals!U76)</f>
        <v>0</v>
      </c>
      <c r="U253" s="13" t="n">
        <f aca="false">IF(ISBLANK(Actuals!V76),0,Actuals!V76)</f>
        <v>0</v>
      </c>
      <c r="V253" s="13" t="n">
        <f aca="false">IF(ISBLANK(Actuals!W76),0,Actuals!W76)</f>
        <v>0</v>
      </c>
      <c r="W253" s="13" t="n">
        <f aca="false">IF(ISBLANK(Actuals!X76),0,Actuals!X76)</f>
        <v>0</v>
      </c>
      <c r="X253" s="13" t="n">
        <f aca="false">IF(ISBLANK(Actuals!Y76),0,Actuals!Y76)</f>
        <v>0</v>
      </c>
      <c r="Y253" s="13" t="n">
        <f aca="false">IF(ISBLANK(Actuals!Z76),0,Actuals!Z76)</f>
        <v>0</v>
      </c>
      <c r="Z253" s="13" t="n">
        <f aca="false">IF(ISBLANK(Actuals!AA76),0,Actuals!AA76)</f>
        <v>0</v>
      </c>
      <c r="AA253" s="13" t="n">
        <f aca="false">IF(ISBLANK(Actuals!AB76),0,Actuals!AB76)</f>
        <v>0</v>
      </c>
      <c r="AB253" s="13" t="n">
        <f aca="false">IF(ISBLANK(Actuals!AC76),0,Actuals!AC76)</f>
        <v>0</v>
      </c>
      <c r="AC253" s="13" t="n">
        <f aca="false">IF(ISBLANK(Actuals!AD76),0,Actuals!AD76)</f>
        <v>0</v>
      </c>
      <c r="AD253" s="13" t="n">
        <f aca="false">IF(ISBLANK(Actuals!AE76),0,Actuals!AE76)</f>
        <v>0</v>
      </c>
      <c r="AE253" s="13" t="n">
        <f aca="false">IF(ISBLANK(Actuals!AF76),0,Actuals!AF76)</f>
        <v>0</v>
      </c>
      <c r="AF253" s="13" t="n">
        <f aca="false">IF(ISBLANK(Actuals!AG76),0,Actuals!AG76)</f>
        <v>0</v>
      </c>
      <c r="AG253" s="13" t="n">
        <f aca="false">IF(ISBLANK(Actuals!AH76),0,Actuals!AH76)</f>
        <v>0</v>
      </c>
      <c r="AH253" s="13" t="n">
        <f aca="false">IF(ISBLANK(Actuals!AI76),0,Actuals!AI76)</f>
        <v>0</v>
      </c>
      <c r="AI253" s="13" t="n">
        <f aca="false">IF(ISBLANK(Actuals!AJ76),0,Actuals!AJ76)</f>
        <v>0</v>
      </c>
      <c r="AJ253" s="13" t="n">
        <f aca="false">IF(ISBLANK(Actuals!AK76),0,Actuals!AK76)</f>
        <v>0</v>
      </c>
      <c r="AK253" s="13" t="n">
        <f aca="false">IF(ISBLANK(Actuals!AL76),0,Actuals!AL76)</f>
        <v>0</v>
      </c>
      <c r="AL253" s="13" t="n">
        <f aca="false">IF(ISBLANK(Actuals!AM76),0,Actuals!AM76)</f>
        <v>0</v>
      </c>
      <c r="AM253" s="13" t="n">
        <f aca="false">IF(ISBLANK(Actuals!AN76),0,Actuals!AN76)</f>
        <v>0</v>
      </c>
      <c r="AN253" s="13" t="n">
        <f aca="false">IF(ISBLANK(Actuals!AO76),0,Actuals!AO76)</f>
        <v>0</v>
      </c>
      <c r="AO253" s="13" t="n">
        <f aca="false">IF(ISBLANK(Actuals!AP76),0,Actuals!AP76)</f>
        <v>0</v>
      </c>
      <c r="AP253" s="13" t="n">
        <f aca="false">IF(ISBLANK(Actuals!AQ76),0,Actuals!AQ76)</f>
        <v>0</v>
      </c>
      <c r="AQ253" s="13" t="n">
        <f aca="false">IF(ISBLANK(Actuals!AR76),0,Actuals!AR76)</f>
        <v>0</v>
      </c>
      <c r="AR253" s="13" t="n">
        <f aca="false">IF(ISBLANK(Actuals!AS76),0,Actuals!AS76)</f>
        <v>0</v>
      </c>
      <c r="AS253" s="13" t="n">
        <f aca="false">IF(ISBLANK(Actuals!AT76),0,Actuals!AT76)</f>
        <v>0</v>
      </c>
      <c r="AT253" s="13" t="n">
        <f aca="false">IF(ISBLANK(Actuals!AU76),0,Actuals!AU76)</f>
        <v>0</v>
      </c>
      <c r="AU253" s="13" t="n">
        <f aca="false">IF(ISBLANK(Actuals!AV76),0,Actuals!AV76)</f>
        <v>0</v>
      </c>
      <c r="AV253" s="13" t="n">
        <f aca="false">IF(ISBLANK(Actuals!AW76),0,Actuals!AW76)</f>
        <v>0</v>
      </c>
      <c r="AW253" s="13" t="n">
        <f aca="false">IF(ISBLANK(Actuals!AX76),0,Actuals!AX76)</f>
        <v>0</v>
      </c>
      <c r="AX253" s="13" t="n">
        <f aca="false">IF(ISBLANK(Actuals!AY76),0,Actuals!AY76)</f>
        <v>0</v>
      </c>
      <c r="AY253" s="13" t="n">
        <f aca="false">IF(ISBLANK(Actuals!AZ76),0,Actuals!AZ76)</f>
        <v>0</v>
      </c>
      <c r="AZ253" s="13" t="n">
        <f aca="false">IF(ISBLANK(Actuals!BA76),0,Actuals!BA76)</f>
        <v>0</v>
      </c>
      <c r="BA253" s="13" t="n">
        <f aca="false">IF(ISBLANK(Actuals!BB76),0,Actuals!BB76)</f>
        <v>0</v>
      </c>
      <c r="BB253" s="13" t="n">
        <f aca="false">IF(ISBLANK(Actuals!BC76),0,Actuals!BC76)</f>
        <v>0</v>
      </c>
      <c r="BC253" s="13" t="n">
        <f aca="false">IF(ISBLANK(Actuals!BD76),0,Actuals!BD76)</f>
        <v>0</v>
      </c>
      <c r="BD253" s="13" t="n">
        <f aca="false">IF(ISBLANK(Actuals!BE76),0,Actuals!BE76)</f>
        <v>0</v>
      </c>
      <c r="BE253" s="13" t="n">
        <f aca="false">IF(ISBLANK(Actuals!BF76),0,Actuals!BF76)</f>
        <v>0</v>
      </c>
      <c r="BF253" s="13" t="n">
        <f aca="false">IF(ISBLANK(Actuals!BG76),0,Actuals!BG76)</f>
        <v>0</v>
      </c>
      <c r="BG253" s="13" t="n">
        <f aca="false">IF(ISBLANK(Actuals!BH76),0,Actuals!BH76)</f>
        <v>0</v>
      </c>
      <c r="BH253" s="13" t="n">
        <f aca="false">IF(ISBLANK(Actuals!BI76),0,Actuals!BI76)</f>
        <v>0</v>
      </c>
      <c r="BI253" s="13" t="n">
        <f aca="false">IF(ISBLANK(Actuals!BJ76),0,Actuals!BJ76)</f>
        <v>0</v>
      </c>
      <c r="BJ253" s="13" t="n">
        <f aca="false">IF(ISBLANK(Actuals!BK76),0,Actuals!BK76)</f>
        <v>0</v>
      </c>
      <c r="BK253" s="13" t="n">
        <f aca="false">IF(ISBLANK(Actuals!BL76),0,Actuals!BL76)</f>
        <v>0</v>
      </c>
      <c r="BL253" s="13" t="n">
        <f aca="false">IF(ISBLANK(Actuals!BM76),0,Actuals!BM76)</f>
        <v>0</v>
      </c>
      <c r="BM253" s="13" t="n">
        <f aca="false">IF(ISBLANK(Actuals!BN76),0,Actuals!BN76)</f>
        <v>0</v>
      </c>
      <c r="BN253" s="13" t="n">
        <f aca="false">IF(ISBLANK(Actuals!BO76),0,Actuals!BO76)</f>
        <v>0</v>
      </c>
      <c r="BO253" s="13" t="n">
        <f aca="false">IF(ISBLANK(Actuals!BP76),0,Actuals!BP76)</f>
        <v>0</v>
      </c>
      <c r="BP253" s="13" t="n">
        <f aca="false">IF(ISBLANK(Actuals!BQ76),0,Actuals!BQ76)</f>
        <v>0</v>
      </c>
      <c r="BQ253" s="13" t="n">
        <f aca="false">IF(ISBLANK(Actuals!BR76),0,Actuals!BR76)</f>
        <v>0</v>
      </c>
      <c r="BR253" s="13" t="n">
        <f aca="false">IF(ISBLANK(Actuals!BS76),0,Actuals!BS76)</f>
        <v>0</v>
      </c>
      <c r="BS253" s="13" t="n">
        <f aca="false">IF(ISBLANK(Actuals!BT76),0,Actuals!BT76)</f>
        <v>0</v>
      </c>
      <c r="BT253" s="13" t="n">
        <f aca="false">IF(ISBLANK(Actuals!BU76),0,Actuals!BU76)</f>
        <v>0</v>
      </c>
      <c r="BU253" s="13" t="n">
        <f aca="false">IF(ISBLANK(Actuals!BV76),0,Actuals!BV76)</f>
        <v>0</v>
      </c>
      <c r="BV253" s="13" t="n">
        <f aca="false">IF(ISBLANK(Actuals!BW76),0,Actuals!BW76)</f>
        <v>0</v>
      </c>
      <c r="BW253" s="13" t="n">
        <f aca="false">IF(ISBLANK(Actuals!BX76),0,Actuals!BX76)</f>
        <v>0</v>
      </c>
      <c r="BX253" s="13" t="n">
        <f aca="false">IF(ISBLANK(Actuals!BY76),0,Actuals!BY76)</f>
        <v>0</v>
      </c>
      <c r="BY253" s="13" t="n">
        <f aca="false">IF(ISBLANK(Actuals!BZ76),0,Actuals!BZ76)</f>
        <v>0</v>
      </c>
      <c r="BZ253" s="13" t="n">
        <f aca="false">IF(ISBLANK(Actuals!CA76),0,Actuals!CA76)</f>
        <v>0</v>
      </c>
      <c r="CA253" s="13" t="n">
        <f aca="false">IF(ISBLANK(Actuals!CB76),0,Actuals!CB76)</f>
        <v>0</v>
      </c>
      <c r="CB253" s="13" t="n">
        <f aca="false">IF(ISBLANK(Actuals!CC76),0,Actuals!CC76)</f>
        <v>0</v>
      </c>
      <c r="CC253" s="13" t="n">
        <f aca="false">IF(ISBLANK(Actuals!CD76),0,Actuals!CD76)</f>
        <v>0</v>
      </c>
      <c r="CD253" s="13" t="n">
        <f aca="false">IF(ISBLANK(Actuals!CE76),0,Actuals!CE76)</f>
        <v>0</v>
      </c>
      <c r="CE253" s="13" t="n">
        <f aca="false">IF(ISBLANK(Actuals!CF76),0,Actuals!CF76)</f>
        <v>0</v>
      </c>
      <c r="CF253" s="13" t="n">
        <f aca="false">IF(ISBLANK(Actuals!CG76),0,Actuals!CG76)</f>
        <v>0</v>
      </c>
      <c r="CG253" s="13" t="n">
        <f aca="false">IF(ISBLANK(Actuals!CH76),0,Actuals!CH76)</f>
        <v>0</v>
      </c>
      <c r="CH253" s="13" t="n">
        <f aca="false">IF(ISBLANK(Actuals!CI76),0,Actuals!CI76)</f>
        <v>0</v>
      </c>
      <c r="CI253" s="13" t="n">
        <f aca="false">IF(ISBLANK(Actuals!CJ76),0,Actuals!CJ76)</f>
        <v>0</v>
      </c>
      <c r="CJ253" s="13" t="n">
        <f aca="false">IF(ISBLANK(Actuals!CK76),0,Actuals!CK76)</f>
        <v>0</v>
      </c>
      <c r="CK253" s="13" t="n">
        <f aca="false">IF(ISBLANK(Actuals!CL76),0,Actuals!CL76)</f>
        <v>0</v>
      </c>
      <c r="CL253" s="13" t="n">
        <f aca="false">IF(ISBLANK(Actuals!CM76),0,Actuals!CM76)</f>
        <v>0</v>
      </c>
      <c r="CM253" s="13" t="n">
        <f aca="false">IF(ISBLANK(Actuals!CN76),0,Actuals!CN76)</f>
        <v>0</v>
      </c>
      <c r="CN253" s="13" t="n">
        <f aca="false">IF(ISBLANK(Actuals!CO76),0,Actuals!CO76)</f>
        <v>0</v>
      </c>
      <c r="CO253" s="13" t="n">
        <f aca="false">IF(ISBLANK(Actuals!CP76),0,Actuals!CP76)</f>
        <v>0</v>
      </c>
      <c r="CP253" s="13" t="n">
        <f aca="false">IF(ISBLANK(Actuals!CQ76),0,Actuals!CQ76)</f>
        <v>0</v>
      </c>
      <c r="CQ253" s="13" t="n">
        <f aca="false">IF(ISBLANK(Actuals!CR76),0,Actuals!CR76)</f>
        <v>0</v>
      </c>
      <c r="CR253" s="13" t="n">
        <f aca="false">IF(ISBLANK(Actuals!CS76),0,Actuals!CS76)</f>
        <v>0</v>
      </c>
      <c r="CS253" s="13" t="n">
        <f aca="false">IF(ISBLANK(Actuals!CT76),0,Actuals!CT76)</f>
        <v>0</v>
      </c>
      <c r="CT253" s="13" t="n">
        <f aca="false">IF(ISBLANK(Actuals!CU76),0,Actuals!CU76)</f>
        <v>0</v>
      </c>
      <c r="CU253" s="13" t="n">
        <f aca="false">IF(ISBLANK(Actuals!CV76),0,Actuals!CV76)</f>
        <v>0</v>
      </c>
      <c r="CV253" s="13" t="n">
        <f aca="false">IF(ISBLANK(Actuals!CW76),0,Actuals!CW76)</f>
        <v>0</v>
      </c>
      <c r="CW253" s="13" t="n">
        <f aca="false">IF(ISBLANK(Actuals!CX76),0,Actuals!CX76)</f>
        <v>0</v>
      </c>
      <c r="CX253" s="13" t="n">
        <f aca="false">IF(ISBLANK(Actuals!CY76),0,Actuals!CY76)</f>
        <v>0</v>
      </c>
      <c r="CY253" s="13" t="n">
        <f aca="false">IF(ISBLANK(Actuals!CZ76),0,Actuals!CZ76)</f>
        <v>0</v>
      </c>
      <c r="CZ253" s="13" t="n">
        <f aca="false">IF(ISBLANK(Actuals!DA76),0,Actuals!DA76)</f>
        <v>0</v>
      </c>
      <c r="DA253" s="13" t="n">
        <f aca="false">IF(ISBLANK(Actuals!DB76),0,Actuals!DB76)</f>
        <v>0</v>
      </c>
      <c r="DB253" s="13" t="n">
        <f aca="false">IF(ISBLANK(Actuals!DC76),0,Actuals!DC76)</f>
        <v>0</v>
      </c>
      <c r="DC253" s="13" t="n">
        <f aca="false">IF(ISBLANK(Actuals!DD76),0,Actuals!DD76)</f>
        <v>0</v>
      </c>
      <c r="DD253" s="13" t="n">
        <f aca="false">IF(ISBLANK(Actuals!DE76),0,Actuals!DE76)</f>
        <v>0</v>
      </c>
      <c r="DE253" s="13" t="n">
        <f aca="false">IF(ISBLANK(Actuals!DF76),0,Actuals!DF76)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IF(ISBLANK(Actuals!F80),0,Actuals!F80)</f>
        <v>0</v>
      </c>
      <c r="F257" s="13" t="n">
        <f aca="false">IF(ISBLANK(Actuals!G80),0,Actuals!G80)</f>
        <v>0</v>
      </c>
      <c r="G257" s="13" t="n">
        <f aca="false">IF(ISBLANK(Actuals!H80),0,Actuals!H80)</f>
        <v>0</v>
      </c>
      <c r="H257" s="13" t="n">
        <f aca="false">IF(ISBLANK(Actuals!I80),0,Actuals!I80)</f>
        <v>0</v>
      </c>
      <c r="I257" s="13" t="n">
        <f aca="false">IF(ISBLANK(Actuals!J80),0,Actuals!J80)</f>
        <v>0</v>
      </c>
      <c r="J257" s="13" t="n">
        <f aca="false">IF(ISBLANK(Actuals!K80),0,Actuals!K80)</f>
        <v>0</v>
      </c>
      <c r="K257" s="13" t="n">
        <f aca="false">IF(ISBLANK(Actuals!L80),0,Actuals!L80)</f>
        <v>0</v>
      </c>
      <c r="L257" s="13" t="n">
        <f aca="false">IF(ISBLANK(Actuals!M80),0,Actuals!M80)</f>
        <v>0</v>
      </c>
      <c r="M257" s="13" t="n">
        <f aca="false">IF(ISBLANK(Actuals!N80),0,Actuals!N80)</f>
        <v>0</v>
      </c>
      <c r="N257" s="13" t="n">
        <f aca="false">IF(ISBLANK(Actuals!O80),0,Actuals!O80)</f>
        <v>0</v>
      </c>
      <c r="O257" s="13" t="n">
        <f aca="false">IF(ISBLANK(Actuals!P80),0,Actuals!P80)</f>
        <v>0</v>
      </c>
      <c r="P257" s="13" t="n">
        <f aca="false">IF(ISBLANK(Actuals!Q80),0,Actuals!Q80)</f>
        <v>0</v>
      </c>
      <c r="Q257" s="13" t="n">
        <f aca="false">IF(ISBLANK(Actuals!R80),0,Actuals!R80)</f>
        <v>0</v>
      </c>
      <c r="R257" s="13" t="n">
        <f aca="false">IF(ISBLANK(Actuals!S80),0,Actuals!S80)</f>
        <v>0</v>
      </c>
      <c r="S257" s="13" t="n">
        <f aca="false">IF(ISBLANK(Actuals!T80),0,Actuals!T80)</f>
        <v>0</v>
      </c>
      <c r="T257" s="13" t="n">
        <f aca="false">IF(ISBLANK(Actuals!U80),0,Actuals!U80)</f>
        <v>0</v>
      </c>
      <c r="U257" s="13" t="n">
        <f aca="false">IF(ISBLANK(Actuals!V80),0,Actuals!V80)</f>
        <v>0</v>
      </c>
      <c r="V257" s="13" t="n">
        <f aca="false">IF(ISBLANK(Actuals!W80),0,Actuals!W80)</f>
        <v>0</v>
      </c>
      <c r="W257" s="13" t="n">
        <f aca="false">IF(ISBLANK(Actuals!X80),0,Actuals!X80)</f>
        <v>0</v>
      </c>
      <c r="X257" s="13" t="n">
        <f aca="false">IF(ISBLANK(Actuals!Y80),0,Actuals!Y80)</f>
        <v>0</v>
      </c>
      <c r="Y257" s="13" t="n">
        <f aca="false">IF(ISBLANK(Actuals!Z80),0,Actuals!Z80)</f>
        <v>0</v>
      </c>
      <c r="Z257" s="13" t="n">
        <f aca="false">IF(ISBLANK(Actuals!AA80),0,Actuals!AA80)</f>
        <v>0</v>
      </c>
      <c r="AA257" s="13" t="n">
        <f aca="false">IF(ISBLANK(Actuals!AB80),0,Actuals!AB80)</f>
        <v>0</v>
      </c>
      <c r="AB257" s="13" t="n">
        <f aca="false">IF(ISBLANK(Actuals!AC80),0,Actuals!AC80)</f>
        <v>0</v>
      </c>
      <c r="AC257" s="13" t="n">
        <f aca="false">IF(ISBLANK(Actuals!AD80),0,Actuals!AD80)</f>
        <v>0</v>
      </c>
      <c r="AD257" s="13" t="n">
        <f aca="false">IF(ISBLANK(Actuals!AE80),0,Actuals!AE80)</f>
        <v>0</v>
      </c>
      <c r="AE257" s="13" t="n">
        <f aca="false">IF(ISBLANK(Actuals!AF80),0,Actuals!AF80)</f>
        <v>0</v>
      </c>
      <c r="AF257" s="13" t="n">
        <f aca="false">IF(ISBLANK(Actuals!AG80),0,Actuals!AG80)</f>
        <v>0</v>
      </c>
      <c r="AG257" s="13" t="n">
        <f aca="false">IF(ISBLANK(Actuals!AH80),0,Actuals!AH80)</f>
        <v>0</v>
      </c>
      <c r="AH257" s="13" t="n">
        <f aca="false">IF(ISBLANK(Actuals!AI80),0,Actuals!AI80)</f>
        <v>0</v>
      </c>
      <c r="AI257" s="13" t="n">
        <f aca="false">IF(ISBLANK(Actuals!AJ80),0,Actuals!AJ80)</f>
        <v>0</v>
      </c>
      <c r="AJ257" s="13" t="n">
        <f aca="false">IF(ISBLANK(Actuals!AK80),0,Actuals!AK80)</f>
        <v>0</v>
      </c>
      <c r="AK257" s="13" t="n">
        <f aca="false">IF(ISBLANK(Actuals!AL80),0,Actuals!AL80)</f>
        <v>0</v>
      </c>
      <c r="AL257" s="13" t="n">
        <f aca="false">IF(ISBLANK(Actuals!AM80),0,Actuals!AM80)</f>
        <v>0</v>
      </c>
      <c r="AM257" s="13" t="n">
        <f aca="false">IF(ISBLANK(Actuals!AN80),0,Actuals!AN80)</f>
        <v>0</v>
      </c>
      <c r="AN257" s="13" t="n">
        <f aca="false">IF(ISBLANK(Actuals!AO80),0,Actuals!AO80)</f>
        <v>0</v>
      </c>
      <c r="AO257" s="13" t="n">
        <f aca="false">IF(ISBLANK(Actuals!AP80),0,Actuals!AP80)</f>
        <v>0</v>
      </c>
      <c r="AP257" s="13" t="n">
        <f aca="false">IF(ISBLANK(Actuals!AQ80),0,Actuals!AQ80)</f>
        <v>0</v>
      </c>
      <c r="AQ257" s="13" t="n">
        <f aca="false">IF(ISBLANK(Actuals!AR80),0,Actuals!AR80)</f>
        <v>0</v>
      </c>
      <c r="AR257" s="13" t="n">
        <f aca="false">IF(ISBLANK(Actuals!AS80),0,Actuals!AS80)</f>
        <v>0</v>
      </c>
      <c r="AS257" s="13" t="n">
        <f aca="false">IF(ISBLANK(Actuals!AT80),0,Actuals!AT80)</f>
        <v>0</v>
      </c>
      <c r="AT257" s="13" t="n">
        <f aca="false">IF(ISBLANK(Actuals!AU80),0,Actuals!AU80)</f>
        <v>0</v>
      </c>
      <c r="AU257" s="13" t="n">
        <f aca="false">IF(ISBLANK(Actuals!AV80),0,Actuals!AV80)</f>
        <v>0</v>
      </c>
      <c r="AV257" s="13" t="n">
        <f aca="false">IF(ISBLANK(Actuals!AW80),0,Actuals!AW80)</f>
        <v>0</v>
      </c>
      <c r="AW257" s="13" t="n">
        <f aca="false">IF(ISBLANK(Actuals!AX80),0,Actuals!AX80)</f>
        <v>0</v>
      </c>
      <c r="AX257" s="13" t="n">
        <f aca="false">IF(ISBLANK(Actuals!AY80),0,Actuals!AY80)</f>
        <v>0</v>
      </c>
      <c r="AY257" s="13" t="n">
        <f aca="false">IF(ISBLANK(Actuals!AZ80),0,Actuals!AZ80)</f>
        <v>0</v>
      </c>
      <c r="AZ257" s="13" t="n">
        <f aca="false">IF(ISBLANK(Actuals!BA80),0,Actuals!BA80)</f>
        <v>0</v>
      </c>
      <c r="BA257" s="13" t="n">
        <f aca="false">IF(ISBLANK(Actuals!BB80),0,Actuals!BB80)</f>
        <v>0</v>
      </c>
      <c r="BB257" s="13" t="n">
        <f aca="false">IF(ISBLANK(Actuals!BC80),0,Actuals!BC80)</f>
        <v>0</v>
      </c>
      <c r="BC257" s="13" t="n">
        <f aca="false">IF(ISBLANK(Actuals!BD80),0,Actuals!BD80)</f>
        <v>0</v>
      </c>
      <c r="BD257" s="13" t="n">
        <f aca="false">IF(ISBLANK(Actuals!BE80),0,Actuals!BE80)</f>
        <v>0</v>
      </c>
      <c r="BE257" s="13" t="n">
        <f aca="false">IF(ISBLANK(Actuals!BF80),0,Actuals!BF80)</f>
        <v>0</v>
      </c>
      <c r="BF257" s="13" t="n">
        <f aca="false">IF(ISBLANK(Actuals!BG80),0,Actuals!BG80)</f>
        <v>0</v>
      </c>
      <c r="BG257" s="13" t="n">
        <f aca="false">IF(ISBLANK(Actuals!BH80),0,Actuals!BH80)</f>
        <v>0</v>
      </c>
      <c r="BH257" s="13" t="n">
        <f aca="false">IF(ISBLANK(Actuals!BI80),0,Actuals!BI80)</f>
        <v>0</v>
      </c>
      <c r="BI257" s="13" t="n">
        <f aca="false">IF(ISBLANK(Actuals!BJ80),0,Actuals!BJ80)</f>
        <v>0</v>
      </c>
      <c r="BJ257" s="13" t="n">
        <f aca="false">IF(ISBLANK(Actuals!BK80),0,Actuals!BK80)</f>
        <v>0</v>
      </c>
      <c r="BK257" s="13" t="n">
        <f aca="false">IF(ISBLANK(Actuals!BL80),0,Actuals!BL80)</f>
        <v>0</v>
      </c>
      <c r="BL257" s="13" t="n">
        <f aca="false">IF(ISBLANK(Actuals!BM80),0,Actuals!BM80)</f>
        <v>0</v>
      </c>
      <c r="BM257" s="13" t="n">
        <f aca="false">IF(ISBLANK(Actuals!BN80),0,Actuals!BN80)</f>
        <v>0</v>
      </c>
      <c r="BN257" s="13" t="n">
        <f aca="false">IF(ISBLANK(Actuals!BO80),0,Actuals!BO80)</f>
        <v>0</v>
      </c>
      <c r="BO257" s="13" t="n">
        <f aca="false">IF(ISBLANK(Actuals!BP80),0,Actuals!BP80)</f>
        <v>0</v>
      </c>
      <c r="BP257" s="13" t="n">
        <f aca="false">IF(ISBLANK(Actuals!BQ80),0,Actuals!BQ80)</f>
        <v>0</v>
      </c>
      <c r="BQ257" s="13" t="n">
        <f aca="false">IF(ISBLANK(Actuals!BR80),0,Actuals!BR80)</f>
        <v>0</v>
      </c>
      <c r="BR257" s="13" t="n">
        <f aca="false">IF(ISBLANK(Actuals!BS80),0,Actuals!BS80)</f>
        <v>0</v>
      </c>
      <c r="BS257" s="13" t="n">
        <f aca="false">IF(ISBLANK(Actuals!BT80),0,Actuals!BT80)</f>
        <v>0</v>
      </c>
      <c r="BT257" s="13" t="n">
        <f aca="false">IF(ISBLANK(Actuals!BU80),0,Actuals!BU80)</f>
        <v>0</v>
      </c>
      <c r="BU257" s="13" t="n">
        <f aca="false">IF(ISBLANK(Actuals!BV80),0,Actuals!BV80)</f>
        <v>0</v>
      </c>
      <c r="BV257" s="13" t="n">
        <f aca="false">IF(ISBLANK(Actuals!BW80),0,Actuals!BW80)</f>
        <v>0</v>
      </c>
      <c r="BW257" s="13" t="n">
        <f aca="false">IF(ISBLANK(Actuals!BX80),0,Actuals!BX80)</f>
        <v>0</v>
      </c>
      <c r="BX257" s="13" t="n">
        <f aca="false">IF(ISBLANK(Actuals!BY80),0,Actuals!BY80)</f>
        <v>0</v>
      </c>
      <c r="BY257" s="13" t="n">
        <f aca="false">IF(ISBLANK(Actuals!BZ80),0,Actuals!BZ80)</f>
        <v>0</v>
      </c>
      <c r="BZ257" s="13" t="n">
        <f aca="false">IF(ISBLANK(Actuals!CA80),0,Actuals!CA80)</f>
        <v>0</v>
      </c>
      <c r="CA257" s="13" t="n">
        <f aca="false">IF(ISBLANK(Actuals!CB80),0,Actuals!CB80)</f>
        <v>0</v>
      </c>
      <c r="CB257" s="13" t="n">
        <f aca="false">IF(ISBLANK(Actuals!CC80),0,Actuals!CC80)</f>
        <v>0</v>
      </c>
      <c r="CC257" s="13" t="n">
        <f aca="false">IF(ISBLANK(Actuals!CD80),0,Actuals!CD80)</f>
        <v>0</v>
      </c>
      <c r="CD257" s="13" t="n">
        <f aca="false">IF(ISBLANK(Actuals!CE80),0,Actuals!CE80)</f>
        <v>0</v>
      </c>
      <c r="CE257" s="13" t="n">
        <f aca="false">IF(ISBLANK(Actuals!CF80),0,Actuals!CF80)</f>
        <v>0</v>
      </c>
      <c r="CF257" s="13" t="n">
        <f aca="false">IF(ISBLANK(Actuals!CG80),0,Actuals!CG80)</f>
        <v>0</v>
      </c>
      <c r="CG257" s="13" t="n">
        <f aca="false">IF(ISBLANK(Actuals!CH80),0,Actuals!CH80)</f>
        <v>0</v>
      </c>
      <c r="CH257" s="13" t="n">
        <f aca="false">IF(ISBLANK(Actuals!CI80),0,Actuals!CI80)</f>
        <v>0</v>
      </c>
      <c r="CI257" s="13" t="n">
        <f aca="false">IF(ISBLANK(Actuals!CJ80),0,Actuals!CJ80)</f>
        <v>0</v>
      </c>
      <c r="CJ257" s="13" t="n">
        <f aca="false">IF(ISBLANK(Actuals!CK80),0,Actuals!CK80)</f>
        <v>0</v>
      </c>
      <c r="CK257" s="13" t="n">
        <f aca="false">IF(ISBLANK(Actuals!CL80),0,Actuals!CL80)</f>
        <v>0</v>
      </c>
      <c r="CL257" s="13" t="n">
        <f aca="false">IF(ISBLANK(Actuals!CM80),0,Actuals!CM80)</f>
        <v>0</v>
      </c>
      <c r="CM257" s="13" t="n">
        <f aca="false">IF(ISBLANK(Actuals!CN80),0,Actuals!CN80)</f>
        <v>0</v>
      </c>
      <c r="CN257" s="13" t="n">
        <f aca="false">IF(ISBLANK(Actuals!CO80),0,Actuals!CO80)</f>
        <v>0</v>
      </c>
      <c r="CO257" s="13" t="n">
        <f aca="false">IF(ISBLANK(Actuals!CP80),0,Actuals!CP80)</f>
        <v>0</v>
      </c>
      <c r="CP257" s="13" t="n">
        <f aca="false">IF(ISBLANK(Actuals!CQ80),0,Actuals!CQ80)</f>
        <v>0</v>
      </c>
      <c r="CQ257" s="13" t="n">
        <f aca="false">IF(ISBLANK(Actuals!CR80),0,Actuals!CR80)</f>
        <v>0</v>
      </c>
      <c r="CR257" s="13" t="n">
        <f aca="false">IF(ISBLANK(Actuals!CS80),0,Actuals!CS80)</f>
        <v>0</v>
      </c>
      <c r="CS257" s="13" t="n">
        <f aca="false">IF(ISBLANK(Actuals!CT80),0,Actuals!CT80)</f>
        <v>0</v>
      </c>
      <c r="CT257" s="13" t="n">
        <f aca="false">IF(ISBLANK(Actuals!CU80),0,Actuals!CU80)</f>
        <v>0</v>
      </c>
      <c r="CU257" s="13" t="n">
        <f aca="false">IF(ISBLANK(Actuals!CV80),0,Actuals!CV80)</f>
        <v>0</v>
      </c>
      <c r="CV257" s="13" t="n">
        <f aca="false">IF(ISBLANK(Actuals!CW80),0,Actuals!CW80)</f>
        <v>0</v>
      </c>
      <c r="CW257" s="13" t="n">
        <f aca="false">IF(ISBLANK(Actuals!CX80),0,Actuals!CX80)</f>
        <v>0</v>
      </c>
      <c r="CX257" s="13" t="n">
        <f aca="false">IF(ISBLANK(Actuals!CY80),0,Actuals!CY80)</f>
        <v>0</v>
      </c>
      <c r="CY257" s="13" t="n">
        <f aca="false">IF(ISBLANK(Actuals!CZ80),0,Actuals!CZ80)</f>
        <v>0</v>
      </c>
      <c r="CZ257" s="13" t="n">
        <f aca="false">IF(ISBLANK(Actuals!DA80),0,Actuals!DA80)</f>
        <v>0</v>
      </c>
      <c r="DA257" s="13" t="n">
        <f aca="false">IF(ISBLANK(Actuals!DB80),0,Actuals!DB80)</f>
        <v>0</v>
      </c>
      <c r="DB257" s="13" t="n">
        <f aca="false">IF(ISBLANK(Actuals!DC80),0,Actuals!DC80)</f>
        <v>0</v>
      </c>
      <c r="DC257" s="13" t="n">
        <f aca="false">IF(ISBLANK(Actuals!DD80),0,Actuals!DD80)</f>
        <v>0</v>
      </c>
      <c r="DD257" s="13" t="n">
        <f aca="false">IF(ISBLANK(Actuals!DE80),0,Actuals!DE80)</f>
        <v>0</v>
      </c>
      <c r="DE257" s="13" t="n">
        <f aca="false">IF(ISBLANK(Actuals!DF80),0,Actuals!DF80)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v>0</v>
      </c>
      <c r="C259" s="13" t="n">
        <v>0</v>
      </c>
      <c r="D259" s="13" t="n">
        <v>0</v>
      </c>
      <c r="E259" s="13" t="n">
        <v>0</v>
      </c>
      <c r="F259" s="13" t="n">
        <v>0</v>
      </c>
      <c r="G259" s="13" t="n">
        <v>0</v>
      </c>
      <c r="H259" s="13" t="n">
        <v>0</v>
      </c>
      <c r="I259" s="13" t="n">
        <v>0</v>
      </c>
      <c r="J259" s="13" t="n">
        <v>0</v>
      </c>
      <c r="K259" s="13" t="n">
        <v>0</v>
      </c>
      <c r="L259" s="13" t="n">
        <v>0</v>
      </c>
      <c r="M259" s="13" t="n">
        <v>0</v>
      </c>
      <c r="N259" s="13" t="n">
        <v>0</v>
      </c>
      <c r="O259" s="13" t="n">
        <v>0</v>
      </c>
      <c r="P259" s="13" t="n">
        <v>0</v>
      </c>
      <c r="Q259" s="13" t="n">
        <v>0</v>
      </c>
      <c r="R259" s="13" t="n">
        <v>0</v>
      </c>
      <c r="S259" s="13" t="n">
        <v>0</v>
      </c>
      <c r="T259" s="13" t="n">
        <v>0</v>
      </c>
      <c r="U259" s="13" t="n">
        <v>0</v>
      </c>
      <c r="V259" s="13" t="n">
        <v>0</v>
      </c>
      <c r="W259" s="13" t="n">
        <v>0</v>
      </c>
      <c r="X259" s="13" t="n">
        <v>0</v>
      </c>
      <c r="Y259" s="13" t="n">
        <v>0</v>
      </c>
      <c r="Z259" s="13" t="n">
        <v>0</v>
      </c>
      <c r="AA259" s="13" t="n">
        <v>0</v>
      </c>
      <c r="AB259" s="13" t="n">
        <v>0</v>
      </c>
      <c r="AC259" s="13" t="n">
        <v>0</v>
      </c>
      <c r="AD259" s="13" t="n">
        <v>0</v>
      </c>
      <c r="AE259" s="13" t="n">
        <v>0</v>
      </c>
      <c r="AF259" s="13" t="n">
        <v>0</v>
      </c>
      <c r="AG259" s="13" t="n">
        <v>0</v>
      </c>
      <c r="AH259" s="13" t="n">
        <v>0</v>
      </c>
      <c r="AI259" s="13" t="n">
        <v>0</v>
      </c>
      <c r="AJ259" s="13" t="n">
        <v>0</v>
      </c>
      <c r="AK259" s="13" t="n">
        <v>0</v>
      </c>
      <c r="AL259" s="13" t="n">
        <v>0</v>
      </c>
      <c r="AM259" s="13" t="n">
        <v>0</v>
      </c>
      <c r="AN259" s="13" t="n">
        <v>0</v>
      </c>
      <c r="AO259" s="13" t="n">
        <v>0</v>
      </c>
      <c r="AP259" s="13" t="n">
        <v>0</v>
      </c>
      <c r="AQ259" s="13" t="n">
        <v>0</v>
      </c>
      <c r="AR259" s="13" t="n">
        <v>0</v>
      </c>
      <c r="AS259" s="13" t="n">
        <v>0</v>
      </c>
      <c r="AT259" s="13" t="n">
        <v>0</v>
      </c>
      <c r="AU259" s="13" t="n">
        <v>0</v>
      </c>
      <c r="AV259" s="13" t="n">
        <v>0</v>
      </c>
      <c r="AW259" s="13" t="n">
        <v>0</v>
      </c>
      <c r="AX259" s="13" t="n">
        <v>0</v>
      </c>
      <c r="AY259" s="13" t="n">
        <v>0</v>
      </c>
      <c r="AZ259" s="13" t="n">
        <v>0</v>
      </c>
      <c r="BA259" s="13" t="n">
        <v>0</v>
      </c>
      <c r="BB259" s="13" t="n">
        <v>0</v>
      </c>
      <c r="BC259" s="13" t="n">
        <v>0</v>
      </c>
      <c r="BD259" s="13" t="n">
        <v>0</v>
      </c>
      <c r="BE259" s="13" t="n">
        <v>0</v>
      </c>
      <c r="BF259" s="13" t="n">
        <v>0</v>
      </c>
      <c r="BG259" s="13" t="n">
        <v>0</v>
      </c>
      <c r="BH259" s="13" t="n">
        <v>0</v>
      </c>
      <c r="BI259" s="13" t="n">
        <v>0</v>
      </c>
      <c r="BJ259" s="13" t="n">
        <v>0</v>
      </c>
      <c r="BK259" s="13" t="n">
        <v>0</v>
      </c>
      <c r="BL259" s="13" t="n">
        <v>0</v>
      </c>
      <c r="BM259" s="13" t="n">
        <v>0</v>
      </c>
      <c r="BN259" s="13" t="n">
        <v>0</v>
      </c>
      <c r="BO259" s="13" t="n">
        <v>0</v>
      </c>
      <c r="BP259" s="13" t="n">
        <v>0</v>
      </c>
      <c r="BQ259" s="13" t="n">
        <v>0</v>
      </c>
      <c r="BR259" s="13" t="n">
        <v>0</v>
      </c>
      <c r="BS259" s="13" t="n">
        <v>0</v>
      </c>
      <c r="BT259" s="13" t="n">
        <v>0</v>
      </c>
      <c r="BU259" s="13" t="n">
        <v>0</v>
      </c>
      <c r="BV259" s="13" t="n">
        <v>0</v>
      </c>
      <c r="BW259" s="13" t="n">
        <v>0</v>
      </c>
      <c r="BX259" s="13" t="n">
        <v>0</v>
      </c>
      <c r="BY259" s="13" t="n">
        <v>0</v>
      </c>
      <c r="BZ259" s="13" t="n">
        <v>0</v>
      </c>
      <c r="CA259" s="13" t="n">
        <v>0</v>
      </c>
      <c r="CB259" s="13" t="n">
        <v>0</v>
      </c>
      <c r="CC259" s="13" t="n">
        <v>0</v>
      </c>
      <c r="CD259" s="13" t="n">
        <v>0</v>
      </c>
      <c r="CE259" s="13" t="n">
        <v>0</v>
      </c>
      <c r="CF259" s="13" t="n">
        <v>0</v>
      </c>
      <c r="CG259" s="13" t="n">
        <v>0</v>
      </c>
      <c r="CH259" s="13" t="n">
        <v>0</v>
      </c>
      <c r="CI259" s="13" t="n">
        <v>0</v>
      </c>
      <c r="CJ259" s="13" t="n">
        <v>0</v>
      </c>
      <c r="CK259" s="13" t="n">
        <v>0</v>
      </c>
      <c r="CL259" s="13" t="n">
        <v>0</v>
      </c>
      <c r="CM259" s="13" t="n">
        <v>0</v>
      </c>
      <c r="CN259" s="13" t="n">
        <v>0</v>
      </c>
      <c r="CO259" s="13" t="n">
        <v>0</v>
      </c>
      <c r="CP259" s="13" t="n">
        <v>0</v>
      </c>
      <c r="CQ259" s="13" t="n">
        <v>0</v>
      </c>
      <c r="CR259" s="13" t="n">
        <v>0</v>
      </c>
      <c r="CS259" s="13" t="n">
        <v>0</v>
      </c>
      <c r="CT259" s="13" t="n">
        <v>0</v>
      </c>
      <c r="CU259" s="13" t="n">
        <v>0</v>
      </c>
      <c r="CV259" s="13" t="n">
        <v>0</v>
      </c>
      <c r="CW259" s="13" t="n">
        <v>0</v>
      </c>
      <c r="CX259" s="13" t="n">
        <v>0</v>
      </c>
      <c r="CY259" s="13" t="n">
        <v>0</v>
      </c>
      <c r="CZ259" s="13" t="n">
        <v>0</v>
      </c>
      <c r="DA259" s="13" t="n">
        <v>0</v>
      </c>
      <c r="DB259" s="13" t="n">
        <v>0</v>
      </c>
      <c r="DC259" s="13" t="n">
        <v>0</v>
      </c>
      <c r="DD259" s="13" t="n">
        <v>0</v>
      </c>
      <c r="DE259" s="13" t="n">
        <v>0</v>
      </c>
    </row>
    <row r="260" customFormat="false" ht="15" hidden="false" customHeight="true" outlineLevel="0" collapsed="false">
      <c r="A260" s="22" t="s">
        <v>120</v>
      </c>
      <c r="B260" s="13" t="n">
        <v>0</v>
      </c>
      <c r="C260" s="13" t="n">
        <v>0</v>
      </c>
      <c r="D260" s="13" t="n">
        <v>0</v>
      </c>
      <c r="E260" s="13" t="n">
        <v>0</v>
      </c>
      <c r="F260" s="13" t="n">
        <v>0</v>
      </c>
      <c r="G260" s="13" t="n">
        <v>0</v>
      </c>
      <c r="H260" s="13" t="n">
        <v>0</v>
      </c>
      <c r="I260" s="13" t="n">
        <v>0</v>
      </c>
      <c r="J260" s="13" t="n">
        <v>0</v>
      </c>
      <c r="K260" s="13" t="n">
        <v>0</v>
      </c>
      <c r="L260" s="13" t="n">
        <v>0</v>
      </c>
      <c r="M260" s="13" t="n">
        <v>0</v>
      </c>
      <c r="N260" s="13" t="n">
        <v>0</v>
      </c>
      <c r="O260" s="13" t="n">
        <v>0</v>
      </c>
      <c r="P260" s="13" t="n">
        <v>0</v>
      </c>
      <c r="Q260" s="13" t="n">
        <v>0</v>
      </c>
      <c r="R260" s="13" t="n">
        <v>0</v>
      </c>
      <c r="S260" s="13" t="n">
        <v>0</v>
      </c>
      <c r="T260" s="13" t="n">
        <v>0</v>
      </c>
      <c r="U260" s="13" t="n">
        <v>0</v>
      </c>
      <c r="V260" s="13" t="n">
        <v>0</v>
      </c>
      <c r="W260" s="13" t="n">
        <v>0</v>
      </c>
      <c r="X260" s="13" t="n">
        <v>0</v>
      </c>
      <c r="Y260" s="13" t="n">
        <v>0</v>
      </c>
      <c r="Z260" s="13" t="n">
        <v>0</v>
      </c>
      <c r="AA260" s="13" t="n">
        <v>0</v>
      </c>
      <c r="AB260" s="13" t="n">
        <v>0</v>
      </c>
      <c r="AC260" s="13" t="n">
        <v>0</v>
      </c>
      <c r="AD260" s="13" t="n">
        <v>0</v>
      </c>
      <c r="AE260" s="13" t="n">
        <v>0</v>
      </c>
      <c r="AF260" s="13" t="n">
        <v>0</v>
      </c>
      <c r="AG260" s="13" t="n">
        <v>0</v>
      </c>
      <c r="AH260" s="13" t="n">
        <v>0</v>
      </c>
      <c r="AI260" s="13" t="n">
        <v>0</v>
      </c>
      <c r="AJ260" s="13" t="n">
        <v>0</v>
      </c>
      <c r="AK260" s="13" t="n">
        <v>0</v>
      </c>
      <c r="AL260" s="13" t="n">
        <v>0</v>
      </c>
      <c r="AM260" s="13" t="n">
        <v>0</v>
      </c>
      <c r="AN260" s="13" t="n">
        <v>0</v>
      </c>
      <c r="AO260" s="13" t="n">
        <v>0</v>
      </c>
      <c r="AP260" s="13" t="n">
        <v>0</v>
      </c>
      <c r="AQ260" s="13" t="n">
        <v>0</v>
      </c>
      <c r="AR260" s="13" t="n">
        <v>0</v>
      </c>
      <c r="AS260" s="13" t="n">
        <v>0</v>
      </c>
      <c r="AT260" s="13" t="n">
        <v>0</v>
      </c>
      <c r="AU260" s="13" t="n">
        <v>0</v>
      </c>
      <c r="AV260" s="13" t="n">
        <v>0</v>
      </c>
      <c r="AW260" s="13" t="n">
        <v>0</v>
      </c>
      <c r="AX260" s="13" t="n">
        <v>0</v>
      </c>
      <c r="AY260" s="13" t="n">
        <v>0</v>
      </c>
      <c r="AZ260" s="13" t="n">
        <v>0</v>
      </c>
      <c r="BA260" s="13" t="n">
        <v>0</v>
      </c>
      <c r="BB260" s="13" t="n">
        <v>0</v>
      </c>
      <c r="BC260" s="13" t="n">
        <v>0</v>
      </c>
      <c r="BD260" s="13" t="n">
        <v>0</v>
      </c>
      <c r="BE260" s="13" t="n">
        <v>0</v>
      </c>
      <c r="BF260" s="13" t="n">
        <v>0</v>
      </c>
      <c r="BG260" s="13" t="n">
        <v>0</v>
      </c>
      <c r="BH260" s="13" t="n">
        <v>0</v>
      </c>
      <c r="BI260" s="13" t="n">
        <v>0</v>
      </c>
      <c r="BJ260" s="13" t="n">
        <v>0</v>
      </c>
      <c r="BK260" s="13" t="n">
        <v>0</v>
      </c>
      <c r="BL260" s="13" t="n">
        <v>0</v>
      </c>
      <c r="BM260" s="13" t="n">
        <v>0</v>
      </c>
      <c r="BN260" s="13" t="n">
        <v>0</v>
      </c>
      <c r="BO260" s="13" t="n">
        <v>0</v>
      </c>
      <c r="BP260" s="13" t="n">
        <v>0</v>
      </c>
      <c r="BQ260" s="13" t="n">
        <v>0</v>
      </c>
      <c r="BR260" s="13" t="n">
        <v>0</v>
      </c>
      <c r="BS260" s="13" t="n">
        <v>0</v>
      </c>
      <c r="BT260" s="13" t="n">
        <v>0</v>
      </c>
      <c r="BU260" s="13" t="n">
        <v>0</v>
      </c>
      <c r="BV260" s="13" t="n">
        <v>0</v>
      </c>
      <c r="BW260" s="13" t="n">
        <v>0</v>
      </c>
      <c r="BX260" s="13" t="n">
        <v>0</v>
      </c>
      <c r="BY260" s="13" t="n">
        <v>0</v>
      </c>
      <c r="BZ260" s="13" t="n">
        <v>0</v>
      </c>
      <c r="CA260" s="13" t="n">
        <v>0</v>
      </c>
      <c r="CB260" s="13" t="n">
        <v>0</v>
      </c>
      <c r="CC260" s="13" t="n">
        <v>0</v>
      </c>
      <c r="CD260" s="13" t="n">
        <v>0</v>
      </c>
      <c r="CE260" s="13" t="n">
        <v>0</v>
      </c>
      <c r="CF260" s="13" t="n">
        <v>0</v>
      </c>
      <c r="CG260" s="13" t="n">
        <v>0</v>
      </c>
      <c r="CH260" s="13" t="n">
        <v>0</v>
      </c>
      <c r="CI260" s="13" t="n">
        <v>0</v>
      </c>
      <c r="CJ260" s="13" t="n">
        <v>0</v>
      </c>
      <c r="CK260" s="13" t="n">
        <v>0</v>
      </c>
      <c r="CL260" s="13" t="n">
        <v>0</v>
      </c>
      <c r="CM260" s="13" t="n">
        <v>0</v>
      </c>
      <c r="CN260" s="13" t="n">
        <v>0</v>
      </c>
      <c r="CO260" s="13" t="n">
        <v>0</v>
      </c>
      <c r="CP260" s="13" t="n">
        <v>0</v>
      </c>
      <c r="CQ260" s="13" t="n">
        <v>0</v>
      </c>
      <c r="CR260" s="13" t="n">
        <v>0</v>
      </c>
      <c r="CS260" s="13" t="n">
        <v>0</v>
      </c>
      <c r="CT260" s="13" t="n">
        <v>0</v>
      </c>
      <c r="CU260" s="13" t="n">
        <v>0</v>
      </c>
      <c r="CV260" s="13" t="n">
        <v>0</v>
      </c>
      <c r="CW260" s="13" t="n">
        <v>0</v>
      </c>
      <c r="CX260" s="13" t="n">
        <v>0</v>
      </c>
      <c r="CY260" s="13" t="n">
        <v>0</v>
      </c>
      <c r="CZ260" s="13" t="n">
        <v>0</v>
      </c>
      <c r="DA260" s="13" t="n">
        <v>0</v>
      </c>
      <c r="DB260" s="13" t="n">
        <v>0</v>
      </c>
      <c r="DC260" s="13" t="n">
        <v>0</v>
      </c>
      <c r="DD260" s="13" t="n">
        <v>0</v>
      </c>
      <c r="DE260" s="13" t="n">
        <v>0</v>
      </c>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333114.58</v>
      </c>
      <c r="H261" s="30" t="n">
        <f aca="false">SUM(H240:H260)</f>
        <v>78114.58</v>
      </c>
      <c r="I261" s="30" t="n">
        <f aca="false">SUM(I240:I260)</f>
        <v>180628.58</v>
      </c>
      <c r="J261" s="30" t="n">
        <f aca="false">SUM(J240:J260)</f>
        <v>41247.92</v>
      </c>
      <c r="K261" s="30" t="n">
        <f aca="false">SUM(K240:K260)</f>
        <v>42781.25</v>
      </c>
      <c r="L261" s="30" t="n">
        <f aca="false">SUM(L240:L260)</f>
        <v>33406.25</v>
      </c>
      <c r="M261" s="30" t="n">
        <f aca="false">SUM(M240:M260)</f>
        <v>33406.25</v>
      </c>
      <c r="N261" s="30" t="n">
        <f aca="false">SUM(N240:N260)</f>
        <v>36564.1447368421</v>
      </c>
      <c r="O261" s="30" t="n">
        <f aca="false">SUM(O240:O260)</f>
        <v>39722.0394736842</v>
      </c>
      <c r="P261" s="30" t="n">
        <f aca="false">SUM(P240:P260)</f>
        <v>39722.0394736842</v>
      </c>
      <c r="Q261" s="30" t="n">
        <f aca="false">SUM(Q240:Q260)</f>
        <v>39722.0394736842</v>
      </c>
      <c r="R261" s="30" t="n">
        <f aca="false">SUM(R240:R260)</f>
        <v>39722.0394736842</v>
      </c>
      <c r="S261" s="30" t="n">
        <f aca="false">SUM(S240:S260)</f>
        <v>39722.0394736842</v>
      </c>
      <c r="T261" s="30" t="n">
        <f aca="false">SUM(T240:T260)</f>
        <v>15815.7894736842</v>
      </c>
      <c r="U261" s="30" t="n">
        <f aca="false">SUM(U240:U260)</f>
        <v>15815.7894736842</v>
      </c>
      <c r="V261" s="30" t="n">
        <f aca="false">SUM(V240:V260)</f>
        <v>15815.7894736842</v>
      </c>
      <c r="W261" s="30" t="n">
        <f aca="false">SUM(W240:W260)</f>
        <v>15815.7894736842</v>
      </c>
      <c r="X261" s="30" t="n">
        <f aca="false">SUM(X240:X260)</f>
        <v>15815.7894736842</v>
      </c>
      <c r="Y261" s="30" t="n">
        <f aca="false">SUM(Y240:Y260)</f>
        <v>73190.7894736842</v>
      </c>
      <c r="Z261" s="30" t="n">
        <f aca="false">SUM(Z240:Z260)</f>
        <v>15815.7894736842</v>
      </c>
      <c r="AA261" s="30" t="n">
        <f aca="false">SUM(AA240:AA260)</f>
        <v>15815.7894736842</v>
      </c>
      <c r="AB261" s="30" t="n">
        <f aca="false">SUM(AB240:AB260)</f>
        <v>73190.7894736842</v>
      </c>
      <c r="AC261" s="30" t="n">
        <f aca="false">SUM(AC240:AC260)</f>
        <v>15815.7894736842</v>
      </c>
      <c r="AD261" s="30" t="n">
        <f aca="false">SUM(AD240:AD260)</f>
        <v>15815.7894736842</v>
      </c>
      <c r="AE261" s="30" t="n">
        <f aca="false">SUM(AE240:AE260)</f>
        <v>73190.7894736842</v>
      </c>
      <c r="AF261" s="30" t="n">
        <f aca="false">SUM(AF240:AF260)</f>
        <v>15815.7894736842</v>
      </c>
      <c r="AG261" s="30" t="n">
        <f aca="false">SUM(AG240:AG260)</f>
        <v>12657.8947368421</v>
      </c>
      <c r="AH261" s="30" t="n">
        <f aca="false">SUM(AH240:AH260)</f>
        <v>9500</v>
      </c>
      <c r="AI261" s="30" t="n">
        <f aca="false">SUM(AI240:AI260)</f>
        <v>0</v>
      </c>
      <c r="AJ261" s="30" t="n">
        <f aca="false">SUM(AJ240:AJ260)</f>
        <v>0</v>
      </c>
      <c r="AK261" s="30" t="n">
        <f aca="false">SUM(AK240:AK260)</f>
        <v>0</v>
      </c>
      <c r="AL261" s="30" t="n">
        <f aca="false">SUM(AL240:AL260)</f>
        <v>0</v>
      </c>
      <c r="AM261" s="30" t="n">
        <f aca="false">SUM(AM240:AM260)</f>
        <v>0</v>
      </c>
      <c r="AN261" s="30" t="n">
        <f aca="false">SUM(AN240:AN260)</f>
        <v>0</v>
      </c>
      <c r="AO261" s="30" t="n">
        <f aca="false">SUM(AO240:AO260)</f>
        <v>0</v>
      </c>
      <c r="AP261" s="30" t="n">
        <f aca="false">SUM(AP240:AP260)</f>
        <v>0</v>
      </c>
      <c r="AQ261" s="30" t="n">
        <f aca="false">SUM(AQ240:AQ260)</f>
        <v>0</v>
      </c>
      <c r="AR261" s="30" t="n">
        <f aca="false">SUM(AR240:AR260)</f>
        <v>0</v>
      </c>
      <c r="AS261" s="30" t="n">
        <f aca="false">SUM(AS240:AS260)</f>
        <v>0</v>
      </c>
      <c r="AT261" s="30" t="n">
        <f aca="false">SUM(AT240:AT260)</f>
        <v>81683</v>
      </c>
      <c r="AU261" s="30" t="n">
        <f aca="false">SUM(AU240:AU260)</f>
        <v>0</v>
      </c>
      <c r="AV261" s="30" t="n">
        <f aca="false">SUM(AV240:AV260)</f>
        <v>0</v>
      </c>
      <c r="AW261" s="30" t="n">
        <f aca="false">SUM(AW240:AW260)</f>
        <v>81682</v>
      </c>
      <c r="AX261" s="30" t="n">
        <f aca="false">SUM(AX240:AX260)</f>
        <v>0</v>
      </c>
      <c r="AY261" s="30" t="n">
        <f aca="false">SUM(AY240:AY260)</f>
        <v>0</v>
      </c>
      <c r="AZ261" s="30" t="n">
        <f aca="false">SUM(AZ240:AZ260)</f>
        <v>81682</v>
      </c>
      <c r="BA261" s="30" t="n">
        <f aca="false">SUM(BA240:BA260)</f>
        <v>0</v>
      </c>
      <c r="BB261" s="30" t="n">
        <f aca="false">SUM(BB240:BB260)</f>
        <v>0</v>
      </c>
      <c r="BC261" s="30" t="n">
        <f aca="false">SUM(BC240:BC260)</f>
        <v>933521</v>
      </c>
      <c r="BD261" s="30" t="n">
        <f aca="false">SUM(BD240:BD260)</f>
        <v>0</v>
      </c>
      <c r="BE261" s="30" t="n">
        <f aca="false">SUM(BE240:BE260)</f>
        <v>0</v>
      </c>
      <c r="BF261" s="30" t="n">
        <f aca="false">SUM(BF240:BF260)</f>
        <v>130878</v>
      </c>
      <c r="BG261" s="30" t="n">
        <f aca="false">SUM(BG240:BG260)</f>
        <v>0</v>
      </c>
      <c r="BH261" s="30" t="n">
        <f aca="false">SUM(BH240:BH260)</f>
        <v>0</v>
      </c>
      <c r="BI261" s="30" t="n">
        <f aca="false">SUM(BI240:BI260)</f>
        <v>130876</v>
      </c>
      <c r="BJ261" s="30" t="n">
        <f aca="false">SUM(BJ240:BJ260)</f>
        <v>0</v>
      </c>
      <c r="BK261" s="30" t="n">
        <f aca="false">SUM(BK240:BK260)</f>
        <v>0</v>
      </c>
      <c r="BL261" s="30" t="n">
        <f aca="false">SUM(BL240:BL260)</f>
        <v>130876</v>
      </c>
      <c r="BM261" s="30" t="n">
        <f aca="false">SUM(BM240:BM260)</f>
        <v>0</v>
      </c>
      <c r="BN261" s="30" t="n">
        <f aca="false">SUM(BN240:BN260)</f>
        <v>0</v>
      </c>
      <c r="BO261" s="30" t="n">
        <f aca="false">SUM(BO240:BO260)</f>
        <v>130876</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123</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-54166.68</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-54791.6666666667</v>
      </c>
      <c r="O263" s="21" t="n">
        <f aca="false">IF(ISBLANK(Actuals!P83),(-(SUMPRODUCT((Personnel!$O$9:$O$100="SP-Payroll")*(Personnel!$G$9:$G$100="Yes")*(11&gt;=Personnel!$E$9:$E$100)*((Personnel!$K$9:$K$100="")+(11&lt;=Personnel!$K$9:$K$100)&gt;0)*Personnel!$D$9:$D$100*(1-Personnel!$I$9:$I$100))))*Escalation!$B$12,Actuals!P83)</f>
        <v>-54791.6666666667</v>
      </c>
      <c r="P263" s="21" t="n">
        <f aca="false">IF(ISBLANK(Actuals!Q83),(-(SUMPRODUCT((Personnel!$O$9:$O$100="SP-Payroll")*(Personnel!$G$9:$G$100="Yes")*(12&gt;=Personnel!$E$9:$E$100)*((Personnel!$K$9:$K$100="")+(12&lt;=Personnel!$K$9:$K$100)&gt;0)*Personnel!$D$9:$D$100*(1-Personnel!$I$9:$I$100))))*Escalation!$B$13,Actuals!Q83)</f>
        <v>-54791.6666666667</v>
      </c>
      <c r="Q263" s="21" t="n">
        <f aca="false">IF(ISBLANK(Actuals!R83),(-(SUMPRODUCT((Personnel!$O$9:$O$100="SP-Payroll")*(Personnel!$G$9:$G$100="Yes")*(13&gt;=Personnel!$E$9:$E$100)*((Personnel!$K$9:$K$100="")+(13&lt;=Personnel!$K$9:$K$100)&gt;0)*Personnel!$D$9:$D$100*(1-Personnel!$I$9:$I$100))))*Escalation!$B$14,Actuals!R83)</f>
        <v>-54791.6666666667</v>
      </c>
      <c r="R263" s="21" t="n">
        <f aca="false">IF(ISBLANK(Actuals!S83),(-(SUMPRODUCT((Personnel!$O$9:$O$100="SP-Payroll")*(Personnel!$G$9:$G$100="Yes")*(14&gt;=Personnel!$E$9:$E$100)*((Personnel!$K$9:$K$100="")+(14&lt;=Personnel!$K$9:$K$100)&gt;0)*Personnel!$D$9:$D$100*(1-Personnel!$I$9:$I$100))))*Escalation!$B$15,Actuals!S83)</f>
        <v>-54791.6666666667</v>
      </c>
      <c r="S263" s="21" t="n">
        <f aca="false">IF(ISBLANK(Actuals!T83),(-(SUMPRODUCT((Personnel!$O$9:$O$100="SP-Payroll")*(Personnel!$G$9:$G$100="Yes")*(15&gt;=Personnel!$E$9:$E$100)*((Personnel!$K$9:$K$100="")+(15&lt;=Personnel!$K$9:$K$100)&gt;0)*Personnel!$D$9:$D$100*(1-Personnel!$I$9:$I$100))))*Escalation!$B$16,Actuals!T83)</f>
        <v>-54791.6666666667</v>
      </c>
      <c r="T263" s="21" t="n">
        <f aca="false">IF(ISBLANK(Actuals!U83),(-(SUMPRODUCT((Personnel!$O$9:$O$100="SP-Payroll")*(Personnel!$G$9:$G$100="Yes")*(16&gt;=Personnel!$E$9:$E$100)*((Personnel!$K$9:$K$100="")+(16&lt;=Personnel!$K$9:$K$100)&gt;0)*Personnel!$D$9:$D$100*(1-Personnel!$I$9:$I$100))))*Escalation!$B$17,Actuals!U83)</f>
        <v>-54791.6666666667</v>
      </c>
      <c r="U263" s="21" t="n">
        <f aca="false">IF(ISBLANK(Actuals!V83),(-(SUMPRODUCT((Personnel!$O$9:$O$100="SP-Payroll")*(Personnel!$G$9:$G$100="Yes")*(17&gt;=Personnel!$E$9:$E$100)*((Personnel!$K$9:$K$100="")+(17&lt;=Personnel!$K$9:$K$100)&gt;0)*Personnel!$D$9:$D$100*(1-Personnel!$I$9:$I$100))))*Escalation!$B$18,Actuals!V83)</f>
        <v>-54791.6666666667</v>
      </c>
      <c r="V263" s="21" t="n">
        <f aca="false">IF(ISBLANK(Actuals!W83),(-(SUMPRODUCT((Personnel!$O$9:$O$100="SP-Payroll")*(Personnel!$G$9:$G$100="Yes")*(18&gt;=Personnel!$E$9:$E$100)*((Personnel!$K$9:$K$100="")+(18&lt;=Personnel!$K$9:$K$100)&gt;0)*Personnel!$D$9:$D$100*(1-Personnel!$I$9:$I$100))))*Escalation!$B$19,Actuals!W83)</f>
        <v>-54791.6666666667</v>
      </c>
      <c r="W263" s="21" t="n">
        <f aca="false">IF(ISBLANK(Actuals!X83),(-(SUMPRODUCT((Personnel!$O$9:$O$100="SP-Payroll")*(Personnel!$G$9:$G$100="Yes")*(19&gt;=Personnel!$E$9:$E$100)*((Personnel!$K$9:$K$100="")+(19&lt;=Personnel!$K$9:$K$100)&gt;0)*Personnel!$D$9:$D$100*(1-Personnel!$I$9:$I$100))))*Escalation!$B$20,Actuals!X83)</f>
        <v>-54791.6666666667</v>
      </c>
      <c r="X263" s="21" t="n">
        <f aca="false">IF(ISBLANK(Actuals!Y83),(-(SUMPRODUCT((Personnel!$O$9:$O$100="SP-Payroll")*(Personnel!$G$9:$G$100="Yes")*(20&gt;=Personnel!$E$9:$E$100)*((Personnel!$K$9:$K$100="")+(20&lt;=Personnel!$K$9:$K$100)&gt;0)*Personnel!$D$9:$D$100*(1-Personnel!$I$9:$I$100))))*Escalation!$B$21,Actuals!Y83)</f>
        <v>-54791.6666666667</v>
      </c>
      <c r="Y263" s="21" t="n">
        <f aca="false">IF(ISBLANK(Actuals!Z83),(-(SUMPRODUCT((Personnel!$O$9:$O$100="SP-Payroll")*(Personnel!$G$9:$G$100="Yes")*(21&gt;=Personnel!$E$9:$E$100)*((Personnel!$K$9:$K$100="")+(21&lt;=Personnel!$K$9:$K$100)&gt;0)*Personnel!$D$9:$D$100*(1-Personnel!$I$9:$I$100))))*Escalation!$B$22,Actuals!Z83)</f>
        <v>-54791.6666666667</v>
      </c>
      <c r="Z263" s="21" t="n">
        <f aca="false">IF(ISBLANK(Actuals!AA83),(-(SUMPRODUCT((Personnel!$O$9:$O$100="SP-Payroll")*(Personnel!$G$9:$G$100="Yes")*(22&gt;=Personnel!$E$9:$E$100)*((Personnel!$K$9:$K$100="")+(22&lt;=Personnel!$K$9:$K$100)&gt;0)*Personnel!$D$9:$D$100*(1-Personnel!$I$9:$I$100))))*Escalation!$B$23,Actuals!AA83)</f>
        <v>-55887.5</v>
      </c>
      <c r="AA263" s="21" t="n">
        <f aca="false">IF(ISBLANK(Actuals!AB83),(-(SUMPRODUCT((Personnel!$O$9:$O$100="SP-Payroll")*(Personnel!$G$9:$G$100="Yes")*(23&gt;=Personnel!$E$9:$E$100)*((Personnel!$K$9:$K$100="")+(23&lt;=Personnel!$K$9:$K$100)&gt;0)*Personnel!$D$9:$D$100*(1-Personnel!$I$9:$I$100))))*Escalation!$B$24,Actuals!AB83)</f>
        <v>-55887.5</v>
      </c>
      <c r="AB263" s="21" t="n">
        <f aca="false">IF(ISBLANK(Actuals!AC83),(-(SUMPRODUCT((Personnel!$O$9:$O$100="SP-Payroll")*(Personnel!$G$9:$G$100="Yes")*(24&gt;=Personnel!$E$9:$E$100)*((Personnel!$K$9:$K$100="")+(24&lt;=Personnel!$K$9:$K$100)&gt;0)*Personnel!$D$9:$D$100*(1-Personnel!$I$9:$I$100))))*Escalation!$B$25,Actuals!AC83)</f>
        <v>-55887.5</v>
      </c>
      <c r="AC263" s="21" t="n">
        <f aca="false">IF(ISBLANK(Actuals!AD83),(-(SUMPRODUCT((Personnel!$O$9:$O$100="SP-Payroll")*(Personnel!$G$9:$G$100="Yes")*(25&gt;=Personnel!$E$9:$E$100)*((Personnel!$K$9:$K$100="")+(25&lt;=Personnel!$K$9:$K$100)&gt;0)*Personnel!$D$9:$D$100*(1-Personnel!$I$9:$I$100))))*Escalation!$B$26,Actuals!AD83)</f>
        <v>-55887.5</v>
      </c>
      <c r="AD263" s="21" t="n">
        <f aca="false">IF(ISBLANK(Actuals!AE83),(-(SUMPRODUCT((Personnel!$O$9:$O$100="SP-Payroll")*(Personnel!$G$9:$G$100="Yes")*(26&gt;=Personnel!$E$9:$E$100)*((Personnel!$K$9:$K$100="")+(26&lt;=Personnel!$K$9:$K$100)&gt;0)*Personnel!$D$9:$D$100*(1-Personnel!$I$9:$I$100))))*Escalation!$B$27,Actuals!AE83)</f>
        <v>-55887.5</v>
      </c>
      <c r="AE263" s="21" t="n">
        <f aca="false">IF(ISBLANK(Actuals!AF83),(-(SUMPRODUCT((Personnel!$O$9:$O$100="SP-Payroll")*(Personnel!$G$9:$G$100="Yes")*(27&gt;=Personnel!$E$9:$E$100)*((Personnel!$K$9:$K$100="")+(27&lt;=Personnel!$K$9:$K$100)&gt;0)*Personnel!$D$9:$D$100*(1-Personnel!$I$9:$I$100))))*Escalation!$B$28,Actuals!AF83)</f>
        <v>-55887.5</v>
      </c>
      <c r="AF263" s="21" t="n">
        <f aca="false">IF(ISBLANK(Actuals!AG83),(-(SUMPRODUCT((Personnel!$O$9:$O$100="SP-Payroll")*(Personnel!$G$9:$G$100="Yes")*(28&gt;=Personnel!$E$9:$E$100)*((Personnel!$K$9:$K$100="")+(28&lt;=Personnel!$K$9:$K$100)&gt;0)*Personnel!$D$9:$D$100*(1-Personnel!$I$9:$I$100))))*Escalation!$B$29,Actuals!AG83)</f>
        <v>-55887.5</v>
      </c>
      <c r="AG263" s="21" t="n">
        <f aca="false">IF(ISBLANK(Actuals!AH83),(-(SUMPRODUCT((Personnel!$O$9:$O$100="SP-Payroll")*(Personnel!$G$9:$G$100="Yes")*(29&gt;=Personnel!$E$9:$E$100)*((Personnel!$K$9:$K$100="")+(29&lt;=Personnel!$K$9:$K$100)&gt;0)*Personnel!$D$9:$D$100*(1-Personnel!$I$9:$I$100))))*Escalation!$B$30,Actuals!AH83)</f>
        <v>-55887.5</v>
      </c>
      <c r="AH263" s="21" t="n">
        <f aca="false">IF(ISBLANK(Actuals!AI83),(-(SUMPRODUCT((Personnel!$O$9:$O$100="SP-Payroll")*(Personnel!$G$9:$G$100="Yes")*(30&gt;=Personnel!$E$9:$E$100)*((Personnel!$K$9:$K$100="")+(30&lt;=Personnel!$K$9:$K$100)&gt;0)*Personnel!$D$9:$D$100*(1-Personnel!$I$9:$I$100))))*Escalation!$B$31,Actuals!AI83)</f>
        <v>-55887.5</v>
      </c>
      <c r="AI263" s="21" t="n">
        <f aca="false">IF(ISBLANK(Actuals!AJ83),(-(SUMPRODUCT((Personnel!$O$9:$O$100="SP-Payroll")*(Personnel!$G$9:$G$100="Yes")*(31&gt;=Personnel!$E$9:$E$100)*((Personnel!$K$9:$K$100="")+(31&lt;=Personnel!$K$9:$K$100)&gt;0)*Personnel!$D$9:$D$100*(1-Personnel!$I$9:$I$100))))*Escalation!$B$32,Actuals!AJ83)</f>
        <v>-55887.5</v>
      </c>
      <c r="AJ263" s="21" t="n">
        <f aca="false">IF(ISBLANK(Actuals!AK83),(-(SUMPRODUCT((Personnel!$O$9:$O$100="SP-Payroll")*(Personnel!$G$9:$G$100="Yes")*(32&gt;=Personnel!$E$9:$E$100)*((Personnel!$K$9:$K$100="")+(32&lt;=Personnel!$K$9:$K$100)&gt;0)*Personnel!$D$9:$D$100*(1-Personnel!$I$9:$I$100))))*Escalation!$B$33,Actuals!AK83)</f>
        <v>-55887.5</v>
      </c>
      <c r="AK263" s="21" t="n">
        <f aca="false">IF(ISBLANK(Actuals!AL83),(-(SUMPRODUCT((Personnel!$O$9:$O$100="SP-Payroll")*(Personnel!$G$9:$G$100="Yes")*(33&gt;=Personnel!$E$9:$E$100)*((Personnel!$K$9:$K$100="")+(33&lt;=Personnel!$K$9:$K$100)&gt;0)*Personnel!$D$9:$D$100*(1-Personnel!$I$9:$I$100))))*Escalation!$B$34,Actuals!AL83)</f>
        <v>-55887.5</v>
      </c>
      <c r="AL263" s="21" t="n">
        <f aca="false">IF(ISBLANK(Actuals!AM83),(-(SUMPRODUCT((Personnel!$O$9:$O$100="SP-Payroll")*(Personnel!$G$9:$G$100="Yes")*(34&gt;=Personnel!$E$9:$E$100)*((Personnel!$K$9:$K$100="")+(34&lt;=Personnel!$K$9:$K$100)&gt;0)*Personnel!$D$9:$D$100*(1-Personnel!$I$9:$I$100))))*Escalation!$B$35,Actuals!AM83)</f>
        <v>-57005.25</v>
      </c>
      <c r="AM263" s="21" t="n">
        <f aca="false">IF(ISBLANK(Actuals!AN83),(-(SUMPRODUCT((Personnel!$O$9:$O$100="SP-Payroll")*(Personnel!$G$9:$G$100="Yes")*(35&gt;=Personnel!$E$9:$E$100)*((Personnel!$K$9:$K$100="")+(35&lt;=Personnel!$K$9:$K$100)&gt;0)*Personnel!$D$9:$D$100*(1-Personnel!$I$9:$I$100))))*Escalation!$B$36,Actuals!AN83)</f>
        <v>-57005.25</v>
      </c>
      <c r="AN263" s="21" t="n">
        <f aca="false">IF(ISBLANK(Actuals!AO83),(-(SUMPRODUCT((Personnel!$O$9:$O$100="SP-Payroll")*(Personnel!$G$9:$G$100="Yes")*(36&gt;=Personnel!$E$9:$E$100)*((Personnel!$K$9:$K$100="")+(36&lt;=Personnel!$K$9:$K$100)&gt;0)*Personnel!$D$9:$D$100*(1-Personnel!$I$9:$I$100))))*Escalation!$B$37,Actuals!AO83)</f>
        <v>-57005.25</v>
      </c>
      <c r="AO263" s="21" t="n">
        <f aca="false">IF(ISBLANK(Actuals!AP83),(-(SUMPRODUCT((Personnel!$O$9:$O$100="SP-Payroll")*(Personnel!$G$9:$G$100="Yes")*(37&gt;=Personnel!$E$9:$E$100)*((Personnel!$K$9:$K$100="")+(37&lt;=Personnel!$K$9:$K$100)&gt;0)*Personnel!$D$9:$D$100*(1-Personnel!$I$9:$I$100))))*Escalation!$B$38,Actuals!AP83)</f>
        <v>-57005.25</v>
      </c>
      <c r="AP263" s="21" t="n">
        <f aca="false">IF(ISBLANK(Actuals!AQ83),(-(SUMPRODUCT((Personnel!$O$9:$O$100="SP-Payroll")*(Personnel!$G$9:$G$100="Yes")*(38&gt;=Personnel!$E$9:$E$100)*((Personnel!$K$9:$K$100="")+(38&lt;=Personnel!$K$9:$K$100)&gt;0)*Personnel!$D$9:$D$100*(1-Personnel!$I$9:$I$100))))*Escalation!$B$39,Actuals!AQ83)</f>
        <v>-57005.25</v>
      </c>
      <c r="AQ263" s="21" t="n">
        <f aca="false">IF(ISBLANK(Actuals!AR83),(-(SUMPRODUCT((Personnel!$O$9:$O$100="SP-Payroll")*(Personnel!$G$9:$G$100="Yes")*(39&gt;=Personnel!$E$9:$E$100)*((Personnel!$K$9:$K$100="")+(39&lt;=Personnel!$K$9:$K$100)&gt;0)*Personnel!$D$9:$D$100*(1-Personnel!$I$9:$I$100))))*Escalation!$B$40,Actuals!AR83)</f>
        <v>-57005.25</v>
      </c>
      <c r="AR263" s="21" t="n">
        <f aca="false">IF(ISBLANK(Actuals!AS83),(-(SUMPRODUCT((Personnel!$O$9:$O$100="SP-Payroll")*(Personnel!$G$9:$G$100="Yes")*(40&gt;=Personnel!$E$9:$E$100)*((Personnel!$K$9:$K$100="")+(40&lt;=Personnel!$K$9:$K$100)&gt;0)*Personnel!$D$9:$D$100*(1-Personnel!$I$9:$I$100))))*Escalation!$B$41,Actuals!AS83)</f>
        <v>-57005.25</v>
      </c>
      <c r="AS263" s="21" t="n">
        <f aca="false">IF(ISBLANK(Actuals!AT83),(-(SUMPRODUCT((Personnel!$O$9:$O$100="SP-Payroll")*(Personnel!$G$9:$G$100="Yes")*(41&gt;=Personnel!$E$9:$E$100)*((Personnel!$K$9:$K$100="")+(41&lt;=Personnel!$K$9:$K$100)&gt;0)*Personnel!$D$9:$D$100*(1-Personnel!$I$9:$I$100))))*Escalation!$B$42,Actuals!AT83)</f>
        <v>-57005.25</v>
      </c>
      <c r="AT263" s="21" t="n">
        <f aca="false">IF(ISBLANK(Actuals!AU83),(-(SUMPRODUCT((Personnel!$O$9:$O$100="SP-Payroll")*(Personnel!$G$9:$G$100="Yes")*(42&gt;=Personnel!$E$9:$E$100)*((Personnel!$K$9:$K$100="")+(42&lt;=Personnel!$K$9:$K$100)&gt;0)*Personnel!$D$9:$D$100*(1-Personnel!$I$9:$I$100))))*Escalation!$B$43,Actuals!AU83)</f>
        <v>-57005.25</v>
      </c>
      <c r="AU263" s="21" t="n">
        <f aca="false">IF(ISBLANK(Actuals!AV83),(-(SUMPRODUCT((Personnel!$O$9:$O$100="SP-Payroll")*(Personnel!$G$9:$G$100="Yes")*(43&gt;=Personnel!$E$9:$E$100)*((Personnel!$K$9:$K$100="")+(43&lt;=Personnel!$K$9:$K$100)&gt;0)*Personnel!$D$9:$D$100*(1-Personnel!$I$9:$I$100))))*Escalation!$B$44,Actuals!AV83)</f>
        <v>-57005.25</v>
      </c>
      <c r="AV263" s="21" t="n">
        <f aca="false">IF(ISBLANK(Actuals!AW83),(-(SUMPRODUCT((Personnel!$O$9:$O$100="SP-Payroll")*(Personnel!$G$9:$G$100="Yes")*(44&gt;=Personnel!$E$9:$E$100)*((Personnel!$K$9:$K$100="")+(44&lt;=Personnel!$K$9:$K$100)&gt;0)*Personnel!$D$9:$D$100*(1-Personnel!$I$9:$I$100))))*Escalation!$B$45,Actuals!AW83)</f>
        <v>-57005.25</v>
      </c>
      <c r="AW263" s="21" t="n">
        <f aca="false">IF(ISBLANK(Actuals!AX83),(-(SUMPRODUCT((Personnel!$O$9:$O$100="SP-Payroll")*(Personnel!$G$9:$G$100="Yes")*(45&gt;=Personnel!$E$9:$E$100)*((Personnel!$K$9:$K$100="")+(45&lt;=Personnel!$K$9:$K$100)&gt;0)*Personnel!$D$9:$D$100*(1-Personnel!$I$9:$I$100))))*Escalation!$B$46,Actuals!AX83)</f>
        <v>-57005.25</v>
      </c>
      <c r="AX263" s="21" t="n">
        <f aca="false">IF(ISBLANK(Actuals!AY83),(-(SUMPRODUCT((Personnel!$O$9:$O$100="SP-Payroll")*(Personnel!$G$9:$G$100="Yes")*(46&gt;=Personnel!$E$9:$E$100)*((Personnel!$K$9:$K$100="")+(46&lt;=Personnel!$K$9:$K$100)&gt;0)*Personnel!$D$9:$D$100*(1-Personnel!$I$9:$I$100))))*Escalation!$B$47,Actuals!AY83)</f>
        <v>-58145.355</v>
      </c>
      <c r="AY263" s="21" t="n">
        <f aca="false">IF(ISBLANK(Actuals!AZ83),(-(SUMPRODUCT((Personnel!$O$9:$O$100="SP-Payroll")*(Personnel!$G$9:$G$100="Yes")*(47&gt;=Personnel!$E$9:$E$100)*((Personnel!$K$9:$K$100="")+(47&lt;=Personnel!$K$9:$K$100)&gt;0)*Personnel!$D$9:$D$100*(1-Personnel!$I$9:$I$100))))*Escalation!$B$48,Actuals!AZ83)</f>
        <v>-58145.355</v>
      </c>
      <c r="AZ263" s="21" t="n">
        <f aca="false">IF(ISBLANK(Actuals!BA83),(-(SUMPRODUCT((Personnel!$O$9:$O$100="SP-Payroll")*(Personnel!$G$9:$G$100="Yes")*(48&gt;=Personnel!$E$9:$E$100)*((Personnel!$K$9:$K$100="")+(48&lt;=Personnel!$K$9:$K$100)&gt;0)*Personnel!$D$9:$D$100*(1-Personnel!$I$9:$I$100))))*Escalation!$B$49,Actuals!BA83)</f>
        <v>-58145.355</v>
      </c>
      <c r="BA263" s="21" t="n">
        <f aca="false">IF(ISBLANK(Actuals!BB83),(-(SUMPRODUCT((Personnel!$O$9:$O$100="SP-Payroll")*(Personnel!$G$9:$G$100="Yes")*(49&gt;=Personnel!$E$9:$E$100)*((Personnel!$K$9:$K$100="")+(49&lt;=Personnel!$K$9:$K$100)&gt;0)*Personnel!$D$9:$D$100*(1-Personnel!$I$9:$I$100))))*Escalation!$B$50,Actuals!BB83)</f>
        <v>-58145.355</v>
      </c>
      <c r="BB263" s="21" t="n">
        <f aca="false">IF(ISBLANK(Actuals!BC83),(-(SUMPRODUCT((Personnel!$O$9:$O$100="SP-Payroll")*(Personnel!$G$9:$G$100="Yes")*(50&gt;=Personnel!$E$9:$E$100)*((Personnel!$K$9:$K$100="")+(50&lt;=Personnel!$K$9:$K$100)&gt;0)*Personnel!$D$9:$D$100*(1-Personnel!$I$9:$I$100))))*Escalation!$B$51,Actuals!BC83)</f>
        <v>-58145.355</v>
      </c>
      <c r="BC263" s="21" t="n">
        <f aca="false">IF(ISBLANK(Actuals!BD83),(-(SUMPRODUCT((Personnel!$O$9:$O$100="SP-Payroll")*(Personnel!$G$9:$G$100="Yes")*(51&gt;=Personnel!$E$9:$E$100)*((Personnel!$K$9:$K$100="")+(51&lt;=Personnel!$K$9:$K$100)&gt;0)*Personnel!$D$9:$D$100*(1-Personnel!$I$9:$I$100))))*Escalation!$B$52,Actuals!BD83)</f>
        <v>-58145.355</v>
      </c>
      <c r="BD263" s="21" t="n">
        <f aca="false">IF(ISBLANK(Actuals!BE83),(-(SUMPRODUCT((Personnel!$O$9:$O$100="SP-Payroll")*(Personnel!$G$9:$G$100="Yes")*(52&gt;=Personnel!$E$9:$E$100)*((Personnel!$K$9:$K$100="")+(52&lt;=Personnel!$K$9:$K$100)&gt;0)*Personnel!$D$9:$D$100*(1-Personnel!$I$9:$I$100))))*Escalation!$B$53,Actuals!BE83)</f>
        <v>-58145.355</v>
      </c>
      <c r="BE263" s="21" t="n">
        <f aca="false">IF(ISBLANK(Actuals!BF83),(-(SUMPRODUCT((Personnel!$O$9:$O$100="SP-Payroll")*(Personnel!$G$9:$G$100="Yes")*(53&gt;=Personnel!$E$9:$E$100)*((Personnel!$K$9:$K$100="")+(53&lt;=Personnel!$K$9:$K$100)&gt;0)*Personnel!$D$9:$D$100*(1-Personnel!$I$9:$I$100))))*Escalation!$B$54,Actuals!BF83)</f>
        <v>-58145.355</v>
      </c>
      <c r="BF263" s="21" t="n">
        <f aca="false">IF(ISBLANK(Actuals!BG83),(-(SUMPRODUCT((Personnel!$O$9:$O$100="SP-Payroll")*(Personnel!$G$9:$G$100="Yes")*(54&gt;=Personnel!$E$9:$E$100)*((Personnel!$K$9:$K$100="")+(54&lt;=Personnel!$K$9:$K$100)&gt;0)*Personnel!$D$9:$D$100*(1-Personnel!$I$9:$I$100))))*Escalation!$B$55,Actuals!BG83)</f>
        <v>-58145.355</v>
      </c>
      <c r="BG263" s="21" t="n">
        <f aca="false">IF(ISBLANK(Actuals!BH83),(-(SUMPRODUCT((Personnel!$O$9:$O$100="SP-Payroll")*(Personnel!$G$9:$G$100="Yes")*(55&gt;=Personnel!$E$9:$E$100)*((Personnel!$K$9:$K$100="")+(55&lt;=Personnel!$K$9:$K$100)&gt;0)*Personnel!$D$9:$D$100*(1-Personnel!$I$9:$I$100))))*Escalation!$B$56,Actuals!BH83)</f>
        <v>-58145.355</v>
      </c>
      <c r="BH263" s="21" t="n">
        <f aca="false">IF(ISBLANK(Actuals!BI83),(-(SUMPRODUCT((Personnel!$O$9:$O$100="SP-Payroll")*(Personnel!$G$9:$G$100="Yes")*(56&gt;=Personnel!$E$9:$E$100)*((Personnel!$K$9:$K$100="")+(56&lt;=Personnel!$K$9:$K$100)&gt;0)*Personnel!$D$9:$D$100*(1-Personnel!$I$9:$I$100))))*Escalation!$B$57,Actuals!BI83)</f>
        <v>-58145.355</v>
      </c>
      <c r="BI263" s="21" t="n">
        <f aca="false">IF(ISBLANK(Actuals!BJ83),(-(SUMPRODUCT((Personnel!$O$9:$O$100="SP-Payroll")*(Personnel!$G$9:$G$100="Yes")*(57&gt;=Personnel!$E$9:$E$100)*((Personnel!$K$9:$K$100="")+(57&lt;=Personnel!$K$9:$K$100)&gt;0)*Personnel!$D$9:$D$100*(1-Personnel!$I$9:$I$100))))*Escalation!$B$58,Actuals!BJ83)</f>
        <v>-58145.355</v>
      </c>
      <c r="BJ263" s="21" t="n">
        <f aca="false">IF(ISBLANK(Actuals!BK83),(-(SUMPRODUCT((Personnel!$O$9:$O$100="SP-Payroll")*(Personnel!$G$9:$G$100="Yes")*(58&gt;=Personnel!$E$9:$E$100)*((Personnel!$K$9:$K$100="")+(58&lt;=Personnel!$K$9:$K$100)&gt;0)*Personnel!$D$9:$D$100*(1-Personnel!$I$9:$I$100))))*Escalation!$B$59,Actuals!BK83)</f>
        <v>-59308.2621</v>
      </c>
      <c r="BK263" s="21" t="n">
        <f aca="false">IF(ISBLANK(Actuals!BL83),(-(SUMPRODUCT((Personnel!$O$9:$O$100="SP-Payroll")*(Personnel!$G$9:$G$100="Yes")*(59&gt;=Personnel!$E$9:$E$100)*((Personnel!$K$9:$K$100="")+(59&lt;=Personnel!$K$9:$K$100)&gt;0)*Personnel!$D$9:$D$100*(1-Personnel!$I$9:$I$100))))*Escalation!$B$60,Actuals!BL83)</f>
        <v>-59308.2621</v>
      </c>
      <c r="BL263" s="21" t="n">
        <f aca="false">IF(ISBLANK(Actuals!BM83),(-(SUMPRODUCT((Personnel!$O$9:$O$100="SP-Payroll")*(Personnel!$G$9:$G$100="Yes")*(60&gt;=Personnel!$E$9:$E$100)*((Personnel!$K$9:$K$100="")+(60&lt;=Personnel!$K$9:$K$100)&gt;0)*Personnel!$D$9:$D$100*(1-Personnel!$I$9:$I$100))))*Escalation!$B$61,Actuals!BM83)</f>
        <v>-59308.2621</v>
      </c>
      <c r="BM263" s="21" t="n">
        <f aca="false">IF(ISBLANK(Actuals!BN83),(-(SUMPRODUCT((Personnel!$O$9:$O$100="SP-Payroll")*(Personnel!$G$9:$G$100="Yes")*(61&gt;=Personnel!$E$9:$E$100)*((Personnel!$K$9:$K$100="")+(61&lt;=Personnel!$K$9:$K$100)&gt;0)*Personnel!$D$9:$D$100*(1-Personnel!$I$9:$I$100))))*Escalation!$B$62,Actuals!BN83)</f>
        <v>-59308.2621</v>
      </c>
      <c r="BN263" s="21" t="n">
        <f aca="false">IF(ISBLANK(Actuals!BO83),(-(SUMPRODUCT((Personnel!$O$9:$O$100="SP-Payroll")*(Personnel!$G$9:$G$100="Yes")*(62&gt;=Personnel!$E$9:$E$100)*((Personnel!$K$9:$K$100="")+(62&lt;=Personnel!$K$9:$K$100)&gt;0)*Personnel!$D$9:$D$100*(1-Personnel!$I$9:$I$100))))*Escalation!$B$63,Actuals!BO83)</f>
        <v>-59308.2621</v>
      </c>
      <c r="BO263" s="21" t="n">
        <f aca="false">IF(ISBLANK(Actuals!BP83),(-(SUMPRODUCT((Personnel!$O$9:$O$100="SP-Payroll")*(Personnel!$G$9:$G$100="Yes")*(63&gt;=Personnel!$E$9:$E$100)*((Personnel!$K$9:$K$100="")+(63&lt;=Personnel!$K$9:$K$100)&gt;0)*Personnel!$D$9:$D$100*(1-Personnel!$I$9:$I$100))))*Escalation!$B$64,Actuals!BP83)</f>
        <v>-59308.2621</v>
      </c>
      <c r="BP263" s="21" t="n">
        <f aca="false">IF(ISBLANK(Actuals!BQ83),(-(SUMPRODUCT((Personnel!$O$9:$O$100="SP-Payroll")*(Personnel!$G$9:$G$100="Yes")*(64&gt;=Personnel!$E$9:$E$100)*((Personnel!$K$9:$K$100="")+(64&lt;=Personnel!$K$9:$K$100)&gt;0)*Personnel!$D$9:$D$100*(1-Personnel!$I$9:$I$100))))*Escalation!$B$65,Actuals!BQ83)</f>
        <v>-59308.2621</v>
      </c>
      <c r="BQ263" s="21" t="n">
        <f aca="false">IF(ISBLANK(Actuals!BR83),(-(SUMPRODUCT((Personnel!$O$9:$O$100="SP-Payroll")*(Personnel!$G$9:$G$100="Yes")*(65&gt;=Personnel!$E$9:$E$100)*((Personnel!$K$9:$K$100="")+(65&lt;=Personnel!$K$9:$K$100)&gt;0)*Personnel!$D$9:$D$100*(1-Personnel!$I$9:$I$100))))*Escalation!$B$66,Actuals!BR83)</f>
        <v>-59308.2621</v>
      </c>
      <c r="BR263" s="21" t="n">
        <f aca="false">IF(ISBLANK(Actuals!BS83),(-(SUMPRODUCT((Personnel!$O$9:$O$100="SP-Payroll")*(Personnel!$G$9:$G$100="Yes")*(66&gt;=Personnel!$E$9:$E$100)*((Personnel!$K$9:$K$100="")+(66&lt;=Personnel!$K$9:$K$100)&gt;0)*Personnel!$D$9:$D$100*(1-Personnel!$I$9:$I$100))))*Escalation!$B$67,Actuals!BS83)</f>
        <v>-59308.2621</v>
      </c>
      <c r="BS263" s="21" t="n">
        <f aca="false">IF(ISBLANK(Actuals!BT83),(-(SUMPRODUCT((Personnel!$O$9:$O$100="SP-Payroll")*(Personnel!$G$9:$G$100="Yes")*(67&gt;=Personnel!$E$9:$E$100)*((Personnel!$K$9:$K$100="")+(67&lt;=Personnel!$K$9:$K$100)&gt;0)*Personnel!$D$9:$D$100*(1-Personnel!$I$9:$I$100))))*Escalation!$B$68,Actuals!BT83)</f>
        <v>-59308.2621</v>
      </c>
      <c r="BT263" s="21" t="n">
        <f aca="false">IF(ISBLANK(Actuals!BU83),(-(SUMPRODUCT((Personnel!$O$9:$O$100="SP-Payroll")*(Personnel!$G$9:$G$100="Yes")*(68&gt;=Personnel!$E$9:$E$100)*((Personnel!$K$9:$K$100="")+(68&lt;=Personnel!$K$9:$K$100)&gt;0)*Personnel!$D$9:$D$100*(1-Personnel!$I$9:$I$100))))*Escalation!$B$69,Actuals!BU83)</f>
        <v>-59308.2621</v>
      </c>
      <c r="BU263" s="21" t="n">
        <f aca="false">IF(ISBLANK(Actuals!BV83),(-(SUMPRODUCT((Personnel!$O$9:$O$100="SP-Payroll")*(Personnel!$G$9:$G$100="Yes")*(69&gt;=Personnel!$E$9:$E$100)*((Personnel!$K$9:$K$100="")+(69&lt;=Personnel!$K$9:$K$100)&gt;0)*Personnel!$D$9:$D$100*(1-Personnel!$I$9:$I$100))))*Escalation!$B$70,Actuals!BV83)</f>
        <v>-59308.2621</v>
      </c>
      <c r="BV263" s="21" t="n">
        <f aca="false">IF(ISBLANK(Actuals!BW83),(-(SUMPRODUCT((Personnel!$O$9:$O$100="SP-Payroll")*(Personnel!$G$9:$G$100="Yes")*(70&gt;=Personnel!$E$9:$E$100)*((Personnel!$K$9:$K$100="")+(70&lt;=Personnel!$K$9:$K$100)&gt;0)*Personnel!$D$9:$D$100*(1-Personnel!$I$9:$I$100))))*Escalation!$B$71,Actuals!BW83)</f>
        <v>-60494.427342</v>
      </c>
      <c r="BW263" s="21" t="n">
        <f aca="false">IF(ISBLANK(Actuals!BX83),(-(SUMPRODUCT((Personnel!$O$9:$O$100="SP-Payroll")*(Personnel!$G$9:$G$100="Yes")*(71&gt;=Personnel!$E$9:$E$100)*((Personnel!$K$9:$K$100="")+(71&lt;=Personnel!$K$9:$K$100)&gt;0)*Personnel!$D$9:$D$100*(1-Personnel!$I$9:$I$100))))*Escalation!$B$72,Actuals!BX83)</f>
        <v>-60494.427342</v>
      </c>
      <c r="BX263" s="21" t="n">
        <f aca="false">IF(ISBLANK(Actuals!BY83),(-(SUMPRODUCT((Personnel!$O$9:$O$100="SP-Payroll")*(Personnel!$G$9:$G$100="Yes")*(72&gt;=Personnel!$E$9:$E$100)*((Personnel!$K$9:$K$100="")+(72&lt;=Personnel!$K$9:$K$100)&gt;0)*Personnel!$D$9:$D$100*(1-Personnel!$I$9:$I$100))))*Escalation!$B$73,Actuals!BY83)</f>
        <v>-60494.427342</v>
      </c>
      <c r="BY263" s="21" t="n">
        <f aca="false">IF(ISBLANK(Actuals!BZ83),(-(SUMPRODUCT((Personnel!$O$9:$O$100="SP-Payroll")*(Personnel!$G$9:$G$100="Yes")*(73&gt;=Personnel!$E$9:$E$100)*((Personnel!$K$9:$K$100="")+(73&lt;=Personnel!$K$9:$K$100)&gt;0)*Personnel!$D$9:$D$100*(1-Personnel!$I$9:$I$100))))*Escalation!$B$74,Actuals!BZ83)</f>
        <v>-60494.427342</v>
      </c>
      <c r="BZ263" s="21" t="n">
        <f aca="false">IF(ISBLANK(Actuals!CA83),(-(SUMPRODUCT((Personnel!$O$9:$O$100="SP-Payroll")*(Personnel!$G$9:$G$100="Yes")*(74&gt;=Personnel!$E$9:$E$100)*((Personnel!$K$9:$K$100="")+(74&lt;=Personnel!$K$9:$K$100)&gt;0)*Personnel!$D$9:$D$100*(1-Personnel!$I$9:$I$100))))*Escalation!$B$75,Actuals!CA83)</f>
        <v>-60494.427342</v>
      </c>
      <c r="CA263" s="21" t="n">
        <f aca="false">IF(ISBLANK(Actuals!CB83),(-(SUMPRODUCT((Personnel!$O$9:$O$100="SP-Payroll")*(Personnel!$G$9:$G$100="Yes")*(75&gt;=Personnel!$E$9:$E$100)*((Personnel!$K$9:$K$100="")+(75&lt;=Personnel!$K$9:$K$100)&gt;0)*Personnel!$D$9:$D$100*(1-Personnel!$I$9:$I$100))))*Escalation!$B$76,Actuals!CB83)</f>
        <v>-60494.427342</v>
      </c>
      <c r="CB263" s="21" t="n">
        <f aca="false">IF(ISBLANK(Actuals!CC83),(-(SUMPRODUCT((Personnel!$O$9:$O$100="SP-Payroll")*(Personnel!$G$9:$G$100="Yes")*(76&gt;=Personnel!$E$9:$E$100)*((Personnel!$K$9:$K$100="")+(76&lt;=Personnel!$K$9:$K$100)&gt;0)*Personnel!$D$9:$D$100*(1-Personnel!$I$9:$I$100))))*Escalation!$B$77,Actuals!CC83)</f>
        <v>-60494.427342</v>
      </c>
      <c r="CC263" s="21" t="n">
        <f aca="false">IF(ISBLANK(Actuals!CD83),(-(SUMPRODUCT((Personnel!$O$9:$O$100="SP-Payroll")*(Personnel!$G$9:$G$100="Yes")*(77&gt;=Personnel!$E$9:$E$100)*((Personnel!$K$9:$K$100="")+(77&lt;=Personnel!$K$9:$K$100)&gt;0)*Personnel!$D$9:$D$100*(1-Personnel!$I$9:$I$100))))*Escalation!$B$78,Actuals!CD83)</f>
        <v>-60494.427342</v>
      </c>
      <c r="CD263" s="21" t="n">
        <f aca="false">IF(ISBLANK(Actuals!CE83),(-(SUMPRODUCT((Personnel!$O$9:$O$100="SP-Payroll")*(Personnel!$G$9:$G$100="Yes")*(78&gt;=Personnel!$E$9:$E$100)*((Personnel!$K$9:$K$100="")+(78&lt;=Personnel!$K$9:$K$100)&gt;0)*Personnel!$D$9:$D$100*(1-Personnel!$I$9:$I$100))))*Escalation!$B$79,Actuals!CE83)</f>
        <v>-60494.427342</v>
      </c>
      <c r="CE263" s="21" t="n">
        <f aca="false">IF(ISBLANK(Actuals!CF83),(-(SUMPRODUCT((Personnel!$O$9:$O$100="SP-Payroll")*(Personnel!$G$9:$G$100="Yes")*(79&gt;=Personnel!$E$9:$E$100)*((Personnel!$K$9:$K$100="")+(79&lt;=Personnel!$K$9:$K$100)&gt;0)*Personnel!$D$9:$D$100*(1-Personnel!$I$9:$I$100))))*Escalation!$B$80,Actuals!CF83)</f>
        <v>-60494.427342</v>
      </c>
      <c r="CF263" s="21" t="n">
        <f aca="false">IF(ISBLANK(Actuals!CG83),(-(SUMPRODUCT((Personnel!$O$9:$O$100="SP-Payroll")*(Personnel!$G$9:$G$100="Yes")*(80&gt;=Personnel!$E$9:$E$100)*((Personnel!$K$9:$K$100="")+(80&lt;=Personnel!$K$9:$K$100)&gt;0)*Personnel!$D$9:$D$100*(1-Personnel!$I$9:$I$100))))*Escalation!$B$81,Actuals!CG83)</f>
        <v>-60494.427342</v>
      </c>
      <c r="CG263" s="21" t="n">
        <f aca="false">IF(ISBLANK(Actuals!CH83),(-(SUMPRODUCT((Personnel!$O$9:$O$100="SP-Payroll")*(Personnel!$G$9:$G$100="Yes")*(81&gt;=Personnel!$E$9:$E$100)*((Personnel!$K$9:$K$100="")+(81&lt;=Personnel!$K$9:$K$100)&gt;0)*Personnel!$D$9:$D$100*(1-Personnel!$I$9:$I$100))))*Escalation!$B$82,Actuals!CH83)</f>
        <v>-60494.427342</v>
      </c>
      <c r="CH263" s="21" t="n">
        <f aca="false">IF(ISBLANK(Actuals!CI83),(-(SUMPRODUCT((Personnel!$O$9:$O$100="SP-Payroll")*(Personnel!$G$9:$G$100="Yes")*(82&gt;=Personnel!$E$9:$E$100)*((Personnel!$K$9:$K$100="")+(82&lt;=Personnel!$K$9:$K$100)&gt;0)*Personnel!$D$9:$D$100*(1-Personnel!$I$9:$I$100))))*Escalation!$B$83,Actuals!CI83)</f>
        <v>-61704.31588884</v>
      </c>
      <c r="CI263" s="21" t="n">
        <f aca="false">IF(ISBLANK(Actuals!CJ83),(-(SUMPRODUCT((Personnel!$O$9:$O$100="SP-Payroll")*(Personnel!$G$9:$G$100="Yes")*(83&gt;=Personnel!$E$9:$E$100)*((Personnel!$K$9:$K$100="")+(83&lt;=Personnel!$K$9:$K$100)&gt;0)*Personnel!$D$9:$D$100*(1-Personnel!$I$9:$I$100))))*Escalation!$B$84,Actuals!CJ83)</f>
        <v>-61704.31588884</v>
      </c>
      <c r="CJ263" s="21" t="n">
        <f aca="false">IF(ISBLANK(Actuals!CK83),(-(SUMPRODUCT((Personnel!$O$9:$O$100="SP-Payroll")*(Personnel!$G$9:$G$100="Yes")*(84&gt;=Personnel!$E$9:$E$100)*((Personnel!$K$9:$K$100="")+(84&lt;=Personnel!$K$9:$K$100)&gt;0)*Personnel!$D$9:$D$100*(1-Personnel!$I$9:$I$100))))*Escalation!$B$85,Actuals!CK83)</f>
        <v>-61704.31588884</v>
      </c>
      <c r="CK263" s="21" t="n">
        <f aca="false">IF(ISBLANK(Actuals!CL83),(-(SUMPRODUCT((Personnel!$O$9:$O$100="SP-Payroll")*(Personnel!$G$9:$G$100="Yes")*(85&gt;=Personnel!$E$9:$E$100)*((Personnel!$K$9:$K$100="")+(85&lt;=Personnel!$K$9:$K$100)&gt;0)*Personnel!$D$9:$D$100*(1-Personnel!$I$9:$I$100))))*Escalation!$B$86,Actuals!CL83)</f>
        <v>-61704.31588884</v>
      </c>
      <c r="CL263" s="21" t="n">
        <f aca="false">IF(ISBLANK(Actuals!CM83),(-(SUMPRODUCT((Personnel!$O$9:$O$100="SP-Payroll")*(Personnel!$G$9:$G$100="Yes")*(86&gt;=Personnel!$E$9:$E$100)*((Personnel!$K$9:$K$100="")+(86&lt;=Personnel!$K$9:$K$100)&gt;0)*Personnel!$D$9:$D$100*(1-Personnel!$I$9:$I$100))))*Escalation!$B$87,Actuals!CM83)</f>
        <v>-61704.31588884</v>
      </c>
      <c r="CM263" s="21" t="n">
        <f aca="false">IF(ISBLANK(Actuals!CN83),(-(SUMPRODUCT((Personnel!$O$9:$O$100="SP-Payroll")*(Personnel!$G$9:$G$100="Yes")*(87&gt;=Personnel!$E$9:$E$100)*((Personnel!$K$9:$K$100="")+(87&lt;=Personnel!$K$9:$K$100)&gt;0)*Personnel!$D$9:$D$100*(1-Personnel!$I$9:$I$100))))*Escalation!$B$88,Actuals!CN83)</f>
        <v>-61704.31588884</v>
      </c>
      <c r="CN263" s="21" t="n">
        <f aca="false">IF(ISBLANK(Actuals!CO83),(-(SUMPRODUCT((Personnel!$O$9:$O$100="SP-Payroll")*(Personnel!$G$9:$G$100="Yes")*(88&gt;=Personnel!$E$9:$E$100)*((Personnel!$K$9:$K$100="")+(88&lt;=Personnel!$K$9:$K$100)&gt;0)*Personnel!$D$9:$D$100*(1-Personnel!$I$9:$I$100))))*Escalation!$B$89,Actuals!CO83)</f>
        <v>-61704.31588884</v>
      </c>
      <c r="CO263" s="21" t="n">
        <f aca="false">IF(ISBLANK(Actuals!CP83),(-(SUMPRODUCT((Personnel!$O$9:$O$100="SP-Payroll")*(Personnel!$G$9:$G$100="Yes")*(89&gt;=Personnel!$E$9:$E$100)*((Personnel!$K$9:$K$100="")+(89&lt;=Personnel!$K$9:$K$100)&gt;0)*Personnel!$D$9:$D$100*(1-Personnel!$I$9:$I$100))))*Escalation!$B$90,Actuals!CP83)</f>
        <v>-61704.31588884</v>
      </c>
      <c r="CP263" s="21" t="n">
        <f aca="false">IF(ISBLANK(Actuals!CQ83),(-(SUMPRODUCT((Personnel!$O$9:$O$100="SP-Payroll")*(Personnel!$G$9:$G$100="Yes")*(90&gt;=Personnel!$E$9:$E$100)*((Personnel!$K$9:$K$100="")+(90&lt;=Personnel!$K$9:$K$100)&gt;0)*Personnel!$D$9:$D$100*(1-Personnel!$I$9:$I$100))))*Escalation!$B$91,Actuals!CQ83)</f>
        <v>-61704.31588884</v>
      </c>
      <c r="CQ263" s="21" t="n">
        <f aca="false">IF(ISBLANK(Actuals!CR83),(-(SUMPRODUCT((Personnel!$O$9:$O$100="SP-Payroll")*(Personnel!$G$9:$G$100="Yes")*(91&gt;=Personnel!$E$9:$E$100)*((Personnel!$K$9:$K$100="")+(91&lt;=Personnel!$K$9:$K$100)&gt;0)*Personnel!$D$9:$D$100*(1-Personnel!$I$9:$I$100))))*Escalation!$B$92,Actuals!CR83)</f>
        <v>-61704.31588884</v>
      </c>
      <c r="CR263" s="21" t="n">
        <f aca="false">IF(ISBLANK(Actuals!CS83),(-(SUMPRODUCT((Personnel!$O$9:$O$100="SP-Payroll")*(Personnel!$G$9:$G$100="Yes")*(92&gt;=Personnel!$E$9:$E$100)*((Personnel!$K$9:$K$100="")+(92&lt;=Personnel!$K$9:$K$100)&gt;0)*Personnel!$D$9:$D$100*(1-Personnel!$I$9:$I$100))))*Escalation!$B$93,Actuals!CS83)</f>
        <v>-61704.31588884</v>
      </c>
      <c r="CS263" s="21" t="n">
        <f aca="false">IF(ISBLANK(Actuals!CT83),(-(SUMPRODUCT((Personnel!$O$9:$O$100="SP-Payroll")*(Personnel!$G$9:$G$100="Yes")*(93&gt;=Personnel!$E$9:$E$100)*((Personnel!$K$9:$K$100="")+(93&lt;=Personnel!$K$9:$K$100)&gt;0)*Personnel!$D$9:$D$100*(1-Personnel!$I$9:$I$100))))*Escalation!$B$94,Actuals!CT83)</f>
        <v>-61704.31588884</v>
      </c>
      <c r="CT263" s="21" t="n">
        <f aca="false">IF(ISBLANK(Actuals!CU83),(-(SUMPRODUCT((Personnel!$O$9:$O$100="SP-Payroll")*(Personnel!$G$9:$G$100="Yes")*(94&gt;=Personnel!$E$9:$E$100)*((Personnel!$K$9:$K$100="")+(94&lt;=Personnel!$K$9:$K$100)&gt;0)*Personnel!$D$9:$D$100*(1-Personnel!$I$9:$I$100))))*Escalation!$B$95,Actuals!CU83)</f>
        <v>-62938.4022066168</v>
      </c>
      <c r="CU263" s="21" t="n">
        <f aca="false">IF(ISBLANK(Actuals!CV83),(-(SUMPRODUCT((Personnel!$O$9:$O$100="SP-Payroll")*(Personnel!$G$9:$G$100="Yes")*(95&gt;=Personnel!$E$9:$E$100)*((Personnel!$K$9:$K$100="")+(95&lt;=Personnel!$K$9:$K$100)&gt;0)*Personnel!$D$9:$D$100*(1-Personnel!$I$9:$I$100))))*Escalation!$B$96,Actuals!CV83)</f>
        <v>-62938.4022066168</v>
      </c>
      <c r="CV263" s="21" t="n">
        <f aca="false">IF(ISBLANK(Actuals!CW83),(-(SUMPRODUCT((Personnel!$O$9:$O$100="SP-Payroll")*(Personnel!$G$9:$G$100="Yes")*(96&gt;=Personnel!$E$9:$E$100)*((Personnel!$K$9:$K$100="")+(96&lt;=Personnel!$K$9:$K$100)&gt;0)*Personnel!$D$9:$D$100*(1-Personnel!$I$9:$I$100))))*Escalation!$B$97,Actuals!CW83)</f>
        <v>-62938.4022066168</v>
      </c>
      <c r="CW263" s="21" t="n">
        <f aca="false">IF(ISBLANK(Actuals!CX83),(-(SUMPRODUCT((Personnel!$O$9:$O$100="SP-Payroll")*(Personnel!$G$9:$G$100="Yes")*(97&gt;=Personnel!$E$9:$E$100)*((Personnel!$K$9:$K$100="")+(97&lt;=Personnel!$K$9:$K$100)&gt;0)*Personnel!$D$9:$D$100*(1-Personnel!$I$9:$I$100))))*Escalation!$B$98,Actuals!CX83)</f>
        <v>-62938.4022066168</v>
      </c>
      <c r="CX263" s="21" t="n">
        <f aca="false">IF(ISBLANK(Actuals!CY83),(-(SUMPRODUCT((Personnel!$O$9:$O$100="SP-Payroll")*(Personnel!$G$9:$G$100="Yes")*(98&gt;=Personnel!$E$9:$E$100)*((Personnel!$K$9:$K$100="")+(98&lt;=Personnel!$K$9:$K$100)&gt;0)*Personnel!$D$9:$D$100*(1-Personnel!$I$9:$I$100))))*Escalation!$B$99,Actuals!CY83)</f>
        <v>-62938.4022066168</v>
      </c>
      <c r="CY263" s="21" t="n">
        <f aca="false">IF(ISBLANK(Actuals!CZ83),(-(SUMPRODUCT((Personnel!$O$9:$O$100="SP-Payroll")*(Personnel!$G$9:$G$100="Yes")*(99&gt;=Personnel!$E$9:$E$100)*((Personnel!$K$9:$K$100="")+(99&lt;=Personnel!$K$9:$K$100)&gt;0)*Personnel!$D$9:$D$100*(1-Personnel!$I$9:$I$100))))*Escalation!$B$100,Actuals!CZ83)</f>
        <v>-62938.4022066168</v>
      </c>
      <c r="CZ263" s="21" t="n">
        <f aca="false">IF(ISBLANK(Actuals!DA83),(-(SUMPRODUCT((Personnel!$O$9:$O$100="SP-Payroll")*(Personnel!$G$9:$G$100="Yes")*(100&gt;=Personnel!$E$9:$E$100)*((Personnel!$K$9:$K$100="")+(100&lt;=Personnel!$K$9:$K$100)&gt;0)*Personnel!$D$9:$D$100*(1-Personnel!$I$9:$I$100))))*Escalation!$B$101,Actuals!DA83)</f>
        <v>-62938.4022066168</v>
      </c>
      <c r="DA263" s="21" t="n">
        <f aca="false">IF(ISBLANK(Actuals!DB83),(-(SUMPRODUCT((Personnel!$O$9:$O$100="SP-Payroll")*(Personnel!$G$9:$G$100="Yes")*(101&gt;=Personnel!$E$9:$E$100)*((Personnel!$K$9:$K$100="")+(101&lt;=Personnel!$K$9:$K$100)&gt;0)*Personnel!$D$9:$D$100*(1-Personnel!$I$9:$I$100))))*Escalation!$B$102,Actuals!DB83)</f>
        <v>-62938.4022066168</v>
      </c>
      <c r="DB263" s="21" t="n">
        <f aca="false">IF(ISBLANK(Actuals!DC83),(-(SUMPRODUCT((Personnel!$O$9:$O$100="SP-Payroll")*(Personnel!$G$9:$G$100="Yes")*(102&gt;=Personnel!$E$9:$E$100)*((Personnel!$K$9:$K$100="")+(102&lt;=Personnel!$K$9:$K$100)&gt;0)*Personnel!$D$9:$D$100*(1-Personnel!$I$9:$I$100))))*Escalation!$B$103,Actuals!DC83)</f>
        <v>-62938.4022066168</v>
      </c>
      <c r="DC263" s="21" t="n">
        <f aca="false">IF(ISBLANK(Actuals!DD83),(-(SUMPRODUCT((Personnel!$O$9:$O$100="SP-Payroll")*(Personnel!$G$9:$G$100="Yes")*(103&gt;=Personnel!$E$9:$E$100)*((Personnel!$K$9:$K$100="")+(103&lt;=Personnel!$K$9:$K$100)&gt;0)*Personnel!$D$9:$D$100*(1-Personnel!$I$9:$I$100))))*Escalation!$B$104,Actuals!DD83)</f>
        <v>-62938.4022066168</v>
      </c>
      <c r="DD263" s="21" t="n">
        <f aca="false">IF(ISBLANK(Actuals!DE83),(-(SUMPRODUCT((Personnel!$O$9:$O$100="SP-Payroll")*(Personnel!$G$9:$G$100="Yes")*(104&gt;=Personnel!$E$9:$E$100)*((Personnel!$K$9:$K$100="")+(104&lt;=Personnel!$K$9:$K$100)&gt;0)*Personnel!$D$9:$D$100*(1-Personnel!$I$9:$I$100))))*Escalation!$B$105,Actuals!DE83)</f>
        <v>-62938.4022066168</v>
      </c>
      <c r="DE263" s="21" t="n">
        <f aca="false">IF(ISBLANK(Actuals!DF83),(-(SUMPRODUCT((Personnel!$O$9:$O$100="SP-Payroll")*(Personnel!$G$9:$G$100="Yes")*(105&gt;=Personnel!$E$9:$E$100)*((Personnel!$K$9:$K$100="")+(105&lt;=Personnel!$K$9:$K$100)&gt;0)*Personnel!$D$9:$D$100*(1-Personnel!$I$9:$I$100))))*Escalation!$B$106,Actuals!DF83)</f>
        <v>-62938.4022066168</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-3786.97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-3835.41666666667</v>
      </c>
      <c r="O264" s="21" t="n">
        <f aca="false">IF(ISBLANK(Actuals!P84),-Helpers!M5*Assumptions!$B$20,Actuals!P84)</f>
        <v>-3835.41666666667</v>
      </c>
      <c r="P264" s="21" t="n">
        <f aca="false">IF(ISBLANK(Actuals!Q84),-Helpers!N5*Assumptions!$B$20,Actuals!Q84)</f>
        <v>-3835.41666666667</v>
      </c>
      <c r="Q264" s="21" t="n">
        <f aca="false">IF(ISBLANK(Actuals!R84),-Helpers!O5*Assumptions!$B$20,Actuals!R84)</f>
        <v>-3835.41666666667</v>
      </c>
      <c r="R264" s="21" t="n">
        <f aca="false">IF(ISBLANK(Actuals!S84),-Helpers!P5*Assumptions!$B$20,Actuals!S84)</f>
        <v>-3835.41666666667</v>
      </c>
      <c r="S264" s="21" t="n">
        <f aca="false">IF(ISBLANK(Actuals!T84),-Helpers!Q5*Assumptions!$B$20,Actuals!T84)</f>
        <v>-3835.41666666667</v>
      </c>
      <c r="T264" s="21" t="n">
        <f aca="false">IF(ISBLANK(Actuals!U84),-Helpers!R5*Assumptions!$B$20,Actuals!U84)</f>
        <v>-3835.41666666667</v>
      </c>
      <c r="U264" s="21" t="n">
        <f aca="false">IF(ISBLANK(Actuals!V84),-Helpers!S5*Assumptions!$B$20,Actuals!V84)</f>
        <v>-3835.41666666667</v>
      </c>
      <c r="V264" s="21" t="n">
        <f aca="false">IF(ISBLANK(Actuals!W84),-Helpers!T5*Assumptions!$B$20,Actuals!W84)</f>
        <v>-3835.41666666667</v>
      </c>
      <c r="W264" s="21" t="n">
        <f aca="false">IF(ISBLANK(Actuals!X84),-Helpers!U5*Assumptions!$B$20,Actuals!X84)</f>
        <v>-3835.41666666667</v>
      </c>
      <c r="X264" s="21" t="n">
        <f aca="false">IF(ISBLANK(Actuals!Y84),-Helpers!V5*Assumptions!$B$20,Actuals!Y84)</f>
        <v>-3835.41666666667</v>
      </c>
      <c r="Y264" s="21" t="n">
        <f aca="false">IF(ISBLANK(Actuals!Z84),-Helpers!W5*Assumptions!$B$20,Actuals!Z84)</f>
        <v>-3835.41666666667</v>
      </c>
      <c r="Z264" s="21" t="n">
        <f aca="false">IF(ISBLANK(Actuals!AA84),-Helpers!X5*Assumptions!$B$20,Actuals!AA84)</f>
        <v>-3912.125</v>
      </c>
      <c r="AA264" s="21" t="n">
        <f aca="false">IF(ISBLANK(Actuals!AB84),-Helpers!Y5*Assumptions!$B$20,Actuals!AB84)</f>
        <v>-3912.125</v>
      </c>
      <c r="AB264" s="21" t="n">
        <f aca="false">IF(ISBLANK(Actuals!AC84),-Helpers!Z5*Assumptions!$B$20,Actuals!AC84)</f>
        <v>-3912.125</v>
      </c>
      <c r="AC264" s="21" t="n">
        <f aca="false">IF(ISBLANK(Actuals!AD84),-Helpers!AA5*Assumptions!$B$20,Actuals!AD84)</f>
        <v>-3912.125</v>
      </c>
      <c r="AD264" s="21" t="n">
        <f aca="false">IF(ISBLANK(Actuals!AE84),-Helpers!AB5*Assumptions!$B$20,Actuals!AE84)</f>
        <v>-3912.125</v>
      </c>
      <c r="AE264" s="21" t="n">
        <f aca="false">IF(ISBLANK(Actuals!AF84),-Helpers!AC5*Assumptions!$B$20,Actuals!AF84)</f>
        <v>-3912.125</v>
      </c>
      <c r="AF264" s="21" t="n">
        <f aca="false">IF(ISBLANK(Actuals!AG84),-Helpers!AD5*Assumptions!$B$20,Actuals!AG84)</f>
        <v>-3912.125</v>
      </c>
      <c r="AG264" s="21" t="n">
        <f aca="false">IF(ISBLANK(Actuals!AH84),-Helpers!AE5*Assumptions!$B$20,Actuals!AH84)</f>
        <v>-3912.125</v>
      </c>
      <c r="AH264" s="21" t="n">
        <f aca="false">IF(ISBLANK(Actuals!AI84),-Helpers!AF5*Assumptions!$B$20,Actuals!AI84)</f>
        <v>-3912.125</v>
      </c>
      <c r="AI264" s="21" t="n">
        <f aca="false">IF(ISBLANK(Actuals!AJ84),-Helpers!AG5*Assumptions!$B$20,Actuals!AJ84)</f>
        <v>-3912.125</v>
      </c>
      <c r="AJ264" s="21" t="n">
        <f aca="false">IF(ISBLANK(Actuals!AK84),-Helpers!AH5*Assumptions!$B$20,Actuals!AK84)</f>
        <v>-3912.125</v>
      </c>
      <c r="AK264" s="21" t="n">
        <f aca="false">IF(ISBLANK(Actuals!AL84),-Helpers!AI5*Assumptions!$B$20,Actuals!AL84)</f>
        <v>-3912.125</v>
      </c>
      <c r="AL264" s="21" t="n">
        <f aca="false">IF(ISBLANK(Actuals!AM84),-Helpers!AJ5*Assumptions!$B$20,Actuals!AM84)</f>
        <v>-3990.3675</v>
      </c>
      <c r="AM264" s="21" t="n">
        <f aca="false">IF(ISBLANK(Actuals!AN84),-Helpers!AK5*Assumptions!$B$20,Actuals!AN84)</f>
        <v>-3990.3675</v>
      </c>
      <c r="AN264" s="21" t="n">
        <f aca="false">IF(ISBLANK(Actuals!AO84),-Helpers!AL5*Assumptions!$B$20,Actuals!AO84)</f>
        <v>-3990.3675</v>
      </c>
      <c r="AO264" s="21" t="n">
        <f aca="false">IF(ISBLANK(Actuals!AP84),-Helpers!AM5*Assumptions!$B$20,Actuals!AP84)</f>
        <v>-3990.3675</v>
      </c>
      <c r="AP264" s="21" t="n">
        <f aca="false">IF(ISBLANK(Actuals!AQ84),-Helpers!AN5*Assumptions!$B$20,Actuals!AQ84)</f>
        <v>-3990.3675</v>
      </c>
      <c r="AQ264" s="21" t="n">
        <f aca="false">IF(ISBLANK(Actuals!AR84),-Helpers!AO5*Assumptions!$B$20,Actuals!AR84)</f>
        <v>-3990.3675</v>
      </c>
      <c r="AR264" s="21" t="n">
        <f aca="false">IF(ISBLANK(Actuals!AS84),-Helpers!AP5*Assumptions!$B$20,Actuals!AS84)</f>
        <v>-3990.3675</v>
      </c>
      <c r="AS264" s="21" t="n">
        <f aca="false">IF(ISBLANK(Actuals!AT84),-Helpers!AQ5*Assumptions!$B$20,Actuals!AT84)</f>
        <v>-3990.3675</v>
      </c>
      <c r="AT264" s="21" t="n">
        <f aca="false">IF(ISBLANK(Actuals!AU84),-Helpers!AR5*Assumptions!$B$20,Actuals!AU84)</f>
        <v>-3990.3675</v>
      </c>
      <c r="AU264" s="21" t="n">
        <f aca="false">IF(ISBLANK(Actuals!AV84),-Helpers!AS5*Assumptions!$B$20,Actuals!AV84)</f>
        <v>-3990.3675</v>
      </c>
      <c r="AV264" s="21" t="n">
        <f aca="false">IF(ISBLANK(Actuals!AW84),-Helpers!AT5*Assumptions!$B$20,Actuals!AW84)</f>
        <v>-3990.3675</v>
      </c>
      <c r="AW264" s="21" t="n">
        <f aca="false">IF(ISBLANK(Actuals!AX84),-Helpers!AU5*Assumptions!$B$20,Actuals!AX84)</f>
        <v>-3990.3675</v>
      </c>
      <c r="AX264" s="21" t="n">
        <f aca="false">IF(ISBLANK(Actuals!AY84),-Helpers!AV5*Assumptions!$B$20,Actuals!AY84)</f>
        <v>-4070.17485</v>
      </c>
      <c r="AY264" s="21" t="n">
        <f aca="false">IF(ISBLANK(Actuals!AZ84),-Helpers!AW5*Assumptions!$B$20,Actuals!AZ84)</f>
        <v>-4070.17485</v>
      </c>
      <c r="AZ264" s="21" t="n">
        <f aca="false">IF(ISBLANK(Actuals!BA84),-Helpers!AX5*Assumptions!$B$20,Actuals!BA84)</f>
        <v>-4070.17485</v>
      </c>
      <c r="BA264" s="21" t="n">
        <f aca="false">IF(ISBLANK(Actuals!BB84),-Helpers!AY5*Assumptions!$B$20,Actuals!BB84)</f>
        <v>-4070.17485</v>
      </c>
      <c r="BB264" s="21" t="n">
        <f aca="false">IF(ISBLANK(Actuals!BC84),-Helpers!AZ5*Assumptions!$B$20,Actuals!BC84)</f>
        <v>-4070.17485</v>
      </c>
      <c r="BC264" s="21" t="n">
        <f aca="false">IF(ISBLANK(Actuals!BD84),-Helpers!BA5*Assumptions!$B$20,Actuals!BD84)</f>
        <v>-4070.17485</v>
      </c>
      <c r="BD264" s="21" t="n">
        <f aca="false">IF(ISBLANK(Actuals!BE84),-Helpers!BB5*Assumptions!$B$20,Actuals!BE84)</f>
        <v>-4070.17485</v>
      </c>
      <c r="BE264" s="21" t="n">
        <f aca="false">IF(ISBLANK(Actuals!BF84),-Helpers!BC5*Assumptions!$B$20,Actuals!BF84)</f>
        <v>-4070.17485</v>
      </c>
      <c r="BF264" s="21" t="n">
        <f aca="false">IF(ISBLANK(Actuals!BG84),-Helpers!BD5*Assumptions!$B$20,Actuals!BG84)</f>
        <v>-4070.17485</v>
      </c>
      <c r="BG264" s="21" t="n">
        <f aca="false">IF(ISBLANK(Actuals!BH84),-Helpers!BE5*Assumptions!$B$20,Actuals!BH84)</f>
        <v>-4070.17485</v>
      </c>
      <c r="BH264" s="21" t="n">
        <f aca="false">IF(ISBLANK(Actuals!BI84),-Helpers!BF5*Assumptions!$B$20,Actuals!BI84)</f>
        <v>-4070.17485</v>
      </c>
      <c r="BI264" s="21" t="n">
        <f aca="false">IF(ISBLANK(Actuals!BJ84),-Helpers!BG5*Assumptions!$B$20,Actuals!BJ84)</f>
        <v>-4070.17485</v>
      </c>
      <c r="BJ264" s="21" t="n">
        <f aca="false">IF(ISBLANK(Actuals!BK84),-Helpers!BH5*Assumptions!$B$20,Actuals!BK84)</f>
        <v>-4151.578347</v>
      </c>
      <c r="BK264" s="21" t="n">
        <f aca="false">IF(ISBLANK(Actuals!BL84),-Helpers!BI5*Assumptions!$B$20,Actuals!BL84)</f>
        <v>-4151.578347</v>
      </c>
      <c r="BL264" s="21" t="n">
        <f aca="false">IF(ISBLANK(Actuals!BM84),-Helpers!BJ5*Assumptions!$B$20,Actuals!BM84)</f>
        <v>-4151.578347</v>
      </c>
      <c r="BM264" s="21" t="n">
        <f aca="false">IF(ISBLANK(Actuals!BN84),-Helpers!BK5*Assumptions!$B$20,Actuals!BN84)</f>
        <v>-4151.578347</v>
      </c>
      <c r="BN264" s="21" t="n">
        <f aca="false">IF(ISBLANK(Actuals!BO84),-Helpers!BL5*Assumptions!$B$20,Actuals!BO84)</f>
        <v>-4151.578347</v>
      </c>
      <c r="BO264" s="21" t="n">
        <f aca="false">IF(ISBLANK(Actuals!BP84),-Helpers!BM5*Assumptions!$B$20,Actuals!BP84)</f>
        <v>-4151.578347</v>
      </c>
      <c r="BP264" s="21" t="n">
        <f aca="false">IF(ISBLANK(Actuals!BQ84),-Helpers!BN5*Assumptions!$B$20,Actuals!BQ84)</f>
        <v>-4151.578347</v>
      </c>
      <c r="BQ264" s="21" t="n">
        <f aca="false">IF(ISBLANK(Actuals!BR84),-Helpers!BO5*Assumptions!$B$20,Actuals!BR84)</f>
        <v>-4151.578347</v>
      </c>
      <c r="BR264" s="21" t="n">
        <f aca="false">IF(ISBLANK(Actuals!BS84),-Helpers!BP5*Assumptions!$B$20,Actuals!BS84)</f>
        <v>-4151.578347</v>
      </c>
      <c r="BS264" s="21" t="n">
        <f aca="false">IF(ISBLANK(Actuals!BT84),-Helpers!BQ5*Assumptions!$B$20,Actuals!BT84)</f>
        <v>-4151.578347</v>
      </c>
      <c r="BT264" s="21" t="n">
        <f aca="false">IF(ISBLANK(Actuals!BU84),-Helpers!BR5*Assumptions!$B$20,Actuals!BU84)</f>
        <v>-4151.578347</v>
      </c>
      <c r="BU264" s="21" t="n">
        <f aca="false">IF(ISBLANK(Actuals!BV84),-Helpers!BS5*Assumptions!$B$20,Actuals!BV84)</f>
        <v>-4151.578347</v>
      </c>
      <c r="BV264" s="21" t="n">
        <f aca="false">IF(ISBLANK(Actuals!BW84),-Helpers!BT5*Assumptions!$B$20,Actuals!BW84)</f>
        <v>-4234.60991394</v>
      </c>
      <c r="BW264" s="21" t="n">
        <f aca="false">IF(ISBLANK(Actuals!BX84),-Helpers!BU5*Assumptions!$B$20,Actuals!BX84)</f>
        <v>-4234.60991394</v>
      </c>
      <c r="BX264" s="21" t="n">
        <f aca="false">IF(ISBLANK(Actuals!BY84),-Helpers!BV5*Assumptions!$B$20,Actuals!BY84)</f>
        <v>-4234.60991394</v>
      </c>
      <c r="BY264" s="21" t="n">
        <f aca="false">IF(ISBLANK(Actuals!BZ84),-Helpers!BW5*Assumptions!$B$20,Actuals!BZ84)</f>
        <v>-4234.60991394</v>
      </c>
      <c r="BZ264" s="21" t="n">
        <f aca="false">IF(ISBLANK(Actuals!CA84),-Helpers!BX5*Assumptions!$B$20,Actuals!CA84)</f>
        <v>-4234.60991394</v>
      </c>
      <c r="CA264" s="21" t="n">
        <f aca="false">IF(ISBLANK(Actuals!CB84),-Helpers!BY5*Assumptions!$B$20,Actuals!CB84)</f>
        <v>-4234.60991394</v>
      </c>
      <c r="CB264" s="21" t="n">
        <f aca="false">IF(ISBLANK(Actuals!CC84),-Helpers!BZ5*Assumptions!$B$20,Actuals!CC84)</f>
        <v>-4234.60991394</v>
      </c>
      <c r="CC264" s="21" t="n">
        <f aca="false">IF(ISBLANK(Actuals!CD84),-Helpers!CA5*Assumptions!$B$20,Actuals!CD84)</f>
        <v>-4234.60991394</v>
      </c>
      <c r="CD264" s="21" t="n">
        <f aca="false">IF(ISBLANK(Actuals!CE84),-Helpers!CB5*Assumptions!$B$20,Actuals!CE84)</f>
        <v>-4234.60991394</v>
      </c>
      <c r="CE264" s="21" t="n">
        <f aca="false">IF(ISBLANK(Actuals!CF84),-Helpers!CC5*Assumptions!$B$20,Actuals!CF84)</f>
        <v>-4234.60991394</v>
      </c>
      <c r="CF264" s="21" t="n">
        <f aca="false">IF(ISBLANK(Actuals!CG84),-Helpers!CD5*Assumptions!$B$20,Actuals!CG84)</f>
        <v>-4234.60991394</v>
      </c>
      <c r="CG264" s="21" t="n">
        <f aca="false">IF(ISBLANK(Actuals!CH84),-Helpers!CE5*Assumptions!$B$20,Actuals!CH84)</f>
        <v>-4234.60991394</v>
      </c>
      <c r="CH264" s="21" t="n">
        <f aca="false">IF(ISBLANK(Actuals!CI84),-Helpers!CF5*Assumptions!$B$20,Actuals!CI84)</f>
        <v>-4319.3021122188</v>
      </c>
      <c r="CI264" s="21" t="n">
        <f aca="false">IF(ISBLANK(Actuals!CJ84),-Helpers!CG5*Assumptions!$B$20,Actuals!CJ84)</f>
        <v>-4319.3021122188</v>
      </c>
      <c r="CJ264" s="21" t="n">
        <f aca="false">IF(ISBLANK(Actuals!CK84),-Helpers!CH5*Assumptions!$B$20,Actuals!CK84)</f>
        <v>-4319.3021122188</v>
      </c>
      <c r="CK264" s="21" t="n">
        <f aca="false">IF(ISBLANK(Actuals!CL84),-Helpers!CI5*Assumptions!$B$20,Actuals!CL84)</f>
        <v>-4319.3021122188</v>
      </c>
      <c r="CL264" s="21" t="n">
        <f aca="false">IF(ISBLANK(Actuals!CM84),-Helpers!CJ5*Assumptions!$B$20,Actuals!CM84)</f>
        <v>-4319.3021122188</v>
      </c>
      <c r="CM264" s="21" t="n">
        <f aca="false">IF(ISBLANK(Actuals!CN84),-Helpers!CK5*Assumptions!$B$20,Actuals!CN84)</f>
        <v>-4319.3021122188</v>
      </c>
      <c r="CN264" s="21" t="n">
        <f aca="false">IF(ISBLANK(Actuals!CO84),-Helpers!CL5*Assumptions!$B$20,Actuals!CO84)</f>
        <v>-4319.3021122188</v>
      </c>
      <c r="CO264" s="21" t="n">
        <f aca="false">IF(ISBLANK(Actuals!CP84),-Helpers!CM5*Assumptions!$B$20,Actuals!CP84)</f>
        <v>-4319.3021122188</v>
      </c>
      <c r="CP264" s="21" t="n">
        <f aca="false">IF(ISBLANK(Actuals!CQ84),-Helpers!CN5*Assumptions!$B$20,Actuals!CQ84)</f>
        <v>-4319.3021122188</v>
      </c>
      <c r="CQ264" s="21" t="n">
        <f aca="false">IF(ISBLANK(Actuals!CR84),-Helpers!CO5*Assumptions!$B$20,Actuals!CR84)</f>
        <v>-4319.3021122188</v>
      </c>
      <c r="CR264" s="21" t="n">
        <f aca="false">IF(ISBLANK(Actuals!CS84),-Helpers!CP5*Assumptions!$B$20,Actuals!CS84)</f>
        <v>-4319.3021122188</v>
      </c>
      <c r="CS264" s="21" t="n">
        <f aca="false">IF(ISBLANK(Actuals!CT84),-Helpers!CQ5*Assumptions!$B$20,Actuals!CT84)</f>
        <v>-4319.3021122188</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IF(ISBLANK(Actuals!K85),-12138,Actuals!K85)</f>
        <v>-12137.78</v>
      </c>
      <c r="K265" s="21" t="n">
        <f aca="false">IF(ISBLANK(Actuals!L85),-12138,Actuals!L85)</f>
        <v>-12138</v>
      </c>
      <c r="L265" s="21" t="n">
        <f aca="false">IF(ISBLANK(Actuals!M85),-12138,Actuals!M85)</f>
        <v>-12138</v>
      </c>
      <c r="M265" s="21" t="n">
        <f aca="false">IF(ISBLANK(Actuals!N85),-12138,Actuals!N85)</f>
        <v>-12138</v>
      </c>
      <c r="N265" s="21" t="n">
        <f aca="false">IF(ISBLANK(Actuals!O85),-12138,Actuals!O85)</f>
        <v>-12138</v>
      </c>
      <c r="O265" s="21" t="n">
        <f aca="false">IF(ISBLANK(Actuals!P85),-12138,Actuals!P85)</f>
        <v>-12138</v>
      </c>
      <c r="P265" s="21" t="n">
        <f aca="false">IF(ISBLANK(Actuals!Q85),-12138,Actuals!Q85)</f>
        <v>-12138</v>
      </c>
      <c r="Q265" s="21" t="n">
        <f aca="false">IF(ISBLANK(Actuals!R85),-12138,Actuals!R85)</f>
        <v>-12138</v>
      </c>
      <c r="R265" s="21" t="n">
        <f aca="false">IF(ISBLANK(Actuals!S85),-12138,Actuals!S85)</f>
        <v>-12138</v>
      </c>
      <c r="S265" s="21" t="n">
        <f aca="false">IF(ISBLANK(Actuals!T85),-12138,Actuals!T85)</f>
        <v>-12138</v>
      </c>
      <c r="T265" s="21" t="n">
        <f aca="false">IF(ISBLANK(Actuals!U85),-12138,Actuals!U85)</f>
        <v>-12138</v>
      </c>
      <c r="U265" s="21" t="n">
        <f aca="false">IF(ISBLANK(Actuals!V85),-12138,Actuals!V85)</f>
        <v>-12138</v>
      </c>
      <c r="V265" s="21" t="n">
        <f aca="false">IF(ISBLANK(Actuals!W85),-12138,Actuals!W85)</f>
        <v>-12138</v>
      </c>
      <c r="W265" s="21" t="n">
        <f aca="false">IF(ISBLANK(Actuals!X85),-12138,Actuals!X85)</f>
        <v>-12138</v>
      </c>
      <c r="X265" s="21" t="n">
        <f aca="false">IF(ISBLANK(Actuals!Y85),-12138,Actuals!Y85)</f>
        <v>-12138</v>
      </c>
      <c r="Y265" s="21" t="n">
        <f aca="false">IF(ISBLANK(Actuals!Z85),-12138,Actuals!Z85)</f>
        <v>-12138</v>
      </c>
      <c r="Z265" s="21" t="n">
        <f aca="false">IF(ISBLANK(Actuals!AA85),-12138,Actuals!AA85)</f>
        <v>-12138</v>
      </c>
      <c r="AA265" s="21" t="n">
        <f aca="false">IF(ISBLANK(Actuals!AB85),-12138,Actuals!AB85)</f>
        <v>-12138</v>
      </c>
      <c r="AB265" s="21" t="n">
        <f aca="false">IF(ISBLANK(Actuals!AC85),-12138,Actuals!AC85)</f>
        <v>-12138</v>
      </c>
      <c r="AC265" s="21" t="n">
        <f aca="false">IF(ISBLANK(Actuals!AD85),-12138,Actuals!AD85)</f>
        <v>-12138</v>
      </c>
      <c r="AD265" s="21" t="n">
        <f aca="false">IF(ISBLANK(Actuals!AE85),-12138,Actuals!AE85)</f>
        <v>-12138</v>
      </c>
      <c r="AE265" s="21" t="n">
        <f aca="false">IF(ISBLANK(Actuals!AF85),-12138,Actuals!AF85)</f>
        <v>-12138</v>
      </c>
      <c r="AF265" s="21" t="n">
        <f aca="false">IF(ISBLANK(Actuals!AG85),-12138,Actuals!AG85)</f>
        <v>-12138</v>
      </c>
      <c r="AG265" s="21" t="n">
        <f aca="false">IF(ISBLANK(Actuals!AH85),-12138,Actuals!AH85)</f>
        <v>-12138</v>
      </c>
      <c r="AH265" s="21" t="n">
        <f aca="false">IF(ISBLANK(Actuals!AI85),-12138,Actuals!AI85)</f>
        <v>-12138</v>
      </c>
      <c r="AI265" s="21" t="n">
        <f aca="false">IF(ISBLANK(Actuals!AJ85),-12138,Actuals!AJ85)</f>
        <v>-12138</v>
      </c>
      <c r="AJ265" s="21" t="n">
        <f aca="false">IF(ISBLANK(Actuals!AK85),-12138,Actuals!AK85)</f>
        <v>-12138</v>
      </c>
      <c r="AK265" s="21" t="n">
        <f aca="false">IF(ISBLANK(Actuals!AL85),-12138,Actuals!AL85)</f>
        <v>-12138</v>
      </c>
      <c r="AL265" s="21" t="n">
        <f aca="false">IF(ISBLANK(Actuals!AM85),-12138,Actuals!AM85)</f>
        <v>-12138</v>
      </c>
      <c r="AM265" s="21" t="n">
        <f aca="false">IF(ISBLANK(Actuals!AN85),-12138,Actuals!AN85)</f>
        <v>-12138</v>
      </c>
      <c r="AN265" s="21" t="n">
        <f aca="false">IF(ISBLANK(Actuals!AO85),-12138,Actuals!AO85)</f>
        <v>-12138</v>
      </c>
      <c r="AO265" s="21" t="n">
        <f aca="false">IF(ISBLANK(Actuals!AP85),-12138,Actuals!AP85)</f>
        <v>-12138</v>
      </c>
      <c r="AP265" s="21" t="n">
        <f aca="false">IF(ISBLANK(Actuals!AQ85),-12138,Actuals!AQ85)</f>
        <v>-12138</v>
      </c>
      <c r="AQ265" s="21" t="n">
        <f aca="false">IF(ISBLANK(Actuals!AR85),-12138,Actuals!AR85)</f>
        <v>-12138</v>
      </c>
      <c r="AR265" s="21" t="n">
        <f aca="false">IF(ISBLANK(Actuals!AS85),-12138,Actuals!AS85)</f>
        <v>-12138</v>
      </c>
      <c r="AS265" s="21" t="n">
        <f aca="false">IF(ISBLANK(Actuals!AT85),-12138,Actuals!AT85)</f>
        <v>-12138</v>
      </c>
      <c r="AT265" s="21" t="n">
        <f aca="false">IF(ISBLANK(Actuals!AU85),-12138,Actuals!AU85)</f>
        <v>-12138</v>
      </c>
      <c r="AU265" s="21" t="n">
        <f aca="false">IF(ISBLANK(Actuals!AV85),-12138,Actuals!AV85)</f>
        <v>-12138</v>
      </c>
      <c r="AV265" s="21" t="n">
        <f aca="false">IF(ISBLANK(Actuals!AW85),-12138,Actuals!AW85)</f>
        <v>-12138</v>
      </c>
      <c r="AW265" s="21" t="n">
        <f aca="false">IF(ISBLANK(Actuals!AX85),-12138,Actuals!AX85)</f>
        <v>-12138</v>
      </c>
      <c r="AX265" s="21" t="n">
        <f aca="false">IF(ISBLANK(Actuals!AY85),-12138,Actuals!AY85)</f>
        <v>-12138</v>
      </c>
      <c r="AY265" s="21" t="n">
        <f aca="false">IF(ISBLANK(Actuals!AZ85),-12138,Actuals!AZ85)</f>
        <v>-12138</v>
      </c>
      <c r="AZ265" s="21" t="n">
        <f aca="false">IF(ISBLANK(Actuals!BA85),-12138,Actuals!BA85)</f>
        <v>-12138</v>
      </c>
      <c r="BA265" s="21" t="n">
        <f aca="false">IF(ISBLANK(Actuals!BB85),-12138,Actuals!BB85)</f>
        <v>-12138</v>
      </c>
      <c r="BB265" s="21" t="n">
        <f aca="false">IF(ISBLANK(Actuals!BC85),-12138,Actuals!BC85)</f>
        <v>-12138</v>
      </c>
      <c r="BC265" s="21" t="n">
        <f aca="false">IF(ISBLANK(Actuals!BD85),-12138,Actuals!BD85)</f>
        <v>-12138</v>
      </c>
      <c r="BD265" s="21" t="n">
        <f aca="false">IF(ISBLANK(Actuals!BE85),-12138,Actuals!BE85)</f>
        <v>-12138</v>
      </c>
      <c r="BE265" s="21" t="n">
        <f aca="false">IF(ISBLANK(Actuals!BF85),-12138,Actuals!BF85)</f>
        <v>-12138</v>
      </c>
      <c r="BF265" s="21" t="n">
        <f aca="false">IF(ISBLANK(Actuals!BG85),-12138,Actuals!BG85)</f>
        <v>-12138</v>
      </c>
      <c r="BG265" s="21" t="n">
        <f aca="false">IF(ISBLANK(Actuals!BH85),-12138,Actuals!BH85)</f>
        <v>-12138</v>
      </c>
      <c r="BH265" s="21" t="n">
        <f aca="false">IF(ISBLANK(Actuals!BI85),-12138,Actuals!BI85)</f>
        <v>-12138</v>
      </c>
      <c r="BI265" s="21" t="n">
        <f aca="false">IF(ISBLANK(Actuals!BJ85),-12138,Actuals!BJ85)</f>
        <v>-12138</v>
      </c>
      <c r="BJ265" s="21" t="n">
        <f aca="false">IF(ISBLANK(Actuals!BK85),-12138,Actuals!BK85)</f>
        <v>-12138</v>
      </c>
      <c r="BK265" s="21" t="n">
        <f aca="false">IF(ISBLANK(Actuals!BL85),-12138,Actuals!BL85)</f>
        <v>-12138</v>
      </c>
      <c r="BL265" s="21" t="n">
        <f aca="false">IF(ISBLANK(Actuals!BM85),-12138,Actuals!BM85)</f>
        <v>-12138</v>
      </c>
      <c r="BM265" s="21" t="n">
        <f aca="false">IF(ISBLANK(Actuals!BN85),-12138,Actuals!BN85)</f>
        <v>-12138</v>
      </c>
      <c r="BN265" s="21" t="n">
        <f aca="false">IF(ISBLANK(Actuals!BO85),-12138,Actuals!BO85)</f>
        <v>-12138</v>
      </c>
      <c r="BO265" s="21" t="n">
        <f aca="false">IF(ISBLANK(Actuals!BP85),-12138,Actuals!BP85)</f>
        <v>-12138</v>
      </c>
      <c r="BP265" s="21" t="n">
        <f aca="false">IF(ISBLANK(Actuals!BQ85),-12138,Actuals!BQ85)</f>
        <v>-12138</v>
      </c>
      <c r="BQ265" s="21" t="n">
        <f aca="false">IF(ISBLANK(Actuals!BR85),-12138,Actuals!BR85)</f>
        <v>-12138</v>
      </c>
      <c r="BR265" s="21" t="n">
        <f aca="false">IF(ISBLANK(Actuals!BS85),-12138,Actuals!BS85)</f>
        <v>-12138</v>
      </c>
      <c r="BS265" s="21" t="n">
        <f aca="false">IF(ISBLANK(Actuals!BT85),-12138,Actuals!BT85)</f>
        <v>-12138</v>
      </c>
      <c r="BT265" s="21" t="n">
        <f aca="false">IF(ISBLANK(Actuals!BU85),-12138,Actuals!BU85)</f>
        <v>-12138</v>
      </c>
      <c r="BU265" s="21" t="n">
        <f aca="false">IF(ISBLANK(Actuals!BV85),-12138,Actuals!BV85)</f>
        <v>-12138</v>
      </c>
      <c r="BV265" s="21" t="n">
        <f aca="false">IF(ISBLANK(Actuals!BW85),-12138,Actuals!BW85)</f>
        <v>-12138</v>
      </c>
      <c r="BW265" s="21" t="n">
        <f aca="false">IF(ISBLANK(Actuals!BX85),-12138,Actuals!BX85)</f>
        <v>-12138</v>
      </c>
      <c r="BX265" s="21" t="n">
        <f aca="false">IF(ISBLANK(Actuals!BY85),-12138,Actuals!BY85)</f>
        <v>-12138</v>
      </c>
      <c r="BY265" s="21" t="n">
        <f aca="false">IF(ISBLANK(Actuals!BZ85),-12138,Actuals!BZ85)</f>
        <v>-12138</v>
      </c>
      <c r="BZ265" s="21" t="n">
        <f aca="false">IF(ISBLANK(Actuals!CA85),-12138,Actuals!CA85)</f>
        <v>-12138</v>
      </c>
      <c r="CA265" s="21" t="n">
        <f aca="false">IF(ISBLANK(Actuals!CB85),-12138,Actuals!CB85)</f>
        <v>-12138</v>
      </c>
      <c r="CB265" s="21" t="n">
        <f aca="false">IF(ISBLANK(Actuals!CC85),-12138,Actuals!CC85)</f>
        <v>-12138</v>
      </c>
      <c r="CC265" s="21" t="n">
        <f aca="false">IF(ISBLANK(Actuals!CD85),-12138,Actuals!CD85)</f>
        <v>-12138</v>
      </c>
      <c r="CD265" s="21" t="n">
        <f aca="false">IF(ISBLANK(Actuals!CE85),-12138,Actuals!CE85)</f>
        <v>-12138</v>
      </c>
      <c r="CE265" s="21" t="n">
        <f aca="false">IF(ISBLANK(Actuals!CF85),-12138,Actuals!CF85)</f>
        <v>-12138</v>
      </c>
      <c r="CF265" s="21" t="n">
        <f aca="false">IF(ISBLANK(Actuals!CG85),-12138,Actuals!CG85)</f>
        <v>-12138</v>
      </c>
      <c r="CG265" s="21" t="n">
        <f aca="false">IF(ISBLANK(Actuals!CH85),-12138,Actuals!CH85)</f>
        <v>-12138</v>
      </c>
      <c r="CH265" s="21" t="n">
        <f aca="false">IF(ISBLANK(Actuals!CI85),-12138,Actuals!CI85)</f>
        <v>-12138</v>
      </c>
      <c r="CI265" s="21" t="n">
        <f aca="false">IF(ISBLANK(Actuals!CJ85),-12138,Actuals!CJ85)</f>
        <v>-12138</v>
      </c>
      <c r="CJ265" s="21" t="n">
        <f aca="false">IF(ISBLANK(Actuals!CK85),-12138,Actuals!CK85)</f>
        <v>-12138</v>
      </c>
      <c r="CK265" s="21" t="n">
        <f aca="false">IF(ISBLANK(Actuals!CL85),-12138,Actuals!CL85)</f>
        <v>-12138</v>
      </c>
      <c r="CL265" s="21" t="n">
        <f aca="false">IF(ISBLANK(Actuals!CM85),-12138,Actuals!CM85)</f>
        <v>-12138</v>
      </c>
      <c r="CM265" s="21" t="n">
        <f aca="false">IF(ISBLANK(Actuals!CN85),-12138,Actuals!CN85)</f>
        <v>-12138</v>
      </c>
      <c r="CN265" s="21" t="n">
        <f aca="false">IF(ISBLANK(Actuals!CO85),-12138,Actuals!CO85)</f>
        <v>-12138</v>
      </c>
      <c r="CO265" s="21" t="n">
        <f aca="false">IF(ISBLANK(Actuals!CP85),-12138,Actuals!CP85)</f>
        <v>-12138</v>
      </c>
      <c r="CP265" s="21" t="n">
        <f aca="false">IF(ISBLANK(Actuals!CQ85),-12138,Actuals!CQ85)</f>
        <v>-12138</v>
      </c>
      <c r="CQ265" s="21" t="n">
        <f aca="false">IF(ISBLANK(Actuals!CR85),-12138,Actuals!CR85)</f>
        <v>-12138</v>
      </c>
      <c r="CR265" s="21" t="n">
        <f aca="false">IF(ISBLANK(Actuals!CS85),-12138,Actuals!CS85)</f>
        <v>-12138</v>
      </c>
      <c r="CS265" s="21" t="n">
        <f aca="false">IF(ISBLANK(Actuals!CT85),-12138,Actuals!CT85)</f>
        <v>-12138</v>
      </c>
      <c r="CT265" s="21" t="n">
        <f aca="false">IF(ISBLANK(Actuals!CU85),-12138,Actuals!CU85)</f>
        <v>-12138</v>
      </c>
      <c r="CU265" s="21" t="n">
        <f aca="false">IF(ISBLANK(Actuals!CV85),-12138,Actuals!CV85)</f>
        <v>-12138</v>
      </c>
      <c r="CV265" s="21" t="n">
        <f aca="false">IF(ISBLANK(Actuals!CW85),-12138,Actuals!CW85)</f>
        <v>-12138</v>
      </c>
      <c r="CW265" s="21" t="n">
        <f aca="false">IF(ISBLANK(Actuals!CX85),-12138,Actuals!CX85)</f>
        <v>-12138</v>
      </c>
      <c r="CX265" s="21" t="n">
        <f aca="false">IF(ISBLANK(Actuals!CY85),-12138,Actuals!CY85)</f>
        <v>-12138</v>
      </c>
      <c r="CY265" s="21" t="n">
        <f aca="false">IF(ISBLANK(Actuals!CZ85),-12138,Actuals!CZ85)</f>
        <v>-12138</v>
      </c>
      <c r="CZ265" s="21" t="n">
        <f aca="false">IF(ISBLANK(Actuals!DA85),-12138,Actuals!DA85)</f>
        <v>-12138</v>
      </c>
      <c r="DA265" s="21" t="n">
        <f aca="false">IF(ISBLANK(Actuals!DB85),-12138,Actuals!DB85)</f>
        <v>-12138</v>
      </c>
      <c r="DB265" s="21" t="n">
        <f aca="false">IF(ISBLANK(Actuals!DC85),-12138,Actuals!DC85)</f>
        <v>-12138</v>
      </c>
      <c r="DC265" s="21" t="n">
        <f aca="false">IF(ISBLANK(Actuals!DD85),-12138,Actuals!DD85)</f>
        <v>-12138</v>
      </c>
      <c r="DD265" s="21" t="n">
        <f aca="false">IF(ISBLANK(Actuals!DE85),-12138,Actuals!DE85)</f>
        <v>-12138</v>
      </c>
      <c r="DE265" s="21" t="n">
        <f aca="false">IF(ISBLANK(Actuals!DF85),-12138,Actuals!DF85)</f>
        <v>-12138</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-475.76</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-1095.83333333333</v>
      </c>
      <c r="O266" s="21" t="n">
        <f aca="false">IF(ISBLANK(Actuals!P86),-Helpers!M5*Assumptions!$B$23,Actuals!P86)</f>
        <v>-1095.83333333333</v>
      </c>
      <c r="P266" s="21" t="n">
        <f aca="false">IF(ISBLANK(Actuals!Q86),-Helpers!N5*Assumptions!$B$23,Actuals!Q86)</f>
        <v>-1095.83333333333</v>
      </c>
      <c r="Q266" s="21" t="n">
        <f aca="false">IF(ISBLANK(Actuals!R86),-Helpers!O5*Assumptions!$B$23,Actuals!R86)</f>
        <v>-1095.83333333333</v>
      </c>
      <c r="R266" s="21" t="n">
        <f aca="false">IF(ISBLANK(Actuals!S86),-Helpers!P5*Assumptions!$B$23,Actuals!S86)</f>
        <v>-1095.83333333333</v>
      </c>
      <c r="S266" s="21" t="n">
        <f aca="false">IF(ISBLANK(Actuals!T86),-Helpers!Q5*Assumptions!$B$23,Actuals!T86)</f>
        <v>-1095.83333333333</v>
      </c>
      <c r="T266" s="21" t="n">
        <f aca="false">IF(ISBLANK(Actuals!U86),-Helpers!R5*Assumptions!$B$23,Actuals!U86)</f>
        <v>-1095.83333333333</v>
      </c>
      <c r="U266" s="21" t="n">
        <f aca="false">IF(ISBLANK(Actuals!V86),-Helpers!S5*Assumptions!$B$23,Actuals!V86)</f>
        <v>-1095.83333333333</v>
      </c>
      <c r="V266" s="21" t="n">
        <f aca="false">IF(ISBLANK(Actuals!W86),-Helpers!T5*Assumptions!$B$23,Actuals!W86)</f>
        <v>-1095.83333333333</v>
      </c>
      <c r="W266" s="21" t="n">
        <f aca="false">IF(ISBLANK(Actuals!X86),-Helpers!U5*Assumptions!$B$23,Actuals!X86)</f>
        <v>-1095.83333333333</v>
      </c>
      <c r="X266" s="21" t="n">
        <f aca="false">IF(ISBLANK(Actuals!Y86),-Helpers!V5*Assumptions!$B$23,Actuals!Y86)</f>
        <v>-1095.83333333333</v>
      </c>
      <c r="Y266" s="21" t="n">
        <f aca="false">IF(ISBLANK(Actuals!Z86),-Helpers!W5*Assumptions!$B$23,Actuals!Z86)</f>
        <v>-1095.83333333333</v>
      </c>
      <c r="Z266" s="21" t="n">
        <f aca="false">IF(ISBLANK(Actuals!AA86),-Helpers!X5*Assumptions!$B$23,Actuals!AA86)</f>
        <v>-1117.75</v>
      </c>
      <c r="AA266" s="21" t="n">
        <f aca="false">IF(ISBLANK(Actuals!AB86),-Helpers!Y5*Assumptions!$B$23,Actuals!AB86)</f>
        <v>-1117.75</v>
      </c>
      <c r="AB266" s="21" t="n">
        <f aca="false">IF(ISBLANK(Actuals!AC86),-Helpers!Z5*Assumptions!$B$23,Actuals!AC86)</f>
        <v>-1117.75</v>
      </c>
      <c r="AC266" s="21" t="n">
        <f aca="false">IF(ISBLANK(Actuals!AD86),-Helpers!AA5*Assumptions!$B$23,Actuals!AD86)</f>
        <v>-1117.75</v>
      </c>
      <c r="AD266" s="21" t="n">
        <f aca="false">IF(ISBLANK(Actuals!AE86),-Helpers!AB5*Assumptions!$B$23,Actuals!AE86)</f>
        <v>-1117.75</v>
      </c>
      <c r="AE266" s="21" t="n">
        <f aca="false">IF(ISBLANK(Actuals!AF86),-Helpers!AC5*Assumptions!$B$23,Actuals!AF86)</f>
        <v>-1117.75</v>
      </c>
      <c r="AF266" s="21" t="n">
        <f aca="false">IF(ISBLANK(Actuals!AG86),-Helpers!AD5*Assumptions!$B$23,Actuals!AG86)</f>
        <v>-1117.75</v>
      </c>
      <c r="AG266" s="21" t="n">
        <f aca="false">IF(ISBLANK(Actuals!AH86),-Helpers!AE5*Assumptions!$B$23,Actuals!AH86)</f>
        <v>-1117.75</v>
      </c>
      <c r="AH266" s="21" t="n">
        <f aca="false">IF(ISBLANK(Actuals!AI86),-Helpers!AF5*Assumptions!$B$23,Actuals!AI86)</f>
        <v>-1117.75</v>
      </c>
      <c r="AI266" s="21" t="n">
        <f aca="false">IF(ISBLANK(Actuals!AJ86),-Helpers!AG5*Assumptions!$B$23,Actuals!AJ86)</f>
        <v>-1117.75</v>
      </c>
      <c r="AJ266" s="21" t="n">
        <f aca="false">IF(ISBLANK(Actuals!AK86),-Helpers!AH5*Assumptions!$B$23,Actuals!AK86)</f>
        <v>-1117.75</v>
      </c>
      <c r="AK266" s="21" t="n">
        <f aca="false">IF(ISBLANK(Actuals!AL86),-Helpers!AI5*Assumptions!$B$23,Actuals!AL86)</f>
        <v>-1117.75</v>
      </c>
      <c r="AL266" s="21" t="n">
        <f aca="false">IF(ISBLANK(Actuals!AM86),-Helpers!AJ5*Assumptions!$B$23,Actuals!AM86)</f>
        <v>-1140.105</v>
      </c>
      <c r="AM266" s="21" t="n">
        <f aca="false">IF(ISBLANK(Actuals!AN86),-Helpers!AK5*Assumptions!$B$23,Actuals!AN86)</f>
        <v>-1140.105</v>
      </c>
      <c r="AN266" s="21" t="n">
        <f aca="false">IF(ISBLANK(Actuals!AO86),-Helpers!AL5*Assumptions!$B$23,Actuals!AO86)</f>
        <v>-1140.105</v>
      </c>
      <c r="AO266" s="21" t="n">
        <f aca="false">IF(ISBLANK(Actuals!AP86),-Helpers!AM5*Assumptions!$B$23,Actuals!AP86)</f>
        <v>-1140.105</v>
      </c>
      <c r="AP266" s="21" t="n">
        <f aca="false">IF(ISBLANK(Actuals!AQ86),-Helpers!AN5*Assumptions!$B$23,Actuals!AQ86)</f>
        <v>-1140.105</v>
      </c>
      <c r="AQ266" s="21" t="n">
        <f aca="false">IF(ISBLANK(Actuals!AR86),-Helpers!AO5*Assumptions!$B$23,Actuals!AR86)</f>
        <v>-1140.105</v>
      </c>
      <c r="AR266" s="21" t="n">
        <f aca="false">IF(ISBLANK(Actuals!AS86),-Helpers!AP5*Assumptions!$B$23,Actuals!AS86)</f>
        <v>-1140.105</v>
      </c>
      <c r="AS266" s="21" t="n">
        <f aca="false">IF(ISBLANK(Actuals!AT86),-Helpers!AQ5*Assumptions!$B$23,Actuals!AT86)</f>
        <v>-1140.105</v>
      </c>
      <c r="AT266" s="21" t="n">
        <f aca="false">IF(ISBLANK(Actuals!AU86),-Helpers!AR5*Assumptions!$B$23,Actuals!AU86)</f>
        <v>-1140.105</v>
      </c>
      <c r="AU266" s="21" t="n">
        <f aca="false">IF(ISBLANK(Actuals!AV86),-Helpers!AS5*Assumptions!$B$23,Actuals!AV86)</f>
        <v>-1140.105</v>
      </c>
      <c r="AV266" s="21" t="n">
        <f aca="false">IF(ISBLANK(Actuals!AW86),-Helpers!AT5*Assumptions!$B$23,Actuals!AW86)</f>
        <v>-1140.105</v>
      </c>
      <c r="AW266" s="21" t="n">
        <f aca="false">IF(ISBLANK(Actuals!AX86),-Helpers!AU5*Assumptions!$B$23,Actuals!AX86)</f>
        <v>-1140.105</v>
      </c>
      <c r="AX266" s="21" t="n">
        <f aca="false">IF(ISBLANK(Actuals!AY86),-Helpers!AV5*Assumptions!$B$23,Actuals!AY86)</f>
        <v>-1162.9071</v>
      </c>
      <c r="AY266" s="21" t="n">
        <f aca="false">IF(ISBLANK(Actuals!AZ86),-Helpers!AW5*Assumptions!$B$23,Actuals!AZ86)</f>
        <v>-1162.9071</v>
      </c>
      <c r="AZ266" s="21" t="n">
        <f aca="false">IF(ISBLANK(Actuals!BA86),-Helpers!AX5*Assumptions!$B$23,Actuals!BA86)</f>
        <v>-1162.9071</v>
      </c>
      <c r="BA266" s="21" t="n">
        <f aca="false">IF(ISBLANK(Actuals!BB86),-Helpers!AY5*Assumptions!$B$23,Actuals!BB86)</f>
        <v>-1162.9071</v>
      </c>
      <c r="BB266" s="21" t="n">
        <f aca="false">IF(ISBLANK(Actuals!BC86),-Helpers!AZ5*Assumptions!$B$23,Actuals!BC86)</f>
        <v>-1162.9071</v>
      </c>
      <c r="BC266" s="21" t="n">
        <f aca="false">IF(ISBLANK(Actuals!BD86),-Helpers!BA5*Assumptions!$B$23,Actuals!BD86)</f>
        <v>-1162.9071</v>
      </c>
      <c r="BD266" s="21" t="n">
        <f aca="false">IF(ISBLANK(Actuals!BE86),-Helpers!BB5*Assumptions!$B$23,Actuals!BE86)</f>
        <v>-1162.9071</v>
      </c>
      <c r="BE266" s="21" t="n">
        <f aca="false">IF(ISBLANK(Actuals!BF86),-Helpers!BC5*Assumptions!$B$23,Actuals!BF86)</f>
        <v>-1162.9071</v>
      </c>
      <c r="BF266" s="21" t="n">
        <f aca="false">IF(ISBLANK(Actuals!BG86),-Helpers!BD5*Assumptions!$B$23,Actuals!BG86)</f>
        <v>-1162.9071</v>
      </c>
      <c r="BG266" s="21" t="n">
        <f aca="false">IF(ISBLANK(Actuals!BH86),-Helpers!BE5*Assumptions!$B$23,Actuals!BH86)</f>
        <v>-1162.9071</v>
      </c>
      <c r="BH266" s="21" t="n">
        <f aca="false">IF(ISBLANK(Actuals!BI86),-Helpers!BF5*Assumptions!$B$23,Actuals!BI86)</f>
        <v>-1162.9071</v>
      </c>
      <c r="BI266" s="21" t="n">
        <f aca="false">IF(ISBLANK(Actuals!BJ86),-Helpers!BG5*Assumptions!$B$23,Actuals!BJ86)</f>
        <v>-1162.9071</v>
      </c>
      <c r="BJ266" s="21" t="n">
        <f aca="false">IF(ISBLANK(Actuals!BK86),-Helpers!BH5*Assumptions!$B$23,Actuals!BK86)</f>
        <v>-1186.165242</v>
      </c>
      <c r="BK266" s="21" t="n">
        <f aca="false">IF(ISBLANK(Actuals!BL86),-Helpers!BI5*Assumptions!$B$23,Actuals!BL86)</f>
        <v>-1186.165242</v>
      </c>
      <c r="BL266" s="21" t="n">
        <f aca="false">IF(ISBLANK(Actuals!BM86),-Helpers!BJ5*Assumptions!$B$23,Actuals!BM86)</f>
        <v>-1186.165242</v>
      </c>
      <c r="BM266" s="21" t="n">
        <f aca="false">IF(ISBLANK(Actuals!BN86),-Helpers!BK5*Assumptions!$B$23,Actuals!BN86)</f>
        <v>-1186.165242</v>
      </c>
      <c r="BN266" s="21" t="n">
        <f aca="false">IF(ISBLANK(Actuals!BO86),-Helpers!BL5*Assumptions!$B$23,Actuals!BO86)</f>
        <v>-1186.165242</v>
      </c>
      <c r="BO266" s="21" t="n">
        <f aca="false">IF(ISBLANK(Actuals!BP86),-Helpers!BM5*Assumptions!$B$23,Actuals!BP86)</f>
        <v>-1186.165242</v>
      </c>
      <c r="BP266" s="21" t="n">
        <f aca="false">IF(ISBLANK(Actuals!BQ86),-Helpers!BN5*Assumptions!$B$23,Actuals!BQ86)</f>
        <v>-1186.165242</v>
      </c>
      <c r="BQ266" s="21" t="n">
        <f aca="false">IF(ISBLANK(Actuals!BR86),-Helpers!BO5*Assumptions!$B$23,Actuals!BR86)</f>
        <v>-1186.165242</v>
      </c>
      <c r="BR266" s="21" t="n">
        <f aca="false">IF(ISBLANK(Actuals!BS86),-Helpers!BP5*Assumptions!$B$23,Actuals!BS86)</f>
        <v>-1186.165242</v>
      </c>
      <c r="BS266" s="21" t="n">
        <f aca="false">IF(ISBLANK(Actuals!BT86),-Helpers!BQ5*Assumptions!$B$23,Actuals!BT86)</f>
        <v>-1186.165242</v>
      </c>
      <c r="BT266" s="21" t="n">
        <f aca="false">IF(ISBLANK(Actuals!BU86),-Helpers!BR5*Assumptions!$B$23,Actuals!BU86)</f>
        <v>-1186.165242</v>
      </c>
      <c r="BU266" s="21" t="n">
        <f aca="false">IF(ISBLANK(Actuals!BV86),-Helpers!BS5*Assumptions!$B$23,Actuals!BV86)</f>
        <v>-1186.165242</v>
      </c>
      <c r="BV266" s="21" t="n">
        <f aca="false">IF(ISBLANK(Actuals!BW86),-Helpers!BT5*Assumptions!$B$23,Actuals!BW86)</f>
        <v>-1209.88854684</v>
      </c>
      <c r="BW266" s="21" t="n">
        <f aca="false">IF(ISBLANK(Actuals!BX86),-Helpers!BU5*Assumptions!$B$23,Actuals!BX86)</f>
        <v>-1209.88854684</v>
      </c>
      <c r="BX266" s="21" t="n">
        <f aca="false">IF(ISBLANK(Actuals!BY86),-Helpers!BV5*Assumptions!$B$23,Actuals!BY86)</f>
        <v>-1209.88854684</v>
      </c>
      <c r="BY266" s="21" t="n">
        <f aca="false">IF(ISBLANK(Actuals!BZ86),-Helpers!BW5*Assumptions!$B$23,Actuals!BZ86)</f>
        <v>-1209.88854684</v>
      </c>
      <c r="BZ266" s="21" t="n">
        <f aca="false">IF(ISBLANK(Actuals!CA86),-Helpers!BX5*Assumptions!$B$23,Actuals!CA86)</f>
        <v>-1209.88854684</v>
      </c>
      <c r="CA266" s="21" t="n">
        <f aca="false">IF(ISBLANK(Actuals!CB86),-Helpers!BY5*Assumptions!$B$23,Actuals!CB86)</f>
        <v>-1209.88854684</v>
      </c>
      <c r="CB266" s="21" t="n">
        <f aca="false">IF(ISBLANK(Actuals!CC86),-Helpers!BZ5*Assumptions!$B$23,Actuals!CC86)</f>
        <v>-1209.88854684</v>
      </c>
      <c r="CC266" s="21" t="n">
        <f aca="false">IF(ISBLANK(Actuals!CD86),-Helpers!CA5*Assumptions!$B$23,Actuals!CD86)</f>
        <v>-1209.88854684</v>
      </c>
      <c r="CD266" s="21" t="n">
        <f aca="false">IF(ISBLANK(Actuals!CE86),-Helpers!CB5*Assumptions!$B$23,Actuals!CE86)</f>
        <v>-1209.88854684</v>
      </c>
      <c r="CE266" s="21" t="n">
        <f aca="false">IF(ISBLANK(Actuals!CF86),-Helpers!CC5*Assumptions!$B$23,Actuals!CF86)</f>
        <v>-1209.88854684</v>
      </c>
      <c r="CF266" s="21" t="n">
        <f aca="false">IF(ISBLANK(Actuals!CG86),-Helpers!CD5*Assumptions!$B$23,Actuals!CG86)</f>
        <v>-1209.88854684</v>
      </c>
      <c r="CG266" s="21" t="n">
        <f aca="false">IF(ISBLANK(Actuals!CH86),-Helpers!CE5*Assumptions!$B$23,Actuals!CH86)</f>
        <v>-1209.88854684</v>
      </c>
      <c r="CH266" s="21" t="n">
        <f aca="false">IF(ISBLANK(Actuals!CI86),-Helpers!CF5*Assumptions!$B$23,Actuals!CI86)</f>
        <v>-1234.0863177768</v>
      </c>
      <c r="CI266" s="21" t="n">
        <f aca="false">IF(ISBLANK(Actuals!CJ86),-Helpers!CG5*Assumptions!$B$23,Actuals!CJ86)</f>
        <v>-1234.0863177768</v>
      </c>
      <c r="CJ266" s="21" t="n">
        <f aca="false">IF(ISBLANK(Actuals!CK86),-Helpers!CH5*Assumptions!$B$23,Actuals!CK86)</f>
        <v>-1234.0863177768</v>
      </c>
      <c r="CK266" s="21" t="n">
        <f aca="false">IF(ISBLANK(Actuals!CL86),-Helpers!CI5*Assumptions!$B$23,Actuals!CL86)</f>
        <v>-1234.0863177768</v>
      </c>
      <c r="CL266" s="21" t="n">
        <f aca="false">IF(ISBLANK(Actuals!CM86),-Helpers!CJ5*Assumptions!$B$23,Actuals!CM86)</f>
        <v>-1234.0863177768</v>
      </c>
      <c r="CM266" s="21" t="n">
        <f aca="false">IF(ISBLANK(Actuals!CN86),-Helpers!CK5*Assumptions!$B$23,Actuals!CN86)</f>
        <v>-1234.0863177768</v>
      </c>
      <c r="CN266" s="21" t="n">
        <f aca="false">IF(ISBLANK(Actuals!CO86),-Helpers!CL5*Assumptions!$B$23,Actuals!CO86)</f>
        <v>-1234.0863177768</v>
      </c>
      <c r="CO266" s="21" t="n">
        <f aca="false">IF(ISBLANK(Actuals!CP86),-Helpers!CM5*Assumptions!$B$23,Actuals!CP86)</f>
        <v>-1234.0863177768</v>
      </c>
      <c r="CP266" s="21" t="n">
        <f aca="false">IF(ISBLANK(Actuals!CQ86),-Helpers!CN5*Assumptions!$B$23,Actuals!CQ86)</f>
        <v>-1234.0863177768</v>
      </c>
      <c r="CQ266" s="21" t="n">
        <f aca="false">IF(ISBLANK(Actuals!CR86),-Helpers!CO5*Assumptions!$B$23,Actuals!CR86)</f>
        <v>-1234.0863177768</v>
      </c>
      <c r="CR266" s="21" t="n">
        <f aca="false">IF(ISBLANK(Actuals!CS86),-Helpers!CP5*Assumptions!$B$23,Actuals!CS86)</f>
        <v>-1234.0863177768</v>
      </c>
      <c r="CS266" s="21" t="n">
        <f aca="false">IF(ISBLANK(Actuals!CT86),-Helpers!CQ5*Assumptions!$B$23,Actuals!CT86)</f>
        <v>-1234.0863177768</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-2200.12</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-273.958333333333</v>
      </c>
      <c r="O267" s="21" t="n">
        <f aca="false">IF(ISBLANK(Actuals!P87),-Helpers!M5*Assumptions!$B$21,Actuals!P87)</f>
        <v>-273.958333333333</v>
      </c>
      <c r="P267" s="21" t="n">
        <f aca="false">IF(ISBLANK(Actuals!Q87),-Helpers!N5*Assumptions!$B$21,Actuals!Q87)</f>
        <v>-273.958333333333</v>
      </c>
      <c r="Q267" s="21" t="n">
        <f aca="false">IF(ISBLANK(Actuals!R87),-Helpers!O5*Assumptions!$B$21,Actuals!R87)</f>
        <v>-273.958333333333</v>
      </c>
      <c r="R267" s="21" t="n">
        <f aca="false">IF(ISBLANK(Actuals!S87),-Helpers!P5*Assumptions!$B$21,Actuals!S87)</f>
        <v>-273.958333333333</v>
      </c>
      <c r="S267" s="21" t="n">
        <f aca="false">IF(ISBLANK(Actuals!T87),-Helpers!Q5*Assumptions!$B$21,Actuals!T87)</f>
        <v>-273.958333333333</v>
      </c>
      <c r="T267" s="21" t="n">
        <f aca="false">IF(ISBLANK(Actuals!U87),-Helpers!R5*Assumptions!$B$21,Actuals!U87)</f>
        <v>-273.958333333333</v>
      </c>
      <c r="U267" s="21" t="n">
        <f aca="false">IF(ISBLANK(Actuals!V87),-Helpers!S5*Assumptions!$B$21,Actuals!V87)</f>
        <v>-273.958333333333</v>
      </c>
      <c r="V267" s="21" t="n">
        <f aca="false">IF(ISBLANK(Actuals!W87),-Helpers!T5*Assumptions!$B$21,Actuals!W87)</f>
        <v>-273.958333333333</v>
      </c>
      <c r="W267" s="21" t="n">
        <f aca="false">IF(ISBLANK(Actuals!X87),-Helpers!U5*Assumptions!$B$21,Actuals!X87)</f>
        <v>-273.958333333333</v>
      </c>
      <c r="X267" s="21" t="n">
        <f aca="false">IF(ISBLANK(Actuals!Y87),-Helpers!V5*Assumptions!$B$21,Actuals!Y87)</f>
        <v>-273.958333333333</v>
      </c>
      <c r="Y267" s="21" t="n">
        <f aca="false">IF(ISBLANK(Actuals!Z87),-Helpers!W5*Assumptions!$B$21,Actuals!Z87)</f>
        <v>-273.958333333333</v>
      </c>
      <c r="Z267" s="21" t="n">
        <f aca="false">IF(ISBLANK(Actuals!AA87),-Helpers!X5*Assumptions!$B$21,Actuals!AA87)</f>
        <v>-279.4375</v>
      </c>
      <c r="AA267" s="21" t="n">
        <f aca="false">IF(ISBLANK(Actuals!AB87),-Helpers!Y5*Assumptions!$B$21,Actuals!AB87)</f>
        <v>-279.4375</v>
      </c>
      <c r="AB267" s="21" t="n">
        <f aca="false">IF(ISBLANK(Actuals!AC87),-Helpers!Z5*Assumptions!$B$21,Actuals!AC87)</f>
        <v>-279.4375</v>
      </c>
      <c r="AC267" s="21" t="n">
        <f aca="false">IF(ISBLANK(Actuals!AD87),-Helpers!AA5*Assumptions!$B$21,Actuals!AD87)</f>
        <v>-279.4375</v>
      </c>
      <c r="AD267" s="21" t="n">
        <f aca="false">IF(ISBLANK(Actuals!AE87),-Helpers!AB5*Assumptions!$B$21,Actuals!AE87)</f>
        <v>-279.4375</v>
      </c>
      <c r="AE267" s="21" t="n">
        <f aca="false">IF(ISBLANK(Actuals!AF87),-Helpers!AC5*Assumptions!$B$21,Actuals!AF87)</f>
        <v>-279.4375</v>
      </c>
      <c r="AF267" s="21" t="n">
        <f aca="false">IF(ISBLANK(Actuals!AG87),-Helpers!AD5*Assumptions!$B$21,Actuals!AG87)</f>
        <v>-279.4375</v>
      </c>
      <c r="AG267" s="21" t="n">
        <f aca="false">IF(ISBLANK(Actuals!AH87),-Helpers!AE5*Assumptions!$B$21,Actuals!AH87)</f>
        <v>-279.4375</v>
      </c>
      <c r="AH267" s="21" t="n">
        <f aca="false">IF(ISBLANK(Actuals!AI87),-Helpers!AF5*Assumptions!$B$21,Actuals!AI87)</f>
        <v>-279.4375</v>
      </c>
      <c r="AI267" s="21" t="n">
        <f aca="false">IF(ISBLANK(Actuals!AJ87),-Helpers!AG5*Assumptions!$B$21,Actuals!AJ87)</f>
        <v>-279.4375</v>
      </c>
      <c r="AJ267" s="21" t="n">
        <f aca="false">IF(ISBLANK(Actuals!AK87),-Helpers!AH5*Assumptions!$B$21,Actuals!AK87)</f>
        <v>-279.4375</v>
      </c>
      <c r="AK267" s="21" t="n">
        <f aca="false">IF(ISBLANK(Actuals!AL87),-Helpers!AI5*Assumptions!$B$21,Actuals!AL87)</f>
        <v>-279.4375</v>
      </c>
      <c r="AL267" s="21" t="n">
        <f aca="false">IF(ISBLANK(Actuals!AM87),-Helpers!AJ5*Assumptions!$B$21,Actuals!AM87)</f>
        <v>-285.02625</v>
      </c>
      <c r="AM267" s="21" t="n">
        <f aca="false">IF(ISBLANK(Actuals!AN87),-Helpers!AK5*Assumptions!$B$21,Actuals!AN87)</f>
        <v>-285.02625</v>
      </c>
      <c r="AN267" s="21" t="n">
        <f aca="false">IF(ISBLANK(Actuals!AO87),-Helpers!AL5*Assumptions!$B$21,Actuals!AO87)</f>
        <v>-285.02625</v>
      </c>
      <c r="AO267" s="21" t="n">
        <f aca="false">IF(ISBLANK(Actuals!AP87),-Helpers!AM5*Assumptions!$B$21,Actuals!AP87)</f>
        <v>-285.02625</v>
      </c>
      <c r="AP267" s="21" t="n">
        <f aca="false">IF(ISBLANK(Actuals!AQ87),-Helpers!AN5*Assumptions!$B$21,Actuals!AQ87)</f>
        <v>-285.02625</v>
      </c>
      <c r="AQ267" s="21" t="n">
        <f aca="false">IF(ISBLANK(Actuals!AR87),-Helpers!AO5*Assumptions!$B$21,Actuals!AR87)</f>
        <v>-285.02625</v>
      </c>
      <c r="AR267" s="21" t="n">
        <f aca="false">IF(ISBLANK(Actuals!AS87),-Helpers!AP5*Assumptions!$B$21,Actuals!AS87)</f>
        <v>-285.02625</v>
      </c>
      <c r="AS267" s="21" t="n">
        <f aca="false">IF(ISBLANK(Actuals!AT87),-Helpers!AQ5*Assumptions!$B$21,Actuals!AT87)</f>
        <v>-285.02625</v>
      </c>
      <c r="AT267" s="21" t="n">
        <f aca="false">IF(ISBLANK(Actuals!AU87),-Helpers!AR5*Assumptions!$B$21,Actuals!AU87)</f>
        <v>-285.02625</v>
      </c>
      <c r="AU267" s="21" t="n">
        <f aca="false">IF(ISBLANK(Actuals!AV87),-Helpers!AS5*Assumptions!$B$21,Actuals!AV87)</f>
        <v>-285.02625</v>
      </c>
      <c r="AV267" s="21" t="n">
        <f aca="false">IF(ISBLANK(Actuals!AW87),-Helpers!AT5*Assumptions!$B$21,Actuals!AW87)</f>
        <v>-285.02625</v>
      </c>
      <c r="AW267" s="21" t="n">
        <f aca="false">IF(ISBLANK(Actuals!AX87),-Helpers!AU5*Assumptions!$B$21,Actuals!AX87)</f>
        <v>-285.02625</v>
      </c>
      <c r="AX267" s="21" t="n">
        <f aca="false">IF(ISBLANK(Actuals!AY87),-Helpers!AV5*Assumptions!$B$21,Actuals!AY87)</f>
        <v>-290.726775</v>
      </c>
      <c r="AY267" s="21" t="n">
        <f aca="false">IF(ISBLANK(Actuals!AZ87),-Helpers!AW5*Assumptions!$B$21,Actuals!AZ87)</f>
        <v>-290.726775</v>
      </c>
      <c r="AZ267" s="21" t="n">
        <f aca="false">IF(ISBLANK(Actuals!BA87),-Helpers!AX5*Assumptions!$B$21,Actuals!BA87)</f>
        <v>-290.726775</v>
      </c>
      <c r="BA267" s="21" t="n">
        <f aca="false">IF(ISBLANK(Actuals!BB87),-Helpers!AY5*Assumptions!$B$21,Actuals!BB87)</f>
        <v>-290.726775</v>
      </c>
      <c r="BB267" s="21" t="n">
        <f aca="false">IF(ISBLANK(Actuals!BC87),-Helpers!AZ5*Assumptions!$B$21,Actuals!BC87)</f>
        <v>-290.726775</v>
      </c>
      <c r="BC267" s="21" t="n">
        <f aca="false">IF(ISBLANK(Actuals!BD87),-Helpers!BA5*Assumptions!$B$21,Actuals!BD87)</f>
        <v>-290.726775</v>
      </c>
      <c r="BD267" s="21" t="n">
        <f aca="false">IF(ISBLANK(Actuals!BE87),-Helpers!BB5*Assumptions!$B$21,Actuals!BE87)</f>
        <v>-290.726775</v>
      </c>
      <c r="BE267" s="21" t="n">
        <f aca="false">IF(ISBLANK(Actuals!BF87),-Helpers!BC5*Assumptions!$B$21,Actuals!BF87)</f>
        <v>-290.726775</v>
      </c>
      <c r="BF267" s="21" t="n">
        <f aca="false">IF(ISBLANK(Actuals!BG87),-Helpers!BD5*Assumptions!$B$21,Actuals!BG87)</f>
        <v>-290.726775</v>
      </c>
      <c r="BG267" s="21" t="n">
        <f aca="false">IF(ISBLANK(Actuals!BH87),-Helpers!BE5*Assumptions!$B$21,Actuals!BH87)</f>
        <v>-290.726775</v>
      </c>
      <c r="BH267" s="21" t="n">
        <f aca="false">IF(ISBLANK(Actuals!BI87),-Helpers!BF5*Assumptions!$B$21,Actuals!BI87)</f>
        <v>-290.726775</v>
      </c>
      <c r="BI267" s="21" t="n">
        <f aca="false">IF(ISBLANK(Actuals!BJ87),-Helpers!BG5*Assumptions!$B$21,Actuals!BJ87)</f>
        <v>-290.726775</v>
      </c>
      <c r="BJ267" s="21" t="n">
        <f aca="false">IF(ISBLANK(Actuals!BK87),-Helpers!BH5*Assumptions!$B$21,Actuals!BK87)</f>
        <v>-296.5413105</v>
      </c>
      <c r="BK267" s="21" t="n">
        <f aca="false">IF(ISBLANK(Actuals!BL87),-Helpers!BI5*Assumptions!$B$21,Actuals!BL87)</f>
        <v>-296.5413105</v>
      </c>
      <c r="BL267" s="21" t="n">
        <f aca="false">IF(ISBLANK(Actuals!BM87),-Helpers!BJ5*Assumptions!$B$21,Actuals!BM87)</f>
        <v>-296.5413105</v>
      </c>
      <c r="BM267" s="21" t="n">
        <f aca="false">IF(ISBLANK(Actuals!BN87),-Helpers!BK5*Assumptions!$B$21,Actuals!BN87)</f>
        <v>-296.5413105</v>
      </c>
      <c r="BN267" s="21" t="n">
        <f aca="false">IF(ISBLANK(Actuals!BO87),-Helpers!BL5*Assumptions!$B$21,Actuals!BO87)</f>
        <v>-296.5413105</v>
      </c>
      <c r="BO267" s="21" t="n">
        <f aca="false">IF(ISBLANK(Actuals!BP87),-Helpers!BM5*Assumptions!$B$21,Actuals!BP87)</f>
        <v>-296.5413105</v>
      </c>
      <c r="BP267" s="21" t="n">
        <f aca="false">IF(ISBLANK(Actuals!BQ87),-Helpers!BN5*Assumptions!$B$21,Actuals!BQ87)</f>
        <v>-296.5413105</v>
      </c>
      <c r="BQ267" s="21" t="n">
        <f aca="false">IF(ISBLANK(Actuals!BR87),-Helpers!BO5*Assumptions!$B$21,Actuals!BR87)</f>
        <v>-296.5413105</v>
      </c>
      <c r="BR267" s="21" t="n">
        <f aca="false">IF(ISBLANK(Actuals!BS87),-Helpers!BP5*Assumptions!$B$21,Actuals!BS87)</f>
        <v>-296.5413105</v>
      </c>
      <c r="BS267" s="21" t="n">
        <f aca="false">IF(ISBLANK(Actuals!BT87),-Helpers!BQ5*Assumptions!$B$21,Actuals!BT87)</f>
        <v>-296.5413105</v>
      </c>
      <c r="BT267" s="21" t="n">
        <f aca="false">IF(ISBLANK(Actuals!BU87),-Helpers!BR5*Assumptions!$B$21,Actuals!BU87)</f>
        <v>-296.5413105</v>
      </c>
      <c r="BU267" s="21" t="n">
        <f aca="false">IF(ISBLANK(Actuals!BV87),-Helpers!BS5*Assumptions!$B$21,Actuals!BV87)</f>
        <v>-296.5413105</v>
      </c>
      <c r="BV267" s="21" t="n">
        <f aca="false">IF(ISBLANK(Actuals!BW87),-Helpers!BT5*Assumptions!$B$21,Actuals!BW87)</f>
        <v>-302.47213671</v>
      </c>
      <c r="BW267" s="21" t="n">
        <f aca="false">IF(ISBLANK(Actuals!BX87),-Helpers!BU5*Assumptions!$B$21,Actuals!BX87)</f>
        <v>-302.47213671</v>
      </c>
      <c r="BX267" s="21" t="n">
        <f aca="false">IF(ISBLANK(Actuals!BY87),-Helpers!BV5*Assumptions!$B$21,Actuals!BY87)</f>
        <v>-302.47213671</v>
      </c>
      <c r="BY267" s="21" t="n">
        <f aca="false">IF(ISBLANK(Actuals!BZ87),-Helpers!BW5*Assumptions!$B$21,Actuals!BZ87)</f>
        <v>-302.47213671</v>
      </c>
      <c r="BZ267" s="21" t="n">
        <f aca="false">IF(ISBLANK(Actuals!CA87),-Helpers!BX5*Assumptions!$B$21,Actuals!CA87)</f>
        <v>-302.47213671</v>
      </c>
      <c r="CA267" s="21" t="n">
        <f aca="false">IF(ISBLANK(Actuals!CB87),-Helpers!BY5*Assumptions!$B$21,Actuals!CB87)</f>
        <v>-302.47213671</v>
      </c>
      <c r="CB267" s="21" t="n">
        <f aca="false">IF(ISBLANK(Actuals!CC87),-Helpers!BZ5*Assumptions!$B$21,Actuals!CC87)</f>
        <v>-302.47213671</v>
      </c>
      <c r="CC267" s="21" t="n">
        <f aca="false">IF(ISBLANK(Actuals!CD87),-Helpers!CA5*Assumptions!$B$21,Actuals!CD87)</f>
        <v>-302.47213671</v>
      </c>
      <c r="CD267" s="21" t="n">
        <f aca="false">IF(ISBLANK(Actuals!CE87),-Helpers!CB5*Assumptions!$B$21,Actuals!CE87)</f>
        <v>-302.47213671</v>
      </c>
      <c r="CE267" s="21" t="n">
        <f aca="false">IF(ISBLANK(Actuals!CF87),-Helpers!CC5*Assumptions!$B$21,Actuals!CF87)</f>
        <v>-302.47213671</v>
      </c>
      <c r="CF267" s="21" t="n">
        <f aca="false">IF(ISBLANK(Actuals!CG87),-Helpers!CD5*Assumptions!$B$21,Actuals!CG87)</f>
        <v>-302.47213671</v>
      </c>
      <c r="CG267" s="21" t="n">
        <f aca="false">IF(ISBLANK(Actuals!CH87),-Helpers!CE5*Assumptions!$B$21,Actuals!CH87)</f>
        <v>-302.47213671</v>
      </c>
      <c r="CH267" s="21" t="n">
        <f aca="false">IF(ISBLANK(Actuals!CI87),-Helpers!CF5*Assumptions!$B$21,Actuals!CI87)</f>
        <v>-308.5215794442</v>
      </c>
      <c r="CI267" s="21" t="n">
        <f aca="false">IF(ISBLANK(Actuals!CJ87),-Helpers!CG5*Assumptions!$B$21,Actuals!CJ87)</f>
        <v>-308.5215794442</v>
      </c>
      <c r="CJ267" s="21" t="n">
        <f aca="false">IF(ISBLANK(Actuals!CK87),-Helpers!CH5*Assumptions!$B$21,Actuals!CK87)</f>
        <v>-308.5215794442</v>
      </c>
      <c r="CK267" s="21" t="n">
        <f aca="false">IF(ISBLANK(Actuals!CL87),-Helpers!CI5*Assumptions!$B$21,Actuals!CL87)</f>
        <v>-308.5215794442</v>
      </c>
      <c r="CL267" s="21" t="n">
        <f aca="false">IF(ISBLANK(Actuals!CM87),-Helpers!CJ5*Assumptions!$B$21,Actuals!CM87)</f>
        <v>-308.5215794442</v>
      </c>
      <c r="CM267" s="21" t="n">
        <f aca="false">IF(ISBLANK(Actuals!CN87),-Helpers!CK5*Assumptions!$B$21,Actuals!CN87)</f>
        <v>-308.5215794442</v>
      </c>
      <c r="CN267" s="21" t="n">
        <f aca="false">IF(ISBLANK(Actuals!CO87),-Helpers!CL5*Assumptions!$B$21,Actuals!CO87)</f>
        <v>-308.5215794442</v>
      </c>
      <c r="CO267" s="21" t="n">
        <f aca="false">IF(ISBLANK(Actuals!CP87),-Helpers!CM5*Assumptions!$B$21,Actuals!CP87)</f>
        <v>-308.5215794442</v>
      </c>
      <c r="CP267" s="21" t="n">
        <f aca="false">IF(ISBLANK(Actuals!CQ87),-Helpers!CN5*Assumptions!$B$21,Actuals!CQ87)</f>
        <v>-308.5215794442</v>
      </c>
      <c r="CQ267" s="21" t="n">
        <f aca="false">IF(ISBLANK(Actuals!CR87),-Helpers!CO5*Assumptions!$B$21,Actuals!CR87)</f>
        <v>-308.5215794442</v>
      </c>
      <c r="CR267" s="21" t="n">
        <f aca="false">IF(ISBLANK(Actuals!CS87),-Helpers!CP5*Assumptions!$B$21,Actuals!CS87)</f>
        <v>-308.5215794442</v>
      </c>
      <c r="CS267" s="21" t="n">
        <f aca="false">IF(ISBLANK(Actuals!CT87),-Helpers!CQ5*Assumptions!$B$21,Actuals!CT87)</f>
        <v>-308.5215794442</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-8909.61</v>
      </c>
      <c r="K268" s="21" t="n">
        <f aca="false">IF(ISBLANK(Actuals!L88),-8500*Escalation!$B$8,Actuals!L88)</f>
        <v>-8500</v>
      </c>
      <c r="L268" s="21" t="n">
        <f aca="false">IF(ISBLANK(Actuals!M88),-8500*Escalation!$B$9,Actuals!M88)</f>
        <v>-8500</v>
      </c>
      <c r="M268" s="21" t="n">
        <f aca="false">IF(ISBLANK(Actuals!N88),-8500,Actuals!N88)</f>
        <v>-8500</v>
      </c>
      <c r="N268" s="21" t="n">
        <f aca="false">IF(ISBLANK(Actuals!O88),-8500,Actuals!O88)</f>
        <v>-8500</v>
      </c>
      <c r="O268" s="21" t="n">
        <f aca="false">IF(ISBLANK(Actuals!P88),-6750,Actuals!P88)</f>
        <v>-6750</v>
      </c>
      <c r="P268" s="21" t="n">
        <f aca="false">IF(ISBLANK(Actuals!Q88),-6750,Actuals!Q88)</f>
        <v>-6750</v>
      </c>
      <c r="Q268" s="21" t="n">
        <f aca="false">IF(ISBLANK(Actuals!R88),-6750,Actuals!R88)</f>
        <v>-6750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-952.23</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-583.8</v>
      </c>
      <c r="R269" s="21" t="n">
        <f aca="false">IF(ISBLANK(Actuals!S89),-583.8*Escalation!$B$15,Actuals!S89)</f>
        <v>-583.8</v>
      </c>
      <c r="S269" s="21" t="n">
        <f aca="false">IF(ISBLANK(Actuals!T89),-583.8*Escalation!$B$16,Actuals!T89)</f>
        <v>-583.8</v>
      </c>
      <c r="T269" s="21" t="n">
        <f aca="false">IF(ISBLANK(Actuals!U89),-583.8*Escalation!$B$17,Actuals!U89)</f>
        <v>-583.8</v>
      </c>
      <c r="U269" s="21" t="n">
        <f aca="false">IF(ISBLANK(Actuals!V89),-583.8*Escalation!$B$18,Actuals!V89)</f>
        <v>-583.8</v>
      </c>
      <c r="V269" s="21" t="n">
        <f aca="false">IF(ISBLANK(Actuals!W89),-583.8*Escalation!$B$19,Actuals!W89)</f>
        <v>-583.8</v>
      </c>
      <c r="W269" s="21" t="n">
        <f aca="false">IF(ISBLANK(Actuals!X89),-583.8*Escalation!$B$20,Actuals!X89)</f>
        <v>-583.8</v>
      </c>
      <c r="X269" s="21" t="n">
        <f aca="false">IF(ISBLANK(Actuals!Y89),-583.8*Escalation!$B$21,Actuals!Y89)</f>
        <v>-583.8</v>
      </c>
      <c r="Y269" s="21" t="n">
        <f aca="false">IF(ISBLANK(Actuals!Z89),-583.8*Escalation!$B$22,Actuals!Z89)</f>
        <v>-583.8</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-595.476</v>
      </c>
      <c r="AD269" s="21" t="n">
        <f aca="false">IF(ISBLANK(Actuals!AE89),-583.8*Escalation!$B$27,Actuals!AE89)</f>
        <v>-595.476</v>
      </c>
      <c r="AE269" s="21" t="n">
        <f aca="false">IF(ISBLANK(Actuals!AF89),-583.8*Escalation!$B$28,Actuals!AF89)</f>
        <v>-595.476</v>
      </c>
      <c r="AF269" s="21" t="n">
        <f aca="false">IF(ISBLANK(Actuals!AG89),-583.8*Escalation!$B$29,Actuals!AG89)</f>
        <v>-595.476</v>
      </c>
      <c r="AG269" s="21" t="n">
        <f aca="false">IF(ISBLANK(Actuals!AH89),-583.8*Escalation!$B$30,Actuals!AH89)</f>
        <v>-595.476</v>
      </c>
      <c r="AH269" s="21" t="n">
        <f aca="false">IF(ISBLANK(Actuals!AI89),-583.8*Escalation!$B$31,Actuals!AI89)</f>
        <v>-595.476</v>
      </c>
      <c r="AI269" s="21" t="n">
        <f aca="false">IF(ISBLANK(Actuals!AJ89),-583.8*Escalation!$B$32,Actuals!AJ89)</f>
        <v>-595.476</v>
      </c>
      <c r="AJ269" s="21" t="n">
        <f aca="false">IF(ISBLANK(Actuals!AK89),-583.8*Escalation!$B$33,Actuals!AK89)</f>
        <v>-595.476</v>
      </c>
      <c r="AK269" s="21" t="n">
        <f aca="false">IF(ISBLANK(Actuals!AL89),-583.8*Escalation!$B$34,Actuals!AL89)</f>
        <v>-595.476</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-607.38552</v>
      </c>
      <c r="AP269" s="21" t="n">
        <f aca="false">IF(ISBLANK(Actuals!AQ89),-583.8*Escalation!$B$39,Actuals!AQ89)</f>
        <v>-607.38552</v>
      </c>
      <c r="AQ269" s="21" t="n">
        <f aca="false">IF(ISBLANK(Actuals!AR89),-583.8*Escalation!$B$40,Actuals!AR89)</f>
        <v>-607.38552</v>
      </c>
      <c r="AR269" s="21" t="n">
        <f aca="false">IF(ISBLANK(Actuals!AS89),-583.8*Escalation!$B$41,Actuals!AS89)</f>
        <v>-607.38552</v>
      </c>
      <c r="AS269" s="21" t="n">
        <f aca="false">IF(ISBLANK(Actuals!AT89),-583.8*Escalation!$B$42,Actuals!AT89)</f>
        <v>-607.38552</v>
      </c>
      <c r="AT269" s="21" t="n">
        <f aca="false">IF(ISBLANK(Actuals!AU89),-583.8*Escalation!$B$43,Actuals!AU89)</f>
        <v>-607.38552</v>
      </c>
      <c r="AU269" s="21" t="n">
        <f aca="false">IF(ISBLANK(Actuals!AV89),-583.8*Escalation!$B$44,Actuals!AV89)</f>
        <v>-607.38552</v>
      </c>
      <c r="AV269" s="21" t="n">
        <f aca="false">IF(ISBLANK(Actuals!AW89),-583.8*Escalation!$B$45,Actuals!AW89)</f>
        <v>-607.38552</v>
      </c>
      <c r="AW269" s="21" t="n">
        <f aca="false">IF(ISBLANK(Actuals!AX89),-583.8*Escalation!$B$46,Actuals!AX89)</f>
        <v>-607.38552</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-619.5332304</v>
      </c>
      <c r="BB269" s="21" t="n">
        <f aca="false">IF(ISBLANK(Actuals!BC89),-583.8*Escalation!$B$51,Actuals!BC89)</f>
        <v>-619.5332304</v>
      </c>
      <c r="BC269" s="21" t="n">
        <f aca="false">IF(ISBLANK(Actuals!BD89),-583.8*Escalation!$B$52,Actuals!BD89)</f>
        <v>-619.5332304</v>
      </c>
      <c r="BD269" s="21" t="n">
        <f aca="false">IF(ISBLANK(Actuals!BE89),-583.8*Escalation!$B$53,Actuals!BE89)</f>
        <v>-619.5332304</v>
      </c>
      <c r="BE269" s="21" t="n">
        <f aca="false">IF(ISBLANK(Actuals!BF89),-583.8*Escalation!$B$54,Actuals!BF89)</f>
        <v>-619.5332304</v>
      </c>
      <c r="BF269" s="21" t="n">
        <f aca="false">IF(ISBLANK(Actuals!BG89),-583.8*Escalation!$B$55,Actuals!BG89)</f>
        <v>-619.5332304</v>
      </c>
      <c r="BG269" s="21" t="n">
        <f aca="false">IF(ISBLANK(Actuals!BH89),-583.8*Escalation!$B$56,Actuals!BH89)</f>
        <v>-619.5332304</v>
      </c>
      <c r="BH269" s="21" t="n">
        <f aca="false">IF(ISBLANK(Actuals!BI89),-583.8*Escalation!$B$57,Actuals!BI89)</f>
        <v>-619.5332304</v>
      </c>
      <c r="BI269" s="21" t="n">
        <f aca="false">IF(ISBLANK(Actuals!BJ89),-583.8*Escalation!$B$58,Actuals!BJ89)</f>
        <v>-619.5332304</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-631.923895008</v>
      </c>
      <c r="BN269" s="21" t="n">
        <f aca="false">IF(ISBLANK(Actuals!BO89),-583.8*Escalation!$B$63,Actuals!BO89)</f>
        <v>-631.923895008</v>
      </c>
      <c r="BO269" s="21" t="n">
        <f aca="false">IF(ISBLANK(Actuals!BP89),-583.8*Escalation!$B$64,Actuals!BP89)</f>
        <v>-631.923895008</v>
      </c>
      <c r="BP269" s="21" t="n">
        <f aca="false">IF(ISBLANK(Actuals!BQ89),-583.8*Escalation!$B$65,Actuals!BQ89)</f>
        <v>-631.923895008</v>
      </c>
      <c r="BQ269" s="21" t="n">
        <f aca="false">IF(ISBLANK(Actuals!BR89),-583.8*Escalation!$B$66,Actuals!BR89)</f>
        <v>-631.923895008</v>
      </c>
      <c r="BR269" s="21" t="n">
        <f aca="false">IF(ISBLANK(Actuals!BS89),-583.8*Escalation!$B$67,Actuals!BS89)</f>
        <v>-631.923895008</v>
      </c>
      <c r="BS269" s="21" t="n">
        <f aca="false">IF(ISBLANK(Actuals!BT89),-583.8*Escalation!$B$68,Actuals!BT89)</f>
        <v>-631.923895008</v>
      </c>
      <c r="BT269" s="21" t="n">
        <f aca="false">IF(ISBLANK(Actuals!BU89),-583.8*Escalation!$B$69,Actuals!BU89)</f>
        <v>-631.923895008</v>
      </c>
      <c r="BU269" s="21" t="n">
        <f aca="false">IF(ISBLANK(Actuals!BV89),-583.8*Escalation!$B$70,Actuals!BV89)</f>
        <v>-631.923895008</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-644.56237290816</v>
      </c>
      <c r="BZ269" s="21" t="n">
        <f aca="false">IF(ISBLANK(Actuals!CA89),-583.8*Escalation!$B$75,Actuals!CA89)</f>
        <v>-644.56237290816</v>
      </c>
      <c r="CA269" s="21" t="n">
        <f aca="false">IF(ISBLANK(Actuals!CB89),-583.8*Escalation!$B$76,Actuals!CB89)</f>
        <v>-644.56237290816</v>
      </c>
      <c r="CB269" s="21" t="n">
        <f aca="false">IF(ISBLANK(Actuals!CC89),-583.8*Escalation!$B$77,Actuals!CC89)</f>
        <v>-644.56237290816</v>
      </c>
      <c r="CC269" s="21" t="n">
        <f aca="false">IF(ISBLANK(Actuals!CD89),-583.8*Escalation!$B$78,Actuals!CD89)</f>
        <v>-644.56237290816</v>
      </c>
      <c r="CD269" s="21" t="n">
        <f aca="false">IF(ISBLANK(Actuals!CE89),-583.8*Escalation!$B$79,Actuals!CE89)</f>
        <v>-644.56237290816</v>
      </c>
      <c r="CE269" s="21" t="n">
        <f aca="false">IF(ISBLANK(Actuals!CF89),-583.8*Escalation!$B$80,Actuals!CF89)</f>
        <v>-644.56237290816</v>
      </c>
      <c r="CF269" s="21" t="n">
        <f aca="false">IF(ISBLANK(Actuals!CG89),-583.8*Escalation!$B$81,Actuals!CG89)</f>
        <v>-644.56237290816</v>
      </c>
      <c r="CG269" s="21" t="n">
        <f aca="false">IF(ISBLANK(Actuals!CH89),-583.8*Escalation!$B$82,Actuals!CH89)</f>
        <v>-644.56237290816</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-657.453620366323</v>
      </c>
      <c r="CL269" s="21" t="n">
        <f aca="false">IF(ISBLANK(Actuals!CM89),-583.8*Escalation!$B$87,Actuals!CM89)</f>
        <v>-657.453620366323</v>
      </c>
      <c r="CM269" s="21" t="n">
        <f aca="false">IF(ISBLANK(Actuals!CN89),-583.8*Escalation!$B$88,Actuals!CN89)</f>
        <v>-657.453620366323</v>
      </c>
      <c r="CN269" s="21" t="n">
        <f aca="false">IF(ISBLANK(Actuals!CO89),-583.8*Escalation!$B$89,Actuals!CO89)</f>
        <v>-657.453620366323</v>
      </c>
      <c r="CO269" s="21" t="n">
        <f aca="false">IF(ISBLANK(Actuals!CP89),-583.8*Escalation!$B$90,Actuals!CP89)</f>
        <v>-657.453620366323</v>
      </c>
      <c r="CP269" s="21" t="n">
        <f aca="false">IF(ISBLANK(Actuals!CQ89),-583.8*Escalation!$B$91,Actuals!CQ89)</f>
        <v>-657.453620366323</v>
      </c>
      <c r="CQ269" s="21" t="n">
        <f aca="false">IF(ISBLANK(Actuals!CR89),-583.8*Escalation!$B$92,Actuals!CR89)</f>
        <v>-657.453620366323</v>
      </c>
      <c r="CR269" s="21" t="n">
        <f aca="false">IF(ISBLANK(Actuals!CS89),-583.8*Escalation!$B$93,Actuals!CS89)</f>
        <v>-657.453620366323</v>
      </c>
      <c r="CS269" s="21" t="n">
        <f aca="false">IF(ISBLANK(Actuals!CT89),-583.8*Escalation!$B$94,Actuals!CT89)</f>
        <v>-657.453620366323</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-670.60269277365</v>
      </c>
      <c r="CX269" s="21" t="n">
        <f aca="false">IF(ISBLANK(Actuals!CY89),-583.8*Escalation!$B$99,Actuals!CY89)</f>
        <v>-670.60269277365</v>
      </c>
      <c r="CY269" s="21" t="n">
        <f aca="false">IF(ISBLANK(Actuals!CZ89),-583.8*Escalation!$B$100,Actuals!CZ89)</f>
        <v>-670.60269277365</v>
      </c>
      <c r="CZ269" s="21" t="n">
        <f aca="false">IF(ISBLANK(Actuals!DA89),-583.8*Escalation!$B$101,Actuals!DA89)</f>
        <v>-670.60269277365</v>
      </c>
      <c r="DA269" s="21" t="n">
        <f aca="false">IF(ISBLANK(Actuals!DB89),-583.8*Escalation!$B$102,Actuals!DB89)</f>
        <v>-670.60269277365</v>
      </c>
      <c r="DB269" s="21" t="n">
        <f aca="false">IF(ISBLANK(Actuals!DC89),-583.8*Escalation!$B$103,Actuals!DC89)</f>
        <v>-670.60269277365</v>
      </c>
      <c r="DC269" s="21" t="n">
        <f aca="false">IF(ISBLANK(Actuals!DD89),-583.8*Escalation!$B$104,Actuals!DD89)</f>
        <v>-670.60269277365</v>
      </c>
      <c r="DD269" s="21" t="n">
        <f aca="false">IF(ISBLANK(Actuals!DE89),-583.8*Escalation!$B$105,Actuals!DE89)</f>
        <v>-670.60269277365</v>
      </c>
      <c r="DE269" s="21" t="n">
        <f aca="false">IF(ISBLANK(Actuals!DF89),-583.8*Escalation!$B$106,Actuals!DF89)</f>
        <v>-670.60269277365</v>
      </c>
    </row>
    <row r="270" customFormat="false" ht="15" hidden="false" customHeight="true" outlineLevel="0" collapsed="false">
      <c r="A270" s="35" t="s">
        <v>124</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-1177.72</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-1497.86</v>
      </c>
      <c r="R270" s="21" t="n">
        <f aca="false">IF(ISBLANK(Actuals!S90),-1497.86*Escalation!$B$15,Actuals!S90)</f>
        <v>-1497.86</v>
      </c>
      <c r="S270" s="21" t="n">
        <f aca="false">IF(ISBLANK(Actuals!T90),-1497.86*Escalation!$B$16,Actuals!T90)</f>
        <v>-1497.86</v>
      </c>
      <c r="T270" s="21" t="n">
        <f aca="false">IF(ISBLANK(Actuals!U90),-1497.86*Escalation!$B$17,Actuals!U90)</f>
        <v>-1497.86</v>
      </c>
      <c r="U270" s="21" t="n">
        <f aca="false">IF(ISBLANK(Actuals!V90),-1497.86*Escalation!$B$18,Actuals!V90)</f>
        <v>-1497.86</v>
      </c>
      <c r="V270" s="21" t="n">
        <f aca="false">IF(ISBLANK(Actuals!W90),-1497.86*Escalation!$B$19,Actuals!W90)</f>
        <v>-1497.86</v>
      </c>
      <c r="W270" s="21" t="n">
        <f aca="false">IF(ISBLANK(Actuals!X90),-1497.86*Escalation!$B$20,Actuals!X90)</f>
        <v>-1497.86</v>
      </c>
      <c r="X270" s="21" t="n">
        <f aca="false">IF(ISBLANK(Actuals!Y90),-1497.86*Escalation!$B$21,Actuals!Y90)</f>
        <v>-1497.86</v>
      </c>
      <c r="Y270" s="21" t="n">
        <f aca="false">IF(ISBLANK(Actuals!Z90),-1497.86*Escalation!$B$22,Actuals!Z90)</f>
        <v>-1497.86</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-1527.8172</v>
      </c>
      <c r="AD270" s="21" t="n">
        <f aca="false">IF(ISBLANK(Actuals!AE90),-1497.86*Escalation!$B$27,Actuals!AE90)</f>
        <v>-1527.8172</v>
      </c>
      <c r="AE270" s="21" t="n">
        <f aca="false">IF(ISBLANK(Actuals!AF90),-1497.86*Escalation!$B$28,Actuals!AF90)</f>
        <v>-1527.8172</v>
      </c>
      <c r="AF270" s="21" t="n">
        <f aca="false">IF(ISBLANK(Actuals!AG90),-1497.86*Escalation!$B$29,Actuals!AG90)</f>
        <v>-1527.8172</v>
      </c>
      <c r="AG270" s="21" t="n">
        <f aca="false">IF(ISBLANK(Actuals!AH90),-1497.86*Escalation!$B$30,Actuals!AH90)</f>
        <v>-1527.8172</v>
      </c>
      <c r="AH270" s="21" t="n">
        <f aca="false">IF(ISBLANK(Actuals!AI90),-1497.86*Escalation!$B$31,Actuals!AI90)</f>
        <v>-1527.8172</v>
      </c>
      <c r="AI270" s="21" t="n">
        <f aca="false">IF(ISBLANK(Actuals!AJ90),-1497.86*Escalation!$B$32,Actuals!AJ90)</f>
        <v>-1527.8172</v>
      </c>
      <c r="AJ270" s="21" t="n">
        <f aca="false">IF(ISBLANK(Actuals!AK90),-1497.86*Escalation!$B$33,Actuals!AK90)</f>
        <v>-1527.8172</v>
      </c>
      <c r="AK270" s="21" t="n">
        <f aca="false">IF(ISBLANK(Actuals!AL90),-1497.86*Escalation!$B$34,Actuals!AL90)</f>
        <v>-1527.8172</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-1558.373544</v>
      </c>
      <c r="AP270" s="21" t="n">
        <f aca="false">IF(ISBLANK(Actuals!AQ90),-1497.86*Escalation!$B$39,Actuals!AQ90)</f>
        <v>-1558.373544</v>
      </c>
      <c r="AQ270" s="21" t="n">
        <f aca="false">IF(ISBLANK(Actuals!AR90),-1497.86*Escalation!$B$40,Actuals!AR90)</f>
        <v>-1558.373544</v>
      </c>
      <c r="AR270" s="21" t="n">
        <f aca="false">IF(ISBLANK(Actuals!AS90),-1497.86*Escalation!$B$41,Actuals!AS90)</f>
        <v>-1558.373544</v>
      </c>
      <c r="AS270" s="21" t="n">
        <f aca="false">IF(ISBLANK(Actuals!AT90),-1497.86*Escalation!$B$42,Actuals!AT90)</f>
        <v>-1558.373544</v>
      </c>
      <c r="AT270" s="21" t="n">
        <f aca="false">IF(ISBLANK(Actuals!AU90),-1497.86*Escalation!$B$43,Actuals!AU90)</f>
        <v>-1558.373544</v>
      </c>
      <c r="AU270" s="21" t="n">
        <f aca="false">IF(ISBLANK(Actuals!AV90),-1497.86*Escalation!$B$44,Actuals!AV90)</f>
        <v>-1558.373544</v>
      </c>
      <c r="AV270" s="21" t="n">
        <f aca="false">IF(ISBLANK(Actuals!AW90),-1497.86*Escalation!$B$45,Actuals!AW90)</f>
        <v>-1558.373544</v>
      </c>
      <c r="AW270" s="21" t="n">
        <f aca="false">IF(ISBLANK(Actuals!AX90),-1497.86*Escalation!$B$46,Actuals!AX90)</f>
        <v>-1558.373544</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-1589.54101488</v>
      </c>
      <c r="BB270" s="21" t="n">
        <f aca="false">IF(ISBLANK(Actuals!BC90),-1497.86*Escalation!$B$51,Actuals!BC90)</f>
        <v>-1589.54101488</v>
      </c>
      <c r="BC270" s="21" t="n">
        <f aca="false">IF(ISBLANK(Actuals!BD90),-1497.86*Escalation!$B$52,Actuals!BD90)</f>
        <v>-1589.54101488</v>
      </c>
      <c r="BD270" s="21" t="n">
        <f aca="false">IF(ISBLANK(Actuals!BE90),-1497.86*Escalation!$B$53,Actuals!BE90)</f>
        <v>-1589.54101488</v>
      </c>
      <c r="BE270" s="21" t="n">
        <f aca="false">IF(ISBLANK(Actuals!BF90),-1497.86*Escalation!$B$54,Actuals!BF90)</f>
        <v>-1589.54101488</v>
      </c>
      <c r="BF270" s="21" t="n">
        <f aca="false">IF(ISBLANK(Actuals!BG90),-1497.86*Escalation!$B$55,Actuals!BG90)</f>
        <v>-1589.54101488</v>
      </c>
      <c r="BG270" s="21" t="n">
        <f aca="false">IF(ISBLANK(Actuals!BH90),-1497.86*Escalation!$B$56,Actuals!BH90)</f>
        <v>-1589.54101488</v>
      </c>
      <c r="BH270" s="21" t="n">
        <f aca="false">IF(ISBLANK(Actuals!BI90),-1497.86*Escalation!$B$57,Actuals!BI90)</f>
        <v>-1589.54101488</v>
      </c>
      <c r="BI270" s="21" t="n">
        <f aca="false">IF(ISBLANK(Actuals!BJ90),-1497.86*Escalation!$B$58,Actuals!BJ90)</f>
        <v>-1589.54101488</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-1621.3318351776</v>
      </c>
      <c r="BN270" s="21" t="n">
        <f aca="false">IF(ISBLANK(Actuals!BO90),-1497.86*Escalation!$B$63,Actuals!BO90)</f>
        <v>-1621.3318351776</v>
      </c>
      <c r="BO270" s="21" t="n">
        <f aca="false">IF(ISBLANK(Actuals!BP90),-1497.86*Escalation!$B$64,Actuals!BP90)</f>
        <v>-1621.3318351776</v>
      </c>
      <c r="BP270" s="21" t="n">
        <f aca="false">IF(ISBLANK(Actuals!BQ90),-1497.86*Escalation!$B$65,Actuals!BQ90)</f>
        <v>-1621.3318351776</v>
      </c>
      <c r="BQ270" s="21" t="n">
        <f aca="false">IF(ISBLANK(Actuals!BR90),-1497.86*Escalation!$B$66,Actuals!BR90)</f>
        <v>-1621.3318351776</v>
      </c>
      <c r="BR270" s="21" t="n">
        <f aca="false">IF(ISBLANK(Actuals!BS90),-1497.86*Escalation!$B$67,Actuals!BS90)</f>
        <v>-1621.3318351776</v>
      </c>
      <c r="BS270" s="21" t="n">
        <f aca="false">IF(ISBLANK(Actuals!BT90),-1497.86*Escalation!$B$68,Actuals!BT90)</f>
        <v>-1621.3318351776</v>
      </c>
      <c r="BT270" s="21" t="n">
        <f aca="false">IF(ISBLANK(Actuals!BU90),-1497.86*Escalation!$B$69,Actuals!BU90)</f>
        <v>-1621.3318351776</v>
      </c>
      <c r="BU270" s="21" t="n">
        <f aca="false">IF(ISBLANK(Actuals!BV90),-1497.86*Escalation!$B$70,Actuals!BV90)</f>
        <v>-1621.3318351776</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-1653.75847188115</v>
      </c>
      <c r="BZ270" s="21" t="n">
        <f aca="false">IF(ISBLANK(Actuals!CA90),-1497.86*Escalation!$B$75,Actuals!CA90)</f>
        <v>-1653.75847188115</v>
      </c>
      <c r="CA270" s="21" t="n">
        <f aca="false">IF(ISBLANK(Actuals!CB90),-1497.86*Escalation!$B$76,Actuals!CB90)</f>
        <v>-1653.75847188115</v>
      </c>
      <c r="CB270" s="21" t="n">
        <f aca="false">IF(ISBLANK(Actuals!CC90),-1497.86*Escalation!$B$77,Actuals!CC90)</f>
        <v>-1653.75847188115</v>
      </c>
      <c r="CC270" s="21" t="n">
        <f aca="false">IF(ISBLANK(Actuals!CD90),-1497.86*Escalation!$B$78,Actuals!CD90)</f>
        <v>-1653.75847188115</v>
      </c>
      <c r="CD270" s="21" t="n">
        <f aca="false">IF(ISBLANK(Actuals!CE90),-1497.86*Escalation!$B$79,Actuals!CE90)</f>
        <v>-1653.75847188115</v>
      </c>
      <c r="CE270" s="21" t="n">
        <f aca="false">IF(ISBLANK(Actuals!CF90),-1497.86*Escalation!$B$80,Actuals!CF90)</f>
        <v>-1653.75847188115</v>
      </c>
      <c r="CF270" s="21" t="n">
        <f aca="false">IF(ISBLANK(Actuals!CG90),-1497.86*Escalation!$B$81,Actuals!CG90)</f>
        <v>-1653.75847188115</v>
      </c>
      <c r="CG270" s="21" t="n">
        <f aca="false">IF(ISBLANK(Actuals!CH90),-1497.86*Escalation!$B$82,Actuals!CH90)</f>
        <v>-1653.75847188115</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-1686.83364131878</v>
      </c>
      <c r="CL270" s="21" t="n">
        <f aca="false">IF(ISBLANK(Actuals!CM90),-1497.86*Escalation!$B$87,Actuals!CM90)</f>
        <v>-1686.83364131878</v>
      </c>
      <c r="CM270" s="21" t="n">
        <f aca="false">IF(ISBLANK(Actuals!CN90),-1497.86*Escalation!$B$88,Actuals!CN90)</f>
        <v>-1686.83364131878</v>
      </c>
      <c r="CN270" s="21" t="n">
        <f aca="false">IF(ISBLANK(Actuals!CO90),-1497.86*Escalation!$B$89,Actuals!CO90)</f>
        <v>-1686.83364131878</v>
      </c>
      <c r="CO270" s="21" t="n">
        <f aca="false">IF(ISBLANK(Actuals!CP90),-1497.86*Escalation!$B$90,Actuals!CP90)</f>
        <v>-1686.83364131878</v>
      </c>
      <c r="CP270" s="21" t="n">
        <f aca="false">IF(ISBLANK(Actuals!CQ90),-1497.86*Escalation!$B$91,Actuals!CQ90)</f>
        <v>-1686.83364131878</v>
      </c>
      <c r="CQ270" s="21" t="n">
        <f aca="false">IF(ISBLANK(Actuals!CR90),-1497.86*Escalation!$B$92,Actuals!CR90)</f>
        <v>-1686.83364131878</v>
      </c>
      <c r="CR270" s="21" t="n">
        <f aca="false">IF(ISBLANK(Actuals!CS90),-1497.86*Escalation!$B$93,Actuals!CS90)</f>
        <v>-1686.83364131878</v>
      </c>
      <c r="CS270" s="21" t="n">
        <f aca="false">IF(ISBLANK(Actuals!CT90),-1497.86*Escalation!$B$94,Actuals!CT90)</f>
        <v>-1686.83364131878</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-1720.57031414515</v>
      </c>
      <c r="CX270" s="21" t="n">
        <f aca="false">IF(ISBLANK(Actuals!CY90),-1497.86*Escalation!$B$99,Actuals!CY90)</f>
        <v>-1720.57031414515</v>
      </c>
      <c r="CY270" s="21" t="n">
        <f aca="false">IF(ISBLANK(Actuals!CZ90),-1497.86*Escalation!$B$100,Actuals!CZ90)</f>
        <v>-1720.57031414515</v>
      </c>
      <c r="CZ270" s="21" t="n">
        <f aca="false">IF(ISBLANK(Actuals!DA90),-1497.86*Escalation!$B$101,Actuals!DA90)</f>
        <v>-1720.57031414515</v>
      </c>
      <c r="DA270" s="21" t="n">
        <f aca="false">IF(ISBLANK(Actuals!DB90),-1497.86*Escalation!$B$102,Actuals!DB90)</f>
        <v>-1720.57031414515</v>
      </c>
      <c r="DB270" s="21" t="n">
        <f aca="false">IF(ISBLANK(Actuals!DC90),-1497.86*Escalation!$B$103,Actuals!DC90)</f>
        <v>-1720.57031414515</v>
      </c>
      <c r="DC270" s="21" t="n">
        <f aca="false">IF(ISBLANK(Actuals!DD90),-1497.86*Escalation!$B$104,Actuals!DD90)</f>
        <v>-1720.57031414515</v>
      </c>
      <c r="DD270" s="21" t="n">
        <f aca="false">IF(ISBLANK(Actuals!DE90),-1497.86*Escalation!$B$105,Actuals!DE90)</f>
        <v>-1720.57031414515</v>
      </c>
      <c r="DE270" s="21" t="n">
        <f aca="false">IF(ISBLANK(Actuals!DF90),-1497.86*Escalation!$B$106,Actuals!DF90)</f>
        <v>-1720.57031414515</v>
      </c>
    </row>
    <row r="271" customFormat="false" ht="15" hidden="false" customHeight="true" outlineLevel="0" collapsed="false">
      <c r="A271" s="35" t="s">
        <v>125</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-290</v>
      </c>
      <c r="R271" s="21" t="n">
        <f aca="false">IF(ISBLANK(Actuals!S91),-290*Escalation!$B$15,Actuals!S91)</f>
        <v>-290</v>
      </c>
      <c r="S271" s="21" t="n">
        <f aca="false">IF(ISBLANK(Actuals!T91),-290*Escalation!$B$16,Actuals!T91)</f>
        <v>-290</v>
      </c>
      <c r="T271" s="21" t="n">
        <f aca="false">IF(ISBLANK(Actuals!U91),-290*Escalation!$B$17,Actuals!U91)</f>
        <v>-290</v>
      </c>
      <c r="U271" s="21" t="n">
        <f aca="false">IF(ISBLANK(Actuals!V91),-290*Escalation!$B$18,Actuals!V91)</f>
        <v>-290</v>
      </c>
      <c r="V271" s="21" t="n">
        <f aca="false">IF(ISBLANK(Actuals!W91),-290*Escalation!$B$19,Actuals!W91)</f>
        <v>-290</v>
      </c>
      <c r="W271" s="21" t="n">
        <f aca="false">IF(ISBLANK(Actuals!X91),-290*Escalation!$B$20,Actuals!X91)</f>
        <v>-290</v>
      </c>
      <c r="X271" s="21" t="n">
        <f aca="false">IF(ISBLANK(Actuals!Y91),-290*Escalation!$B$21,Actuals!Y91)</f>
        <v>-290</v>
      </c>
      <c r="Y271" s="21" t="n">
        <f aca="false">IF(ISBLANK(Actuals!Z91),-290*Escalation!$B$22,Actuals!Z91)</f>
        <v>-290</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-295.8</v>
      </c>
      <c r="AD271" s="21" t="n">
        <f aca="false">IF(ISBLANK(Actuals!AE91),-290*Escalation!$B$27,Actuals!AE91)</f>
        <v>-295.8</v>
      </c>
      <c r="AE271" s="21" t="n">
        <f aca="false">IF(ISBLANK(Actuals!AF91),-290*Escalation!$B$28,Actuals!AF91)</f>
        <v>-295.8</v>
      </c>
      <c r="AF271" s="21" t="n">
        <f aca="false">IF(ISBLANK(Actuals!AG91),-290*Escalation!$B$29,Actuals!AG91)</f>
        <v>-295.8</v>
      </c>
      <c r="AG271" s="21" t="n">
        <f aca="false">IF(ISBLANK(Actuals!AH91),-290*Escalation!$B$30,Actuals!AH91)</f>
        <v>-295.8</v>
      </c>
      <c r="AH271" s="21" t="n">
        <f aca="false">IF(ISBLANK(Actuals!AI91),-290*Escalation!$B$31,Actuals!AI91)</f>
        <v>-295.8</v>
      </c>
      <c r="AI271" s="21" t="n">
        <f aca="false">IF(ISBLANK(Actuals!AJ91),-290*Escalation!$B$32,Actuals!AJ91)</f>
        <v>-295.8</v>
      </c>
      <c r="AJ271" s="21" t="n">
        <f aca="false">IF(ISBLANK(Actuals!AK91),-290*Escalation!$B$33,Actuals!AK91)</f>
        <v>-295.8</v>
      </c>
      <c r="AK271" s="21" t="n">
        <f aca="false">IF(ISBLANK(Actuals!AL91),-290*Escalation!$B$34,Actuals!AL91)</f>
        <v>-295.8</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-301.716</v>
      </c>
      <c r="AP271" s="21" t="n">
        <f aca="false">IF(ISBLANK(Actuals!AQ91),-290*Escalation!$B$39,Actuals!AQ91)</f>
        <v>-301.716</v>
      </c>
      <c r="AQ271" s="21" t="n">
        <f aca="false">IF(ISBLANK(Actuals!AR91),-290*Escalation!$B$40,Actuals!AR91)</f>
        <v>-301.716</v>
      </c>
      <c r="AR271" s="21" t="n">
        <f aca="false">IF(ISBLANK(Actuals!AS91),-290*Escalation!$B$41,Actuals!AS91)</f>
        <v>-301.716</v>
      </c>
      <c r="AS271" s="21" t="n">
        <f aca="false">IF(ISBLANK(Actuals!AT91),-290*Escalation!$B$42,Actuals!AT91)</f>
        <v>-301.716</v>
      </c>
      <c r="AT271" s="21" t="n">
        <f aca="false">IF(ISBLANK(Actuals!AU91),-290*Escalation!$B$43,Actuals!AU91)</f>
        <v>-301.716</v>
      </c>
      <c r="AU271" s="21" t="n">
        <f aca="false">IF(ISBLANK(Actuals!AV91),-290*Escalation!$B$44,Actuals!AV91)</f>
        <v>-301.716</v>
      </c>
      <c r="AV271" s="21" t="n">
        <f aca="false">IF(ISBLANK(Actuals!AW91),-290*Escalation!$B$45,Actuals!AW91)</f>
        <v>-301.716</v>
      </c>
      <c r="AW271" s="21" t="n">
        <f aca="false">IF(ISBLANK(Actuals!AX91),-290*Escalation!$B$46,Actuals!AX91)</f>
        <v>-301.716</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-307.75032</v>
      </c>
      <c r="BB271" s="21" t="n">
        <f aca="false">IF(ISBLANK(Actuals!BC91),-290*Escalation!$B$51,Actuals!BC91)</f>
        <v>-307.75032</v>
      </c>
      <c r="BC271" s="21" t="n">
        <f aca="false">IF(ISBLANK(Actuals!BD91),-290*Escalation!$B$52,Actuals!BD91)</f>
        <v>-307.75032</v>
      </c>
      <c r="BD271" s="21" t="n">
        <f aca="false">IF(ISBLANK(Actuals!BE91),-290*Escalation!$B$53,Actuals!BE91)</f>
        <v>-307.75032</v>
      </c>
      <c r="BE271" s="21" t="n">
        <f aca="false">IF(ISBLANK(Actuals!BF91),-290*Escalation!$B$54,Actuals!BF91)</f>
        <v>-307.75032</v>
      </c>
      <c r="BF271" s="21" t="n">
        <f aca="false">IF(ISBLANK(Actuals!BG91),-290*Escalation!$B$55,Actuals!BG91)</f>
        <v>-307.75032</v>
      </c>
      <c r="BG271" s="21" t="n">
        <f aca="false">IF(ISBLANK(Actuals!BH91),-290*Escalation!$B$56,Actuals!BH91)</f>
        <v>-307.75032</v>
      </c>
      <c r="BH271" s="21" t="n">
        <f aca="false">IF(ISBLANK(Actuals!BI91),-290*Escalation!$B$57,Actuals!BI91)</f>
        <v>-307.75032</v>
      </c>
      <c r="BI271" s="21" t="n">
        <f aca="false">IF(ISBLANK(Actuals!BJ91),-290*Escalation!$B$58,Actuals!BJ91)</f>
        <v>-307.75032</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-313.9053264</v>
      </c>
      <c r="BN271" s="21" t="n">
        <f aca="false">IF(ISBLANK(Actuals!BO91),-290*Escalation!$B$63,Actuals!BO91)</f>
        <v>-313.9053264</v>
      </c>
      <c r="BO271" s="21" t="n">
        <f aca="false">IF(ISBLANK(Actuals!BP91),-290*Escalation!$B$64,Actuals!BP91)</f>
        <v>-313.9053264</v>
      </c>
      <c r="BP271" s="21" t="n">
        <f aca="false">IF(ISBLANK(Actuals!BQ91),-290*Escalation!$B$65,Actuals!BQ91)</f>
        <v>-313.9053264</v>
      </c>
      <c r="BQ271" s="21" t="n">
        <f aca="false">IF(ISBLANK(Actuals!BR91),-290*Escalation!$B$66,Actuals!BR91)</f>
        <v>-313.9053264</v>
      </c>
      <c r="BR271" s="21" t="n">
        <f aca="false">IF(ISBLANK(Actuals!BS91),-290*Escalation!$B$67,Actuals!BS91)</f>
        <v>-313.9053264</v>
      </c>
      <c r="BS271" s="21" t="n">
        <f aca="false">IF(ISBLANK(Actuals!BT91),-290*Escalation!$B$68,Actuals!BT91)</f>
        <v>-313.9053264</v>
      </c>
      <c r="BT271" s="21" t="n">
        <f aca="false">IF(ISBLANK(Actuals!BU91),-290*Escalation!$B$69,Actuals!BU91)</f>
        <v>-313.9053264</v>
      </c>
      <c r="BU271" s="21" t="n">
        <f aca="false">IF(ISBLANK(Actuals!BV91),-290*Escalation!$B$70,Actuals!BV91)</f>
        <v>-313.9053264</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-320.183432928</v>
      </c>
      <c r="BZ271" s="21" t="n">
        <f aca="false">IF(ISBLANK(Actuals!CA91),-290*Escalation!$B$75,Actuals!CA91)</f>
        <v>-320.183432928</v>
      </c>
      <c r="CA271" s="21" t="n">
        <f aca="false">IF(ISBLANK(Actuals!CB91),-290*Escalation!$B$76,Actuals!CB91)</f>
        <v>-320.183432928</v>
      </c>
      <c r="CB271" s="21" t="n">
        <f aca="false">IF(ISBLANK(Actuals!CC91),-290*Escalation!$B$77,Actuals!CC91)</f>
        <v>-320.183432928</v>
      </c>
      <c r="CC271" s="21" t="n">
        <f aca="false">IF(ISBLANK(Actuals!CD91),-290*Escalation!$B$78,Actuals!CD91)</f>
        <v>-320.183432928</v>
      </c>
      <c r="CD271" s="21" t="n">
        <f aca="false">IF(ISBLANK(Actuals!CE91),-290*Escalation!$B$79,Actuals!CE91)</f>
        <v>-320.183432928</v>
      </c>
      <c r="CE271" s="21" t="n">
        <f aca="false">IF(ISBLANK(Actuals!CF91),-290*Escalation!$B$80,Actuals!CF91)</f>
        <v>-320.183432928</v>
      </c>
      <c r="CF271" s="21" t="n">
        <f aca="false">IF(ISBLANK(Actuals!CG91),-290*Escalation!$B$81,Actuals!CG91)</f>
        <v>-320.183432928</v>
      </c>
      <c r="CG271" s="21" t="n">
        <f aca="false">IF(ISBLANK(Actuals!CH91),-290*Escalation!$B$82,Actuals!CH91)</f>
        <v>-320.183432928</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-326.58710158656</v>
      </c>
      <c r="CL271" s="21" t="n">
        <f aca="false">IF(ISBLANK(Actuals!CM91),-290*Escalation!$B$87,Actuals!CM91)</f>
        <v>-326.58710158656</v>
      </c>
      <c r="CM271" s="21" t="n">
        <f aca="false">IF(ISBLANK(Actuals!CN91),-290*Escalation!$B$88,Actuals!CN91)</f>
        <v>-326.58710158656</v>
      </c>
      <c r="CN271" s="21" t="n">
        <f aca="false">IF(ISBLANK(Actuals!CO91),-290*Escalation!$B$89,Actuals!CO91)</f>
        <v>-326.58710158656</v>
      </c>
      <c r="CO271" s="21" t="n">
        <f aca="false">IF(ISBLANK(Actuals!CP91),-290*Escalation!$B$90,Actuals!CP91)</f>
        <v>-326.58710158656</v>
      </c>
      <c r="CP271" s="21" t="n">
        <f aca="false">IF(ISBLANK(Actuals!CQ91),-290*Escalation!$B$91,Actuals!CQ91)</f>
        <v>-326.58710158656</v>
      </c>
      <c r="CQ271" s="21" t="n">
        <f aca="false">IF(ISBLANK(Actuals!CR91),-290*Escalation!$B$92,Actuals!CR91)</f>
        <v>-326.58710158656</v>
      </c>
      <c r="CR271" s="21" t="n">
        <f aca="false">IF(ISBLANK(Actuals!CS91),-290*Escalation!$B$93,Actuals!CS91)</f>
        <v>-326.58710158656</v>
      </c>
      <c r="CS271" s="21" t="n">
        <f aca="false">IF(ISBLANK(Actuals!CT91),-290*Escalation!$B$94,Actuals!CT91)</f>
        <v>-326.58710158656</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-333.118843618291</v>
      </c>
      <c r="CX271" s="21" t="n">
        <f aca="false">IF(ISBLANK(Actuals!CY91),-290*Escalation!$B$99,Actuals!CY91)</f>
        <v>-333.118843618291</v>
      </c>
      <c r="CY271" s="21" t="n">
        <f aca="false">IF(ISBLANK(Actuals!CZ91),-290*Escalation!$B$100,Actuals!CZ91)</f>
        <v>-333.118843618291</v>
      </c>
      <c r="CZ271" s="21" t="n">
        <f aca="false">IF(ISBLANK(Actuals!DA91),-290*Escalation!$B$101,Actuals!DA91)</f>
        <v>-333.118843618291</v>
      </c>
      <c r="DA271" s="21" t="n">
        <f aca="false">IF(ISBLANK(Actuals!DB91),-290*Escalation!$B$102,Actuals!DB91)</f>
        <v>-333.118843618291</v>
      </c>
      <c r="DB271" s="21" t="n">
        <f aca="false">IF(ISBLANK(Actuals!DC91),-290*Escalation!$B$103,Actuals!DC91)</f>
        <v>-333.118843618291</v>
      </c>
      <c r="DC271" s="21" t="n">
        <f aca="false">IF(ISBLANK(Actuals!DD91),-290*Escalation!$B$104,Actuals!DD91)</f>
        <v>-333.118843618291</v>
      </c>
      <c r="DD271" s="21" t="n">
        <f aca="false">IF(ISBLANK(Actuals!DE91),-290*Escalation!$B$105,Actuals!DE91)</f>
        <v>-333.118843618291</v>
      </c>
      <c r="DE271" s="21" t="n">
        <f aca="false">IF(ISBLANK(Actuals!DF91),-290*Escalation!$B$106,Actuals!DF91)</f>
        <v>-333.118843618291</v>
      </c>
    </row>
    <row r="272" customFormat="false" ht="15" hidden="false" customHeight="true" outlineLevel="0" collapsed="false">
      <c r="A272" s="35" t="s">
        <v>126</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-245</v>
      </c>
      <c r="R272" s="21" t="n">
        <f aca="false">IF(ISBLANK(Actuals!S92),-245*Escalation!$B$15,Actuals!S92)</f>
        <v>-245</v>
      </c>
      <c r="S272" s="21" t="n">
        <f aca="false">IF(ISBLANK(Actuals!T92),-245*Escalation!$B$16,Actuals!T92)</f>
        <v>-245</v>
      </c>
      <c r="T272" s="21" t="n">
        <f aca="false">IF(ISBLANK(Actuals!U92),-245*Escalation!$B$17,Actuals!U92)</f>
        <v>-245</v>
      </c>
      <c r="U272" s="21" t="n">
        <f aca="false">IF(ISBLANK(Actuals!V92),-245*Escalation!$B$18,Actuals!V92)</f>
        <v>-245</v>
      </c>
      <c r="V272" s="21" t="n">
        <f aca="false">IF(ISBLANK(Actuals!W92),-245*Escalation!$B$19,Actuals!W92)</f>
        <v>-245</v>
      </c>
      <c r="W272" s="21" t="n">
        <f aca="false">IF(ISBLANK(Actuals!X92),-245*Escalation!$B$20,Actuals!X92)</f>
        <v>-245</v>
      </c>
      <c r="X272" s="21" t="n">
        <f aca="false">IF(ISBLANK(Actuals!Y92),-245*Escalation!$B$21,Actuals!Y92)</f>
        <v>-245</v>
      </c>
      <c r="Y272" s="21" t="n">
        <f aca="false">IF(ISBLANK(Actuals!Z92),-245*Escalation!$B$22,Actuals!Z92)</f>
        <v>-245</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-249.9</v>
      </c>
      <c r="AD272" s="21" t="n">
        <f aca="false">IF(ISBLANK(Actuals!AE92),-245*Escalation!$B$27,Actuals!AE92)</f>
        <v>-249.9</v>
      </c>
      <c r="AE272" s="21" t="n">
        <f aca="false">IF(ISBLANK(Actuals!AF92),-245*Escalation!$B$28,Actuals!AF92)</f>
        <v>-249.9</v>
      </c>
      <c r="AF272" s="21" t="n">
        <f aca="false">IF(ISBLANK(Actuals!AG92),-245*Escalation!$B$29,Actuals!AG92)</f>
        <v>-249.9</v>
      </c>
      <c r="AG272" s="21" t="n">
        <f aca="false">IF(ISBLANK(Actuals!AH92),-245*Escalation!$B$30,Actuals!AH92)</f>
        <v>-249.9</v>
      </c>
      <c r="AH272" s="21" t="n">
        <f aca="false">IF(ISBLANK(Actuals!AI92),-245*Escalation!$B$31,Actuals!AI92)</f>
        <v>-249.9</v>
      </c>
      <c r="AI272" s="21" t="n">
        <f aca="false">IF(ISBLANK(Actuals!AJ92),-245*Escalation!$B$32,Actuals!AJ92)</f>
        <v>-249.9</v>
      </c>
      <c r="AJ272" s="21" t="n">
        <f aca="false">IF(ISBLANK(Actuals!AK92),-245*Escalation!$B$33,Actuals!AK92)</f>
        <v>-249.9</v>
      </c>
      <c r="AK272" s="21" t="n">
        <f aca="false">IF(ISBLANK(Actuals!AL92),-245*Escalation!$B$34,Actuals!AL92)</f>
        <v>-249.9</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-254.898</v>
      </c>
      <c r="AP272" s="21" t="n">
        <f aca="false">IF(ISBLANK(Actuals!AQ92),-245*Escalation!$B$39,Actuals!AQ92)</f>
        <v>-254.898</v>
      </c>
      <c r="AQ272" s="21" t="n">
        <f aca="false">IF(ISBLANK(Actuals!AR92),-245*Escalation!$B$40,Actuals!AR92)</f>
        <v>-254.898</v>
      </c>
      <c r="AR272" s="21" t="n">
        <f aca="false">IF(ISBLANK(Actuals!AS92),-245*Escalation!$B$41,Actuals!AS92)</f>
        <v>-254.898</v>
      </c>
      <c r="AS272" s="21" t="n">
        <f aca="false">IF(ISBLANK(Actuals!AT92),-245*Escalation!$B$42,Actuals!AT92)</f>
        <v>-254.898</v>
      </c>
      <c r="AT272" s="21" t="n">
        <f aca="false">IF(ISBLANK(Actuals!AU92),-245*Escalation!$B$43,Actuals!AU92)</f>
        <v>-254.898</v>
      </c>
      <c r="AU272" s="21" t="n">
        <f aca="false">IF(ISBLANK(Actuals!AV92),-245*Escalation!$B$44,Actuals!AV92)</f>
        <v>-254.898</v>
      </c>
      <c r="AV272" s="21" t="n">
        <f aca="false">IF(ISBLANK(Actuals!AW92),-245*Escalation!$B$45,Actuals!AW92)</f>
        <v>-254.898</v>
      </c>
      <c r="AW272" s="21" t="n">
        <f aca="false">IF(ISBLANK(Actuals!AX92),-245*Escalation!$B$46,Actuals!AX92)</f>
        <v>-254.898</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-259.99596</v>
      </c>
      <c r="BB272" s="21" t="n">
        <f aca="false">IF(ISBLANK(Actuals!BC92),-245*Escalation!$B$51,Actuals!BC92)</f>
        <v>-259.99596</v>
      </c>
      <c r="BC272" s="21" t="n">
        <f aca="false">IF(ISBLANK(Actuals!BD92),-245*Escalation!$B$52,Actuals!BD92)</f>
        <v>-259.99596</v>
      </c>
      <c r="BD272" s="21" t="n">
        <f aca="false">IF(ISBLANK(Actuals!BE92),-245*Escalation!$B$53,Actuals!BE92)</f>
        <v>-259.99596</v>
      </c>
      <c r="BE272" s="21" t="n">
        <f aca="false">IF(ISBLANK(Actuals!BF92),-245*Escalation!$B$54,Actuals!BF92)</f>
        <v>-259.99596</v>
      </c>
      <c r="BF272" s="21" t="n">
        <f aca="false">IF(ISBLANK(Actuals!BG92),-245*Escalation!$B$55,Actuals!BG92)</f>
        <v>-259.99596</v>
      </c>
      <c r="BG272" s="21" t="n">
        <f aca="false">IF(ISBLANK(Actuals!BH92),-245*Escalation!$B$56,Actuals!BH92)</f>
        <v>-259.99596</v>
      </c>
      <c r="BH272" s="21" t="n">
        <f aca="false">IF(ISBLANK(Actuals!BI92),-245*Escalation!$B$57,Actuals!BI92)</f>
        <v>-259.99596</v>
      </c>
      <c r="BI272" s="21" t="n">
        <f aca="false">IF(ISBLANK(Actuals!BJ92),-245*Escalation!$B$58,Actuals!BJ92)</f>
        <v>-259.99596</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-265.1958792</v>
      </c>
      <c r="BN272" s="21" t="n">
        <f aca="false">IF(ISBLANK(Actuals!BO92),-245*Escalation!$B$63,Actuals!BO92)</f>
        <v>-265.1958792</v>
      </c>
      <c r="BO272" s="21" t="n">
        <f aca="false">IF(ISBLANK(Actuals!BP92),-245*Escalation!$B$64,Actuals!BP92)</f>
        <v>-265.1958792</v>
      </c>
      <c r="BP272" s="21" t="n">
        <f aca="false">IF(ISBLANK(Actuals!BQ92),-245*Escalation!$B$65,Actuals!BQ92)</f>
        <v>-265.1958792</v>
      </c>
      <c r="BQ272" s="21" t="n">
        <f aca="false">IF(ISBLANK(Actuals!BR92),-245*Escalation!$B$66,Actuals!BR92)</f>
        <v>-265.1958792</v>
      </c>
      <c r="BR272" s="21" t="n">
        <f aca="false">IF(ISBLANK(Actuals!BS92),-245*Escalation!$B$67,Actuals!BS92)</f>
        <v>-265.1958792</v>
      </c>
      <c r="BS272" s="21" t="n">
        <f aca="false">IF(ISBLANK(Actuals!BT92),-245*Escalation!$B$68,Actuals!BT92)</f>
        <v>-265.1958792</v>
      </c>
      <c r="BT272" s="21" t="n">
        <f aca="false">IF(ISBLANK(Actuals!BU92),-245*Escalation!$B$69,Actuals!BU92)</f>
        <v>-265.1958792</v>
      </c>
      <c r="BU272" s="21" t="n">
        <f aca="false">IF(ISBLANK(Actuals!BV92),-245*Escalation!$B$70,Actuals!BV92)</f>
        <v>-265.1958792</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-270.499796784</v>
      </c>
      <c r="BZ272" s="21" t="n">
        <f aca="false">IF(ISBLANK(Actuals!CA92),-245*Escalation!$B$75,Actuals!CA92)</f>
        <v>-270.499796784</v>
      </c>
      <c r="CA272" s="21" t="n">
        <f aca="false">IF(ISBLANK(Actuals!CB92),-245*Escalation!$B$76,Actuals!CB92)</f>
        <v>-270.499796784</v>
      </c>
      <c r="CB272" s="21" t="n">
        <f aca="false">IF(ISBLANK(Actuals!CC92),-245*Escalation!$B$77,Actuals!CC92)</f>
        <v>-270.499796784</v>
      </c>
      <c r="CC272" s="21" t="n">
        <f aca="false">IF(ISBLANK(Actuals!CD92),-245*Escalation!$B$78,Actuals!CD92)</f>
        <v>-270.499796784</v>
      </c>
      <c r="CD272" s="21" t="n">
        <f aca="false">IF(ISBLANK(Actuals!CE92),-245*Escalation!$B$79,Actuals!CE92)</f>
        <v>-270.499796784</v>
      </c>
      <c r="CE272" s="21" t="n">
        <f aca="false">IF(ISBLANK(Actuals!CF92),-245*Escalation!$B$80,Actuals!CF92)</f>
        <v>-270.499796784</v>
      </c>
      <c r="CF272" s="21" t="n">
        <f aca="false">IF(ISBLANK(Actuals!CG92),-245*Escalation!$B$81,Actuals!CG92)</f>
        <v>-270.499796784</v>
      </c>
      <c r="CG272" s="21" t="n">
        <f aca="false">IF(ISBLANK(Actuals!CH92),-245*Escalation!$B$82,Actuals!CH92)</f>
        <v>-270.499796784</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-275.90979271968</v>
      </c>
      <c r="CL272" s="21" t="n">
        <f aca="false">IF(ISBLANK(Actuals!CM92),-245*Escalation!$B$87,Actuals!CM92)</f>
        <v>-275.90979271968</v>
      </c>
      <c r="CM272" s="21" t="n">
        <f aca="false">IF(ISBLANK(Actuals!CN92),-245*Escalation!$B$88,Actuals!CN92)</f>
        <v>-275.90979271968</v>
      </c>
      <c r="CN272" s="21" t="n">
        <f aca="false">IF(ISBLANK(Actuals!CO92),-245*Escalation!$B$89,Actuals!CO92)</f>
        <v>-275.90979271968</v>
      </c>
      <c r="CO272" s="21" t="n">
        <f aca="false">IF(ISBLANK(Actuals!CP92),-245*Escalation!$B$90,Actuals!CP92)</f>
        <v>-275.90979271968</v>
      </c>
      <c r="CP272" s="21" t="n">
        <f aca="false">IF(ISBLANK(Actuals!CQ92),-245*Escalation!$B$91,Actuals!CQ92)</f>
        <v>-275.90979271968</v>
      </c>
      <c r="CQ272" s="21" t="n">
        <f aca="false">IF(ISBLANK(Actuals!CR92),-245*Escalation!$B$92,Actuals!CR92)</f>
        <v>-275.90979271968</v>
      </c>
      <c r="CR272" s="21" t="n">
        <f aca="false">IF(ISBLANK(Actuals!CS92),-245*Escalation!$B$93,Actuals!CS92)</f>
        <v>-275.90979271968</v>
      </c>
      <c r="CS272" s="21" t="n">
        <f aca="false">IF(ISBLANK(Actuals!CT92),-245*Escalation!$B$94,Actuals!CT92)</f>
        <v>-275.90979271968</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-281.427988574074</v>
      </c>
      <c r="CX272" s="21" t="n">
        <f aca="false">IF(ISBLANK(Actuals!CY92),-245*Escalation!$B$99,Actuals!CY92)</f>
        <v>-281.427988574074</v>
      </c>
      <c r="CY272" s="21" t="n">
        <f aca="false">IF(ISBLANK(Actuals!CZ92),-245*Escalation!$B$100,Actuals!CZ92)</f>
        <v>-281.427988574074</v>
      </c>
      <c r="CZ272" s="21" t="n">
        <f aca="false">IF(ISBLANK(Actuals!DA92),-245*Escalation!$B$101,Actuals!DA92)</f>
        <v>-281.427988574074</v>
      </c>
      <c r="DA272" s="21" t="n">
        <f aca="false">IF(ISBLANK(Actuals!DB92),-245*Escalation!$B$102,Actuals!DB92)</f>
        <v>-281.427988574074</v>
      </c>
      <c r="DB272" s="21" t="n">
        <f aca="false">IF(ISBLANK(Actuals!DC92),-245*Escalation!$B$103,Actuals!DC92)</f>
        <v>-281.427988574074</v>
      </c>
      <c r="DC272" s="21" t="n">
        <f aca="false">IF(ISBLANK(Actuals!DD92),-245*Escalation!$B$104,Actuals!DD92)</f>
        <v>-281.427988574074</v>
      </c>
      <c r="DD272" s="21" t="n">
        <f aca="false">IF(ISBLANK(Actuals!DE92),-245*Escalation!$B$105,Actuals!DE92)</f>
        <v>-281.427988574074</v>
      </c>
      <c r="DE272" s="21" t="n">
        <f aca="false">IF(ISBLANK(Actuals!DF92),-245*Escalation!$B$106,Actuals!DF92)</f>
        <v>-281.427988574074</v>
      </c>
    </row>
    <row r="273" customFormat="false" ht="15" hidden="false" customHeight="true" outlineLevel="0" collapsed="false">
      <c r="A273" s="35" t="s">
        <v>127</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-3772.85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-1179.5</v>
      </c>
      <c r="R273" s="21" t="n">
        <f aca="false">IF(ISBLANK(Actuals!S93),-1179.5*Escalation!$B$15,Actuals!S93)</f>
        <v>-1179.5</v>
      </c>
      <c r="S273" s="21" t="n">
        <f aca="false">IF(ISBLANK(Actuals!T93),-1179.5*Escalation!$B$16,Actuals!T93)</f>
        <v>-1179.5</v>
      </c>
      <c r="T273" s="21" t="n">
        <f aca="false">IF(ISBLANK(Actuals!U93),-1179.5*Escalation!$B$17,Actuals!U93)</f>
        <v>-1179.5</v>
      </c>
      <c r="U273" s="21" t="n">
        <f aca="false">IF(ISBLANK(Actuals!V93),-1179.5*Escalation!$B$18,Actuals!V93)</f>
        <v>-1179.5</v>
      </c>
      <c r="V273" s="21" t="n">
        <f aca="false">IF(ISBLANK(Actuals!W93),-1179.5*Escalation!$B$19,Actuals!W93)</f>
        <v>-1179.5</v>
      </c>
      <c r="W273" s="21" t="n">
        <f aca="false">IF(ISBLANK(Actuals!X93),-1179.5*Escalation!$B$20,Actuals!X93)</f>
        <v>-1179.5</v>
      </c>
      <c r="X273" s="21" t="n">
        <f aca="false">IF(ISBLANK(Actuals!Y93),-1179.5*Escalation!$B$21,Actuals!Y93)</f>
        <v>-1179.5</v>
      </c>
      <c r="Y273" s="21" t="n">
        <f aca="false">IF(ISBLANK(Actuals!Z93),-1179.5*Escalation!$B$22,Actuals!Z93)</f>
        <v>-1179.5</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-1203.09</v>
      </c>
      <c r="AD273" s="21" t="n">
        <f aca="false">IF(ISBLANK(Actuals!AE93),-1179.5*Escalation!$B$27,Actuals!AE93)</f>
        <v>-1203.09</v>
      </c>
      <c r="AE273" s="21" t="n">
        <f aca="false">IF(ISBLANK(Actuals!AF93),-1179.5*Escalation!$B$28,Actuals!AF93)</f>
        <v>-1203.09</v>
      </c>
      <c r="AF273" s="21" t="n">
        <f aca="false">IF(ISBLANK(Actuals!AG93),-1179.5*Escalation!$B$29,Actuals!AG93)</f>
        <v>-1203.09</v>
      </c>
      <c r="AG273" s="21" t="n">
        <f aca="false">IF(ISBLANK(Actuals!AH93),-1179.5*Escalation!$B$30,Actuals!AH93)</f>
        <v>-1203.09</v>
      </c>
      <c r="AH273" s="21" t="n">
        <f aca="false">IF(ISBLANK(Actuals!AI93),-1179.5*Escalation!$B$31,Actuals!AI93)</f>
        <v>-1203.09</v>
      </c>
      <c r="AI273" s="21" t="n">
        <f aca="false">IF(ISBLANK(Actuals!AJ93),-1179.5*Escalation!$B$32,Actuals!AJ93)</f>
        <v>-1203.09</v>
      </c>
      <c r="AJ273" s="21" t="n">
        <f aca="false">IF(ISBLANK(Actuals!AK93),-1179.5*Escalation!$B$33,Actuals!AK93)</f>
        <v>-1203.09</v>
      </c>
      <c r="AK273" s="21" t="n">
        <f aca="false">IF(ISBLANK(Actuals!AL93),-1179.5*Escalation!$B$34,Actuals!AL93)</f>
        <v>-1203.09</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-1227.1518</v>
      </c>
      <c r="AP273" s="21" t="n">
        <f aca="false">IF(ISBLANK(Actuals!AQ93),-1179.5*Escalation!$B$39,Actuals!AQ93)</f>
        <v>-1227.1518</v>
      </c>
      <c r="AQ273" s="21" t="n">
        <f aca="false">IF(ISBLANK(Actuals!AR93),-1179.5*Escalation!$B$40,Actuals!AR93)</f>
        <v>-1227.1518</v>
      </c>
      <c r="AR273" s="21" t="n">
        <f aca="false">IF(ISBLANK(Actuals!AS93),-1179.5*Escalation!$B$41,Actuals!AS93)</f>
        <v>-1227.1518</v>
      </c>
      <c r="AS273" s="21" t="n">
        <f aca="false">IF(ISBLANK(Actuals!AT93),-1179.5*Escalation!$B$42,Actuals!AT93)</f>
        <v>-1227.1518</v>
      </c>
      <c r="AT273" s="21" t="n">
        <f aca="false">IF(ISBLANK(Actuals!AU93),-1179.5*Escalation!$B$43,Actuals!AU93)</f>
        <v>-1227.1518</v>
      </c>
      <c r="AU273" s="21" t="n">
        <f aca="false">IF(ISBLANK(Actuals!AV93),-1179.5*Escalation!$B$44,Actuals!AV93)</f>
        <v>-1227.1518</v>
      </c>
      <c r="AV273" s="21" t="n">
        <f aca="false">IF(ISBLANK(Actuals!AW93),-1179.5*Escalation!$B$45,Actuals!AW93)</f>
        <v>-1227.1518</v>
      </c>
      <c r="AW273" s="21" t="n">
        <f aca="false">IF(ISBLANK(Actuals!AX93),-1179.5*Escalation!$B$46,Actuals!AX93)</f>
        <v>-1227.1518</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-1251.694836</v>
      </c>
      <c r="BB273" s="21" t="n">
        <f aca="false">IF(ISBLANK(Actuals!BC93),-1179.5*Escalation!$B$51,Actuals!BC93)</f>
        <v>-1251.694836</v>
      </c>
      <c r="BC273" s="21" t="n">
        <f aca="false">IF(ISBLANK(Actuals!BD93),-1179.5*Escalation!$B$52,Actuals!BD93)</f>
        <v>-1251.694836</v>
      </c>
      <c r="BD273" s="21" t="n">
        <f aca="false">IF(ISBLANK(Actuals!BE93),-1179.5*Escalation!$B$53,Actuals!BE93)</f>
        <v>-1251.694836</v>
      </c>
      <c r="BE273" s="21" t="n">
        <f aca="false">IF(ISBLANK(Actuals!BF93),-1179.5*Escalation!$B$54,Actuals!BF93)</f>
        <v>-1251.694836</v>
      </c>
      <c r="BF273" s="21" t="n">
        <f aca="false">IF(ISBLANK(Actuals!BG93),-1179.5*Escalation!$B$55,Actuals!BG93)</f>
        <v>-1251.694836</v>
      </c>
      <c r="BG273" s="21" t="n">
        <f aca="false">IF(ISBLANK(Actuals!BH93),-1179.5*Escalation!$B$56,Actuals!BH93)</f>
        <v>-1251.694836</v>
      </c>
      <c r="BH273" s="21" t="n">
        <f aca="false">IF(ISBLANK(Actuals!BI93),-1179.5*Escalation!$B$57,Actuals!BI93)</f>
        <v>-1251.694836</v>
      </c>
      <c r="BI273" s="21" t="n">
        <f aca="false">IF(ISBLANK(Actuals!BJ93),-1179.5*Escalation!$B$58,Actuals!BJ93)</f>
        <v>-1251.694836</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-1276.72873272</v>
      </c>
      <c r="BN273" s="21" t="n">
        <f aca="false">IF(ISBLANK(Actuals!BO93),-1179.5*Escalation!$B$63,Actuals!BO93)</f>
        <v>-1276.72873272</v>
      </c>
      <c r="BO273" s="21" t="n">
        <f aca="false">IF(ISBLANK(Actuals!BP93),-1179.5*Escalation!$B$64,Actuals!BP93)</f>
        <v>-1276.72873272</v>
      </c>
      <c r="BP273" s="21" t="n">
        <f aca="false">IF(ISBLANK(Actuals!BQ93),-1179.5*Escalation!$B$65,Actuals!BQ93)</f>
        <v>-1276.72873272</v>
      </c>
      <c r="BQ273" s="21" t="n">
        <f aca="false">IF(ISBLANK(Actuals!BR93),-1179.5*Escalation!$B$66,Actuals!BR93)</f>
        <v>-1276.72873272</v>
      </c>
      <c r="BR273" s="21" t="n">
        <f aca="false">IF(ISBLANK(Actuals!BS93),-1179.5*Escalation!$B$67,Actuals!BS93)</f>
        <v>-1276.72873272</v>
      </c>
      <c r="BS273" s="21" t="n">
        <f aca="false">IF(ISBLANK(Actuals!BT93),-1179.5*Escalation!$B$68,Actuals!BT93)</f>
        <v>-1276.72873272</v>
      </c>
      <c r="BT273" s="21" t="n">
        <f aca="false">IF(ISBLANK(Actuals!BU93),-1179.5*Escalation!$B$69,Actuals!BU93)</f>
        <v>-1276.72873272</v>
      </c>
      <c r="BU273" s="21" t="n">
        <f aca="false">IF(ISBLANK(Actuals!BV93),-1179.5*Escalation!$B$70,Actuals!BV93)</f>
        <v>-1276.72873272</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-1302.2633073744</v>
      </c>
      <c r="BZ273" s="21" t="n">
        <f aca="false">IF(ISBLANK(Actuals!CA93),-1179.5*Escalation!$B$75,Actuals!CA93)</f>
        <v>-1302.2633073744</v>
      </c>
      <c r="CA273" s="21" t="n">
        <f aca="false">IF(ISBLANK(Actuals!CB93),-1179.5*Escalation!$B$76,Actuals!CB93)</f>
        <v>-1302.2633073744</v>
      </c>
      <c r="CB273" s="21" t="n">
        <f aca="false">IF(ISBLANK(Actuals!CC93),-1179.5*Escalation!$B$77,Actuals!CC93)</f>
        <v>-1302.2633073744</v>
      </c>
      <c r="CC273" s="21" t="n">
        <f aca="false">IF(ISBLANK(Actuals!CD93),-1179.5*Escalation!$B$78,Actuals!CD93)</f>
        <v>-1302.2633073744</v>
      </c>
      <c r="CD273" s="21" t="n">
        <f aca="false">IF(ISBLANK(Actuals!CE93),-1179.5*Escalation!$B$79,Actuals!CE93)</f>
        <v>-1302.2633073744</v>
      </c>
      <c r="CE273" s="21" t="n">
        <f aca="false">IF(ISBLANK(Actuals!CF93),-1179.5*Escalation!$B$80,Actuals!CF93)</f>
        <v>-1302.2633073744</v>
      </c>
      <c r="CF273" s="21" t="n">
        <f aca="false">IF(ISBLANK(Actuals!CG93),-1179.5*Escalation!$B$81,Actuals!CG93)</f>
        <v>-1302.2633073744</v>
      </c>
      <c r="CG273" s="21" t="n">
        <f aca="false">IF(ISBLANK(Actuals!CH93),-1179.5*Escalation!$B$82,Actuals!CH93)</f>
        <v>-1302.2633073744</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-1328.30857352189</v>
      </c>
      <c r="CL273" s="21" t="n">
        <f aca="false">IF(ISBLANK(Actuals!CM93),-1179.5*Escalation!$B$87,Actuals!CM93)</f>
        <v>-1328.30857352189</v>
      </c>
      <c r="CM273" s="21" t="n">
        <f aca="false">IF(ISBLANK(Actuals!CN93),-1179.5*Escalation!$B$88,Actuals!CN93)</f>
        <v>-1328.30857352189</v>
      </c>
      <c r="CN273" s="21" t="n">
        <f aca="false">IF(ISBLANK(Actuals!CO93),-1179.5*Escalation!$B$89,Actuals!CO93)</f>
        <v>-1328.30857352189</v>
      </c>
      <c r="CO273" s="21" t="n">
        <f aca="false">IF(ISBLANK(Actuals!CP93),-1179.5*Escalation!$B$90,Actuals!CP93)</f>
        <v>-1328.30857352189</v>
      </c>
      <c r="CP273" s="21" t="n">
        <f aca="false">IF(ISBLANK(Actuals!CQ93),-1179.5*Escalation!$B$91,Actuals!CQ93)</f>
        <v>-1328.30857352189</v>
      </c>
      <c r="CQ273" s="21" t="n">
        <f aca="false">IF(ISBLANK(Actuals!CR93),-1179.5*Escalation!$B$92,Actuals!CR93)</f>
        <v>-1328.30857352189</v>
      </c>
      <c r="CR273" s="21" t="n">
        <f aca="false">IF(ISBLANK(Actuals!CS93),-1179.5*Escalation!$B$93,Actuals!CS93)</f>
        <v>-1328.30857352189</v>
      </c>
      <c r="CS273" s="21" t="n">
        <f aca="false">IF(ISBLANK(Actuals!CT93),-1179.5*Escalation!$B$94,Actuals!CT93)</f>
        <v>-1328.30857352189</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-1354.87474499233</v>
      </c>
      <c r="CX273" s="21" t="n">
        <f aca="false">IF(ISBLANK(Actuals!CY93),-1179.5*Escalation!$B$99,Actuals!CY93)</f>
        <v>-1354.87474499233</v>
      </c>
      <c r="CY273" s="21" t="n">
        <f aca="false">IF(ISBLANK(Actuals!CZ93),-1179.5*Escalation!$B$100,Actuals!CZ93)</f>
        <v>-1354.87474499233</v>
      </c>
      <c r="CZ273" s="21" t="n">
        <f aca="false">IF(ISBLANK(Actuals!DA93),-1179.5*Escalation!$B$101,Actuals!DA93)</f>
        <v>-1354.87474499233</v>
      </c>
      <c r="DA273" s="21" t="n">
        <f aca="false">IF(ISBLANK(Actuals!DB93),-1179.5*Escalation!$B$102,Actuals!DB93)</f>
        <v>-1354.87474499233</v>
      </c>
      <c r="DB273" s="21" t="n">
        <f aca="false">IF(ISBLANK(Actuals!DC93),-1179.5*Escalation!$B$103,Actuals!DC93)</f>
        <v>-1354.87474499233</v>
      </c>
      <c r="DC273" s="21" t="n">
        <f aca="false">IF(ISBLANK(Actuals!DD93),-1179.5*Escalation!$B$104,Actuals!DD93)</f>
        <v>-1354.87474499233</v>
      </c>
      <c r="DD273" s="21" t="n">
        <f aca="false">IF(ISBLANK(Actuals!DE93),-1179.5*Escalation!$B$105,Actuals!DE93)</f>
        <v>-1354.87474499233</v>
      </c>
      <c r="DE273" s="21" t="n">
        <f aca="false">IF(ISBLANK(Actuals!DF93),-1179.5*Escalation!$B$106,Actuals!DF93)</f>
        <v>-1354.87474499233</v>
      </c>
    </row>
    <row r="274" customFormat="false" ht="15" hidden="false" customHeight="true" outlineLevel="0" collapsed="false">
      <c r="A274" s="35" t="s">
        <v>128</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-436.42</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-366.3</v>
      </c>
      <c r="R274" s="21" t="n">
        <f aca="false">IF(ISBLANK(Actuals!S94),-366.3*Escalation!$B$15,Actuals!S94)</f>
        <v>-366.3</v>
      </c>
      <c r="S274" s="21" t="n">
        <f aca="false">IF(ISBLANK(Actuals!T94),-366.3*Escalation!$B$16,Actuals!T94)</f>
        <v>-366.3</v>
      </c>
      <c r="T274" s="21" t="n">
        <f aca="false">IF(ISBLANK(Actuals!U94),-366.3*Escalation!$B$17,Actuals!U94)</f>
        <v>-366.3</v>
      </c>
      <c r="U274" s="21" t="n">
        <f aca="false">IF(ISBLANK(Actuals!V94),-366.3*Escalation!$B$18,Actuals!V94)</f>
        <v>-366.3</v>
      </c>
      <c r="V274" s="21" t="n">
        <f aca="false">IF(ISBLANK(Actuals!W94),-366.3*Escalation!$B$19,Actuals!W94)</f>
        <v>-366.3</v>
      </c>
      <c r="W274" s="21" t="n">
        <f aca="false">IF(ISBLANK(Actuals!X94),-366.3*Escalation!$B$20,Actuals!X94)</f>
        <v>-366.3</v>
      </c>
      <c r="X274" s="21" t="n">
        <f aca="false">IF(ISBLANK(Actuals!Y94),-366.3*Escalation!$B$21,Actuals!Y94)</f>
        <v>-366.3</v>
      </c>
      <c r="Y274" s="21" t="n">
        <f aca="false">IF(ISBLANK(Actuals!Z94),-366.3*Escalation!$B$22,Actuals!Z94)</f>
        <v>-366.3</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-373.626</v>
      </c>
      <c r="AD274" s="21" t="n">
        <f aca="false">IF(ISBLANK(Actuals!AE94),-366.3*Escalation!$B$27,Actuals!AE94)</f>
        <v>-373.626</v>
      </c>
      <c r="AE274" s="21" t="n">
        <f aca="false">IF(ISBLANK(Actuals!AF94),-366.3*Escalation!$B$28,Actuals!AF94)</f>
        <v>-373.626</v>
      </c>
      <c r="AF274" s="21" t="n">
        <f aca="false">IF(ISBLANK(Actuals!AG94),-366.3*Escalation!$B$29,Actuals!AG94)</f>
        <v>-373.626</v>
      </c>
      <c r="AG274" s="21" t="n">
        <f aca="false">IF(ISBLANK(Actuals!AH94),-366.3*Escalation!$B$30,Actuals!AH94)</f>
        <v>-373.626</v>
      </c>
      <c r="AH274" s="21" t="n">
        <f aca="false">IF(ISBLANK(Actuals!AI94),-366.3*Escalation!$B$31,Actuals!AI94)</f>
        <v>-373.626</v>
      </c>
      <c r="AI274" s="21" t="n">
        <f aca="false">IF(ISBLANK(Actuals!AJ94),-366.3*Escalation!$B$32,Actuals!AJ94)</f>
        <v>-373.626</v>
      </c>
      <c r="AJ274" s="21" t="n">
        <f aca="false">IF(ISBLANK(Actuals!AK94),-366.3*Escalation!$B$33,Actuals!AK94)</f>
        <v>-373.626</v>
      </c>
      <c r="AK274" s="21" t="n">
        <f aca="false">IF(ISBLANK(Actuals!AL94),-366.3*Escalation!$B$34,Actuals!AL94)</f>
        <v>-373.626</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-381.09852</v>
      </c>
      <c r="AP274" s="21" t="n">
        <f aca="false">IF(ISBLANK(Actuals!AQ94),-366.3*Escalation!$B$39,Actuals!AQ94)</f>
        <v>-381.09852</v>
      </c>
      <c r="AQ274" s="21" t="n">
        <f aca="false">IF(ISBLANK(Actuals!AR94),-366.3*Escalation!$B$40,Actuals!AR94)</f>
        <v>-381.09852</v>
      </c>
      <c r="AR274" s="21" t="n">
        <f aca="false">IF(ISBLANK(Actuals!AS94),-366.3*Escalation!$B$41,Actuals!AS94)</f>
        <v>-381.09852</v>
      </c>
      <c r="AS274" s="21" t="n">
        <f aca="false">IF(ISBLANK(Actuals!AT94),-366.3*Escalation!$B$42,Actuals!AT94)</f>
        <v>-381.09852</v>
      </c>
      <c r="AT274" s="21" t="n">
        <f aca="false">IF(ISBLANK(Actuals!AU94),-366.3*Escalation!$B$43,Actuals!AU94)</f>
        <v>-381.09852</v>
      </c>
      <c r="AU274" s="21" t="n">
        <f aca="false">IF(ISBLANK(Actuals!AV94),-366.3*Escalation!$B$44,Actuals!AV94)</f>
        <v>-381.09852</v>
      </c>
      <c r="AV274" s="21" t="n">
        <f aca="false">IF(ISBLANK(Actuals!AW94),-366.3*Escalation!$B$45,Actuals!AW94)</f>
        <v>-381.09852</v>
      </c>
      <c r="AW274" s="21" t="n">
        <f aca="false">IF(ISBLANK(Actuals!AX94),-366.3*Escalation!$B$46,Actuals!AX94)</f>
        <v>-381.09852</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-388.7204904</v>
      </c>
      <c r="BB274" s="21" t="n">
        <f aca="false">IF(ISBLANK(Actuals!BC94),-366.3*Escalation!$B$51,Actuals!BC94)</f>
        <v>-388.7204904</v>
      </c>
      <c r="BC274" s="21" t="n">
        <f aca="false">IF(ISBLANK(Actuals!BD94),-366.3*Escalation!$B$52,Actuals!BD94)</f>
        <v>-388.7204904</v>
      </c>
      <c r="BD274" s="21" t="n">
        <f aca="false">IF(ISBLANK(Actuals!BE94),-366.3*Escalation!$B$53,Actuals!BE94)</f>
        <v>-388.7204904</v>
      </c>
      <c r="BE274" s="21" t="n">
        <f aca="false">IF(ISBLANK(Actuals!BF94),-366.3*Escalation!$B$54,Actuals!BF94)</f>
        <v>-388.7204904</v>
      </c>
      <c r="BF274" s="21" t="n">
        <f aca="false">IF(ISBLANK(Actuals!BG94),-366.3*Escalation!$B$55,Actuals!BG94)</f>
        <v>-388.7204904</v>
      </c>
      <c r="BG274" s="21" t="n">
        <f aca="false">IF(ISBLANK(Actuals!BH94),-366.3*Escalation!$B$56,Actuals!BH94)</f>
        <v>-388.7204904</v>
      </c>
      <c r="BH274" s="21" t="n">
        <f aca="false">IF(ISBLANK(Actuals!BI94),-366.3*Escalation!$B$57,Actuals!BI94)</f>
        <v>-388.7204904</v>
      </c>
      <c r="BI274" s="21" t="n">
        <f aca="false">IF(ISBLANK(Actuals!BJ94),-366.3*Escalation!$B$58,Actuals!BJ94)</f>
        <v>-388.7204904</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-396.494900208</v>
      </c>
      <c r="BN274" s="21" t="n">
        <f aca="false">IF(ISBLANK(Actuals!BO94),-366.3*Escalation!$B$63,Actuals!BO94)</f>
        <v>-396.494900208</v>
      </c>
      <c r="BO274" s="21" t="n">
        <f aca="false">IF(ISBLANK(Actuals!BP94),-366.3*Escalation!$B$64,Actuals!BP94)</f>
        <v>-396.494900208</v>
      </c>
      <c r="BP274" s="21" t="n">
        <f aca="false">IF(ISBLANK(Actuals!BQ94),-366.3*Escalation!$B$65,Actuals!BQ94)</f>
        <v>-396.494900208</v>
      </c>
      <c r="BQ274" s="21" t="n">
        <f aca="false">IF(ISBLANK(Actuals!BR94),-366.3*Escalation!$B$66,Actuals!BR94)</f>
        <v>-396.494900208</v>
      </c>
      <c r="BR274" s="21" t="n">
        <f aca="false">IF(ISBLANK(Actuals!BS94),-366.3*Escalation!$B$67,Actuals!BS94)</f>
        <v>-396.494900208</v>
      </c>
      <c r="BS274" s="21" t="n">
        <f aca="false">IF(ISBLANK(Actuals!BT94),-366.3*Escalation!$B$68,Actuals!BT94)</f>
        <v>-396.494900208</v>
      </c>
      <c r="BT274" s="21" t="n">
        <f aca="false">IF(ISBLANK(Actuals!BU94),-366.3*Escalation!$B$69,Actuals!BU94)</f>
        <v>-396.494900208</v>
      </c>
      <c r="BU274" s="21" t="n">
        <f aca="false">IF(ISBLANK(Actuals!BV94),-366.3*Escalation!$B$70,Actuals!BV94)</f>
        <v>-396.494900208</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-404.42479821216</v>
      </c>
      <c r="BZ274" s="21" t="n">
        <f aca="false">IF(ISBLANK(Actuals!CA94),-366.3*Escalation!$B$75,Actuals!CA94)</f>
        <v>-404.42479821216</v>
      </c>
      <c r="CA274" s="21" t="n">
        <f aca="false">IF(ISBLANK(Actuals!CB94),-366.3*Escalation!$B$76,Actuals!CB94)</f>
        <v>-404.42479821216</v>
      </c>
      <c r="CB274" s="21" t="n">
        <f aca="false">IF(ISBLANK(Actuals!CC94),-366.3*Escalation!$B$77,Actuals!CC94)</f>
        <v>-404.42479821216</v>
      </c>
      <c r="CC274" s="21" t="n">
        <f aca="false">IF(ISBLANK(Actuals!CD94),-366.3*Escalation!$B$78,Actuals!CD94)</f>
        <v>-404.42479821216</v>
      </c>
      <c r="CD274" s="21" t="n">
        <f aca="false">IF(ISBLANK(Actuals!CE94),-366.3*Escalation!$B$79,Actuals!CE94)</f>
        <v>-404.42479821216</v>
      </c>
      <c r="CE274" s="21" t="n">
        <f aca="false">IF(ISBLANK(Actuals!CF94),-366.3*Escalation!$B$80,Actuals!CF94)</f>
        <v>-404.42479821216</v>
      </c>
      <c r="CF274" s="21" t="n">
        <f aca="false">IF(ISBLANK(Actuals!CG94),-366.3*Escalation!$B$81,Actuals!CG94)</f>
        <v>-404.42479821216</v>
      </c>
      <c r="CG274" s="21" t="n">
        <f aca="false">IF(ISBLANK(Actuals!CH94),-366.3*Escalation!$B$82,Actuals!CH94)</f>
        <v>-404.42479821216</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-412.513294176403</v>
      </c>
      <c r="CL274" s="21" t="n">
        <f aca="false">IF(ISBLANK(Actuals!CM94),-366.3*Escalation!$B$87,Actuals!CM94)</f>
        <v>-412.513294176403</v>
      </c>
      <c r="CM274" s="21" t="n">
        <f aca="false">IF(ISBLANK(Actuals!CN94),-366.3*Escalation!$B$88,Actuals!CN94)</f>
        <v>-412.513294176403</v>
      </c>
      <c r="CN274" s="21" t="n">
        <f aca="false">IF(ISBLANK(Actuals!CO94),-366.3*Escalation!$B$89,Actuals!CO94)</f>
        <v>-412.513294176403</v>
      </c>
      <c r="CO274" s="21" t="n">
        <f aca="false">IF(ISBLANK(Actuals!CP94),-366.3*Escalation!$B$90,Actuals!CP94)</f>
        <v>-412.513294176403</v>
      </c>
      <c r="CP274" s="21" t="n">
        <f aca="false">IF(ISBLANK(Actuals!CQ94),-366.3*Escalation!$B$91,Actuals!CQ94)</f>
        <v>-412.513294176403</v>
      </c>
      <c r="CQ274" s="21" t="n">
        <f aca="false">IF(ISBLANK(Actuals!CR94),-366.3*Escalation!$B$92,Actuals!CR94)</f>
        <v>-412.513294176403</v>
      </c>
      <c r="CR274" s="21" t="n">
        <f aca="false">IF(ISBLANK(Actuals!CS94),-366.3*Escalation!$B$93,Actuals!CS94)</f>
        <v>-412.513294176403</v>
      </c>
      <c r="CS274" s="21" t="n">
        <f aca="false">IF(ISBLANK(Actuals!CT94),-366.3*Escalation!$B$94,Actuals!CT94)</f>
        <v>-412.513294176403</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-420.763560059931</v>
      </c>
      <c r="CX274" s="21" t="n">
        <f aca="false">IF(ISBLANK(Actuals!CY94),-366.3*Escalation!$B$99,Actuals!CY94)</f>
        <v>-420.763560059931</v>
      </c>
      <c r="CY274" s="21" t="n">
        <f aca="false">IF(ISBLANK(Actuals!CZ94),-366.3*Escalation!$B$100,Actuals!CZ94)</f>
        <v>-420.763560059931</v>
      </c>
      <c r="CZ274" s="21" t="n">
        <f aca="false">IF(ISBLANK(Actuals!DA94),-366.3*Escalation!$B$101,Actuals!DA94)</f>
        <v>-420.763560059931</v>
      </c>
      <c r="DA274" s="21" t="n">
        <f aca="false">IF(ISBLANK(Actuals!DB94),-366.3*Escalation!$B$102,Actuals!DB94)</f>
        <v>-420.763560059931</v>
      </c>
      <c r="DB274" s="21" t="n">
        <f aca="false">IF(ISBLANK(Actuals!DC94),-366.3*Escalation!$B$103,Actuals!DC94)</f>
        <v>-420.763560059931</v>
      </c>
      <c r="DC274" s="21" t="n">
        <f aca="false">IF(ISBLANK(Actuals!DD94),-366.3*Escalation!$B$104,Actuals!DD94)</f>
        <v>-420.763560059931</v>
      </c>
      <c r="DD274" s="21" t="n">
        <f aca="false">IF(ISBLANK(Actuals!DE94),-366.3*Escalation!$B$105,Actuals!DE94)</f>
        <v>-420.763560059931</v>
      </c>
      <c r="DE274" s="21" t="n">
        <f aca="false">IF(ISBLANK(Actuals!DF94),-366.3*Escalation!$B$106,Actuals!DF94)</f>
        <v>-420.763560059931</v>
      </c>
    </row>
    <row r="275" customFormat="false" ht="15" hidden="false" customHeight="true" outlineLevel="0" collapsed="false">
      <c r="A275" s="35" t="s">
        <v>129</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-160</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-50.07</v>
      </c>
      <c r="R275" s="21" t="n">
        <f aca="false">IF(ISBLANK(Actuals!S95),-50.07*Escalation!$B$15,Actuals!S95)</f>
        <v>-50.07</v>
      </c>
      <c r="S275" s="21" t="n">
        <f aca="false">IF(ISBLANK(Actuals!T95),-50.07*Escalation!$B$16,Actuals!T95)</f>
        <v>-50.07</v>
      </c>
      <c r="T275" s="21" t="n">
        <f aca="false">IF(ISBLANK(Actuals!U95),-50.07*Escalation!$B$17,Actuals!U95)</f>
        <v>-50.07</v>
      </c>
      <c r="U275" s="21" t="n">
        <f aca="false">IF(ISBLANK(Actuals!V95),-50.07*Escalation!$B$18,Actuals!V95)</f>
        <v>-50.07</v>
      </c>
      <c r="V275" s="21" t="n">
        <f aca="false">IF(ISBLANK(Actuals!W95),-50.07*Escalation!$B$19,Actuals!W95)</f>
        <v>-50.07</v>
      </c>
      <c r="W275" s="21" t="n">
        <f aca="false">IF(ISBLANK(Actuals!X95),-50.07*Escalation!$B$20,Actuals!X95)</f>
        <v>-50.07</v>
      </c>
      <c r="X275" s="21" t="n">
        <f aca="false">IF(ISBLANK(Actuals!Y95),-50.07*Escalation!$B$21,Actuals!Y95)</f>
        <v>-50.07</v>
      </c>
      <c r="Y275" s="21" t="n">
        <f aca="false">IF(ISBLANK(Actuals!Z95),-50.07*Escalation!$B$22,Actuals!Z95)</f>
        <v>-50.07</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-51.0714</v>
      </c>
      <c r="AD275" s="21" t="n">
        <f aca="false">IF(ISBLANK(Actuals!AE95),-50.07*Escalation!$B$27,Actuals!AE95)</f>
        <v>-51.0714</v>
      </c>
      <c r="AE275" s="21" t="n">
        <f aca="false">IF(ISBLANK(Actuals!AF95),-50.07*Escalation!$B$28,Actuals!AF95)</f>
        <v>-51.0714</v>
      </c>
      <c r="AF275" s="21" t="n">
        <f aca="false">IF(ISBLANK(Actuals!AG95),-50.07*Escalation!$B$29,Actuals!AG95)</f>
        <v>-51.0714</v>
      </c>
      <c r="AG275" s="21" t="n">
        <f aca="false">IF(ISBLANK(Actuals!AH95),-50.07*Escalation!$B$30,Actuals!AH95)</f>
        <v>-51.0714</v>
      </c>
      <c r="AH275" s="21" t="n">
        <f aca="false">IF(ISBLANK(Actuals!AI95),-50.07*Escalation!$B$31,Actuals!AI95)</f>
        <v>-51.0714</v>
      </c>
      <c r="AI275" s="21" t="n">
        <f aca="false">IF(ISBLANK(Actuals!AJ95),-50.07*Escalation!$B$32,Actuals!AJ95)</f>
        <v>-51.0714</v>
      </c>
      <c r="AJ275" s="21" t="n">
        <f aca="false">IF(ISBLANK(Actuals!AK95),-50.07*Escalation!$B$33,Actuals!AK95)</f>
        <v>-51.0714</v>
      </c>
      <c r="AK275" s="21" t="n">
        <f aca="false">IF(ISBLANK(Actuals!AL95),-50.07*Escalation!$B$34,Actuals!AL95)</f>
        <v>-51.0714</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-52.092828</v>
      </c>
      <c r="AP275" s="21" t="n">
        <f aca="false">IF(ISBLANK(Actuals!AQ95),-50.07*Escalation!$B$39,Actuals!AQ95)</f>
        <v>-52.092828</v>
      </c>
      <c r="AQ275" s="21" t="n">
        <f aca="false">IF(ISBLANK(Actuals!AR95),-50.07*Escalation!$B$40,Actuals!AR95)</f>
        <v>-52.092828</v>
      </c>
      <c r="AR275" s="21" t="n">
        <f aca="false">IF(ISBLANK(Actuals!AS95),-50.07*Escalation!$B$41,Actuals!AS95)</f>
        <v>-52.092828</v>
      </c>
      <c r="AS275" s="21" t="n">
        <f aca="false">IF(ISBLANK(Actuals!AT95),-50.07*Escalation!$B$42,Actuals!AT95)</f>
        <v>-52.092828</v>
      </c>
      <c r="AT275" s="21" t="n">
        <f aca="false">IF(ISBLANK(Actuals!AU95),-50.07*Escalation!$B$43,Actuals!AU95)</f>
        <v>-52.092828</v>
      </c>
      <c r="AU275" s="21" t="n">
        <f aca="false">IF(ISBLANK(Actuals!AV95),-50.07*Escalation!$B$44,Actuals!AV95)</f>
        <v>-52.092828</v>
      </c>
      <c r="AV275" s="21" t="n">
        <f aca="false">IF(ISBLANK(Actuals!AW95),-50.07*Escalation!$B$45,Actuals!AW95)</f>
        <v>-52.092828</v>
      </c>
      <c r="AW275" s="21" t="n">
        <f aca="false">IF(ISBLANK(Actuals!AX95),-50.07*Escalation!$B$46,Actuals!AX95)</f>
        <v>-52.092828</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-53.13468456</v>
      </c>
      <c r="BB275" s="21" t="n">
        <f aca="false">IF(ISBLANK(Actuals!BC95),-50.07*Escalation!$B$51,Actuals!BC95)</f>
        <v>-53.13468456</v>
      </c>
      <c r="BC275" s="21" t="n">
        <f aca="false">IF(ISBLANK(Actuals!BD95),-50.07*Escalation!$B$52,Actuals!BD95)</f>
        <v>-53.13468456</v>
      </c>
      <c r="BD275" s="21" t="n">
        <f aca="false">IF(ISBLANK(Actuals!BE95),-50.07*Escalation!$B$53,Actuals!BE95)</f>
        <v>-53.13468456</v>
      </c>
      <c r="BE275" s="21" t="n">
        <f aca="false">IF(ISBLANK(Actuals!BF95),-50.07*Escalation!$B$54,Actuals!BF95)</f>
        <v>-53.13468456</v>
      </c>
      <c r="BF275" s="21" t="n">
        <f aca="false">IF(ISBLANK(Actuals!BG95),-50.07*Escalation!$B$55,Actuals!BG95)</f>
        <v>-53.13468456</v>
      </c>
      <c r="BG275" s="21" t="n">
        <f aca="false">IF(ISBLANK(Actuals!BH95),-50.07*Escalation!$B$56,Actuals!BH95)</f>
        <v>-53.13468456</v>
      </c>
      <c r="BH275" s="21" t="n">
        <f aca="false">IF(ISBLANK(Actuals!BI95),-50.07*Escalation!$B$57,Actuals!BI95)</f>
        <v>-53.13468456</v>
      </c>
      <c r="BI275" s="21" t="n">
        <f aca="false">IF(ISBLANK(Actuals!BJ95),-50.07*Escalation!$B$58,Actuals!BJ95)</f>
        <v>-53.13468456</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-54.1973782512</v>
      </c>
      <c r="BN275" s="21" t="n">
        <f aca="false">IF(ISBLANK(Actuals!BO95),-50.07*Escalation!$B$63,Actuals!BO95)</f>
        <v>-54.1973782512</v>
      </c>
      <c r="BO275" s="21" t="n">
        <f aca="false">IF(ISBLANK(Actuals!BP95),-50.07*Escalation!$B$64,Actuals!BP95)</f>
        <v>-54.1973782512</v>
      </c>
      <c r="BP275" s="21" t="n">
        <f aca="false">IF(ISBLANK(Actuals!BQ95),-50.07*Escalation!$B$65,Actuals!BQ95)</f>
        <v>-54.1973782512</v>
      </c>
      <c r="BQ275" s="21" t="n">
        <f aca="false">IF(ISBLANK(Actuals!BR95),-50.07*Escalation!$B$66,Actuals!BR95)</f>
        <v>-54.1973782512</v>
      </c>
      <c r="BR275" s="21" t="n">
        <f aca="false">IF(ISBLANK(Actuals!BS95),-50.07*Escalation!$B$67,Actuals!BS95)</f>
        <v>-54.1973782512</v>
      </c>
      <c r="BS275" s="21" t="n">
        <f aca="false">IF(ISBLANK(Actuals!BT95),-50.07*Escalation!$B$68,Actuals!BT95)</f>
        <v>-54.1973782512</v>
      </c>
      <c r="BT275" s="21" t="n">
        <f aca="false">IF(ISBLANK(Actuals!BU95),-50.07*Escalation!$B$69,Actuals!BU95)</f>
        <v>-54.1973782512</v>
      </c>
      <c r="BU275" s="21" t="n">
        <f aca="false">IF(ISBLANK(Actuals!BV95),-50.07*Escalation!$B$70,Actuals!BV95)</f>
        <v>-54.1973782512</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-55.281325816224</v>
      </c>
      <c r="BZ275" s="21" t="n">
        <f aca="false">IF(ISBLANK(Actuals!CA95),-50.07*Escalation!$B$75,Actuals!CA95)</f>
        <v>-55.281325816224</v>
      </c>
      <c r="CA275" s="21" t="n">
        <f aca="false">IF(ISBLANK(Actuals!CB95),-50.07*Escalation!$B$76,Actuals!CB95)</f>
        <v>-55.281325816224</v>
      </c>
      <c r="CB275" s="21" t="n">
        <f aca="false">IF(ISBLANK(Actuals!CC95),-50.07*Escalation!$B$77,Actuals!CC95)</f>
        <v>-55.281325816224</v>
      </c>
      <c r="CC275" s="21" t="n">
        <f aca="false">IF(ISBLANK(Actuals!CD95),-50.07*Escalation!$B$78,Actuals!CD95)</f>
        <v>-55.281325816224</v>
      </c>
      <c r="CD275" s="21" t="n">
        <f aca="false">IF(ISBLANK(Actuals!CE95),-50.07*Escalation!$B$79,Actuals!CE95)</f>
        <v>-55.281325816224</v>
      </c>
      <c r="CE275" s="21" t="n">
        <f aca="false">IF(ISBLANK(Actuals!CF95),-50.07*Escalation!$B$80,Actuals!CF95)</f>
        <v>-55.281325816224</v>
      </c>
      <c r="CF275" s="21" t="n">
        <f aca="false">IF(ISBLANK(Actuals!CG95),-50.07*Escalation!$B$81,Actuals!CG95)</f>
        <v>-55.281325816224</v>
      </c>
      <c r="CG275" s="21" t="n">
        <f aca="false">IF(ISBLANK(Actuals!CH95),-50.07*Escalation!$B$82,Actuals!CH95)</f>
        <v>-55.281325816224</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-56.3869523325485</v>
      </c>
      <c r="CL275" s="21" t="n">
        <f aca="false">IF(ISBLANK(Actuals!CM95),-50.07*Escalation!$B$87,Actuals!CM95)</f>
        <v>-56.3869523325485</v>
      </c>
      <c r="CM275" s="21" t="n">
        <f aca="false">IF(ISBLANK(Actuals!CN95),-50.07*Escalation!$B$88,Actuals!CN95)</f>
        <v>-56.3869523325485</v>
      </c>
      <c r="CN275" s="21" t="n">
        <f aca="false">IF(ISBLANK(Actuals!CO95),-50.07*Escalation!$B$89,Actuals!CO95)</f>
        <v>-56.3869523325485</v>
      </c>
      <c r="CO275" s="21" t="n">
        <f aca="false">IF(ISBLANK(Actuals!CP95),-50.07*Escalation!$B$90,Actuals!CP95)</f>
        <v>-56.3869523325485</v>
      </c>
      <c r="CP275" s="21" t="n">
        <f aca="false">IF(ISBLANK(Actuals!CQ95),-50.07*Escalation!$B$91,Actuals!CQ95)</f>
        <v>-56.3869523325485</v>
      </c>
      <c r="CQ275" s="21" t="n">
        <f aca="false">IF(ISBLANK(Actuals!CR95),-50.07*Escalation!$B$92,Actuals!CR95)</f>
        <v>-56.3869523325485</v>
      </c>
      <c r="CR275" s="21" t="n">
        <f aca="false">IF(ISBLANK(Actuals!CS95),-50.07*Escalation!$B$93,Actuals!CS95)</f>
        <v>-56.3869523325485</v>
      </c>
      <c r="CS275" s="21" t="n">
        <f aca="false">IF(ISBLANK(Actuals!CT95),-50.07*Escalation!$B$94,Actuals!CT95)</f>
        <v>-56.3869523325485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-57.5146913791995</v>
      </c>
      <c r="CX275" s="21" t="n">
        <f aca="false">IF(ISBLANK(Actuals!CY95),-50.07*Escalation!$B$99,Actuals!CY95)</f>
        <v>-57.5146913791995</v>
      </c>
      <c r="CY275" s="21" t="n">
        <f aca="false">IF(ISBLANK(Actuals!CZ95),-50.07*Escalation!$B$100,Actuals!CZ95)</f>
        <v>-57.5146913791995</v>
      </c>
      <c r="CZ275" s="21" t="n">
        <f aca="false">IF(ISBLANK(Actuals!DA95),-50.07*Escalation!$B$101,Actuals!DA95)</f>
        <v>-57.5146913791995</v>
      </c>
      <c r="DA275" s="21" t="n">
        <f aca="false">IF(ISBLANK(Actuals!DB95),-50.07*Escalation!$B$102,Actuals!DB95)</f>
        <v>-57.5146913791995</v>
      </c>
      <c r="DB275" s="21" t="n">
        <f aca="false">IF(ISBLANK(Actuals!DC95),-50.07*Escalation!$B$103,Actuals!DC95)</f>
        <v>-57.5146913791995</v>
      </c>
      <c r="DC275" s="21" t="n">
        <f aca="false">IF(ISBLANK(Actuals!DD95),-50.07*Escalation!$B$104,Actuals!DD95)</f>
        <v>-57.5146913791995</v>
      </c>
      <c r="DD275" s="21" t="n">
        <f aca="false">IF(ISBLANK(Actuals!DE95),-50.07*Escalation!$B$105,Actuals!DE95)</f>
        <v>-57.5146913791995</v>
      </c>
      <c r="DE275" s="21" t="n">
        <f aca="false">IF(ISBLANK(Actuals!DF95),-50.07*Escalation!$B$106,Actuals!DF95)</f>
        <v>-57.5146913791995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-1504.31</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-896.43</v>
      </c>
      <c r="R276" s="21" t="n">
        <f aca="false">IF(ISBLANK(Actuals!S96),-896.43*Escalation!$B$15,Actuals!S96)</f>
        <v>-896.43</v>
      </c>
      <c r="S276" s="21" t="n">
        <f aca="false">IF(ISBLANK(Actuals!T96),-896.43*Escalation!$B$16,Actuals!T96)</f>
        <v>-896.43</v>
      </c>
      <c r="T276" s="21" t="n">
        <f aca="false">IF(ISBLANK(Actuals!U96),-896.43*Escalation!$B$17,Actuals!U96)</f>
        <v>-896.43</v>
      </c>
      <c r="U276" s="21" t="n">
        <f aca="false">IF(ISBLANK(Actuals!V96),-896.43*Escalation!$B$18,Actuals!V96)</f>
        <v>-896.43</v>
      </c>
      <c r="V276" s="21" t="n">
        <f aca="false">IF(ISBLANK(Actuals!W96),-896.43*Escalation!$B$19,Actuals!W96)</f>
        <v>-896.43</v>
      </c>
      <c r="W276" s="21" t="n">
        <f aca="false">IF(ISBLANK(Actuals!X96),-896.43*Escalation!$B$20,Actuals!X96)</f>
        <v>-896.43</v>
      </c>
      <c r="X276" s="21" t="n">
        <f aca="false">IF(ISBLANK(Actuals!Y96),-896.43*Escalation!$B$21,Actuals!Y96)</f>
        <v>-896.43</v>
      </c>
      <c r="Y276" s="21" t="n">
        <f aca="false">IF(ISBLANK(Actuals!Z96),-896.43*Escalation!$B$22,Actuals!Z96)</f>
        <v>-896.43</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-914.3586</v>
      </c>
      <c r="AD276" s="21" t="n">
        <f aca="false">IF(ISBLANK(Actuals!AE96),-896.43*Escalation!$B$27,Actuals!AE96)</f>
        <v>-914.3586</v>
      </c>
      <c r="AE276" s="21" t="n">
        <f aca="false">IF(ISBLANK(Actuals!AF96),-896.43*Escalation!$B$28,Actuals!AF96)</f>
        <v>-914.3586</v>
      </c>
      <c r="AF276" s="21" t="n">
        <f aca="false">IF(ISBLANK(Actuals!AG96),-896.43*Escalation!$B$29,Actuals!AG96)</f>
        <v>-914.3586</v>
      </c>
      <c r="AG276" s="21" t="n">
        <f aca="false">IF(ISBLANK(Actuals!AH96),-896.43*Escalation!$B$30,Actuals!AH96)</f>
        <v>-914.3586</v>
      </c>
      <c r="AH276" s="21" t="n">
        <f aca="false">IF(ISBLANK(Actuals!AI96),-896.43*Escalation!$B$31,Actuals!AI96)</f>
        <v>-914.3586</v>
      </c>
      <c r="AI276" s="21" t="n">
        <f aca="false">IF(ISBLANK(Actuals!AJ96),-896.43*Escalation!$B$32,Actuals!AJ96)</f>
        <v>-914.3586</v>
      </c>
      <c r="AJ276" s="21" t="n">
        <f aca="false">IF(ISBLANK(Actuals!AK96),-896.43*Escalation!$B$33,Actuals!AK96)</f>
        <v>-914.3586</v>
      </c>
      <c r="AK276" s="21" t="n">
        <f aca="false">IF(ISBLANK(Actuals!AL96),-896.43*Escalation!$B$34,Actuals!AL96)</f>
        <v>-914.3586</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-932.645772</v>
      </c>
      <c r="AP276" s="21" t="n">
        <f aca="false">IF(ISBLANK(Actuals!AQ96),-896.43*Escalation!$B$39,Actuals!AQ96)</f>
        <v>-932.645772</v>
      </c>
      <c r="AQ276" s="21" t="n">
        <f aca="false">IF(ISBLANK(Actuals!AR96),-896.43*Escalation!$B$40,Actuals!AR96)</f>
        <v>-932.645772</v>
      </c>
      <c r="AR276" s="21" t="n">
        <f aca="false">IF(ISBLANK(Actuals!AS96),-896.43*Escalation!$B$41,Actuals!AS96)</f>
        <v>-932.645772</v>
      </c>
      <c r="AS276" s="21" t="n">
        <f aca="false">IF(ISBLANK(Actuals!AT96),-896.43*Escalation!$B$42,Actuals!AT96)</f>
        <v>-932.645772</v>
      </c>
      <c r="AT276" s="21" t="n">
        <f aca="false">IF(ISBLANK(Actuals!AU96),-896.43*Escalation!$B$43,Actuals!AU96)</f>
        <v>-932.645772</v>
      </c>
      <c r="AU276" s="21" t="n">
        <f aca="false">IF(ISBLANK(Actuals!AV96),-896.43*Escalation!$B$44,Actuals!AV96)</f>
        <v>-932.645772</v>
      </c>
      <c r="AV276" s="21" t="n">
        <f aca="false">IF(ISBLANK(Actuals!AW96),-896.43*Escalation!$B$45,Actuals!AW96)</f>
        <v>-932.645772</v>
      </c>
      <c r="AW276" s="21" t="n">
        <f aca="false">IF(ISBLANK(Actuals!AX96),-896.43*Escalation!$B$46,Actuals!AX96)</f>
        <v>-932.645772</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-951.29868744</v>
      </c>
      <c r="BB276" s="21" t="n">
        <f aca="false">IF(ISBLANK(Actuals!BC96),-896.43*Escalation!$B$51,Actuals!BC96)</f>
        <v>-951.29868744</v>
      </c>
      <c r="BC276" s="21" t="n">
        <f aca="false">IF(ISBLANK(Actuals!BD96),-896.43*Escalation!$B$52,Actuals!BD96)</f>
        <v>-951.29868744</v>
      </c>
      <c r="BD276" s="21" t="n">
        <f aca="false">IF(ISBLANK(Actuals!BE96),-896.43*Escalation!$B$53,Actuals!BE96)</f>
        <v>-951.29868744</v>
      </c>
      <c r="BE276" s="21" t="n">
        <f aca="false">IF(ISBLANK(Actuals!BF96),-896.43*Escalation!$B$54,Actuals!BF96)</f>
        <v>-951.29868744</v>
      </c>
      <c r="BF276" s="21" t="n">
        <f aca="false">IF(ISBLANK(Actuals!BG96),-896.43*Escalation!$B$55,Actuals!BG96)</f>
        <v>-951.29868744</v>
      </c>
      <c r="BG276" s="21" t="n">
        <f aca="false">IF(ISBLANK(Actuals!BH96),-896.43*Escalation!$B$56,Actuals!BH96)</f>
        <v>-951.29868744</v>
      </c>
      <c r="BH276" s="21" t="n">
        <f aca="false">IF(ISBLANK(Actuals!BI96),-896.43*Escalation!$B$57,Actuals!BI96)</f>
        <v>-951.29868744</v>
      </c>
      <c r="BI276" s="21" t="n">
        <f aca="false">IF(ISBLANK(Actuals!BJ96),-896.43*Escalation!$B$58,Actuals!BJ96)</f>
        <v>-951.29868744</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-970.3246611888</v>
      </c>
      <c r="BN276" s="21" t="n">
        <f aca="false">IF(ISBLANK(Actuals!BO96),-896.43*Escalation!$B$63,Actuals!BO96)</f>
        <v>-970.3246611888</v>
      </c>
      <c r="BO276" s="21" t="n">
        <f aca="false">IF(ISBLANK(Actuals!BP96),-896.43*Escalation!$B$64,Actuals!BP96)</f>
        <v>-970.3246611888</v>
      </c>
      <c r="BP276" s="21" t="n">
        <f aca="false">IF(ISBLANK(Actuals!BQ96),-896.43*Escalation!$B$65,Actuals!BQ96)</f>
        <v>-970.3246611888</v>
      </c>
      <c r="BQ276" s="21" t="n">
        <f aca="false">IF(ISBLANK(Actuals!BR96),-896.43*Escalation!$B$66,Actuals!BR96)</f>
        <v>-970.3246611888</v>
      </c>
      <c r="BR276" s="21" t="n">
        <f aca="false">IF(ISBLANK(Actuals!BS96),-896.43*Escalation!$B$67,Actuals!BS96)</f>
        <v>-970.3246611888</v>
      </c>
      <c r="BS276" s="21" t="n">
        <f aca="false">IF(ISBLANK(Actuals!BT96),-896.43*Escalation!$B$68,Actuals!BT96)</f>
        <v>-970.3246611888</v>
      </c>
      <c r="BT276" s="21" t="n">
        <f aca="false">IF(ISBLANK(Actuals!BU96),-896.43*Escalation!$B$69,Actuals!BU96)</f>
        <v>-970.3246611888</v>
      </c>
      <c r="BU276" s="21" t="n">
        <f aca="false">IF(ISBLANK(Actuals!BV96),-896.43*Escalation!$B$70,Actuals!BV96)</f>
        <v>-970.3246611888</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-989.731154412576</v>
      </c>
      <c r="BZ276" s="21" t="n">
        <f aca="false">IF(ISBLANK(Actuals!CA96),-896.43*Escalation!$B$75,Actuals!CA96)</f>
        <v>-989.731154412576</v>
      </c>
      <c r="CA276" s="21" t="n">
        <f aca="false">IF(ISBLANK(Actuals!CB96),-896.43*Escalation!$B$76,Actuals!CB96)</f>
        <v>-989.731154412576</v>
      </c>
      <c r="CB276" s="21" t="n">
        <f aca="false">IF(ISBLANK(Actuals!CC96),-896.43*Escalation!$B$77,Actuals!CC96)</f>
        <v>-989.731154412576</v>
      </c>
      <c r="CC276" s="21" t="n">
        <f aca="false">IF(ISBLANK(Actuals!CD96),-896.43*Escalation!$B$78,Actuals!CD96)</f>
        <v>-989.731154412576</v>
      </c>
      <c r="CD276" s="21" t="n">
        <f aca="false">IF(ISBLANK(Actuals!CE96),-896.43*Escalation!$B$79,Actuals!CE96)</f>
        <v>-989.731154412576</v>
      </c>
      <c r="CE276" s="21" t="n">
        <f aca="false">IF(ISBLANK(Actuals!CF96),-896.43*Escalation!$B$80,Actuals!CF96)</f>
        <v>-989.731154412576</v>
      </c>
      <c r="CF276" s="21" t="n">
        <f aca="false">IF(ISBLANK(Actuals!CG96),-896.43*Escalation!$B$81,Actuals!CG96)</f>
        <v>-989.731154412576</v>
      </c>
      <c r="CG276" s="21" t="n">
        <f aca="false">IF(ISBLANK(Actuals!CH96),-896.43*Escalation!$B$82,Actuals!CH96)</f>
        <v>-989.731154412576</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-1009.52577750083</v>
      </c>
      <c r="CL276" s="21" t="n">
        <f aca="false">IF(ISBLANK(Actuals!CM96),-896.43*Escalation!$B$87,Actuals!CM96)</f>
        <v>-1009.52577750083</v>
      </c>
      <c r="CM276" s="21" t="n">
        <f aca="false">IF(ISBLANK(Actuals!CN96),-896.43*Escalation!$B$88,Actuals!CN96)</f>
        <v>-1009.52577750083</v>
      </c>
      <c r="CN276" s="21" t="n">
        <f aca="false">IF(ISBLANK(Actuals!CO96),-896.43*Escalation!$B$89,Actuals!CO96)</f>
        <v>-1009.52577750083</v>
      </c>
      <c r="CO276" s="21" t="n">
        <f aca="false">IF(ISBLANK(Actuals!CP96),-896.43*Escalation!$B$90,Actuals!CP96)</f>
        <v>-1009.52577750083</v>
      </c>
      <c r="CP276" s="21" t="n">
        <f aca="false">IF(ISBLANK(Actuals!CQ96),-896.43*Escalation!$B$91,Actuals!CQ96)</f>
        <v>-1009.52577750083</v>
      </c>
      <c r="CQ276" s="21" t="n">
        <f aca="false">IF(ISBLANK(Actuals!CR96),-896.43*Escalation!$B$92,Actuals!CR96)</f>
        <v>-1009.52577750083</v>
      </c>
      <c r="CR276" s="21" t="n">
        <f aca="false">IF(ISBLANK(Actuals!CS96),-896.43*Escalation!$B$93,Actuals!CS96)</f>
        <v>-1009.52577750083</v>
      </c>
      <c r="CS276" s="21" t="n">
        <f aca="false">IF(ISBLANK(Actuals!CT96),-896.43*Escalation!$B$94,Actuals!CT96)</f>
        <v>-1009.52577750083</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-1029.71629305084</v>
      </c>
      <c r="CX276" s="21" t="n">
        <f aca="false">IF(ISBLANK(Actuals!CY96),-896.43*Escalation!$B$99,Actuals!CY96)</f>
        <v>-1029.71629305084</v>
      </c>
      <c r="CY276" s="21" t="n">
        <f aca="false">IF(ISBLANK(Actuals!CZ96),-896.43*Escalation!$B$100,Actuals!CZ96)</f>
        <v>-1029.71629305084</v>
      </c>
      <c r="CZ276" s="21" t="n">
        <f aca="false">IF(ISBLANK(Actuals!DA96),-896.43*Escalation!$B$101,Actuals!DA96)</f>
        <v>-1029.71629305084</v>
      </c>
      <c r="DA276" s="21" t="n">
        <f aca="false">IF(ISBLANK(Actuals!DB96),-896.43*Escalation!$B$102,Actuals!DB96)</f>
        <v>-1029.71629305084</v>
      </c>
      <c r="DB276" s="21" t="n">
        <f aca="false">IF(ISBLANK(Actuals!DC96),-896.43*Escalation!$B$103,Actuals!DC96)</f>
        <v>-1029.71629305084</v>
      </c>
      <c r="DC276" s="21" t="n">
        <f aca="false">IF(ISBLANK(Actuals!DD96),-896.43*Escalation!$B$104,Actuals!DD96)</f>
        <v>-1029.71629305084</v>
      </c>
      <c r="DD276" s="21" t="n">
        <f aca="false">IF(ISBLANK(Actuals!DE96),-896.43*Escalation!$B$105,Actuals!DE96)</f>
        <v>-1029.71629305084</v>
      </c>
      <c r="DE276" s="21" t="n">
        <f aca="false">IF(ISBLANK(Actuals!DF96),-896.43*Escalation!$B$106,Actuals!DF96)</f>
        <v>-1029.71629305084</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IF(ISBLANK(Actuals!O97),-3750*Escalation!$B$11,Actuals!O97)</f>
        <v>-3750</v>
      </c>
      <c r="O277" s="21" t="n">
        <f aca="false">IF(ISBLANK(Actuals!P97),-3750*Escalation!$B$12,Actuals!P97)</f>
        <v>-3750</v>
      </c>
      <c r="P277" s="21" t="n">
        <f aca="false">IF(ISBLANK(Actuals!Q97),-3750*Escalation!$B$13,Actuals!Q97)</f>
        <v>-3750</v>
      </c>
      <c r="Q277" s="21" t="n">
        <f aca="false">IF(ISBLANK(Actuals!R97),-3750*Escalation!$B$14,Actuals!R97)</f>
        <v>-3750</v>
      </c>
      <c r="R277" s="21" t="n">
        <f aca="false">IF(ISBLANK(Actuals!S97),-3750*Escalation!$B$15,Actuals!S97)</f>
        <v>-3750</v>
      </c>
      <c r="S277" s="21" t="n">
        <f aca="false">IF(ISBLANK(Actuals!T97),-3750*Escalation!$B$16,Actuals!T97)</f>
        <v>-3750</v>
      </c>
      <c r="T277" s="21" t="n">
        <f aca="false">IF(ISBLANK(Actuals!U97),-3750*Escalation!$B$17,Actuals!U97)</f>
        <v>-3750</v>
      </c>
      <c r="U277" s="21" t="n">
        <f aca="false">IF(ISBLANK(Actuals!V97),-3750*Escalation!$B$18,Actuals!V97)</f>
        <v>-3750</v>
      </c>
      <c r="V277" s="21" t="n">
        <f aca="false">IF(ISBLANK(Actuals!W97),-3750*Escalation!$B$19,Actuals!W97)</f>
        <v>-3750</v>
      </c>
      <c r="W277" s="21" t="n">
        <f aca="false">IF(ISBLANK(Actuals!X97),-3750*Escalation!$B$20,Actuals!X97)</f>
        <v>-3750</v>
      </c>
      <c r="X277" s="21" t="n">
        <f aca="false">IF(ISBLANK(Actuals!Y97),-3750*Escalation!$B$21,Actuals!Y97)</f>
        <v>-3750</v>
      </c>
      <c r="Y277" s="21" t="n">
        <f aca="false">IF(ISBLANK(Actuals!Z97),-3750*Escalation!$B$22,Actuals!Z97)</f>
        <v>-3750</v>
      </c>
      <c r="Z277" s="21" t="n">
        <f aca="false">IF(ISBLANK(Actuals!AA97),-3750*Escalation!$B$23,Actuals!AA97)</f>
        <v>-3825</v>
      </c>
      <c r="AA277" s="21" t="n">
        <f aca="false">IF(ISBLANK(Actuals!AB97),-3750*Escalation!$B$24,Actuals!AB97)</f>
        <v>-3825</v>
      </c>
      <c r="AB277" s="21" t="n">
        <f aca="false">IF(ISBLANK(Actuals!AC97),-3750*Escalation!$B$25,Actuals!AC97)</f>
        <v>-3825</v>
      </c>
      <c r="AC277" s="21" t="n">
        <f aca="false">IF(ISBLANK(Actuals!AD97),-3750*Escalation!$B$26,Actuals!AD97)</f>
        <v>-3825</v>
      </c>
      <c r="AD277" s="21" t="n">
        <f aca="false">IF(ISBLANK(Actuals!AE97),-3750*Escalation!$B$27,Actuals!AE97)</f>
        <v>-3825</v>
      </c>
      <c r="AE277" s="21" t="n">
        <f aca="false">IF(ISBLANK(Actuals!AF97),-3750*Escalation!$B$28,Actuals!AF97)</f>
        <v>-3825</v>
      </c>
      <c r="AF277" s="21" t="n">
        <f aca="false">IF(ISBLANK(Actuals!AG97),-3750*Escalation!$B$29,Actuals!AG97)</f>
        <v>-3825</v>
      </c>
      <c r="AG277" s="21" t="n">
        <f aca="false">IF(ISBLANK(Actuals!AH97),-3750*Escalation!$B$30,Actuals!AH97)</f>
        <v>-3825</v>
      </c>
      <c r="AH277" s="21" t="n">
        <f aca="false">IF(ISBLANK(Actuals!AI97),-3750*Escalation!$B$31,Actuals!AI97)</f>
        <v>-3825</v>
      </c>
      <c r="AI277" s="21" t="n">
        <f aca="false">IF(ISBLANK(Actuals!AJ97),-3750*Escalation!$B$32,Actuals!AJ97)</f>
        <v>-3825</v>
      </c>
      <c r="AJ277" s="21" t="n">
        <f aca="false">IF(ISBLANK(Actuals!AK97),-3750*Escalation!$B$33,Actuals!AK97)</f>
        <v>-3825</v>
      </c>
      <c r="AK277" s="21" t="n">
        <f aca="false">IF(ISBLANK(Actuals!AL97),-3750*Escalation!$B$34,Actuals!AL97)</f>
        <v>-3825</v>
      </c>
      <c r="AL277" s="21" t="n">
        <f aca="false">IF(ISBLANK(Actuals!AM97),-3750*Escalation!$B$35,Actuals!AM97)</f>
        <v>-3901.5</v>
      </c>
      <c r="AM277" s="21" t="n">
        <f aca="false">IF(ISBLANK(Actuals!AN97),-3750*Escalation!$B$36,Actuals!AN97)</f>
        <v>-3901.5</v>
      </c>
      <c r="AN277" s="21" t="n">
        <f aca="false">IF(ISBLANK(Actuals!AO97),-3750*Escalation!$B$37,Actuals!AO97)</f>
        <v>-3901.5</v>
      </c>
      <c r="AO277" s="21" t="n">
        <f aca="false">IF(ISBLANK(Actuals!AP97),-3750*Escalation!$B$38,Actuals!AP97)</f>
        <v>-3901.5</v>
      </c>
      <c r="AP277" s="21" t="n">
        <f aca="false">IF(ISBLANK(Actuals!AQ97),-3750*Escalation!$B$39,Actuals!AQ97)</f>
        <v>-3901.5</v>
      </c>
      <c r="AQ277" s="21" t="n">
        <f aca="false">IF(ISBLANK(Actuals!AR97),-3750*Escalation!$B$40,Actuals!AR97)</f>
        <v>-3901.5</v>
      </c>
      <c r="AR277" s="21" t="n">
        <f aca="false">IF(ISBLANK(Actuals!AS97),-3750*Escalation!$B$41,Actuals!AS97)</f>
        <v>-3901.5</v>
      </c>
      <c r="AS277" s="21" t="n">
        <f aca="false">IF(ISBLANK(Actuals!AT97),-3750*Escalation!$B$42,Actuals!AT97)</f>
        <v>-3901.5</v>
      </c>
      <c r="AT277" s="21" t="n">
        <f aca="false">IF(ISBLANK(Actuals!AU97),-3750*Escalation!$B$43,Actuals!AU97)</f>
        <v>-3901.5</v>
      </c>
      <c r="AU277" s="21" t="n">
        <f aca="false">IF(ISBLANK(Actuals!AV97),-3750*Escalation!$B$44,Actuals!AV97)</f>
        <v>-3901.5</v>
      </c>
      <c r="AV277" s="21" t="n">
        <f aca="false">IF(ISBLANK(Actuals!AW97),-3750*Escalation!$B$45,Actuals!AW97)</f>
        <v>-3901.5</v>
      </c>
      <c r="AW277" s="21" t="n">
        <f aca="false">IF(ISBLANK(Actuals!AX97),-3750*Escalation!$B$46,Actuals!AX97)</f>
        <v>-3901.5</v>
      </c>
      <c r="AX277" s="21" t="n">
        <f aca="false">IF(ISBLANK(Actuals!AY97),-3750*Escalation!$B$47,Actuals!AY97)</f>
        <v>-3979.53</v>
      </c>
      <c r="AY277" s="21" t="n">
        <f aca="false">IF(ISBLANK(Actuals!AZ97),-3750*Escalation!$B$48,Actuals!AZ97)</f>
        <v>-3979.53</v>
      </c>
      <c r="AZ277" s="21" t="n">
        <f aca="false">IF(ISBLANK(Actuals!BA97),-3750*Escalation!$B$49,Actuals!BA97)</f>
        <v>-3979.53</v>
      </c>
      <c r="BA277" s="21" t="n">
        <f aca="false">IF(ISBLANK(Actuals!BB97),-3750*Escalation!$B$50,Actuals!BB97)</f>
        <v>-3979.53</v>
      </c>
      <c r="BB277" s="21" t="n">
        <f aca="false">IF(ISBLANK(Actuals!BC97),-3750*Escalation!$B$51,Actuals!BC97)</f>
        <v>-3979.53</v>
      </c>
      <c r="BC277" s="21" t="n">
        <f aca="false">IF(ISBLANK(Actuals!BD97),-3750*Escalation!$B$52,Actuals!BD97)</f>
        <v>-3979.53</v>
      </c>
      <c r="BD277" s="21" t="n">
        <f aca="false">IF(ISBLANK(Actuals!BE97),-3750*Escalation!$B$53,Actuals!BE97)</f>
        <v>-3979.53</v>
      </c>
      <c r="BE277" s="21" t="n">
        <f aca="false">IF(ISBLANK(Actuals!BF97),-3750*Escalation!$B$54,Actuals!BF97)</f>
        <v>-3979.53</v>
      </c>
      <c r="BF277" s="21" t="n">
        <f aca="false">IF(ISBLANK(Actuals!BG97),-3750*Escalation!$B$55,Actuals!BG97)</f>
        <v>-3979.53</v>
      </c>
      <c r="BG277" s="21" t="n">
        <f aca="false">IF(ISBLANK(Actuals!BH97),-3750*Escalation!$B$56,Actuals!BH97)</f>
        <v>-3979.53</v>
      </c>
      <c r="BH277" s="21" t="n">
        <f aca="false">IF(ISBLANK(Actuals!BI97),-3750*Escalation!$B$57,Actuals!BI97)</f>
        <v>-3979.53</v>
      </c>
      <c r="BI277" s="21" t="n">
        <f aca="false">IF(ISBLANK(Actuals!BJ97),-3750*Escalation!$B$58,Actuals!BJ97)</f>
        <v>-3979.53</v>
      </c>
      <c r="BJ277" s="21" t="n">
        <f aca="false">IF(ISBLANK(Actuals!BK97),-3750*Escalation!$B$59,Actuals!BK97)</f>
        <v>-4059.1206</v>
      </c>
      <c r="BK277" s="21" t="n">
        <f aca="false">IF(ISBLANK(Actuals!BL97),-3750*Escalation!$B$60,Actuals!BL97)</f>
        <v>-4059.1206</v>
      </c>
      <c r="BL277" s="21" t="n">
        <f aca="false">IF(ISBLANK(Actuals!BM97),-3750*Escalation!$B$61,Actuals!BM97)</f>
        <v>-4059.1206</v>
      </c>
      <c r="BM277" s="21" t="n">
        <f aca="false">IF(ISBLANK(Actuals!BN97),-3750*Escalation!$B$62,Actuals!BN97)</f>
        <v>-4059.1206</v>
      </c>
      <c r="BN277" s="21" t="n">
        <f aca="false">IF(ISBLANK(Actuals!BO97),-3750*Escalation!$B$63,Actuals!BO97)</f>
        <v>-4059.1206</v>
      </c>
      <c r="BO277" s="21" t="n">
        <f aca="false">IF(ISBLANK(Actuals!BP97),-3750*Escalation!$B$64,Actuals!BP97)</f>
        <v>-4059.1206</v>
      </c>
      <c r="BP277" s="21" t="n">
        <f aca="false">IF(ISBLANK(Actuals!BQ97),-3750*Escalation!$B$65,Actuals!BQ97)</f>
        <v>-4059.1206</v>
      </c>
      <c r="BQ277" s="21" t="n">
        <f aca="false">IF(ISBLANK(Actuals!BR97),-3750*Escalation!$B$66,Actuals!BR97)</f>
        <v>-4059.1206</v>
      </c>
      <c r="BR277" s="21" t="n">
        <f aca="false">IF(ISBLANK(Actuals!BS97),-3750*Escalation!$B$67,Actuals!BS97)</f>
        <v>-4059.1206</v>
      </c>
      <c r="BS277" s="21" t="n">
        <f aca="false">IF(ISBLANK(Actuals!BT97),-3750*Escalation!$B$68,Actuals!BT97)</f>
        <v>-4059.1206</v>
      </c>
      <c r="BT277" s="21" t="n">
        <f aca="false">IF(ISBLANK(Actuals!BU97),-3750*Escalation!$B$69,Actuals!BU97)</f>
        <v>-4059.1206</v>
      </c>
      <c r="BU277" s="21" t="n">
        <f aca="false">IF(ISBLANK(Actuals!BV97),-3750*Escalation!$B$70,Actuals!BV97)</f>
        <v>-4059.1206</v>
      </c>
      <c r="BV277" s="21" t="n">
        <f aca="false">IF(ISBLANK(Actuals!BW97),-3750*Escalation!$B$71,Actuals!BW97)</f>
        <v>-4140.303012</v>
      </c>
      <c r="BW277" s="21" t="n">
        <f aca="false">IF(ISBLANK(Actuals!BX97),-3750*Escalation!$B$72,Actuals!BX97)</f>
        <v>-4140.303012</v>
      </c>
      <c r="BX277" s="21" t="n">
        <f aca="false">IF(ISBLANK(Actuals!BY97),-3750*Escalation!$B$73,Actuals!BY97)</f>
        <v>-4140.303012</v>
      </c>
      <c r="BY277" s="21" t="n">
        <f aca="false">IF(ISBLANK(Actuals!BZ97),-3750*Escalation!$B$74,Actuals!BZ97)</f>
        <v>-4140.303012</v>
      </c>
      <c r="BZ277" s="21" t="n">
        <f aca="false">IF(ISBLANK(Actuals!CA97),-3750*Escalation!$B$75,Actuals!CA97)</f>
        <v>-4140.303012</v>
      </c>
      <c r="CA277" s="21" t="n">
        <f aca="false">IF(ISBLANK(Actuals!CB97),-3750*Escalation!$B$76,Actuals!CB97)</f>
        <v>-4140.303012</v>
      </c>
      <c r="CB277" s="21" t="n">
        <f aca="false">IF(ISBLANK(Actuals!CC97),-3750*Escalation!$B$77,Actuals!CC97)</f>
        <v>-4140.303012</v>
      </c>
      <c r="CC277" s="21" t="n">
        <f aca="false">IF(ISBLANK(Actuals!CD97),-3750*Escalation!$B$78,Actuals!CD97)</f>
        <v>-4140.303012</v>
      </c>
      <c r="CD277" s="21" t="n">
        <f aca="false">IF(ISBLANK(Actuals!CE97),-3750*Escalation!$B$79,Actuals!CE97)</f>
        <v>-4140.303012</v>
      </c>
      <c r="CE277" s="21" t="n">
        <f aca="false">IF(ISBLANK(Actuals!CF97),-3750*Escalation!$B$80,Actuals!CF97)</f>
        <v>-4140.303012</v>
      </c>
      <c r="CF277" s="21" t="n">
        <f aca="false">IF(ISBLANK(Actuals!CG97),-3750*Escalation!$B$81,Actuals!CG97)</f>
        <v>-4140.303012</v>
      </c>
      <c r="CG277" s="21" t="n">
        <f aca="false">IF(ISBLANK(Actuals!CH97),-3750*Escalation!$B$82,Actuals!CH97)</f>
        <v>-4140.303012</v>
      </c>
      <c r="CH277" s="21" t="n">
        <f aca="false">IF(ISBLANK(Actuals!CI97),-3750*Escalation!$B$83,Actuals!CI97)</f>
        <v>-4223.10907224</v>
      </c>
      <c r="CI277" s="21" t="n">
        <f aca="false">IF(ISBLANK(Actuals!CJ97),-3750*Escalation!$B$84,Actuals!CJ97)</f>
        <v>-4223.10907224</v>
      </c>
      <c r="CJ277" s="21" t="n">
        <f aca="false">IF(ISBLANK(Actuals!CK97),-3750*Escalation!$B$85,Actuals!CK97)</f>
        <v>-4223.10907224</v>
      </c>
      <c r="CK277" s="21" t="n">
        <f aca="false">IF(ISBLANK(Actuals!CL97),-3750*Escalation!$B$86,Actuals!CL97)</f>
        <v>-4223.10907224</v>
      </c>
      <c r="CL277" s="21" t="n">
        <f aca="false">IF(ISBLANK(Actuals!CM97),-3750*Escalation!$B$87,Actuals!CM97)</f>
        <v>-4223.10907224</v>
      </c>
      <c r="CM277" s="21" t="n">
        <f aca="false">IF(ISBLANK(Actuals!CN97),-3750*Escalation!$B$88,Actuals!CN97)</f>
        <v>-4223.10907224</v>
      </c>
      <c r="CN277" s="21" t="n">
        <f aca="false">IF(ISBLANK(Actuals!CO97),-3750*Escalation!$B$89,Actuals!CO97)</f>
        <v>-4223.10907224</v>
      </c>
      <c r="CO277" s="21" t="n">
        <f aca="false">IF(ISBLANK(Actuals!CP97),-3750*Escalation!$B$90,Actuals!CP97)</f>
        <v>-4223.10907224</v>
      </c>
      <c r="CP277" s="21" t="n">
        <f aca="false">IF(ISBLANK(Actuals!CQ97),-3750*Escalation!$B$91,Actuals!CQ97)</f>
        <v>-4223.10907224</v>
      </c>
      <c r="CQ277" s="21" t="n">
        <f aca="false">IF(ISBLANK(Actuals!CR97),-3750*Escalation!$B$92,Actuals!CR97)</f>
        <v>-4223.10907224</v>
      </c>
      <c r="CR277" s="21" t="n">
        <f aca="false">IF(ISBLANK(Actuals!CS97),-3750*Escalation!$B$93,Actuals!CS97)</f>
        <v>-4223.10907224</v>
      </c>
      <c r="CS277" s="21" t="n">
        <f aca="false">IF(ISBLANK(Actuals!CT97),-3750*Escalation!$B$94,Actuals!CT97)</f>
        <v>-4223.10907224</v>
      </c>
      <c r="CT277" s="21" t="n">
        <f aca="false">IF(ISBLANK(Actuals!CU97),-3750*Escalation!$B$95,Actuals!CU97)</f>
        <v>-4307.5712536848</v>
      </c>
      <c r="CU277" s="21" t="n">
        <f aca="false">IF(ISBLANK(Actuals!CV97),-3750*Escalation!$B$96,Actuals!CV97)</f>
        <v>-4307.5712536848</v>
      </c>
      <c r="CV277" s="21" t="n">
        <f aca="false">IF(ISBLANK(Actuals!CW97),-3750*Escalation!$B$97,Actuals!CW97)</f>
        <v>-4307.5712536848</v>
      </c>
      <c r="CW277" s="21" t="n">
        <f aca="false">IF(ISBLANK(Actuals!CX97),-3750*Escalation!$B$98,Actuals!CX97)</f>
        <v>-4307.5712536848</v>
      </c>
      <c r="CX277" s="21" t="n">
        <f aca="false">IF(ISBLANK(Actuals!CY97),-3750*Escalation!$B$99,Actuals!CY97)</f>
        <v>-4307.5712536848</v>
      </c>
      <c r="CY277" s="21" t="n">
        <f aca="false">IF(ISBLANK(Actuals!CZ97),-3750*Escalation!$B$100,Actuals!CZ97)</f>
        <v>-4307.5712536848</v>
      </c>
      <c r="CZ277" s="21" t="n">
        <f aca="false">IF(ISBLANK(Actuals!DA97),-3750*Escalation!$B$101,Actuals!DA97)</f>
        <v>-4307.5712536848</v>
      </c>
      <c r="DA277" s="21" t="n">
        <f aca="false">IF(ISBLANK(Actuals!DB97),-3750*Escalation!$B$102,Actuals!DB97)</f>
        <v>-4307.5712536848</v>
      </c>
      <c r="DB277" s="21" t="n">
        <f aca="false">IF(ISBLANK(Actuals!DC97),-3750*Escalation!$B$103,Actuals!DC97)</f>
        <v>-4307.5712536848</v>
      </c>
      <c r="DC277" s="21" t="n">
        <f aca="false">IF(ISBLANK(Actuals!DD97),-3750*Escalation!$B$104,Actuals!DD97)</f>
        <v>-4307.5712536848</v>
      </c>
      <c r="DD277" s="21" t="n">
        <f aca="false">IF(ISBLANK(Actuals!DE97),-3750*Escalation!$B$105,Actuals!DE97)</f>
        <v>-4307.5712536848</v>
      </c>
      <c r="DE277" s="21" t="n">
        <f aca="false">IF(ISBLANK(Actuals!DF97),-3750*Escalation!$B$106,Actuals!DF97)</f>
        <v>-4307.5712536848</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-21969.2</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-2675.39</v>
      </c>
      <c r="R278" s="21" t="n">
        <f aca="false">IF(ISBLANK(Actuals!S98),-2675.39*Escalation!$B$15,Actuals!S98)</f>
        <v>-2675.39</v>
      </c>
      <c r="S278" s="21" t="n">
        <f aca="false">IF(ISBLANK(Actuals!T98),-2675.39*Escalation!$B$16,Actuals!T98)</f>
        <v>-2675.39</v>
      </c>
      <c r="T278" s="21" t="n">
        <f aca="false">IF(ISBLANK(Actuals!U98),-2675.39*Escalation!$B$17,Actuals!U98)</f>
        <v>-2675.39</v>
      </c>
      <c r="U278" s="21" t="n">
        <f aca="false">IF(ISBLANK(Actuals!V98),-2675.39*Escalation!$B$18,Actuals!V98)</f>
        <v>-2675.39</v>
      </c>
      <c r="V278" s="21" t="n">
        <f aca="false">IF(ISBLANK(Actuals!W98),-2675.39*Escalation!$B$19,Actuals!W98)</f>
        <v>-2675.39</v>
      </c>
      <c r="W278" s="21" t="n">
        <f aca="false">IF(ISBLANK(Actuals!X98),-2675.39*Escalation!$B$20,Actuals!X98)</f>
        <v>-2675.39</v>
      </c>
      <c r="X278" s="21" t="n">
        <f aca="false">IF(ISBLANK(Actuals!Y98),-2675.39*Escalation!$B$21,Actuals!Y98)</f>
        <v>-2675.39</v>
      </c>
      <c r="Y278" s="21" t="n">
        <f aca="false">IF(ISBLANK(Actuals!Z98),-2675.39*Escalation!$B$22,Actuals!Z98)</f>
        <v>-2675.39</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-2728.8978</v>
      </c>
      <c r="AD278" s="21" t="n">
        <f aca="false">IF(ISBLANK(Actuals!AE98),-2675.39*Escalation!$B$27,Actuals!AE98)</f>
        <v>-2728.8978</v>
      </c>
      <c r="AE278" s="21" t="n">
        <f aca="false">IF(ISBLANK(Actuals!AF98),-2675.39*Escalation!$B$28,Actuals!AF98)</f>
        <v>-2728.8978</v>
      </c>
      <c r="AF278" s="21" t="n">
        <f aca="false">IF(ISBLANK(Actuals!AG98),-2675.39*Escalation!$B$29,Actuals!AG98)</f>
        <v>-2728.8978</v>
      </c>
      <c r="AG278" s="21" t="n">
        <f aca="false">IF(ISBLANK(Actuals!AH98),-2675.39*Escalation!$B$30,Actuals!AH98)</f>
        <v>-2728.8978</v>
      </c>
      <c r="AH278" s="21" t="n">
        <f aca="false">IF(ISBLANK(Actuals!AI98),-2675.39*Escalation!$B$31,Actuals!AI98)</f>
        <v>-2728.8978</v>
      </c>
      <c r="AI278" s="21" t="n">
        <f aca="false">IF(ISBLANK(Actuals!AJ98),-2675.39*Escalation!$B$32,Actuals!AJ98)</f>
        <v>-2728.8978</v>
      </c>
      <c r="AJ278" s="21" t="n">
        <f aca="false">IF(ISBLANK(Actuals!AK98),-2675.39*Escalation!$B$33,Actuals!AK98)</f>
        <v>-2728.8978</v>
      </c>
      <c r="AK278" s="21" t="n">
        <f aca="false">IF(ISBLANK(Actuals!AL98),-2675.39*Escalation!$B$34,Actuals!AL98)</f>
        <v>-2728.8978</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-2783.475756</v>
      </c>
      <c r="AP278" s="21" t="n">
        <f aca="false">IF(ISBLANK(Actuals!AQ98),-2675.39*Escalation!$B$39,Actuals!AQ98)</f>
        <v>-2783.475756</v>
      </c>
      <c r="AQ278" s="21" t="n">
        <f aca="false">IF(ISBLANK(Actuals!AR98),-2675.39*Escalation!$B$40,Actuals!AR98)</f>
        <v>-2783.475756</v>
      </c>
      <c r="AR278" s="21" t="n">
        <f aca="false">IF(ISBLANK(Actuals!AS98),-2675.39*Escalation!$B$41,Actuals!AS98)</f>
        <v>-2783.475756</v>
      </c>
      <c r="AS278" s="21" t="n">
        <f aca="false">IF(ISBLANK(Actuals!AT98),-2675.39*Escalation!$B$42,Actuals!AT98)</f>
        <v>-2783.475756</v>
      </c>
      <c r="AT278" s="21" t="n">
        <f aca="false">IF(ISBLANK(Actuals!AU98),-2675.39*Escalation!$B$43,Actuals!AU98)</f>
        <v>-2783.475756</v>
      </c>
      <c r="AU278" s="21" t="n">
        <f aca="false">IF(ISBLANK(Actuals!AV98),-2675.39*Escalation!$B$44,Actuals!AV98)</f>
        <v>-2783.475756</v>
      </c>
      <c r="AV278" s="21" t="n">
        <f aca="false">IF(ISBLANK(Actuals!AW98),-2675.39*Escalation!$B$45,Actuals!AW98)</f>
        <v>-2783.475756</v>
      </c>
      <c r="AW278" s="21" t="n">
        <f aca="false">IF(ISBLANK(Actuals!AX98),-2675.39*Escalation!$B$46,Actuals!AX98)</f>
        <v>-2783.475756</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-2839.14527112</v>
      </c>
      <c r="BB278" s="21" t="n">
        <f aca="false">IF(ISBLANK(Actuals!BC98),-2675.39*Escalation!$B$51,Actuals!BC98)</f>
        <v>-2839.14527112</v>
      </c>
      <c r="BC278" s="21" t="n">
        <f aca="false">IF(ISBLANK(Actuals!BD98),-2675.39*Escalation!$B$52,Actuals!BD98)</f>
        <v>-2839.14527112</v>
      </c>
      <c r="BD278" s="21" t="n">
        <f aca="false">IF(ISBLANK(Actuals!BE98),-2675.39*Escalation!$B$53,Actuals!BE98)</f>
        <v>-2839.14527112</v>
      </c>
      <c r="BE278" s="21" t="n">
        <f aca="false">IF(ISBLANK(Actuals!BF98),-2675.39*Escalation!$B$54,Actuals!BF98)</f>
        <v>-2839.14527112</v>
      </c>
      <c r="BF278" s="21" t="n">
        <f aca="false">IF(ISBLANK(Actuals!BG98),-2675.39*Escalation!$B$55,Actuals!BG98)</f>
        <v>-2839.14527112</v>
      </c>
      <c r="BG278" s="21" t="n">
        <f aca="false">IF(ISBLANK(Actuals!BH98),-2675.39*Escalation!$B$56,Actuals!BH98)</f>
        <v>-2839.14527112</v>
      </c>
      <c r="BH278" s="21" t="n">
        <f aca="false">IF(ISBLANK(Actuals!BI98),-2675.39*Escalation!$B$57,Actuals!BI98)</f>
        <v>-2839.14527112</v>
      </c>
      <c r="BI278" s="21" t="n">
        <f aca="false">IF(ISBLANK(Actuals!BJ98),-2675.39*Escalation!$B$58,Actuals!BJ98)</f>
        <v>-2839.14527112</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-2895.9281765424</v>
      </c>
      <c r="BN278" s="21" t="n">
        <f aca="false">IF(ISBLANK(Actuals!BO98),-2675.39*Escalation!$B$63,Actuals!BO98)</f>
        <v>-2895.9281765424</v>
      </c>
      <c r="BO278" s="21" t="n">
        <f aca="false">IF(ISBLANK(Actuals!BP98),-2675.39*Escalation!$B$64,Actuals!BP98)</f>
        <v>-2895.9281765424</v>
      </c>
      <c r="BP278" s="21" t="n">
        <f aca="false">IF(ISBLANK(Actuals!BQ98),-2675.39*Escalation!$B$65,Actuals!BQ98)</f>
        <v>-2895.9281765424</v>
      </c>
      <c r="BQ278" s="21" t="n">
        <f aca="false">IF(ISBLANK(Actuals!BR98),-2675.39*Escalation!$B$66,Actuals!BR98)</f>
        <v>-2895.9281765424</v>
      </c>
      <c r="BR278" s="21" t="n">
        <f aca="false">IF(ISBLANK(Actuals!BS98),-2675.39*Escalation!$B$67,Actuals!BS98)</f>
        <v>-2895.9281765424</v>
      </c>
      <c r="BS278" s="21" t="n">
        <f aca="false">IF(ISBLANK(Actuals!BT98),-2675.39*Escalation!$B$68,Actuals!BT98)</f>
        <v>-2895.9281765424</v>
      </c>
      <c r="BT278" s="21" t="n">
        <f aca="false">IF(ISBLANK(Actuals!BU98),-2675.39*Escalation!$B$69,Actuals!BU98)</f>
        <v>-2895.9281765424</v>
      </c>
      <c r="BU278" s="21" t="n">
        <f aca="false">IF(ISBLANK(Actuals!BV98),-2675.39*Escalation!$B$70,Actuals!BV98)</f>
        <v>-2895.9281765424</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-2953.84674007325</v>
      </c>
      <c r="BZ278" s="21" t="n">
        <f aca="false">IF(ISBLANK(Actuals!CA98),-2675.39*Escalation!$B$75,Actuals!CA98)</f>
        <v>-2953.84674007325</v>
      </c>
      <c r="CA278" s="21" t="n">
        <f aca="false">IF(ISBLANK(Actuals!CB98),-2675.39*Escalation!$B$76,Actuals!CB98)</f>
        <v>-2953.84674007325</v>
      </c>
      <c r="CB278" s="21" t="n">
        <f aca="false">IF(ISBLANK(Actuals!CC98),-2675.39*Escalation!$B$77,Actuals!CC98)</f>
        <v>-2953.84674007325</v>
      </c>
      <c r="CC278" s="21" t="n">
        <f aca="false">IF(ISBLANK(Actuals!CD98),-2675.39*Escalation!$B$78,Actuals!CD98)</f>
        <v>-2953.84674007325</v>
      </c>
      <c r="CD278" s="21" t="n">
        <f aca="false">IF(ISBLANK(Actuals!CE98),-2675.39*Escalation!$B$79,Actuals!CE98)</f>
        <v>-2953.84674007325</v>
      </c>
      <c r="CE278" s="21" t="n">
        <f aca="false">IF(ISBLANK(Actuals!CF98),-2675.39*Escalation!$B$80,Actuals!CF98)</f>
        <v>-2953.84674007325</v>
      </c>
      <c r="CF278" s="21" t="n">
        <f aca="false">IF(ISBLANK(Actuals!CG98),-2675.39*Escalation!$B$81,Actuals!CG98)</f>
        <v>-2953.84674007325</v>
      </c>
      <c r="CG278" s="21" t="n">
        <f aca="false">IF(ISBLANK(Actuals!CH98),-2675.39*Escalation!$B$82,Actuals!CH98)</f>
        <v>-2953.84674007325</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-3012.92367487471</v>
      </c>
      <c r="CL278" s="21" t="n">
        <f aca="false">IF(ISBLANK(Actuals!CM98),-2675.39*Escalation!$B$87,Actuals!CM98)</f>
        <v>-3012.92367487471</v>
      </c>
      <c r="CM278" s="21" t="n">
        <f aca="false">IF(ISBLANK(Actuals!CN98),-2675.39*Escalation!$B$88,Actuals!CN98)</f>
        <v>-3012.92367487471</v>
      </c>
      <c r="CN278" s="21" t="n">
        <f aca="false">IF(ISBLANK(Actuals!CO98),-2675.39*Escalation!$B$89,Actuals!CO98)</f>
        <v>-3012.92367487471</v>
      </c>
      <c r="CO278" s="21" t="n">
        <f aca="false">IF(ISBLANK(Actuals!CP98),-2675.39*Escalation!$B$90,Actuals!CP98)</f>
        <v>-3012.92367487471</v>
      </c>
      <c r="CP278" s="21" t="n">
        <f aca="false">IF(ISBLANK(Actuals!CQ98),-2675.39*Escalation!$B$91,Actuals!CQ98)</f>
        <v>-3012.92367487471</v>
      </c>
      <c r="CQ278" s="21" t="n">
        <f aca="false">IF(ISBLANK(Actuals!CR98),-2675.39*Escalation!$B$92,Actuals!CR98)</f>
        <v>-3012.92367487471</v>
      </c>
      <c r="CR278" s="21" t="n">
        <f aca="false">IF(ISBLANK(Actuals!CS98),-2675.39*Escalation!$B$93,Actuals!CS98)</f>
        <v>-3012.92367487471</v>
      </c>
      <c r="CS278" s="21" t="n">
        <f aca="false">IF(ISBLANK(Actuals!CT98),-2675.39*Escalation!$B$94,Actuals!CT98)</f>
        <v>-3012.92367487471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-3073.18214837221</v>
      </c>
      <c r="CX278" s="21" t="n">
        <f aca="false">IF(ISBLANK(Actuals!CY98),-2675.39*Escalation!$B$99,Actuals!CY98)</f>
        <v>-3073.18214837221</v>
      </c>
      <c r="CY278" s="21" t="n">
        <f aca="false">IF(ISBLANK(Actuals!CZ98),-2675.39*Escalation!$B$100,Actuals!CZ98)</f>
        <v>-3073.18214837221</v>
      </c>
      <c r="CZ278" s="21" t="n">
        <f aca="false">IF(ISBLANK(Actuals!DA98),-2675.39*Escalation!$B$101,Actuals!DA98)</f>
        <v>-3073.18214837221</v>
      </c>
      <c r="DA278" s="21" t="n">
        <f aca="false">IF(ISBLANK(Actuals!DB98),-2675.39*Escalation!$B$102,Actuals!DB98)</f>
        <v>-3073.18214837221</v>
      </c>
      <c r="DB278" s="21" t="n">
        <f aca="false">IF(ISBLANK(Actuals!DC98),-2675.39*Escalation!$B$103,Actuals!DC98)</f>
        <v>-3073.18214837221</v>
      </c>
      <c r="DC278" s="21" t="n">
        <f aca="false">IF(ISBLANK(Actuals!DD98),-2675.39*Escalation!$B$104,Actuals!DD98)</f>
        <v>-3073.18214837221</v>
      </c>
      <c r="DD278" s="21" t="n">
        <f aca="false">IF(ISBLANK(Actuals!DE98),-2675.39*Escalation!$B$105,Actuals!DE98)</f>
        <v>-3073.18214837221</v>
      </c>
      <c r="DE278" s="21" t="n">
        <f aca="false">IF(ISBLANK(Actuals!DF98),-2675.39*Escalation!$B$106,Actuals!DF98)</f>
        <v>-3073.18214837221</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-28083.3333333333</v>
      </c>
      <c r="R279" s="21" t="n">
        <f aca="false">IF(ISBLANK(Actuals!S99),(-(SUMPRODUCT((Personnel!$O$9:$O$100="SP-Prof")*(Personnel!$G$9:$G$100="Yes")*(14&gt;=Personnel!$E$9:$E$100)*((Personnel!$K$9:$K$100="")+(14&lt;=Personnel!$K$9:$K$100)&gt;0)*Personnel!$D$9:$D$100*(1-Personnel!$I$9:$I$100))))*Escalation!$B$15,Actuals!S99)</f>
        <v>-28083.3333333333</v>
      </c>
      <c r="S279" s="21" t="n">
        <f aca="false">IF(ISBLANK(Actuals!T99),(-(SUMPRODUCT((Personnel!$O$9:$O$100="SP-Prof")*(Personnel!$G$9:$G$100="Yes")*(15&gt;=Personnel!$E$9:$E$100)*((Personnel!$K$9:$K$100="")+(15&lt;=Personnel!$K$9:$K$100)&gt;0)*Personnel!$D$9:$D$100*(1-Personnel!$I$9:$I$100))))*Escalation!$B$16,Actuals!T99)</f>
        <v>-28083.3333333333</v>
      </c>
      <c r="T279" s="21" t="n">
        <f aca="false">IF(ISBLANK(Actuals!U99),(-(SUMPRODUCT((Personnel!$O$9:$O$100="SP-Prof")*(Personnel!$G$9:$G$100="Yes")*(16&gt;=Personnel!$E$9:$E$100)*((Personnel!$K$9:$K$100="")+(16&lt;=Personnel!$K$9:$K$100)&gt;0)*Personnel!$D$9:$D$100*(1-Personnel!$I$9:$I$100))))*Escalation!$B$17,Actuals!U99)</f>
        <v>-28083.3333333333</v>
      </c>
      <c r="U279" s="21" t="n">
        <f aca="false">IF(ISBLANK(Actuals!V99),(-(SUMPRODUCT((Personnel!$O$9:$O$100="SP-Prof")*(Personnel!$G$9:$G$100="Yes")*(17&gt;=Personnel!$E$9:$E$100)*((Personnel!$K$9:$K$100="")+(17&lt;=Personnel!$K$9:$K$100)&gt;0)*Personnel!$D$9:$D$100*(1-Personnel!$I$9:$I$100))))*Escalation!$B$18,Actuals!V99)</f>
        <v>-28083.3333333333</v>
      </c>
      <c r="V279" s="21" t="n">
        <f aca="false">IF(ISBLANK(Actuals!W99),(-(SUMPRODUCT((Personnel!$O$9:$O$100="SP-Prof")*(Personnel!$G$9:$G$100="Yes")*(18&gt;=Personnel!$E$9:$E$100)*((Personnel!$K$9:$K$100="")+(18&lt;=Personnel!$K$9:$K$100)&gt;0)*Personnel!$D$9:$D$100*(1-Personnel!$I$9:$I$100))))*Escalation!$B$19,Actuals!W99)</f>
        <v>-28083.3333333333</v>
      </c>
      <c r="W279" s="21" t="n">
        <f aca="false">IF(ISBLANK(Actuals!X99),(-(SUMPRODUCT((Personnel!$O$9:$O$100="SP-Prof")*(Personnel!$G$9:$G$100="Yes")*(19&gt;=Personnel!$E$9:$E$100)*((Personnel!$K$9:$K$100="")+(19&lt;=Personnel!$K$9:$K$100)&gt;0)*Personnel!$D$9:$D$100*(1-Personnel!$I$9:$I$100))))*Escalation!$B$20,Actuals!X99)</f>
        <v>-28083.3333333333</v>
      </c>
      <c r="X279" s="21" t="n">
        <f aca="false">IF(ISBLANK(Actuals!Y99),(-(SUMPRODUCT((Personnel!$O$9:$O$100="SP-Prof")*(Personnel!$G$9:$G$100="Yes")*(20&gt;=Personnel!$E$9:$E$100)*((Personnel!$K$9:$K$100="")+(20&lt;=Personnel!$K$9:$K$100)&gt;0)*Personnel!$D$9:$D$100*(1-Personnel!$I$9:$I$100))))*Escalation!$B$21,Actuals!Y99)</f>
        <v>-28083.3333333333</v>
      </c>
      <c r="Y279" s="21" t="n">
        <f aca="false">IF(ISBLANK(Actuals!Z99),(-(SUMPRODUCT((Personnel!$O$9:$O$100="SP-Prof")*(Personnel!$G$9:$G$100="Yes")*(21&gt;=Personnel!$E$9:$E$100)*((Personnel!$K$9:$K$100="")+(21&lt;=Personnel!$K$9:$K$100)&gt;0)*Personnel!$D$9:$D$100*(1-Personnel!$I$9:$I$100))))*Escalation!$B$22,Actuals!Z99)</f>
        <v>-28083.3333333333</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-28645</v>
      </c>
      <c r="AD279" s="21" t="n">
        <f aca="false">IF(ISBLANK(Actuals!AE99),(-(SUMPRODUCT((Personnel!$O$9:$O$100="SP-Prof")*(Personnel!$G$9:$G$100="Yes")*(26&gt;=Personnel!$E$9:$E$100)*((Personnel!$K$9:$K$100="")+(26&lt;=Personnel!$K$9:$K$100)&gt;0)*Personnel!$D$9:$D$100*(1-Personnel!$I$9:$I$100))))*Escalation!$B$27,Actuals!AE99)</f>
        <v>-28645</v>
      </c>
      <c r="AE279" s="21" t="n">
        <f aca="false">IF(ISBLANK(Actuals!AF99),(-(SUMPRODUCT((Personnel!$O$9:$O$100="SP-Prof")*(Personnel!$G$9:$G$100="Yes")*(27&gt;=Personnel!$E$9:$E$100)*((Personnel!$K$9:$K$100="")+(27&lt;=Personnel!$K$9:$K$100)&gt;0)*Personnel!$D$9:$D$100*(1-Personnel!$I$9:$I$100))))*Escalation!$B$28,Actuals!AF99)</f>
        <v>-28645</v>
      </c>
      <c r="AF279" s="21" t="n">
        <f aca="false">IF(ISBLANK(Actuals!AG99),(-(SUMPRODUCT((Personnel!$O$9:$O$100="SP-Prof")*(Personnel!$G$9:$G$100="Yes")*(28&gt;=Personnel!$E$9:$E$100)*((Personnel!$K$9:$K$100="")+(28&lt;=Personnel!$K$9:$K$100)&gt;0)*Personnel!$D$9:$D$100*(1-Personnel!$I$9:$I$100))))*Escalation!$B$29,Actuals!AG99)</f>
        <v>-28645</v>
      </c>
      <c r="AG279" s="21" t="n">
        <f aca="false">IF(ISBLANK(Actuals!AH99),(-(SUMPRODUCT((Personnel!$O$9:$O$100="SP-Prof")*(Personnel!$G$9:$G$100="Yes")*(29&gt;=Personnel!$E$9:$E$100)*((Personnel!$K$9:$K$100="")+(29&lt;=Personnel!$K$9:$K$100)&gt;0)*Personnel!$D$9:$D$100*(1-Personnel!$I$9:$I$100))))*Escalation!$B$30,Actuals!AH99)</f>
        <v>-28645</v>
      </c>
      <c r="AH279" s="21" t="n">
        <f aca="false">IF(ISBLANK(Actuals!AI99),(-(SUMPRODUCT((Personnel!$O$9:$O$100="SP-Prof")*(Personnel!$G$9:$G$100="Yes")*(30&gt;=Personnel!$E$9:$E$100)*((Personnel!$K$9:$K$100="")+(30&lt;=Personnel!$K$9:$K$100)&gt;0)*Personnel!$D$9:$D$100*(1-Personnel!$I$9:$I$100))))*Escalation!$B$31,Actuals!AI99)</f>
        <v>-28645</v>
      </c>
      <c r="AI279" s="21" t="n">
        <f aca="false">IF(ISBLANK(Actuals!AJ99),(-(SUMPRODUCT((Personnel!$O$9:$O$100="SP-Prof")*(Personnel!$G$9:$G$100="Yes")*(31&gt;=Personnel!$E$9:$E$100)*((Personnel!$K$9:$K$100="")+(31&lt;=Personnel!$K$9:$K$100)&gt;0)*Personnel!$D$9:$D$100*(1-Personnel!$I$9:$I$100))))*Escalation!$B$32,Actuals!AJ99)</f>
        <v>-28645</v>
      </c>
      <c r="AJ279" s="21" t="n">
        <f aca="false">IF(ISBLANK(Actuals!AK99),(-(SUMPRODUCT((Personnel!$O$9:$O$100="SP-Prof")*(Personnel!$G$9:$G$100="Yes")*(32&gt;=Personnel!$E$9:$E$100)*((Personnel!$K$9:$K$100="")+(32&lt;=Personnel!$K$9:$K$100)&gt;0)*Personnel!$D$9:$D$100*(1-Personnel!$I$9:$I$100))))*Escalation!$B$33,Actuals!AK99)</f>
        <v>-28645</v>
      </c>
      <c r="AK279" s="21" t="n">
        <f aca="false">IF(ISBLANK(Actuals!AL99),(-(SUMPRODUCT((Personnel!$O$9:$O$100="SP-Prof")*(Personnel!$G$9:$G$100="Yes")*(33&gt;=Personnel!$E$9:$E$100)*((Personnel!$K$9:$K$100="")+(33&lt;=Personnel!$K$9:$K$100)&gt;0)*Personnel!$D$9:$D$100*(1-Personnel!$I$9:$I$100))))*Escalation!$B$34,Actuals!AL99)</f>
        <v>-28645</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-29217.9</v>
      </c>
      <c r="AP279" s="21" t="n">
        <f aca="false">IF(ISBLANK(Actuals!AQ99),(-(SUMPRODUCT((Personnel!$O$9:$O$100="SP-Prof")*(Personnel!$G$9:$G$100="Yes")*(38&gt;=Personnel!$E$9:$E$100)*((Personnel!$K$9:$K$100="")+(38&lt;=Personnel!$K$9:$K$100)&gt;0)*Personnel!$D$9:$D$100*(1-Personnel!$I$9:$I$100))))*Escalation!$B$39,Actuals!AQ99)</f>
        <v>-29217.9</v>
      </c>
      <c r="AQ279" s="21" t="n">
        <f aca="false">IF(ISBLANK(Actuals!AR99),(-(SUMPRODUCT((Personnel!$O$9:$O$100="SP-Prof")*(Personnel!$G$9:$G$100="Yes")*(39&gt;=Personnel!$E$9:$E$100)*((Personnel!$K$9:$K$100="")+(39&lt;=Personnel!$K$9:$K$100)&gt;0)*Personnel!$D$9:$D$100*(1-Personnel!$I$9:$I$100))))*Escalation!$B$40,Actuals!AR99)</f>
        <v>-29217.9</v>
      </c>
      <c r="AR279" s="21" t="n">
        <f aca="false">IF(ISBLANK(Actuals!AS99),(-(SUMPRODUCT((Personnel!$O$9:$O$100="SP-Prof")*(Personnel!$G$9:$G$100="Yes")*(40&gt;=Personnel!$E$9:$E$100)*((Personnel!$K$9:$K$100="")+(40&lt;=Personnel!$K$9:$K$100)&gt;0)*Personnel!$D$9:$D$100*(1-Personnel!$I$9:$I$100))))*Escalation!$B$41,Actuals!AS99)</f>
        <v>-29217.9</v>
      </c>
      <c r="AS279" s="21" t="n">
        <f aca="false">IF(ISBLANK(Actuals!AT99),(-(SUMPRODUCT((Personnel!$O$9:$O$100="SP-Prof")*(Personnel!$G$9:$G$100="Yes")*(41&gt;=Personnel!$E$9:$E$100)*((Personnel!$K$9:$K$100="")+(41&lt;=Personnel!$K$9:$K$100)&gt;0)*Personnel!$D$9:$D$100*(1-Personnel!$I$9:$I$100))))*Escalation!$B$42,Actuals!AT99)</f>
        <v>-29217.9</v>
      </c>
      <c r="AT279" s="21" t="n">
        <f aca="false">IF(ISBLANK(Actuals!AU99),(-(SUMPRODUCT((Personnel!$O$9:$O$100="SP-Prof")*(Personnel!$G$9:$G$100="Yes")*(42&gt;=Personnel!$E$9:$E$100)*((Personnel!$K$9:$K$100="")+(42&lt;=Personnel!$K$9:$K$100)&gt;0)*Personnel!$D$9:$D$100*(1-Personnel!$I$9:$I$100))))*Escalation!$B$43,Actuals!AU99)</f>
        <v>-29217.9</v>
      </c>
      <c r="AU279" s="21" t="n">
        <f aca="false">IF(ISBLANK(Actuals!AV99),(-(SUMPRODUCT((Personnel!$O$9:$O$100="SP-Prof")*(Personnel!$G$9:$G$100="Yes")*(43&gt;=Personnel!$E$9:$E$100)*((Personnel!$K$9:$K$100="")+(43&lt;=Personnel!$K$9:$K$100)&gt;0)*Personnel!$D$9:$D$100*(1-Personnel!$I$9:$I$100))))*Escalation!$B$44,Actuals!AV99)</f>
        <v>-29217.9</v>
      </c>
      <c r="AV279" s="21" t="n">
        <f aca="false">IF(ISBLANK(Actuals!AW99),(-(SUMPRODUCT((Personnel!$O$9:$O$100="SP-Prof")*(Personnel!$G$9:$G$100="Yes")*(44&gt;=Personnel!$E$9:$E$100)*((Personnel!$K$9:$K$100="")+(44&lt;=Personnel!$K$9:$K$100)&gt;0)*Personnel!$D$9:$D$100*(1-Personnel!$I$9:$I$100))))*Escalation!$B$45,Actuals!AW99)</f>
        <v>-29217.9</v>
      </c>
      <c r="AW279" s="21" t="n">
        <f aca="false">IF(ISBLANK(Actuals!AX99),(-(SUMPRODUCT((Personnel!$O$9:$O$100="SP-Prof")*(Personnel!$G$9:$G$100="Yes")*(45&gt;=Personnel!$E$9:$E$100)*((Personnel!$K$9:$K$100="")+(45&lt;=Personnel!$K$9:$K$100)&gt;0)*Personnel!$D$9:$D$100*(1-Personnel!$I$9:$I$100))))*Escalation!$B$46,Actuals!AX99)</f>
        <v>-29217.9</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-29802.258</v>
      </c>
      <c r="BB279" s="21" t="n">
        <f aca="false">IF(ISBLANK(Actuals!BC99),(-(SUMPRODUCT((Personnel!$O$9:$O$100="SP-Prof")*(Personnel!$G$9:$G$100="Yes")*(50&gt;=Personnel!$E$9:$E$100)*((Personnel!$K$9:$K$100="")+(50&lt;=Personnel!$K$9:$K$100)&gt;0)*Personnel!$D$9:$D$100*(1-Personnel!$I$9:$I$100))))*Escalation!$B$51,Actuals!BC99)</f>
        <v>-29802.258</v>
      </c>
      <c r="BC279" s="21" t="n">
        <f aca="false">IF(ISBLANK(Actuals!BD99),(-(SUMPRODUCT((Personnel!$O$9:$O$100="SP-Prof")*(Personnel!$G$9:$G$100="Yes")*(51&gt;=Personnel!$E$9:$E$100)*((Personnel!$K$9:$K$100="")+(51&lt;=Personnel!$K$9:$K$100)&gt;0)*Personnel!$D$9:$D$100*(1-Personnel!$I$9:$I$100))))*Escalation!$B$52,Actuals!BD99)</f>
        <v>-29802.258</v>
      </c>
      <c r="BD279" s="21" t="n">
        <f aca="false">IF(ISBLANK(Actuals!BE99),(-(SUMPRODUCT((Personnel!$O$9:$O$100="SP-Prof")*(Personnel!$G$9:$G$100="Yes")*(52&gt;=Personnel!$E$9:$E$100)*((Personnel!$K$9:$K$100="")+(52&lt;=Personnel!$K$9:$K$100)&gt;0)*Personnel!$D$9:$D$100*(1-Personnel!$I$9:$I$100))))*Escalation!$B$53,Actuals!BE99)</f>
        <v>-29802.258</v>
      </c>
      <c r="BE279" s="21" t="n">
        <f aca="false">IF(ISBLANK(Actuals!BF99),(-(SUMPRODUCT((Personnel!$O$9:$O$100="SP-Prof")*(Personnel!$G$9:$G$100="Yes")*(53&gt;=Personnel!$E$9:$E$100)*((Personnel!$K$9:$K$100="")+(53&lt;=Personnel!$K$9:$K$100)&gt;0)*Personnel!$D$9:$D$100*(1-Personnel!$I$9:$I$100))))*Escalation!$B$54,Actuals!BF99)</f>
        <v>-29802.258</v>
      </c>
      <c r="BF279" s="21" t="n">
        <f aca="false">IF(ISBLANK(Actuals!BG99),(-(SUMPRODUCT((Personnel!$O$9:$O$100="SP-Prof")*(Personnel!$G$9:$G$100="Yes")*(54&gt;=Personnel!$E$9:$E$100)*((Personnel!$K$9:$K$100="")+(54&lt;=Personnel!$K$9:$K$100)&gt;0)*Personnel!$D$9:$D$100*(1-Personnel!$I$9:$I$100))))*Escalation!$B$55,Actuals!BG99)</f>
        <v>-29802.258</v>
      </c>
      <c r="BG279" s="21" t="n">
        <f aca="false">IF(ISBLANK(Actuals!BH99),(-(SUMPRODUCT((Personnel!$O$9:$O$100="SP-Prof")*(Personnel!$G$9:$G$100="Yes")*(55&gt;=Personnel!$E$9:$E$100)*((Personnel!$K$9:$K$100="")+(55&lt;=Personnel!$K$9:$K$100)&gt;0)*Personnel!$D$9:$D$100*(1-Personnel!$I$9:$I$100))))*Escalation!$B$56,Actuals!BH99)</f>
        <v>-29802.258</v>
      </c>
      <c r="BH279" s="21" t="n">
        <f aca="false">IF(ISBLANK(Actuals!BI99),(-(SUMPRODUCT((Personnel!$O$9:$O$100="SP-Prof")*(Personnel!$G$9:$G$100="Yes")*(56&gt;=Personnel!$E$9:$E$100)*((Personnel!$K$9:$K$100="")+(56&lt;=Personnel!$K$9:$K$100)&gt;0)*Personnel!$D$9:$D$100*(1-Personnel!$I$9:$I$100))))*Escalation!$B$57,Actuals!BI99)</f>
        <v>-29802.258</v>
      </c>
      <c r="BI279" s="21" t="n">
        <f aca="false">IF(ISBLANK(Actuals!BJ99),(-(SUMPRODUCT((Personnel!$O$9:$O$100="SP-Prof")*(Personnel!$G$9:$G$100="Yes")*(57&gt;=Personnel!$E$9:$E$100)*((Personnel!$K$9:$K$100="")+(57&lt;=Personnel!$K$9:$K$100)&gt;0)*Personnel!$D$9:$D$100*(1-Personnel!$I$9:$I$100))))*Escalation!$B$58,Actuals!BJ99)</f>
        <v>-29802.258</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-30398.30316</v>
      </c>
      <c r="BN279" s="21" t="n">
        <f aca="false">IF(ISBLANK(Actuals!BO99),(-(SUMPRODUCT((Personnel!$O$9:$O$100="SP-Prof")*(Personnel!$G$9:$G$100="Yes")*(62&gt;=Personnel!$E$9:$E$100)*((Personnel!$K$9:$K$100="")+(62&lt;=Personnel!$K$9:$K$100)&gt;0)*Personnel!$D$9:$D$100*(1-Personnel!$I$9:$I$100))))*Escalation!$B$63,Actuals!BO99)</f>
        <v>-30398.30316</v>
      </c>
      <c r="BO279" s="21" t="n">
        <f aca="false">IF(ISBLANK(Actuals!BP99),(-(SUMPRODUCT((Personnel!$O$9:$O$100="SP-Prof")*(Personnel!$G$9:$G$100="Yes")*(63&gt;=Personnel!$E$9:$E$100)*((Personnel!$K$9:$K$100="")+(63&lt;=Personnel!$K$9:$K$100)&gt;0)*Personnel!$D$9:$D$100*(1-Personnel!$I$9:$I$100))))*Escalation!$B$64,Actuals!BP99)</f>
        <v>-30398.30316</v>
      </c>
      <c r="BP279" s="21" t="n">
        <f aca="false">IF(ISBLANK(Actuals!BQ99),(-(SUMPRODUCT((Personnel!$O$9:$O$100="SP-Prof")*(Personnel!$G$9:$G$100="Yes")*(64&gt;=Personnel!$E$9:$E$100)*((Personnel!$K$9:$K$100="")+(64&lt;=Personnel!$K$9:$K$100)&gt;0)*Personnel!$D$9:$D$100*(1-Personnel!$I$9:$I$100))))*Escalation!$B$65,Actuals!BQ99)</f>
        <v>-30398.30316</v>
      </c>
      <c r="BQ279" s="21" t="n">
        <f aca="false">IF(ISBLANK(Actuals!BR99),(-(SUMPRODUCT((Personnel!$O$9:$O$100="SP-Prof")*(Personnel!$G$9:$G$100="Yes")*(65&gt;=Personnel!$E$9:$E$100)*((Personnel!$K$9:$K$100="")+(65&lt;=Personnel!$K$9:$K$100)&gt;0)*Personnel!$D$9:$D$100*(1-Personnel!$I$9:$I$100))))*Escalation!$B$66,Actuals!BR99)</f>
        <v>-30398.30316</v>
      </c>
      <c r="BR279" s="21" t="n">
        <f aca="false">IF(ISBLANK(Actuals!BS99),(-(SUMPRODUCT((Personnel!$O$9:$O$100="SP-Prof")*(Personnel!$G$9:$G$100="Yes")*(66&gt;=Personnel!$E$9:$E$100)*((Personnel!$K$9:$K$100="")+(66&lt;=Personnel!$K$9:$K$100)&gt;0)*Personnel!$D$9:$D$100*(1-Personnel!$I$9:$I$100))))*Escalation!$B$67,Actuals!BS99)</f>
        <v>-30398.30316</v>
      </c>
      <c r="BS279" s="21" t="n">
        <f aca="false">IF(ISBLANK(Actuals!BT99),(-(SUMPRODUCT((Personnel!$O$9:$O$100="SP-Prof")*(Personnel!$G$9:$G$100="Yes")*(67&gt;=Personnel!$E$9:$E$100)*((Personnel!$K$9:$K$100="")+(67&lt;=Personnel!$K$9:$K$100)&gt;0)*Personnel!$D$9:$D$100*(1-Personnel!$I$9:$I$100))))*Escalation!$B$68,Actuals!BT99)</f>
        <v>-30398.30316</v>
      </c>
      <c r="BT279" s="21" t="n">
        <f aca="false">IF(ISBLANK(Actuals!BU99),(-(SUMPRODUCT((Personnel!$O$9:$O$100="SP-Prof")*(Personnel!$G$9:$G$100="Yes")*(68&gt;=Personnel!$E$9:$E$100)*((Personnel!$K$9:$K$100="")+(68&lt;=Personnel!$K$9:$K$100)&gt;0)*Personnel!$D$9:$D$100*(1-Personnel!$I$9:$I$100))))*Escalation!$B$69,Actuals!BU99)</f>
        <v>-30398.30316</v>
      </c>
      <c r="BU279" s="21" t="n">
        <f aca="false">IF(ISBLANK(Actuals!BV99),(-(SUMPRODUCT((Personnel!$O$9:$O$100="SP-Prof")*(Personnel!$G$9:$G$100="Yes")*(69&gt;=Personnel!$E$9:$E$100)*((Personnel!$K$9:$K$100="")+(69&lt;=Personnel!$K$9:$K$100)&gt;0)*Personnel!$D$9:$D$100*(1-Personnel!$I$9:$I$100))))*Escalation!$B$70,Actuals!BV99)</f>
        <v>-30398.30316</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-31006.2692232</v>
      </c>
      <c r="BZ279" s="21" t="n">
        <f aca="false">IF(ISBLANK(Actuals!CA99),(-(SUMPRODUCT((Personnel!$O$9:$O$100="SP-Prof")*(Personnel!$G$9:$G$100="Yes")*(74&gt;=Personnel!$E$9:$E$100)*((Personnel!$K$9:$K$100="")+(74&lt;=Personnel!$K$9:$K$100)&gt;0)*Personnel!$D$9:$D$100*(1-Personnel!$I$9:$I$100))))*Escalation!$B$75,Actuals!CA99)</f>
        <v>-31006.2692232</v>
      </c>
      <c r="CA279" s="21" t="n">
        <f aca="false">IF(ISBLANK(Actuals!CB99),(-(SUMPRODUCT((Personnel!$O$9:$O$100="SP-Prof")*(Personnel!$G$9:$G$100="Yes")*(75&gt;=Personnel!$E$9:$E$100)*((Personnel!$K$9:$K$100="")+(75&lt;=Personnel!$K$9:$K$100)&gt;0)*Personnel!$D$9:$D$100*(1-Personnel!$I$9:$I$100))))*Escalation!$B$76,Actuals!CB99)</f>
        <v>-31006.2692232</v>
      </c>
      <c r="CB279" s="21" t="n">
        <f aca="false">IF(ISBLANK(Actuals!CC99),(-(SUMPRODUCT((Personnel!$O$9:$O$100="SP-Prof")*(Personnel!$G$9:$G$100="Yes")*(76&gt;=Personnel!$E$9:$E$100)*((Personnel!$K$9:$K$100="")+(76&lt;=Personnel!$K$9:$K$100)&gt;0)*Personnel!$D$9:$D$100*(1-Personnel!$I$9:$I$100))))*Escalation!$B$77,Actuals!CC99)</f>
        <v>-31006.2692232</v>
      </c>
      <c r="CC279" s="21" t="n">
        <f aca="false">IF(ISBLANK(Actuals!CD99),(-(SUMPRODUCT((Personnel!$O$9:$O$100="SP-Prof")*(Personnel!$G$9:$G$100="Yes")*(77&gt;=Personnel!$E$9:$E$100)*((Personnel!$K$9:$K$100="")+(77&lt;=Personnel!$K$9:$K$100)&gt;0)*Personnel!$D$9:$D$100*(1-Personnel!$I$9:$I$100))))*Escalation!$B$78,Actuals!CD99)</f>
        <v>-31006.2692232</v>
      </c>
      <c r="CD279" s="21" t="n">
        <f aca="false">IF(ISBLANK(Actuals!CE99),(-(SUMPRODUCT((Personnel!$O$9:$O$100="SP-Prof")*(Personnel!$G$9:$G$100="Yes")*(78&gt;=Personnel!$E$9:$E$100)*((Personnel!$K$9:$K$100="")+(78&lt;=Personnel!$K$9:$K$100)&gt;0)*Personnel!$D$9:$D$100*(1-Personnel!$I$9:$I$100))))*Escalation!$B$79,Actuals!CE99)</f>
        <v>-31006.2692232</v>
      </c>
      <c r="CE279" s="21" t="n">
        <f aca="false">IF(ISBLANK(Actuals!CF99),(-(SUMPRODUCT((Personnel!$O$9:$O$100="SP-Prof")*(Personnel!$G$9:$G$100="Yes")*(79&gt;=Personnel!$E$9:$E$100)*((Personnel!$K$9:$K$100="")+(79&lt;=Personnel!$K$9:$K$100)&gt;0)*Personnel!$D$9:$D$100*(1-Personnel!$I$9:$I$100))))*Escalation!$B$80,Actuals!CF99)</f>
        <v>-31006.2692232</v>
      </c>
      <c r="CF279" s="21" t="n">
        <f aca="false">IF(ISBLANK(Actuals!CG99),(-(SUMPRODUCT((Personnel!$O$9:$O$100="SP-Prof")*(Personnel!$G$9:$G$100="Yes")*(80&gt;=Personnel!$E$9:$E$100)*((Personnel!$K$9:$K$100="")+(80&lt;=Personnel!$K$9:$K$100)&gt;0)*Personnel!$D$9:$D$100*(1-Personnel!$I$9:$I$100))))*Escalation!$B$81,Actuals!CG99)</f>
        <v>-31006.2692232</v>
      </c>
      <c r="CG279" s="21" t="n">
        <f aca="false">IF(ISBLANK(Actuals!CH99),(-(SUMPRODUCT((Personnel!$O$9:$O$100="SP-Prof")*(Personnel!$G$9:$G$100="Yes")*(81&gt;=Personnel!$E$9:$E$100)*((Personnel!$K$9:$K$100="")+(81&lt;=Personnel!$K$9:$K$100)&gt;0)*Personnel!$D$9:$D$100*(1-Personnel!$I$9:$I$100))))*Escalation!$B$82,Actuals!CH99)</f>
        <v>-31006.2692232</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-31626.394607664</v>
      </c>
      <c r="CL279" s="21" t="n">
        <f aca="false">IF(ISBLANK(Actuals!CM99),(-(SUMPRODUCT((Personnel!$O$9:$O$100="SP-Prof")*(Personnel!$G$9:$G$100="Yes")*(86&gt;=Personnel!$E$9:$E$100)*((Personnel!$K$9:$K$100="")+(86&lt;=Personnel!$K$9:$K$100)&gt;0)*Personnel!$D$9:$D$100*(1-Personnel!$I$9:$I$100))))*Escalation!$B$87,Actuals!CM99)</f>
        <v>-31626.394607664</v>
      </c>
      <c r="CM279" s="21" t="n">
        <f aca="false">IF(ISBLANK(Actuals!CN99),(-(SUMPRODUCT((Personnel!$O$9:$O$100="SP-Prof")*(Personnel!$G$9:$G$100="Yes")*(87&gt;=Personnel!$E$9:$E$100)*((Personnel!$K$9:$K$100="")+(87&lt;=Personnel!$K$9:$K$100)&gt;0)*Personnel!$D$9:$D$100*(1-Personnel!$I$9:$I$100))))*Escalation!$B$88,Actuals!CN99)</f>
        <v>-31626.394607664</v>
      </c>
      <c r="CN279" s="21" t="n">
        <f aca="false">IF(ISBLANK(Actuals!CO99),(-(SUMPRODUCT((Personnel!$O$9:$O$100="SP-Prof")*(Personnel!$G$9:$G$100="Yes")*(88&gt;=Personnel!$E$9:$E$100)*((Personnel!$K$9:$K$100="")+(88&lt;=Personnel!$K$9:$K$100)&gt;0)*Personnel!$D$9:$D$100*(1-Personnel!$I$9:$I$100))))*Escalation!$B$89,Actuals!CO99)</f>
        <v>-31626.394607664</v>
      </c>
      <c r="CO279" s="21" t="n">
        <f aca="false">IF(ISBLANK(Actuals!CP99),(-(SUMPRODUCT((Personnel!$O$9:$O$100="SP-Prof")*(Personnel!$G$9:$G$100="Yes")*(89&gt;=Personnel!$E$9:$E$100)*((Personnel!$K$9:$K$100="")+(89&lt;=Personnel!$K$9:$K$100)&gt;0)*Personnel!$D$9:$D$100*(1-Personnel!$I$9:$I$100))))*Escalation!$B$90,Actuals!CP99)</f>
        <v>-31626.394607664</v>
      </c>
      <c r="CP279" s="21" t="n">
        <f aca="false">IF(ISBLANK(Actuals!CQ99),(-(SUMPRODUCT((Personnel!$O$9:$O$100="SP-Prof")*(Personnel!$G$9:$G$100="Yes")*(90&gt;=Personnel!$E$9:$E$100)*((Personnel!$K$9:$K$100="")+(90&lt;=Personnel!$K$9:$K$100)&gt;0)*Personnel!$D$9:$D$100*(1-Personnel!$I$9:$I$100))))*Escalation!$B$91,Actuals!CQ99)</f>
        <v>-31626.394607664</v>
      </c>
      <c r="CQ279" s="21" t="n">
        <f aca="false">IF(ISBLANK(Actuals!CR99),(-(SUMPRODUCT((Personnel!$O$9:$O$100="SP-Prof")*(Personnel!$G$9:$G$100="Yes")*(91&gt;=Personnel!$E$9:$E$100)*((Personnel!$K$9:$K$100="")+(91&lt;=Personnel!$K$9:$K$100)&gt;0)*Personnel!$D$9:$D$100*(1-Personnel!$I$9:$I$100))))*Escalation!$B$92,Actuals!CR99)</f>
        <v>-31626.394607664</v>
      </c>
      <c r="CR279" s="21" t="n">
        <f aca="false">IF(ISBLANK(Actuals!CS99),(-(SUMPRODUCT((Personnel!$O$9:$O$100="SP-Prof")*(Personnel!$G$9:$G$100="Yes")*(92&gt;=Personnel!$E$9:$E$100)*((Personnel!$K$9:$K$100="")+(92&lt;=Personnel!$K$9:$K$100)&gt;0)*Personnel!$D$9:$D$100*(1-Personnel!$I$9:$I$100))))*Escalation!$B$93,Actuals!CS99)</f>
        <v>-31626.394607664</v>
      </c>
      <c r="CS279" s="21" t="n">
        <f aca="false">IF(ISBLANK(Actuals!CT99),(-(SUMPRODUCT((Personnel!$O$9:$O$100="SP-Prof")*(Personnel!$G$9:$G$100="Yes")*(93&gt;=Personnel!$E$9:$E$100)*((Personnel!$K$9:$K$100="")+(93&lt;=Personnel!$K$9:$K$100)&gt;0)*Personnel!$D$9:$D$100*(1-Personnel!$I$9:$I$100))))*Escalation!$B$94,Actuals!CT99)</f>
        <v>-31626.394607664</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-32258.9224998173</v>
      </c>
      <c r="CX279" s="21" t="n">
        <f aca="false">IF(ISBLANK(Actuals!CY99),(-(SUMPRODUCT((Personnel!$O$9:$O$100="SP-Prof")*(Personnel!$G$9:$G$100="Yes")*(98&gt;=Personnel!$E$9:$E$100)*((Personnel!$K$9:$K$100="")+(98&lt;=Personnel!$K$9:$K$100)&gt;0)*Personnel!$D$9:$D$100*(1-Personnel!$I$9:$I$100))))*Escalation!$B$99,Actuals!CY99)</f>
        <v>-32258.9224998173</v>
      </c>
      <c r="CY279" s="21" t="n">
        <f aca="false">IF(ISBLANK(Actuals!CZ99),(-(SUMPRODUCT((Personnel!$O$9:$O$100="SP-Prof")*(Personnel!$G$9:$G$100="Yes")*(99&gt;=Personnel!$E$9:$E$100)*((Personnel!$K$9:$K$100="")+(99&lt;=Personnel!$K$9:$K$100)&gt;0)*Personnel!$D$9:$D$100*(1-Personnel!$I$9:$I$100))))*Escalation!$B$100,Actuals!CZ99)</f>
        <v>-32258.9224998173</v>
      </c>
      <c r="CZ279" s="21" t="n">
        <f aca="false">IF(ISBLANK(Actuals!DA99),(-(SUMPRODUCT((Personnel!$O$9:$O$100="SP-Prof")*(Personnel!$G$9:$G$100="Yes")*(100&gt;=Personnel!$E$9:$E$100)*((Personnel!$K$9:$K$100="")+(100&lt;=Personnel!$K$9:$K$100)&gt;0)*Personnel!$D$9:$D$100*(1-Personnel!$I$9:$I$100))))*Escalation!$B$101,Actuals!DA99)</f>
        <v>-32258.9224998173</v>
      </c>
      <c r="DA279" s="21" t="n">
        <f aca="false">IF(ISBLANK(Actuals!DB99),(-(SUMPRODUCT((Personnel!$O$9:$O$100="SP-Prof")*(Personnel!$G$9:$G$100="Yes")*(101&gt;=Personnel!$E$9:$E$100)*((Personnel!$K$9:$K$100="")+(101&lt;=Personnel!$K$9:$K$100)&gt;0)*Personnel!$D$9:$D$100*(1-Personnel!$I$9:$I$100))))*Escalation!$B$102,Actuals!DB99)</f>
        <v>-32258.9224998173</v>
      </c>
      <c r="DB279" s="21" t="n">
        <f aca="false">IF(ISBLANK(Actuals!DC99),(-(SUMPRODUCT((Personnel!$O$9:$O$100="SP-Prof")*(Personnel!$G$9:$G$100="Yes")*(102&gt;=Personnel!$E$9:$E$100)*((Personnel!$K$9:$K$100="")+(102&lt;=Personnel!$K$9:$K$100)&gt;0)*Personnel!$D$9:$D$100*(1-Personnel!$I$9:$I$100))))*Escalation!$B$103,Actuals!DC99)</f>
        <v>-32258.9224998173</v>
      </c>
      <c r="DC279" s="21" t="n">
        <f aca="false">IF(ISBLANK(Actuals!DD99),(-(SUMPRODUCT((Personnel!$O$9:$O$100="SP-Prof")*(Personnel!$G$9:$G$100="Yes")*(103&gt;=Personnel!$E$9:$E$100)*((Personnel!$K$9:$K$100="")+(103&lt;=Personnel!$K$9:$K$100)&gt;0)*Personnel!$D$9:$D$100*(1-Personnel!$I$9:$I$100))))*Escalation!$B$104,Actuals!DD99)</f>
        <v>-32258.9224998173</v>
      </c>
      <c r="DD279" s="21" t="n">
        <f aca="false">IF(ISBLANK(Actuals!DE99),(-(SUMPRODUCT((Personnel!$O$9:$O$100="SP-Prof")*(Personnel!$G$9:$G$100="Yes")*(104&gt;=Personnel!$E$9:$E$100)*((Personnel!$K$9:$K$100="")+(104&lt;=Personnel!$K$9:$K$100)&gt;0)*Personnel!$D$9:$D$100*(1-Personnel!$I$9:$I$100))))*Escalation!$B$105,Actuals!DE99)</f>
        <v>-32258.9224998173</v>
      </c>
      <c r="DE279" s="21" t="n">
        <f aca="false">IF(ISBLANK(Actuals!DF99),(-(SUMPRODUCT((Personnel!$O$9:$O$100="SP-Prof")*(Personnel!$G$9:$G$100="Yes")*(105&gt;=Personnel!$E$9:$E$100)*((Personnel!$K$9:$K$100="")+(105&lt;=Personnel!$K$9:$K$100)&gt;0)*Personnel!$D$9:$D$100*(1-Personnel!$I$9:$I$100))))*Escalation!$B$106,Actuals!DF99)</f>
        <v>-32258.9224998173</v>
      </c>
    </row>
    <row r="280" customFormat="false" ht="15" hidden="false" customHeight="true" outlineLevel="0" collapsed="false">
      <c r="A280" s="35" t="s">
        <v>130</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-16</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-1586.17</v>
      </c>
      <c r="R280" s="21" t="n">
        <f aca="false">IF(ISBLANK(Actuals!S100),-1586.17*Escalation!$B$15,Actuals!S100)</f>
        <v>-1586.17</v>
      </c>
      <c r="S280" s="21" t="n">
        <f aca="false">IF(ISBLANK(Actuals!T100),-1586.17*Escalation!$B$16,Actuals!T100)</f>
        <v>-1586.17</v>
      </c>
      <c r="T280" s="21" t="n">
        <f aca="false">IF(ISBLANK(Actuals!U100),-1586.17*Escalation!$B$17,Actuals!U100)</f>
        <v>-1586.17</v>
      </c>
      <c r="U280" s="21" t="n">
        <f aca="false">IF(ISBLANK(Actuals!V100),-1586.17*Escalation!$B$18,Actuals!V100)</f>
        <v>-1586.17</v>
      </c>
      <c r="V280" s="21" t="n">
        <f aca="false">IF(ISBLANK(Actuals!W100),-1586.17*Escalation!$B$19,Actuals!W100)</f>
        <v>-1586.17</v>
      </c>
      <c r="W280" s="21" t="n">
        <f aca="false">IF(ISBLANK(Actuals!X100),-1586.17*Escalation!$B$20,Actuals!X100)</f>
        <v>-1586.17</v>
      </c>
      <c r="X280" s="21" t="n">
        <f aca="false">IF(ISBLANK(Actuals!Y100),-1586.17*Escalation!$B$21,Actuals!Y100)</f>
        <v>-1586.17</v>
      </c>
      <c r="Y280" s="21" t="n">
        <f aca="false">IF(ISBLANK(Actuals!Z100),-1586.17*Escalation!$B$22,Actuals!Z100)</f>
        <v>-1586.17</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-1617.8934</v>
      </c>
      <c r="AD280" s="21" t="n">
        <f aca="false">IF(ISBLANK(Actuals!AE100),-1586.17*Escalation!$B$27,Actuals!AE100)</f>
        <v>-1617.8934</v>
      </c>
      <c r="AE280" s="21" t="n">
        <f aca="false">IF(ISBLANK(Actuals!AF100),-1586.17*Escalation!$B$28,Actuals!AF100)</f>
        <v>-1617.8934</v>
      </c>
      <c r="AF280" s="21" t="n">
        <f aca="false">IF(ISBLANK(Actuals!AG100),-1586.17*Escalation!$B$29,Actuals!AG100)</f>
        <v>-1617.8934</v>
      </c>
      <c r="AG280" s="21" t="n">
        <f aca="false">IF(ISBLANK(Actuals!AH100),-1586.17*Escalation!$B$30,Actuals!AH100)</f>
        <v>-1617.8934</v>
      </c>
      <c r="AH280" s="21" t="n">
        <f aca="false">IF(ISBLANK(Actuals!AI100),-1586.17*Escalation!$B$31,Actuals!AI100)</f>
        <v>-1617.8934</v>
      </c>
      <c r="AI280" s="21" t="n">
        <f aca="false">IF(ISBLANK(Actuals!AJ100),-1586.17*Escalation!$B$32,Actuals!AJ100)</f>
        <v>-1617.8934</v>
      </c>
      <c r="AJ280" s="21" t="n">
        <f aca="false">IF(ISBLANK(Actuals!AK100),-1586.17*Escalation!$B$33,Actuals!AK100)</f>
        <v>-1617.8934</v>
      </c>
      <c r="AK280" s="21" t="n">
        <f aca="false">IF(ISBLANK(Actuals!AL100),-1586.17*Escalation!$B$34,Actuals!AL100)</f>
        <v>-1617.8934</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-1650.251268</v>
      </c>
      <c r="AP280" s="21" t="n">
        <f aca="false">IF(ISBLANK(Actuals!AQ100),-1586.17*Escalation!$B$39,Actuals!AQ100)</f>
        <v>-1650.251268</v>
      </c>
      <c r="AQ280" s="21" t="n">
        <f aca="false">IF(ISBLANK(Actuals!AR100),-1586.17*Escalation!$B$40,Actuals!AR100)</f>
        <v>-1650.251268</v>
      </c>
      <c r="AR280" s="21" t="n">
        <f aca="false">IF(ISBLANK(Actuals!AS100),-1586.17*Escalation!$B$41,Actuals!AS100)</f>
        <v>-1650.251268</v>
      </c>
      <c r="AS280" s="21" t="n">
        <f aca="false">IF(ISBLANK(Actuals!AT100),-1586.17*Escalation!$B$42,Actuals!AT100)</f>
        <v>-1650.251268</v>
      </c>
      <c r="AT280" s="21" t="n">
        <f aca="false">IF(ISBLANK(Actuals!AU100),-1586.17*Escalation!$B$43,Actuals!AU100)</f>
        <v>-1650.251268</v>
      </c>
      <c r="AU280" s="21" t="n">
        <f aca="false">IF(ISBLANK(Actuals!AV100),-1586.17*Escalation!$B$44,Actuals!AV100)</f>
        <v>-1650.251268</v>
      </c>
      <c r="AV280" s="21" t="n">
        <f aca="false">IF(ISBLANK(Actuals!AW100),-1586.17*Escalation!$B$45,Actuals!AW100)</f>
        <v>-1650.251268</v>
      </c>
      <c r="AW280" s="21" t="n">
        <f aca="false">IF(ISBLANK(Actuals!AX100),-1586.17*Escalation!$B$46,Actuals!AX100)</f>
        <v>-1650.251268</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-1683.25629336</v>
      </c>
      <c r="BB280" s="21" t="n">
        <f aca="false">IF(ISBLANK(Actuals!BC100),-1586.17*Escalation!$B$51,Actuals!BC100)</f>
        <v>-1683.25629336</v>
      </c>
      <c r="BC280" s="21" t="n">
        <f aca="false">IF(ISBLANK(Actuals!BD100),-1586.17*Escalation!$B$52,Actuals!BD100)</f>
        <v>-1683.25629336</v>
      </c>
      <c r="BD280" s="21" t="n">
        <f aca="false">IF(ISBLANK(Actuals!BE100),-1586.17*Escalation!$B$53,Actuals!BE100)</f>
        <v>-1683.25629336</v>
      </c>
      <c r="BE280" s="21" t="n">
        <f aca="false">IF(ISBLANK(Actuals!BF100),-1586.17*Escalation!$B$54,Actuals!BF100)</f>
        <v>-1683.25629336</v>
      </c>
      <c r="BF280" s="21" t="n">
        <f aca="false">IF(ISBLANK(Actuals!BG100),-1586.17*Escalation!$B$55,Actuals!BG100)</f>
        <v>-1683.25629336</v>
      </c>
      <c r="BG280" s="21" t="n">
        <f aca="false">IF(ISBLANK(Actuals!BH100),-1586.17*Escalation!$B$56,Actuals!BH100)</f>
        <v>-1683.25629336</v>
      </c>
      <c r="BH280" s="21" t="n">
        <f aca="false">IF(ISBLANK(Actuals!BI100),-1586.17*Escalation!$B$57,Actuals!BI100)</f>
        <v>-1683.25629336</v>
      </c>
      <c r="BI280" s="21" t="n">
        <f aca="false">IF(ISBLANK(Actuals!BJ100),-1586.17*Escalation!$B$58,Actuals!BJ100)</f>
        <v>-1683.25629336</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-1716.9214192272</v>
      </c>
      <c r="BN280" s="21" t="n">
        <f aca="false">IF(ISBLANK(Actuals!BO100),-1586.17*Escalation!$B$63,Actuals!BO100)</f>
        <v>-1716.9214192272</v>
      </c>
      <c r="BO280" s="21" t="n">
        <f aca="false">IF(ISBLANK(Actuals!BP100),-1586.17*Escalation!$B$64,Actuals!BP100)</f>
        <v>-1716.9214192272</v>
      </c>
      <c r="BP280" s="21" t="n">
        <f aca="false">IF(ISBLANK(Actuals!BQ100),-1586.17*Escalation!$B$65,Actuals!BQ100)</f>
        <v>-1716.9214192272</v>
      </c>
      <c r="BQ280" s="21" t="n">
        <f aca="false">IF(ISBLANK(Actuals!BR100),-1586.17*Escalation!$B$66,Actuals!BR100)</f>
        <v>-1716.9214192272</v>
      </c>
      <c r="BR280" s="21" t="n">
        <f aca="false">IF(ISBLANK(Actuals!BS100),-1586.17*Escalation!$B$67,Actuals!BS100)</f>
        <v>-1716.9214192272</v>
      </c>
      <c r="BS280" s="21" t="n">
        <f aca="false">IF(ISBLANK(Actuals!BT100),-1586.17*Escalation!$B$68,Actuals!BT100)</f>
        <v>-1716.9214192272</v>
      </c>
      <c r="BT280" s="21" t="n">
        <f aca="false">IF(ISBLANK(Actuals!BU100),-1586.17*Escalation!$B$69,Actuals!BU100)</f>
        <v>-1716.9214192272</v>
      </c>
      <c r="BU280" s="21" t="n">
        <f aca="false">IF(ISBLANK(Actuals!BV100),-1586.17*Escalation!$B$70,Actuals!BV100)</f>
        <v>-1716.9214192272</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-1751.25984761174</v>
      </c>
      <c r="BZ280" s="21" t="n">
        <f aca="false">IF(ISBLANK(Actuals!CA100),-1586.17*Escalation!$B$75,Actuals!CA100)</f>
        <v>-1751.25984761174</v>
      </c>
      <c r="CA280" s="21" t="n">
        <f aca="false">IF(ISBLANK(Actuals!CB100),-1586.17*Escalation!$B$76,Actuals!CB100)</f>
        <v>-1751.25984761174</v>
      </c>
      <c r="CB280" s="21" t="n">
        <f aca="false">IF(ISBLANK(Actuals!CC100),-1586.17*Escalation!$B$77,Actuals!CC100)</f>
        <v>-1751.25984761174</v>
      </c>
      <c r="CC280" s="21" t="n">
        <f aca="false">IF(ISBLANK(Actuals!CD100),-1586.17*Escalation!$B$78,Actuals!CD100)</f>
        <v>-1751.25984761174</v>
      </c>
      <c r="CD280" s="21" t="n">
        <f aca="false">IF(ISBLANK(Actuals!CE100),-1586.17*Escalation!$B$79,Actuals!CE100)</f>
        <v>-1751.25984761174</v>
      </c>
      <c r="CE280" s="21" t="n">
        <f aca="false">IF(ISBLANK(Actuals!CF100),-1586.17*Escalation!$B$80,Actuals!CF100)</f>
        <v>-1751.25984761174</v>
      </c>
      <c r="CF280" s="21" t="n">
        <f aca="false">IF(ISBLANK(Actuals!CG100),-1586.17*Escalation!$B$81,Actuals!CG100)</f>
        <v>-1751.25984761174</v>
      </c>
      <c r="CG280" s="21" t="n">
        <f aca="false">IF(ISBLANK(Actuals!CH100),-1586.17*Escalation!$B$82,Actuals!CH100)</f>
        <v>-1751.25984761174</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-1786.28504456398</v>
      </c>
      <c r="CL280" s="21" t="n">
        <f aca="false">IF(ISBLANK(Actuals!CM100),-1586.17*Escalation!$B$87,Actuals!CM100)</f>
        <v>-1786.28504456398</v>
      </c>
      <c r="CM280" s="21" t="n">
        <f aca="false">IF(ISBLANK(Actuals!CN100),-1586.17*Escalation!$B$88,Actuals!CN100)</f>
        <v>-1786.28504456398</v>
      </c>
      <c r="CN280" s="21" t="n">
        <f aca="false">IF(ISBLANK(Actuals!CO100),-1586.17*Escalation!$B$89,Actuals!CO100)</f>
        <v>-1786.28504456398</v>
      </c>
      <c r="CO280" s="21" t="n">
        <f aca="false">IF(ISBLANK(Actuals!CP100),-1586.17*Escalation!$B$90,Actuals!CP100)</f>
        <v>-1786.28504456398</v>
      </c>
      <c r="CP280" s="21" t="n">
        <f aca="false">IF(ISBLANK(Actuals!CQ100),-1586.17*Escalation!$B$91,Actuals!CQ100)</f>
        <v>-1786.28504456398</v>
      </c>
      <c r="CQ280" s="21" t="n">
        <f aca="false">IF(ISBLANK(Actuals!CR100),-1586.17*Escalation!$B$92,Actuals!CR100)</f>
        <v>-1786.28504456398</v>
      </c>
      <c r="CR280" s="21" t="n">
        <f aca="false">IF(ISBLANK(Actuals!CS100),-1586.17*Escalation!$B$93,Actuals!CS100)</f>
        <v>-1786.28504456398</v>
      </c>
      <c r="CS280" s="21" t="n">
        <f aca="false">IF(ISBLANK(Actuals!CT100),-1586.17*Escalation!$B$94,Actuals!CT100)</f>
        <v>-1786.28504456398</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-1822.01074545526</v>
      </c>
      <c r="CX280" s="21" t="n">
        <f aca="false">IF(ISBLANK(Actuals!CY100),-1586.17*Escalation!$B$99,Actuals!CY100)</f>
        <v>-1822.01074545526</v>
      </c>
      <c r="CY280" s="21" t="n">
        <f aca="false">IF(ISBLANK(Actuals!CZ100),-1586.17*Escalation!$B$100,Actuals!CZ100)</f>
        <v>-1822.01074545526</v>
      </c>
      <c r="CZ280" s="21" t="n">
        <f aca="false">IF(ISBLANK(Actuals!DA100),-1586.17*Escalation!$B$101,Actuals!DA100)</f>
        <v>-1822.01074545526</v>
      </c>
      <c r="DA280" s="21" t="n">
        <f aca="false">IF(ISBLANK(Actuals!DB100),-1586.17*Escalation!$B$102,Actuals!DB100)</f>
        <v>-1822.01074545526</v>
      </c>
      <c r="DB280" s="21" t="n">
        <f aca="false">IF(ISBLANK(Actuals!DC100),-1586.17*Escalation!$B$103,Actuals!DC100)</f>
        <v>-1822.01074545526</v>
      </c>
      <c r="DC280" s="21" t="n">
        <f aca="false">IF(ISBLANK(Actuals!DD100),-1586.17*Escalation!$B$104,Actuals!DD100)</f>
        <v>-1822.01074545526</v>
      </c>
      <c r="DD280" s="21" t="n">
        <f aca="false">IF(ISBLANK(Actuals!DE100),-1586.17*Escalation!$B$105,Actuals!DE100)</f>
        <v>-1822.01074545526</v>
      </c>
      <c r="DE280" s="21" t="n">
        <f aca="false">IF(ISBLANK(Actuals!DF100),-1586.17*Escalation!$B$106,Actuals!DF100)</f>
        <v>-1822.01074545526</v>
      </c>
    </row>
    <row r="281" customFormat="false" ht="15" hidden="false" customHeight="true" outlineLevel="0" collapsed="false">
      <c r="A281" s="35" t="s">
        <v>131</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-192</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IF(ISBLANK(Actuals!O101),-3333.33*Escalation!$B$11,Actuals!O101)</f>
        <v>-3333.33</v>
      </c>
      <c r="O281" s="21" t="n">
        <f aca="false">IF(ISBLANK(Actuals!P101),-3333.33*Escalation!$B$12,Actuals!P101)</f>
        <v>-3333.33</v>
      </c>
      <c r="P281" s="21" t="n">
        <f aca="false">IF(ISBLANK(Actuals!Q101),-3333.33*Escalation!$B$13,Actuals!Q101)</f>
        <v>-3333.33</v>
      </c>
      <c r="Q281" s="21" t="n">
        <f aca="false">IF(ISBLANK(Actuals!R101),-3333.33*Escalation!$B$14,Actuals!R101)</f>
        <v>-3333.33</v>
      </c>
      <c r="R281" s="21" t="n">
        <f aca="false">IF(ISBLANK(Actuals!S101),-3333.33*Escalation!$B$15,Actuals!S101)</f>
        <v>-3333.33</v>
      </c>
      <c r="S281" s="21" t="n">
        <f aca="false">IF(ISBLANK(Actuals!T101),-3333.33*Escalation!$B$16,Actuals!T101)</f>
        <v>-3333.33</v>
      </c>
      <c r="T281" s="21" t="n">
        <f aca="false">IF(ISBLANK(Actuals!U101),-3333.33*Escalation!$B$17,Actuals!U101)</f>
        <v>-3333.33</v>
      </c>
      <c r="U281" s="21" t="n">
        <f aca="false">IF(ISBLANK(Actuals!V101),-3333.33*Escalation!$B$18,Actuals!V101)</f>
        <v>-3333.33</v>
      </c>
      <c r="V281" s="21" t="n">
        <f aca="false">IF(ISBLANK(Actuals!W101),-3333.33*Escalation!$B$19,Actuals!W101)</f>
        <v>-3333.33</v>
      </c>
      <c r="W281" s="21" t="n">
        <f aca="false">IF(ISBLANK(Actuals!X101),-3333.33*Escalation!$B$20,Actuals!X101)</f>
        <v>-3333.33</v>
      </c>
      <c r="X281" s="21" t="n">
        <f aca="false">IF(ISBLANK(Actuals!Y101),-3333.33*Escalation!$B$21,Actuals!Y101)</f>
        <v>-3333.33</v>
      </c>
      <c r="Y281" s="21" t="n">
        <f aca="false">IF(ISBLANK(Actuals!Z101),-3333.33*Escalation!$B$22,Actuals!Z101)</f>
        <v>-3333.33</v>
      </c>
      <c r="Z281" s="21" t="n">
        <f aca="false">IF(ISBLANK(Actuals!AA101),-3333.33*Escalation!$B$23,Actuals!AA101)</f>
        <v>-3399.9966</v>
      </c>
      <c r="AA281" s="21" t="n">
        <f aca="false">IF(ISBLANK(Actuals!AB101),-3333.33*Escalation!$B$24,Actuals!AB101)</f>
        <v>-3399.9966</v>
      </c>
      <c r="AB281" s="21" t="n">
        <f aca="false">IF(ISBLANK(Actuals!AC101),-3333.33*Escalation!$B$25,Actuals!AC101)</f>
        <v>-3399.9966</v>
      </c>
      <c r="AC281" s="21" t="n">
        <f aca="false">IF(ISBLANK(Actuals!AD101),-3333.33*Escalation!$B$26,Actuals!AD101)</f>
        <v>-3399.9966</v>
      </c>
      <c r="AD281" s="21" t="n">
        <f aca="false">IF(ISBLANK(Actuals!AE101),-3333.33*Escalation!$B$27,Actuals!AE101)</f>
        <v>-3399.9966</v>
      </c>
      <c r="AE281" s="21" t="n">
        <f aca="false">IF(ISBLANK(Actuals!AF101),-3333.33*Escalation!$B$28,Actuals!AF101)</f>
        <v>-3399.9966</v>
      </c>
      <c r="AF281" s="21" t="n">
        <f aca="false">IF(ISBLANK(Actuals!AG101),-3333.33*Escalation!$B$29,Actuals!AG101)</f>
        <v>-3399.9966</v>
      </c>
      <c r="AG281" s="21" t="n">
        <f aca="false">IF(ISBLANK(Actuals!AH101),-3333.33*Escalation!$B$30,Actuals!AH101)</f>
        <v>-3399.9966</v>
      </c>
      <c r="AH281" s="21" t="n">
        <f aca="false">IF(ISBLANK(Actuals!AI101),-3333.33*Escalation!$B$31,Actuals!AI101)</f>
        <v>-3399.9966</v>
      </c>
      <c r="AI281" s="21" t="n">
        <f aca="false">IF(ISBLANK(Actuals!AJ101),-3333.33*Escalation!$B$32,Actuals!AJ101)</f>
        <v>-3399.9966</v>
      </c>
      <c r="AJ281" s="21" t="n">
        <f aca="false">IF(ISBLANK(Actuals!AK101),-3333.33*Escalation!$B$33,Actuals!AK101)</f>
        <v>-3399.9966</v>
      </c>
      <c r="AK281" s="21" t="n">
        <f aca="false">IF(ISBLANK(Actuals!AL101),-3333.33*Escalation!$B$34,Actuals!AL101)</f>
        <v>-3399.9966</v>
      </c>
      <c r="AL281" s="21" t="n">
        <f aca="false">IF(ISBLANK(Actuals!AM101),-3333.33*Escalation!$B$35,Actuals!AM101)</f>
        <v>-3467.996532</v>
      </c>
      <c r="AM281" s="21" t="n">
        <f aca="false">IF(ISBLANK(Actuals!AN101),-3333.33*Escalation!$B$36,Actuals!AN101)</f>
        <v>-3467.996532</v>
      </c>
      <c r="AN281" s="21" t="n">
        <f aca="false">IF(ISBLANK(Actuals!AO101),-3333.33*Escalation!$B$37,Actuals!AO101)</f>
        <v>-3467.996532</v>
      </c>
      <c r="AO281" s="21" t="n">
        <f aca="false">IF(ISBLANK(Actuals!AP101),-3333.33*Escalation!$B$38,Actuals!AP101)</f>
        <v>-3467.996532</v>
      </c>
      <c r="AP281" s="21" t="n">
        <f aca="false">IF(ISBLANK(Actuals!AQ101),-3333.33*Escalation!$B$39,Actuals!AQ101)</f>
        <v>-3467.996532</v>
      </c>
      <c r="AQ281" s="21" t="n">
        <f aca="false">IF(ISBLANK(Actuals!AR101),-3333.33*Escalation!$B$40,Actuals!AR101)</f>
        <v>-3467.996532</v>
      </c>
      <c r="AR281" s="21" t="n">
        <f aca="false">IF(ISBLANK(Actuals!AS101),-3333.33*Escalation!$B$41,Actuals!AS101)</f>
        <v>-3467.996532</v>
      </c>
      <c r="AS281" s="21" t="n">
        <f aca="false">IF(ISBLANK(Actuals!AT101),-3333.33*Escalation!$B$42,Actuals!AT101)</f>
        <v>-3467.996532</v>
      </c>
      <c r="AT281" s="21" t="n">
        <f aca="false">IF(ISBLANK(Actuals!AU101),-3333.33*Escalation!$B$43,Actuals!AU101)</f>
        <v>-3467.996532</v>
      </c>
      <c r="AU281" s="21" t="n">
        <f aca="false">IF(ISBLANK(Actuals!AV101),-3333.33*Escalation!$B$44,Actuals!AV101)</f>
        <v>-3467.996532</v>
      </c>
      <c r="AV281" s="21" t="n">
        <f aca="false">IF(ISBLANK(Actuals!AW101),-3333.33*Escalation!$B$45,Actuals!AW101)</f>
        <v>-3467.996532</v>
      </c>
      <c r="AW281" s="21" t="n">
        <f aca="false">IF(ISBLANK(Actuals!AX101),-3333.33*Escalation!$B$46,Actuals!AX101)</f>
        <v>-3467.996532</v>
      </c>
      <c r="AX281" s="21" t="n">
        <f aca="false">IF(ISBLANK(Actuals!AY101),-3333.33*Escalation!$B$47,Actuals!AY101)</f>
        <v>-3537.35646264</v>
      </c>
      <c r="AY281" s="21" t="n">
        <f aca="false">IF(ISBLANK(Actuals!AZ101),-3333.33*Escalation!$B$48,Actuals!AZ101)</f>
        <v>-3537.35646264</v>
      </c>
      <c r="AZ281" s="21" t="n">
        <f aca="false">IF(ISBLANK(Actuals!BA101),-3333.33*Escalation!$B$49,Actuals!BA101)</f>
        <v>-3537.35646264</v>
      </c>
      <c r="BA281" s="21" t="n">
        <f aca="false">IF(ISBLANK(Actuals!BB101),-3333.33*Escalation!$B$50,Actuals!BB101)</f>
        <v>-3537.35646264</v>
      </c>
      <c r="BB281" s="21" t="n">
        <f aca="false">IF(ISBLANK(Actuals!BC101),-3333.33*Escalation!$B$51,Actuals!BC101)</f>
        <v>-3537.35646264</v>
      </c>
      <c r="BC281" s="21" t="n">
        <f aca="false">IF(ISBLANK(Actuals!BD101),-3333.33*Escalation!$B$52,Actuals!BD101)</f>
        <v>-3537.35646264</v>
      </c>
      <c r="BD281" s="21" t="n">
        <f aca="false">IF(ISBLANK(Actuals!BE101),-3333.33*Escalation!$B$53,Actuals!BE101)</f>
        <v>-3537.35646264</v>
      </c>
      <c r="BE281" s="21" t="n">
        <f aca="false">IF(ISBLANK(Actuals!BF101),-3333.33*Escalation!$B$54,Actuals!BF101)</f>
        <v>-3537.35646264</v>
      </c>
      <c r="BF281" s="21" t="n">
        <f aca="false">IF(ISBLANK(Actuals!BG101),-3333.33*Escalation!$B$55,Actuals!BG101)</f>
        <v>-3537.35646264</v>
      </c>
      <c r="BG281" s="21" t="n">
        <f aca="false">IF(ISBLANK(Actuals!BH101),-3333.33*Escalation!$B$56,Actuals!BH101)</f>
        <v>-3537.35646264</v>
      </c>
      <c r="BH281" s="21" t="n">
        <f aca="false">IF(ISBLANK(Actuals!BI101),-3333.33*Escalation!$B$57,Actuals!BI101)</f>
        <v>-3537.35646264</v>
      </c>
      <c r="BI281" s="21" t="n">
        <f aca="false">IF(ISBLANK(Actuals!BJ101),-3333.33*Escalation!$B$58,Actuals!BJ101)</f>
        <v>-3537.35646264</v>
      </c>
      <c r="BJ281" s="21" t="n">
        <f aca="false">IF(ISBLANK(Actuals!BK101),-3333.33*Escalation!$B$59,Actuals!BK101)</f>
        <v>-3608.1035918928</v>
      </c>
      <c r="BK281" s="21" t="n">
        <f aca="false">IF(ISBLANK(Actuals!BL101),-3333.33*Escalation!$B$60,Actuals!BL101)</f>
        <v>-3608.1035918928</v>
      </c>
      <c r="BL281" s="21" t="n">
        <f aca="false">IF(ISBLANK(Actuals!BM101),-3333.33*Escalation!$B$61,Actuals!BM101)</f>
        <v>-3608.1035918928</v>
      </c>
      <c r="BM281" s="21" t="n">
        <f aca="false">IF(ISBLANK(Actuals!BN101),-3333.33*Escalation!$B$62,Actuals!BN101)</f>
        <v>-3608.1035918928</v>
      </c>
      <c r="BN281" s="21" t="n">
        <f aca="false">IF(ISBLANK(Actuals!BO101),-3333.33*Escalation!$B$63,Actuals!BO101)</f>
        <v>-3608.1035918928</v>
      </c>
      <c r="BO281" s="21" t="n">
        <f aca="false">IF(ISBLANK(Actuals!BP101),-3333.33*Escalation!$B$64,Actuals!BP101)</f>
        <v>-3608.1035918928</v>
      </c>
      <c r="BP281" s="21" t="n">
        <f aca="false">IF(ISBLANK(Actuals!BQ101),-3333.33*Escalation!$B$65,Actuals!BQ101)</f>
        <v>-3608.1035918928</v>
      </c>
      <c r="BQ281" s="21" t="n">
        <f aca="false">IF(ISBLANK(Actuals!BR101),-3333.33*Escalation!$B$66,Actuals!BR101)</f>
        <v>-3608.1035918928</v>
      </c>
      <c r="BR281" s="21" t="n">
        <f aca="false">IF(ISBLANK(Actuals!BS101),-3333.33*Escalation!$B$67,Actuals!BS101)</f>
        <v>-3608.1035918928</v>
      </c>
      <c r="BS281" s="21" t="n">
        <f aca="false">IF(ISBLANK(Actuals!BT101),-3333.33*Escalation!$B$68,Actuals!BT101)</f>
        <v>-3608.1035918928</v>
      </c>
      <c r="BT281" s="21" t="n">
        <f aca="false">IF(ISBLANK(Actuals!BU101),-3333.33*Escalation!$B$69,Actuals!BU101)</f>
        <v>-3608.1035918928</v>
      </c>
      <c r="BU281" s="21" t="n">
        <f aca="false">IF(ISBLANK(Actuals!BV101),-3333.33*Escalation!$B$70,Actuals!BV101)</f>
        <v>-3608.1035918928</v>
      </c>
      <c r="BV281" s="21" t="n">
        <f aca="false">IF(ISBLANK(Actuals!BW101),-3333.33*Escalation!$B$71,Actuals!BW101)</f>
        <v>-3680.26566373066</v>
      </c>
      <c r="BW281" s="21" t="n">
        <f aca="false">IF(ISBLANK(Actuals!BX101),-3333.33*Escalation!$B$72,Actuals!BX101)</f>
        <v>-3680.26566373066</v>
      </c>
      <c r="BX281" s="21" t="n">
        <f aca="false">IF(ISBLANK(Actuals!BY101),-3333.33*Escalation!$B$73,Actuals!BY101)</f>
        <v>-3680.26566373066</v>
      </c>
      <c r="BY281" s="21" t="n">
        <f aca="false">IF(ISBLANK(Actuals!BZ101),-3333.33*Escalation!$B$74,Actuals!BZ101)</f>
        <v>-3680.26566373066</v>
      </c>
      <c r="BZ281" s="21" t="n">
        <f aca="false">IF(ISBLANK(Actuals!CA101),-3333.33*Escalation!$B$75,Actuals!CA101)</f>
        <v>-3680.26566373066</v>
      </c>
      <c r="CA281" s="21" t="n">
        <f aca="false">IF(ISBLANK(Actuals!CB101),-3333.33*Escalation!$B$76,Actuals!CB101)</f>
        <v>-3680.26566373066</v>
      </c>
      <c r="CB281" s="21" t="n">
        <f aca="false">IF(ISBLANK(Actuals!CC101),-3333.33*Escalation!$B$77,Actuals!CC101)</f>
        <v>-3680.26566373066</v>
      </c>
      <c r="CC281" s="21" t="n">
        <f aca="false">IF(ISBLANK(Actuals!CD101),-3333.33*Escalation!$B$78,Actuals!CD101)</f>
        <v>-3680.26566373066</v>
      </c>
      <c r="CD281" s="21" t="n">
        <f aca="false">IF(ISBLANK(Actuals!CE101),-3333.33*Escalation!$B$79,Actuals!CE101)</f>
        <v>-3680.26566373066</v>
      </c>
      <c r="CE281" s="21" t="n">
        <f aca="false">IF(ISBLANK(Actuals!CF101),-3333.33*Escalation!$B$80,Actuals!CF101)</f>
        <v>-3680.26566373066</v>
      </c>
      <c r="CF281" s="21" t="n">
        <f aca="false">IF(ISBLANK(Actuals!CG101),-3333.33*Escalation!$B$81,Actuals!CG101)</f>
        <v>-3680.26566373066</v>
      </c>
      <c r="CG281" s="21" t="n">
        <f aca="false">IF(ISBLANK(Actuals!CH101),-3333.33*Escalation!$B$82,Actuals!CH101)</f>
        <v>-3680.26566373066</v>
      </c>
      <c r="CH281" s="21" t="n">
        <f aca="false">IF(ISBLANK(Actuals!CI101),-3333.33*Escalation!$B$83,Actuals!CI101)</f>
        <v>-3753.87097700527</v>
      </c>
      <c r="CI281" s="21" t="n">
        <f aca="false">IF(ISBLANK(Actuals!CJ101),-3333.33*Escalation!$B$84,Actuals!CJ101)</f>
        <v>-3753.87097700527</v>
      </c>
      <c r="CJ281" s="21" t="n">
        <f aca="false">IF(ISBLANK(Actuals!CK101),-3333.33*Escalation!$B$85,Actuals!CK101)</f>
        <v>-3753.87097700527</v>
      </c>
      <c r="CK281" s="21" t="n">
        <f aca="false">IF(ISBLANK(Actuals!CL101),-3333.33*Escalation!$B$86,Actuals!CL101)</f>
        <v>-3753.87097700527</v>
      </c>
      <c r="CL281" s="21" t="n">
        <f aca="false">IF(ISBLANK(Actuals!CM101),-3333.33*Escalation!$B$87,Actuals!CM101)</f>
        <v>-3753.87097700527</v>
      </c>
      <c r="CM281" s="21" t="n">
        <f aca="false">IF(ISBLANK(Actuals!CN101),-3333.33*Escalation!$B$88,Actuals!CN101)</f>
        <v>-3753.87097700527</v>
      </c>
      <c r="CN281" s="21" t="n">
        <f aca="false">IF(ISBLANK(Actuals!CO101),-3333.33*Escalation!$B$89,Actuals!CO101)</f>
        <v>-3753.87097700527</v>
      </c>
      <c r="CO281" s="21" t="n">
        <f aca="false">IF(ISBLANK(Actuals!CP101),-3333.33*Escalation!$B$90,Actuals!CP101)</f>
        <v>-3753.87097700527</v>
      </c>
      <c r="CP281" s="21" t="n">
        <f aca="false">IF(ISBLANK(Actuals!CQ101),-3333.33*Escalation!$B$91,Actuals!CQ101)</f>
        <v>-3753.87097700527</v>
      </c>
      <c r="CQ281" s="21" t="n">
        <f aca="false">IF(ISBLANK(Actuals!CR101),-3333.33*Escalation!$B$92,Actuals!CR101)</f>
        <v>-3753.87097700527</v>
      </c>
      <c r="CR281" s="21" t="n">
        <f aca="false">IF(ISBLANK(Actuals!CS101),-3333.33*Escalation!$B$93,Actuals!CS101)</f>
        <v>-3753.87097700527</v>
      </c>
      <c r="CS281" s="21" t="n">
        <f aca="false">IF(ISBLANK(Actuals!CT101),-3333.33*Escalation!$B$94,Actuals!CT101)</f>
        <v>-3753.87097700527</v>
      </c>
      <c r="CT281" s="21" t="n">
        <f aca="false">IF(ISBLANK(Actuals!CU101),-3333.33*Escalation!$B$95,Actuals!CU101)</f>
        <v>-3828.94839654537</v>
      </c>
      <c r="CU281" s="21" t="n">
        <f aca="false">IF(ISBLANK(Actuals!CV101),-3333.33*Escalation!$B$96,Actuals!CV101)</f>
        <v>-3828.94839654537</v>
      </c>
      <c r="CV281" s="21" t="n">
        <f aca="false">IF(ISBLANK(Actuals!CW101),-3333.33*Escalation!$B$97,Actuals!CW101)</f>
        <v>-3828.94839654537</v>
      </c>
      <c r="CW281" s="21" t="n">
        <f aca="false">IF(ISBLANK(Actuals!CX101),-3333.33*Escalation!$B$98,Actuals!CX101)</f>
        <v>-3828.94839654537</v>
      </c>
      <c r="CX281" s="21" t="n">
        <f aca="false">IF(ISBLANK(Actuals!CY101),-3333.33*Escalation!$B$99,Actuals!CY101)</f>
        <v>-3828.94839654537</v>
      </c>
      <c r="CY281" s="21" t="n">
        <f aca="false">IF(ISBLANK(Actuals!CZ101),-3333.33*Escalation!$B$100,Actuals!CZ101)</f>
        <v>-3828.94839654537</v>
      </c>
      <c r="CZ281" s="21" t="n">
        <f aca="false">IF(ISBLANK(Actuals!DA101),-3333.33*Escalation!$B$101,Actuals!DA101)</f>
        <v>-3828.94839654537</v>
      </c>
      <c r="DA281" s="21" t="n">
        <f aca="false">IF(ISBLANK(Actuals!DB101),-3333.33*Escalation!$B$102,Actuals!DB101)</f>
        <v>-3828.94839654537</v>
      </c>
      <c r="DB281" s="21" t="n">
        <f aca="false">IF(ISBLANK(Actuals!DC101),-3333.33*Escalation!$B$103,Actuals!DC101)</f>
        <v>-3828.94839654537</v>
      </c>
      <c r="DC281" s="21" t="n">
        <f aca="false">IF(ISBLANK(Actuals!DD101),-3333.33*Escalation!$B$104,Actuals!DD101)</f>
        <v>-3828.94839654537</v>
      </c>
      <c r="DD281" s="21" t="n">
        <f aca="false">IF(ISBLANK(Actuals!DE101),-3333.33*Escalation!$B$105,Actuals!DE101)</f>
        <v>-3828.94839654537</v>
      </c>
      <c r="DE281" s="21" t="n">
        <f aca="false">IF(ISBLANK(Actuals!DF101),-3333.33*Escalation!$B$106,Actuals!DF101)</f>
        <v>-3828.94839654537</v>
      </c>
    </row>
    <row r="282" customFormat="false" ht="15" hidden="false" customHeight="true" outlineLevel="0" collapsed="false">
      <c r="A282" s="35" t="s">
        <v>132</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-1451.67</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-1905.31</v>
      </c>
      <c r="R282" s="21" t="n">
        <f aca="false">IF(ISBLANK(Actuals!S102),-1905.31*Escalation!$B$15,Actuals!S102)</f>
        <v>-1905.31</v>
      </c>
      <c r="S282" s="21" t="n">
        <f aca="false">IF(ISBLANK(Actuals!T102),-1905.31*Escalation!$B$16,Actuals!T102)</f>
        <v>-1905.31</v>
      </c>
      <c r="T282" s="21" t="n">
        <f aca="false">IF(ISBLANK(Actuals!U102),-1905.31*Escalation!$B$17,Actuals!U102)</f>
        <v>-1905.31</v>
      </c>
      <c r="U282" s="21" t="n">
        <f aca="false">IF(ISBLANK(Actuals!V102),-1905.31*Escalation!$B$18,Actuals!V102)</f>
        <v>-1905.31</v>
      </c>
      <c r="V282" s="21" t="n">
        <f aca="false">IF(ISBLANK(Actuals!W102),-1905.31*Escalation!$B$19,Actuals!W102)</f>
        <v>-1905.31</v>
      </c>
      <c r="W282" s="21" t="n">
        <f aca="false">IF(ISBLANK(Actuals!X102),-1905.31*Escalation!$B$20,Actuals!X102)</f>
        <v>-1905.31</v>
      </c>
      <c r="X282" s="21" t="n">
        <f aca="false">IF(ISBLANK(Actuals!Y102),-1905.31*Escalation!$B$21,Actuals!Y102)</f>
        <v>-1905.31</v>
      </c>
      <c r="Y282" s="21" t="n">
        <f aca="false">IF(ISBLANK(Actuals!Z102),-1905.31*Escalation!$B$22,Actuals!Z102)</f>
        <v>-1905.31</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-1943.4162</v>
      </c>
      <c r="AD282" s="21" t="n">
        <f aca="false">IF(ISBLANK(Actuals!AE102),-1905.31*Escalation!$B$27,Actuals!AE102)</f>
        <v>-1943.4162</v>
      </c>
      <c r="AE282" s="21" t="n">
        <f aca="false">IF(ISBLANK(Actuals!AF102),-1905.31*Escalation!$B$28,Actuals!AF102)</f>
        <v>-1943.4162</v>
      </c>
      <c r="AF282" s="21" t="n">
        <f aca="false">IF(ISBLANK(Actuals!AG102),-1905.31*Escalation!$B$29,Actuals!AG102)</f>
        <v>-1943.4162</v>
      </c>
      <c r="AG282" s="21" t="n">
        <f aca="false">IF(ISBLANK(Actuals!AH102),-1905.31*Escalation!$B$30,Actuals!AH102)</f>
        <v>-1943.4162</v>
      </c>
      <c r="AH282" s="21" t="n">
        <f aca="false">IF(ISBLANK(Actuals!AI102),-1905.31*Escalation!$B$31,Actuals!AI102)</f>
        <v>-1943.4162</v>
      </c>
      <c r="AI282" s="21" t="n">
        <f aca="false">IF(ISBLANK(Actuals!AJ102),-1905.31*Escalation!$B$32,Actuals!AJ102)</f>
        <v>-1943.4162</v>
      </c>
      <c r="AJ282" s="21" t="n">
        <f aca="false">IF(ISBLANK(Actuals!AK102),-1905.31*Escalation!$B$33,Actuals!AK102)</f>
        <v>-1943.4162</v>
      </c>
      <c r="AK282" s="21" t="n">
        <f aca="false">IF(ISBLANK(Actuals!AL102),-1905.31*Escalation!$B$34,Actuals!AL102)</f>
        <v>-1943.4162</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-1982.284524</v>
      </c>
      <c r="AP282" s="21" t="n">
        <f aca="false">IF(ISBLANK(Actuals!AQ102),-1905.31*Escalation!$B$39,Actuals!AQ102)</f>
        <v>-1982.284524</v>
      </c>
      <c r="AQ282" s="21" t="n">
        <f aca="false">IF(ISBLANK(Actuals!AR102),-1905.31*Escalation!$B$40,Actuals!AR102)</f>
        <v>-1982.284524</v>
      </c>
      <c r="AR282" s="21" t="n">
        <f aca="false">IF(ISBLANK(Actuals!AS102),-1905.31*Escalation!$B$41,Actuals!AS102)</f>
        <v>-1982.284524</v>
      </c>
      <c r="AS282" s="21" t="n">
        <f aca="false">IF(ISBLANK(Actuals!AT102),-1905.31*Escalation!$B$42,Actuals!AT102)</f>
        <v>-1982.284524</v>
      </c>
      <c r="AT282" s="21" t="n">
        <f aca="false">IF(ISBLANK(Actuals!AU102),-1905.31*Escalation!$B$43,Actuals!AU102)</f>
        <v>-1982.284524</v>
      </c>
      <c r="AU282" s="21" t="n">
        <f aca="false">IF(ISBLANK(Actuals!AV102),-1905.31*Escalation!$B$44,Actuals!AV102)</f>
        <v>-1982.284524</v>
      </c>
      <c r="AV282" s="21" t="n">
        <f aca="false">IF(ISBLANK(Actuals!AW102),-1905.31*Escalation!$B$45,Actuals!AW102)</f>
        <v>-1982.284524</v>
      </c>
      <c r="AW282" s="21" t="n">
        <f aca="false">IF(ISBLANK(Actuals!AX102),-1905.31*Escalation!$B$46,Actuals!AX102)</f>
        <v>-1982.284524</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-2021.93021448</v>
      </c>
      <c r="BB282" s="21" t="n">
        <f aca="false">IF(ISBLANK(Actuals!BC102),-1905.31*Escalation!$B$51,Actuals!BC102)</f>
        <v>-2021.93021448</v>
      </c>
      <c r="BC282" s="21" t="n">
        <f aca="false">IF(ISBLANK(Actuals!BD102),-1905.31*Escalation!$B$52,Actuals!BD102)</f>
        <v>-2021.93021448</v>
      </c>
      <c r="BD282" s="21" t="n">
        <f aca="false">IF(ISBLANK(Actuals!BE102),-1905.31*Escalation!$B$53,Actuals!BE102)</f>
        <v>-2021.93021448</v>
      </c>
      <c r="BE282" s="21" t="n">
        <f aca="false">IF(ISBLANK(Actuals!BF102),-1905.31*Escalation!$B$54,Actuals!BF102)</f>
        <v>-2021.93021448</v>
      </c>
      <c r="BF282" s="21" t="n">
        <f aca="false">IF(ISBLANK(Actuals!BG102),-1905.31*Escalation!$B$55,Actuals!BG102)</f>
        <v>-2021.93021448</v>
      </c>
      <c r="BG282" s="21" t="n">
        <f aca="false">IF(ISBLANK(Actuals!BH102),-1905.31*Escalation!$B$56,Actuals!BH102)</f>
        <v>-2021.93021448</v>
      </c>
      <c r="BH282" s="21" t="n">
        <f aca="false">IF(ISBLANK(Actuals!BI102),-1905.31*Escalation!$B$57,Actuals!BI102)</f>
        <v>-2021.93021448</v>
      </c>
      <c r="BI282" s="21" t="n">
        <f aca="false">IF(ISBLANK(Actuals!BJ102),-1905.31*Escalation!$B$58,Actuals!BJ102)</f>
        <v>-2021.93021448</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-2062.3688187696</v>
      </c>
      <c r="BN282" s="21" t="n">
        <f aca="false">IF(ISBLANK(Actuals!BO102),-1905.31*Escalation!$B$63,Actuals!BO102)</f>
        <v>-2062.3688187696</v>
      </c>
      <c r="BO282" s="21" t="n">
        <f aca="false">IF(ISBLANK(Actuals!BP102),-1905.31*Escalation!$B$64,Actuals!BP102)</f>
        <v>-2062.3688187696</v>
      </c>
      <c r="BP282" s="21" t="n">
        <f aca="false">IF(ISBLANK(Actuals!BQ102),-1905.31*Escalation!$B$65,Actuals!BQ102)</f>
        <v>-2062.3688187696</v>
      </c>
      <c r="BQ282" s="21" t="n">
        <f aca="false">IF(ISBLANK(Actuals!BR102),-1905.31*Escalation!$B$66,Actuals!BR102)</f>
        <v>-2062.3688187696</v>
      </c>
      <c r="BR282" s="21" t="n">
        <f aca="false">IF(ISBLANK(Actuals!BS102),-1905.31*Escalation!$B$67,Actuals!BS102)</f>
        <v>-2062.3688187696</v>
      </c>
      <c r="BS282" s="21" t="n">
        <f aca="false">IF(ISBLANK(Actuals!BT102),-1905.31*Escalation!$B$68,Actuals!BT102)</f>
        <v>-2062.3688187696</v>
      </c>
      <c r="BT282" s="21" t="n">
        <f aca="false">IF(ISBLANK(Actuals!BU102),-1905.31*Escalation!$B$69,Actuals!BU102)</f>
        <v>-2062.3688187696</v>
      </c>
      <c r="BU282" s="21" t="n">
        <f aca="false">IF(ISBLANK(Actuals!BV102),-1905.31*Escalation!$B$70,Actuals!BV102)</f>
        <v>-2062.3688187696</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-2103.61619514499</v>
      </c>
      <c r="BZ282" s="21" t="n">
        <f aca="false">IF(ISBLANK(Actuals!CA102),-1905.31*Escalation!$B$75,Actuals!CA102)</f>
        <v>-2103.61619514499</v>
      </c>
      <c r="CA282" s="21" t="n">
        <f aca="false">IF(ISBLANK(Actuals!CB102),-1905.31*Escalation!$B$76,Actuals!CB102)</f>
        <v>-2103.61619514499</v>
      </c>
      <c r="CB282" s="21" t="n">
        <f aca="false">IF(ISBLANK(Actuals!CC102),-1905.31*Escalation!$B$77,Actuals!CC102)</f>
        <v>-2103.61619514499</v>
      </c>
      <c r="CC282" s="21" t="n">
        <f aca="false">IF(ISBLANK(Actuals!CD102),-1905.31*Escalation!$B$78,Actuals!CD102)</f>
        <v>-2103.61619514499</v>
      </c>
      <c r="CD282" s="21" t="n">
        <f aca="false">IF(ISBLANK(Actuals!CE102),-1905.31*Escalation!$B$79,Actuals!CE102)</f>
        <v>-2103.61619514499</v>
      </c>
      <c r="CE282" s="21" t="n">
        <f aca="false">IF(ISBLANK(Actuals!CF102),-1905.31*Escalation!$B$80,Actuals!CF102)</f>
        <v>-2103.61619514499</v>
      </c>
      <c r="CF282" s="21" t="n">
        <f aca="false">IF(ISBLANK(Actuals!CG102),-1905.31*Escalation!$B$81,Actuals!CG102)</f>
        <v>-2103.61619514499</v>
      </c>
      <c r="CG282" s="21" t="n">
        <f aca="false">IF(ISBLANK(Actuals!CH102),-1905.31*Escalation!$B$82,Actuals!CH102)</f>
        <v>-2103.61619514499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-2145.68851904789</v>
      </c>
      <c r="CL282" s="21" t="n">
        <f aca="false">IF(ISBLANK(Actuals!CM102),-1905.31*Escalation!$B$87,Actuals!CM102)</f>
        <v>-2145.68851904789</v>
      </c>
      <c r="CM282" s="21" t="n">
        <f aca="false">IF(ISBLANK(Actuals!CN102),-1905.31*Escalation!$B$88,Actuals!CN102)</f>
        <v>-2145.68851904789</v>
      </c>
      <c r="CN282" s="21" t="n">
        <f aca="false">IF(ISBLANK(Actuals!CO102),-1905.31*Escalation!$B$89,Actuals!CO102)</f>
        <v>-2145.68851904789</v>
      </c>
      <c r="CO282" s="21" t="n">
        <f aca="false">IF(ISBLANK(Actuals!CP102),-1905.31*Escalation!$B$90,Actuals!CP102)</f>
        <v>-2145.68851904789</v>
      </c>
      <c r="CP282" s="21" t="n">
        <f aca="false">IF(ISBLANK(Actuals!CQ102),-1905.31*Escalation!$B$91,Actuals!CQ102)</f>
        <v>-2145.68851904789</v>
      </c>
      <c r="CQ282" s="21" t="n">
        <f aca="false">IF(ISBLANK(Actuals!CR102),-1905.31*Escalation!$B$92,Actuals!CR102)</f>
        <v>-2145.68851904789</v>
      </c>
      <c r="CR282" s="21" t="n">
        <f aca="false">IF(ISBLANK(Actuals!CS102),-1905.31*Escalation!$B$93,Actuals!CS102)</f>
        <v>-2145.68851904789</v>
      </c>
      <c r="CS282" s="21" t="n">
        <f aca="false">IF(ISBLANK(Actuals!CT102),-1905.31*Escalation!$B$94,Actuals!CT102)</f>
        <v>-2145.68851904789</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-2188.60228942885</v>
      </c>
      <c r="CX282" s="21" t="n">
        <f aca="false">IF(ISBLANK(Actuals!CY102),-1905.31*Escalation!$B$99,Actuals!CY102)</f>
        <v>-2188.60228942885</v>
      </c>
      <c r="CY282" s="21" t="n">
        <f aca="false">IF(ISBLANK(Actuals!CZ102),-1905.31*Escalation!$B$100,Actuals!CZ102)</f>
        <v>-2188.60228942885</v>
      </c>
      <c r="CZ282" s="21" t="n">
        <f aca="false">IF(ISBLANK(Actuals!DA102),-1905.31*Escalation!$B$101,Actuals!DA102)</f>
        <v>-2188.60228942885</v>
      </c>
      <c r="DA282" s="21" t="n">
        <f aca="false">IF(ISBLANK(Actuals!DB102),-1905.31*Escalation!$B$102,Actuals!DB102)</f>
        <v>-2188.60228942885</v>
      </c>
      <c r="DB282" s="21" t="n">
        <f aca="false">IF(ISBLANK(Actuals!DC102),-1905.31*Escalation!$B$103,Actuals!DC102)</f>
        <v>-2188.60228942885</v>
      </c>
      <c r="DC282" s="21" t="n">
        <f aca="false">IF(ISBLANK(Actuals!DD102),-1905.31*Escalation!$B$104,Actuals!DD102)</f>
        <v>-2188.60228942885</v>
      </c>
      <c r="DD282" s="21" t="n">
        <f aca="false">IF(ISBLANK(Actuals!DE102),-1905.31*Escalation!$B$105,Actuals!DE102)</f>
        <v>-2188.60228942885</v>
      </c>
      <c r="DE282" s="21" t="n">
        <f aca="false">IF(ISBLANK(Actuals!DF102),-1905.31*Escalation!$B$106,Actuals!DF102)</f>
        <v>-2188.60228942885</v>
      </c>
    </row>
    <row r="283" customFormat="false" ht="15" hidden="false" customHeight="true" outlineLevel="0" collapsed="false">
      <c r="A283" s="35" t="s">
        <v>133</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-2100</v>
      </c>
      <c r="R283" s="21" t="n">
        <f aca="false">IF(ISBLANK(Actuals!S103),-2100*Escalation!$B$15,Actuals!S103)</f>
        <v>-2100</v>
      </c>
      <c r="S283" s="21" t="n">
        <f aca="false">IF(ISBLANK(Actuals!T103),-2100*Escalation!$B$16,Actuals!T103)</f>
        <v>-2100</v>
      </c>
      <c r="T283" s="21" t="n">
        <f aca="false">IF(ISBLANK(Actuals!U103),-2100*Escalation!$B$17,Actuals!U103)</f>
        <v>-2100</v>
      </c>
      <c r="U283" s="21" t="n">
        <f aca="false">IF(ISBLANK(Actuals!V103),-2100*Escalation!$B$18,Actuals!V103)</f>
        <v>-2100</v>
      </c>
      <c r="V283" s="21" t="n">
        <f aca="false">IF(ISBLANK(Actuals!W103),-2100*Escalation!$B$19,Actuals!W103)</f>
        <v>-2100</v>
      </c>
      <c r="W283" s="21" t="n">
        <f aca="false">IF(ISBLANK(Actuals!X103),-2100*Escalation!$B$20,Actuals!X103)</f>
        <v>-2100</v>
      </c>
      <c r="X283" s="21" t="n">
        <f aca="false">IF(ISBLANK(Actuals!Y103),-2100*Escalation!$B$21,Actuals!Y103)</f>
        <v>-2100</v>
      </c>
      <c r="Y283" s="21" t="n">
        <f aca="false">IF(ISBLANK(Actuals!Z103),-2100*Escalation!$B$22,Actuals!Z103)</f>
        <v>-2100</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-2142</v>
      </c>
      <c r="AD283" s="21" t="n">
        <f aca="false">IF(ISBLANK(Actuals!AE103),-2100*Escalation!$B$27,Actuals!AE103)</f>
        <v>-2142</v>
      </c>
      <c r="AE283" s="21" t="n">
        <f aca="false">IF(ISBLANK(Actuals!AF103),-2100*Escalation!$B$28,Actuals!AF103)</f>
        <v>-2142</v>
      </c>
      <c r="AF283" s="21" t="n">
        <f aca="false">IF(ISBLANK(Actuals!AG103),-2100*Escalation!$B$29,Actuals!AG103)</f>
        <v>-2142</v>
      </c>
      <c r="AG283" s="21" t="n">
        <f aca="false">IF(ISBLANK(Actuals!AH103),-2100*Escalation!$B$30,Actuals!AH103)</f>
        <v>-2142</v>
      </c>
      <c r="AH283" s="21" t="n">
        <f aca="false">IF(ISBLANK(Actuals!AI103),-2100*Escalation!$B$31,Actuals!AI103)</f>
        <v>-2142</v>
      </c>
      <c r="AI283" s="21" t="n">
        <f aca="false">IF(ISBLANK(Actuals!AJ103),-2100*Escalation!$B$32,Actuals!AJ103)</f>
        <v>-2142</v>
      </c>
      <c r="AJ283" s="21" t="n">
        <f aca="false">IF(ISBLANK(Actuals!AK103),-2100*Escalation!$B$33,Actuals!AK103)</f>
        <v>-2142</v>
      </c>
      <c r="AK283" s="21" t="n">
        <f aca="false">IF(ISBLANK(Actuals!AL103),-2100*Escalation!$B$34,Actuals!AL103)</f>
        <v>-2142</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-2184.84</v>
      </c>
      <c r="AP283" s="21" t="n">
        <f aca="false">IF(ISBLANK(Actuals!AQ103),-2100*Escalation!$B$39,Actuals!AQ103)</f>
        <v>-2184.84</v>
      </c>
      <c r="AQ283" s="21" t="n">
        <f aca="false">IF(ISBLANK(Actuals!AR103),-2100*Escalation!$B$40,Actuals!AR103)</f>
        <v>-2184.84</v>
      </c>
      <c r="AR283" s="21" t="n">
        <f aca="false">IF(ISBLANK(Actuals!AS103),-2100*Escalation!$B$41,Actuals!AS103)</f>
        <v>-2184.84</v>
      </c>
      <c r="AS283" s="21" t="n">
        <f aca="false">IF(ISBLANK(Actuals!AT103),-2100*Escalation!$B$42,Actuals!AT103)</f>
        <v>-2184.84</v>
      </c>
      <c r="AT283" s="21" t="n">
        <f aca="false">IF(ISBLANK(Actuals!AU103),-2100*Escalation!$B$43,Actuals!AU103)</f>
        <v>-2184.84</v>
      </c>
      <c r="AU283" s="21" t="n">
        <f aca="false">IF(ISBLANK(Actuals!AV103),-2100*Escalation!$B$44,Actuals!AV103)</f>
        <v>-2184.84</v>
      </c>
      <c r="AV283" s="21" t="n">
        <f aca="false">IF(ISBLANK(Actuals!AW103),-2100*Escalation!$B$45,Actuals!AW103)</f>
        <v>-2184.84</v>
      </c>
      <c r="AW283" s="21" t="n">
        <f aca="false">IF(ISBLANK(Actuals!AX103),-2100*Escalation!$B$46,Actuals!AX103)</f>
        <v>-2184.84</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-2228.5368</v>
      </c>
      <c r="BB283" s="21" t="n">
        <f aca="false">IF(ISBLANK(Actuals!BC103),-2100*Escalation!$B$51,Actuals!BC103)</f>
        <v>-2228.5368</v>
      </c>
      <c r="BC283" s="21" t="n">
        <f aca="false">IF(ISBLANK(Actuals!BD103),-2100*Escalation!$B$52,Actuals!BD103)</f>
        <v>-2228.5368</v>
      </c>
      <c r="BD283" s="21" t="n">
        <f aca="false">IF(ISBLANK(Actuals!BE103),-2100*Escalation!$B$53,Actuals!BE103)</f>
        <v>-2228.5368</v>
      </c>
      <c r="BE283" s="21" t="n">
        <f aca="false">IF(ISBLANK(Actuals!BF103),-2100*Escalation!$B$54,Actuals!BF103)</f>
        <v>-2228.5368</v>
      </c>
      <c r="BF283" s="21" t="n">
        <f aca="false">IF(ISBLANK(Actuals!BG103),-2100*Escalation!$B$55,Actuals!BG103)</f>
        <v>-2228.5368</v>
      </c>
      <c r="BG283" s="21" t="n">
        <f aca="false">IF(ISBLANK(Actuals!BH103),-2100*Escalation!$B$56,Actuals!BH103)</f>
        <v>-2228.5368</v>
      </c>
      <c r="BH283" s="21" t="n">
        <f aca="false">IF(ISBLANK(Actuals!BI103),-2100*Escalation!$B$57,Actuals!BI103)</f>
        <v>-2228.5368</v>
      </c>
      <c r="BI283" s="21" t="n">
        <f aca="false">IF(ISBLANK(Actuals!BJ103),-2100*Escalation!$B$58,Actuals!BJ103)</f>
        <v>-2228.5368</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-2273.107536</v>
      </c>
      <c r="BN283" s="21" t="n">
        <f aca="false">IF(ISBLANK(Actuals!BO103),-2100*Escalation!$B$63,Actuals!BO103)</f>
        <v>-2273.107536</v>
      </c>
      <c r="BO283" s="21" t="n">
        <f aca="false">IF(ISBLANK(Actuals!BP103),-2100*Escalation!$B$64,Actuals!BP103)</f>
        <v>-2273.107536</v>
      </c>
      <c r="BP283" s="21" t="n">
        <f aca="false">IF(ISBLANK(Actuals!BQ103),-2100*Escalation!$B$65,Actuals!BQ103)</f>
        <v>-2273.107536</v>
      </c>
      <c r="BQ283" s="21" t="n">
        <f aca="false">IF(ISBLANK(Actuals!BR103),-2100*Escalation!$B$66,Actuals!BR103)</f>
        <v>-2273.107536</v>
      </c>
      <c r="BR283" s="21" t="n">
        <f aca="false">IF(ISBLANK(Actuals!BS103),-2100*Escalation!$B$67,Actuals!BS103)</f>
        <v>-2273.107536</v>
      </c>
      <c r="BS283" s="21" t="n">
        <f aca="false">IF(ISBLANK(Actuals!BT103),-2100*Escalation!$B$68,Actuals!BT103)</f>
        <v>-2273.107536</v>
      </c>
      <c r="BT283" s="21" t="n">
        <f aca="false">IF(ISBLANK(Actuals!BU103),-2100*Escalation!$B$69,Actuals!BU103)</f>
        <v>-2273.107536</v>
      </c>
      <c r="BU283" s="21" t="n">
        <f aca="false">IF(ISBLANK(Actuals!BV103),-2100*Escalation!$B$70,Actuals!BV103)</f>
        <v>-2273.107536</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-2318.56968672</v>
      </c>
      <c r="BZ283" s="21" t="n">
        <f aca="false">IF(ISBLANK(Actuals!CA103),-2100*Escalation!$B$75,Actuals!CA103)</f>
        <v>-2318.56968672</v>
      </c>
      <c r="CA283" s="21" t="n">
        <f aca="false">IF(ISBLANK(Actuals!CB103),-2100*Escalation!$B$76,Actuals!CB103)</f>
        <v>-2318.56968672</v>
      </c>
      <c r="CB283" s="21" t="n">
        <f aca="false">IF(ISBLANK(Actuals!CC103),-2100*Escalation!$B$77,Actuals!CC103)</f>
        <v>-2318.56968672</v>
      </c>
      <c r="CC283" s="21" t="n">
        <f aca="false">IF(ISBLANK(Actuals!CD103),-2100*Escalation!$B$78,Actuals!CD103)</f>
        <v>-2318.56968672</v>
      </c>
      <c r="CD283" s="21" t="n">
        <f aca="false">IF(ISBLANK(Actuals!CE103),-2100*Escalation!$B$79,Actuals!CE103)</f>
        <v>-2318.56968672</v>
      </c>
      <c r="CE283" s="21" t="n">
        <f aca="false">IF(ISBLANK(Actuals!CF103),-2100*Escalation!$B$80,Actuals!CF103)</f>
        <v>-2318.56968672</v>
      </c>
      <c r="CF283" s="21" t="n">
        <f aca="false">IF(ISBLANK(Actuals!CG103),-2100*Escalation!$B$81,Actuals!CG103)</f>
        <v>-2318.56968672</v>
      </c>
      <c r="CG283" s="21" t="n">
        <f aca="false">IF(ISBLANK(Actuals!CH103),-2100*Escalation!$B$82,Actuals!CH103)</f>
        <v>-2318.56968672</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-2364.9410804544</v>
      </c>
      <c r="CL283" s="21" t="n">
        <f aca="false">IF(ISBLANK(Actuals!CM103),-2100*Escalation!$B$87,Actuals!CM103)</f>
        <v>-2364.9410804544</v>
      </c>
      <c r="CM283" s="21" t="n">
        <f aca="false">IF(ISBLANK(Actuals!CN103),-2100*Escalation!$B$88,Actuals!CN103)</f>
        <v>-2364.9410804544</v>
      </c>
      <c r="CN283" s="21" t="n">
        <f aca="false">IF(ISBLANK(Actuals!CO103),-2100*Escalation!$B$89,Actuals!CO103)</f>
        <v>-2364.9410804544</v>
      </c>
      <c r="CO283" s="21" t="n">
        <f aca="false">IF(ISBLANK(Actuals!CP103),-2100*Escalation!$B$90,Actuals!CP103)</f>
        <v>-2364.9410804544</v>
      </c>
      <c r="CP283" s="21" t="n">
        <f aca="false">IF(ISBLANK(Actuals!CQ103),-2100*Escalation!$B$91,Actuals!CQ103)</f>
        <v>-2364.9410804544</v>
      </c>
      <c r="CQ283" s="21" t="n">
        <f aca="false">IF(ISBLANK(Actuals!CR103),-2100*Escalation!$B$92,Actuals!CR103)</f>
        <v>-2364.9410804544</v>
      </c>
      <c r="CR283" s="21" t="n">
        <f aca="false">IF(ISBLANK(Actuals!CS103),-2100*Escalation!$B$93,Actuals!CS103)</f>
        <v>-2364.9410804544</v>
      </c>
      <c r="CS283" s="21" t="n">
        <f aca="false">IF(ISBLANK(Actuals!CT103),-2100*Escalation!$B$94,Actuals!CT103)</f>
        <v>-2364.9410804544</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-2412.23990206349</v>
      </c>
      <c r="CX283" s="21" t="n">
        <f aca="false">IF(ISBLANK(Actuals!CY103),-2100*Escalation!$B$99,Actuals!CY103)</f>
        <v>-2412.23990206349</v>
      </c>
      <c r="CY283" s="21" t="n">
        <f aca="false">IF(ISBLANK(Actuals!CZ103),-2100*Escalation!$B$100,Actuals!CZ103)</f>
        <v>-2412.23990206349</v>
      </c>
      <c r="CZ283" s="21" t="n">
        <f aca="false">IF(ISBLANK(Actuals!DA103),-2100*Escalation!$B$101,Actuals!DA103)</f>
        <v>-2412.23990206349</v>
      </c>
      <c r="DA283" s="21" t="n">
        <f aca="false">IF(ISBLANK(Actuals!DB103),-2100*Escalation!$B$102,Actuals!DB103)</f>
        <v>-2412.23990206349</v>
      </c>
      <c r="DB283" s="21" t="n">
        <f aca="false">IF(ISBLANK(Actuals!DC103),-2100*Escalation!$B$103,Actuals!DC103)</f>
        <v>-2412.23990206349</v>
      </c>
      <c r="DC283" s="21" t="n">
        <f aca="false">IF(ISBLANK(Actuals!DD103),-2100*Escalation!$B$104,Actuals!DD103)</f>
        <v>-2412.23990206349</v>
      </c>
      <c r="DD283" s="21" t="n">
        <f aca="false">IF(ISBLANK(Actuals!DE103),-2100*Escalation!$B$105,Actuals!DE103)</f>
        <v>-2412.23990206349</v>
      </c>
      <c r="DE283" s="21" t="n">
        <f aca="false">IF(ISBLANK(Actuals!DF103),-2100*Escalation!$B$106,Actuals!DF103)</f>
        <v>-2412.23990206349</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-66666.6666666667</v>
      </c>
      <c r="R284" s="21" t="n">
        <f aca="false">IF(ISBLANK(Actuals!S104),(-(SUMPRODUCT((Personnel!$O$9:$O$100="SP-Fee")*(Personnel!$G$9:$G$100="Yes")*(14&gt;=Personnel!$E$9:$E$100)*((Personnel!$K$9:$K$100="")+(14&lt;=Personnel!$K$9:$K$100)&gt;0)*Personnel!$D$9:$D$100*(1-Personnel!$I$9:$I$100))))*Escalation!$B$15,Actuals!S104)</f>
        <v>-66666.6666666667</v>
      </c>
      <c r="S284" s="21" t="n">
        <f aca="false">IF(ISBLANK(Actuals!T104),(-(SUMPRODUCT((Personnel!$O$9:$O$100="SP-Fee")*(Personnel!$G$9:$G$100="Yes")*(15&gt;=Personnel!$E$9:$E$100)*((Personnel!$K$9:$K$100="")+(15&lt;=Personnel!$K$9:$K$100)&gt;0)*Personnel!$D$9:$D$100*(1-Personnel!$I$9:$I$100))))*Escalation!$B$16,Actuals!T104)</f>
        <v>-66666.6666666667</v>
      </c>
      <c r="T284" s="21" t="n">
        <f aca="false">IF(ISBLANK(Actuals!U104),(-(SUMPRODUCT((Personnel!$O$9:$O$100="SP-Fee")*(Personnel!$G$9:$G$100="Yes")*(16&gt;=Personnel!$E$9:$E$100)*((Personnel!$K$9:$K$100="")+(16&lt;=Personnel!$K$9:$K$100)&gt;0)*Personnel!$D$9:$D$100*(1-Personnel!$I$9:$I$100))))*Escalation!$B$17,Actuals!U104)</f>
        <v>-66666.6666666667</v>
      </c>
      <c r="U284" s="21" t="n">
        <f aca="false">IF(ISBLANK(Actuals!V104),(-(SUMPRODUCT((Personnel!$O$9:$O$100="SP-Fee")*(Personnel!$G$9:$G$100="Yes")*(17&gt;=Personnel!$E$9:$E$100)*((Personnel!$K$9:$K$100="")+(17&lt;=Personnel!$K$9:$K$100)&gt;0)*Personnel!$D$9:$D$100*(1-Personnel!$I$9:$I$100))))*Escalation!$B$18,Actuals!V104)</f>
        <v>-66666.6666666667</v>
      </c>
      <c r="V284" s="21" t="n">
        <f aca="false">IF(ISBLANK(Actuals!W104),(-(SUMPRODUCT((Personnel!$O$9:$O$100="SP-Fee")*(Personnel!$G$9:$G$100="Yes")*(18&gt;=Personnel!$E$9:$E$100)*((Personnel!$K$9:$K$100="")+(18&lt;=Personnel!$K$9:$K$100)&gt;0)*Personnel!$D$9:$D$100*(1-Personnel!$I$9:$I$100))))*Escalation!$B$19,Actuals!W104)</f>
        <v>-66666.6666666667</v>
      </c>
      <c r="W284" s="21" t="n">
        <f aca="false">IF(ISBLANK(Actuals!X104),(-(SUMPRODUCT((Personnel!$O$9:$O$100="SP-Fee")*(Personnel!$G$9:$G$100="Yes")*(19&gt;=Personnel!$E$9:$E$100)*((Personnel!$K$9:$K$100="")+(19&lt;=Personnel!$K$9:$K$100)&gt;0)*Personnel!$D$9:$D$100*(1-Personnel!$I$9:$I$100))))*Escalation!$B$20,Actuals!X104)</f>
        <v>-66666.6666666667</v>
      </c>
      <c r="X284" s="21" t="n">
        <f aca="false">IF(ISBLANK(Actuals!Y104),(-(SUMPRODUCT((Personnel!$O$9:$O$100="SP-Fee")*(Personnel!$G$9:$G$100="Yes")*(20&gt;=Personnel!$E$9:$E$100)*((Personnel!$K$9:$K$100="")+(20&lt;=Personnel!$K$9:$K$100)&gt;0)*Personnel!$D$9:$D$100*(1-Personnel!$I$9:$I$100))))*Escalation!$B$21,Actuals!Y104)</f>
        <v>-66666.6666666667</v>
      </c>
      <c r="Y284" s="21" t="n">
        <f aca="false">IF(ISBLANK(Actuals!Z104),(-(SUMPRODUCT((Personnel!$O$9:$O$100="SP-Fee")*(Personnel!$G$9:$G$100="Yes")*(21&gt;=Personnel!$E$9:$E$100)*((Personnel!$K$9:$K$100="")+(21&lt;=Personnel!$K$9:$K$100)&gt;0)*Personnel!$D$9:$D$100*(1-Personnel!$I$9:$I$100))))*Escalation!$B$22,Actuals!Z104)</f>
        <v>-66666.6666666667</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-68000</v>
      </c>
      <c r="AD284" s="21" t="n">
        <f aca="false">IF(ISBLANK(Actuals!AE104),(-(SUMPRODUCT((Personnel!$O$9:$O$100="SP-Fee")*(Personnel!$G$9:$G$100="Yes")*(26&gt;=Personnel!$E$9:$E$100)*((Personnel!$K$9:$K$100="")+(26&lt;=Personnel!$K$9:$K$100)&gt;0)*Personnel!$D$9:$D$100*(1-Personnel!$I$9:$I$100))))*Escalation!$B$27,Actuals!AE104)</f>
        <v>-68000</v>
      </c>
      <c r="AE284" s="21" t="n">
        <f aca="false">IF(ISBLANK(Actuals!AF104),(-(SUMPRODUCT((Personnel!$O$9:$O$100="SP-Fee")*(Personnel!$G$9:$G$100="Yes")*(27&gt;=Personnel!$E$9:$E$100)*((Personnel!$K$9:$K$100="")+(27&lt;=Personnel!$K$9:$K$100)&gt;0)*Personnel!$D$9:$D$100*(1-Personnel!$I$9:$I$100))))*Escalation!$B$28,Actuals!AF104)</f>
        <v>-68000</v>
      </c>
      <c r="AF284" s="21" t="n">
        <f aca="false">IF(ISBLANK(Actuals!AG104),(-(SUMPRODUCT((Personnel!$O$9:$O$100="SP-Fee")*(Personnel!$G$9:$G$100="Yes")*(28&gt;=Personnel!$E$9:$E$100)*((Personnel!$K$9:$K$100="")+(28&lt;=Personnel!$K$9:$K$100)&gt;0)*Personnel!$D$9:$D$100*(1-Personnel!$I$9:$I$100))))*Escalation!$B$29,Actuals!AG104)</f>
        <v>-68000</v>
      </c>
      <c r="AG284" s="21" t="n">
        <f aca="false">IF(ISBLANK(Actuals!AH104),(-(SUMPRODUCT((Personnel!$O$9:$O$100="SP-Fee")*(Personnel!$G$9:$G$100="Yes")*(29&gt;=Personnel!$E$9:$E$100)*((Personnel!$K$9:$K$100="")+(29&lt;=Personnel!$K$9:$K$100)&gt;0)*Personnel!$D$9:$D$100*(1-Personnel!$I$9:$I$100))))*Escalation!$B$30,Actuals!AH104)</f>
        <v>-68000</v>
      </c>
      <c r="AH284" s="21" t="n">
        <f aca="false">IF(ISBLANK(Actuals!AI104),(-(SUMPRODUCT((Personnel!$O$9:$O$100="SP-Fee")*(Personnel!$G$9:$G$100="Yes")*(30&gt;=Personnel!$E$9:$E$100)*((Personnel!$K$9:$K$100="")+(30&lt;=Personnel!$K$9:$K$100)&gt;0)*Personnel!$D$9:$D$100*(1-Personnel!$I$9:$I$100))))*Escalation!$B$31,Actuals!AI104)</f>
        <v>-68000</v>
      </c>
      <c r="AI284" s="21" t="n">
        <f aca="false">IF(ISBLANK(Actuals!AJ104),(-(SUMPRODUCT((Personnel!$O$9:$O$100="SP-Fee")*(Personnel!$G$9:$G$100="Yes")*(31&gt;=Personnel!$E$9:$E$100)*((Personnel!$K$9:$K$100="")+(31&lt;=Personnel!$K$9:$K$100)&gt;0)*Personnel!$D$9:$D$100*(1-Personnel!$I$9:$I$100))))*Escalation!$B$32,Actuals!AJ104)</f>
        <v>-68000</v>
      </c>
      <c r="AJ284" s="21" t="n">
        <f aca="false">IF(ISBLANK(Actuals!AK104),(-(SUMPRODUCT((Personnel!$O$9:$O$100="SP-Fee")*(Personnel!$G$9:$G$100="Yes")*(32&gt;=Personnel!$E$9:$E$100)*((Personnel!$K$9:$K$100="")+(32&lt;=Personnel!$K$9:$K$100)&gt;0)*Personnel!$D$9:$D$100*(1-Personnel!$I$9:$I$100))))*Escalation!$B$33,Actuals!AK104)</f>
        <v>-68000</v>
      </c>
      <c r="AK284" s="21" t="n">
        <f aca="false">IF(ISBLANK(Actuals!AL104),(-(SUMPRODUCT((Personnel!$O$9:$O$100="SP-Fee")*(Personnel!$G$9:$G$100="Yes")*(33&gt;=Personnel!$E$9:$E$100)*((Personnel!$K$9:$K$100="")+(33&lt;=Personnel!$K$9:$K$100)&gt;0)*Personnel!$D$9:$D$100*(1-Personnel!$I$9:$I$100))))*Escalation!$B$34,Actuals!AL104)</f>
        <v>-68000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-69360</v>
      </c>
      <c r="AP284" s="21" t="n">
        <f aca="false">IF(ISBLANK(Actuals!AQ104),(-(SUMPRODUCT((Personnel!$O$9:$O$100="SP-Fee")*(Personnel!$G$9:$G$100="Yes")*(38&gt;=Personnel!$E$9:$E$100)*((Personnel!$K$9:$K$100="")+(38&lt;=Personnel!$K$9:$K$100)&gt;0)*Personnel!$D$9:$D$100*(1-Personnel!$I$9:$I$100))))*Escalation!$B$39,Actuals!AQ104)</f>
        <v>-69360</v>
      </c>
      <c r="AQ284" s="21" t="n">
        <f aca="false">IF(ISBLANK(Actuals!AR104),(-(SUMPRODUCT((Personnel!$O$9:$O$100="SP-Fee")*(Personnel!$G$9:$G$100="Yes")*(39&gt;=Personnel!$E$9:$E$100)*((Personnel!$K$9:$K$100="")+(39&lt;=Personnel!$K$9:$K$100)&gt;0)*Personnel!$D$9:$D$100*(1-Personnel!$I$9:$I$100))))*Escalation!$B$40,Actuals!AR104)</f>
        <v>-69360</v>
      </c>
      <c r="AR284" s="21" t="n">
        <f aca="false">IF(ISBLANK(Actuals!AS104),(-(SUMPRODUCT((Personnel!$O$9:$O$100="SP-Fee")*(Personnel!$G$9:$G$100="Yes")*(40&gt;=Personnel!$E$9:$E$100)*((Personnel!$K$9:$K$100="")+(40&lt;=Personnel!$K$9:$K$100)&gt;0)*Personnel!$D$9:$D$100*(1-Personnel!$I$9:$I$100))))*Escalation!$B$41,Actuals!AS104)</f>
        <v>-69360</v>
      </c>
      <c r="AS284" s="21" t="n">
        <f aca="false">IF(ISBLANK(Actuals!AT104),(-(SUMPRODUCT((Personnel!$O$9:$O$100="SP-Fee")*(Personnel!$G$9:$G$100="Yes")*(41&gt;=Personnel!$E$9:$E$100)*((Personnel!$K$9:$K$100="")+(41&lt;=Personnel!$K$9:$K$100)&gt;0)*Personnel!$D$9:$D$100*(1-Personnel!$I$9:$I$100))))*Escalation!$B$42,Actuals!AT104)</f>
        <v>-69360</v>
      </c>
      <c r="AT284" s="21" t="n">
        <f aca="false">IF(ISBLANK(Actuals!AU104),(-(SUMPRODUCT((Personnel!$O$9:$O$100="SP-Fee")*(Personnel!$G$9:$G$100="Yes")*(42&gt;=Personnel!$E$9:$E$100)*((Personnel!$K$9:$K$100="")+(42&lt;=Personnel!$K$9:$K$100)&gt;0)*Personnel!$D$9:$D$100*(1-Personnel!$I$9:$I$100))))*Escalation!$B$43,Actuals!AU104)</f>
        <v>-69360</v>
      </c>
      <c r="AU284" s="21" t="n">
        <f aca="false">IF(ISBLANK(Actuals!AV104),(-(SUMPRODUCT((Personnel!$O$9:$O$100="SP-Fee")*(Personnel!$G$9:$G$100="Yes")*(43&gt;=Personnel!$E$9:$E$100)*((Personnel!$K$9:$K$100="")+(43&lt;=Personnel!$K$9:$K$100)&gt;0)*Personnel!$D$9:$D$100*(1-Personnel!$I$9:$I$100))))*Escalation!$B$44,Actuals!AV104)</f>
        <v>-69360</v>
      </c>
      <c r="AV284" s="21" t="n">
        <f aca="false">IF(ISBLANK(Actuals!AW104),(-(SUMPRODUCT((Personnel!$O$9:$O$100="SP-Fee")*(Personnel!$G$9:$G$100="Yes")*(44&gt;=Personnel!$E$9:$E$100)*((Personnel!$K$9:$K$100="")+(44&lt;=Personnel!$K$9:$K$100)&gt;0)*Personnel!$D$9:$D$100*(1-Personnel!$I$9:$I$100))))*Escalation!$B$45,Actuals!AW104)</f>
        <v>-69360</v>
      </c>
      <c r="AW284" s="21" t="n">
        <f aca="false">IF(ISBLANK(Actuals!AX104),(-(SUMPRODUCT((Personnel!$O$9:$O$100="SP-Fee")*(Personnel!$G$9:$G$100="Yes")*(45&gt;=Personnel!$E$9:$E$100)*((Personnel!$K$9:$K$100="")+(45&lt;=Personnel!$K$9:$K$100)&gt;0)*Personnel!$D$9:$D$100*(1-Personnel!$I$9:$I$100))))*Escalation!$B$46,Actuals!AX104)</f>
        <v>-69360</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-70747.2</v>
      </c>
      <c r="BB284" s="21" t="n">
        <f aca="false">IF(ISBLANK(Actuals!BC104),(-(SUMPRODUCT((Personnel!$O$9:$O$100="SP-Fee")*(Personnel!$G$9:$G$100="Yes")*(50&gt;=Personnel!$E$9:$E$100)*((Personnel!$K$9:$K$100="")+(50&lt;=Personnel!$K$9:$K$100)&gt;0)*Personnel!$D$9:$D$100*(1-Personnel!$I$9:$I$100))))*Escalation!$B$51,Actuals!BC104)</f>
        <v>-70747.2</v>
      </c>
      <c r="BC284" s="21" t="n">
        <f aca="false">IF(ISBLANK(Actuals!BD104),(-(SUMPRODUCT((Personnel!$O$9:$O$100="SP-Fee")*(Personnel!$G$9:$G$100="Yes")*(51&gt;=Personnel!$E$9:$E$100)*((Personnel!$K$9:$K$100="")+(51&lt;=Personnel!$K$9:$K$100)&gt;0)*Personnel!$D$9:$D$100*(1-Personnel!$I$9:$I$100))))*Escalation!$B$52,Actuals!BD104)</f>
        <v>-70747.2</v>
      </c>
      <c r="BD284" s="21" t="n">
        <f aca="false">IF(ISBLANK(Actuals!BE104),(-(SUMPRODUCT((Personnel!$O$9:$O$100="SP-Fee")*(Personnel!$G$9:$G$100="Yes")*(52&gt;=Personnel!$E$9:$E$100)*((Personnel!$K$9:$K$100="")+(52&lt;=Personnel!$K$9:$K$100)&gt;0)*Personnel!$D$9:$D$100*(1-Personnel!$I$9:$I$100))))*Escalation!$B$53,Actuals!BE104)</f>
        <v>-70747.2</v>
      </c>
      <c r="BE284" s="21" t="n">
        <f aca="false">IF(ISBLANK(Actuals!BF104),(-(SUMPRODUCT((Personnel!$O$9:$O$100="SP-Fee")*(Personnel!$G$9:$G$100="Yes")*(53&gt;=Personnel!$E$9:$E$100)*((Personnel!$K$9:$K$100="")+(53&lt;=Personnel!$K$9:$K$100)&gt;0)*Personnel!$D$9:$D$100*(1-Personnel!$I$9:$I$100))))*Escalation!$B$54,Actuals!BF104)</f>
        <v>-70747.2</v>
      </c>
      <c r="BF284" s="21" t="n">
        <f aca="false">IF(ISBLANK(Actuals!BG104),(-(SUMPRODUCT((Personnel!$O$9:$O$100="SP-Fee")*(Personnel!$G$9:$G$100="Yes")*(54&gt;=Personnel!$E$9:$E$100)*((Personnel!$K$9:$K$100="")+(54&lt;=Personnel!$K$9:$K$100)&gt;0)*Personnel!$D$9:$D$100*(1-Personnel!$I$9:$I$100))))*Escalation!$B$55,Actuals!BG104)</f>
        <v>-70747.2</v>
      </c>
      <c r="BG284" s="21" t="n">
        <f aca="false">IF(ISBLANK(Actuals!BH104),(-(SUMPRODUCT((Personnel!$O$9:$O$100="SP-Fee")*(Personnel!$G$9:$G$100="Yes")*(55&gt;=Personnel!$E$9:$E$100)*((Personnel!$K$9:$K$100="")+(55&lt;=Personnel!$K$9:$K$100)&gt;0)*Personnel!$D$9:$D$100*(1-Personnel!$I$9:$I$100))))*Escalation!$B$56,Actuals!BH104)</f>
        <v>-70747.2</v>
      </c>
      <c r="BH284" s="21" t="n">
        <f aca="false">IF(ISBLANK(Actuals!BI104),(-(SUMPRODUCT((Personnel!$O$9:$O$100="SP-Fee")*(Personnel!$G$9:$G$100="Yes")*(56&gt;=Personnel!$E$9:$E$100)*((Personnel!$K$9:$K$100="")+(56&lt;=Personnel!$K$9:$K$100)&gt;0)*Personnel!$D$9:$D$100*(1-Personnel!$I$9:$I$100))))*Escalation!$B$57,Actuals!BI104)</f>
        <v>-70747.2</v>
      </c>
      <c r="BI284" s="21" t="n">
        <f aca="false">IF(ISBLANK(Actuals!BJ104),(-(SUMPRODUCT((Personnel!$O$9:$O$100="SP-Fee")*(Personnel!$G$9:$G$100="Yes")*(57&gt;=Personnel!$E$9:$E$100)*((Personnel!$K$9:$K$100="")+(57&lt;=Personnel!$K$9:$K$100)&gt;0)*Personnel!$D$9:$D$100*(1-Personnel!$I$9:$I$100))))*Escalation!$B$58,Actuals!BJ104)</f>
        <v>-70747.2</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-72162.144</v>
      </c>
      <c r="BN284" s="21" t="n">
        <f aca="false">IF(ISBLANK(Actuals!BO104),(-(SUMPRODUCT((Personnel!$O$9:$O$100="SP-Fee")*(Personnel!$G$9:$G$100="Yes")*(62&gt;=Personnel!$E$9:$E$100)*((Personnel!$K$9:$K$100="")+(62&lt;=Personnel!$K$9:$K$100)&gt;0)*Personnel!$D$9:$D$100*(1-Personnel!$I$9:$I$100))))*Escalation!$B$63,Actuals!BO104)</f>
        <v>-72162.144</v>
      </c>
      <c r="BO284" s="21" t="n">
        <f aca="false">IF(ISBLANK(Actuals!BP104),(-(SUMPRODUCT((Personnel!$O$9:$O$100="SP-Fee")*(Personnel!$G$9:$G$100="Yes")*(63&gt;=Personnel!$E$9:$E$100)*((Personnel!$K$9:$K$100="")+(63&lt;=Personnel!$K$9:$K$100)&gt;0)*Personnel!$D$9:$D$100*(1-Personnel!$I$9:$I$100))))*Escalation!$B$64,Actuals!BP104)</f>
        <v>-72162.144</v>
      </c>
      <c r="BP284" s="21" t="n">
        <f aca="false">IF(ISBLANK(Actuals!BQ104),(-(SUMPRODUCT((Personnel!$O$9:$O$100="SP-Fee")*(Personnel!$G$9:$G$100="Yes")*(64&gt;=Personnel!$E$9:$E$100)*((Personnel!$K$9:$K$100="")+(64&lt;=Personnel!$K$9:$K$100)&gt;0)*Personnel!$D$9:$D$100*(1-Personnel!$I$9:$I$100))))*Escalation!$B$65,Actuals!BQ104)</f>
        <v>-72162.144</v>
      </c>
      <c r="BQ284" s="21" t="n">
        <f aca="false">IF(ISBLANK(Actuals!BR104),(-(SUMPRODUCT((Personnel!$O$9:$O$100="SP-Fee")*(Personnel!$G$9:$G$100="Yes")*(65&gt;=Personnel!$E$9:$E$100)*((Personnel!$K$9:$K$100="")+(65&lt;=Personnel!$K$9:$K$100)&gt;0)*Personnel!$D$9:$D$100*(1-Personnel!$I$9:$I$100))))*Escalation!$B$66,Actuals!BR104)</f>
        <v>-72162.144</v>
      </c>
      <c r="BR284" s="21" t="n">
        <f aca="false">IF(ISBLANK(Actuals!BS104),(-(SUMPRODUCT((Personnel!$O$9:$O$100="SP-Fee")*(Personnel!$G$9:$G$100="Yes")*(66&gt;=Personnel!$E$9:$E$100)*((Personnel!$K$9:$K$100="")+(66&lt;=Personnel!$K$9:$K$100)&gt;0)*Personnel!$D$9:$D$100*(1-Personnel!$I$9:$I$100))))*Escalation!$B$67,Actuals!BS104)</f>
        <v>-72162.144</v>
      </c>
      <c r="BS284" s="21" t="n">
        <f aca="false">IF(ISBLANK(Actuals!BT104),(-(SUMPRODUCT((Personnel!$O$9:$O$100="SP-Fee")*(Personnel!$G$9:$G$100="Yes")*(67&gt;=Personnel!$E$9:$E$100)*((Personnel!$K$9:$K$100="")+(67&lt;=Personnel!$K$9:$K$100)&gt;0)*Personnel!$D$9:$D$100*(1-Personnel!$I$9:$I$100))))*Escalation!$B$68,Actuals!BT104)</f>
        <v>-72162.144</v>
      </c>
      <c r="BT284" s="21" t="n">
        <f aca="false">IF(ISBLANK(Actuals!BU104),(-(SUMPRODUCT((Personnel!$O$9:$O$100="SP-Fee")*(Personnel!$G$9:$G$100="Yes")*(68&gt;=Personnel!$E$9:$E$100)*((Personnel!$K$9:$K$100="")+(68&lt;=Personnel!$K$9:$K$100)&gt;0)*Personnel!$D$9:$D$100*(1-Personnel!$I$9:$I$100))))*Escalation!$B$69,Actuals!BU104)</f>
        <v>-72162.144</v>
      </c>
      <c r="BU284" s="21" t="n">
        <f aca="false">IF(ISBLANK(Actuals!BV104),(-(SUMPRODUCT((Personnel!$O$9:$O$100="SP-Fee")*(Personnel!$G$9:$G$100="Yes")*(69&gt;=Personnel!$E$9:$E$100)*((Personnel!$K$9:$K$100="")+(69&lt;=Personnel!$K$9:$K$100)&gt;0)*Personnel!$D$9:$D$100*(1-Personnel!$I$9:$I$100))))*Escalation!$B$70,Actuals!BV104)</f>
        <v>-72162.144</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-73605.38688</v>
      </c>
      <c r="BZ284" s="21" t="n">
        <f aca="false">IF(ISBLANK(Actuals!CA104),(-(SUMPRODUCT((Personnel!$O$9:$O$100="SP-Fee")*(Personnel!$G$9:$G$100="Yes")*(74&gt;=Personnel!$E$9:$E$100)*((Personnel!$K$9:$K$100="")+(74&lt;=Personnel!$K$9:$K$100)&gt;0)*Personnel!$D$9:$D$100*(1-Personnel!$I$9:$I$100))))*Escalation!$B$75,Actuals!CA104)</f>
        <v>-73605.38688</v>
      </c>
      <c r="CA284" s="21" t="n">
        <f aca="false">IF(ISBLANK(Actuals!CB104),(-(SUMPRODUCT((Personnel!$O$9:$O$100="SP-Fee")*(Personnel!$G$9:$G$100="Yes")*(75&gt;=Personnel!$E$9:$E$100)*((Personnel!$K$9:$K$100="")+(75&lt;=Personnel!$K$9:$K$100)&gt;0)*Personnel!$D$9:$D$100*(1-Personnel!$I$9:$I$100))))*Escalation!$B$76,Actuals!CB104)</f>
        <v>-73605.38688</v>
      </c>
      <c r="CB284" s="21" t="n">
        <f aca="false">IF(ISBLANK(Actuals!CC104),(-(SUMPRODUCT((Personnel!$O$9:$O$100="SP-Fee")*(Personnel!$G$9:$G$100="Yes")*(76&gt;=Personnel!$E$9:$E$100)*((Personnel!$K$9:$K$100="")+(76&lt;=Personnel!$K$9:$K$100)&gt;0)*Personnel!$D$9:$D$100*(1-Personnel!$I$9:$I$100))))*Escalation!$B$77,Actuals!CC104)</f>
        <v>-73605.38688</v>
      </c>
      <c r="CC284" s="21" t="n">
        <f aca="false">IF(ISBLANK(Actuals!CD104),(-(SUMPRODUCT((Personnel!$O$9:$O$100="SP-Fee")*(Personnel!$G$9:$G$100="Yes")*(77&gt;=Personnel!$E$9:$E$100)*((Personnel!$K$9:$K$100="")+(77&lt;=Personnel!$K$9:$K$100)&gt;0)*Personnel!$D$9:$D$100*(1-Personnel!$I$9:$I$100))))*Escalation!$B$78,Actuals!CD104)</f>
        <v>-73605.38688</v>
      </c>
      <c r="CD284" s="21" t="n">
        <f aca="false">IF(ISBLANK(Actuals!CE104),(-(SUMPRODUCT((Personnel!$O$9:$O$100="SP-Fee")*(Personnel!$G$9:$G$100="Yes")*(78&gt;=Personnel!$E$9:$E$100)*((Personnel!$K$9:$K$100="")+(78&lt;=Personnel!$K$9:$K$100)&gt;0)*Personnel!$D$9:$D$100*(1-Personnel!$I$9:$I$100))))*Escalation!$B$79,Actuals!CE104)</f>
        <v>-73605.38688</v>
      </c>
      <c r="CE284" s="21" t="n">
        <f aca="false">IF(ISBLANK(Actuals!CF104),(-(SUMPRODUCT((Personnel!$O$9:$O$100="SP-Fee")*(Personnel!$G$9:$G$100="Yes")*(79&gt;=Personnel!$E$9:$E$100)*((Personnel!$K$9:$K$100="")+(79&lt;=Personnel!$K$9:$K$100)&gt;0)*Personnel!$D$9:$D$100*(1-Personnel!$I$9:$I$100))))*Escalation!$B$80,Actuals!CF104)</f>
        <v>-73605.38688</v>
      </c>
      <c r="CF284" s="21" t="n">
        <f aca="false">IF(ISBLANK(Actuals!CG104),(-(SUMPRODUCT((Personnel!$O$9:$O$100="SP-Fee")*(Personnel!$G$9:$G$100="Yes")*(80&gt;=Personnel!$E$9:$E$100)*((Personnel!$K$9:$K$100="")+(80&lt;=Personnel!$K$9:$K$100)&gt;0)*Personnel!$D$9:$D$100*(1-Personnel!$I$9:$I$100))))*Escalation!$B$81,Actuals!CG104)</f>
        <v>-73605.38688</v>
      </c>
      <c r="CG284" s="21" t="n">
        <f aca="false">IF(ISBLANK(Actuals!CH104),(-(SUMPRODUCT((Personnel!$O$9:$O$100="SP-Fee")*(Personnel!$G$9:$G$100="Yes")*(81&gt;=Personnel!$E$9:$E$100)*((Personnel!$K$9:$K$100="")+(81&lt;=Personnel!$K$9:$K$100)&gt;0)*Personnel!$D$9:$D$100*(1-Personnel!$I$9:$I$100))))*Escalation!$B$82,Actuals!CH104)</f>
        <v>-73605.38688</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-75077.4946176</v>
      </c>
      <c r="CL284" s="21" t="n">
        <f aca="false">IF(ISBLANK(Actuals!CM104),(-(SUMPRODUCT((Personnel!$O$9:$O$100="SP-Fee")*(Personnel!$G$9:$G$100="Yes")*(86&gt;=Personnel!$E$9:$E$100)*((Personnel!$K$9:$K$100="")+(86&lt;=Personnel!$K$9:$K$100)&gt;0)*Personnel!$D$9:$D$100*(1-Personnel!$I$9:$I$100))))*Escalation!$B$87,Actuals!CM104)</f>
        <v>-75077.4946176</v>
      </c>
      <c r="CM284" s="21" t="n">
        <f aca="false">IF(ISBLANK(Actuals!CN104),(-(SUMPRODUCT((Personnel!$O$9:$O$100="SP-Fee")*(Personnel!$G$9:$G$100="Yes")*(87&gt;=Personnel!$E$9:$E$100)*((Personnel!$K$9:$K$100="")+(87&lt;=Personnel!$K$9:$K$100)&gt;0)*Personnel!$D$9:$D$100*(1-Personnel!$I$9:$I$100))))*Escalation!$B$88,Actuals!CN104)</f>
        <v>-75077.4946176</v>
      </c>
      <c r="CN284" s="21" t="n">
        <f aca="false">IF(ISBLANK(Actuals!CO104),(-(SUMPRODUCT((Personnel!$O$9:$O$100="SP-Fee")*(Personnel!$G$9:$G$100="Yes")*(88&gt;=Personnel!$E$9:$E$100)*((Personnel!$K$9:$K$100="")+(88&lt;=Personnel!$K$9:$K$100)&gt;0)*Personnel!$D$9:$D$100*(1-Personnel!$I$9:$I$100))))*Escalation!$B$89,Actuals!CO104)</f>
        <v>-75077.4946176</v>
      </c>
      <c r="CO284" s="21" t="n">
        <f aca="false">IF(ISBLANK(Actuals!CP104),(-(SUMPRODUCT((Personnel!$O$9:$O$100="SP-Fee")*(Personnel!$G$9:$G$100="Yes")*(89&gt;=Personnel!$E$9:$E$100)*((Personnel!$K$9:$K$100="")+(89&lt;=Personnel!$K$9:$K$100)&gt;0)*Personnel!$D$9:$D$100*(1-Personnel!$I$9:$I$100))))*Escalation!$B$90,Actuals!CP104)</f>
        <v>-75077.4946176</v>
      </c>
      <c r="CP284" s="21" t="n">
        <f aca="false">IF(ISBLANK(Actuals!CQ104),(-(SUMPRODUCT((Personnel!$O$9:$O$100="SP-Fee")*(Personnel!$G$9:$G$100="Yes")*(90&gt;=Personnel!$E$9:$E$100)*((Personnel!$K$9:$K$100="")+(90&lt;=Personnel!$K$9:$K$100)&gt;0)*Personnel!$D$9:$D$100*(1-Personnel!$I$9:$I$100))))*Escalation!$B$91,Actuals!CQ104)</f>
        <v>-75077.4946176</v>
      </c>
      <c r="CQ284" s="21" t="n">
        <f aca="false">IF(ISBLANK(Actuals!CR104),(-(SUMPRODUCT((Personnel!$O$9:$O$100="SP-Fee")*(Personnel!$G$9:$G$100="Yes")*(91&gt;=Personnel!$E$9:$E$100)*((Personnel!$K$9:$K$100="")+(91&lt;=Personnel!$K$9:$K$100)&gt;0)*Personnel!$D$9:$D$100*(1-Personnel!$I$9:$I$100))))*Escalation!$B$92,Actuals!CR104)</f>
        <v>-75077.4946176</v>
      </c>
      <c r="CR284" s="21" t="n">
        <f aca="false">IF(ISBLANK(Actuals!CS104),(-(SUMPRODUCT((Personnel!$O$9:$O$100="SP-Fee")*(Personnel!$G$9:$G$100="Yes")*(92&gt;=Personnel!$E$9:$E$100)*((Personnel!$K$9:$K$100="")+(92&lt;=Personnel!$K$9:$K$100)&gt;0)*Personnel!$D$9:$D$100*(1-Personnel!$I$9:$I$100))))*Escalation!$B$93,Actuals!CS104)</f>
        <v>-75077.4946176</v>
      </c>
      <c r="CS284" s="21" t="n">
        <f aca="false">IF(ISBLANK(Actuals!CT104),(-(SUMPRODUCT((Personnel!$O$9:$O$100="SP-Fee")*(Personnel!$G$9:$G$100="Yes")*(93&gt;=Personnel!$E$9:$E$100)*((Personnel!$K$9:$K$100="")+(93&lt;=Personnel!$K$9:$K$100)&gt;0)*Personnel!$D$9:$D$100*(1-Personnel!$I$9:$I$100))))*Escalation!$B$94,Actuals!CT104)</f>
        <v>-75077.4946176</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-76579.044509952</v>
      </c>
      <c r="CX284" s="21" t="n">
        <f aca="false">IF(ISBLANK(Actuals!CY104),(-(SUMPRODUCT((Personnel!$O$9:$O$100="SP-Fee")*(Personnel!$G$9:$G$100="Yes")*(98&gt;=Personnel!$E$9:$E$100)*((Personnel!$K$9:$K$100="")+(98&lt;=Personnel!$K$9:$K$100)&gt;0)*Personnel!$D$9:$D$100*(1-Personnel!$I$9:$I$100))))*Escalation!$B$99,Actuals!CY104)</f>
        <v>-76579.044509952</v>
      </c>
      <c r="CY284" s="21" t="n">
        <f aca="false">IF(ISBLANK(Actuals!CZ104),(-(SUMPRODUCT((Personnel!$O$9:$O$100="SP-Fee")*(Personnel!$G$9:$G$100="Yes")*(99&gt;=Personnel!$E$9:$E$100)*((Personnel!$K$9:$K$100="")+(99&lt;=Personnel!$K$9:$K$100)&gt;0)*Personnel!$D$9:$D$100*(1-Personnel!$I$9:$I$100))))*Escalation!$B$100,Actuals!CZ104)</f>
        <v>-76579.044509952</v>
      </c>
      <c r="CZ284" s="21" t="n">
        <f aca="false">IF(ISBLANK(Actuals!DA104),(-(SUMPRODUCT((Personnel!$O$9:$O$100="SP-Fee")*(Personnel!$G$9:$G$100="Yes")*(100&gt;=Personnel!$E$9:$E$100)*((Personnel!$K$9:$K$100="")+(100&lt;=Personnel!$K$9:$K$100)&gt;0)*Personnel!$D$9:$D$100*(1-Personnel!$I$9:$I$100))))*Escalation!$B$101,Actuals!DA104)</f>
        <v>-76579.044509952</v>
      </c>
      <c r="DA284" s="21" t="n">
        <f aca="false">IF(ISBLANK(Actuals!DB104),(-(SUMPRODUCT((Personnel!$O$9:$O$100="SP-Fee")*(Personnel!$G$9:$G$100="Yes")*(101&gt;=Personnel!$E$9:$E$100)*((Personnel!$K$9:$K$100="")+(101&lt;=Personnel!$K$9:$K$100)&gt;0)*Personnel!$D$9:$D$100*(1-Personnel!$I$9:$I$100))))*Escalation!$B$102,Actuals!DB104)</f>
        <v>-76579.044509952</v>
      </c>
      <c r="DB284" s="21" t="n">
        <f aca="false">IF(ISBLANK(Actuals!DC104),(-(SUMPRODUCT((Personnel!$O$9:$O$100="SP-Fee")*(Personnel!$G$9:$G$100="Yes")*(102&gt;=Personnel!$E$9:$E$100)*((Personnel!$K$9:$K$100="")+(102&lt;=Personnel!$K$9:$K$100)&gt;0)*Personnel!$D$9:$D$100*(1-Personnel!$I$9:$I$100))))*Escalation!$B$103,Actuals!DC104)</f>
        <v>-76579.044509952</v>
      </c>
      <c r="DC284" s="21" t="n">
        <f aca="false">IF(ISBLANK(Actuals!DD104),(-(SUMPRODUCT((Personnel!$O$9:$O$100="SP-Fee")*(Personnel!$G$9:$G$100="Yes")*(103&gt;=Personnel!$E$9:$E$100)*((Personnel!$K$9:$K$100="")+(103&lt;=Personnel!$K$9:$K$100)&gt;0)*Personnel!$D$9:$D$100*(1-Personnel!$I$9:$I$100))))*Escalation!$B$104,Actuals!DD104)</f>
        <v>-76579.044509952</v>
      </c>
      <c r="DD284" s="21" t="n">
        <f aca="false">IF(ISBLANK(Actuals!DE104),(-(SUMPRODUCT((Personnel!$O$9:$O$100="SP-Fee")*(Personnel!$G$9:$G$100="Yes")*(104&gt;=Personnel!$E$9:$E$100)*((Personnel!$K$9:$K$100="")+(104&lt;=Personnel!$K$9:$K$100)&gt;0)*Personnel!$D$9:$D$100*(1-Personnel!$I$9:$I$100))))*Escalation!$B$105,Actuals!DE104)</f>
        <v>-76579.044509952</v>
      </c>
      <c r="DE284" s="21" t="n">
        <f aca="false">IF(ISBLANK(Actuals!DF104),(-(SUMPRODUCT((Personnel!$O$9:$O$100="SP-Fee")*(Personnel!$G$9:$G$100="Yes")*(105&gt;=Personnel!$E$9:$E$100)*((Personnel!$K$9:$K$100="")+(105&lt;=Personnel!$K$9:$K$100)&gt;0)*Personnel!$D$9:$D$100*(1-Personnel!$I$9:$I$100))))*Escalation!$B$106,Actuals!DF104)</f>
        <v>-76579.044509952</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-5476.82</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IF(ISBLANK(Actuals!O105),-3333.33*Escalation!$B$11,Actuals!O105)</f>
        <v>-3333.33</v>
      </c>
      <c r="O285" s="13" t="n">
        <f aca="false">IF(ISBLANK(Actuals!P105),-3333.33*Escalation!$B$12,Actuals!P105)</f>
        <v>-3333.33</v>
      </c>
      <c r="P285" s="13" t="n">
        <f aca="false">IF(ISBLANK(Actuals!Q105),-3333.33*Escalation!$B$13,Actuals!Q105)</f>
        <v>-3333.33</v>
      </c>
      <c r="Q285" s="13" t="n">
        <f aca="false">IF(ISBLANK(Actuals!R105),-3333.33*Escalation!$B$14,Actuals!R105)</f>
        <v>-3333.33</v>
      </c>
      <c r="R285" s="13" t="n">
        <f aca="false">IF(ISBLANK(Actuals!S105),-3333.33*Escalation!$B$15,Actuals!S105)</f>
        <v>-3333.33</v>
      </c>
      <c r="S285" s="13" t="n">
        <f aca="false">IF(ISBLANK(Actuals!T105),-3333.33*Escalation!$B$16,Actuals!T105)</f>
        <v>-3333.33</v>
      </c>
      <c r="T285" s="13" t="n">
        <f aca="false">IF(ISBLANK(Actuals!U105),-3333.33*Escalation!$B$17,Actuals!U105)</f>
        <v>-3333.33</v>
      </c>
      <c r="U285" s="13" t="n">
        <f aca="false">IF(ISBLANK(Actuals!V105),-3333.33*Escalation!$B$18,Actuals!V105)</f>
        <v>-3333.33</v>
      </c>
      <c r="V285" s="13" t="n">
        <f aca="false">IF(ISBLANK(Actuals!W105),-3333.33*Escalation!$B$19,Actuals!W105)</f>
        <v>-3333.33</v>
      </c>
      <c r="W285" s="13" t="n">
        <f aca="false">IF(ISBLANK(Actuals!X105),-3333.33*Escalation!$B$20,Actuals!X105)</f>
        <v>-3333.33</v>
      </c>
      <c r="X285" s="13" t="n">
        <f aca="false">IF(ISBLANK(Actuals!Y105),-3333.33*Escalation!$B$21,Actuals!Y105)</f>
        <v>-3333.33</v>
      </c>
      <c r="Y285" s="13" t="n">
        <f aca="false">IF(ISBLANK(Actuals!Z105),-3333.33*Escalation!$B$22,Actuals!Z105)</f>
        <v>-3333.33</v>
      </c>
      <c r="Z285" s="13" t="n">
        <f aca="false">IF(ISBLANK(Actuals!AA105),-3333.33*Escalation!$B$23,Actuals!AA105)</f>
        <v>-3399.9966</v>
      </c>
      <c r="AA285" s="13" t="n">
        <f aca="false">IF(ISBLANK(Actuals!AB105),-3333.33*Escalation!$B$24,Actuals!AB105)</f>
        <v>-3399.9966</v>
      </c>
      <c r="AB285" s="13" t="n">
        <f aca="false">IF(ISBLANK(Actuals!AC105),-3333.33*Escalation!$B$25,Actuals!AC105)</f>
        <v>-3399.9966</v>
      </c>
      <c r="AC285" s="13" t="n">
        <f aca="false">IF(ISBLANK(Actuals!AD105),-3333.33*Escalation!$B$26,Actuals!AD105)</f>
        <v>-3399.9966</v>
      </c>
      <c r="AD285" s="13" t="n">
        <f aca="false">IF(ISBLANK(Actuals!AE105),-3333.33*Escalation!$B$27,Actuals!AE105)</f>
        <v>-3399.9966</v>
      </c>
      <c r="AE285" s="13" t="n">
        <f aca="false">IF(ISBLANK(Actuals!AF105),-3333.33*Escalation!$B$28,Actuals!AF105)</f>
        <v>-3399.9966</v>
      </c>
      <c r="AF285" s="13" t="n">
        <f aca="false">IF(ISBLANK(Actuals!AG105),-3333.33*Escalation!$B$29,Actuals!AG105)</f>
        <v>-3399.9966</v>
      </c>
      <c r="AG285" s="13" t="n">
        <f aca="false">IF(ISBLANK(Actuals!AH105),-3333.33*Escalation!$B$30,Actuals!AH105)</f>
        <v>-3399.9966</v>
      </c>
      <c r="AH285" s="13" t="n">
        <f aca="false">IF(ISBLANK(Actuals!AI105),-3333.33*Escalation!$B$31,Actuals!AI105)</f>
        <v>-3399.9966</v>
      </c>
      <c r="AI285" s="13" t="n">
        <f aca="false">IF(ISBLANK(Actuals!AJ105),-3333.33*Escalation!$B$32,Actuals!AJ105)</f>
        <v>-3399.9966</v>
      </c>
      <c r="AJ285" s="13" t="n">
        <f aca="false">IF(ISBLANK(Actuals!AK105),-3333.33*Escalation!$B$33,Actuals!AK105)</f>
        <v>-3399.9966</v>
      </c>
      <c r="AK285" s="13" t="n">
        <f aca="false">IF(ISBLANK(Actuals!AL105),-3333.33*Escalation!$B$34,Actuals!AL105)</f>
        <v>-3399.9966</v>
      </c>
      <c r="AL285" s="13" t="n">
        <f aca="false">IF(ISBLANK(Actuals!AM105),-3333.33*Escalation!$B$35,Actuals!AM105)</f>
        <v>-3467.996532</v>
      </c>
      <c r="AM285" s="13" t="n">
        <f aca="false">IF(ISBLANK(Actuals!AN105),-3333.33*Escalation!$B$36,Actuals!AN105)</f>
        <v>-3467.996532</v>
      </c>
      <c r="AN285" s="13" t="n">
        <f aca="false">IF(ISBLANK(Actuals!AO105),-3333.33*Escalation!$B$37,Actuals!AO105)</f>
        <v>-3467.996532</v>
      </c>
      <c r="AO285" s="13" t="n">
        <f aca="false">IF(ISBLANK(Actuals!AP105),-3333.33*Escalation!$B$38,Actuals!AP105)</f>
        <v>-3467.996532</v>
      </c>
      <c r="AP285" s="13" t="n">
        <f aca="false">IF(ISBLANK(Actuals!AQ105),-3333.33*Escalation!$B$39,Actuals!AQ105)</f>
        <v>-3467.996532</v>
      </c>
      <c r="AQ285" s="13" t="n">
        <f aca="false">IF(ISBLANK(Actuals!AR105),-3333.33*Escalation!$B$40,Actuals!AR105)</f>
        <v>-3467.996532</v>
      </c>
      <c r="AR285" s="13" t="n">
        <f aca="false">IF(ISBLANK(Actuals!AS105),-3333.33*Escalation!$B$41,Actuals!AS105)</f>
        <v>-3467.996532</v>
      </c>
      <c r="AS285" s="13" t="n">
        <f aca="false">IF(ISBLANK(Actuals!AT105),-3333.33*Escalation!$B$42,Actuals!AT105)</f>
        <v>-3467.996532</v>
      </c>
      <c r="AT285" s="13" t="n">
        <f aca="false">IF(ISBLANK(Actuals!AU105),-3333.33*Escalation!$B$43,Actuals!AU105)</f>
        <v>-3467.996532</v>
      </c>
      <c r="AU285" s="13" t="n">
        <f aca="false">IF(ISBLANK(Actuals!AV105),-3333.33*Escalation!$B$44,Actuals!AV105)</f>
        <v>-3467.996532</v>
      </c>
      <c r="AV285" s="13" t="n">
        <f aca="false">IF(ISBLANK(Actuals!AW105),-3333.33*Escalation!$B$45,Actuals!AW105)</f>
        <v>-3467.996532</v>
      </c>
      <c r="AW285" s="13" t="n">
        <f aca="false">IF(ISBLANK(Actuals!AX105),-3333.33*Escalation!$B$46,Actuals!AX105)</f>
        <v>-3467.996532</v>
      </c>
      <c r="AX285" s="13" t="n">
        <f aca="false">IF(ISBLANK(Actuals!AY105),-3333.33*Escalation!$B$47,Actuals!AY105)</f>
        <v>-3537.35646264</v>
      </c>
      <c r="AY285" s="13" t="n">
        <f aca="false">IF(ISBLANK(Actuals!AZ105),-3333.33*Escalation!$B$48,Actuals!AZ105)</f>
        <v>-3537.35646264</v>
      </c>
      <c r="AZ285" s="13" t="n">
        <f aca="false">IF(ISBLANK(Actuals!BA105),-3333.33*Escalation!$B$49,Actuals!BA105)</f>
        <v>-3537.35646264</v>
      </c>
      <c r="BA285" s="13" t="n">
        <f aca="false">IF(ISBLANK(Actuals!BB105),-3333.33*Escalation!$B$50,Actuals!BB105)</f>
        <v>-3537.35646264</v>
      </c>
      <c r="BB285" s="13" t="n">
        <f aca="false">IF(ISBLANK(Actuals!BC105),-3333.33*Escalation!$B$51,Actuals!BC105)</f>
        <v>-3537.35646264</v>
      </c>
      <c r="BC285" s="13" t="n">
        <f aca="false">IF(ISBLANK(Actuals!BD105),-3333.33*Escalation!$B$52,Actuals!BD105)</f>
        <v>-3537.35646264</v>
      </c>
      <c r="BD285" s="13" t="n">
        <f aca="false">IF(ISBLANK(Actuals!BE105),-3333.33*Escalation!$B$53,Actuals!BE105)</f>
        <v>-3537.35646264</v>
      </c>
      <c r="BE285" s="13" t="n">
        <f aca="false">IF(ISBLANK(Actuals!BF105),-3333.33*Escalation!$B$54,Actuals!BF105)</f>
        <v>-3537.35646264</v>
      </c>
      <c r="BF285" s="13" t="n">
        <f aca="false">IF(ISBLANK(Actuals!BG105),-3333.33*Escalation!$B$55,Actuals!BG105)</f>
        <v>-3537.35646264</v>
      </c>
      <c r="BG285" s="13" t="n">
        <f aca="false">IF(ISBLANK(Actuals!BH105),-3333.33*Escalation!$B$56,Actuals!BH105)</f>
        <v>-3537.35646264</v>
      </c>
      <c r="BH285" s="13" t="n">
        <f aca="false">IF(ISBLANK(Actuals!BI105),-3333.33*Escalation!$B$57,Actuals!BI105)</f>
        <v>-3537.35646264</v>
      </c>
      <c r="BI285" s="13" t="n">
        <f aca="false">IF(ISBLANK(Actuals!BJ105),-3333.33*Escalation!$B$58,Actuals!BJ105)</f>
        <v>-3537.35646264</v>
      </c>
      <c r="BJ285" s="13" t="n">
        <f aca="false">IF(ISBLANK(Actuals!BK105),-3333.33*Escalation!$B$59,Actuals!BK105)</f>
        <v>-3608.1035918928</v>
      </c>
      <c r="BK285" s="13" t="n">
        <f aca="false">IF(ISBLANK(Actuals!BL105),-3333.33*Escalation!$B$60,Actuals!BL105)</f>
        <v>-3608.1035918928</v>
      </c>
      <c r="BL285" s="13" t="n">
        <f aca="false">IF(ISBLANK(Actuals!BM105),-3333.33*Escalation!$B$61,Actuals!BM105)</f>
        <v>-3608.1035918928</v>
      </c>
      <c r="BM285" s="13" t="n">
        <f aca="false">IF(ISBLANK(Actuals!BN105),-3333.33*Escalation!$B$62,Actuals!BN105)</f>
        <v>-3608.1035918928</v>
      </c>
      <c r="BN285" s="13" t="n">
        <f aca="false">IF(ISBLANK(Actuals!BO105),-3333.33*Escalation!$B$63,Actuals!BO105)</f>
        <v>-3608.1035918928</v>
      </c>
      <c r="BO285" s="13" t="n">
        <f aca="false">IF(ISBLANK(Actuals!BP105),-3333.33*Escalation!$B$64,Actuals!BP105)</f>
        <v>-3608.1035918928</v>
      </c>
      <c r="BP285" s="13" t="n">
        <f aca="false">IF(ISBLANK(Actuals!BQ105),-3333.33*Escalation!$B$65,Actuals!BQ105)</f>
        <v>-3608.1035918928</v>
      </c>
      <c r="BQ285" s="13" t="n">
        <f aca="false">IF(ISBLANK(Actuals!BR105),-3333.33*Escalation!$B$66,Actuals!BR105)</f>
        <v>-3608.1035918928</v>
      </c>
      <c r="BR285" s="13" t="n">
        <f aca="false">IF(ISBLANK(Actuals!BS105),-3333.33*Escalation!$B$67,Actuals!BS105)</f>
        <v>-3608.1035918928</v>
      </c>
      <c r="BS285" s="13" t="n">
        <f aca="false">IF(ISBLANK(Actuals!BT105),-3333.33*Escalation!$B$68,Actuals!BT105)</f>
        <v>-3608.1035918928</v>
      </c>
      <c r="BT285" s="13" t="n">
        <f aca="false">IF(ISBLANK(Actuals!BU105),-3333.33*Escalation!$B$69,Actuals!BU105)</f>
        <v>-3608.1035918928</v>
      </c>
      <c r="BU285" s="13" t="n">
        <f aca="false">IF(ISBLANK(Actuals!BV105),-3333.33*Escalation!$B$70,Actuals!BV105)</f>
        <v>-3608.1035918928</v>
      </c>
      <c r="BV285" s="13" t="n">
        <f aca="false">IF(ISBLANK(Actuals!BW105),-3333.33*Escalation!$B$71,Actuals!BW105)</f>
        <v>-3680.26566373066</v>
      </c>
      <c r="BW285" s="13" t="n">
        <f aca="false">IF(ISBLANK(Actuals!BX105),-3333.33*Escalation!$B$72,Actuals!BX105)</f>
        <v>-3680.26566373066</v>
      </c>
      <c r="BX285" s="13" t="n">
        <f aca="false">IF(ISBLANK(Actuals!BY105),-3333.33*Escalation!$B$73,Actuals!BY105)</f>
        <v>-3680.26566373066</v>
      </c>
      <c r="BY285" s="13" t="n">
        <f aca="false">IF(ISBLANK(Actuals!BZ105),-3333.33*Escalation!$B$74,Actuals!BZ105)</f>
        <v>-3680.26566373066</v>
      </c>
      <c r="BZ285" s="13" t="n">
        <f aca="false">IF(ISBLANK(Actuals!CA105),-3333.33*Escalation!$B$75,Actuals!CA105)</f>
        <v>-3680.26566373066</v>
      </c>
      <c r="CA285" s="13" t="n">
        <f aca="false">IF(ISBLANK(Actuals!CB105),-3333.33*Escalation!$B$76,Actuals!CB105)</f>
        <v>-3680.26566373066</v>
      </c>
      <c r="CB285" s="13" t="n">
        <f aca="false">IF(ISBLANK(Actuals!CC105),-3333.33*Escalation!$B$77,Actuals!CC105)</f>
        <v>-3680.26566373066</v>
      </c>
      <c r="CC285" s="13" t="n">
        <f aca="false">IF(ISBLANK(Actuals!CD105),-3333.33*Escalation!$B$78,Actuals!CD105)</f>
        <v>-3680.26566373066</v>
      </c>
      <c r="CD285" s="13" t="n">
        <f aca="false">IF(ISBLANK(Actuals!CE105),-3333.33*Escalation!$B$79,Actuals!CE105)</f>
        <v>-3680.26566373066</v>
      </c>
      <c r="CE285" s="13" t="n">
        <f aca="false">IF(ISBLANK(Actuals!CF105),-3333.33*Escalation!$B$80,Actuals!CF105)</f>
        <v>-3680.26566373066</v>
      </c>
      <c r="CF285" s="13" t="n">
        <f aca="false">IF(ISBLANK(Actuals!CG105),-3333.33*Escalation!$B$81,Actuals!CG105)</f>
        <v>-3680.26566373066</v>
      </c>
      <c r="CG285" s="13" t="n">
        <f aca="false">IF(ISBLANK(Actuals!CH105),-3333.33*Escalation!$B$82,Actuals!CH105)</f>
        <v>-3680.26566373066</v>
      </c>
      <c r="CH285" s="13" t="n">
        <f aca="false">IF(ISBLANK(Actuals!CI105),-3333.33*Escalation!$B$83,Actuals!CI105)</f>
        <v>-3753.87097700527</v>
      </c>
      <c r="CI285" s="13" t="n">
        <f aca="false">IF(ISBLANK(Actuals!CJ105),-3333.33*Escalation!$B$84,Actuals!CJ105)</f>
        <v>-3753.87097700527</v>
      </c>
      <c r="CJ285" s="13" t="n">
        <f aca="false">IF(ISBLANK(Actuals!CK105),-3333.33*Escalation!$B$85,Actuals!CK105)</f>
        <v>-3753.87097700527</v>
      </c>
      <c r="CK285" s="13" t="n">
        <f aca="false">IF(ISBLANK(Actuals!CL105),-3333.33*Escalation!$B$86,Actuals!CL105)</f>
        <v>-3753.87097700527</v>
      </c>
      <c r="CL285" s="13" t="n">
        <f aca="false">IF(ISBLANK(Actuals!CM105),-3333.33*Escalation!$B$87,Actuals!CM105)</f>
        <v>-3753.87097700527</v>
      </c>
      <c r="CM285" s="13" t="n">
        <f aca="false">IF(ISBLANK(Actuals!CN105),-3333.33*Escalation!$B$88,Actuals!CN105)</f>
        <v>-3753.87097700527</v>
      </c>
      <c r="CN285" s="13" t="n">
        <f aca="false">IF(ISBLANK(Actuals!CO105),-3333.33*Escalation!$B$89,Actuals!CO105)</f>
        <v>-3753.87097700527</v>
      </c>
      <c r="CO285" s="13" t="n">
        <f aca="false">IF(ISBLANK(Actuals!CP105),-3333.33*Escalation!$B$90,Actuals!CP105)</f>
        <v>-3753.87097700527</v>
      </c>
      <c r="CP285" s="13" t="n">
        <f aca="false">IF(ISBLANK(Actuals!CQ105),-3333.33*Escalation!$B$91,Actuals!CQ105)</f>
        <v>-3753.87097700527</v>
      </c>
      <c r="CQ285" s="13" t="n">
        <f aca="false">IF(ISBLANK(Actuals!CR105),-3333.33*Escalation!$B$92,Actuals!CR105)</f>
        <v>-3753.87097700527</v>
      </c>
      <c r="CR285" s="13" t="n">
        <f aca="false">IF(ISBLANK(Actuals!CS105),-3333.33*Escalation!$B$93,Actuals!CS105)</f>
        <v>-3753.87097700527</v>
      </c>
      <c r="CS285" s="13" t="n">
        <f aca="false">IF(ISBLANK(Actuals!CT105),-3333.33*Escalation!$B$94,Actuals!CT105)</f>
        <v>-3753.87097700527</v>
      </c>
      <c r="CT285" s="13" t="n">
        <f aca="false">IF(ISBLANK(Actuals!CU105),-3333.33*Escalation!$B$95,Actuals!CU105)</f>
        <v>-3828.94839654537</v>
      </c>
      <c r="CU285" s="13" t="n">
        <f aca="false">IF(ISBLANK(Actuals!CV105),-3333.33*Escalation!$B$96,Actuals!CV105)</f>
        <v>-3828.94839654537</v>
      </c>
      <c r="CV285" s="13" t="n">
        <f aca="false">IF(ISBLANK(Actuals!CW105),-3333.33*Escalation!$B$97,Actuals!CW105)</f>
        <v>-3828.94839654537</v>
      </c>
      <c r="CW285" s="13" t="n">
        <f aca="false">IF(ISBLANK(Actuals!CX105),-3333.33*Escalation!$B$98,Actuals!CX105)</f>
        <v>-3828.94839654537</v>
      </c>
      <c r="CX285" s="13" t="n">
        <f aca="false">IF(ISBLANK(Actuals!CY105),-3333.33*Escalation!$B$99,Actuals!CY105)</f>
        <v>-3828.94839654537</v>
      </c>
      <c r="CY285" s="13" t="n">
        <f aca="false">IF(ISBLANK(Actuals!CZ105),-3333.33*Escalation!$B$100,Actuals!CZ105)</f>
        <v>-3828.94839654537</v>
      </c>
      <c r="CZ285" s="13" t="n">
        <f aca="false">IF(ISBLANK(Actuals!DA105),-3333.33*Escalation!$B$101,Actuals!DA105)</f>
        <v>-3828.94839654537</v>
      </c>
      <c r="DA285" s="13" t="n">
        <f aca="false">IF(ISBLANK(Actuals!DB105),-3333.33*Escalation!$B$102,Actuals!DB105)</f>
        <v>-3828.94839654537</v>
      </c>
      <c r="DB285" s="13" t="n">
        <f aca="false">IF(ISBLANK(Actuals!DC105),-3333.33*Escalation!$B$103,Actuals!DC105)</f>
        <v>-3828.94839654537</v>
      </c>
      <c r="DC285" s="13" t="n">
        <f aca="false">IF(ISBLANK(Actuals!DD105),-3333.33*Escalation!$B$104,Actuals!DD105)</f>
        <v>-3828.94839654537</v>
      </c>
      <c r="DD285" s="13" t="n">
        <f aca="false">IF(ISBLANK(Actuals!DE105),-3333.33*Escalation!$B$105,Actuals!DE105)</f>
        <v>-3828.94839654537</v>
      </c>
      <c r="DE285" s="13" t="n">
        <f aca="false">IF(ISBLANK(Actuals!DF105),-3333.33*Escalation!$B$106,Actuals!DF105)</f>
        <v>-3828.94839654537</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-1132.51</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-446.63</v>
      </c>
      <c r="R286" s="13" t="n">
        <f aca="false">IF(ISBLANK(Actuals!S106),-446.63*Escalation!$B$15,Actuals!S106)</f>
        <v>-446.63</v>
      </c>
      <c r="S286" s="13" t="n">
        <f aca="false">IF(ISBLANK(Actuals!T106),-446.63*Escalation!$B$16,Actuals!T106)</f>
        <v>-446.63</v>
      </c>
      <c r="T286" s="13" t="n">
        <f aca="false">IF(ISBLANK(Actuals!U106),-446.63*Escalation!$B$17,Actuals!U106)</f>
        <v>-446.63</v>
      </c>
      <c r="U286" s="13" t="n">
        <f aca="false">IF(ISBLANK(Actuals!V106),-446.63*Escalation!$B$18,Actuals!V106)</f>
        <v>-446.63</v>
      </c>
      <c r="V286" s="13" t="n">
        <f aca="false">IF(ISBLANK(Actuals!W106),-446.63*Escalation!$B$19,Actuals!W106)</f>
        <v>-446.63</v>
      </c>
      <c r="W286" s="13" t="n">
        <f aca="false">IF(ISBLANK(Actuals!X106),-446.63*Escalation!$B$20,Actuals!X106)</f>
        <v>-446.63</v>
      </c>
      <c r="X286" s="13" t="n">
        <f aca="false">IF(ISBLANK(Actuals!Y106),-446.63*Escalation!$B$21,Actuals!Y106)</f>
        <v>-446.63</v>
      </c>
      <c r="Y286" s="13" t="n">
        <f aca="false">IF(ISBLANK(Actuals!Z106),-446.63*Escalation!$B$22,Actuals!Z106)</f>
        <v>-446.63</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-455.5626</v>
      </c>
      <c r="AD286" s="13" t="n">
        <f aca="false">IF(ISBLANK(Actuals!AE106),-446.63*Escalation!$B$27,Actuals!AE106)</f>
        <v>-455.5626</v>
      </c>
      <c r="AE286" s="13" t="n">
        <f aca="false">IF(ISBLANK(Actuals!AF106),-446.63*Escalation!$B$28,Actuals!AF106)</f>
        <v>-455.5626</v>
      </c>
      <c r="AF286" s="13" t="n">
        <f aca="false">IF(ISBLANK(Actuals!AG106),-446.63*Escalation!$B$29,Actuals!AG106)</f>
        <v>-455.5626</v>
      </c>
      <c r="AG286" s="13" t="n">
        <f aca="false">IF(ISBLANK(Actuals!AH106),-446.63*Escalation!$B$30,Actuals!AH106)</f>
        <v>-455.5626</v>
      </c>
      <c r="AH286" s="13" t="n">
        <f aca="false">IF(ISBLANK(Actuals!AI106),-446.63*Escalation!$B$31,Actuals!AI106)</f>
        <v>-455.5626</v>
      </c>
      <c r="AI286" s="13" t="n">
        <f aca="false">IF(ISBLANK(Actuals!AJ106),-446.63*Escalation!$B$32,Actuals!AJ106)</f>
        <v>-455.5626</v>
      </c>
      <c r="AJ286" s="13" t="n">
        <f aca="false">IF(ISBLANK(Actuals!AK106),-446.63*Escalation!$B$33,Actuals!AK106)</f>
        <v>-455.5626</v>
      </c>
      <c r="AK286" s="13" t="n">
        <f aca="false">IF(ISBLANK(Actuals!AL106),-446.63*Escalation!$B$34,Actuals!AL106)</f>
        <v>-455.5626</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-464.673852</v>
      </c>
      <c r="AP286" s="13" t="n">
        <f aca="false">IF(ISBLANK(Actuals!AQ106),-446.63*Escalation!$B$39,Actuals!AQ106)</f>
        <v>-464.673852</v>
      </c>
      <c r="AQ286" s="13" t="n">
        <f aca="false">IF(ISBLANK(Actuals!AR106),-446.63*Escalation!$B$40,Actuals!AR106)</f>
        <v>-464.673852</v>
      </c>
      <c r="AR286" s="13" t="n">
        <f aca="false">IF(ISBLANK(Actuals!AS106),-446.63*Escalation!$B$41,Actuals!AS106)</f>
        <v>-464.673852</v>
      </c>
      <c r="AS286" s="13" t="n">
        <f aca="false">IF(ISBLANK(Actuals!AT106),-446.63*Escalation!$B$42,Actuals!AT106)</f>
        <v>-464.673852</v>
      </c>
      <c r="AT286" s="13" t="n">
        <f aca="false">IF(ISBLANK(Actuals!AU106),-446.63*Escalation!$B$43,Actuals!AU106)</f>
        <v>-464.673852</v>
      </c>
      <c r="AU286" s="13" t="n">
        <f aca="false">IF(ISBLANK(Actuals!AV106),-446.63*Escalation!$B$44,Actuals!AV106)</f>
        <v>-464.673852</v>
      </c>
      <c r="AV286" s="13" t="n">
        <f aca="false">IF(ISBLANK(Actuals!AW106),-446.63*Escalation!$B$45,Actuals!AW106)</f>
        <v>-464.673852</v>
      </c>
      <c r="AW286" s="13" t="n">
        <f aca="false">IF(ISBLANK(Actuals!AX106),-446.63*Escalation!$B$46,Actuals!AX106)</f>
        <v>-464.673852</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-473.96732904</v>
      </c>
      <c r="BB286" s="13" t="n">
        <f aca="false">IF(ISBLANK(Actuals!BC106),-446.63*Escalation!$B$51,Actuals!BC106)</f>
        <v>-473.96732904</v>
      </c>
      <c r="BC286" s="13" t="n">
        <f aca="false">IF(ISBLANK(Actuals!BD106),-446.63*Escalation!$B$52,Actuals!BD106)</f>
        <v>-473.96732904</v>
      </c>
      <c r="BD286" s="13" t="n">
        <f aca="false">IF(ISBLANK(Actuals!BE106),-446.63*Escalation!$B$53,Actuals!BE106)</f>
        <v>-473.96732904</v>
      </c>
      <c r="BE286" s="13" t="n">
        <f aca="false">IF(ISBLANK(Actuals!BF106),-446.63*Escalation!$B$54,Actuals!BF106)</f>
        <v>-473.96732904</v>
      </c>
      <c r="BF286" s="13" t="n">
        <f aca="false">IF(ISBLANK(Actuals!BG106),-446.63*Escalation!$B$55,Actuals!BG106)</f>
        <v>-473.96732904</v>
      </c>
      <c r="BG286" s="13" t="n">
        <f aca="false">IF(ISBLANK(Actuals!BH106),-446.63*Escalation!$B$56,Actuals!BH106)</f>
        <v>-473.96732904</v>
      </c>
      <c r="BH286" s="13" t="n">
        <f aca="false">IF(ISBLANK(Actuals!BI106),-446.63*Escalation!$B$57,Actuals!BI106)</f>
        <v>-473.96732904</v>
      </c>
      <c r="BI286" s="13" t="n">
        <f aca="false">IF(ISBLANK(Actuals!BJ106),-446.63*Escalation!$B$58,Actuals!BJ106)</f>
        <v>-473.96732904</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-483.4466756208</v>
      </c>
      <c r="BN286" s="13" t="n">
        <f aca="false">IF(ISBLANK(Actuals!BO106),-446.63*Escalation!$B$63,Actuals!BO106)</f>
        <v>-483.4466756208</v>
      </c>
      <c r="BO286" s="13" t="n">
        <f aca="false">IF(ISBLANK(Actuals!BP106),-446.63*Escalation!$B$64,Actuals!BP106)</f>
        <v>-483.4466756208</v>
      </c>
      <c r="BP286" s="13" t="n">
        <f aca="false">IF(ISBLANK(Actuals!BQ106),-446.63*Escalation!$B$65,Actuals!BQ106)</f>
        <v>-483.4466756208</v>
      </c>
      <c r="BQ286" s="13" t="n">
        <f aca="false">IF(ISBLANK(Actuals!BR106),-446.63*Escalation!$B$66,Actuals!BR106)</f>
        <v>-483.4466756208</v>
      </c>
      <c r="BR286" s="13" t="n">
        <f aca="false">IF(ISBLANK(Actuals!BS106),-446.63*Escalation!$B$67,Actuals!BS106)</f>
        <v>-483.4466756208</v>
      </c>
      <c r="BS286" s="13" t="n">
        <f aca="false">IF(ISBLANK(Actuals!BT106),-446.63*Escalation!$B$68,Actuals!BT106)</f>
        <v>-483.4466756208</v>
      </c>
      <c r="BT286" s="13" t="n">
        <f aca="false">IF(ISBLANK(Actuals!BU106),-446.63*Escalation!$B$69,Actuals!BU106)</f>
        <v>-483.4466756208</v>
      </c>
      <c r="BU286" s="13" t="n">
        <f aca="false">IF(ISBLANK(Actuals!BV106),-446.63*Escalation!$B$70,Actuals!BV106)</f>
        <v>-483.4466756208</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-493.115609133216</v>
      </c>
      <c r="BZ286" s="13" t="n">
        <f aca="false">IF(ISBLANK(Actuals!CA106),-446.63*Escalation!$B$75,Actuals!CA106)</f>
        <v>-493.115609133216</v>
      </c>
      <c r="CA286" s="13" t="n">
        <f aca="false">IF(ISBLANK(Actuals!CB106),-446.63*Escalation!$B$76,Actuals!CB106)</f>
        <v>-493.115609133216</v>
      </c>
      <c r="CB286" s="13" t="n">
        <f aca="false">IF(ISBLANK(Actuals!CC106),-446.63*Escalation!$B$77,Actuals!CC106)</f>
        <v>-493.115609133216</v>
      </c>
      <c r="CC286" s="13" t="n">
        <f aca="false">IF(ISBLANK(Actuals!CD106),-446.63*Escalation!$B$78,Actuals!CD106)</f>
        <v>-493.115609133216</v>
      </c>
      <c r="CD286" s="13" t="n">
        <f aca="false">IF(ISBLANK(Actuals!CE106),-446.63*Escalation!$B$79,Actuals!CE106)</f>
        <v>-493.115609133216</v>
      </c>
      <c r="CE286" s="13" t="n">
        <f aca="false">IF(ISBLANK(Actuals!CF106),-446.63*Escalation!$B$80,Actuals!CF106)</f>
        <v>-493.115609133216</v>
      </c>
      <c r="CF286" s="13" t="n">
        <f aca="false">IF(ISBLANK(Actuals!CG106),-446.63*Escalation!$B$81,Actuals!CG106)</f>
        <v>-493.115609133216</v>
      </c>
      <c r="CG286" s="13" t="n">
        <f aca="false">IF(ISBLANK(Actuals!CH106),-446.63*Escalation!$B$82,Actuals!CH106)</f>
        <v>-493.115609133216</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-502.97792131588</v>
      </c>
      <c r="CL286" s="13" t="n">
        <f aca="false">IF(ISBLANK(Actuals!CM106),-446.63*Escalation!$B$87,Actuals!CM106)</f>
        <v>-502.97792131588</v>
      </c>
      <c r="CM286" s="13" t="n">
        <f aca="false">IF(ISBLANK(Actuals!CN106),-446.63*Escalation!$B$88,Actuals!CN106)</f>
        <v>-502.97792131588</v>
      </c>
      <c r="CN286" s="13" t="n">
        <f aca="false">IF(ISBLANK(Actuals!CO106),-446.63*Escalation!$B$89,Actuals!CO106)</f>
        <v>-502.97792131588</v>
      </c>
      <c r="CO286" s="13" t="n">
        <f aca="false">IF(ISBLANK(Actuals!CP106),-446.63*Escalation!$B$90,Actuals!CP106)</f>
        <v>-502.97792131588</v>
      </c>
      <c r="CP286" s="13" t="n">
        <f aca="false">IF(ISBLANK(Actuals!CQ106),-446.63*Escalation!$B$91,Actuals!CQ106)</f>
        <v>-502.97792131588</v>
      </c>
      <c r="CQ286" s="13" t="n">
        <f aca="false">IF(ISBLANK(Actuals!CR106),-446.63*Escalation!$B$92,Actuals!CR106)</f>
        <v>-502.97792131588</v>
      </c>
      <c r="CR286" s="13" t="n">
        <f aca="false">IF(ISBLANK(Actuals!CS106),-446.63*Escalation!$B$93,Actuals!CS106)</f>
        <v>-502.97792131588</v>
      </c>
      <c r="CS286" s="13" t="n">
        <f aca="false">IF(ISBLANK(Actuals!CT106),-446.63*Escalation!$B$94,Actuals!CT106)</f>
        <v>-502.97792131588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-513.037479742198</v>
      </c>
      <c r="CX286" s="13" t="n">
        <f aca="false">IF(ISBLANK(Actuals!CY106),-446.63*Escalation!$B$99,Actuals!CY106)</f>
        <v>-513.037479742198</v>
      </c>
      <c r="CY286" s="13" t="n">
        <f aca="false">IF(ISBLANK(Actuals!CZ106),-446.63*Escalation!$B$100,Actuals!CZ106)</f>
        <v>-513.037479742198</v>
      </c>
      <c r="CZ286" s="13" t="n">
        <f aca="false">IF(ISBLANK(Actuals!DA106),-446.63*Escalation!$B$101,Actuals!DA106)</f>
        <v>-513.037479742198</v>
      </c>
      <c r="DA286" s="13" t="n">
        <f aca="false">IF(ISBLANK(Actuals!DB106),-446.63*Escalation!$B$102,Actuals!DB106)</f>
        <v>-513.037479742198</v>
      </c>
      <c r="DB286" s="13" t="n">
        <f aca="false">IF(ISBLANK(Actuals!DC106),-446.63*Escalation!$B$103,Actuals!DC106)</f>
        <v>-513.037479742198</v>
      </c>
      <c r="DC286" s="13" t="n">
        <f aca="false">IF(ISBLANK(Actuals!DD106),-446.63*Escalation!$B$104,Actuals!DD106)</f>
        <v>-513.037479742198</v>
      </c>
      <c r="DD286" s="13" t="n">
        <f aca="false">IF(ISBLANK(Actuals!DE106),-446.63*Escalation!$B$105,Actuals!DE106)</f>
        <v>-513.037479742198</v>
      </c>
      <c r="DE286" s="13" t="n">
        <f aca="false">IF(ISBLANK(Actuals!DF106),-446.63*Escalation!$B$106,Actuals!DF106)</f>
        <v>-513.037479742198</v>
      </c>
    </row>
    <row r="287" customFormat="false" ht="15" hidden="false" customHeight="true" outlineLevel="0" collapsed="false">
      <c r="A287" s="22" t="s">
        <v>134</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-0</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-0</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135</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136</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137</v>
      </c>
      <c r="B290" s="13" t="n">
        <f aca="false">IF(ISBLANK(Actuals!C110),0,Actuals!C110)</f>
        <v>0</v>
      </c>
      <c r="C290" s="13" t="n">
        <f aca="false">IF(ISBLANK(Actuals!D110),0,Actuals!D110)</f>
        <v>0</v>
      </c>
      <c r="D290" s="13" t="n">
        <f aca="false">IF(ISBLANK(Actuals!E110),0,Actuals!E110)</f>
        <v>0</v>
      </c>
      <c r="E290" s="13" t="n">
        <f aca="false">IF(ISBLANK(Actuals!F110),-Helpers!C23+E344,Actuals!F110)</f>
        <v>-0</v>
      </c>
      <c r="F290" s="13" t="n">
        <f aca="false">IF(ISBLANK(Actuals!G110),-Helpers!D23+F344,Actuals!G110)</f>
        <v>-0</v>
      </c>
      <c r="G290" s="13" t="n">
        <f aca="false">IF(ISBLANK(Actuals!H110),-Helpers!E23+G344,Actuals!H110)</f>
        <v>-0</v>
      </c>
      <c r="H290" s="13" t="n">
        <f aca="false">IF(ISBLANK(Actuals!I110),-Helpers!F23+H344,Actuals!I110)</f>
        <v>-0</v>
      </c>
      <c r="I290" s="13" t="n">
        <f aca="false">IF(ISBLANK(Actuals!J110),-Helpers!G23+I344,Actuals!J110)</f>
        <v>-0</v>
      </c>
      <c r="J290" s="13" t="n">
        <f aca="false">IF(ISBLANK(Actuals!K110),-Helpers!H23+J344,Actuals!K110)</f>
        <v>-0</v>
      </c>
      <c r="K290" s="13" t="n">
        <f aca="false">IF(ISBLANK(Actuals!L110),-Helpers!I23+K344,Actuals!L110)</f>
        <v>-0</v>
      </c>
      <c r="L290" s="13" t="n">
        <f aca="false">IF(ISBLANK(Actuals!M110),-Helpers!J23+L344,Actuals!M110)</f>
        <v>-0</v>
      </c>
      <c r="M290" s="13" t="n">
        <f aca="false">IF(ISBLANK(Actuals!N110),-Helpers!K23+M344,Actuals!N110)</f>
        <v>-0</v>
      </c>
      <c r="N290" s="13" t="n">
        <f aca="false">IF(ISBLANK(Actuals!O110),-Helpers!L23+N344,Actuals!O110)</f>
        <v>-0</v>
      </c>
      <c r="O290" s="13" t="n">
        <f aca="false">IF(ISBLANK(Actuals!P110),-Helpers!M23+O344,Actuals!P110)</f>
        <v>-0</v>
      </c>
      <c r="P290" s="13" t="n">
        <f aca="false">IF(ISBLANK(Actuals!Q110),-Helpers!N23+P344,Actuals!Q110)</f>
        <v>-0</v>
      </c>
      <c r="Q290" s="13" t="n">
        <f aca="false">IF(ISBLANK(Actuals!R110),-Helpers!O23+Q344,Actuals!R110)</f>
        <v>-0</v>
      </c>
      <c r="R290" s="13" t="n">
        <f aca="false">IF(ISBLANK(Actuals!S110),-Helpers!P23+R344,Actuals!S110)</f>
        <v>-0</v>
      </c>
      <c r="S290" s="13" t="n">
        <f aca="false">IF(ISBLANK(Actuals!T110),-Helpers!Q23+S344,Actuals!T110)</f>
        <v>-0</v>
      </c>
      <c r="T290" s="13" t="n">
        <f aca="false">IF(ISBLANK(Actuals!U110),-Helpers!R23+T344,Actuals!U110)</f>
        <v>-0</v>
      </c>
      <c r="U290" s="13" t="n">
        <f aca="false">IF(ISBLANK(Actuals!V110),-Helpers!S23+U344,Actuals!V110)</f>
        <v>-0</v>
      </c>
      <c r="V290" s="13" t="n">
        <f aca="false">IF(ISBLANK(Actuals!W110),-Helpers!T23+V344,Actuals!W110)</f>
        <v>-0</v>
      </c>
      <c r="W290" s="13" t="n">
        <f aca="false">IF(ISBLANK(Actuals!X110),-Helpers!U23+W344,Actuals!X110)</f>
        <v>-0</v>
      </c>
      <c r="X290" s="13" t="n">
        <f aca="false">IF(ISBLANK(Actuals!Y110),-Helpers!V23+X344,Actuals!Y110)</f>
        <v>-0</v>
      </c>
      <c r="Y290" s="13" t="n">
        <f aca="false">IF(ISBLANK(Actuals!Z110),-Helpers!W23+Y344,Actuals!Z110)</f>
        <v>-0</v>
      </c>
      <c r="Z290" s="13" t="n">
        <f aca="false">IF(ISBLANK(Actuals!AA110),-Helpers!X23+Z344,Actuals!AA110)</f>
        <v>-0</v>
      </c>
      <c r="AA290" s="13" t="n">
        <f aca="false">IF(ISBLANK(Actuals!AB110),-Helpers!Y23+AA344,Actuals!AB110)</f>
        <v>-0</v>
      </c>
      <c r="AB290" s="13" t="n">
        <f aca="false">IF(ISBLANK(Actuals!AC110),-Helpers!Z23+AB344,Actuals!AC110)</f>
        <v>-0</v>
      </c>
      <c r="AC290" s="13" t="n">
        <f aca="false">IF(ISBLANK(Actuals!AD110),-Helpers!AA23+AC344,Actuals!AD110)</f>
        <v>-0</v>
      </c>
      <c r="AD290" s="13" t="n">
        <f aca="false">IF(ISBLANK(Actuals!AE110),-Helpers!AB23+AD344,Actuals!AE110)</f>
        <v>-0</v>
      </c>
      <c r="AE290" s="13" t="n">
        <f aca="false">IF(ISBLANK(Actuals!AF110),-Helpers!AC23+AE344,Actuals!AF110)</f>
        <v>-0</v>
      </c>
      <c r="AF290" s="13" t="n">
        <f aca="false">IF(ISBLANK(Actuals!AG110),-Helpers!AD23+AF344,Actuals!AG110)</f>
        <v>-0</v>
      </c>
      <c r="AG290" s="13" t="n">
        <f aca="false">IF(ISBLANK(Actuals!AH110),-Helpers!AE23+AG344,Actuals!AH110)</f>
        <v>-0</v>
      </c>
      <c r="AH290" s="13" t="n">
        <f aca="false">IF(ISBLANK(Actuals!AI110),-Helpers!AF23+AH344,Actuals!AI110)</f>
        <v>-0</v>
      </c>
      <c r="AI290" s="13" t="n">
        <f aca="false">IF(ISBLANK(Actuals!AJ110),-Helpers!AG23+AI344,Actuals!AJ110)</f>
        <v>-0</v>
      </c>
      <c r="AJ290" s="13" t="n">
        <f aca="false">IF(ISBLANK(Actuals!AK110),-Helpers!AH23+AJ344,Actuals!AK110)</f>
        <v>-0</v>
      </c>
      <c r="AK290" s="13" t="n">
        <f aca="false">IF(ISBLANK(Actuals!AL110),-Helpers!AI23+AK344,Actuals!AL110)</f>
        <v>-0</v>
      </c>
      <c r="AL290" s="13" t="n">
        <f aca="false">IF(ISBLANK(Actuals!AM110),-Helpers!AJ23+AL344,Actuals!AM110)</f>
        <v>-0</v>
      </c>
      <c r="AM290" s="13" t="n">
        <f aca="false">IF(ISBLANK(Actuals!AN110),-Helpers!AK23+AM344,Actuals!AN110)</f>
        <v>-0</v>
      </c>
      <c r="AN290" s="13" t="n">
        <f aca="false">IF(ISBLANK(Actuals!AO110),-Helpers!AL23+AN344,Actuals!AO110)</f>
        <v>-0</v>
      </c>
      <c r="AO290" s="13" t="n">
        <f aca="false">IF(ISBLANK(Actuals!AP110),-Helpers!AM23+AO344,Actuals!AP110)</f>
        <v>-0</v>
      </c>
      <c r="AP290" s="13" t="n">
        <f aca="false">IF(ISBLANK(Actuals!AQ110),-Helpers!AN23+AP344,Actuals!AQ110)</f>
        <v>-0</v>
      </c>
      <c r="AQ290" s="13" t="n">
        <f aca="false">IF(ISBLANK(Actuals!AR110),-Helpers!AO23+AQ344,Actuals!AR110)</f>
        <v>-0</v>
      </c>
      <c r="AR290" s="13" t="n">
        <f aca="false">IF(ISBLANK(Actuals!AS110),-Helpers!AP23+AR344,Actuals!AS110)</f>
        <v>-0</v>
      </c>
      <c r="AS290" s="13" t="n">
        <f aca="false">IF(ISBLANK(Actuals!AT110),-Helpers!AQ23+AS344,Actuals!AT110)</f>
        <v>-0</v>
      </c>
      <c r="AT290" s="13" t="n">
        <f aca="false">IF(ISBLANK(Actuals!AU110),-Helpers!AR23+AT344,Actuals!AU110)</f>
        <v>-0</v>
      </c>
      <c r="AU290" s="13" t="n">
        <f aca="false">IF(ISBLANK(Actuals!AV110),-Helpers!AS23+AU344,Actuals!AV110)</f>
        <v>-0</v>
      </c>
      <c r="AV290" s="13" t="n">
        <f aca="false">IF(ISBLANK(Actuals!AW110),-Helpers!AT23+AV344,Actuals!AW110)</f>
        <v>-0</v>
      </c>
      <c r="AW290" s="13" t="n">
        <f aca="false">IF(ISBLANK(Actuals!AX110),-Helpers!AU23+AW344,Actuals!AX110)</f>
        <v>-0</v>
      </c>
      <c r="AX290" s="13" t="n">
        <f aca="false">IF(ISBLANK(Actuals!AY110),-Helpers!AV23+AX344,Actuals!AY110)</f>
        <v>-0</v>
      </c>
      <c r="AY290" s="13" t="n">
        <f aca="false">IF(ISBLANK(Actuals!AZ110),-Helpers!AW23+AY344,Actuals!AZ110)</f>
        <v>-0</v>
      </c>
      <c r="AZ290" s="13" t="n">
        <f aca="false">IF(ISBLANK(Actuals!BA110),-Helpers!AX23+AZ344,Actuals!BA110)</f>
        <v>-0</v>
      </c>
      <c r="BA290" s="13" t="n">
        <f aca="false">IF(ISBLANK(Actuals!BB110),-Helpers!AY23+BA344,Actuals!BB110)</f>
        <v>-0</v>
      </c>
      <c r="BB290" s="13" t="n">
        <f aca="false">IF(ISBLANK(Actuals!BC110),-Helpers!AZ23+BB344,Actuals!BC110)</f>
        <v>-0</v>
      </c>
      <c r="BC290" s="13" t="n">
        <f aca="false">IF(ISBLANK(Actuals!BD110),-Helpers!BA23+BC344,Actuals!BD110)</f>
        <v>-851839</v>
      </c>
      <c r="BD290" s="13" t="n">
        <f aca="false">IF(ISBLANK(Actuals!BE110),-Helpers!BB23+BD344,Actuals!BE110)</f>
        <v>-0</v>
      </c>
      <c r="BE290" s="13" t="n">
        <f aca="false">IF(ISBLANK(Actuals!BF110),-Helpers!BC23+BE344,Actuals!BF110)</f>
        <v>-0</v>
      </c>
      <c r="BF290" s="13" t="n">
        <f aca="false">IF(ISBLANK(Actuals!BG110),-Helpers!BD23+BF344,Actuals!BG110)</f>
        <v>-71700</v>
      </c>
      <c r="BG290" s="13" t="n">
        <f aca="false">IF(ISBLANK(Actuals!BH110),-Helpers!BE23+BG344,Actuals!BH110)</f>
        <v>-0</v>
      </c>
      <c r="BH290" s="13" t="n">
        <f aca="false">IF(ISBLANK(Actuals!BI110),-Helpers!BF23+BH344,Actuals!BI110)</f>
        <v>-0</v>
      </c>
      <c r="BI290" s="13" t="n">
        <f aca="false">IF(ISBLANK(Actuals!BJ110),-Helpers!BG23+BI344,Actuals!BJ110)</f>
        <v>-71700</v>
      </c>
      <c r="BJ290" s="13" t="n">
        <f aca="false">IF(ISBLANK(Actuals!BK110),-Helpers!BH23+BJ344,Actuals!BK110)</f>
        <v>-0</v>
      </c>
      <c r="BK290" s="13" t="n">
        <f aca="false">IF(ISBLANK(Actuals!BL110),-Helpers!BI23+BK344,Actuals!BL110)</f>
        <v>-0</v>
      </c>
      <c r="BL290" s="13" t="n">
        <f aca="false">IF(ISBLANK(Actuals!BM110),-Helpers!BJ23+BL344,Actuals!BM110)</f>
        <v>-71700</v>
      </c>
      <c r="BM290" s="13" t="n">
        <f aca="false">IF(ISBLANK(Actuals!BN110),-Helpers!BK23+BM344,Actuals!BN110)</f>
        <v>-0</v>
      </c>
      <c r="BN290" s="13" t="n">
        <f aca="false">IF(ISBLANK(Actuals!BO110),-Helpers!BL23+BN344,Actuals!BO110)</f>
        <v>-0</v>
      </c>
      <c r="BO290" s="13" t="n">
        <f aca="false">IF(ISBLANK(Actuals!BP110),-Helpers!BM23+BO344,Actuals!BP110)</f>
        <v>-71700</v>
      </c>
      <c r="BP290" s="13" t="n">
        <f aca="false">IF(ISBLANK(Actuals!BQ110),-Helpers!BN23+BP344,Actuals!BQ110)</f>
        <v>-0</v>
      </c>
      <c r="BQ290" s="13" t="n">
        <f aca="false">IF(ISBLANK(Actuals!BR110),-Helpers!BO23+BQ344,Actuals!BR110)</f>
        <v>-0</v>
      </c>
      <c r="BR290" s="13" t="n">
        <f aca="false">IF(ISBLANK(Actuals!BS110),-Helpers!BP23+BR344,Actuals!BS110)</f>
        <v>-74643</v>
      </c>
      <c r="BS290" s="13" t="n">
        <f aca="false">IF(ISBLANK(Actuals!BT110),-Helpers!BQ23+BS344,Actuals!BT110)</f>
        <v>-0</v>
      </c>
      <c r="BT290" s="13" t="n">
        <f aca="false">IF(ISBLANK(Actuals!BU110),-Helpers!BR23+BT344,Actuals!BU110)</f>
        <v>-0</v>
      </c>
      <c r="BU290" s="13" t="n">
        <f aca="false">IF(ISBLANK(Actuals!BV110),-Helpers!BS23+BU344,Actuals!BV110)</f>
        <v>-74640</v>
      </c>
      <c r="BV290" s="13" t="n">
        <f aca="false">IF(ISBLANK(Actuals!BW110),-Helpers!BT23+BV344,Actuals!BW110)</f>
        <v>-0</v>
      </c>
      <c r="BW290" s="13" t="n">
        <f aca="false">IF(ISBLANK(Actuals!BX110),-Helpers!BU23+BW344,Actuals!BX110)</f>
        <v>-0</v>
      </c>
      <c r="BX290" s="13" t="n">
        <f aca="false">IF(ISBLANK(Actuals!BY110),-Helpers!BV23+BX344,Actuals!BY110)</f>
        <v>-74640</v>
      </c>
      <c r="BY290" s="13" t="n">
        <f aca="false">IF(ISBLANK(Actuals!BZ110),-Helpers!BW23+BY344,Actuals!BZ110)</f>
        <v>-0</v>
      </c>
      <c r="BZ290" s="13" t="n">
        <f aca="false">IF(ISBLANK(Actuals!CA110),-Helpers!BX23+BZ344,Actuals!CA110)</f>
        <v>-0</v>
      </c>
      <c r="CA290" s="13" t="n">
        <f aca="false">IF(ISBLANK(Actuals!CB110),-Helpers!BY23+CA344,Actuals!CB110)</f>
        <v>-74640</v>
      </c>
      <c r="CB290" s="13" t="n">
        <f aca="false">IF(ISBLANK(Actuals!CC110),-Helpers!BZ23+CB344,Actuals!CC110)</f>
        <v>-0</v>
      </c>
      <c r="CC290" s="13" t="n">
        <f aca="false">IF(ISBLANK(Actuals!CD110),-Helpers!CA23+CC344,Actuals!CD110)</f>
        <v>-0</v>
      </c>
      <c r="CD290" s="13" t="n">
        <f aca="false">IF(ISBLANK(Actuals!CE110),-Helpers!CB23+CD344,Actuals!CE110)</f>
        <v>-81363</v>
      </c>
      <c r="CE290" s="13" t="n">
        <f aca="false">IF(ISBLANK(Actuals!CF110),-Helpers!CC23+CE344,Actuals!CF110)</f>
        <v>-0</v>
      </c>
      <c r="CF290" s="13" t="n">
        <f aca="false">IF(ISBLANK(Actuals!CG110),-Helpers!CD23+CF344,Actuals!CG110)</f>
        <v>-0</v>
      </c>
      <c r="CG290" s="13" t="n">
        <f aca="false">IF(ISBLANK(Actuals!CH110),-Helpers!CE23+CG344,Actuals!CH110)</f>
        <v>-81362</v>
      </c>
      <c r="CH290" s="13" t="n">
        <f aca="false">IF(ISBLANK(Actuals!CI110),-Helpers!CF23+CH344,Actuals!CI110)</f>
        <v>-0</v>
      </c>
      <c r="CI290" s="13" t="n">
        <f aca="false">IF(ISBLANK(Actuals!CJ110),-Helpers!CG23+CI344,Actuals!CJ110)</f>
        <v>-0</v>
      </c>
      <c r="CJ290" s="13" t="n">
        <f aca="false">IF(ISBLANK(Actuals!CK110),-Helpers!CH23+CJ344,Actuals!CK110)</f>
        <v>-74753.9733935208</v>
      </c>
      <c r="CK290" s="13" t="n">
        <f aca="false">IF(ISBLANK(Actuals!CL110),-Helpers!CI23+CK344,Actuals!CL110)</f>
        <v>-0</v>
      </c>
      <c r="CL290" s="13" t="n">
        <f aca="false">IF(ISBLANK(Actuals!CM110),-Helpers!CJ23+CL344,Actuals!CM110)</f>
        <v>-0</v>
      </c>
      <c r="CM290" s="13" t="n">
        <f aca="false">IF(ISBLANK(Actuals!CN110),-Helpers!CK23+CM344,Actuals!CN110)</f>
        <v>-0</v>
      </c>
      <c r="CN290" s="13" t="n">
        <f aca="false">IF(ISBLANK(Actuals!CO110),-Helpers!CL23+CN344,Actuals!CO110)</f>
        <v>-0</v>
      </c>
      <c r="CO290" s="13" t="n">
        <f aca="false">IF(ISBLANK(Actuals!CP110),-Helpers!CM23+CO344,Actuals!CP110)</f>
        <v>-0</v>
      </c>
      <c r="CP290" s="13" t="n">
        <f aca="false">IF(ISBLANK(Actuals!CQ110),-Helpers!CN23+CP344,Actuals!CQ110)</f>
        <v>-0</v>
      </c>
      <c r="CQ290" s="13" t="n">
        <f aca="false">IF(ISBLANK(Actuals!CR110),-Helpers!CO23+CQ344,Actuals!CR110)</f>
        <v>-0</v>
      </c>
      <c r="CR290" s="13" t="n">
        <f aca="false">IF(ISBLANK(Actuals!CS110),-Helpers!CP23+CR344,Actuals!CS110)</f>
        <v>-0</v>
      </c>
      <c r="CS290" s="13" t="n">
        <f aca="false">IF(ISBLANK(Actuals!CT110),-Helpers!CQ23+CS344,Actuals!CT110)</f>
        <v>-0</v>
      </c>
      <c r="CT290" s="13" t="n">
        <f aca="false">IF(ISBLANK(Actuals!CU110),-Helpers!CR23+CT344,Actuals!CU110)</f>
        <v>-0</v>
      </c>
      <c r="CU290" s="13" t="n">
        <f aca="false">IF(ISBLANK(Actuals!CV110),-Helpers!CS23+CU344,Actuals!CV110)</f>
        <v>-0</v>
      </c>
      <c r="CV290" s="13" t="n">
        <f aca="false">IF(ISBLANK(Actuals!CW110),-Helpers!CT23+CV344,Actuals!CW110)</f>
        <v>-0</v>
      </c>
      <c r="CW290" s="13" t="n">
        <f aca="false">IF(ISBLANK(Actuals!CX110),-Helpers!CU23+CW344,Actuals!CX110)</f>
        <v>-0</v>
      </c>
      <c r="CX290" s="13" t="n">
        <f aca="false">IF(ISBLANK(Actuals!CY110),-Helpers!CV23+CX344,Actuals!CY110)</f>
        <v>-0</v>
      </c>
      <c r="CY290" s="13" t="n">
        <f aca="false">IF(ISBLANK(Actuals!CZ110),-Helpers!CW23+CY344,Actuals!CZ110)</f>
        <v>-0</v>
      </c>
      <c r="CZ290" s="13" t="n">
        <f aca="false">IF(ISBLANK(Actuals!DA110),-Helpers!CX23+CZ344,Actuals!DA110)</f>
        <v>-0</v>
      </c>
      <c r="DA290" s="13" t="n">
        <f aca="false">IF(ISBLANK(Actuals!DB110),-Helpers!CY23+DA344,Actuals!DB110)</f>
        <v>-0</v>
      </c>
      <c r="DB290" s="13" t="n">
        <f aca="false">IF(ISBLANK(Actuals!DC110),-Helpers!CZ23+DB344,Actuals!DC110)</f>
        <v>-0</v>
      </c>
      <c r="DC290" s="13" t="n">
        <f aca="false">IF(ISBLANK(Actuals!DD110),-Helpers!DA23+DC344,Actuals!DD110)</f>
        <v>-0</v>
      </c>
      <c r="DD290" s="13" t="n">
        <f aca="false">IF(ISBLANK(Actuals!DE110),-Helpers!DB23+DD344,Actuals!DE110)</f>
        <v>-0</v>
      </c>
      <c r="DE290" s="13" t="n">
        <f aca="false">IF(ISBLANK(Actuals!DF110),-Helpers!DC23+DE344,Actuals!DF110)</f>
        <v>-0</v>
      </c>
    </row>
    <row r="291" customFormat="false" ht="15" hidden="false" customHeight="true" outlineLevel="0" collapsed="false">
      <c r="A291" s="22" t="s">
        <v>138</v>
      </c>
      <c r="B291" s="13" t="n">
        <f aca="false">IF(ISBLANK(Actuals!C111),0,Actuals!C111)</f>
        <v>0</v>
      </c>
      <c r="C291" s="13" t="n">
        <f aca="false">IF(ISBLANK(Actuals!D111),0,Actuals!D111)</f>
        <v>0</v>
      </c>
      <c r="D291" s="13" t="n">
        <f aca="false">IF(ISBLANK(Actuals!E111),0,Actuals!E111)</f>
        <v>0</v>
      </c>
      <c r="E291" s="13" t="n">
        <f aca="false">IF(ISBLANK(Actuals!F111),-Helpers!C26+E339,Actuals!F111)</f>
        <v>-0</v>
      </c>
      <c r="F291" s="13" t="n">
        <f aca="false">IF(ISBLANK(Actuals!G111),-Helpers!D26+F339,Actuals!G111)</f>
        <v>-0</v>
      </c>
      <c r="G291" s="13" t="n">
        <f aca="false">IF(ISBLANK(Actuals!H111),-Helpers!E26+G339,Actuals!H111)</f>
        <v>-0</v>
      </c>
      <c r="H291" s="13" t="n">
        <f aca="false">IF(ISBLANK(Actuals!I111),-Helpers!F26+H339,Actuals!I111)</f>
        <v>-0</v>
      </c>
      <c r="I291" s="13" t="n">
        <f aca="false">IF(ISBLANK(Actuals!J111),-Helpers!G26+I339,Actuals!J111)</f>
        <v>-0</v>
      </c>
      <c r="J291" s="13" t="n">
        <f aca="false">IF(ISBLANK(Actuals!K111),-Helpers!H26+J339,Actuals!K111)</f>
        <v>-0</v>
      </c>
      <c r="K291" s="13" t="n">
        <f aca="false">IF(ISBLANK(Actuals!L111),-Helpers!I26+K339,Actuals!L111)</f>
        <v>-0</v>
      </c>
      <c r="L291" s="13" t="n">
        <f aca="false">IF(ISBLANK(Actuals!M111),-Helpers!J26+L339,Actuals!M111)</f>
        <v>-0</v>
      </c>
      <c r="M291" s="13" t="n">
        <f aca="false">IF(ISBLANK(Actuals!N111),-Helpers!K26+M339,Actuals!N111)</f>
        <v>-0</v>
      </c>
      <c r="N291" s="13" t="n">
        <f aca="false">IF(ISBLANK(Actuals!O111),-Helpers!L26+N339,Actuals!O111)</f>
        <v>-0</v>
      </c>
      <c r="O291" s="13" t="n">
        <f aca="false">IF(ISBLANK(Actuals!P111),-Helpers!M26+O339,Actuals!P111)</f>
        <v>-0</v>
      </c>
      <c r="P291" s="13" t="n">
        <f aca="false">IF(ISBLANK(Actuals!Q111),-Helpers!N26+P339,Actuals!Q111)</f>
        <v>-0</v>
      </c>
      <c r="Q291" s="13" t="n">
        <f aca="false">IF(ISBLANK(Actuals!R111),-Helpers!O26+Q339,Actuals!R111)</f>
        <v>-0</v>
      </c>
      <c r="R291" s="13" t="n">
        <f aca="false">IF(ISBLANK(Actuals!S111),-Helpers!P26+R339,Actuals!S111)</f>
        <v>-0</v>
      </c>
      <c r="S291" s="13" t="n">
        <f aca="false">IF(ISBLANK(Actuals!T111),-Helpers!Q26+S339,Actuals!T111)</f>
        <v>-0</v>
      </c>
      <c r="T291" s="13" t="n">
        <f aca="false">IF(ISBLANK(Actuals!U111),-Helpers!R26+T339,Actuals!U111)</f>
        <v>-0</v>
      </c>
      <c r="U291" s="13" t="n">
        <f aca="false">IF(ISBLANK(Actuals!V111),-Helpers!S26+U339,Actuals!V111)</f>
        <v>-0</v>
      </c>
      <c r="V291" s="13" t="n">
        <f aca="false">IF(ISBLANK(Actuals!W111),-Helpers!T26+V339,Actuals!W111)</f>
        <v>-0</v>
      </c>
      <c r="W291" s="13" t="n">
        <f aca="false">IF(ISBLANK(Actuals!X111),-Helpers!U26+W339,Actuals!X111)</f>
        <v>-0</v>
      </c>
      <c r="X291" s="13" t="n">
        <f aca="false">IF(ISBLANK(Actuals!Y111),-Helpers!V26+X339,Actuals!Y111)</f>
        <v>-0</v>
      </c>
      <c r="Y291" s="13" t="n">
        <f aca="false">IF(ISBLANK(Actuals!Z111),-Helpers!W26+Y339,Actuals!Z111)</f>
        <v>-0</v>
      </c>
      <c r="Z291" s="13" t="n">
        <f aca="false">IF(ISBLANK(Actuals!AA111),-Helpers!X26+Z339,Actuals!AA111)</f>
        <v>-0</v>
      </c>
      <c r="AA291" s="13" t="n">
        <f aca="false">IF(ISBLANK(Actuals!AB111),-Helpers!Y26+AA339,Actuals!AB111)</f>
        <v>-0</v>
      </c>
      <c r="AB291" s="13" t="n">
        <f aca="false">IF(ISBLANK(Actuals!AC111),-Helpers!Z26+AB339,Actuals!AC111)</f>
        <v>-0</v>
      </c>
      <c r="AC291" s="13" t="n">
        <f aca="false">IF(ISBLANK(Actuals!AD111),-Helpers!AA26+AC339,Actuals!AD111)</f>
        <v>-0</v>
      </c>
      <c r="AD291" s="13" t="n">
        <f aca="false">IF(ISBLANK(Actuals!AE111),-Helpers!AB26+AD339,Actuals!AE111)</f>
        <v>-0</v>
      </c>
      <c r="AE291" s="13" t="n">
        <f aca="false">IF(ISBLANK(Actuals!AF111),-Helpers!AC26+AE339,Actuals!AF111)</f>
        <v>-0</v>
      </c>
      <c r="AF291" s="13" t="n">
        <f aca="false">IF(ISBLANK(Actuals!AG111),-Helpers!AD26+AF339,Actuals!AG111)</f>
        <v>-0</v>
      </c>
      <c r="AG291" s="13" t="n">
        <f aca="false">IF(ISBLANK(Actuals!AH111),-Helpers!AE26+AG339,Actuals!AH111)</f>
        <v>-0</v>
      </c>
      <c r="AH291" s="13" t="n">
        <f aca="false">IF(ISBLANK(Actuals!AI111),-Helpers!AF26+AH339,Actuals!AI111)</f>
        <v>-0</v>
      </c>
      <c r="AI291" s="13" t="n">
        <f aca="false">IF(ISBLANK(Actuals!AJ111),-Helpers!AG26+AI339,Actuals!AJ111)</f>
        <v>-0</v>
      </c>
      <c r="AJ291" s="13" t="n">
        <f aca="false">IF(ISBLANK(Actuals!AK111),-Helpers!AH26+AJ339,Actuals!AK111)</f>
        <v>-0</v>
      </c>
      <c r="AK291" s="13" t="n">
        <f aca="false">IF(ISBLANK(Actuals!AL111),-Helpers!AI26+AK339,Actuals!AL111)</f>
        <v>-0</v>
      </c>
      <c r="AL291" s="13" t="n">
        <f aca="false">IF(ISBLANK(Actuals!AM111),-Helpers!AJ26+AL339,Actuals!AM111)</f>
        <v>-0</v>
      </c>
      <c r="AM291" s="13" t="n">
        <f aca="false">IF(ISBLANK(Actuals!AN111),-Helpers!AK26+AM339,Actuals!AN111)</f>
        <v>-0</v>
      </c>
      <c r="AN291" s="13" t="n">
        <f aca="false">IF(ISBLANK(Actuals!AO111),-Helpers!AL26+AN339,Actuals!AO111)</f>
        <v>-0</v>
      </c>
      <c r="AO291" s="13" t="n">
        <f aca="false">IF(ISBLANK(Actuals!AP111),-Helpers!AM26+AO339,Actuals!AP111)</f>
        <v>-0</v>
      </c>
      <c r="AP291" s="13" t="n">
        <f aca="false">IF(ISBLANK(Actuals!AQ111),-Helpers!AN26+AP339,Actuals!AQ111)</f>
        <v>-0</v>
      </c>
      <c r="AQ291" s="13" t="n">
        <f aca="false">IF(ISBLANK(Actuals!AR111),-Helpers!AO26+AQ339,Actuals!AR111)</f>
        <v>-0</v>
      </c>
      <c r="AR291" s="13" t="n">
        <f aca="false">IF(ISBLANK(Actuals!AS111),-Helpers!AP26+AR339,Actuals!AS111)</f>
        <v>-0</v>
      </c>
      <c r="AS291" s="13" t="n">
        <f aca="false">IF(ISBLANK(Actuals!AT111),-Helpers!AQ26+AS339,Actuals!AT111)</f>
        <v>-0</v>
      </c>
      <c r="AT291" s="13" t="n">
        <f aca="false">IF(ISBLANK(Actuals!AU111),-Helpers!AR26+AT339,Actuals!AU111)</f>
        <v>-0</v>
      </c>
      <c r="AU291" s="13" t="n">
        <f aca="false">IF(ISBLANK(Actuals!AV111),-Helpers!AS26+AU339,Actuals!AV111)</f>
        <v>-0</v>
      </c>
      <c r="AV291" s="13" t="n">
        <f aca="false">IF(ISBLANK(Actuals!AW111),-Helpers!AT26+AV339,Actuals!AW111)</f>
        <v>-0</v>
      </c>
      <c r="AW291" s="13" t="n">
        <f aca="false">IF(ISBLANK(Actuals!AX111),-Helpers!AU26+AW339,Actuals!AX111)</f>
        <v>-0</v>
      </c>
      <c r="AX291" s="13" t="n">
        <f aca="false">IF(ISBLANK(Actuals!AY111),-Helpers!AV26+AX339,Actuals!AY111)</f>
        <v>-0</v>
      </c>
      <c r="AY291" s="13" t="n">
        <f aca="false">IF(ISBLANK(Actuals!AZ111),-Helpers!AW26+AY339,Actuals!AZ111)</f>
        <v>-0</v>
      </c>
      <c r="AZ291" s="13" t="n">
        <f aca="false">IF(ISBLANK(Actuals!BA111),-Helpers!AX26+AZ339,Actuals!BA111)</f>
        <v>-0</v>
      </c>
      <c r="BA291" s="13" t="n">
        <f aca="false">IF(ISBLANK(Actuals!BB111),-Helpers!AY26+BA339,Actuals!BB111)</f>
        <v>-0</v>
      </c>
      <c r="BB291" s="13" t="n">
        <f aca="false">IF(ISBLANK(Actuals!BC111),-Helpers!AZ26+BB339,Actuals!BC111)</f>
        <v>-0</v>
      </c>
      <c r="BC291" s="13" t="n">
        <f aca="false">IF(ISBLANK(Actuals!BD111),-Helpers!BA26+BC339,Actuals!BD111)</f>
        <v>-0</v>
      </c>
      <c r="BD291" s="13" t="n">
        <f aca="false">IF(ISBLANK(Actuals!BE111),-Helpers!BB26+BD339,Actuals!BE111)</f>
        <v>-0</v>
      </c>
      <c r="BE291" s="13" t="n">
        <f aca="false">IF(ISBLANK(Actuals!BF111),-Helpers!BC26+BE339,Actuals!BF111)</f>
        <v>-0</v>
      </c>
      <c r="BF291" s="13" t="n">
        <f aca="false">IF(ISBLANK(Actuals!BG111),-Helpers!BD26+BF339,Actuals!BG111)</f>
        <v>-0</v>
      </c>
      <c r="BG291" s="13" t="n">
        <f aca="false">IF(ISBLANK(Actuals!BH111),-Helpers!BE26+BG339,Actuals!BH111)</f>
        <v>-0</v>
      </c>
      <c r="BH291" s="13" t="n">
        <f aca="false">IF(ISBLANK(Actuals!BI111),-Helpers!BF26+BH339,Actuals!BI111)</f>
        <v>-0</v>
      </c>
      <c r="BI291" s="13" t="n">
        <f aca="false">IF(ISBLANK(Actuals!BJ111),-Helpers!BG26+BI339,Actuals!BJ111)</f>
        <v>-0</v>
      </c>
      <c r="BJ291" s="13" t="n">
        <f aca="false">IF(ISBLANK(Actuals!BK111),-Helpers!BH26+BJ339,Actuals!BK111)</f>
        <v>-0</v>
      </c>
      <c r="BK291" s="13" t="n">
        <f aca="false">IF(ISBLANK(Actuals!BL111),-Helpers!BI26+BK339,Actuals!BL111)</f>
        <v>-0</v>
      </c>
      <c r="BL291" s="13" t="n">
        <f aca="false">IF(ISBLANK(Actuals!BM111),-Helpers!BJ26+BL339,Actuals!BM111)</f>
        <v>-0</v>
      </c>
      <c r="BM291" s="13" t="n">
        <f aca="false">IF(ISBLANK(Actuals!BN111),-Helpers!BK26+BM339,Actuals!BN111)</f>
        <v>-0</v>
      </c>
      <c r="BN291" s="13" t="n">
        <f aca="false">IF(ISBLANK(Actuals!BO111),-Helpers!BL26+BN339,Actuals!BO111)</f>
        <v>-0</v>
      </c>
      <c r="BO291" s="13" t="n">
        <f aca="false">IF(ISBLANK(Actuals!BP111),-Helpers!BM26+BO339,Actuals!BP111)</f>
        <v>-0</v>
      </c>
      <c r="BP291" s="13" t="n">
        <f aca="false">IF(ISBLANK(Actuals!BQ111),-Helpers!BN26+BP339,Actuals!BQ111)</f>
        <v>-0</v>
      </c>
      <c r="BQ291" s="13" t="n">
        <f aca="false">IF(ISBLANK(Actuals!BR111),-Helpers!BO26+BQ339,Actuals!BR111)</f>
        <v>-0</v>
      </c>
      <c r="BR291" s="13" t="n">
        <f aca="false">IF(ISBLANK(Actuals!BS111),-Helpers!BP26+BR339,Actuals!BS111)</f>
        <v>-0</v>
      </c>
      <c r="BS291" s="13" t="n">
        <f aca="false">IF(ISBLANK(Actuals!BT111),-Helpers!BQ26+BS339,Actuals!BT111)</f>
        <v>-0</v>
      </c>
      <c r="BT291" s="13" t="n">
        <f aca="false">IF(ISBLANK(Actuals!BU111),-Helpers!BR26+BT339,Actuals!BU111)</f>
        <v>-0</v>
      </c>
      <c r="BU291" s="13" t="n">
        <f aca="false">IF(ISBLANK(Actuals!BV111),-Helpers!BS26+BU339,Actuals!BV111)</f>
        <v>-0</v>
      </c>
      <c r="BV291" s="13" t="n">
        <f aca="false">IF(ISBLANK(Actuals!BW111),-Helpers!BT26+BV339,Actuals!BW111)</f>
        <v>-0</v>
      </c>
      <c r="BW291" s="13" t="n">
        <f aca="false">IF(ISBLANK(Actuals!BX111),-Helpers!BU26+BW339,Actuals!BX111)</f>
        <v>-0</v>
      </c>
      <c r="BX291" s="13" t="n">
        <f aca="false">IF(ISBLANK(Actuals!BY111),-Helpers!BV26+BX339,Actuals!BY111)</f>
        <v>-0</v>
      </c>
      <c r="BY291" s="13" t="n">
        <f aca="false">IF(ISBLANK(Actuals!BZ111),-Helpers!BW26+BY339,Actuals!BZ111)</f>
        <v>-0</v>
      </c>
      <c r="BZ291" s="13" t="n">
        <f aca="false">IF(ISBLANK(Actuals!CA111),-Helpers!BX26+BZ339,Actuals!CA111)</f>
        <v>-0</v>
      </c>
      <c r="CA291" s="13" t="n">
        <f aca="false">IF(ISBLANK(Actuals!CB111),-Helpers!BY26+CA339,Actuals!CB111)</f>
        <v>-73156</v>
      </c>
      <c r="CB291" s="13" t="n">
        <f aca="false">IF(ISBLANK(Actuals!CC111),-Helpers!BZ26+CB339,Actuals!CC111)</f>
        <v>-0</v>
      </c>
      <c r="CC291" s="13" t="n">
        <f aca="false">IF(ISBLANK(Actuals!CD111),-Helpers!CA26+CC339,Actuals!CD111)</f>
        <v>-0</v>
      </c>
      <c r="CD291" s="13" t="n">
        <f aca="false">IF(ISBLANK(Actuals!CE111),-Helpers!CB26+CD339,Actuals!CE111)</f>
        <v>-73155</v>
      </c>
      <c r="CE291" s="13" t="n">
        <f aca="false">IF(ISBLANK(Actuals!CF111),-Helpers!CC26+CE339,Actuals!CF111)</f>
        <v>-0</v>
      </c>
      <c r="CF291" s="13" t="n">
        <f aca="false">IF(ISBLANK(Actuals!CG111),-Helpers!CD26+CF339,Actuals!CG111)</f>
        <v>-0</v>
      </c>
      <c r="CG291" s="13" t="n">
        <f aca="false">IF(ISBLANK(Actuals!CH111),-Helpers!CE26+CG339,Actuals!CH111)</f>
        <v>-73155</v>
      </c>
      <c r="CH291" s="13" t="n">
        <f aca="false">IF(ISBLANK(Actuals!CI111),-Helpers!CF26+CH339,Actuals!CI111)</f>
        <v>-0</v>
      </c>
      <c r="CI291" s="13" t="n">
        <f aca="false">IF(ISBLANK(Actuals!CJ111),-Helpers!CG26+CI339,Actuals!CJ111)</f>
        <v>-0</v>
      </c>
      <c r="CJ291" s="13" t="n">
        <f aca="false">IF(ISBLANK(Actuals!CK111),-Helpers!CH26+CJ339,Actuals!CK111)</f>
        <v>-73155</v>
      </c>
      <c r="CK291" s="13" t="n">
        <f aca="false">IF(ISBLANK(Actuals!CL111),-Helpers!CI26+CK339,Actuals!CL111)</f>
        <v>-73155</v>
      </c>
      <c r="CL291" s="13" t="n">
        <f aca="false">IF(ISBLANK(Actuals!CM111),-Helpers!CJ26+CL339,Actuals!CM111)</f>
        <v>-73155</v>
      </c>
      <c r="CM291" s="13" t="n">
        <f aca="false">IF(ISBLANK(Actuals!CN111),-Helpers!CK26+CM339,Actuals!CN111)</f>
        <v>-73155</v>
      </c>
      <c r="CN291" s="13" t="n">
        <f aca="false">IF(ISBLANK(Actuals!CO111),-Helpers!CL26+CN339,Actuals!CO111)</f>
        <v>-73155</v>
      </c>
      <c r="CO291" s="13" t="n">
        <f aca="false">IF(ISBLANK(Actuals!CP111),-Helpers!CM26+CO339,Actuals!CP111)</f>
        <v>-73155</v>
      </c>
      <c r="CP291" s="13" t="n">
        <f aca="false">IF(ISBLANK(Actuals!CQ111),-Helpers!CN26+CP339,Actuals!CQ111)</f>
        <v>-73155</v>
      </c>
      <c r="CQ291" s="13" t="n">
        <f aca="false">IF(ISBLANK(Actuals!CR111),-Helpers!CO26+CQ339,Actuals!CR111)</f>
        <v>-73155</v>
      </c>
      <c r="CR291" s="13" t="n">
        <f aca="false">IF(ISBLANK(Actuals!CS111),-Helpers!CP26+CR339,Actuals!CS111)</f>
        <v>-73155</v>
      </c>
      <c r="CS291" s="13" t="n">
        <f aca="false">IF(ISBLANK(Actuals!CT111),-Helpers!CQ26+CS339,Actuals!CT111)</f>
        <v>-73155</v>
      </c>
      <c r="CT291" s="13" t="n">
        <f aca="false">IF(ISBLANK(Actuals!CU111),-Helpers!CR26+CT339,Actuals!CU111)</f>
        <v>-73155</v>
      </c>
      <c r="CU291" s="13" t="n">
        <f aca="false">IF(ISBLANK(Actuals!CV111),-Helpers!CS26+CU339,Actuals!CV111)</f>
        <v>-73155</v>
      </c>
      <c r="CV291" s="13" t="n">
        <f aca="false">IF(ISBLANK(Actuals!CW111),-Helpers!CT26+CV339,Actuals!CW111)</f>
        <v>-73155</v>
      </c>
      <c r="CW291" s="13" t="n">
        <f aca="false">IF(ISBLANK(Actuals!CX111),-Helpers!CU26+CW339,Actuals!CX111)</f>
        <v>-17446.8489364072</v>
      </c>
      <c r="CX291" s="13" t="n">
        <f aca="false">IF(ISBLANK(Actuals!CY111),-Helpers!CV26+CX339,Actuals!CY111)</f>
        <v>-0</v>
      </c>
      <c r="CY291" s="13" t="n">
        <f aca="false">IF(ISBLANK(Actuals!CZ111),-Helpers!CW26+CY339,Actuals!CZ111)</f>
        <v>-0</v>
      </c>
      <c r="CZ291" s="13" t="n">
        <f aca="false">IF(ISBLANK(Actuals!DA111),-Helpers!CX26+CZ339,Actuals!DA111)</f>
        <v>-0</v>
      </c>
      <c r="DA291" s="13" t="n">
        <f aca="false">IF(ISBLANK(Actuals!DB111),-Helpers!CY26+DA339,Actuals!DB111)</f>
        <v>-0</v>
      </c>
      <c r="DB291" s="13" t="n">
        <f aca="false">IF(ISBLANK(Actuals!DC111),-Helpers!CZ26+DB339,Actuals!DC111)</f>
        <v>-0</v>
      </c>
      <c r="DC291" s="13" t="n">
        <f aca="false">IF(ISBLANK(Actuals!DD111),-Helpers!DA26+DC339,Actuals!DD111)</f>
        <v>-0</v>
      </c>
      <c r="DD291" s="13" t="n">
        <f aca="false">IF(ISBLANK(Actuals!DE111),-Helpers!DB26+DD339,Actuals!DE111)</f>
        <v>-0</v>
      </c>
      <c r="DE291" s="13" t="n">
        <f aca="false">IF(ISBLANK(Actuals!DF111),-Helpers!DC26+DE339,Actuals!DF111)</f>
        <v>-0</v>
      </c>
    </row>
    <row r="292" customFormat="false" ht="19.5" hidden="false" customHeight="true" outlineLevel="0" collapsed="false">
      <c r="A292" s="29" t="s">
        <v>139</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-217948.19</v>
      </c>
      <c r="K292" s="30" t="n">
        <f aca="false">SUM(K263:K291)+Actuals!L113</f>
        <v>-197545.8</v>
      </c>
      <c r="L292" s="30" t="n">
        <f aca="false">SUM(L263:L291)+Actuals!M113</f>
        <v>-197545.8</v>
      </c>
      <c r="M292" s="30" t="n">
        <f aca="false">SUM(M263:M291)+Actuals!N113</f>
        <v>-197545.8</v>
      </c>
      <c r="N292" s="30" t="n">
        <f aca="false">SUM(N263:N291)+Actuals!O113</f>
        <v>-199623.995</v>
      </c>
      <c r="O292" s="30" t="n">
        <f aca="false">SUM(O263:O291)+Actuals!P113</f>
        <v>-197873.995</v>
      </c>
      <c r="P292" s="30" t="n">
        <f aca="false">SUM(P263:P291)+Actuals!Q113</f>
        <v>-197873.995</v>
      </c>
      <c r="Q292" s="30" t="n">
        <f aca="false">SUM(Q263:Q291)+Actuals!R113</f>
        <v>-197873.995</v>
      </c>
      <c r="R292" s="30" t="n">
        <f aca="false">SUM(R263:R291)+Actuals!S113</f>
        <v>-196123.995</v>
      </c>
      <c r="S292" s="30" t="n">
        <f aca="false">SUM(S263:S291)+Actuals!T113</f>
        <v>-196123.995</v>
      </c>
      <c r="T292" s="30" t="n">
        <f aca="false">SUM(T263:T291)+Actuals!U113</f>
        <v>-196123.995</v>
      </c>
      <c r="U292" s="30" t="n">
        <f aca="false">SUM(U263:U291)+Actuals!V113</f>
        <v>-196123.995</v>
      </c>
      <c r="V292" s="30" t="n">
        <f aca="false">SUM(V263:V291)+Actuals!W113</f>
        <v>-196123.995</v>
      </c>
      <c r="W292" s="30" t="n">
        <f aca="false">SUM(W263:W291)+Actuals!X113</f>
        <v>-196123.995</v>
      </c>
      <c r="X292" s="30" t="n">
        <f aca="false">SUM(X263:X291)+Actuals!Y113</f>
        <v>-196123.995</v>
      </c>
      <c r="Y292" s="30" t="n">
        <f aca="false">SUM(Y263:Y291)+Actuals!Z113</f>
        <v>-196123.995</v>
      </c>
      <c r="Z292" s="30" t="n">
        <f aca="false">SUM(Z263:Z291)+Actuals!AA113</f>
        <v>-199703.7149</v>
      </c>
      <c r="AA292" s="30" t="n">
        <f aca="false">SUM(AA263:AA291)+Actuals!AB113</f>
        <v>-199703.7149</v>
      </c>
      <c r="AB292" s="30" t="n">
        <f aca="false">SUM(AB263:AB291)+Actuals!AC113</f>
        <v>-199703.7149</v>
      </c>
      <c r="AC292" s="30" t="n">
        <f aca="false">SUM(AC263:AC291)+Actuals!AD113</f>
        <v>-199703.7149</v>
      </c>
      <c r="AD292" s="30" t="n">
        <f aca="false">SUM(AD263:AD291)+Actuals!AE113</f>
        <v>-199703.7149</v>
      </c>
      <c r="AE292" s="30" t="n">
        <f aca="false">SUM(AE263:AE291)+Actuals!AF113</f>
        <v>-199703.7149</v>
      </c>
      <c r="AF292" s="30" t="n">
        <f aca="false">SUM(AF263:AF291)+Actuals!AG113</f>
        <v>-199703.7149</v>
      </c>
      <c r="AG292" s="30" t="n">
        <f aca="false">SUM(AG263:AG291)+Actuals!AH113</f>
        <v>-199703.7149</v>
      </c>
      <c r="AH292" s="30" t="n">
        <f aca="false">SUM(AH263:AH291)+Actuals!AI113</f>
        <v>-199703.7149</v>
      </c>
      <c r="AI292" s="30" t="n">
        <f aca="false">SUM(AI263:AI291)+Actuals!AJ113</f>
        <v>-199703.7149</v>
      </c>
      <c r="AJ292" s="30" t="n">
        <f aca="false">SUM(AJ263:AJ291)+Actuals!AK113</f>
        <v>-199703.7149</v>
      </c>
      <c r="AK292" s="30" t="n">
        <f aca="false">SUM(AK263:AK291)+Actuals!AL113</f>
        <v>-199703.7149</v>
      </c>
      <c r="AL292" s="30" t="n">
        <f aca="false">SUM(AL263:AL291)+Actuals!AM113</f>
        <v>-203355.029198</v>
      </c>
      <c r="AM292" s="30" t="n">
        <f aca="false">SUM(AM263:AM291)+Actuals!AN113</f>
        <v>-203355.029198</v>
      </c>
      <c r="AN292" s="30" t="n">
        <f aca="false">SUM(AN263:AN291)+Actuals!AO113</f>
        <v>-203355.029198</v>
      </c>
      <c r="AO292" s="30" t="n">
        <f aca="false">SUM(AO263:AO291)+Actuals!AP113</f>
        <v>-203355.029198</v>
      </c>
      <c r="AP292" s="30" t="n">
        <f aca="false">SUM(AP263:AP291)+Actuals!AQ113</f>
        <v>-203355.029198</v>
      </c>
      <c r="AQ292" s="30" t="n">
        <f aca="false">SUM(AQ263:AQ291)+Actuals!AR113</f>
        <v>-203355.029198</v>
      </c>
      <c r="AR292" s="30" t="n">
        <f aca="false">SUM(AR263:AR291)+Actuals!AS113</f>
        <v>-203355.029198</v>
      </c>
      <c r="AS292" s="30" t="n">
        <f aca="false">SUM(AS263:AS291)+Actuals!AT113</f>
        <v>-203355.029198</v>
      </c>
      <c r="AT292" s="30" t="n">
        <f aca="false">SUM(AT263:AT291)+Actuals!AU113</f>
        <v>-285038.029198</v>
      </c>
      <c r="AU292" s="30" t="n">
        <f aca="false">SUM(AU263:AU291)+Actuals!AV113</f>
        <v>-203355.029198</v>
      </c>
      <c r="AV292" s="30" t="n">
        <f aca="false">SUM(AV263:AV291)+Actuals!AW113</f>
        <v>-203355.029198</v>
      </c>
      <c r="AW292" s="30" t="n">
        <f aca="false">SUM(AW263:AW291)+Actuals!AX113</f>
        <v>-285037.029198</v>
      </c>
      <c r="AX292" s="30" t="n">
        <f aca="false">SUM(AX263:AX291)+Actuals!AY113</f>
        <v>-207079.36978196</v>
      </c>
      <c r="AY292" s="30" t="n">
        <f aca="false">SUM(AY263:AY291)+Actuals!AZ113</f>
        <v>-207079.36978196</v>
      </c>
      <c r="AZ292" s="30" t="n">
        <f aca="false">SUM(AZ263:AZ291)+Actuals!BA113</f>
        <v>-288761.36978196</v>
      </c>
      <c r="BA292" s="30" t="n">
        <f aca="false">SUM(BA263:BA291)+Actuals!BB113</f>
        <v>-207079.36978196</v>
      </c>
      <c r="BB292" s="30" t="n">
        <f aca="false">SUM(BB263:BB291)+Actuals!BC113</f>
        <v>-207079.36978196</v>
      </c>
      <c r="BC292" s="30" t="n">
        <f aca="false">SUM(BC263:BC291)+Actuals!BD113</f>
        <v>-1140600.36978196</v>
      </c>
      <c r="BD292" s="30" t="n">
        <f aca="false">SUM(BD263:BD291)+Actuals!BE113</f>
        <v>-207079.36978196</v>
      </c>
      <c r="BE292" s="30" t="n">
        <f aca="false">SUM(BE263:BE291)+Actuals!BF113</f>
        <v>-207079.36978196</v>
      </c>
      <c r="BF292" s="30" t="n">
        <f aca="false">SUM(BF263:BF291)+Actuals!BG113</f>
        <v>-337957.36978196</v>
      </c>
      <c r="BG292" s="30" t="n">
        <f aca="false">SUM(BG263:BG291)+Actuals!BH113</f>
        <v>-207079.36978196</v>
      </c>
      <c r="BH292" s="30" t="n">
        <f aca="false">SUM(BH263:BH291)+Actuals!BI113</f>
        <v>-207079.36978196</v>
      </c>
      <c r="BI292" s="30" t="n">
        <f aca="false">SUM(BI263:BI291)+Actuals!BJ113</f>
        <v>-337955.36978196</v>
      </c>
      <c r="BJ292" s="30" t="n">
        <f aca="false">SUM(BJ263:BJ291)+Actuals!BK113</f>
        <v>-210878.197177599</v>
      </c>
      <c r="BK292" s="30" t="n">
        <f aca="false">SUM(BK263:BK291)+Actuals!BL113</f>
        <v>-210878.197177599</v>
      </c>
      <c r="BL292" s="30" t="n">
        <f aca="false">SUM(BL263:BL291)+Actuals!BM113</f>
        <v>-341754.197177599</v>
      </c>
      <c r="BM292" s="30" t="n">
        <f aca="false">SUM(BM263:BM291)+Actuals!BN113</f>
        <v>-210878.197177599</v>
      </c>
      <c r="BN292" s="30" t="n">
        <f aca="false">SUM(BN263:BN291)+Actuals!BO113</f>
        <v>-210878.197177599</v>
      </c>
      <c r="BO292" s="30" t="n">
        <f aca="false">SUM(BO263:BO291)+Actuals!BP113</f>
        <v>-341754.197177599</v>
      </c>
      <c r="BP292" s="30" t="n">
        <f aca="false">SUM(BP263:BP291)+Actuals!BQ113</f>
        <v>-210878.197177599</v>
      </c>
      <c r="BQ292" s="30" t="n">
        <f aca="false">SUM(BQ263:BQ291)+Actuals!BR113</f>
        <v>-210878.197177599</v>
      </c>
      <c r="BR292" s="30" t="n">
        <f aca="false">SUM(BR263:BR291)+Actuals!BS113</f>
        <v>-300033.847177599</v>
      </c>
      <c r="BS292" s="30" t="n">
        <f aca="false">SUM(BS263:BS291)+Actuals!BT113</f>
        <v>-210878.197177599</v>
      </c>
      <c r="BT292" s="30" t="n">
        <f aca="false">SUM(BT263:BT291)+Actuals!BU113</f>
        <v>-210878.197177599</v>
      </c>
      <c r="BU292" s="30" t="n">
        <f aca="false">SUM(BU263:BU291)+Actuals!BV113</f>
        <v>-285518.197177599</v>
      </c>
      <c r="BV292" s="30" t="n">
        <f aca="false">SUM(BV263:BV291)+Actuals!BW113</f>
        <v>-214753.001121151</v>
      </c>
      <c r="BW292" s="30" t="n">
        <f aca="false">SUM(BW263:BW291)+Actuals!BX113</f>
        <v>-214753.001121151</v>
      </c>
      <c r="BX292" s="30" t="n">
        <f aca="false">SUM(BX263:BX291)+Actuals!BY113</f>
        <v>-289393.001121151</v>
      </c>
      <c r="BY292" s="30" t="n">
        <f aca="false">SUM(BY263:BY291)+Actuals!BZ113</f>
        <v>-214753.001121151</v>
      </c>
      <c r="BZ292" s="30" t="n">
        <f aca="false">SUM(BZ263:BZ291)+Actuals!CA113</f>
        <v>-214753.001121151</v>
      </c>
      <c r="CA292" s="30" t="n">
        <f aca="false">SUM(CA263:CA291)+Actuals!CB113</f>
        <v>-362549.001121151</v>
      </c>
      <c r="CB292" s="30" t="n">
        <f aca="false">SUM(CB263:CB291)+Actuals!CC113</f>
        <v>-214753.001121151</v>
      </c>
      <c r="CC292" s="30" t="n">
        <f aca="false">SUM(CC263:CC291)+Actuals!CD113</f>
        <v>-214753.001121151</v>
      </c>
      <c r="CD292" s="30" t="n">
        <f aca="false">SUM(CD263:CD291)+Actuals!CE113</f>
        <v>-369271.001121151</v>
      </c>
      <c r="CE292" s="30" t="n">
        <f aca="false">SUM(CE263:CE291)+Actuals!CF113</f>
        <v>-214753.001121151</v>
      </c>
      <c r="CF292" s="30" t="n">
        <f aca="false">SUM(CF263:CF291)+Actuals!CG113</f>
        <v>-214753.001121151</v>
      </c>
      <c r="CG292" s="30" t="n">
        <f aca="false">SUM(CG263:CG291)+Actuals!CH113</f>
        <v>-369270.001121151</v>
      </c>
      <c r="CH292" s="30" t="n">
        <f aca="false">SUM(CH263:CH291)+Actuals!CI113</f>
        <v>-218705.301143574</v>
      </c>
      <c r="CI292" s="30" t="n">
        <f aca="false">SUM(CI263:CI291)+Actuals!CJ113</f>
        <v>-218705.301143574</v>
      </c>
      <c r="CJ292" s="30" t="n">
        <f aca="false">SUM(CJ263:CJ291)+Actuals!CK113</f>
        <v>-366614.274537095</v>
      </c>
      <c r="CK292" s="30" t="n">
        <f aca="false">SUM(CK263:CK291)+Actuals!CL113</f>
        <v>-291860.301143574</v>
      </c>
      <c r="CL292" s="30" t="n">
        <f aca="false">SUM(CL263:CL291)+Actuals!CM113</f>
        <v>-291860.301143574</v>
      </c>
      <c r="CM292" s="30" t="n">
        <f aca="false">SUM(CM263:CM291)+Actuals!CN113</f>
        <v>-291860.301143574</v>
      </c>
      <c r="CN292" s="30" t="n">
        <f aca="false">SUM(CN263:CN291)+Actuals!CO113</f>
        <v>-291860.301143574</v>
      </c>
      <c r="CO292" s="30" t="n">
        <f aca="false">SUM(CO263:CO291)+Actuals!CP113</f>
        <v>-291860.301143574</v>
      </c>
      <c r="CP292" s="30" t="n">
        <f aca="false">SUM(CP263:CP291)+Actuals!CQ113</f>
        <v>-291860.301143574</v>
      </c>
      <c r="CQ292" s="30" t="n">
        <f aca="false">SUM(CQ263:CQ291)+Actuals!CR113</f>
        <v>-291860.301143574</v>
      </c>
      <c r="CR292" s="30" t="n">
        <f aca="false">SUM(CR263:CR291)+Actuals!CS113</f>
        <v>-291860.301143574</v>
      </c>
      <c r="CS292" s="30" t="n">
        <f aca="false">SUM(CS263:CS291)+Actuals!CT113</f>
        <v>-291860.301143574</v>
      </c>
      <c r="CT292" s="30" t="n">
        <f aca="false">SUM(CT263:CT291)+Actuals!CU113</f>
        <v>-289912.498956817</v>
      </c>
      <c r="CU292" s="30" t="n">
        <f aca="false">SUM(CU263:CU291)+Actuals!CV113</f>
        <v>-289912.498956817</v>
      </c>
      <c r="CV292" s="30" t="n">
        <f aca="false">SUM(CV263:CV291)+Actuals!CW113</f>
        <v>-289912.498956817</v>
      </c>
      <c r="CW292" s="30" t="n">
        <f aca="false">SUM(CW263:CW291)+Actuals!CX113</f>
        <v>-234204.347893224</v>
      </c>
      <c r="CX292" s="30" t="n">
        <f aca="false">SUM(CX263:CX291)+Actuals!CY113</f>
        <v>-216757.498956817</v>
      </c>
      <c r="CY292" s="30" t="n">
        <f aca="false">SUM(CY263:CY291)+Actuals!CZ113</f>
        <v>-216757.498956817</v>
      </c>
      <c r="CZ292" s="30" t="n">
        <f aca="false">SUM(CZ263:CZ291)+Actuals!DA113</f>
        <v>-216757.498956817</v>
      </c>
      <c r="DA292" s="30" t="n">
        <f aca="false">SUM(DA263:DA291)+Actuals!DB113</f>
        <v>-216757.498956817</v>
      </c>
      <c r="DB292" s="30" t="n">
        <f aca="false">SUM(DB263:DB291)+Actuals!DC113</f>
        <v>-216757.498956817</v>
      </c>
      <c r="DC292" s="30" t="n">
        <f aca="false">SUM(DC263:DC291)+Actuals!DD113</f>
        <v>-216757.498956817</v>
      </c>
      <c r="DD292" s="30" t="n">
        <f aca="false">SUM(DD263:DD291)+Actuals!DE113</f>
        <v>-216757.498956817</v>
      </c>
      <c r="DE292" s="30" t="n">
        <f aca="false">SUM(DE263:DE291)+Actuals!DF113</f>
        <v>-216757.498956817</v>
      </c>
    </row>
    <row r="293" customFormat="false" ht="19.5" hidden="false" customHeight="true" outlineLevel="0" collapsed="false">
      <c r="A293" s="36" t="s">
        <v>140</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185173.79</v>
      </c>
      <c r="H293" s="37" t="n">
        <f aca="false">H261+H292</f>
        <v>-118383.36</v>
      </c>
      <c r="I293" s="37" t="n">
        <f aca="false">I261+I292</f>
        <v>-3786.68999999997</v>
      </c>
      <c r="J293" s="37" t="n">
        <f aca="false">J261+J292</f>
        <v>-176700.27</v>
      </c>
      <c r="K293" s="37" t="n">
        <f aca="false">K261+K292</f>
        <v>-154764.55</v>
      </c>
      <c r="L293" s="37" t="n">
        <f aca="false">L261+L292</f>
        <v>-164139.55</v>
      </c>
      <c r="M293" s="37" t="n">
        <f aca="false">M261+M292</f>
        <v>-164139.55</v>
      </c>
      <c r="N293" s="37" t="n">
        <f aca="false">N261+N292</f>
        <v>-163059.850263158</v>
      </c>
      <c r="O293" s="37" t="n">
        <f aca="false">O261+O292</f>
        <v>-158151.955526316</v>
      </c>
      <c r="P293" s="37" t="n">
        <f aca="false">P261+P292</f>
        <v>-158151.955526316</v>
      </c>
      <c r="Q293" s="37" t="n">
        <f aca="false">Q261+Q292</f>
        <v>-158151.955526316</v>
      </c>
      <c r="R293" s="37" t="n">
        <f aca="false">R261+R292</f>
        <v>-156401.955526316</v>
      </c>
      <c r="S293" s="37" t="n">
        <f aca="false">S261+S292</f>
        <v>-156401.955526316</v>
      </c>
      <c r="T293" s="37" t="n">
        <f aca="false">T261+T292</f>
        <v>-180308.205526316</v>
      </c>
      <c r="U293" s="37" t="n">
        <f aca="false">U261+U292</f>
        <v>-180308.205526316</v>
      </c>
      <c r="V293" s="37" t="n">
        <f aca="false">V261+V292</f>
        <v>-180308.205526316</v>
      </c>
      <c r="W293" s="37" t="n">
        <f aca="false">W261+W292</f>
        <v>-180308.205526316</v>
      </c>
      <c r="X293" s="37" t="n">
        <f aca="false">X261+X292</f>
        <v>-180308.205526316</v>
      </c>
      <c r="Y293" s="37" t="n">
        <f aca="false">Y261+Y292</f>
        <v>-122933.205526316</v>
      </c>
      <c r="Z293" s="37" t="n">
        <f aca="false">Z261+Z292</f>
        <v>-183887.925426316</v>
      </c>
      <c r="AA293" s="37" t="n">
        <f aca="false">AA261+AA292</f>
        <v>-183887.925426316</v>
      </c>
      <c r="AB293" s="37" t="n">
        <f aca="false">AB261+AB292</f>
        <v>-126512.925426316</v>
      </c>
      <c r="AC293" s="37" t="n">
        <f aca="false">AC261+AC292</f>
        <v>-183887.925426316</v>
      </c>
      <c r="AD293" s="37" t="n">
        <f aca="false">AD261+AD292</f>
        <v>-183887.925426316</v>
      </c>
      <c r="AE293" s="37" t="n">
        <f aca="false">AE261+AE292</f>
        <v>-126512.925426316</v>
      </c>
      <c r="AF293" s="37" t="n">
        <f aca="false">AF261+AF292</f>
        <v>-183887.925426316</v>
      </c>
      <c r="AG293" s="37" t="n">
        <f aca="false">AG261+AG292</f>
        <v>-187045.820163158</v>
      </c>
      <c r="AH293" s="37" t="n">
        <f aca="false">AH261+AH292</f>
        <v>-190203.7149</v>
      </c>
      <c r="AI293" s="37" t="n">
        <f aca="false">AI261+AI292</f>
        <v>-199703.7149</v>
      </c>
      <c r="AJ293" s="37" t="n">
        <f aca="false">AJ261+AJ292</f>
        <v>-199703.7149</v>
      </c>
      <c r="AK293" s="37" t="n">
        <f aca="false">AK261+AK292</f>
        <v>-199703.7149</v>
      </c>
      <c r="AL293" s="37" t="n">
        <f aca="false">AL261+AL292</f>
        <v>-203355.029198</v>
      </c>
      <c r="AM293" s="37" t="n">
        <f aca="false">AM261+AM292</f>
        <v>-203355.029198</v>
      </c>
      <c r="AN293" s="37" t="n">
        <f aca="false">AN261+AN292</f>
        <v>-203355.029198</v>
      </c>
      <c r="AO293" s="37" t="n">
        <f aca="false">AO261+AO292</f>
        <v>-203355.029198</v>
      </c>
      <c r="AP293" s="37" t="n">
        <f aca="false">AP261+AP292</f>
        <v>-203355.029198</v>
      </c>
      <c r="AQ293" s="37" t="n">
        <f aca="false">AQ261+AQ292</f>
        <v>-203355.029198</v>
      </c>
      <c r="AR293" s="37" t="n">
        <f aca="false">AR261+AR292</f>
        <v>-203355.029198</v>
      </c>
      <c r="AS293" s="37" t="n">
        <f aca="false">AS261+AS292</f>
        <v>-203355.029198</v>
      </c>
      <c r="AT293" s="37" t="n">
        <f aca="false">AT261+AT292</f>
        <v>-203355.029198</v>
      </c>
      <c r="AU293" s="37" t="n">
        <f aca="false">AU261+AU292</f>
        <v>-203355.029198</v>
      </c>
      <c r="AV293" s="37" t="n">
        <f aca="false">AV261+AV292</f>
        <v>-203355.029198</v>
      </c>
      <c r="AW293" s="37" t="n">
        <f aca="false">AW261+AW292</f>
        <v>-203355.029198</v>
      </c>
      <c r="AX293" s="37" t="n">
        <f aca="false">AX261+AX292</f>
        <v>-207079.36978196</v>
      </c>
      <c r="AY293" s="37" t="n">
        <f aca="false">AY261+AY292</f>
        <v>-207079.36978196</v>
      </c>
      <c r="AZ293" s="37" t="n">
        <f aca="false">AZ261+AZ292</f>
        <v>-207079.36978196</v>
      </c>
      <c r="BA293" s="37" t="n">
        <f aca="false">BA261+BA292</f>
        <v>-207079.36978196</v>
      </c>
      <c r="BB293" s="37" t="n">
        <f aca="false">BB261+BB292</f>
        <v>-207079.36978196</v>
      </c>
      <c r="BC293" s="37" t="n">
        <f aca="false">BC261+BC292</f>
        <v>-207079.36978196</v>
      </c>
      <c r="BD293" s="37" t="n">
        <f aca="false">BD261+BD292</f>
        <v>-207079.36978196</v>
      </c>
      <c r="BE293" s="37" t="n">
        <f aca="false">BE261+BE292</f>
        <v>-207079.36978196</v>
      </c>
      <c r="BF293" s="37" t="n">
        <f aca="false">BF261+BF292</f>
        <v>-207079.36978196</v>
      </c>
      <c r="BG293" s="37" t="n">
        <f aca="false">BG261+BG292</f>
        <v>-207079.36978196</v>
      </c>
      <c r="BH293" s="37" t="n">
        <f aca="false">BH261+BH292</f>
        <v>-207079.36978196</v>
      </c>
      <c r="BI293" s="37" t="n">
        <f aca="false">BI261+BI292</f>
        <v>-207079.36978196</v>
      </c>
      <c r="BJ293" s="37" t="n">
        <f aca="false">BJ261+BJ292</f>
        <v>-210878.197177599</v>
      </c>
      <c r="BK293" s="37" t="n">
        <f aca="false">BK261+BK292</f>
        <v>-210878.197177599</v>
      </c>
      <c r="BL293" s="37" t="n">
        <f aca="false">BL261+BL292</f>
        <v>-210878.197177599</v>
      </c>
      <c r="BM293" s="37" t="n">
        <f aca="false">BM261+BM292</f>
        <v>-210878.197177599</v>
      </c>
      <c r="BN293" s="37" t="n">
        <f aca="false">BN261+BN292</f>
        <v>-210878.197177599</v>
      </c>
      <c r="BO293" s="37" t="n">
        <f aca="false">BO261+BO292</f>
        <v>-210878.197177599</v>
      </c>
      <c r="BP293" s="37" t="n">
        <f aca="false">BP261+BP292</f>
        <v>-210878.197177599</v>
      </c>
      <c r="BQ293" s="37" t="n">
        <f aca="false">BQ261+BQ292</f>
        <v>-210878.197177599</v>
      </c>
      <c r="BR293" s="37" t="n">
        <f aca="false">BR261+BR292</f>
        <v>-157627.847177599</v>
      </c>
      <c r="BS293" s="37" t="n">
        <f aca="false">BS261+BS292</f>
        <v>-210878.197177599</v>
      </c>
      <c r="BT293" s="37" t="n">
        <f aca="false">BT261+BT292</f>
        <v>-210878.197177599</v>
      </c>
      <c r="BU293" s="37" t="n">
        <f aca="false">BU261+BU292</f>
        <v>-143116.197177599</v>
      </c>
      <c r="BV293" s="37" t="n">
        <f aca="false">BV261+BV292</f>
        <v>-214753.001121151</v>
      </c>
      <c r="BW293" s="37" t="n">
        <f aca="false">BW261+BW292</f>
        <v>-214753.001121151</v>
      </c>
      <c r="BX293" s="37" t="n">
        <f aca="false">BX261+BX292</f>
        <v>-146991.001121151</v>
      </c>
      <c r="BY293" s="37" t="n">
        <f aca="false">BY261+BY292</f>
        <v>-214753.001121151</v>
      </c>
      <c r="BZ293" s="37" t="n">
        <f aca="false">BZ261+BZ292</f>
        <v>-214753.001121151</v>
      </c>
      <c r="CA293" s="37" t="n">
        <f aca="false">CA261+CA292</f>
        <v>-146991.001121151</v>
      </c>
      <c r="CB293" s="37" t="n">
        <f aca="false">CB261+CB292</f>
        <v>-214753.001121151</v>
      </c>
      <c r="CC293" s="37" t="n">
        <f aca="false">CC261+CC292</f>
        <v>-214753.001121151</v>
      </c>
      <c r="CD293" s="37" t="n">
        <f aca="false">CD261+CD292</f>
        <v>-138254.001121151</v>
      </c>
      <c r="CE293" s="37" t="n">
        <f aca="false">CE261+CE292</f>
        <v>-214753.001121151</v>
      </c>
      <c r="CF293" s="37" t="n">
        <f aca="false">CF261+CF292</f>
        <v>-214753.001121151</v>
      </c>
      <c r="CG293" s="37" t="n">
        <f aca="false">CG261+CG292</f>
        <v>-138254.001121151</v>
      </c>
      <c r="CH293" s="37" t="n">
        <f aca="false">CH261+CH292</f>
        <v>-218705.301143574</v>
      </c>
      <c r="CI293" s="37" t="n">
        <f aca="false">CI261+CI292</f>
        <v>-218705.301143574</v>
      </c>
      <c r="CJ293" s="37" t="n">
        <f aca="false">CJ261+CJ292</f>
        <v>-135598.274537095</v>
      </c>
      <c r="CK293" s="37" t="n">
        <f aca="false">CK261+CK292</f>
        <v>-60844.3011435742</v>
      </c>
      <c r="CL293" s="37" t="n">
        <f aca="false">CL261+CL292</f>
        <v>-60844.3011435742</v>
      </c>
      <c r="CM293" s="37" t="n">
        <f aca="false">CM261+CM292</f>
        <v>-60844.3011435742</v>
      </c>
      <c r="CN293" s="37" t="n">
        <f aca="false">CN261+CN292</f>
        <v>-60844.3011435742</v>
      </c>
      <c r="CO293" s="37" t="n">
        <f aca="false">CO261+CO292</f>
        <v>-60844.3011435742</v>
      </c>
      <c r="CP293" s="37" t="n">
        <f aca="false">CP261+CP292</f>
        <v>-60844.3011435742</v>
      </c>
      <c r="CQ293" s="37" t="n">
        <f aca="false">CQ261+CQ292</f>
        <v>-60844.3011435742</v>
      </c>
      <c r="CR293" s="37" t="n">
        <f aca="false">CR261+CR292</f>
        <v>-60844.3011435742</v>
      </c>
      <c r="CS293" s="37" t="n">
        <f aca="false">CS261+CS292</f>
        <v>-60844.3011435742</v>
      </c>
      <c r="CT293" s="37" t="n">
        <f aca="false">CT261+CT292</f>
        <v>-58896.4989568171</v>
      </c>
      <c r="CU293" s="37" t="n">
        <f aca="false">CU261+CU292</f>
        <v>-58896.4989568171</v>
      </c>
      <c r="CV293" s="37" t="n">
        <f aca="false">CV261+CV292</f>
        <v>-58896.4989568171</v>
      </c>
      <c r="CW293" s="37" t="n">
        <f aca="false">CW261+CW292</f>
        <v>-3188.34789322427</v>
      </c>
      <c r="CX293" s="37" t="n">
        <f aca="false">CX261+CX292</f>
        <v>14258.5010431829</v>
      </c>
      <c r="CY293" s="37" t="n">
        <f aca="false">CY261+CY292</f>
        <v>14258.5010431829</v>
      </c>
      <c r="CZ293" s="37" t="n">
        <f aca="false">CZ261+CZ292</f>
        <v>14258.5010431829</v>
      </c>
      <c r="DA293" s="37" t="n">
        <f aca="false">DA261+DA292</f>
        <v>14258.5010431829</v>
      </c>
      <c r="DB293" s="37" t="n">
        <f aca="false">DB261+DB292</f>
        <v>14258.5010431829</v>
      </c>
      <c r="DC293" s="37" t="n">
        <f aca="false">DC261+DC292</f>
        <v>14258.5010431829</v>
      </c>
      <c r="DD293" s="37" t="n">
        <f aca="false">DD261+DD292</f>
        <v>14258.5010431829</v>
      </c>
      <c r="DE293" s="37" t="n">
        <f aca="false">DE261+DE292</f>
        <v>14258.5010431829</v>
      </c>
    </row>
    <row r="294" customFormat="false" ht="19.5" hidden="false" customHeight="true" outlineLevel="0" collapsed="false">
      <c r="A294" s="23" t="s">
        <v>141</v>
      </c>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B294" s="34"/>
      <c r="BC294" s="34"/>
      <c r="BD294" s="34"/>
      <c r="BE294" s="34"/>
      <c r="BF294" s="34"/>
      <c r="BG294" s="34"/>
      <c r="BH294" s="34"/>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row>
    <row r="295" customFormat="false" ht="19.5" hidden="false" customHeight="true" outlineLevel="0" collapsed="false">
      <c r="A295" s="35" t="s">
        <v>142</v>
      </c>
      <c r="B295" s="21" t="n">
        <f aca="false">IF(AND('APA Inputs'!$B$3="Yes",B$4&lt;&gt;"Actuals"),'APA Schedule'!B22,0)</f>
        <v>0</v>
      </c>
      <c r="C295" s="21" t="n">
        <f aca="false">IF(AND('APA Inputs'!$B$3="Yes",C$4&lt;&gt;"Actuals"),'APA Schedule'!C22,0)</f>
        <v>0</v>
      </c>
      <c r="D295" s="21" t="n">
        <f aca="false">IF(AND('APA Inputs'!$B$3="Yes",D$4&lt;&gt;"Actuals"),'APA Schedule'!D22,0)</f>
        <v>0</v>
      </c>
      <c r="E295" s="21" t="n">
        <f aca="false">IF(AND('APA Inputs'!$B$3="Yes",E$4&lt;&gt;"Actuals"),'APA Schedule'!E22,0)</f>
        <v>0</v>
      </c>
      <c r="F295" s="21" t="n">
        <f aca="false">IF(AND('APA Inputs'!$B$3="Yes",F$4&lt;&gt;"Actuals"),'APA Schedule'!F22,0)</f>
        <v>0</v>
      </c>
      <c r="G295" s="21" t="n">
        <f aca="false">IF(AND('APA Inputs'!$B$3="Yes",G$4&lt;&gt;"Actuals"),'APA Schedule'!G22,0)</f>
        <v>0</v>
      </c>
      <c r="H295" s="21" t="n">
        <f aca="false">IF(AND('APA Inputs'!$B$3="Yes",H$4&lt;&gt;"Actuals"),'APA Schedule'!H22,0)</f>
        <v>0</v>
      </c>
      <c r="I295" s="21" t="n">
        <f aca="false">IF(AND('APA Inputs'!$B$3="Yes",I$4&lt;&gt;"Actuals"),'APA Schedule'!I22,0)</f>
        <v>0</v>
      </c>
      <c r="J295" s="21" t="n">
        <f aca="false">IF(AND('APA Inputs'!$B$3="Yes",J$4&lt;&gt;"Actuals"),'APA Schedule'!J22,0)</f>
        <v>0</v>
      </c>
      <c r="K295" s="21" t="n">
        <f aca="false">IF(AND('APA Inputs'!$B$3="Yes",K$4&lt;&gt;"Actuals"),'APA Schedule'!K22,0)</f>
        <v>1108.06288333333</v>
      </c>
      <c r="L295" s="21" t="n">
        <f aca="false">IF(AND('APA Inputs'!$B$3="Yes",L$4&lt;&gt;"Actuals"),'APA Schedule'!L22,0)</f>
        <v>1108.06288333333</v>
      </c>
      <c r="M295" s="21" t="n">
        <f aca="false">IF(AND('APA Inputs'!$B$3="Yes",M$4&lt;&gt;"Actuals"),'APA Schedule'!M22,0)</f>
        <v>1108.06288333333</v>
      </c>
      <c r="N295" s="21" t="n">
        <f aca="false">IF(AND('APA Inputs'!$B$3="Yes",N$4&lt;&gt;"Actuals"),'APA Schedule'!N22,0)</f>
        <v>0</v>
      </c>
      <c r="O295" s="21" t="n">
        <f aca="false">IF(AND('APA Inputs'!$B$3="Yes",O$4&lt;&gt;"Actuals"),'APA Schedule'!O22,0)</f>
        <v>0</v>
      </c>
      <c r="P295" s="21" t="n">
        <f aca="false">IF(AND('APA Inputs'!$B$3="Yes",P$4&lt;&gt;"Actuals"),'APA Schedule'!P22,0)</f>
        <v>915.383032999997</v>
      </c>
      <c r="Q295" s="21" t="n">
        <f aca="false">IF(AND('APA Inputs'!$B$3="Yes",Q$4&lt;&gt;"Actuals"),'APA Schedule'!Q22,0)</f>
        <v>0</v>
      </c>
      <c r="R295" s="21" t="n">
        <f aca="false">IF(AND('APA Inputs'!$B$3="Yes",R$4&lt;&gt;"Actuals"),'APA Schedule'!R22,0)</f>
        <v>0</v>
      </c>
      <c r="S295" s="21" t="n">
        <f aca="false">IF(AND('APA Inputs'!$B$3="Yes",S$4&lt;&gt;"Actuals"),'APA Schedule'!S22,0)</f>
        <v>0</v>
      </c>
      <c r="T295" s="21" t="n">
        <f aca="false">IF(AND('APA Inputs'!$B$3="Yes",T$4&lt;&gt;"Actuals"),'APA Schedule'!T22,0)</f>
        <v>0</v>
      </c>
      <c r="U295" s="21" t="n">
        <f aca="false">IF(AND('APA Inputs'!$B$3="Yes",U$4&lt;&gt;"Actuals"),'APA Schedule'!U22,0)</f>
        <v>0</v>
      </c>
      <c r="V295" s="21" t="n">
        <f aca="false">IF(AND('APA Inputs'!$B$3="Yes",V$4&lt;&gt;"Actuals"),'APA Schedule'!V22,0)</f>
        <v>0</v>
      </c>
      <c r="W295" s="21" t="n">
        <f aca="false">IF(AND('APA Inputs'!$B$3="Yes",W$4&lt;&gt;"Actuals"),'APA Schedule'!W22,0)</f>
        <v>0</v>
      </c>
      <c r="X295" s="21" t="n">
        <f aca="false">IF(AND('APA Inputs'!$B$3="Yes",X$4&lt;&gt;"Actuals"),'APA Schedule'!X22,0)</f>
        <v>0</v>
      </c>
      <c r="Y295" s="21" t="n">
        <f aca="false">IF(AND('APA Inputs'!$B$3="Yes",Y$4&lt;&gt;"Actuals"),'APA Schedule'!Y22,0)</f>
        <v>0</v>
      </c>
      <c r="Z295" s="21" t="n">
        <f aca="false">IF(AND('APA Inputs'!$B$3="Yes",Z$4&lt;&gt;"Actuals"),'APA Schedule'!Z22,0)</f>
        <v>0</v>
      </c>
      <c r="AA295" s="21" t="n">
        <f aca="false">IF(AND('APA Inputs'!$B$3="Yes",AA$4&lt;&gt;"Actuals"),'APA Schedule'!AA22,0)</f>
        <v>0</v>
      </c>
      <c r="AB295" s="21" t="n">
        <f aca="false">IF(AND('APA Inputs'!$B$3="Yes",AB$4&lt;&gt;"Actuals"),'APA Schedule'!AB22,0)</f>
        <v>0</v>
      </c>
      <c r="AC295" s="21" t="n">
        <f aca="false">IF(AND('APA Inputs'!$B$3="Yes",AC$4&lt;&gt;"Actuals"),'APA Schedule'!AC22,0)</f>
        <v>0</v>
      </c>
      <c r="AD295" s="21" t="n">
        <f aca="false">IF(AND('APA Inputs'!$B$3="Yes",AD$4&lt;&gt;"Actuals"),'APA Schedule'!AD22,0)</f>
        <v>0</v>
      </c>
      <c r="AE295" s="21" t="n">
        <f aca="false">IF(AND('APA Inputs'!$B$3="Yes",AE$4&lt;&gt;"Actuals"),'APA Schedule'!AE22,0)</f>
        <v>0</v>
      </c>
      <c r="AF295" s="21" t="n">
        <f aca="false">IF(AND('APA Inputs'!$B$3="Yes",AF$4&lt;&gt;"Actuals"),'APA Schedule'!AF22,0)</f>
        <v>0</v>
      </c>
      <c r="AG295" s="21" t="n">
        <f aca="false">IF(AND('APA Inputs'!$B$3="Yes",AG$4&lt;&gt;"Actuals"),'APA Schedule'!AG22,0)</f>
        <v>0</v>
      </c>
      <c r="AH295" s="21" t="n">
        <f aca="false">IF(AND('APA Inputs'!$B$3="Yes",AH$4&lt;&gt;"Actuals"),'APA Schedule'!AH22,0)</f>
        <v>0</v>
      </c>
      <c r="AI295" s="21" t="n">
        <f aca="false">IF(AND('APA Inputs'!$B$3="Yes",AI$4&lt;&gt;"Actuals"),'APA Schedule'!AI22,0)</f>
        <v>0</v>
      </c>
      <c r="AJ295" s="21" t="n">
        <f aca="false">IF(AND('APA Inputs'!$B$3="Yes",AJ$4&lt;&gt;"Actuals"),'APA Schedule'!AJ22,0)</f>
        <v>0</v>
      </c>
      <c r="AK295" s="21" t="n">
        <f aca="false">IF(AND('APA Inputs'!$B$3="Yes",AK$4&lt;&gt;"Actuals"),'APA Schedule'!AK22,0)</f>
        <v>0</v>
      </c>
      <c r="AL295" s="21" t="n">
        <f aca="false">IF(AND('APA Inputs'!$B$3="Yes",AL$4&lt;&gt;"Actuals"),'APA Schedule'!AL22,0)</f>
        <v>0</v>
      </c>
      <c r="AM295" s="21" t="n">
        <f aca="false">IF(AND('APA Inputs'!$B$3="Yes",AM$4&lt;&gt;"Actuals"),'APA Schedule'!AM22,0)</f>
        <v>0</v>
      </c>
      <c r="AN295" s="21" t="n">
        <f aca="false">IF(AND('APA Inputs'!$B$3="Yes",AN$4&lt;&gt;"Actuals"),'APA Schedule'!AN22,0)</f>
        <v>0</v>
      </c>
      <c r="AO295" s="21" t="n">
        <f aca="false">IF(AND('APA Inputs'!$B$3="Yes",AO$4&lt;&gt;"Actuals"),'APA Schedule'!AO22,0)</f>
        <v>0</v>
      </c>
      <c r="AP295" s="21" t="n">
        <f aca="false">IF(AND('APA Inputs'!$B$3="Yes",AP$4&lt;&gt;"Actuals"),'APA Schedule'!AP22,0)</f>
        <v>0</v>
      </c>
      <c r="AQ295" s="21" t="n">
        <f aca="false">IF(AND('APA Inputs'!$B$3="Yes",AQ$4&lt;&gt;"Actuals"),'APA Schedule'!AQ22,0)</f>
        <v>0</v>
      </c>
      <c r="AR295" s="21" t="n">
        <f aca="false">IF(AND('APA Inputs'!$B$3="Yes",AR$4&lt;&gt;"Actuals"),'APA Schedule'!AR22,0)</f>
        <v>0</v>
      </c>
      <c r="AS295" s="21" t="n">
        <f aca="false">IF(AND('APA Inputs'!$B$3="Yes",AS$4&lt;&gt;"Actuals"),'APA Schedule'!AS22,0)</f>
        <v>0</v>
      </c>
      <c r="AT295" s="21" t="n">
        <f aca="false">IF(AND('APA Inputs'!$B$3="Yes",AT$4&lt;&gt;"Actuals"),'APA Schedule'!AT22,0)</f>
        <v>0</v>
      </c>
      <c r="AU295" s="21" t="n">
        <f aca="false">IF(AND('APA Inputs'!$B$3="Yes",AU$4&lt;&gt;"Actuals"),'APA Schedule'!AU22,0)</f>
        <v>0</v>
      </c>
      <c r="AV295" s="21" t="n">
        <f aca="false">IF(AND('APA Inputs'!$B$3="Yes",AV$4&lt;&gt;"Actuals"),'APA Schedule'!AV22,0)</f>
        <v>0</v>
      </c>
      <c r="AW295" s="21" t="n">
        <f aca="false">IF(AND('APA Inputs'!$B$3="Yes",AW$4&lt;&gt;"Actuals"),'APA Schedule'!AW22,0)</f>
        <v>0</v>
      </c>
      <c r="AX295" s="21" t="n">
        <f aca="false">IF(AND('APA Inputs'!$B$3="Yes",AX$4&lt;&gt;"Actuals"),'APA Schedule'!AX22,0)</f>
        <v>0</v>
      </c>
      <c r="AY295" s="21" t="n">
        <f aca="false">IF(AND('APA Inputs'!$B$3="Yes",AY$4&lt;&gt;"Actuals"),'APA Schedule'!AY22,0)</f>
        <v>0</v>
      </c>
      <c r="AZ295" s="21" t="n">
        <f aca="false">IF(AND('APA Inputs'!$B$3="Yes",AZ$4&lt;&gt;"Actuals"),'APA Schedule'!AZ22,0)</f>
        <v>0</v>
      </c>
      <c r="BA295" s="21" t="n">
        <f aca="false">IF(AND('APA Inputs'!$B$3="Yes",BA$4&lt;&gt;"Actuals"),'APA Schedule'!BA22,0)</f>
        <v>0</v>
      </c>
      <c r="BB295" s="21" t="n">
        <f aca="false">IF(AND('APA Inputs'!$B$3="Yes",BB$4&lt;&gt;"Actuals"),'APA Schedule'!BB22,0)</f>
        <v>0</v>
      </c>
      <c r="BC295" s="21" t="n">
        <f aca="false">IF(AND('APA Inputs'!$B$3="Yes",BC$4&lt;&gt;"Actuals"),'APA Schedule'!BC22,0)</f>
        <v>0</v>
      </c>
      <c r="BD295" s="21" t="n">
        <f aca="false">IF(AND('APA Inputs'!$B$3="Yes",BD$4&lt;&gt;"Actuals"),'APA Schedule'!BD22,0)</f>
        <v>0</v>
      </c>
      <c r="BE295" s="21" t="n">
        <f aca="false">IF(AND('APA Inputs'!$B$3="Yes",BE$4&lt;&gt;"Actuals"),'APA Schedule'!BE22,0)</f>
        <v>0</v>
      </c>
      <c r="BF295" s="21" t="n">
        <f aca="false">IF(AND('APA Inputs'!$B$3="Yes",BF$4&lt;&gt;"Actuals"),'APA Schedule'!BF22,0)</f>
        <v>0</v>
      </c>
      <c r="BG295" s="21" t="n">
        <f aca="false">IF(AND('APA Inputs'!$B$3="Yes",BG$4&lt;&gt;"Actuals"),'APA Schedule'!BG22,0)</f>
        <v>0</v>
      </c>
      <c r="BH295" s="21" t="n">
        <f aca="false">IF(AND('APA Inputs'!$B$3="Yes",BH$4&lt;&gt;"Actuals"),'APA Schedule'!BH22,0)</f>
        <v>0</v>
      </c>
      <c r="BI295" s="21" t="n">
        <f aca="false">IF(AND('APA Inputs'!$B$3="Yes",BI$4&lt;&gt;"Actuals"),'APA Schedule'!BI22,0)</f>
        <v>0</v>
      </c>
      <c r="BJ295" s="21" t="n">
        <f aca="false">IF(AND('APA Inputs'!$B$3="Yes",BJ$4&lt;&gt;"Actuals"),'APA Schedule'!BJ22,0)</f>
        <v>0</v>
      </c>
      <c r="BK295" s="21" t="n">
        <f aca="false">IF(AND('APA Inputs'!$B$3="Yes",BK$4&lt;&gt;"Actuals"),'APA Schedule'!BK22,0)</f>
        <v>0</v>
      </c>
      <c r="BL295" s="21" t="n">
        <f aca="false">IF(AND('APA Inputs'!$B$3="Yes",BL$4&lt;&gt;"Actuals"),'APA Schedule'!BL22,0)</f>
        <v>0</v>
      </c>
      <c r="BM295" s="21" t="n">
        <f aca="false">IF(AND('APA Inputs'!$B$3="Yes",BM$4&lt;&gt;"Actuals"),'APA Schedule'!BM22,0)</f>
        <v>0</v>
      </c>
      <c r="BN295" s="21" t="n">
        <f aca="false">IF(AND('APA Inputs'!$B$3="Yes",BN$4&lt;&gt;"Actuals"),'APA Schedule'!BN22,0)</f>
        <v>0</v>
      </c>
      <c r="BO295" s="21" t="n">
        <f aca="false">IF(AND('APA Inputs'!$B$3="Yes",BO$4&lt;&gt;"Actuals"),'APA Schedule'!BO22,0)</f>
        <v>0</v>
      </c>
      <c r="BP295" s="21" t="n">
        <f aca="false">IF(AND('APA Inputs'!$B$3="Yes",BP$4&lt;&gt;"Actuals"),'APA Schedule'!BP22,0)</f>
        <v>0</v>
      </c>
      <c r="BQ295" s="21" t="n">
        <f aca="false">IF(AND('APA Inputs'!$B$3="Yes",BQ$4&lt;&gt;"Actuals"),'APA Schedule'!BQ22,0)</f>
        <v>0</v>
      </c>
      <c r="BR295" s="21" t="n">
        <f aca="false">IF(AND('APA Inputs'!$B$3="Yes",BR$4&lt;&gt;"Actuals"),'APA Schedule'!BR22,0)</f>
        <v>0</v>
      </c>
      <c r="BS295" s="21" t="n">
        <f aca="false">IF(AND('APA Inputs'!$B$3="Yes",BS$4&lt;&gt;"Actuals"),'APA Schedule'!BS22,0)</f>
        <v>0</v>
      </c>
      <c r="BT295" s="21" t="n">
        <f aca="false">IF(AND('APA Inputs'!$B$3="Yes",BT$4&lt;&gt;"Actuals"),'APA Schedule'!BT22,0)</f>
        <v>0</v>
      </c>
      <c r="BU295" s="21" t="n">
        <f aca="false">IF(AND('APA Inputs'!$B$3="Yes",BU$4&lt;&gt;"Actuals"),'APA Schedule'!BU22,0)</f>
        <v>0</v>
      </c>
      <c r="BV295" s="21" t="n">
        <f aca="false">IF(AND('APA Inputs'!$B$3="Yes",BV$4&lt;&gt;"Actuals"),'APA Schedule'!BV22,0)</f>
        <v>0</v>
      </c>
      <c r="BW295" s="21" t="n">
        <f aca="false">IF(AND('APA Inputs'!$B$3="Yes",BW$4&lt;&gt;"Actuals"),'APA Schedule'!BW22,0)</f>
        <v>0</v>
      </c>
      <c r="BX295" s="21" t="n">
        <f aca="false">IF(AND('APA Inputs'!$B$3="Yes",BX$4&lt;&gt;"Actuals"),'APA Schedule'!BX22,0)</f>
        <v>0</v>
      </c>
      <c r="BY295" s="21" t="n">
        <f aca="false">IF(AND('APA Inputs'!$B$3="Yes",BY$4&lt;&gt;"Actuals"),'APA Schedule'!BY22,0)</f>
        <v>0</v>
      </c>
      <c r="BZ295" s="21" t="n">
        <f aca="false">IF(AND('APA Inputs'!$B$3="Yes",BZ$4&lt;&gt;"Actuals"),'APA Schedule'!BZ22,0)</f>
        <v>0</v>
      </c>
      <c r="CA295" s="21" t="n">
        <f aca="false">IF(AND('APA Inputs'!$B$3="Yes",CA$4&lt;&gt;"Actuals"),'APA Schedule'!CA22,0)</f>
        <v>0</v>
      </c>
      <c r="CB295" s="21" t="n">
        <f aca="false">IF(AND('APA Inputs'!$B$3="Yes",CB$4&lt;&gt;"Actuals"),'APA Schedule'!CB22,0)</f>
        <v>0</v>
      </c>
      <c r="CC295" s="21" t="n">
        <f aca="false">IF(AND('APA Inputs'!$B$3="Yes",CC$4&lt;&gt;"Actuals"),'APA Schedule'!CC22,0)</f>
        <v>0</v>
      </c>
      <c r="CD295" s="21" t="n">
        <f aca="false">IF(AND('APA Inputs'!$B$3="Yes",CD$4&lt;&gt;"Actuals"),'APA Schedule'!CD22,0)</f>
        <v>0</v>
      </c>
      <c r="CE295" s="21" t="n">
        <f aca="false">IF(AND('APA Inputs'!$B$3="Yes",CE$4&lt;&gt;"Actuals"),'APA Schedule'!CE22,0)</f>
        <v>0</v>
      </c>
      <c r="CF295" s="21" t="n">
        <f aca="false">IF(AND('APA Inputs'!$B$3="Yes",CF$4&lt;&gt;"Actuals"),'APA Schedule'!CF22,0)</f>
        <v>0</v>
      </c>
      <c r="CG295" s="21" t="n">
        <f aca="false">IF(AND('APA Inputs'!$B$3="Yes",CG$4&lt;&gt;"Actuals"),'APA Schedule'!CG22,0)</f>
        <v>0</v>
      </c>
      <c r="CH295" s="21" t="n">
        <f aca="false">IF(AND('APA Inputs'!$B$3="Yes",CH$4&lt;&gt;"Actuals"),'APA Schedule'!CH22,0)</f>
        <v>0</v>
      </c>
      <c r="CI295" s="21" t="n">
        <f aca="false">IF(AND('APA Inputs'!$B$3="Yes",CI$4&lt;&gt;"Actuals"),'APA Schedule'!CI22,0)</f>
        <v>0</v>
      </c>
      <c r="CJ295" s="21" t="n">
        <f aca="false">IF(AND('APA Inputs'!$B$3="Yes",CJ$4&lt;&gt;"Actuals"),'APA Schedule'!CJ22,0)</f>
        <v>0</v>
      </c>
      <c r="CK295" s="21" t="n">
        <f aca="false">IF(AND('APA Inputs'!$B$3="Yes",CK$4&lt;&gt;"Actuals"),'APA Schedule'!CK22,0)</f>
        <v>0</v>
      </c>
      <c r="CL295" s="21" t="n">
        <f aca="false">IF(AND('APA Inputs'!$B$3="Yes",CL$4&lt;&gt;"Actuals"),'APA Schedule'!CL22,0)</f>
        <v>0</v>
      </c>
      <c r="CM295" s="21" t="n">
        <f aca="false">IF(AND('APA Inputs'!$B$3="Yes",CM$4&lt;&gt;"Actuals"),'APA Schedule'!CM22,0)</f>
        <v>0</v>
      </c>
      <c r="CN295" s="21" t="n">
        <f aca="false">IF(AND('APA Inputs'!$B$3="Yes",CN$4&lt;&gt;"Actuals"),'APA Schedule'!CN22,0)</f>
        <v>0</v>
      </c>
      <c r="CO295" s="21" t="n">
        <f aca="false">IF(AND('APA Inputs'!$B$3="Yes",CO$4&lt;&gt;"Actuals"),'APA Schedule'!CO22,0)</f>
        <v>0</v>
      </c>
      <c r="CP295" s="21" t="n">
        <f aca="false">IF(AND('APA Inputs'!$B$3="Yes",CP$4&lt;&gt;"Actuals"),'APA Schedule'!CP22,0)</f>
        <v>0</v>
      </c>
      <c r="CQ295" s="21" t="n">
        <f aca="false">IF(AND('APA Inputs'!$B$3="Yes",CQ$4&lt;&gt;"Actuals"),'APA Schedule'!CQ22,0)</f>
        <v>0</v>
      </c>
      <c r="CR295" s="21" t="n">
        <f aca="false">IF(AND('APA Inputs'!$B$3="Yes",CR$4&lt;&gt;"Actuals"),'APA Schedule'!CR22,0)</f>
        <v>0</v>
      </c>
      <c r="CS295" s="21" t="n">
        <f aca="false">IF(AND('APA Inputs'!$B$3="Yes",CS$4&lt;&gt;"Actuals"),'APA Schedule'!CS22,0)</f>
        <v>0</v>
      </c>
      <c r="CT295" s="21" t="n">
        <f aca="false">IF(AND('APA Inputs'!$B$3="Yes",CT$4&lt;&gt;"Actuals"),'APA Schedule'!CT22,0)</f>
        <v>0</v>
      </c>
      <c r="CU295" s="21" t="n">
        <f aca="false">IF(AND('APA Inputs'!$B$3="Yes",CU$4&lt;&gt;"Actuals"),'APA Schedule'!CU22,0)</f>
        <v>0</v>
      </c>
      <c r="CV295" s="21" t="n">
        <f aca="false">IF(AND('APA Inputs'!$B$3="Yes",CV$4&lt;&gt;"Actuals"),'APA Schedule'!CV22,0)</f>
        <v>0</v>
      </c>
      <c r="CW295" s="21" t="n">
        <f aca="false">IF(AND('APA Inputs'!$B$3="Yes",CW$4&lt;&gt;"Actuals"),'APA Schedule'!CW22,0)</f>
        <v>0</v>
      </c>
      <c r="CX295" s="21" t="n">
        <f aca="false">IF(AND('APA Inputs'!$B$3="Yes",CX$4&lt;&gt;"Actuals"),'APA Schedule'!CX22,0)</f>
        <v>0</v>
      </c>
      <c r="CY295" s="21" t="n">
        <f aca="false">IF(AND('APA Inputs'!$B$3="Yes",CY$4&lt;&gt;"Actuals"),'APA Schedule'!CY22,0)</f>
        <v>0</v>
      </c>
      <c r="CZ295" s="21" t="n">
        <f aca="false">IF(AND('APA Inputs'!$B$3="Yes",CZ$4&lt;&gt;"Actuals"),'APA Schedule'!CZ22,0)</f>
        <v>0</v>
      </c>
      <c r="DA295" s="21" t="n">
        <f aca="false">IF(AND('APA Inputs'!$B$3="Yes",DA$4&lt;&gt;"Actuals"),'APA Schedule'!DA22,0)</f>
        <v>0</v>
      </c>
      <c r="DB295" s="21" t="n">
        <f aca="false">IF(AND('APA Inputs'!$B$3="Yes",DB$4&lt;&gt;"Actuals"),'APA Schedule'!DB22,0)</f>
        <v>0</v>
      </c>
      <c r="DC295" s="21" t="n">
        <f aca="false">IF(AND('APA Inputs'!$B$3="Yes",DC$4&lt;&gt;"Actuals"),'APA Schedule'!DC22,0)</f>
        <v>0</v>
      </c>
      <c r="DD295" s="21" t="n">
        <f aca="false">IF(AND('APA Inputs'!$B$3="Yes",DD$4&lt;&gt;"Actuals"),'APA Schedule'!DD22,0)</f>
        <v>0</v>
      </c>
      <c r="DE295" s="21" t="n">
        <f aca="false">IF(AND('APA Inputs'!$B$3="Yes",DE$4&lt;&gt;"Actuals"),'APA Schedule'!DE22,0)</f>
        <v>0</v>
      </c>
    </row>
    <row r="296" customFormat="false" ht="19.5" hidden="false" customHeight="true" outlineLevel="0" collapsed="false">
      <c r="A296" s="35" t="s">
        <v>143</v>
      </c>
      <c r="B296" s="21" t="n">
        <v>0</v>
      </c>
      <c r="C296" s="21" t="n">
        <v>0</v>
      </c>
      <c r="D296" s="21" t="n">
        <v>0</v>
      </c>
      <c r="E296" s="21" t="n">
        <v>0</v>
      </c>
      <c r="F296" s="21" t="n">
        <v>0</v>
      </c>
      <c r="G296" s="21" t="n">
        <v>0</v>
      </c>
      <c r="H296" s="21" t="n">
        <v>0</v>
      </c>
      <c r="I296" s="21" t="n">
        <v>0</v>
      </c>
      <c r="J296" s="21" t="n">
        <v>0</v>
      </c>
      <c r="K296" s="21" t="n">
        <v>0</v>
      </c>
      <c r="L296" s="21" t="n">
        <v>0</v>
      </c>
      <c r="M296" s="21" t="n">
        <v>0</v>
      </c>
      <c r="N296" s="21" t="n">
        <v>0</v>
      </c>
      <c r="O296" s="21" t="n">
        <v>0</v>
      </c>
      <c r="P296" s="21" t="n">
        <v>0</v>
      </c>
      <c r="Q296" s="21" t="n">
        <v>0</v>
      </c>
      <c r="R296" s="21" t="n">
        <v>0</v>
      </c>
      <c r="S296" s="21" t="n">
        <v>0</v>
      </c>
      <c r="T296" s="21" t="n">
        <v>0</v>
      </c>
      <c r="U296" s="21" t="n">
        <v>0</v>
      </c>
      <c r="V296" s="21" t="n">
        <v>0</v>
      </c>
      <c r="W296" s="21" t="n">
        <v>0</v>
      </c>
      <c r="X296" s="21" t="n">
        <v>0</v>
      </c>
      <c r="Y296" s="21" t="n">
        <v>0</v>
      </c>
      <c r="Z296" s="21" t="n">
        <v>0</v>
      </c>
      <c r="AA296" s="21" t="n">
        <v>0</v>
      </c>
      <c r="AB296" s="21" t="n">
        <v>0</v>
      </c>
      <c r="AC296" s="21" t="n">
        <v>0</v>
      </c>
      <c r="AD296" s="21" t="n">
        <v>0</v>
      </c>
      <c r="AE296" s="21" t="n">
        <v>0</v>
      </c>
      <c r="AF296" s="21" t="n">
        <v>0</v>
      </c>
      <c r="AG296" s="21" t="n">
        <v>0</v>
      </c>
      <c r="AH296" s="21" t="n">
        <v>0</v>
      </c>
      <c r="AI296" s="21" t="n">
        <v>0</v>
      </c>
      <c r="AJ296" s="21" t="n">
        <v>0</v>
      </c>
      <c r="AK296" s="21" t="n">
        <v>0</v>
      </c>
      <c r="AL296" s="21" t="n">
        <v>0</v>
      </c>
      <c r="AM296" s="21" t="n">
        <v>0</v>
      </c>
      <c r="AN296" s="21" t="n">
        <v>0</v>
      </c>
      <c r="AO296" s="21" t="n">
        <v>0</v>
      </c>
      <c r="AP296" s="21" t="n">
        <v>0</v>
      </c>
      <c r="AQ296" s="21" t="n">
        <v>0</v>
      </c>
      <c r="AR296" s="21" t="n">
        <v>0</v>
      </c>
      <c r="AS296" s="21" t="n">
        <v>0</v>
      </c>
      <c r="AT296" s="21" t="n">
        <v>0</v>
      </c>
      <c r="AU296" s="21" t="n">
        <v>0</v>
      </c>
      <c r="AV296" s="21" t="n">
        <v>0</v>
      </c>
      <c r="AW296" s="21" t="n">
        <v>0</v>
      </c>
      <c r="AX296" s="21" t="n">
        <v>0</v>
      </c>
      <c r="AY296" s="21" t="n">
        <v>0</v>
      </c>
      <c r="AZ296" s="21" t="n">
        <v>0</v>
      </c>
      <c r="BA296" s="21" t="n">
        <v>0</v>
      </c>
      <c r="BB296" s="21" t="n">
        <v>0</v>
      </c>
      <c r="BC296" s="21" t="n">
        <v>0</v>
      </c>
      <c r="BD296" s="21" t="n">
        <v>0</v>
      </c>
      <c r="BE296" s="21" t="n">
        <v>0</v>
      </c>
      <c r="BF296" s="21" t="n">
        <v>0</v>
      </c>
      <c r="BG296" s="21" t="n">
        <v>0</v>
      </c>
      <c r="BH296" s="21" t="n">
        <v>0</v>
      </c>
      <c r="BI296" s="21" t="n">
        <v>0</v>
      </c>
      <c r="BJ296" s="21" t="n">
        <v>0</v>
      </c>
      <c r="BK296" s="21" t="n">
        <v>0</v>
      </c>
      <c r="BL296" s="21" t="n">
        <v>0</v>
      </c>
      <c r="BM296" s="21" t="n">
        <v>0</v>
      </c>
      <c r="BN296" s="21" t="n">
        <v>0</v>
      </c>
      <c r="BO296" s="21" t="n">
        <v>0</v>
      </c>
      <c r="BP296" s="21" t="n">
        <v>0</v>
      </c>
      <c r="BQ296" s="21" t="n">
        <v>0</v>
      </c>
      <c r="BR296" s="21" t="n">
        <v>0</v>
      </c>
      <c r="BS296" s="21" t="n">
        <v>0</v>
      </c>
      <c r="BT296" s="21" t="n">
        <v>0</v>
      </c>
      <c r="BU296" s="21" t="n">
        <v>0</v>
      </c>
      <c r="BV296" s="21" t="n">
        <v>0</v>
      </c>
      <c r="BW296" s="21" t="n">
        <v>0</v>
      </c>
      <c r="BX296" s="21" t="n">
        <v>0</v>
      </c>
      <c r="BY296" s="21" t="n">
        <v>0</v>
      </c>
      <c r="BZ296" s="21" t="n">
        <v>0</v>
      </c>
      <c r="CA296" s="21" t="n">
        <v>0</v>
      </c>
      <c r="CB296" s="21" t="n">
        <v>0</v>
      </c>
      <c r="CC296" s="21" t="n">
        <v>0</v>
      </c>
      <c r="CD296" s="21" t="n">
        <v>0</v>
      </c>
      <c r="CE296" s="21" t="n">
        <v>0</v>
      </c>
      <c r="CF296" s="21" t="n">
        <v>0</v>
      </c>
      <c r="CG296" s="21" t="n">
        <v>0</v>
      </c>
      <c r="CH296" s="21" t="n">
        <v>0</v>
      </c>
      <c r="CI296" s="21" t="n">
        <v>0</v>
      </c>
      <c r="CJ296" s="21" t="n">
        <v>0</v>
      </c>
      <c r="CK296" s="21" t="n">
        <v>0</v>
      </c>
      <c r="CL296" s="21" t="n">
        <v>0</v>
      </c>
      <c r="CM296" s="21" t="n">
        <v>0</v>
      </c>
      <c r="CN296" s="21" t="n">
        <v>0</v>
      </c>
      <c r="CO296" s="21" t="n">
        <v>0</v>
      </c>
      <c r="CP296" s="21" t="n">
        <v>0</v>
      </c>
      <c r="CQ296" s="21" t="n">
        <v>0</v>
      </c>
      <c r="CR296" s="21" t="n">
        <v>0</v>
      </c>
      <c r="CS296" s="21" t="n">
        <v>0</v>
      </c>
      <c r="CT296" s="21" t="n">
        <v>0</v>
      </c>
      <c r="CU296" s="21" t="n">
        <v>0</v>
      </c>
      <c r="CV296" s="21" t="n">
        <v>0</v>
      </c>
      <c r="CW296" s="21" t="n">
        <v>0</v>
      </c>
      <c r="CX296" s="21" t="n">
        <v>0</v>
      </c>
      <c r="CY296" s="21" t="n">
        <v>0</v>
      </c>
      <c r="CZ296" s="21" t="n">
        <v>0</v>
      </c>
      <c r="DA296" s="21" t="n">
        <v>0</v>
      </c>
      <c r="DB296" s="21" t="n">
        <v>0</v>
      </c>
      <c r="DC296" s="21" t="n">
        <v>0</v>
      </c>
      <c r="DD296" s="21" t="n">
        <v>0</v>
      </c>
      <c r="DE296" s="21" t="n">
        <v>0</v>
      </c>
    </row>
    <row r="297" customFormat="false" ht="19.5" hidden="false" customHeight="true" outlineLevel="0" collapsed="false">
      <c r="A297" s="36" t="s">
        <v>144</v>
      </c>
      <c r="B297" s="37" t="n">
        <f aca="false">B295+B296</f>
        <v>0</v>
      </c>
      <c r="C297" s="37" t="n">
        <f aca="false">C295+C296</f>
        <v>0</v>
      </c>
      <c r="D297" s="37" t="n">
        <f aca="false">D295+D296</f>
        <v>0</v>
      </c>
      <c r="E297" s="37" t="n">
        <f aca="false">E295+E296</f>
        <v>0</v>
      </c>
      <c r="F297" s="37" t="n">
        <f aca="false">F295+F296</f>
        <v>0</v>
      </c>
      <c r="G297" s="37" t="n">
        <f aca="false">G295+G296</f>
        <v>0</v>
      </c>
      <c r="H297" s="37" t="n">
        <f aca="false">H295+H296</f>
        <v>0</v>
      </c>
      <c r="I297" s="37" t="n">
        <f aca="false">I295+I296</f>
        <v>0</v>
      </c>
      <c r="J297" s="37" t="n">
        <f aca="false">J295+J296</f>
        <v>0</v>
      </c>
      <c r="K297" s="37" t="n">
        <f aca="false">K295+K296</f>
        <v>1108.06288333333</v>
      </c>
      <c r="L297" s="37" t="n">
        <f aca="false">L295+L296</f>
        <v>1108.06288333333</v>
      </c>
      <c r="M297" s="37" t="n">
        <f aca="false">M295+M296</f>
        <v>1108.06288333333</v>
      </c>
      <c r="N297" s="37" t="n">
        <f aca="false">N295+N296</f>
        <v>0</v>
      </c>
      <c r="O297" s="37" t="n">
        <f aca="false">O295+O296</f>
        <v>0</v>
      </c>
      <c r="P297" s="37" t="n">
        <f aca="false">P295+P296</f>
        <v>915.383032999997</v>
      </c>
      <c r="Q297" s="37" t="n">
        <f aca="false">Q295+Q296</f>
        <v>0</v>
      </c>
      <c r="R297" s="37" t="n">
        <f aca="false">R295+R296</f>
        <v>0</v>
      </c>
      <c r="S297" s="37" t="n">
        <f aca="false">S295+S296</f>
        <v>0</v>
      </c>
      <c r="T297" s="37" t="n">
        <f aca="false">T295+T296</f>
        <v>0</v>
      </c>
      <c r="U297" s="37" t="n">
        <f aca="false">U295+U296</f>
        <v>0</v>
      </c>
      <c r="V297" s="37" t="n">
        <f aca="false">V295+V296</f>
        <v>0</v>
      </c>
      <c r="W297" s="37" t="n">
        <f aca="false">W295+W296</f>
        <v>0</v>
      </c>
      <c r="X297" s="37" t="n">
        <f aca="false">X295+X296</f>
        <v>0</v>
      </c>
      <c r="Y297" s="37" t="n">
        <f aca="false">Y295+Y296</f>
        <v>0</v>
      </c>
      <c r="Z297" s="37" t="n">
        <f aca="false">Z295+Z296</f>
        <v>0</v>
      </c>
      <c r="AA297" s="37" t="n">
        <f aca="false">AA295+AA296</f>
        <v>0</v>
      </c>
      <c r="AB297" s="37" t="n">
        <f aca="false">AB295+AB296</f>
        <v>0</v>
      </c>
      <c r="AC297" s="37" t="n">
        <f aca="false">AC295+AC296</f>
        <v>0</v>
      </c>
      <c r="AD297" s="37" t="n">
        <f aca="false">AD295+AD296</f>
        <v>0</v>
      </c>
      <c r="AE297" s="37" t="n">
        <f aca="false">AE295+AE296</f>
        <v>0</v>
      </c>
      <c r="AF297" s="37" t="n">
        <f aca="false">AF295+AF296</f>
        <v>0</v>
      </c>
      <c r="AG297" s="37" t="n">
        <f aca="false">AG295+AG296</f>
        <v>0</v>
      </c>
      <c r="AH297" s="37" t="n">
        <f aca="false">AH295+AH296</f>
        <v>0</v>
      </c>
      <c r="AI297" s="37" t="n">
        <f aca="false">AI295+AI296</f>
        <v>0</v>
      </c>
      <c r="AJ297" s="37" t="n">
        <f aca="false">AJ295+AJ296</f>
        <v>0</v>
      </c>
      <c r="AK297" s="37" t="n">
        <f aca="false">AK295+AK296</f>
        <v>0</v>
      </c>
      <c r="AL297" s="37" t="n">
        <f aca="false">AL295+AL296</f>
        <v>0</v>
      </c>
      <c r="AM297" s="37" t="n">
        <f aca="false">AM295+AM296</f>
        <v>0</v>
      </c>
      <c r="AN297" s="37" t="n">
        <f aca="false">AN295+AN296</f>
        <v>0</v>
      </c>
      <c r="AO297" s="37" t="n">
        <f aca="false">AO295+AO296</f>
        <v>0</v>
      </c>
      <c r="AP297" s="37" t="n">
        <f aca="false">AP295+AP296</f>
        <v>0</v>
      </c>
      <c r="AQ297" s="37" t="n">
        <f aca="false">AQ295+AQ296</f>
        <v>0</v>
      </c>
      <c r="AR297" s="37" t="n">
        <f aca="false">AR295+AR296</f>
        <v>0</v>
      </c>
      <c r="AS297" s="37" t="n">
        <f aca="false">AS295+AS296</f>
        <v>0</v>
      </c>
      <c r="AT297" s="37" t="n">
        <f aca="false">AT295+AT296</f>
        <v>0</v>
      </c>
      <c r="AU297" s="37" t="n">
        <f aca="false">AU295+AU296</f>
        <v>0</v>
      </c>
      <c r="AV297" s="37" t="n">
        <f aca="false">AV295+AV296</f>
        <v>0</v>
      </c>
      <c r="AW297" s="37" t="n">
        <f aca="false">AW295+AW296</f>
        <v>0</v>
      </c>
      <c r="AX297" s="37" t="n">
        <f aca="false">AX295+AX296</f>
        <v>0</v>
      </c>
      <c r="AY297" s="37" t="n">
        <f aca="false">AY295+AY296</f>
        <v>0</v>
      </c>
      <c r="AZ297" s="37" t="n">
        <f aca="false">AZ295+AZ296</f>
        <v>0</v>
      </c>
      <c r="BA297" s="37" t="n">
        <f aca="false">BA295+BA296</f>
        <v>0</v>
      </c>
      <c r="BB297" s="37" t="n">
        <f aca="false">BB295+BB296</f>
        <v>0</v>
      </c>
      <c r="BC297" s="37" t="n">
        <f aca="false">BC295+BC296</f>
        <v>0</v>
      </c>
      <c r="BD297" s="37" t="n">
        <f aca="false">BD295+BD296</f>
        <v>0</v>
      </c>
      <c r="BE297" s="37" t="n">
        <f aca="false">BE295+BE296</f>
        <v>0</v>
      </c>
      <c r="BF297" s="37" t="n">
        <f aca="false">BF295+BF296</f>
        <v>0</v>
      </c>
      <c r="BG297" s="37" t="n">
        <f aca="false">BG295+BG296</f>
        <v>0</v>
      </c>
      <c r="BH297" s="37" t="n">
        <f aca="false">BH295+BH296</f>
        <v>0</v>
      </c>
      <c r="BI297" s="37" t="n">
        <f aca="false">BI295+BI296</f>
        <v>0</v>
      </c>
      <c r="BJ297" s="37" t="n">
        <f aca="false">BJ295+BJ296</f>
        <v>0</v>
      </c>
      <c r="BK297" s="37" t="n">
        <f aca="false">BK295+BK296</f>
        <v>0</v>
      </c>
      <c r="BL297" s="37" t="n">
        <f aca="false">BL295+BL296</f>
        <v>0</v>
      </c>
      <c r="BM297" s="37" t="n">
        <f aca="false">BM295+BM296</f>
        <v>0</v>
      </c>
      <c r="BN297" s="37" t="n">
        <f aca="false">BN295+BN296</f>
        <v>0</v>
      </c>
      <c r="BO297" s="37" t="n">
        <f aca="false">BO295+BO296</f>
        <v>0</v>
      </c>
      <c r="BP297" s="37" t="n">
        <f aca="false">BP295+BP296</f>
        <v>0</v>
      </c>
      <c r="BQ297" s="37" t="n">
        <f aca="false">BQ295+BQ296</f>
        <v>0</v>
      </c>
      <c r="BR297" s="37" t="n">
        <f aca="false">BR295+BR296</f>
        <v>0</v>
      </c>
      <c r="BS297" s="37" t="n">
        <f aca="false">BS295+BS296</f>
        <v>0</v>
      </c>
      <c r="BT297" s="37" t="n">
        <f aca="false">BT295+BT296</f>
        <v>0</v>
      </c>
      <c r="BU297" s="37" t="n">
        <f aca="false">BU295+BU296</f>
        <v>0</v>
      </c>
      <c r="BV297" s="37" t="n">
        <f aca="false">BV295+BV296</f>
        <v>0</v>
      </c>
      <c r="BW297" s="37" t="n">
        <f aca="false">BW295+BW296</f>
        <v>0</v>
      </c>
      <c r="BX297" s="37" t="n">
        <f aca="false">BX295+BX296</f>
        <v>0</v>
      </c>
      <c r="BY297" s="37" t="n">
        <f aca="false">BY295+BY296</f>
        <v>0</v>
      </c>
      <c r="BZ297" s="37" t="n">
        <f aca="false">BZ295+BZ296</f>
        <v>0</v>
      </c>
      <c r="CA297" s="37" t="n">
        <f aca="false">CA295+CA296</f>
        <v>0</v>
      </c>
      <c r="CB297" s="37" t="n">
        <f aca="false">CB295+CB296</f>
        <v>0</v>
      </c>
      <c r="CC297" s="37" t="n">
        <f aca="false">CC295+CC296</f>
        <v>0</v>
      </c>
      <c r="CD297" s="37" t="n">
        <f aca="false">CD295+CD296</f>
        <v>0</v>
      </c>
      <c r="CE297" s="37" t="n">
        <f aca="false">CE295+CE296</f>
        <v>0</v>
      </c>
      <c r="CF297" s="37" t="n">
        <f aca="false">CF295+CF296</f>
        <v>0</v>
      </c>
      <c r="CG297" s="37" t="n">
        <f aca="false">CG295+CG296</f>
        <v>0</v>
      </c>
      <c r="CH297" s="37" t="n">
        <f aca="false">CH295+CH296</f>
        <v>0</v>
      </c>
      <c r="CI297" s="37" t="n">
        <f aca="false">CI295+CI296</f>
        <v>0</v>
      </c>
      <c r="CJ297" s="37" t="n">
        <f aca="false">CJ295+CJ296</f>
        <v>0</v>
      </c>
      <c r="CK297" s="37" t="n">
        <f aca="false">CK295+CK296</f>
        <v>0</v>
      </c>
      <c r="CL297" s="37" t="n">
        <f aca="false">CL295+CL296</f>
        <v>0</v>
      </c>
      <c r="CM297" s="37" t="n">
        <f aca="false">CM295+CM296</f>
        <v>0</v>
      </c>
      <c r="CN297" s="37" t="n">
        <f aca="false">CN295+CN296</f>
        <v>0</v>
      </c>
      <c r="CO297" s="37" t="n">
        <f aca="false">CO295+CO296</f>
        <v>0</v>
      </c>
      <c r="CP297" s="37" t="n">
        <f aca="false">CP295+CP296</f>
        <v>0</v>
      </c>
      <c r="CQ297" s="37" t="n">
        <f aca="false">CQ295+CQ296</f>
        <v>0</v>
      </c>
      <c r="CR297" s="37" t="n">
        <f aca="false">CR295+CR296</f>
        <v>0</v>
      </c>
      <c r="CS297" s="37" t="n">
        <f aca="false">CS295+CS296</f>
        <v>0</v>
      </c>
      <c r="CT297" s="37" t="n">
        <f aca="false">CT295+CT296</f>
        <v>0</v>
      </c>
      <c r="CU297" s="37" t="n">
        <f aca="false">CU295+CU296</f>
        <v>0</v>
      </c>
      <c r="CV297" s="37" t="n">
        <f aca="false">CV295+CV296</f>
        <v>0</v>
      </c>
      <c r="CW297" s="37" t="n">
        <f aca="false">CW295+CW296</f>
        <v>0</v>
      </c>
      <c r="CX297" s="37" t="n">
        <f aca="false">CX295+CX296</f>
        <v>0</v>
      </c>
      <c r="CY297" s="37" t="n">
        <f aca="false">CY295+CY296</f>
        <v>0</v>
      </c>
      <c r="CZ297" s="37" t="n">
        <f aca="false">CZ295+CZ296</f>
        <v>0</v>
      </c>
      <c r="DA297" s="37" t="n">
        <f aca="false">DA295+DA296</f>
        <v>0</v>
      </c>
      <c r="DB297" s="37" t="n">
        <f aca="false">DB295+DB296</f>
        <v>0</v>
      </c>
      <c r="DC297" s="37" t="n">
        <f aca="false">DC295+DC296</f>
        <v>0</v>
      </c>
      <c r="DD297" s="37" t="n">
        <f aca="false">DD295+DD296</f>
        <v>0</v>
      </c>
      <c r="DE297" s="37" t="n">
        <f aca="false">DE295+DE296</f>
        <v>0</v>
      </c>
    </row>
    <row r="298" customFormat="false" ht="19.5" hidden="false" customHeight="true" outlineLevel="0" collapsed="false">
      <c r="A298" s="36" t="s">
        <v>145</v>
      </c>
      <c r="B298" s="37" t="n">
        <f aca="false">B297</f>
        <v>0</v>
      </c>
      <c r="C298" s="37" t="n">
        <f aca="false">C297</f>
        <v>0</v>
      </c>
      <c r="D298" s="37" t="n">
        <f aca="false">D297</f>
        <v>0</v>
      </c>
      <c r="E298" s="37" t="n">
        <f aca="false">E297</f>
        <v>0</v>
      </c>
      <c r="F298" s="37" t="n">
        <f aca="false">F297</f>
        <v>0</v>
      </c>
      <c r="G298" s="37" t="n">
        <f aca="false">G297</f>
        <v>0</v>
      </c>
      <c r="H298" s="37" t="n">
        <f aca="false">H297</f>
        <v>0</v>
      </c>
      <c r="I298" s="37" t="n">
        <f aca="false">I297</f>
        <v>0</v>
      </c>
      <c r="J298" s="37" t="n">
        <f aca="false">J297</f>
        <v>0</v>
      </c>
      <c r="K298" s="37" t="n">
        <f aca="false">K297</f>
        <v>1108.06288333333</v>
      </c>
      <c r="L298" s="37" t="n">
        <f aca="false">L297</f>
        <v>1108.06288333333</v>
      </c>
      <c r="M298" s="37" t="n">
        <f aca="false">M297</f>
        <v>1108.06288333333</v>
      </c>
      <c r="N298" s="37" t="n">
        <f aca="false">N297</f>
        <v>0</v>
      </c>
      <c r="O298" s="37" t="n">
        <f aca="false">O297</f>
        <v>0</v>
      </c>
      <c r="P298" s="37" t="n">
        <f aca="false">P297</f>
        <v>915.383032999997</v>
      </c>
      <c r="Q298" s="37" t="n">
        <f aca="false">Q297</f>
        <v>0</v>
      </c>
      <c r="R298" s="37" t="n">
        <f aca="false">R297</f>
        <v>0</v>
      </c>
      <c r="S298" s="37" t="n">
        <f aca="false">S297</f>
        <v>0</v>
      </c>
      <c r="T298" s="37" t="n">
        <f aca="false">T297</f>
        <v>0</v>
      </c>
      <c r="U298" s="37" t="n">
        <f aca="false">U297</f>
        <v>0</v>
      </c>
      <c r="V298" s="37" t="n">
        <f aca="false">V297</f>
        <v>0</v>
      </c>
      <c r="W298" s="37" t="n">
        <f aca="false">W297</f>
        <v>0</v>
      </c>
      <c r="X298" s="37" t="n">
        <f aca="false">X297</f>
        <v>0</v>
      </c>
      <c r="Y298" s="37" t="n">
        <f aca="false">Y297</f>
        <v>0</v>
      </c>
      <c r="Z298" s="37" t="n">
        <f aca="false">Z297</f>
        <v>0</v>
      </c>
      <c r="AA298" s="37" t="n">
        <f aca="false">AA297</f>
        <v>0</v>
      </c>
      <c r="AB298" s="37" t="n">
        <f aca="false">AB297</f>
        <v>0</v>
      </c>
      <c r="AC298" s="37" t="n">
        <f aca="false">AC297</f>
        <v>0</v>
      </c>
      <c r="AD298" s="37" t="n">
        <f aca="false">AD297</f>
        <v>0</v>
      </c>
      <c r="AE298" s="37" t="n">
        <f aca="false">AE297</f>
        <v>0</v>
      </c>
      <c r="AF298" s="37" t="n">
        <f aca="false">AF297</f>
        <v>0</v>
      </c>
      <c r="AG298" s="37" t="n">
        <f aca="false">AG297</f>
        <v>0</v>
      </c>
      <c r="AH298" s="37" t="n">
        <f aca="false">AH297</f>
        <v>0</v>
      </c>
      <c r="AI298" s="37" t="n">
        <f aca="false">AI297</f>
        <v>0</v>
      </c>
      <c r="AJ298" s="37" t="n">
        <f aca="false">AJ297</f>
        <v>0</v>
      </c>
      <c r="AK298" s="37" t="n">
        <f aca="false">AK297</f>
        <v>0</v>
      </c>
      <c r="AL298" s="37" t="n">
        <f aca="false">AL297</f>
        <v>0</v>
      </c>
      <c r="AM298" s="37" t="n">
        <f aca="false">AM297</f>
        <v>0</v>
      </c>
      <c r="AN298" s="37" t="n">
        <f aca="false">AN297</f>
        <v>0</v>
      </c>
      <c r="AO298" s="37" t="n">
        <f aca="false">AO297</f>
        <v>0</v>
      </c>
      <c r="AP298" s="37" t="n">
        <f aca="false">AP297</f>
        <v>0</v>
      </c>
      <c r="AQ298" s="37" t="n">
        <f aca="false">AQ297</f>
        <v>0</v>
      </c>
      <c r="AR298" s="37" t="n">
        <f aca="false">AR297</f>
        <v>0</v>
      </c>
      <c r="AS298" s="37" t="n">
        <f aca="false">AS297</f>
        <v>0</v>
      </c>
      <c r="AT298" s="37" t="n">
        <f aca="false">AT297</f>
        <v>0</v>
      </c>
      <c r="AU298" s="37" t="n">
        <f aca="false">AU297</f>
        <v>0</v>
      </c>
      <c r="AV298" s="37" t="n">
        <f aca="false">AV297</f>
        <v>0</v>
      </c>
      <c r="AW298" s="37" t="n">
        <f aca="false">AW297</f>
        <v>0</v>
      </c>
      <c r="AX298" s="37" t="n">
        <f aca="false">AX297</f>
        <v>0</v>
      </c>
      <c r="AY298" s="37" t="n">
        <f aca="false">AY297</f>
        <v>0</v>
      </c>
      <c r="AZ298" s="37" t="n">
        <f aca="false">AZ297</f>
        <v>0</v>
      </c>
      <c r="BA298" s="37" t="n">
        <f aca="false">BA297</f>
        <v>0</v>
      </c>
      <c r="BB298" s="37" t="n">
        <f aca="false">BB297</f>
        <v>0</v>
      </c>
      <c r="BC298" s="37" t="n">
        <f aca="false">BC297</f>
        <v>0</v>
      </c>
      <c r="BD298" s="37" t="n">
        <f aca="false">BD297</f>
        <v>0</v>
      </c>
      <c r="BE298" s="37" t="n">
        <f aca="false">BE297</f>
        <v>0</v>
      </c>
      <c r="BF298" s="37" t="n">
        <f aca="false">BF297</f>
        <v>0</v>
      </c>
      <c r="BG298" s="37" t="n">
        <f aca="false">BG297</f>
        <v>0</v>
      </c>
      <c r="BH298" s="37" t="n">
        <f aca="false">BH297</f>
        <v>0</v>
      </c>
      <c r="BI298" s="37" t="n">
        <f aca="false">BI297</f>
        <v>0</v>
      </c>
      <c r="BJ298" s="37" t="n">
        <f aca="false">BJ297</f>
        <v>0</v>
      </c>
      <c r="BK298" s="37" t="n">
        <f aca="false">BK297</f>
        <v>0</v>
      </c>
      <c r="BL298" s="37" t="n">
        <f aca="false">BL297</f>
        <v>0</v>
      </c>
      <c r="BM298" s="37" t="n">
        <f aca="false">BM297</f>
        <v>0</v>
      </c>
      <c r="BN298" s="37" t="n">
        <f aca="false">BN297</f>
        <v>0</v>
      </c>
      <c r="BO298" s="37" t="n">
        <f aca="false">BO297</f>
        <v>0</v>
      </c>
      <c r="BP298" s="37" t="n">
        <f aca="false">BP297</f>
        <v>0</v>
      </c>
      <c r="BQ298" s="37" t="n">
        <f aca="false">BQ297</f>
        <v>0</v>
      </c>
      <c r="BR298" s="37" t="n">
        <f aca="false">BR297</f>
        <v>0</v>
      </c>
      <c r="BS298" s="37" t="n">
        <f aca="false">BS297</f>
        <v>0</v>
      </c>
      <c r="BT298" s="37" t="n">
        <f aca="false">BT297</f>
        <v>0</v>
      </c>
      <c r="BU298" s="37" t="n">
        <f aca="false">BU297</f>
        <v>0</v>
      </c>
      <c r="BV298" s="37" t="n">
        <f aca="false">BV297</f>
        <v>0</v>
      </c>
      <c r="BW298" s="37" t="n">
        <f aca="false">BW297</f>
        <v>0</v>
      </c>
      <c r="BX298" s="37" t="n">
        <f aca="false">BX297</f>
        <v>0</v>
      </c>
      <c r="BY298" s="37" t="n">
        <f aca="false">BY297</f>
        <v>0</v>
      </c>
      <c r="BZ298" s="37" t="n">
        <f aca="false">BZ297</f>
        <v>0</v>
      </c>
      <c r="CA298" s="37" t="n">
        <f aca="false">CA297</f>
        <v>0</v>
      </c>
      <c r="CB298" s="37" t="n">
        <f aca="false">CB297</f>
        <v>0</v>
      </c>
      <c r="CC298" s="37" t="n">
        <f aca="false">CC297</f>
        <v>0</v>
      </c>
      <c r="CD298" s="37" t="n">
        <f aca="false">CD297</f>
        <v>0</v>
      </c>
      <c r="CE298" s="37" t="n">
        <f aca="false">CE297</f>
        <v>0</v>
      </c>
      <c r="CF298" s="37" t="n">
        <f aca="false">CF297</f>
        <v>0</v>
      </c>
      <c r="CG298" s="37" t="n">
        <f aca="false">CG297</f>
        <v>0</v>
      </c>
      <c r="CH298" s="37" t="n">
        <f aca="false">CH297</f>
        <v>0</v>
      </c>
      <c r="CI298" s="37" t="n">
        <f aca="false">CI297</f>
        <v>0</v>
      </c>
      <c r="CJ298" s="37" t="n">
        <f aca="false">CJ297</f>
        <v>0</v>
      </c>
      <c r="CK298" s="37" t="n">
        <f aca="false">CK297</f>
        <v>0</v>
      </c>
      <c r="CL298" s="37" t="n">
        <f aca="false">CL297</f>
        <v>0</v>
      </c>
      <c r="CM298" s="37" t="n">
        <f aca="false">CM297</f>
        <v>0</v>
      </c>
      <c r="CN298" s="37" t="n">
        <f aca="false">CN297</f>
        <v>0</v>
      </c>
      <c r="CO298" s="37" t="n">
        <f aca="false">CO297</f>
        <v>0</v>
      </c>
      <c r="CP298" s="37" t="n">
        <f aca="false">CP297</f>
        <v>0</v>
      </c>
      <c r="CQ298" s="37" t="n">
        <f aca="false">CQ297</f>
        <v>0</v>
      </c>
      <c r="CR298" s="37" t="n">
        <f aca="false">CR297</f>
        <v>0</v>
      </c>
      <c r="CS298" s="37" t="n">
        <f aca="false">CS297</f>
        <v>0</v>
      </c>
      <c r="CT298" s="37" t="n">
        <f aca="false">CT297</f>
        <v>0</v>
      </c>
      <c r="CU298" s="37" t="n">
        <f aca="false">CU297</f>
        <v>0</v>
      </c>
      <c r="CV298" s="37" t="n">
        <f aca="false">CV297</f>
        <v>0</v>
      </c>
      <c r="CW298" s="37" t="n">
        <f aca="false">CW297</f>
        <v>0</v>
      </c>
      <c r="CX298" s="37" t="n">
        <f aca="false">CX297</f>
        <v>0</v>
      </c>
      <c r="CY298" s="37" t="n">
        <f aca="false">CY297</f>
        <v>0</v>
      </c>
      <c r="CZ298" s="37" t="n">
        <f aca="false">CZ297</f>
        <v>0</v>
      </c>
      <c r="DA298" s="37" t="n">
        <f aca="false">DA297</f>
        <v>0</v>
      </c>
      <c r="DB298" s="37" t="n">
        <f aca="false">DB297</f>
        <v>0</v>
      </c>
      <c r="DC298" s="37" t="n">
        <f aca="false">DC297</f>
        <v>0</v>
      </c>
      <c r="DD298" s="37" t="n">
        <f aca="false">DD297</f>
        <v>0</v>
      </c>
      <c r="DE298" s="37" t="n">
        <f aca="false">DE297</f>
        <v>0</v>
      </c>
    </row>
    <row r="299" customFormat="false" ht="19.5" hidden="false" customHeight="true" outlineLevel="0" collapsed="false">
      <c r="A299" s="36"/>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c r="AE299" s="37"/>
      <c r="AF299" s="37"/>
      <c r="AG299" s="37"/>
      <c r="AH299" s="37"/>
      <c r="AI299" s="37"/>
      <c r="AJ299" s="37"/>
      <c r="AK299" s="37"/>
      <c r="AL299" s="37"/>
      <c r="AM299" s="37"/>
      <c r="AN299" s="37"/>
      <c r="AO299" s="37"/>
      <c r="AP299" s="37"/>
      <c r="AQ299" s="37"/>
      <c r="AR299" s="37"/>
      <c r="AS299" s="37"/>
      <c r="AT299" s="37"/>
      <c r="AU299" s="37"/>
      <c r="AV299" s="37"/>
      <c r="AW299" s="37"/>
      <c r="AX299" s="37"/>
      <c r="AY299" s="37"/>
      <c r="AZ299" s="37"/>
      <c r="BA299" s="37"/>
      <c r="BB299" s="37"/>
      <c r="BC299" s="37"/>
      <c r="BD299" s="37"/>
      <c r="BE299" s="37"/>
      <c r="BF299" s="37"/>
      <c r="BG299" s="37"/>
      <c r="BH299" s="37"/>
      <c r="BI299" s="37"/>
      <c r="BJ299" s="37"/>
      <c r="BK299" s="37"/>
      <c r="BL299" s="37"/>
      <c r="BM299" s="37"/>
      <c r="BN299" s="37"/>
      <c r="BO299" s="37"/>
      <c r="BP299" s="37"/>
      <c r="BQ299" s="37"/>
      <c r="BR299" s="37"/>
      <c r="BS299" s="37"/>
      <c r="BT299" s="37"/>
      <c r="BU299" s="37"/>
      <c r="BV299" s="37"/>
      <c r="BW299" s="37"/>
      <c r="BX299" s="37"/>
      <c r="BY299" s="37"/>
      <c r="BZ299" s="37"/>
      <c r="CA299" s="37"/>
      <c r="CB299" s="37"/>
      <c r="CC299" s="37"/>
      <c r="CD299" s="37"/>
      <c r="CE299" s="37"/>
      <c r="CF299" s="37"/>
      <c r="CG299" s="37"/>
      <c r="CH299" s="37"/>
      <c r="CI299" s="37"/>
      <c r="CJ299" s="37"/>
      <c r="CK299" s="37"/>
      <c r="CL299" s="37"/>
      <c r="CM299" s="37"/>
      <c r="CN299" s="37"/>
      <c r="CO299" s="37"/>
      <c r="CP299" s="37"/>
      <c r="CQ299" s="37"/>
      <c r="CR299" s="37"/>
      <c r="CS299" s="37"/>
      <c r="CT299" s="37"/>
      <c r="CU299" s="37"/>
      <c r="CV299" s="37"/>
      <c r="CW299" s="37"/>
      <c r="CX299" s="37"/>
      <c r="CY299" s="37"/>
      <c r="CZ299" s="37"/>
      <c r="DA299" s="37"/>
      <c r="DB299" s="37"/>
      <c r="DC299" s="37"/>
      <c r="DD299" s="37"/>
      <c r="DE299" s="37"/>
    </row>
    <row r="300" customFormat="false" ht="15" hidden="false" customHeight="true" outlineLevel="0" collapsed="false">
      <c r="A300" s="27"/>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c r="AJ300" s="13"/>
      <c r="AK300" s="13"/>
      <c r="AL300" s="13"/>
      <c r="AM300" s="13"/>
      <c r="AN300" s="13"/>
      <c r="AO300" s="13"/>
      <c r="AP300" s="13"/>
      <c r="AQ300" s="13"/>
      <c r="AR300" s="13"/>
      <c r="AS300" s="13"/>
      <c r="AT300" s="13"/>
      <c r="AU300" s="13"/>
      <c r="AV300" s="13"/>
      <c r="AW300" s="13"/>
      <c r="AX300" s="13"/>
      <c r="AY300" s="13"/>
      <c r="AZ300" s="13"/>
      <c r="BA300" s="13"/>
      <c r="BB300" s="13"/>
      <c r="BC300" s="13"/>
      <c r="BD300" s="13"/>
      <c r="BE300" s="13"/>
      <c r="BF300" s="13"/>
      <c r="BG300" s="13"/>
      <c r="BH300" s="13"/>
      <c r="BI300" s="13"/>
      <c r="BJ300" s="13"/>
      <c r="BK300" s="13"/>
      <c r="BL300" s="13"/>
      <c r="BM300" s="13"/>
      <c r="BN300" s="13"/>
      <c r="BO300" s="13"/>
      <c r="BP300" s="13"/>
      <c r="BQ300" s="13"/>
      <c r="BR300" s="13"/>
      <c r="BS300" s="13"/>
      <c r="BT300" s="13"/>
      <c r="BU300" s="13"/>
      <c r="BV300" s="13"/>
      <c r="BW300" s="13"/>
      <c r="BX300" s="13"/>
      <c r="BY300" s="13"/>
      <c r="BZ300" s="13"/>
      <c r="CA300" s="13"/>
      <c r="CB300" s="13"/>
      <c r="CC300" s="13"/>
      <c r="CD300" s="13"/>
      <c r="CE300" s="13"/>
      <c r="CF300" s="13"/>
      <c r="CG300" s="13"/>
      <c r="CH300" s="13"/>
      <c r="CI300" s="13"/>
      <c r="CJ300" s="13"/>
      <c r="CK300" s="13"/>
      <c r="CL300" s="13"/>
      <c r="CM300" s="13"/>
      <c r="CN300" s="13"/>
      <c r="CO300" s="13"/>
      <c r="CP300" s="13"/>
      <c r="CQ300" s="13"/>
      <c r="CR300" s="13"/>
      <c r="CS300" s="13"/>
      <c r="CT300" s="13"/>
      <c r="CU300" s="13"/>
      <c r="CV300" s="13"/>
      <c r="CW300" s="13"/>
      <c r="CX300" s="13"/>
      <c r="CY300" s="13"/>
      <c r="CZ300" s="13"/>
      <c r="DA300" s="13"/>
      <c r="DB300" s="13"/>
      <c r="DC300" s="13"/>
      <c r="DD300" s="13"/>
      <c r="DE300" s="13"/>
    </row>
    <row r="301" customFormat="false" ht="15" hidden="false" customHeight="true" outlineLevel="0" collapsed="false">
      <c r="A301" s="38" t="s">
        <v>146</v>
      </c>
      <c r="B301" s="39"/>
      <c r="C301" s="39"/>
      <c r="D301" s="39"/>
      <c r="E301" s="39"/>
      <c r="F301" s="39"/>
      <c r="G301" s="39"/>
      <c r="H301" s="39"/>
      <c r="I301" s="39"/>
      <c r="J301" s="39"/>
      <c r="K301" s="39"/>
      <c r="L301" s="39"/>
      <c r="M301" s="39"/>
      <c r="N301" s="39"/>
      <c r="O301" s="39"/>
      <c r="P301" s="39"/>
      <c r="Q301" s="39"/>
      <c r="R301" s="39"/>
      <c r="S301" s="39"/>
      <c r="T301" s="39"/>
      <c r="U301" s="39"/>
      <c r="V301" s="39"/>
      <c r="W301" s="39"/>
      <c r="X301" s="39"/>
      <c r="Y301" s="39"/>
      <c r="Z301" s="39"/>
      <c r="AA301" s="39"/>
      <c r="AB301" s="39"/>
      <c r="AC301" s="39"/>
      <c r="AD301" s="39"/>
      <c r="AE301" s="39"/>
      <c r="AF301" s="39"/>
      <c r="AG301" s="39"/>
      <c r="AH301" s="39"/>
      <c r="AI301" s="39"/>
      <c r="AJ301" s="39"/>
      <c r="AK301" s="39"/>
      <c r="AL301" s="39"/>
      <c r="AM301" s="39"/>
      <c r="AN301" s="39"/>
      <c r="AO301" s="39"/>
      <c r="AP301" s="39"/>
      <c r="AQ301" s="39"/>
      <c r="AR301" s="39"/>
      <c r="AS301" s="39"/>
      <c r="AT301" s="39"/>
      <c r="AU301" s="39"/>
      <c r="AV301" s="39"/>
      <c r="AW301" s="39"/>
      <c r="AX301" s="39"/>
      <c r="AY301" s="39"/>
      <c r="AZ301" s="39"/>
      <c r="BA301" s="39"/>
      <c r="BB301" s="39"/>
      <c r="BC301" s="39"/>
      <c r="BD301" s="39"/>
      <c r="BE301" s="39"/>
      <c r="BF301" s="39"/>
      <c r="BG301" s="39"/>
      <c r="BH301" s="39"/>
      <c r="BI301" s="39"/>
      <c r="BJ301" s="39"/>
      <c r="BK301" s="39"/>
      <c r="BL301" s="39"/>
      <c r="BM301" s="39"/>
      <c r="BN301" s="39"/>
      <c r="BO301" s="39"/>
      <c r="BP301" s="39"/>
      <c r="BQ301" s="39"/>
      <c r="BR301" s="39"/>
      <c r="BS301" s="39"/>
      <c r="BT301" s="39"/>
      <c r="BU301" s="39"/>
      <c r="BV301" s="39"/>
      <c r="BW301" s="39"/>
      <c r="BX301" s="39"/>
      <c r="BY301" s="39"/>
      <c r="BZ301" s="39"/>
      <c r="CA301" s="39"/>
      <c r="CB301" s="39"/>
      <c r="CC301" s="39"/>
      <c r="CD301" s="39"/>
      <c r="CE301" s="39"/>
      <c r="CF301" s="39"/>
      <c r="CG301" s="39"/>
      <c r="CH301" s="39"/>
      <c r="CI301" s="39"/>
      <c r="CJ301" s="39"/>
      <c r="CK301" s="39"/>
      <c r="CL301" s="39"/>
      <c r="CM301" s="39"/>
      <c r="CN301" s="39"/>
      <c r="CO301" s="39"/>
      <c r="CP301" s="39"/>
      <c r="CQ301" s="39"/>
      <c r="CR301" s="39"/>
      <c r="CS301" s="39"/>
      <c r="CT301" s="39"/>
      <c r="CU301" s="39"/>
      <c r="CV301" s="39"/>
      <c r="CW301" s="39"/>
      <c r="CX301" s="39"/>
      <c r="CY301" s="39"/>
      <c r="CZ301" s="39"/>
      <c r="DA301" s="39"/>
      <c r="DB301" s="39"/>
      <c r="DC301" s="39"/>
      <c r="DD301" s="39"/>
      <c r="DE301" s="39"/>
    </row>
    <row r="302" customFormat="false" ht="15" hidden="false" customHeight="true" outlineLevel="0" collapsed="false">
      <c r="A302" s="40" t="s">
        <v>147</v>
      </c>
      <c r="B302" s="13" t="n">
        <f aca="false">B199</f>
        <v>218756.86</v>
      </c>
      <c r="C302" s="13" t="n">
        <f aca="false">C199</f>
        <v>-51000.77</v>
      </c>
      <c r="D302" s="13" t="n">
        <f aca="false">D199</f>
        <v>594184.52</v>
      </c>
      <c r="E302" s="13" t="n">
        <f aca="false">E199</f>
        <v>447358.25</v>
      </c>
      <c r="F302" s="13" t="n">
        <f aca="false">F199</f>
        <v>465536.7</v>
      </c>
      <c r="G302" s="13" t="n">
        <f aca="false">G199</f>
        <v>641351.13</v>
      </c>
      <c r="H302" s="13" t="n">
        <f aca="false">H199</f>
        <v>1766649.51</v>
      </c>
      <c r="I302" s="13" t="n">
        <f aca="false">I199</f>
        <v>560735.39</v>
      </c>
      <c r="J302" s="13" t="n">
        <f aca="false">J199</f>
        <v>343866.884875</v>
      </c>
      <c r="K302" s="13" t="n">
        <f aca="false">K199</f>
        <v>506626.420000001</v>
      </c>
      <c r="L302" s="13" t="n">
        <f aca="false">L199</f>
        <v>447906.98</v>
      </c>
      <c r="M302" s="13" t="n">
        <f aca="false">M199</f>
        <v>155930.769815271</v>
      </c>
      <c r="N302" s="13" t="n">
        <f aca="false">N199</f>
        <v>656618.90671865</v>
      </c>
      <c r="O302" s="13" t="n">
        <f aca="false">O199</f>
        <v>685879.923199601</v>
      </c>
      <c r="P302" s="13" t="n">
        <f aca="false">P199</f>
        <v>704354.5431996</v>
      </c>
      <c r="Q302" s="13" t="n">
        <f aca="false">Q199</f>
        <v>465600.968358315</v>
      </c>
      <c r="R302" s="13" t="n">
        <f aca="false">R199</f>
        <v>649732.106522535</v>
      </c>
      <c r="S302" s="13" t="n">
        <f aca="false">S199</f>
        <v>552549.65611158</v>
      </c>
      <c r="T302" s="13" t="n">
        <f aca="false">T199</f>
        <v>1219348.63562138</v>
      </c>
      <c r="U302" s="13" t="n">
        <f aca="false">U199</f>
        <v>1115646.57562138</v>
      </c>
      <c r="V302" s="13" t="n">
        <f aca="false">V199</f>
        <v>1035118.95433943</v>
      </c>
      <c r="W302" s="13" t="n">
        <f aca="false">W199</f>
        <v>1066831.35902298</v>
      </c>
      <c r="X302" s="13" t="n">
        <f aca="false">X199</f>
        <v>1460388.59488505</v>
      </c>
      <c r="Y302" s="13" t="n">
        <f aca="false">Y199</f>
        <v>1276861.67488505</v>
      </c>
      <c r="Z302" s="13" t="n">
        <f aca="false">Z199</f>
        <v>1376788.67488505</v>
      </c>
      <c r="AA302" s="13" t="n">
        <f aca="false">AA199</f>
        <v>1286621.73488504</v>
      </c>
      <c r="AB302" s="13" t="n">
        <f aca="false">AB199</f>
        <v>1148487.46488504</v>
      </c>
      <c r="AC302" s="13" t="n">
        <f aca="false">AC199</f>
        <v>1052250.62488505</v>
      </c>
      <c r="AD302" s="13" t="n">
        <f aca="false">AD199</f>
        <v>1074816.66488505</v>
      </c>
      <c r="AE302" s="13" t="n">
        <f aca="false">AE199</f>
        <v>490686.642797927</v>
      </c>
      <c r="AF302" s="13" t="n">
        <f aca="false">AF199</f>
        <v>1381944.11247225</v>
      </c>
      <c r="AG302" s="13" t="n">
        <f aca="false">AG199</f>
        <v>1315343.61551589</v>
      </c>
      <c r="AH302" s="13" t="n">
        <f aca="false">AH199</f>
        <v>1291962.49019074</v>
      </c>
      <c r="AI302" s="13" t="n">
        <f aca="false">AI199</f>
        <v>1053714.82282632</v>
      </c>
      <c r="AJ302" s="13" t="n">
        <f aca="false">AJ199</f>
        <v>1002591.84222206</v>
      </c>
      <c r="AK302" s="13" t="n">
        <f aca="false">AK199</f>
        <v>839100.233430564</v>
      </c>
      <c r="AL302" s="13" t="n">
        <f aca="false">AL199</f>
        <v>853170.943430563</v>
      </c>
      <c r="AM302" s="13" t="n">
        <f aca="false">AM199</f>
        <v>864853.983430562</v>
      </c>
      <c r="AN302" s="13" t="n">
        <f aca="false">AN199</f>
        <v>843781.735535311</v>
      </c>
      <c r="AO302" s="13" t="n">
        <f aca="false">AO199</f>
        <v>715834.423625813</v>
      </c>
      <c r="AP302" s="13" t="n">
        <f aca="false">AP199</f>
        <v>678822.648593563</v>
      </c>
      <c r="AQ302" s="13" t="n">
        <f aca="false">AQ199</f>
        <v>449496.249784677</v>
      </c>
      <c r="AR302" s="13" t="n">
        <f aca="false">AR199</f>
        <v>449496.249784677</v>
      </c>
      <c r="AS302" s="13" t="n">
        <f aca="false">AS199</f>
        <v>449496.249784677</v>
      </c>
      <c r="AT302" s="13" t="n">
        <f aca="false">AT199</f>
        <v>600143.498027517</v>
      </c>
      <c r="AU302" s="13" t="n">
        <f aca="false">AU199</f>
        <v>330233.844925764</v>
      </c>
      <c r="AV302" s="13" t="n">
        <f aca="false">AV199</f>
        <v>602719.430279263</v>
      </c>
      <c r="AW302" s="13" t="n">
        <f aca="false">AW199</f>
        <v>157659.640868547</v>
      </c>
      <c r="AX302" s="13" t="n">
        <f aca="false">AX199</f>
        <v>157659.640868547</v>
      </c>
      <c r="AY302" s="13" t="n">
        <f aca="false">AY199</f>
        <v>157659.640868547</v>
      </c>
      <c r="AZ302" s="13" t="n">
        <f aca="false">AZ199</f>
        <v>157659.640868547</v>
      </c>
      <c r="BA302" s="13" t="n">
        <f aca="false">BA199</f>
        <v>157659.640868547</v>
      </c>
      <c r="BB302" s="13" t="n">
        <f aca="false">BB199</f>
        <v>157659.640868547</v>
      </c>
      <c r="BC302" s="13" t="n">
        <f aca="false">BC199</f>
        <v>157659.640868547</v>
      </c>
      <c r="BD302" s="13" t="n">
        <f aca="false">BD199</f>
        <v>157659.640868547</v>
      </c>
      <c r="BE302" s="13" t="n">
        <f aca="false">BE199</f>
        <v>157659.640868547</v>
      </c>
      <c r="BF302" s="13" t="n">
        <f aca="false">BF199</f>
        <v>157659.640868547</v>
      </c>
      <c r="BG302" s="13" t="n">
        <f aca="false">BG199</f>
        <v>157659.640868547</v>
      </c>
      <c r="BH302" s="13" t="n">
        <f aca="false">BH199</f>
        <v>406595.915924147</v>
      </c>
      <c r="BI302" s="13" t="n">
        <f aca="false">BI199</f>
        <v>0</v>
      </c>
      <c r="BJ302" s="13" t="n">
        <f aca="false">BJ199</f>
        <v>0</v>
      </c>
      <c r="BK302" s="13" t="n">
        <f aca="false">BK199</f>
        <v>0</v>
      </c>
      <c r="BL302" s="13" t="n">
        <f aca="false">BL199</f>
        <v>0</v>
      </c>
      <c r="BM302" s="13" t="n">
        <f aca="false">BM199</f>
        <v>0</v>
      </c>
      <c r="BN302" s="13" t="n">
        <f aca="false">BN199</f>
        <v>0</v>
      </c>
      <c r="BO302" s="13" t="n">
        <f aca="false">BO199</f>
        <v>0</v>
      </c>
      <c r="BP302" s="13" t="n">
        <f aca="false">BP199</f>
        <v>0</v>
      </c>
      <c r="BQ302" s="13" t="n">
        <f aca="false">BQ199</f>
        <v>0</v>
      </c>
      <c r="BR302" s="13" t="n">
        <f aca="false">BR199</f>
        <v>0</v>
      </c>
      <c r="BS302" s="13" t="n">
        <f aca="false">BS199</f>
        <v>0</v>
      </c>
      <c r="BT302" s="13" t="n">
        <f aca="false">BT199</f>
        <v>0</v>
      </c>
      <c r="BU302" s="13" t="n">
        <f aca="false">BU199</f>
        <v>0</v>
      </c>
      <c r="BV302" s="13" t="n">
        <f aca="false">BV199</f>
        <v>0</v>
      </c>
      <c r="BW302" s="13" t="n">
        <f aca="false">BW199</f>
        <v>0</v>
      </c>
      <c r="BX302" s="13" t="n">
        <f aca="false">BX199</f>
        <v>0</v>
      </c>
      <c r="BY302" s="13" t="n">
        <f aca="false">BY199</f>
        <v>0</v>
      </c>
      <c r="BZ302" s="13" t="n">
        <f aca="false">BZ199</f>
        <v>0</v>
      </c>
      <c r="CA302" s="13" t="n">
        <f aca="false">CA199</f>
        <v>0</v>
      </c>
      <c r="CB302" s="13" t="n">
        <f aca="false">CB199</f>
        <v>0</v>
      </c>
      <c r="CC302" s="13" t="n">
        <f aca="false">CC199</f>
        <v>0</v>
      </c>
      <c r="CD302" s="13" t="n">
        <f aca="false">CD199</f>
        <v>0</v>
      </c>
      <c r="CE302" s="13" t="n">
        <f aca="false">CE199</f>
        <v>0</v>
      </c>
      <c r="CF302" s="13" t="n">
        <f aca="false">CF199</f>
        <v>0</v>
      </c>
      <c r="CG302" s="13" t="n">
        <f aca="false">CG199</f>
        <v>0</v>
      </c>
      <c r="CH302" s="13" t="n">
        <f aca="false">CH199</f>
        <v>0</v>
      </c>
      <c r="CI302" s="13" t="n">
        <f aca="false">CI199</f>
        <v>0</v>
      </c>
      <c r="CJ302" s="13" t="n">
        <f aca="false">CJ199</f>
        <v>0</v>
      </c>
      <c r="CK302" s="13" t="n">
        <f aca="false">CK199</f>
        <v>0</v>
      </c>
      <c r="CL302" s="13" t="n">
        <f aca="false">CL199</f>
        <v>0</v>
      </c>
      <c r="CM302" s="13" t="n">
        <f aca="false">CM199</f>
        <v>0</v>
      </c>
      <c r="CN302" s="13" t="n">
        <f aca="false">CN199</f>
        <v>0</v>
      </c>
      <c r="CO302" s="13" t="n">
        <f aca="false">CO199</f>
        <v>0</v>
      </c>
      <c r="CP302" s="13" t="n">
        <f aca="false">CP199</f>
        <v>0</v>
      </c>
      <c r="CQ302" s="13" t="n">
        <f aca="false">CQ199</f>
        <v>0</v>
      </c>
      <c r="CR302" s="13" t="n">
        <f aca="false">CR199</f>
        <v>0</v>
      </c>
      <c r="CS302" s="13" t="n">
        <f aca="false">CS199</f>
        <v>0</v>
      </c>
      <c r="CT302" s="13" t="n">
        <f aca="false">CT199</f>
        <v>0</v>
      </c>
      <c r="CU302" s="13" t="n">
        <f aca="false">CU199</f>
        <v>0</v>
      </c>
      <c r="CV302" s="13" t="n">
        <f aca="false">CV199</f>
        <v>0</v>
      </c>
      <c r="CW302" s="13" t="n">
        <f aca="false">CW199</f>
        <v>0</v>
      </c>
      <c r="CX302" s="13" t="n">
        <f aca="false">CX199</f>
        <v>0</v>
      </c>
      <c r="CY302" s="13" t="n">
        <f aca="false">CY199</f>
        <v>0</v>
      </c>
      <c r="CZ302" s="13" t="n">
        <f aca="false">CZ199</f>
        <v>0</v>
      </c>
      <c r="DA302" s="13" t="n">
        <f aca="false">DA199</f>
        <v>0</v>
      </c>
      <c r="DB302" s="13" t="n">
        <f aca="false">DB199</f>
        <v>0</v>
      </c>
      <c r="DC302" s="13" t="n">
        <f aca="false">DC199</f>
        <v>0</v>
      </c>
      <c r="DD302" s="13" t="n">
        <f aca="false">DD199</f>
        <v>0</v>
      </c>
      <c r="DE302" s="13" t="n">
        <f aca="false">DE199</f>
        <v>0</v>
      </c>
    </row>
    <row r="303" customFormat="false" ht="15" hidden="false" customHeight="true" outlineLevel="0" collapsed="false">
      <c r="A303" s="40" t="s">
        <v>100</v>
      </c>
      <c r="B303" s="13" t="n">
        <f aca="false">B261</f>
        <v>34114.58</v>
      </c>
      <c r="C303" s="13" t="n">
        <f aca="false">C261</f>
        <v>34114.58</v>
      </c>
      <c r="D303" s="13" t="n">
        <f aca="false">D261</f>
        <v>34114.58</v>
      </c>
      <c r="E303" s="13" t="n">
        <f aca="false">E261</f>
        <v>34114.58</v>
      </c>
      <c r="F303" s="13" t="n">
        <f aca="false">F261</f>
        <v>34114.58</v>
      </c>
      <c r="G303" s="13" t="n">
        <f aca="false">G261</f>
        <v>333114.58</v>
      </c>
      <c r="H303" s="13" t="n">
        <f aca="false">H261</f>
        <v>78114.58</v>
      </c>
      <c r="I303" s="13" t="n">
        <f aca="false">I261</f>
        <v>180628.58</v>
      </c>
      <c r="J303" s="13" t="n">
        <f aca="false">J261</f>
        <v>41247.92</v>
      </c>
      <c r="K303" s="13" t="n">
        <f aca="false">K261</f>
        <v>42781.25</v>
      </c>
      <c r="L303" s="13" t="n">
        <f aca="false">L261</f>
        <v>33406.25</v>
      </c>
      <c r="M303" s="13" t="n">
        <f aca="false">M261</f>
        <v>33406.25</v>
      </c>
      <c r="N303" s="13" t="n">
        <f aca="false">N261</f>
        <v>36564.1447368421</v>
      </c>
      <c r="O303" s="13" t="n">
        <f aca="false">O261</f>
        <v>39722.0394736842</v>
      </c>
      <c r="P303" s="13" t="n">
        <f aca="false">P261</f>
        <v>39722.0394736842</v>
      </c>
      <c r="Q303" s="13" t="n">
        <f aca="false">Q261</f>
        <v>39722.0394736842</v>
      </c>
      <c r="R303" s="13" t="n">
        <f aca="false">R261</f>
        <v>39722.0394736842</v>
      </c>
      <c r="S303" s="13" t="n">
        <f aca="false">S261</f>
        <v>39722.0394736842</v>
      </c>
      <c r="T303" s="13" t="n">
        <f aca="false">T261</f>
        <v>15815.7894736842</v>
      </c>
      <c r="U303" s="13" t="n">
        <f aca="false">U261</f>
        <v>15815.7894736842</v>
      </c>
      <c r="V303" s="13" t="n">
        <f aca="false">V261</f>
        <v>15815.7894736842</v>
      </c>
      <c r="W303" s="13" t="n">
        <f aca="false">W261</f>
        <v>15815.7894736842</v>
      </c>
      <c r="X303" s="13" t="n">
        <f aca="false">X261</f>
        <v>15815.7894736842</v>
      </c>
      <c r="Y303" s="13" t="n">
        <f aca="false">Y261</f>
        <v>73190.7894736842</v>
      </c>
      <c r="Z303" s="13" t="n">
        <f aca="false">Z261</f>
        <v>15815.7894736842</v>
      </c>
      <c r="AA303" s="13" t="n">
        <f aca="false">AA261</f>
        <v>15815.7894736842</v>
      </c>
      <c r="AB303" s="13" t="n">
        <f aca="false">AB261</f>
        <v>73190.7894736842</v>
      </c>
      <c r="AC303" s="13" t="n">
        <f aca="false">AC261</f>
        <v>15815.7894736842</v>
      </c>
      <c r="AD303" s="13" t="n">
        <f aca="false">AD261</f>
        <v>15815.7894736842</v>
      </c>
      <c r="AE303" s="13" t="n">
        <f aca="false">AE261</f>
        <v>73190.7894736842</v>
      </c>
      <c r="AF303" s="13" t="n">
        <f aca="false">AF261</f>
        <v>15815.7894736842</v>
      </c>
      <c r="AG303" s="13" t="n">
        <f aca="false">AG261</f>
        <v>12657.8947368421</v>
      </c>
      <c r="AH303" s="13" t="n">
        <f aca="false">AH261</f>
        <v>9500</v>
      </c>
      <c r="AI303" s="13" t="n">
        <f aca="false">AI261</f>
        <v>0</v>
      </c>
      <c r="AJ303" s="13" t="n">
        <f aca="false">AJ261</f>
        <v>0</v>
      </c>
      <c r="AK303" s="13" t="n">
        <f aca="false">AK261</f>
        <v>0</v>
      </c>
      <c r="AL303" s="13" t="n">
        <f aca="false">AL261</f>
        <v>0</v>
      </c>
      <c r="AM303" s="13" t="n">
        <f aca="false">AM261</f>
        <v>0</v>
      </c>
      <c r="AN303" s="13" t="n">
        <f aca="false">AN261</f>
        <v>0</v>
      </c>
      <c r="AO303" s="13" t="n">
        <f aca="false">AO261</f>
        <v>0</v>
      </c>
      <c r="AP303" s="13" t="n">
        <f aca="false">AP261</f>
        <v>0</v>
      </c>
      <c r="AQ303" s="13" t="n">
        <f aca="false">AQ261</f>
        <v>0</v>
      </c>
      <c r="AR303" s="13" t="n">
        <f aca="false">AR261</f>
        <v>0</v>
      </c>
      <c r="AS303" s="13" t="n">
        <f aca="false">AS261</f>
        <v>0</v>
      </c>
      <c r="AT303" s="13" t="n">
        <f aca="false">AT261</f>
        <v>81683</v>
      </c>
      <c r="AU303" s="13" t="n">
        <f aca="false">AU261</f>
        <v>0</v>
      </c>
      <c r="AV303" s="13" t="n">
        <f aca="false">AV261</f>
        <v>0</v>
      </c>
      <c r="AW303" s="13" t="n">
        <f aca="false">AW261</f>
        <v>81682</v>
      </c>
      <c r="AX303" s="13" t="n">
        <f aca="false">AX261</f>
        <v>0</v>
      </c>
      <c r="AY303" s="13" t="n">
        <f aca="false">AY261</f>
        <v>0</v>
      </c>
      <c r="AZ303" s="13" t="n">
        <f aca="false">AZ261</f>
        <v>81682</v>
      </c>
      <c r="BA303" s="13" t="n">
        <f aca="false">BA261</f>
        <v>0</v>
      </c>
      <c r="BB303" s="13" t="n">
        <f aca="false">BB261</f>
        <v>0</v>
      </c>
      <c r="BC303" s="13" t="n">
        <f aca="false">BC261</f>
        <v>933521</v>
      </c>
      <c r="BD303" s="13" t="n">
        <f aca="false">BD261</f>
        <v>0</v>
      </c>
      <c r="BE303" s="13" t="n">
        <f aca="false">BE261</f>
        <v>0</v>
      </c>
      <c r="BF303" s="13" t="n">
        <f aca="false">BF261</f>
        <v>130878</v>
      </c>
      <c r="BG303" s="13" t="n">
        <f aca="false">BG261</f>
        <v>0</v>
      </c>
      <c r="BH303" s="13" t="n">
        <f aca="false">BH261</f>
        <v>0</v>
      </c>
      <c r="BI303" s="13" t="n">
        <f aca="false">BI261</f>
        <v>130876</v>
      </c>
      <c r="BJ303" s="13" t="n">
        <f aca="false">BJ261</f>
        <v>0</v>
      </c>
      <c r="BK303" s="13" t="n">
        <f aca="false">BK261</f>
        <v>0</v>
      </c>
      <c r="BL303" s="13" t="n">
        <f aca="false">BL261</f>
        <v>130876</v>
      </c>
      <c r="BM303" s="13" t="n">
        <f aca="false">BM261</f>
        <v>0</v>
      </c>
      <c r="BN303" s="13" t="n">
        <f aca="false">BN261</f>
        <v>0</v>
      </c>
      <c r="BO303" s="13" t="n">
        <f aca="false">BO261</f>
        <v>130876</v>
      </c>
      <c r="BP303" s="13" t="n">
        <f aca="false">BP261</f>
        <v>0</v>
      </c>
      <c r="BQ303" s="13" t="n">
        <f aca="false">BQ261</f>
        <v>0</v>
      </c>
      <c r="BR303" s="13" t="n">
        <f aca="false">BR261</f>
        <v>142406</v>
      </c>
      <c r="BS303" s="13" t="n">
        <f aca="false">BS261</f>
        <v>0</v>
      </c>
      <c r="BT303" s="13" t="n">
        <f aca="false">BT261</f>
        <v>0</v>
      </c>
      <c r="BU303" s="13" t="n">
        <f aca="false">BU261</f>
        <v>142402</v>
      </c>
      <c r="BV303" s="13" t="n">
        <f aca="false">BV261</f>
        <v>0</v>
      </c>
      <c r="BW303" s="13" t="n">
        <f aca="false">BW261</f>
        <v>0</v>
      </c>
      <c r="BX303" s="13" t="n">
        <f aca="false">BX261</f>
        <v>142402</v>
      </c>
      <c r="BY303" s="13" t="n">
        <f aca="false">BY261</f>
        <v>0</v>
      </c>
      <c r="BZ303" s="13" t="n">
        <f aca="false">BZ261</f>
        <v>0</v>
      </c>
      <c r="CA303" s="13" t="n">
        <f aca="false">CA261</f>
        <v>215558</v>
      </c>
      <c r="CB303" s="13" t="n">
        <f aca="false">CB261</f>
        <v>0</v>
      </c>
      <c r="CC303" s="13" t="n">
        <f aca="false">CC261</f>
        <v>0</v>
      </c>
      <c r="CD303" s="13" t="n">
        <f aca="false">CD261</f>
        <v>231017</v>
      </c>
      <c r="CE303" s="13" t="n">
        <f aca="false">CE261</f>
        <v>0</v>
      </c>
      <c r="CF303" s="13" t="n">
        <f aca="false">CF261</f>
        <v>0</v>
      </c>
      <c r="CG303" s="13" t="n">
        <f aca="false">CG261</f>
        <v>231016</v>
      </c>
      <c r="CH303" s="13" t="n">
        <f aca="false">CH261</f>
        <v>0</v>
      </c>
      <c r="CI303" s="13" t="n">
        <f aca="false">CI261</f>
        <v>0</v>
      </c>
      <c r="CJ303" s="13" t="n">
        <f aca="false">CJ261</f>
        <v>231016</v>
      </c>
      <c r="CK303" s="13" t="n">
        <f aca="false">CK261</f>
        <v>231016</v>
      </c>
      <c r="CL303" s="13" t="n">
        <f aca="false">CL261</f>
        <v>231016</v>
      </c>
      <c r="CM303" s="13" t="n">
        <f aca="false">CM261</f>
        <v>231016</v>
      </c>
      <c r="CN303" s="13" t="n">
        <f aca="false">CN261</f>
        <v>231016</v>
      </c>
      <c r="CO303" s="13" t="n">
        <f aca="false">CO261</f>
        <v>231016</v>
      </c>
      <c r="CP303" s="13" t="n">
        <f aca="false">CP261</f>
        <v>231016</v>
      </c>
      <c r="CQ303" s="13" t="n">
        <f aca="false">CQ261</f>
        <v>231016</v>
      </c>
      <c r="CR303" s="13" t="n">
        <f aca="false">CR261</f>
        <v>231016</v>
      </c>
      <c r="CS303" s="13" t="n">
        <f aca="false">CS261</f>
        <v>231016</v>
      </c>
      <c r="CT303" s="13" t="n">
        <f aca="false">CT261</f>
        <v>231016</v>
      </c>
      <c r="CU303" s="13" t="n">
        <f aca="false">CU261</f>
        <v>231016</v>
      </c>
      <c r="CV303" s="13" t="n">
        <f aca="false">CV261</f>
        <v>231016</v>
      </c>
      <c r="CW303" s="13" t="n">
        <f aca="false">CW261</f>
        <v>231016</v>
      </c>
      <c r="CX303" s="13" t="n">
        <f aca="false">CX261</f>
        <v>231016</v>
      </c>
      <c r="CY303" s="13" t="n">
        <f aca="false">CY261</f>
        <v>231016</v>
      </c>
      <c r="CZ303" s="13" t="n">
        <f aca="false">CZ261</f>
        <v>231016</v>
      </c>
      <c r="DA303" s="13" t="n">
        <f aca="false">DA261</f>
        <v>231016</v>
      </c>
      <c r="DB303" s="13" t="n">
        <f aca="false">DB261</f>
        <v>231016</v>
      </c>
      <c r="DC303" s="13" t="n">
        <f aca="false">DC261</f>
        <v>231016</v>
      </c>
      <c r="DD303" s="13" t="n">
        <f aca="false">DD261</f>
        <v>231016</v>
      </c>
      <c r="DE303" s="13" t="n">
        <f aca="false">DE261</f>
        <v>231016</v>
      </c>
    </row>
    <row r="304" customFormat="false" ht="15" hidden="false" customHeight="true" outlineLevel="0" collapsed="false">
      <c r="A304" s="41" t="s">
        <v>148</v>
      </c>
      <c r="B304" s="30" t="n">
        <f aca="false">B302+B303+B295</f>
        <v>252871.44</v>
      </c>
      <c r="C304" s="30" t="n">
        <f aca="false">C302+C303+C295</f>
        <v>-16886.19</v>
      </c>
      <c r="D304" s="30" t="n">
        <f aca="false">D302+D303+D295</f>
        <v>628299.1</v>
      </c>
      <c r="E304" s="30" t="n">
        <f aca="false">E302+E303+E295</f>
        <v>481472.830000001</v>
      </c>
      <c r="F304" s="30" t="n">
        <f aca="false">F302+F303+F295</f>
        <v>499651.28</v>
      </c>
      <c r="G304" s="30" t="n">
        <f aca="false">G302+G303+G295</f>
        <v>974465.71</v>
      </c>
      <c r="H304" s="30" t="n">
        <f aca="false">H302+H303+H295</f>
        <v>1844764.09</v>
      </c>
      <c r="I304" s="30" t="n">
        <f aca="false">I302+I303+I295</f>
        <v>741363.97</v>
      </c>
      <c r="J304" s="30" t="n">
        <f aca="false">J302+J303+J295</f>
        <v>385114.804875</v>
      </c>
      <c r="K304" s="30" t="n">
        <f aca="false">K302+K303+K295</f>
        <v>550515.732883334</v>
      </c>
      <c r="L304" s="30" t="n">
        <f aca="false">L302+L303+L295</f>
        <v>482421.292883334</v>
      </c>
      <c r="M304" s="30" t="n">
        <f aca="false">M302+M303+M295</f>
        <v>190445.082698605</v>
      </c>
      <c r="N304" s="30" t="n">
        <f aca="false">N302+N303+N295</f>
        <v>693183.051455492</v>
      </c>
      <c r="O304" s="30" t="n">
        <f aca="false">O302+O303+O295</f>
        <v>725601.962673285</v>
      </c>
      <c r="P304" s="30" t="n">
        <f aca="false">P302+P303+P295</f>
        <v>744991.965706284</v>
      </c>
      <c r="Q304" s="30" t="n">
        <f aca="false">Q302+Q303+Q295</f>
        <v>505323.007831999</v>
      </c>
      <c r="R304" s="30" t="n">
        <f aca="false">R302+R303+R295</f>
        <v>689454.14599622</v>
      </c>
      <c r="S304" s="30" t="n">
        <f aca="false">S302+S303+S295</f>
        <v>592271.695585264</v>
      </c>
      <c r="T304" s="30" t="n">
        <f aca="false">T302+T303+T295</f>
        <v>1235164.42509507</v>
      </c>
      <c r="U304" s="30" t="n">
        <f aca="false">U302+U303+U295</f>
        <v>1131462.36509507</v>
      </c>
      <c r="V304" s="30" t="n">
        <f aca="false">V302+V303+V295</f>
        <v>1050934.74381312</v>
      </c>
      <c r="W304" s="30" t="n">
        <f aca="false">W302+W303+W295</f>
        <v>1082647.14849666</v>
      </c>
      <c r="X304" s="30" t="n">
        <f aca="false">X302+X303+X295</f>
        <v>1476204.38435873</v>
      </c>
      <c r="Y304" s="30" t="n">
        <f aca="false">Y302+Y303+Y295</f>
        <v>1350052.46435873</v>
      </c>
      <c r="Z304" s="30" t="n">
        <f aca="false">Z302+Z303+Z295</f>
        <v>1392604.46435873</v>
      </c>
      <c r="AA304" s="30" t="n">
        <f aca="false">AA302+AA303+AA295</f>
        <v>1302437.52435873</v>
      </c>
      <c r="AB304" s="30" t="n">
        <f aca="false">AB302+AB303+AB295</f>
        <v>1221678.25435873</v>
      </c>
      <c r="AC304" s="30" t="n">
        <f aca="false">AC302+AC303+AC295</f>
        <v>1068066.41435873</v>
      </c>
      <c r="AD304" s="30" t="n">
        <f aca="false">AD302+AD303+AD295</f>
        <v>1090632.45435873</v>
      </c>
      <c r="AE304" s="30" t="n">
        <f aca="false">AE302+AE303+AE295</f>
        <v>563877.432271611</v>
      </c>
      <c r="AF304" s="30" t="n">
        <f aca="false">AF302+AF303+AF295</f>
        <v>1397759.90194593</v>
      </c>
      <c r="AG304" s="30" t="n">
        <f aca="false">AG302+AG303+AG295</f>
        <v>1328001.51025274</v>
      </c>
      <c r="AH304" s="30" t="n">
        <f aca="false">AH302+AH303+AH295</f>
        <v>1301462.49019074</v>
      </c>
      <c r="AI304" s="30" t="n">
        <f aca="false">AI302+AI303+AI295</f>
        <v>1053714.82282632</v>
      </c>
      <c r="AJ304" s="30" t="n">
        <f aca="false">AJ302+AJ303+AJ295</f>
        <v>1002591.84222206</v>
      </c>
      <c r="AK304" s="30" t="n">
        <f aca="false">AK302+AK303+AK295</f>
        <v>839100.233430564</v>
      </c>
      <c r="AL304" s="30" t="n">
        <f aca="false">AL302+AL303+AL295</f>
        <v>853170.943430563</v>
      </c>
      <c r="AM304" s="30" t="n">
        <f aca="false">AM302+AM303+AM295</f>
        <v>864853.983430562</v>
      </c>
      <c r="AN304" s="30" t="n">
        <f aca="false">AN302+AN303+AN295</f>
        <v>843781.735535311</v>
      </c>
      <c r="AO304" s="30" t="n">
        <f aca="false">AO302+AO303+AO295</f>
        <v>715834.423625813</v>
      </c>
      <c r="AP304" s="30" t="n">
        <f aca="false">AP302+AP303+AP295</f>
        <v>678822.648593563</v>
      </c>
      <c r="AQ304" s="30" t="n">
        <f aca="false">AQ302+AQ303+AQ295</f>
        <v>449496.249784677</v>
      </c>
      <c r="AR304" s="30" t="n">
        <f aca="false">AR302+AR303+AR295</f>
        <v>449496.249784677</v>
      </c>
      <c r="AS304" s="30" t="n">
        <f aca="false">AS302+AS303+AS295</f>
        <v>449496.249784677</v>
      </c>
      <c r="AT304" s="30" t="n">
        <f aca="false">AT302+AT303+AT295</f>
        <v>681826.498027517</v>
      </c>
      <c r="AU304" s="30" t="n">
        <f aca="false">AU302+AU303+AU295</f>
        <v>330233.844925764</v>
      </c>
      <c r="AV304" s="30" t="n">
        <f aca="false">AV302+AV303+AV295</f>
        <v>602719.430279263</v>
      </c>
      <c r="AW304" s="30" t="n">
        <f aca="false">AW302+AW303+AW295</f>
        <v>239341.640868547</v>
      </c>
      <c r="AX304" s="30" t="n">
        <f aca="false">AX302+AX303+AX295</f>
        <v>157659.640868547</v>
      </c>
      <c r="AY304" s="30" t="n">
        <f aca="false">AY302+AY303+AY295</f>
        <v>157659.640868547</v>
      </c>
      <c r="AZ304" s="30" t="n">
        <f aca="false">AZ302+AZ303+AZ295</f>
        <v>239341.640868547</v>
      </c>
      <c r="BA304" s="30" t="n">
        <f aca="false">BA302+BA303+BA295</f>
        <v>157659.640868547</v>
      </c>
      <c r="BB304" s="30" t="n">
        <f aca="false">BB302+BB303+BB295</f>
        <v>157659.640868547</v>
      </c>
      <c r="BC304" s="30" t="n">
        <f aca="false">BC302+BC303+BC295</f>
        <v>1091180.64086855</v>
      </c>
      <c r="BD304" s="30" t="n">
        <f aca="false">BD302+BD303+BD295</f>
        <v>157659.640868547</v>
      </c>
      <c r="BE304" s="30" t="n">
        <f aca="false">BE302+BE303+BE295</f>
        <v>157659.640868547</v>
      </c>
      <c r="BF304" s="30" t="n">
        <f aca="false">BF302+BF303+BF295</f>
        <v>288537.640868547</v>
      </c>
      <c r="BG304" s="30" t="n">
        <f aca="false">BG302+BG303+BG295</f>
        <v>157659.640868547</v>
      </c>
      <c r="BH304" s="30" t="n">
        <f aca="false">BH302+BH303+BH295</f>
        <v>406595.915924147</v>
      </c>
      <c r="BI304" s="30" t="n">
        <f aca="false">BI302+BI303+BI295</f>
        <v>130876</v>
      </c>
      <c r="BJ304" s="30" t="n">
        <f aca="false">BJ302+BJ303+BJ295</f>
        <v>0</v>
      </c>
      <c r="BK304" s="30" t="n">
        <f aca="false">BK302+BK303+BK295</f>
        <v>0</v>
      </c>
      <c r="BL304" s="30" t="n">
        <f aca="false">BL302+BL303+BL295</f>
        <v>130876</v>
      </c>
      <c r="BM304" s="30" t="n">
        <f aca="false">BM302+BM303+BM295</f>
        <v>0</v>
      </c>
      <c r="BN304" s="30" t="n">
        <f aca="false">BN302+BN303+BN295</f>
        <v>0</v>
      </c>
      <c r="BO304" s="30" t="n">
        <f aca="false">BO302+BO303+BO295</f>
        <v>130876</v>
      </c>
      <c r="BP304" s="30" t="n">
        <f aca="false">BP302+BP303+BP295</f>
        <v>0</v>
      </c>
      <c r="BQ304" s="30" t="n">
        <f aca="false">BQ302+BQ303+BQ295</f>
        <v>0</v>
      </c>
      <c r="BR304" s="30" t="n">
        <f aca="false">BR302+BR303+BR295</f>
        <v>142406</v>
      </c>
      <c r="BS304" s="30" t="n">
        <f aca="false">BS302+BS303+BS295</f>
        <v>0</v>
      </c>
      <c r="BT304" s="30" t="n">
        <f aca="false">BT302+BT303+BT295</f>
        <v>0</v>
      </c>
      <c r="BU304" s="30" t="n">
        <f aca="false">BU302+BU303+BU295</f>
        <v>142402</v>
      </c>
      <c r="BV304" s="30" t="n">
        <f aca="false">BV302+BV303+BV295</f>
        <v>0</v>
      </c>
      <c r="BW304" s="30" t="n">
        <f aca="false">BW302+BW303+BW295</f>
        <v>0</v>
      </c>
      <c r="BX304" s="30" t="n">
        <f aca="false">BX302+BX303+BX295</f>
        <v>142402</v>
      </c>
      <c r="BY304" s="30" t="n">
        <f aca="false">BY302+BY303+BY295</f>
        <v>0</v>
      </c>
      <c r="BZ304" s="30" t="n">
        <f aca="false">BZ302+BZ303+BZ295</f>
        <v>0</v>
      </c>
      <c r="CA304" s="30" t="n">
        <f aca="false">CA302+CA303+CA295</f>
        <v>215558</v>
      </c>
      <c r="CB304" s="30" t="n">
        <f aca="false">CB302+CB303+CB295</f>
        <v>0</v>
      </c>
      <c r="CC304" s="30" t="n">
        <f aca="false">CC302+CC303+CC295</f>
        <v>0</v>
      </c>
      <c r="CD304" s="30" t="n">
        <f aca="false">CD302+CD303+CD295</f>
        <v>231017</v>
      </c>
      <c r="CE304" s="30" t="n">
        <f aca="false">CE302+CE303+CE295</f>
        <v>0</v>
      </c>
      <c r="CF304" s="30" t="n">
        <f aca="false">CF302+CF303+CF295</f>
        <v>0</v>
      </c>
      <c r="CG304" s="30" t="n">
        <f aca="false">CG302+CG303+CG295</f>
        <v>231016</v>
      </c>
      <c r="CH304" s="30" t="n">
        <f aca="false">CH302+CH303+CH295</f>
        <v>0</v>
      </c>
      <c r="CI304" s="30" t="n">
        <f aca="false">CI302+CI303+CI295</f>
        <v>0</v>
      </c>
      <c r="CJ304" s="30" t="n">
        <f aca="false">CJ302+CJ303+CJ295</f>
        <v>231016</v>
      </c>
      <c r="CK304" s="30" t="n">
        <f aca="false">CK302+CK303+CK295</f>
        <v>231016</v>
      </c>
      <c r="CL304" s="30" t="n">
        <f aca="false">CL302+CL303+CL295</f>
        <v>231016</v>
      </c>
      <c r="CM304" s="30" t="n">
        <f aca="false">CM302+CM303+CM295</f>
        <v>231016</v>
      </c>
      <c r="CN304" s="30" t="n">
        <f aca="false">CN302+CN303+CN295</f>
        <v>231016</v>
      </c>
      <c r="CO304" s="30" t="n">
        <f aca="false">CO302+CO303+CO295</f>
        <v>231016</v>
      </c>
      <c r="CP304" s="30" t="n">
        <f aca="false">CP302+CP303+CP295</f>
        <v>231016</v>
      </c>
      <c r="CQ304" s="30" t="n">
        <f aca="false">CQ302+CQ303+CQ295</f>
        <v>231016</v>
      </c>
      <c r="CR304" s="30" t="n">
        <f aca="false">CR302+CR303+CR295</f>
        <v>231016</v>
      </c>
      <c r="CS304" s="30" t="n">
        <f aca="false">CS302+CS303+CS295</f>
        <v>231016</v>
      </c>
      <c r="CT304" s="30" t="n">
        <f aca="false">CT302+CT303+CT295</f>
        <v>231016</v>
      </c>
      <c r="CU304" s="30" t="n">
        <f aca="false">CU302+CU303+CU295</f>
        <v>231016</v>
      </c>
      <c r="CV304" s="30" t="n">
        <f aca="false">CV302+CV303+CV295</f>
        <v>231016</v>
      </c>
      <c r="CW304" s="30" t="n">
        <f aca="false">CW302+CW303+CW295</f>
        <v>231016</v>
      </c>
      <c r="CX304" s="30" t="n">
        <f aca="false">CX302+CX303+CX295</f>
        <v>231016</v>
      </c>
      <c r="CY304" s="30" t="n">
        <f aca="false">CY302+CY303+CY295</f>
        <v>231016</v>
      </c>
      <c r="CZ304" s="30" t="n">
        <f aca="false">CZ302+CZ303+CZ295</f>
        <v>231016</v>
      </c>
      <c r="DA304" s="30" t="n">
        <f aca="false">DA302+DA303+DA295</f>
        <v>231016</v>
      </c>
      <c r="DB304" s="30" t="n">
        <f aca="false">DB302+DB303+DB295</f>
        <v>231016</v>
      </c>
      <c r="DC304" s="30" t="n">
        <f aca="false">DC302+DC303+DC295</f>
        <v>231016</v>
      </c>
      <c r="DD304" s="30" t="n">
        <f aca="false">DD302+DD303+DD295</f>
        <v>231016</v>
      </c>
      <c r="DE304" s="30" t="n">
        <f aca="false">DE302+DE303+DE295</f>
        <v>231016</v>
      </c>
    </row>
    <row r="305" customFormat="false" ht="15" hidden="false" customHeight="true" outlineLevel="0" collapsed="false">
      <c r="A305" s="40" t="s">
        <v>149</v>
      </c>
      <c r="B305" s="13" t="n">
        <f aca="false">B236</f>
        <v>-260601.5</v>
      </c>
      <c r="C305" s="13" t="n">
        <f aca="false">C236</f>
        <v>-260308.54</v>
      </c>
      <c r="D305" s="13" t="n">
        <f aca="false">D236</f>
        <v>-351937.74</v>
      </c>
      <c r="E305" s="13" t="n">
        <f aca="false">E236</f>
        <v>-73431.56</v>
      </c>
      <c r="F305" s="13" t="n">
        <f aca="false">F236</f>
        <v>-437914.85</v>
      </c>
      <c r="G305" s="13" t="n">
        <f aca="false">G236</f>
        <v>-323453.89</v>
      </c>
      <c r="H305" s="13" t="n">
        <f aca="false">H236</f>
        <v>-321511.57</v>
      </c>
      <c r="I305" s="13" t="n">
        <f aca="false">I236</f>
        <v>-385163.17</v>
      </c>
      <c r="J305" s="13" t="n">
        <f aca="false">J236</f>
        <v>-380731.51</v>
      </c>
      <c r="K305" s="13" t="n">
        <f aca="false">K236</f>
        <v>-403247.629666667</v>
      </c>
      <c r="L305" s="13" t="n">
        <f aca="false">L236</f>
        <v>-395747.629666667</v>
      </c>
      <c r="M305" s="13" t="n">
        <f aca="false">M236</f>
        <v>-497587.629666667</v>
      </c>
      <c r="N305" s="13" t="n">
        <f aca="false">N236</f>
        <v>-416147.838</v>
      </c>
      <c r="O305" s="13" t="n">
        <f aca="false">O236</f>
        <v>-437116.588</v>
      </c>
      <c r="P305" s="13" t="n">
        <f aca="false">P236</f>
        <v>-404241.588</v>
      </c>
      <c r="Q305" s="13" t="n">
        <f aca="false">Q236</f>
        <v>-431081.588</v>
      </c>
      <c r="R305" s="13" t="n">
        <f aca="false">R236</f>
        <v>-466890.338</v>
      </c>
      <c r="S305" s="13" t="n">
        <f aca="false">S236</f>
        <v>-541971.588</v>
      </c>
      <c r="T305" s="13" t="n">
        <f aca="false">T236</f>
        <v>-498846.588</v>
      </c>
      <c r="U305" s="13" t="n">
        <f aca="false">U236</f>
        <v>-498846.588</v>
      </c>
      <c r="V305" s="13" t="n">
        <f aca="false">V236</f>
        <v>-498846.588</v>
      </c>
      <c r="W305" s="13" t="n">
        <f aca="false">W236</f>
        <v>-592786.588</v>
      </c>
      <c r="X305" s="13" t="n">
        <f aca="false">X236</f>
        <v>-613352.41445</v>
      </c>
      <c r="Y305" s="13" t="n">
        <f aca="false">Y236</f>
        <v>-750786.588</v>
      </c>
      <c r="Z305" s="13" t="n">
        <f aca="false">Z236</f>
        <v>-562972.31976</v>
      </c>
      <c r="AA305" s="13" t="n">
        <f aca="false">AA236</f>
        <v>-562972.31976</v>
      </c>
      <c r="AB305" s="13" t="n">
        <f aca="false">AB236</f>
        <v>-562972.31976</v>
      </c>
      <c r="AC305" s="13" t="n">
        <f aca="false">AC236</f>
        <v>-558463.429375385</v>
      </c>
      <c r="AD305" s="13" t="n">
        <f aca="false">AD236</f>
        <v>-533808.696683077</v>
      </c>
      <c r="AE305" s="13" t="n">
        <f aca="false">AE236</f>
        <v>-511885.61976</v>
      </c>
      <c r="AF305" s="13" t="n">
        <f aca="false">AF236</f>
        <v>-511885.61976</v>
      </c>
      <c r="AG305" s="13" t="n">
        <f aca="false">AG236</f>
        <v>-508702.873606154</v>
      </c>
      <c r="AH305" s="13" t="n">
        <f aca="false">AH236</f>
        <v>-492027.612067692</v>
      </c>
      <c r="AI305" s="13" t="n">
        <f aca="false">AI236</f>
        <v>-479719.91976</v>
      </c>
      <c r="AJ305" s="13" t="n">
        <f aca="false">AJ236</f>
        <v>-479719.91976</v>
      </c>
      <c r="AK305" s="13" t="n">
        <f aca="false">AK236</f>
        <v>-679719.91976</v>
      </c>
      <c r="AL305" s="13" t="n">
        <f aca="false">AL236</f>
        <v>-488903.3181552</v>
      </c>
      <c r="AM305" s="13" t="n">
        <f aca="false">AM236</f>
        <v>-482639.630770585</v>
      </c>
      <c r="AN305" s="13" t="n">
        <f aca="false">AN236</f>
        <v>-455577.493270585</v>
      </c>
      <c r="AO305" s="13" t="n">
        <f aca="false">AO236</f>
        <v>-440285.641962892</v>
      </c>
      <c r="AP305" s="13" t="n">
        <f aca="false">AP236</f>
        <v>-417977.9496552</v>
      </c>
      <c r="AQ305" s="13" t="n">
        <f aca="false">AQ236</f>
        <v>-415531.196770585</v>
      </c>
      <c r="AR305" s="13" t="n">
        <f aca="false">AR236</f>
        <v>-405915.8121552</v>
      </c>
      <c r="AS305" s="13" t="n">
        <f aca="false">AS236</f>
        <v>-405915.8121552</v>
      </c>
      <c r="AT305" s="13" t="n">
        <f aca="false">AT236</f>
        <v>-459806.94467477</v>
      </c>
      <c r="AU305" s="13" t="n">
        <f aca="false">AU236</f>
        <v>-403469.059270585</v>
      </c>
      <c r="AV305" s="13" t="n">
        <f aca="false">AV236</f>
        <v>-393853.6746552</v>
      </c>
      <c r="AW305" s="13" t="n">
        <f aca="false">AW236</f>
        <v>-593853.6746552</v>
      </c>
      <c r="AX305" s="13" t="n">
        <f aca="false">AX236</f>
        <v>-401319.748148304</v>
      </c>
      <c r="AY305" s="13" t="n">
        <f aca="false">AY236</f>
        <v>-401319.748148304</v>
      </c>
      <c r="AZ305" s="13" t="n">
        <f aca="false">AZ236</f>
        <v>-401319.748148304</v>
      </c>
      <c r="BA305" s="13" t="n">
        <f aca="false">BA236</f>
        <v>-401319.748148304</v>
      </c>
      <c r="BB305" s="13" t="n">
        <f aca="false">BB236</f>
        <v>-401319.748148304</v>
      </c>
      <c r="BC305" s="13" t="n">
        <f aca="false">BC236</f>
        <v>-401319.748148304</v>
      </c>
      <c r="BD305" s="13" t="n">
        <f aca="false">BD236</f>
        <v>-401319.748148304</v>
      </c>
      <c r="BE305" s="13" t="n">
        <f aca="false">BE236</f>
        <v>-401319.748148304</v>
      </c>
      <c r="BF305" s="13" t="n">
        <f aca="false">BF236</f>
        <v>-401319.748148304</v>
      </c>
      <c r="BG305" s="13" t="n">
        <f aca="false">BG236</f>
        <v>-401319.748148304</v>
      </c>
      <c r="BH305" s="13" t="n">
        <f aca="false">BH236</f>
        <v>-401319.748148304</v>
      </c>
      <c r="BI305" s="13" t="n">
        <f aca="false">BI236</f>
        <v>-601319.748148304</v>
      </c>
      <c r="BJ305" s="13" t="n">
        <f aca="false">BJ236</f>
        <v>-408935.14311127</v>
      </c>
      <c r="BK305" s="13" t="n">
        <f aca="false">BK236</f>
        <v>-408935.14311127</v>
      </c>
      <c r="BL305" s="13" t="n">
        <f aca="false">BL236</f>
        <v>-408935.14311127</v>
      </c>
      <c r="BM305" s="13" t="n">
        <f aca="false">BM236</f>
        <v>-408935.14311127</v>
      </c>
      <c r="BN305" s="13" t="n">
        <f aca="false">BN236</f>
        <v>-408935.14311127</v>
      </c>
      <c r="BO305" s="13" t="n">
        <f aca="false">BO236</f>
        <v>-408935.14311127</v>
      </c>
      <c r="BP305" s="13" t="n">
        <f aca="false">BP236</f>
        <v>-408935.14311127</v>
      </c>
      <c r="BQ305" s="13" t="n">
        <f aca="false">BQ236</f>
        <v>-408935.14311127</v>
      </c>
      <c r="BR305" s="13" t="n">
        <f aca="false">BR236</f>
        <v>-408935.14311127</v>
      </c>
      <c r="BS305" s="13" t="n">
        <f aca="false">BS236</f>
        <v>-408935.14311127</v>
      </c>
      <c r="BT305" s="13" t="n">
        <f aca="false">BT236</f>
        <v>-408935.14311127</v>
      </c>
      <c r="BU305" s="13" t="n">
        <f aca="false">BU236</f>
        <v>-608935.14311127</v>
      </c>
      <c r="BV305" s="13" t="n">
        <f aca="false">BV236</f>
        <v>-416702.845973495</v>
      </c>
      <c r="BW305" s="13" t="n">
        <f aca="false">BW236</f>
        <v>-416702.845973495</v>
      </c>
      <c r="BX305" s="13" t="n">
        <f aca="false">BX236</f>
        <v>-416702.845973495</v>
      </c>
      <c r="BY305" s="13" t="n">
        <f aca="false">BY236</f>
        <v>-416702.845973495</v>
      </c>
      <c r="BZ305" s="13" t="n">
        <f aca="false">BZ236</f>
        <v>-416702.845973495</v>
      </c>
      <c r="CA305" s="13" t="n">
        <f aca="false">CA236</f>
        <v>-416702.845973495</v>
      </c>
      <c r="CB305" s="13" t="n">
        <f aca="false">CB236</f>
        <v>-416702.845973495</v>
      </c>
      <c r="CC305" s="13" t="n">
        <f aca="false">CC236</f>
        <v>-416702.845973495</v>
      </c>
      <c r="CD305" s="13" t="n">
        <f aca="false">CD236</f>
        <v>-416702.845973495</v>
      </c>
      <c r="CE305" s="13" t="n">
        <f aca="false">CE236</f>
        <v>-416702.845973495</v>
      </c>
      <c r="CF305" s="13" t="n">
        <f aca="false">CF236</f>
        <v>-416702.845973495</v>
      </c>
      <c r="CG305" s="13" t="n">
        <f aca="false">CG236</f>
        <v>-616702.845973496</v>
      </c>
      <c r="CH305" s="13" t="n">
        <f aca="false">CH236</f>
        <v>-424625.902892965</v>
      </c>
      <c r="CI305" s="13" t="n">
        <f aca="false">CI236</f>
        <v>-424625.902892965</v>
      </c>
      <c r="CJ305" s="13" t="n">
        <f aca="false">CJ236</f>
        <v>-424625.902892965</v>
      </c>
      <c r="CK305" s="13" t="n">
        <f aca="false">CK236</f>
        <v>-424625.902892965</v>
      </c>
      <c r="CL305" s="13" t="n">
        <f aca="false">CL236</f>
        <v>-424625.902892965</v>
      </c>
      <c r="CM305" s="13" t="n">
        <f aca="false">CM236</f>
        <v>-424625.902892965</v>
      </c>
      <c r="CN305" s="13" t="n">
        <f aca="false">CN236</f>
        <v>-424625.902892965</v>
      </c>
      <c r="CO305" s="13" t="n">
        <f aca="false">CO236</f>
        <v>-424625.902892965</v>
      </c>
      <c r="CP305" s="13" t="n">
        <f aca="false">CP236</f>
        <v>-424625.902892965</v>
      </c>
      <c r="CQ305" s="13" t="n">
        <f aca="false">CQ236</f>
        <v>-424625.902892965</v>
      </c>
      <c r="CR305" s="13" t="n">
        <f aca="false">CR236</f>
        <v>-424625.902892965</v>
      </c>
      <c r="CS305" s="13" t="n">
        <f aca="false">CS236</f>
        <v>-624625.902892966</v>
      </c>
      <c r="CT305" s="13" t="n">
        <f aca="false">CT236</f>
        <v>-392165.313083151</v>
      </c>
      <c r="CU305" s="13" t="n">
        <f aca="false">CU236</f>
        <v>-392165.313083151</v>
      </c>
      <c r="CV305" s="13" t="n">
        <f aca="false">CV236</f>
        <v>-392165.313083151</v>
      </c>
      <c r="CW305" s="13" t="n">
        <f aca="false">CW236</f>
        <v>-392165.313083151</v>
      </c>
      <c r="CX305" s="13" t="n">
        <f aca="false">CX236</f>
        <v>-392165.313083151</v>
      </c>
      <c r="CY305" s="13" t="n">
        <f aca="false">CY236</f>
        <v>-392165.313083151</v>
      </c>
      <c r="CZ305" s="13" t="n">
        <f aca="false">CZ236</f>
        <v>-392165.313083151</v>
      </c>
      <c r="DA305" s="13" t="n">
        <f aca="false">DA236</f>
        <v>-392165.313083151</v>
      </c>
      <c r="DB305" s="13" t="n">
        <f aca="false">DB236</f>
        <v>-392165.313083151</v>
      </c>
      <c r="DC305" s="13" t="n">
        <f aca="false">DC236</f>
        <v>-392165.313083151</v>
      </c>
      <c r="DD305" s="13" t="n">
        <f aca="false">DD236</f>
        <v>-392165.313083151</v>
      </c>
      <c r="DE305" s="13" t="n">
        <f aca="false">DE236</f>
        <v>-592165.313083151</v>
      </c>
    </row>
    <row r="306" customFormat="false" ht="15" hidden="false" customHeight="true" outlineLevel="0" collapsed="false">
      <c r="A306" s="40" t="s">
        <v>122</v>
      </c>
      <c r="B306" s="13" t="n">
        <f aca="false">B292</f>
        <v>-198827.72</v>
      </c>
      <c r="C306" s="13" t="n">
        <f aca="false">C292</f>
        <v>-192502</v>
      </c>
      <c r="D306" s="13" t="n">
        <f aca="false">D292</f>
        <v>-255024.1</v>
      </c>
      <c r="E306" s="13" t="n">
        <f aca="false">E292</f>
        <v>-195904.72</v>
      </c>
      <c r="F306" s="13" t="n">
        <f aca="false">F292</f>
        <v>-250029.52</v>
      </c>
      <c r="G306" s="13" t="n">
        <f aca="false">G292</f>
        <v>-147940.79</v>
      </c>
      <c r="H306" s="13" t="n">
        <f aca="false">H292</f>
        <v>-196497.94</v>
      </c>
      <c r="I306" s="13" t="n">
        <f aca="false">I292</f>
        <v>-184415.27</v>
      </c>
      <c r="J306" s="13" t="n">
        <f aca="false">J292</f>
        <v>-217948.19</v>
      </c>
      <c r="K306" s="13" t="n">
        <f aca="false">K292</f>
        <v>-197545.8</v>
      </c>
      <c r="L306" s="13" t="n">
        <f aca="false">L292</f>
        <v>-197545.8</v>
      </c>
      <c r="M306" s="13" t="n">
        <f aca="false">M292</f>
        <v>-197545.8</v>
      </c>
      <c r="N306" s="13" t="n">
        <f aca="false">N292</f>
        <v>-199623.995</v>
      </c>
      <c r="O306" s="13" t="n">
        <f aca="false">O292</f>
        <v>-197873.995</v>
      </c>
      <c r="P306" s="13" t="n">
        <f aca="false">P292</f>
        <v>-197873.995</v>
      </c>
      <c r="Q306" s="13" t="n">
        <f aca="false">Q292</f>
        <v>-197873.995</v>
      </c>
      <c r="R306" s="13" t="n">
        <f aca="false">R292</f>
        <v>-196123.995</v>
      </c>
      <c r="S306" s="13" t="n">
        <f aca="false">S292</f>
        <v>-196123.995</v>
      </c>
      <c r="T306" s="13" t="n">
        <f aca="false">T292</f>
        <v>-196123.995</v>
      </c>
      <c r="U306" s="13" t="n">
        <f aca="false">U292</f>
        <v>-196123.995</v>
      </c>
      <c r="V306" s="13" t="n">
        <f aca="false">V292</f>
        <v>-196123.995</v>
      </c>
      <c r="W306" s="13" t="n">
        <f aca="false">W292</f>
        <v>-196123.995</v>
      </c>
      <c r="X306" s="13" t="n">
        <f aca="false">X292</f>
        <v>-196123.995</v>
      </c>
      <c r="Y306" s="13" t="n">
        <f aca="false">Y292</f>
        <v>-196123.995</v>
      </c>
      <c r="Z306" s="13" t="n">
        <f aca="false">Z292</f>
        <v>-199703.7149</v>
      </c>
      <c r="AA306" s="13" t="n">
        <f aca="false">AA292</f>
        <v>-199703.7149</v>
      </c>
      <c r="AB306" s="13" t="n">
        <f aca="false">AB292</f>
        <v>-199703.7149</v>
      </c>
      <c r="AC306" s="13" t="n">
        <f aca="false">AC292</f>
        <v>-199703.7149</v>
      </c>
      <c r="AD306" s="13" t="n">
        <f aca="false">AD292</f>
        <v>-199703.7149</v>
      </c>
      <c r="AE306" s="13" t="n">
        <f aca="false">AE292</f>
        <v>-199703.7149</v>
      </c>
      <c r="AF306" s="13" t="n">
        <f aca="false">AF292</f>
        <v>-199703.7149</v>
      </c>
      <c r="AG306" s="13" t="n">
        <f aca="false">AG292</f>
        <v>-199703.7149</v>
      </c>
      <c r="AH306" s="13" t="n">
        <f aca="false">AH292</f>
        <v>-199703.7149</v>
      </c>
      <c r="AI306" s="13" t="n">
        <f aca="false">AI292</f>
        <v>-199703.7149</v>
      </c>
      <c r="AJ306" s="13" t="n">
        <f aca="false">AJ292</f>
        <v>-199703.7149</v>
      </c>
      <c r="AK306" s="13" t="n">
        <f aca="false">AK292</f>
        <v>-199703.7149</v>
      </c>
      <c r="AL306" s="13" t="n">
        <f aca="false">AL292</f>
        <v>-203355.029198</v>
      </c>
      <c r="AM306" s="13" t="n">
        <f aca="false">AM292</f>
        <v>-203355.029198</v>
      </c>
      <c r="AN306" s="13" t="n">
        <f aca="false">AN292</f>
        <v>-203355.029198</v>
      </c>
      <c r="AO306" s="13" t="n">
        <f aca="false">AO292</f>
        <v>-203355.029198</v>
      </c>
      <c r="AP306" s="13" t="n">
        <f aca="false">AP292</f>
        <v>-203355.029198</v>
      </c>
      <c r="AQ306" s="13" t="n">
        <f aca="false">AQ292</f>
        <v>-203355.029198</v>
      </c>
      <c r="AR306" s="13" t="n">
        <f aca="false">AR292</f>
        <v>-203355.029198</v>
      </c>
      <c r="AS306" s="13" t="n">
        <f aca="false">AS292</f>
        <v>-203355.029198</v>
      </c>
      <c r="AT306" s="13" t="n">
        <f aca="false">AT292</f>
        <v>-285038.029198</v>
      </c>
      <c r="AU306" s="13" t="n">
        <f aca="false">AU292</f>
        <v>-203355.029198</v>
      </c>
      <c r="AV306" s="13" t="n">
        <f aca="false">AV292</f>
        <v>-203355.029198</v>
      </c>
      <c r="AW306" s="13" t="n">
        <f aca="false">AW292</f>
        <v>-285037.029198</v>
      </c>
      <c r="AX306" s="13" t="n">
        <f aca="false">AX292</f>
        <v>-207079.36978196</v>
      </c>
      <c r="AY306" s="13" t="n">
        <f aca="false">AY292</f>
        <v>-207079.36978196</v>
      </c>
      <c r="AZ306" s="13" t="n">
        <f aca="false">AZ292</f>
        <v>-288761.36978196</v>
      </c>
      <c r="BA306" s="13" t="n">
        <f aca="false">BA292</f>
        <v>-207079.36978196</v>
      </c>
      <c r="BB306" s="13" t="n">
        <f aca="false">BB292</f>
        <v>-207079.36978196</v>
      </c>
      <c r="BC306" s="13" t="n">
        <f aca="false">BC292</f>
        <v>-1140600.36978196</v>
      </c>
      <c r="BD306" s="13" t="n">
        <f aca="false">BD292</f>
        <v>-207079.36978196</v>
      </c>
      <c r="BE306" s="13" t="n">
        <f aca="false">BE292</f>
        <v>-207079.36978196</v>
      </c>
      <c r="BF306" s="13" t="n">
        <f aca="false">BF292</f>
        <v>-337957.36978196</v>
      </c>
      <c r="BG306" s="13" t="n">
        <f aca="false">BG292</f>
        <v>-207079.36978196</v>
      </c>
      <c r="BH306" s="13" t="n">
        <f aca="false">BH292</f>
        <v>-207079.36978196</v>
      </c>
      <c r="BI306" s="13" t="n">
        <f aca="false">BI292</f>
        <v>-337955.36978196</v>
      </c>
      <c r="BJ306" s="13" t="n">
        <f aca="false">BJ292</f>
        <v>-210878.197177599</v>
      </c>
      <c r="BK306" s="13" t="n">
        <f aca="false">BK292</f>
        <v>-210878.197177599</v>
      </c>
      <c r="BL306" s="13" t="n">
        <f aca="false">BL292</f>
        <v>-341754.197177599</v>
      </c>
      <c r="BM306" s="13" t="n">
        <f aca="false">BM292</f>
        <v>-210878.197177599</v>
      </c>
      <c r="BN306" s="13" t="n">
        <f aca="false">BN292</f>
        <v>-210878.197177599</v>
      </c>
      <c r="BO306" s="13" t="n">
        <f aca="false">BO292</f>
        <v>-341754.197177599</v>
      </c>
      <c r="BP306" s="13" t="n">
        <f aca="false">BP292</f>
        <v>-210878.197177599</v>
      </c>
      <c r="BQ306" s="13" t="n">
        <f aca="false">BQ292</f>
        <v>-210878.197177599</v>
      </c>
      <c r="BR306" s="13" t="n">
        <f aca="false">BR292</f>
        <v>-300033.847177599</v>
      </c>
      <c r="BS306" s="13" t="n">
        <f aca="false">BS292</f>
        <v>-210878.197177599</v>
      </c>
      <c r="BT306" s="13" t="n">
        <f aca="false">BT292</f>
        <v>-210878.197177599</v>
      </c>
      <c r="BU306" s="13" t="n">
        <f aca="false">BU292</f>
        <v>-285518.197177599</v>
      </c>
      <c r="BV306" s="13" t="n">
        <f aca="false">BV292</f>
        <v>-214753.001121151</v>
      </c>
      <c r="BW306" s="13" t="n">
        <f aca="false">BW292</f>
        <v>-214753.001121151</v>
      </c>
      <c r="BX306" s="13" t="n">
        <f aca="false">BX292</f>
        <v>-289393.001121151</v>
      </c>
      <c r="BY306" s="13" t="n">
        <f aca="false">BY292</f>
        <v>-214753.001121151</v>
      </c>
      <c r="BZ306" s="13" t="n">
        <f aca="false">BZ292</f>
        <v>-214753.001121151</v>
      </c>
      <c r="CA306" s="13" t="n">
        <f aca="false">CA292</f>
        <v>-362549.001121151</v>
      </c>
      <c r="CB306" s="13" t="n">
        <f aca="false">CB292</f>
        <v>-214753.001121151</v>
      </c>
      <c r="CC306" s="13" t="n">
        <f aca="false">CC292</f>
        <v>-214753.001121151</v>
      </c>
      <c r="CD306" s="13" t="n">
        <f aca="false">CD292</f>
        <v>-369271.001121151</v>
      </c>
      <c r="CE306" s="13" t="n">
        <f aca="false">CE292</f>
        <v>-214753.001121151</v>
      </c>
      <c r="CF306" s="13" t="n">
        <f aca="false">CF292</f>
        <v>-214753.001121151</v>
      </c>
      <c r="CG306" s="13" t="n">
        <f aca="false">CG292</f>
        <v>-369270.001121151</v>
      </c>
      <c r="CH306" s="13" t="n">
        <f aca="false">CH292</f>
        <v>-218705.301143574</v>
      </c>
      <c r="CI306" s="13" t="n">
        <f aca="false">CI292</f>
        <v>-218705.301143574</v>
      </c>
      <c r="CJ306" s="13" t="n">
        <f aca="false">CJ292</f>
        <v>-366614.274537095</v>
      </c>
      <c r="CK306" s="13" t="n">
        <f aca="false">CK292</f>
        <v>-291860.301143574</v>
      </c>
      <c r="CL306" s="13" t="n">
        <f aca="false">CL292</f>
        <v>-291860.301143574</v>
      </c>
      <c r="CM306" s="13" t="n">
        <f aca="false">CM292</f>
        <v>-291860.301143574</v>
      </c>
      <c r="CN306" s="13" t="n">
        <f aca="false">CN292</f>
        <v>-291860.301143574</v>
      </c>
      <c r="CO306" s="13" t="n">
        <f aca="false">CO292</f>
        <v>-291860.301143574</v>
      </c>
      <c r="CP306" s="13" t="n">
        <f aca="false">CP292</f>
        <v>-291860.301143574</v>
      </c>
      <c r="CQ306" s="13" t="n">
        <f aca="false">CQ292</f>
        <v>-291860.301143574</v>
      </c>
      <c r="CR306" s="13" t="n">
        <f aca="false">CR292</f>
        <v>-291860.301143574</v>
      </c>
      <c r="CS306" s="13" t="n">
        <f aca="false">CS292</f>
        <v>-291860.301143574</v>
      </c>
      <c r="CT306" s="13" t="n">
        <f aca="false">CT292</f>
        <v>-289912.498956817</v>
      </c>
      <c r="CU306" s="13" t="n">
        <f aca="false">CU292</f>
        <v>-289912.498956817</v>
      </c>
      <c r="CV306" s="13" t="n">
        <f aca="false">CV292</f>
        <v>-289912.498956817</v>
      </c>
      <c r="CW306" s="13" t="n">
        <f aca="false">CW292</f>
        <v>-234204.347893224</v>
      </c>
      <c r="CX306" s="13" t="n">
        <f aca="false">CX292</f>
        <v>-216757.498956817</v>
      </c>
      <c r="CY306" s="13" t="n">
        <f aca="false">CY292</f>
        <v>-216757.498956817</v>
      </c>
      <c r="CZ306" s="13" t="n">
        <f aca="false">CZ292</f>
        <v>-216757.498956817</v>
      </c>
      <c r="DA306" s="13" t="n">
        <f aca="false">DA292</f>
        <v>-216757.498956817</v>
      </c>
      <c r="DB306" s="13" t="n">
        <f aca="false">DB292</f>
        <v>-216757.498956817</v>
      </c>
      <c r="DC306" s="13" t="n">
        <f aca="false">DC292</f>
        <v>-216757.498956817</v>
      </c>
      <c r="DD306" s="13" t="n">
        <f aca="false">DD292</f>
        <v>-216757.498956817</v>
      </c>
      <c r="DE306" s="13" t="n">
        <f aca="false">DE292</f>
        <v>-216757.498956817</v>
      </c>
    </row>
    <row r="307" customFormat="false" ht="15" hidden="false" customHeight="true" outlineLevel="0" collapsed="false">
      <c r="A307" s="41" t="s">
        <v>150</v>
      </c>
      <c r="B307" s="30" t="n">
        <f aca="false">B305+B306+B296</f>
        <v>-459429.22</v>
      </c>
      <c r="C307" s="30" t="n">
        <f aca="false">C305+C306+C296</f>
        <v>-452810.54</v>
      </c>
      <c r="D307" s="30" t="n">
        <f aca="false">D305+D306+D296</f>
        <v>-606961.84</v>
      </c>
      <c r="E307" s="30" t="n">
        <f aca="false">E305+E306+E296</f>
        <v>-269336.28</v>
      </c>
      <c r="F307" s="30" t="n">
        <f aca="false">F305+F306+F296</f>
        <v>-687944.37</v>
      </c>
      <c r="G307" s="30" t="n">
        <f aca="false">G305+G306+G296</f>
        <v>-471394.68</v>
      </c>
      <c r="H307" s="30" t="n">
        <f aca="false">H305+H306+H296</f>
        <v>-518009.51</v>
      </c>
      <c r="I307" s="30" t="n">
        <f aca="false">I305+I306+I296</f>
        <v>-569578.44</v>
      </c>
      <c r="J307" s="30" t="n">
        <f aca="false">J305+J306+J296</f>
        <v>-598679.7</v>
      </c>
      <c r="K307" s="30" t="n">
        <f aca="false">K305+K306+K296</f>
        <v>-600793.429666667</v>
      </c>
      <c r="L307" s="30" t="n">
        <f aca="false">L305+L306+L296</f>
        <v>-593293.429666667</v>
      </c>
      <c r="M307" s="30" t="n">
        <f aca="false">M305+M306+M296</f>
        <v>-695133.429666667</v>
      </c>
      <c r="N307" s="30" t="n">
        <f aca="false">N305+N306+N296</f>
        <v>-615771.833</v>
      </c>
      <c r="O307" s="30" t="n">
        <f aca="false">O305+O306+O296</f>
        <v>-634990.583</v>
      </c>
      <c r="P307" s="30" t="n">
        <f aca="false">P305+P306+P296</f>
        <v>-602115.583</v>
      </c>
      <c r="Q307" s="30" t="n">
        <f aca="false">Q305+Q306+Q296</f>
        <v>-628955.583</v>
      </c>
      <c r="R307" s="30" t="n">
        <f aca="false">R305+R306+R296</f>
        <v>-663014.333</v>
      </c>
      <c r="S307" s="30" t="n">
        <f aca="false">S305+S306+S296</f>
        <v>-738095.583</v>
      </c>
      <c r="T307" s="30" t="n">
        <f aca="false">T305+T306+T296</f>
        <v>-694970.583</v>
      </c>
      <c r="U307" s="30" t="n">
        <f aca="false">U305+U306+U296</f>
        <v>-694970.583</v>
      </c>
      <c r="V307" s="30" t="n">
        <f aca="false">V305+V306+V296</f>
        <v>-694970.583</v>
      </c>
      <c r="W307" s="30" t="n">
        <f aca="false">W305+W306+W296</f>
        <v>-788910.583</v>
      </c>
      <c r="X307" s="30" t="n">
        <f aca="false">X305+X306+X296</f>
        <v>-809476.40945</v>
      </c>
      <c r="Y307" s="30" t="n">
        <f aca="false">Y305+Y306+Y296</f>
        <v>-946910.583</v>
      </c>
      <c r="Z307" s="30" t="n">
        <f aca="false">Z305+Z306+Z296</f>
        <v>-762676.03466</v>
      </c>
      <c r="AA307" s="30" t="n">
        <f aca="false">AA305+AA306+AA296</f>
        <v>-762676.03466</v>
      </c>
      <c r="AB307" s="30" t="n">
        <f aca="false">AB305+AB306+AB296</f>
        <v>-762676.03466</v>
      </c>
      <c r="AC307" s="30" t="n">
        <f aca="false">AC305+AC306+AC296</f>
        <v>-758167.144275385</v>
      </c>
      <c r="AD307" s="30" t="n">
        <f aca="false">AD305+AD306+AD296</f>
        <v>-733512.411583077</v>
      </c>
      <c r="AE307" s="30" t="n">
        <f aca="false">AE305+AE306+AE296</f>
        <v>-711589.33466</v>
      </c>
      <c r="AF307" s="30" t="n">
        <f aca="false">AF305+AF306+AF296</f>
        <v>-711589.33466</v>
      </c>
      <c r="AG307" s="30" t="n">
        <f aca="false">AG305+AG306+AG296</f>
        <v>-708406.588506154</v>
      </c>
      <c r="AH307" s="30" t="n">
        <f aca="false">AH305+AH306+AH296</f>
        <v>-691731.326967692</v>
      </c>
      <c r="AI307" s="30" t="n">
        <f aca="false">AI305+AI306+AI296</f>
        <v>-679423.63466</v>
      </c>
      <c r="AJ307" s="30" t="n">
        <f aca="false">AJ305+AJ306+AJ296</f>
        <v>-679423.63466</v>
      </c>
      <c r="AK307" s="30" t="n">
        <f aca="false">AK305+AK306+AK296</f>
        <v>-879423.63466</v>
      </c>
      <c r="AL307" s="30" t="n">
        <f aca="false">AL305+AL306+AL296</f>
        <v>-692258.3473532</v>
      </c>
      <c r="AM307" s="30" t="n">
        <f aca="false">AM305+AM306+AM296</f>
        <v>-685994.659968585</v>
      </c>
      <c r="AN307" s="30" t="n">
        <f aca="false">AN305+AN306+AN296</f>
        <v>-658932.522468585</v>
      </c>
      <c r="AO307" s="30" t="n">
        <f aca="false">AO305+AO306+AO296</f>
        <v>-643640.671160892</v>
      </c>
      <c r="AP307" s="30" t="n">
        <f aca="false">AP305+AP306+AP296</f>
        <v>-621332.9788532</v>
      </c>
      <c r="AQ307" s="30" t="n">
        <f aca="false">AQ305+AQ306+AQ296</f>
        <v>-618886.225968585</v>
      </c>
      <c r="AR307" s="30" t="n">
        <f aca="false">AR305+AR306+AR296</f>
        <v>-609270.8413532</v>
      </c>
      <c r="AS307" s="30" t="n">
        <f aca="false">AS305+AS306+AS296</f>
        <v>-609270.8413532</v>
      </c>
      <c r="AT307" s="30" t="n">
        <f aca="false">AT305+AT306+AT296</f>
        <v>-744844.97387277</v>
      </c>
      <c r="AU307" s="30" t="n">
        <f aca="false">AU305+AU306+AU296</f>
        <v>-606824.088468585</v>
      </c>
      <c r="AV307" s="30" t="n">
        <f aca="false">AV305+AV306+AV296</f>
        <v>-597208.7038532</v>
      </c>
      <c r="AW307" s="30" t="n">
        <f aca="false">AW305+AW306+AW296</f>
        <v>-878890.7038532</v>
      </c>
      <c r="AX307" s="30" t="n">
        <f aca="false">AX305+AX306+AX296</f>
        <v>-608399.117930264</v>
      </c>
      <c r="AY307" s="30" t="n">
        <f aca="false">AY305+AY306+AY296</f>
        <v>-608399.117930264</v>
      </c>
      <c r="AZ307" s="30" t="n">
        <f aca="false">AZ305+AZ306+AZ296</f>
        <v>-690081.117930264</v>
      </c>
      <c r="BA307" s="30" t="n">
        <f aca="false">BA305+BA306+BA296</f>
        <v>-608399.117930264</v>
      </c>
      <c r="BB307" s="30" t="n">
        <f aca="false">BB305+BB306+BB296</f>
        <v>-608399.117930264</v>
      </c>
      <c r="BC307" s="30" t="n">
        <f aca="false">BC305+BC306+BC296</f>
        <v>-1541920.11793026</v>
      </c>
      <c r="BD307" s="30" t="n">
        <f aca="false">BD305+BD306+BD296</f>
        <v>-608399.117930264</v>
      </c>
      <c r="BE307" s="30" t="n">
        <f aca="false">BE305+BE306+BE296</f>
        <v>-608399.117930264</v>
      </c>
      <c r="BF307" s="30" t="n">
        <f aca="false">BF305+BF306+BF296</f>
        <v>-739277.117930264</v>
      </c>
      <c r="BG307" s="30" t="n">
        <f aca="false">BG305+BG306+BG296</f>
        <v>-608399.117930264</v>
      </c>
      <c r="BH307" s="30" t="n">
        <f aca="false">BH305+BH306+BH296</f>
        <v>-608399.117930264</v>
      </c>
      <c r="BI307" s="30" t="n">
        <f aca="false">BI305+BI306+BI296</f>
        <v>-939275.117930264</v>
      </c>
      <c r="BJ307" s="30" t="n">
        <f aca="false">BJ305+BJ306+BJ296</f>
        <v>-619813.340288869</v>
      </c>
      <c r="BK307" s="30" t="n">
        <f aca="false">BK305+BK306+BK296</f>
        <v>-619813.340288869</v>
      </c>
      <c r="BL307" s="30" t="n">
        <f aca="false">BL305+BL306+BL296</f>
        <v>-750689.340288869</v>
      </c>
      <c r="BM307" s="30" t="n">
        <f aca="false">BM305+BM306+BM296</f>
        <v>-619813.340288869</v>
      </c>
      <c r="BN307" s="30" t="n">
        <f aca="false">BN305+BN306+BN296</f>
        <v>-619813.340288869</v>
      </c>
      <c r="BO307" s="30" t="n">
        <f aca="false">BO305+BO306+BO296</f>
        <v>-750689.340288869</v>
      </c>
      <c r="BP307" s="30" t="n">
        <f aca="false">BP305+BP306+BP296</f>
        <v>-619813.340288869</v>
      </c>
      <c r="BQ307" s="30" t="n">
        <f aca="false">BQ305+BQ306+BQ296</f>
        <v>-619813.340288869</v>
      </c>
      <c r="BR307" s="30" t="n">
        <f aca="false">BR305+BR306+BR296</f>
        <v>-708968.990288869</v>
      </c>
      <c r="BS307" s="30" t="n">
        <f aca="false">BS305+BS306+BS296</f>
        <v>-619813.340288869</v>
      </c>
      <c r="BT307" s="30" t="n">
        <f aca="false">BT305+BT306+BT296</f>
        <v>-619813.340288869</v>
      </c>
      <c r="BU307" s="30" t="n">
        <f aca="false">BU305+BU306+BU296</f>
        <v>-894453.340288869</v>
      </c>
      <c r="BV307" s="30" t="n">
        <f aca="false">BV305+BV306+BV296</f>
        <v>-631455.847094647</v>
      </c>
      <c r="BW307" s="30" t="n">
        <f aca="false">BW305+BW306+BW296</f>
        <v>-631455.847094647</v>
      </c>
      <c r="BX307" s="30" t="n">
        <f aca="false">BX305+BX306+BX296</f>
        <v>-706095.847094647</v>
      </c>
      <c r="BY307" s="30" t="n">
        <f aca="false">BY305+BY306+BY296</f>
        <v>-631455.847094647</v>
      </c>
      <c r="BZ307" s="30" t="n">
        <f aca="false">BZ305+BZ306+BZ296</f>
        <v>-631455.847094647</v>
      </c>
      <c r="CA307" s="30" t="n">
        <f aca="false">CA305+CA306+CA296</f>
        <v>-779251.847094647</v>
      </c>
      <c r="CB307" s="30" t="n">
        <f aca="false">CB305+CB306+CB296</f>
        <v>-631455.847094647</v>
      </c>
      <c r="CC307" s="30" t="n">
        <f aca="false">CC305+CC306+CC296</f>
        <v>-631455.847094647</v>
      </c>
      <c r="CD307" s="30" t="n">
        <f aca="false">CD305+CD306+CD296</f>
        <v>-785973.847094647</v>
      </c>
      <c r="CE307" s="30" t="n">
        <f aca="false">CE305+CE306+CE296</f>
        <v>-631455.847094647</v>
      </c>
      <c r="CF307" s="30" t="n">
        <f aca="false">CF305+CF306+CF296</f>
        <v>-631455.847094647</v>
      </c>
      <c r="CG307" s="30" t="n">
        <f aca="false">CG305+CG306+CG296</f>
        <v>-985972.847094647</v>
      </c>
      <c r="CH307" s="30" t="n">
        <f aca="false">CH305+CH306+CH296</f>
        <v>-643331.20403654</v>
      </c>
      <c r="CI307" s="30" t="n">
        <f aca="false">CI305+CI306+CI296</f>
        <v>-643331.20403654</v>
      </c>
      <c r="CJ307" s="30" t="n">
        <f aca="false">CJ305+CJ306+CJ296</f>
        <v>-791240.177430061</v>
      </c>
      <c r="CK307" s="30" t="n">
        <f aca="false">CK305+CK306+CK296</f>
        <v>-716486.20403654</v>
      </c>
      <c r="CL307" s="30" t="n">
        <f aca="false">CL305+CL306+CL296</f>
        <v>-716486.20403654</v>
      </c>
      <c r="CM307" s="30" t="n">
        <f aca="false">CM305+CM306+CM296</f>
        <v>-716486.20403654</v>
      </c>
      <c r="CN307" s="30" t="n">
        <f aca="false">CN305+CN306+CN296</f>
        <v>-716486.20403654</v>
      </c>
      <c r="CO307" s="30" t="n">
        <f aca="false">CO305+CO306+CO296</f>
        <v>-716486.20403654</v>
      </c>
      <c r="CP307" s="30" t="n">
        <f aca="false">CP305+CP306+CP296</f>
        <v>-716486.20403654</v>
      </c>
      <c r="CQ307" s="30" t="n">
        <f aca="false">CQ305+CQ306+CQ296</f>
        <v>-716486.20403654</v>
      </c>
      <c r="CR307" s="30" t="n">
        <f aca="false">CR305+CR306+CR296</f>
        <v>-716486.20403654</v>
      </c>
      <c r="CS307" s="30" t="n">
        <f aca="false">CS305+CS306+CS296</f>
        <v>-916486.20403654</v>
      </c>
      <c r="CT307" s="30" t="n">
        <f aca="false">CT305+CT306+CT296</f>
        <v>-682077.812039968</v>
      </c>
      <c r="CU307" s="30" t="n">
        <f aca="false">CU305+CU306+CU296</f>
        <v>-682077.812039968</v>
      </c>
      <c r="CV307" s="30" t="n">
        <f aca="false">CV305+CV306+CV296</f>
        <v>-682077.812039968</v>
      </c>
      <c r="CW307" s="30" t="n">
        <f aca="false">CW305+CW306+CW296</f>
        <v>-626369.660976375</v>
      </c>
      <c r="CX307" s="30" t="n">
        <f aca="false">CX305+CX306+CX296</f>
        <v>-608922.812039968</v>
      </c>
      <c r="CY307" s="30" t="n">
        <f aca="false">CY305+CY306+CY296</f>
        <v>-608922.812039968</v>
      </c>
      <c r="CZ307" s="30" t="n">
        <f aca="false">CZ305+CZ306+CZ296</f>
        <v>-608922.812039968</v>
      </c>
      <c r="DA307" s="30" t="n">
        <f aca="false">DA305+DA306+DA296</f>
        <v>-608922.812039968</v>
      </c>
      <c r="DB307" s="30" t="n">
        <f aca="false">DB305+DB306+DB296</f>
        <v>-608922.812039968</v>
      </c>
      <c r="DC307" s="30" t="n">
        <f aca="false">DC305+DC306+DC296</f>
        <v>-608922.812039968</v>
      </c>
      <c r="DD307" s="30" t="n">
        <f aca="false">DD305+DD306+DD296</f>
        <v>-608922.812039968</v>
      </c>
      <c r="DE307" s="30" t="n">
        <f aca="false">DE305+DE306+DE296</f>
        <v>-808922.812039968</v>
      </c>
    </row>
    <row r="308" customFormat="false" ht="19.5" hidden="false" customHeight="true" outlineLevel="0" collapsed="false">
      <c r="A308" s="42" t="s">
        <v>151</v>
      </c>
      <c r="B308" s="37" t="n">
        <f aca="false">B304+B307</f>
        <v>-206557.78</v>
      </c>
      <c r="C308" s="37" t="n">
        <f aca="false">C304+C307</f>
        <v>-469696.73</v>
      </c>
      <c r="D308" s="37" t="n">
        <f aca="false">D304+D307</f>
        <v>21337.26</v>
      </c>
      <c r="E308" s="37" t="n">
        <f aca="false">E304+E307</f>
        <v>212136.55</v>
      </c>
      <c r="F308" s="37" t="n">
        <f aca="false">F304+F307</f>
        <v>-188293.09</v>
      </c>
      <c r="G308" s="37" t="n">
        <f aca="false">G304+G307</f>
        <v>503071.03</v>
      </c>
      <c r="H308" s="37" t="n">
        <f aca="false">H304+H307</f>
        <v>1326754.58</v>
      </c>
      <c r="I308" s="37" t="n">
        <f aca="false">I304+I307</f>
        <v>171785.53</v>
      </c>
      <c r="J308" s="37" t="n">
        <f aca="false">J304+J307</f>
        <v>-213564.895125001</v>
      </c>
      <c r="K308" s="37" t="n">
        <f aca="false">K304+K307</f>
        <v>-50277.6967833325</v>
      </c>
      <c r="L308" s="37" t="n">
        <f aca="false">L304+L307</f>
        <v>-110872.136783333</v>
      </c>
      <c r="M308" s="37" t="n">
        <f aca="false">M304+M307</f>
        <v>-504688.346968062</v>
      </c>
      <c r="N308" s="37" t="n">
        <f aca="false">N304+N307</f>
        <v>77411.2184554921</v>
      </c>
      <c r="O308" s="37" t="n">
        <f aca="false">O304+O307</f>
        <v>90611.3796732848</v>
      </c>
      <c r="P308" s="37" t="n">
        <f aca="false">P304+P307</f>
        <v>142876.382706284</v>
      </c>
      <c r="Q308" s="37" t="n">
        <f aca="false">Q304+Q307</f>
        <v>-123632.575168001</v>
      </c>
      <c r="R308" s="37" t="n">
        <f aca="false">R304+R307</f>
        <v>26439.8129962195</v>
      </c>
      <c r="S308" s="37" t="n">
        <f aca="false">S304+S307</f>
        <v>-145823.887414736</v>
      </c>
      <c r="T308" s="37" t="n">
        <f aca="false">T304+T307</f>
        <v>540193.842095066</v>
      </c>
      <c r="U308" s="37" t="n">
        <f aca="false">U304+U307</f>
        <v>436491.782095068</v>
      </c>
      <c r="V308" s="37" t="n">
        <f aca="false">V304+V307</f>
        <v>355964.160813117</v>
      </c>
      <c r="W308" s="37" t="n">
        <f aca="false">W304+W307</f>
        <v>293736.56549666</v>
      </c>
      <c r="X308" s="37" t="n">
        <f aca="false">X304+X307</f>
        <v>666727.974908732</v>
      </c>
      <c r="Y308" s="37" t="n">
        <f aca="false">Y304+Y307</f>
        <v>403141.881358732</v>
      </c>
      <c r="Z308" s="37" t="n">
        <f aca="false">Z304+Z307</f>
        <v>629928.429698732</v>
      </c>
      <c r="AA308" s="37" t="n">
        <f aca="false">AA304+AA307</f>
        <v>539761.489698729</v>
      </c>
      <c r="AB308" s="37" t="n">
        <f aca="false">AB304+AB307</f>
        <v>459002.219698729</v>
      </c>
      <c r="AC308" s="37" t="n">
        <f aca="false">AC304+AC307</f>
        <v>309899.270083347</v>
      </c>
      <c r="AD308" s="37" t="n">
        <f aca="false">AD304+AD307</f>
        <v>357120.042775653</v>
      </c>
      <c r="AE308" s="37" t="n">
        <f aca="false">AE304+AE307</f>
        <v>-147711.902388389</v>
      </c>
      <c r="AF308" s="37" t="n">
        <f aca="false">AF304+AF307</f>
        <v>686170.56728593</v>
      </c>
      <c r="AG308" s="37" t="n">
        <f aca="false">AG304+AG307</f>
        <v>619594.921746582</v>
      </c>
      <c r="AH308" s="37" t="n">
        <f aca="false">AH304+AH307</f>
        <v>609731.163223048</v>
      </c>
      <c r="AI308" s="37" t="n">
        <f aca="false">AI304+AI307</f>
        <v>374291.188166317</v>
      </c>
      <c r="AJ308" s="37" t="n">
        <f aca="false">AJ304+AJ307</f>
        <v>323168.20756206</v>
      </c>
      <c r="AK308" s="37" t="n">
        <f aca="false">AK304+AK307</f>
        <v>-40323.4012294365</v>
      </c>
      <c r="AL308" s="37" t="n">
        <f aca="false">AL304+AL307</f>
        <v>160912.596077363</v>
      </c>
      <c r="AM308" s="37" t="n">
        <f aca="false">AM304+AM307</f>
        <v>178859.323461977</v>
      </c>
      <c r="AN308" s="37" t="n">
        <f aca="false">AN304+AN307</f>
        <v>184849.213066726</v>
      </c>
      <c r="AO308" s="37" t="n">
        <f aca="false">AO304+AO307</f>
        <v>72193.752464921</v>
      </c>
      <c r="AP308" s="37" t="n">
        <f aca="false">AP304+AP307</f>
        <v>57489.6697403627</v>
      </c>
      <c r="AQ308" s="37" t="n">
        <f aca="false">AQ304+AQ307</f>
        <v>-169389.976183907</v>
      </c>
      <c r="AR308" s="37" t="n">
        <f aca="false">AR304+AR307</f>
        <v>-159774.591568523</v>
      </c>
      <c r="AS308" s="37" t="n">
        <f aca="false">AS304+AS307</f>
        <v>-159774.591568523</v>
      </c>
      <c r="AT308" s="37" t="n">
        <f aca="false">AT304+AT307</f>
        <v>-63018.4758452533</v>
      </c>
      <c r="AU308" s="37" t="n">
        <f aca="false">AU304+AU307</f>
        <v>-276590.243542821</v>
      </c>
      <c r="AV308" s="37" t="n">
        <f aca="false">AV304+AV307</f>
        <v>5510.72642606334</v>
      </c>
      <c r="AW308" s="37" t="n">
        <f aca="false">AW304+AW307</f>
        <v>-639549.062984653</v>
      </c>
      <c r="AX308" s="37" t="n">
        <f aca="false">AX304+AX307</f>
        <v>-450739.477061717</v>
      </c>
      <c r="AY308" s="37" t="n">
        <f aca="false">AY304+AY307</f>
        <v>-450739.477061717</v>
      </c>
      <c r="AZ308" s="37" t="n">
        <f aca="false">AZ304+AZ307</f>
        <v>-450739.477061717</v>
      </c>
      <c r="BA308" s="37" t="n">
        <f aca="false">BA304+BA307</f>
        <v>-450739.477061717</v>
      </c>
      <c r="BB308" s="37" t="n">
        <f aca="false">BB304+BB307</f>
        <v>-450739.477061717</v>
      </c>
      <c r="BC308" s="37" t="n">
        <f aca="false">BC304+BC307</f>
        <v>-450739.477061718</v>
      </c>
      <c r="BD308" s="37" t="n">
        <f aca="false">BD304+BD307</f>
        <v>-450739.477061717</v>
      </c>
      <c r="BE308" s="37" t="n">
        <f aca="false">BE304+BE307</f>
        <v>-450739.477061717</v>
      </c>
      <c r="BF308" s="37" t="n">
        <f aca="false">BF304+BF307</f>
        <v>-450739.477061717</v>
      </c>
      <c r="BG308" s="37" t="n">
        <f aca="false">BG304+BG307</f>
        <v>-450739.477061717</v>
      </c>
      <c r="BH308" s="37" t="n">
        <f aca="false">BH304+BH307</f>
        <v>-201803.202006117</v>
      </c>
      <c r="BI308" s="37" t="n">
        <f aca="false">BI304+BI307</f>
        <v>-808399.117930264</v>
      </c>
      <c r="BJ308" s="37" t="n">
        <f aca="false">BJ304+BJ307</f>
        <v>-619813.340288869</v>
      </c>
      <c r="BK308" s="37" t="n">
        <f aca="false">BK304+BK307</f>
        <v>-619813.340288869</v>
      </c>
      <c r="BL308" s="37" t="n">
        <f aca="false">BL304+BL307</f>
        <v>-619813.340288869</v>
      </c>
      <c r="BM308" s="37" t="n">
        <f aca="false">BM304+BM307</f>
        <v>-619813.340288869</v>
      </c>
      <c r="BN308" s="37" t="n">
        <f aca="false">BN304+BN307</f>
        <v>-619813.340288869</v>
      </c>
      <c r="BO308" s="37" t="n">
        <f aca="false">BO304+BO307</f>
        <v>-619813.340288869</v>
      </c>
      <c r="BP308" s="37" t="n">
        <f aca="false">BP304+BP307</f>
        <v>-619813.340288869</v>
      </c>
      <c r="BQ308" s="37" t="n">
        <f aca="false">BQ304+BQ307</f>
        <v>-619813.340288869</v>
      </c>
      <c r="BR308" s="37" t="n">
        <f aca="false">BR304+BR307</f>
        <v>-566562.990288869</v>
      </c>
      <c r="BS308" s="37" t="n">
        <f aca="false">BS304+BS307</f>
        <v>-619813.340288869</v>
      </c>
      <c r="BT308" s="37" t="n">
        <f aca="false">BT304+BT307</f>
        <v>-619813.340288869</v>
      </c>
      <c r="BU308" s="37" t="n">
        <f aca="false">BU304+BU307</f>
        <v>-752051.340288869</v>
      </c>
      <c r="BV308" s="37" t="n">
        <f aca="false">BV304+BV307</f>
        <v>-631455.847094647</v>
      </c>
      <c r="BW308" s="37" t="n">
        <f aca="false">BW304+BW307</f>
        <v>-631455.847094647</v>
      </c>
      <c r="BX308" s="37" t="n">
        <f aca="false">BX304+BX307</f>
        <v>-563693.847094647</v>
      </c>
      <c r="BY308" s="37" t="n">
        <f aca="false">BY304+BY307</f>
        <v>-631455.847094647</v>
      </c>
      <c r="BZ308" s="37" t="n">
        <f aca="false">BZ304+BZ307</f>
        <v>-631455.847094647</v>
      </c>
      <c r="CA308" s="37" t="n">
        <f aca="false">CA304+CA307</f>
        <v>-563693.847094647</v>
      </c>
      <c r="CB308" s="37" t="n">
        <f aca="false">CB304+CB307</f>
        <v>-631455.847094647</v>
      </c>
      <c r="CC308" s="37" t="n">
        <f aca="false">CC304+CC307</f>
        <v>-631455.847094647</v>
      </c>
      <c r="CD308" s="37" t="n">
        <f aca="false">CD304+CD307</f>
        <v>-554956.847094647</v>
      </c>
      <c r="CE308" s="37" t="n">
        <f aca="false">CE304+CE307</f>
        <v>-631455.847094647</v>
      </c>
      <c r="CF308" s="37" t="n">
        <f aca="false">CF304+CF307</f>
        <v>-631455.847094647</v>
      </c>
      <c r="CG308" s="37" t="n">
        <f aca="false">CG304+CG307</f>
        <v>-754956.847094647</v>
      </c>
      <c r="CH308" s="37" t="n">
        <f aca="false">CH304+CH307</f>
        <v>-643331.20403654</v>
      </c>
      <c r="CI308" s="37" t="n">
        <f aca="false">CI304+CI307</f>
        <v>-643331.20403654</v>
      </c>
      <c r="CJ308" s="37" t="n">
        <f aca="false">CJ304+CJ307</f>
        <v>-560224.177430061</v>
      </c>
      <c r="CK308" s="37" t="n">
        <f aca="false">CK304+CK307</f>
        <v>-485470.20403654</v>
      </c>
      <c r="CL308" s="37" t="n">
        <f aca="false">CL304+CL307</f>
        <v>-485470.20403654</v>
      </c>
      <c r="CM308" s="37" t="n">
        <f aca="false">CM304+CM307</f>
        <v>-485470.20403654</v>
      </c>
      <c r="CN308" s="37" t="n">
        <f aca="false">CN304+CN307</f>
        <v>-485470.20403654</v>
      </c>
      <c r="CO308" s="37" t="n">
        <f aca="false">CO304+CO307</f>
        <v>-485470.20403654</v>
      </c>
      <c r="CP308" s="37" t="n">
        <f aca="false">CP304+CP307</f>
        <v>-485470.20403654</v>
      </c>
      <c r="CQ308" s="37" t="n">
        <f aca="false">CQ304+CQ307</f>
        <v>-485470.20403654</v>
      </c>
      <c r="CR308" s="37" t="n">
        <f aca="false">CR304+CR307</f>
        <v>-485470.20403654</v>
      </c>
      <c r="CS308" s="37" t="n">
        <f aca="false">CS304+CS307</f>
        <v>-685470.20403654</v>
      </c>
      <c r="CT308" s="37" t="n">
        <f aca="false">CT304+CT307</f>
        <v>-451061.812039968</v>
      </c>
      <c r="CU308" s="37" t="n">
        <f aca="false">CU304+CU307</f>
        <v>-451061.812039968</v>
      </c>
      <c r="CV308" s="37" t="n">
        <f aca="false">CV304+CV307</f>
        <v>-451061.812039968</v>
      </c>
      <c r="CW308" s="37" t="n">
        <f aca="false">CW304+CW307</f>
        <v>-395353.660976375</v>
      </c>
      <c r="CX308" s="37" t="n">
        <f aca="false">CX304+CX307</f>
        <v>-377906.812039968</v>
      </c>
      <c r="CY308" s="37" t="n">
        <f aca="false">CY304+CY307</f>
        <v>-377906.812039968</v>
      </c>
      <c r="CZ308" s="37" t="n">
        <f aca="false">CZ304+CZ307</f>
        <v>-377906.812039968</v>
      </c>
      <c r="DA308" s="37" t="n">
        <f aca="false">DA304+DA307</f>
        <v>-377906.812039968</v>
      </c>
      <c r="DB308" s="37" t="n">
        <f aca="false">DB304+DB307</f>
        <v>-377906.812039968</v>
      </c>
      <c r="DC308" s="37" t="n">
        <f aca="false">DC304+DC307</f>
        <v>-377906.812039968</v>
      </c>
      <c r="DD308" s="37" t="n">
        <f aca="false">DD304+DD307</f>
        <v>-377906.812039968</v>
      </c>
      <c r="DE308" s="37" t="n">
        <f aca="false">DE304+DE307</f>
        <v>-577906.812039968</v>
      </c>
    </row>
    <row r="309" customFormat="false" ht="19.5" hidden="false" customHeight="true" outlineLevel="0" collapsed="false">
      <c r="A309" s="43" t="s">
        <v>152</v>
      </c>
      <c r="B309" s="33" t="n">
        <f aca="false">IFERROR(IF(OR(B304&lt;=0,B308/B304&lt;0,B308/B304&gt;1),0,B308/B304),0)</f>
        <v>0</v>
      </c>
      <c r="C309" s="33" t="n">
        <f aca="false">IFERROR(IF(OR(C304&lt;=0,C308/C304&lt;0,C308/C304&gt;1),0,C308/C304),0)</f>
        <v>0</v>
      </c>
      <c r="D309" s="33" t="n">
        <f aca="false">IFERROR(IF(OR(D304&lt;=0,D308/D304&lt;0,D308/D304&gt;1),0,D308/D304),0)</f>
        <v>0.0339603542325622</v>
      </c>
      <c r="E309" s="33" t="n">
        <f aca="false">IFERROR(IF(OR(E304&lt;=0,E308/E304&lt;0,E308/E304&gt;1),0,E308/E304),0)</f>
        <v>0.44059921304386</v>
      </c>
      <c r="F309" s="33" t="n">
        <f aca="false">IFERROR(IF(OR(F304&lt;=0,F308/F304&lt;0,F308/F304&gt;1),0,F308/F304),0)</f>
        <v>0</v>
      </c>
      <c r="G309" s="33" t="n">
        <f aca="false">IFERROR(IF(OR(G304&lt;=0,G308/G304&lt;0,G308/G304&gt;1),0,G308/G304),0)</f>
        <v>0.516253188631953</v>
      </c>
      <c r="H309" s="33" t="n">
        <f aca="false">IFERROR(IF(OR(H304&lt;=0,H308/H304&lt;0,H308/H304&gt;1),0,H308/H304),0)</f>
        <v>0.719200133606244</v>
      </c>
      <c r="I309" s="33" t="n">
        <f aca="false">IFERROR(IF(OR(I304&lt;=0,I308/I304&lt;0,I308/I304&gt;1),0,I308/I304),0)</f>
        <v>0.231715509454823</v>
      </c>
      <c r="J309" s="33" t="n">
        <f aca="false">IFERROR(IF(OR(J304&lt;=0,J308/J304&lt;0,J308/J304&gt;1),0,J308/J304),0)</f>
        <v>0</v>
      </c>
      <c r="K309" s="33" t="n">
        <f aca="false">IFERROR(IF(OR(K304&lt;=0,K308/K304&lt;0,K308/K304&gt;1),0,K308/K304),0)</f>
        <v>0</v>
      </c>
      <c r="L309" s="33" t="n">
        <f aca="false">IFERROR(IF(OR(L304&lt;=0,L308/L304&lt;0,L308/L304&gt;1),0,L308/L304),0)</f>
        <v>0</v>
      </c>
      <c r="M309" s="33" t="n">
        <f aca="false">IFERROR(IF(OR(M304&lt;=0,M308/M304&lt;0,M308/M304&gt;1),0,M308/M304),0)</f>
        <v>0</v>
      </c>
      <c r="N309" s="33" t="n">
        <f aca="false">IFERROR(IF(OR(N304&lt;=0,N308/N304&lt;0,N308/N304&gt;1),0,N308/N304),0)</f>
        <v>0.111675001708351</v>
      </c>
      <c r="O309" s="33" t="n">
        <f aca="false">IFERROR(IF(OR(O304&lt;=0,O308/O304&lt;0,O308/O304&gt;1),0,O308/O304),0)</f>
        <v>0.12487752836204</v>
      </c>
      <c r="P309" s="33" t="n">
        <f aca="false">IFERROR(IF(OR(P304&lt;=0,P308/P304&lt;0,P308/P304&gt;1),0,P308/P304),0)</f>
        <v>0.191782447708454</v>
      </c>
      <c r="Q309" s="33" t="n">
        <f aca="false">IFERROR(IF(OR(Q304&lt;=0,Q308/Q304&lt;0,Q308/Q304&gt;1),0,Q308/Q304),0)</f>
        <v>0</v>
      </c>
      <c r="R309" s="33" t="n">
        <f aca="false">IFERROR(IF(OR(R304&lt;=0,R308/R304&lt;0,R308/R304&gt;1),0,R308/R304),0)</f>
        <v>0.0383489071024666</v>
      </c>
      <c r="S309" s="33" t="n">
        <f aca="false">IFERROR(IF(OR(S304&lt;=0,S308/S304&lt;0,S308/S304&gt;1),0,S308/S304),0)</f>
        <v>0</v>
      </c>
      <c r="T309" s="33" t="n">
        <f aca="false">IFERROR(IF(OR(T304&lt;=0,T308/T304&lt;0,T308/T304&gt;1),0,T308/T304),0)</f>
        <v>0.437345693512416</v>
      </c>
      <c r="U309" s="33" t="n">
        <f aca="false">IFERROR(IF(OR(U304&lt;=0,U308/U304&lt;0,U308/U304&gt;1),0,U308/U304),0)</f>
        <v>0.38577666881425</v>
      </c>
      <c r="V309" s="33" t="n">
        <f aca="false">IFERROR(IF(OR(V304&lt;=0,V308/V304&lt;0,V308/V304&gt;1),0,V308/V304),0)</f>
        <v>0.338711954199524</v>
      </c>
      <c r="W309" s="33" t="n">
        <f aca="false">IFERROR(IF(OR(W304&lt;=0,W308/W304&lt;0,W308/W304&gt;1),0,W308/W304),0)</f>
        <v>0.271313295291579</v>
      </c>
      <c r="X309" s="33" t="n">
        <f aca="false">IFERROR(IF(OR(X304&lt;=0,X308/X304&lt;0,X308/X304&gt;1),0,X308/X304),0)</f>
        <v>0.451650179320095</v>
      </c>
      <c r="Y309" s="33" t="n">
        <f aca="false">IFERROR(IF(OR(Y304&lt;=0,Y308/Y304&lt;0,Y308/Y304&gt;1),0,Y308/Y304),0)</f>
        <v>0.298612011015603</v>
      </c>
      <c r="Z309" s="33" t="n">
        <f aca="false">IFERROR(IF(OR(Z304&lt;=0,Z308/Z304&lt;0,Z308/Z304&gt;1),0,Z308/Z304),0)</f>
        <v>0.452338367297136</v>
      </c>
      <c r="AA309" s="33" t="n">
        <f aca="false">IFERROR(IF(OR(AA304&lt;=0,AA308/AA304&lt;0,AA308/AA304&gt;1),0,AA308/AA304),0)</f>
        <v>0.414424092982492</v>
      </c>
      <c r="AB309" s="33" t="n">
        <f aca="false">IFERROR(IF(OR(AB304&lt;=0,AB308/AB304&lt;0,AB308/AB304&gt;1),0,AB308/AB304),0)</f>
        <v>0.375714487886718</v>
      </c>
      <c r="AC309" s="33" t="n">
        <f aca="false">IFERROR(IF(OR(AC304&lt;=0,AC308/AC304&lt;0,AC308/AC304&gt;1),0,AC308/AC304),0)</f>
        <v>0.290149812705618</v>
      </c>
      <c r="AD309" s="33" t="n">
        <f aca="false">IFERROR(IF(OR(AD304&lt;=0,AD308/AD304&lt;0,AD308/AD304&gt;1),0,AD308/AD304),0)</f>
        <v>0.327443073373085</v>
      </c>
      <c r="AE309" s="33" t="n">
        <f aca="false">IFERROR(IF(OR(AE304&lt;=0,AE308/AE304&lt;0,AE308/AE304&gt;1),0,AE308/AE304),0)</f>
        <v>0</v>
      </c>
      <c r="AF309" s="33" t="n">
        <f aca="false">IFERROR(IF(OR(AF304&lt;=0,AF308/AF304&lt;0,AF308/AF304&gt;1),0,AF308/AF304),0)</f>
        <v>0.490907319869928</v>
      </c>
      <c r="AG309" s="33" t="n">
        <f aca="false">IFERROR(IF(OR(AG304&lt;=0,AG308/AG304&lt;0,AG308/AG304&gt;1),0,AG308/AG304),0)</f>
        <v>0.466561910482063</v>
      </c>
      <c r="AH309" s="33" t="n">
        <f aca="false">IFERROR(IF(OR(AH304&lt;=0,AH308/AH304&lt;0,AH308/AH304&gt;1),0,AH308/AH304),0)</f>
        <v>0.468496916214379</v>
      </c>
      <c r="AI309" s="33" t="n">
        <f aca="false">IFERROR(IF(OR(AI304&lt;=0,AI308/AI304&lt;0,AI308/AI304&gt;1),0,AI308/AI304),0)</f>
        <v>0.355211087533511</v>
      </c>
      <c r="AJ309" s="33" t="n">
        <f aca="false">IFERROR(IF(OR(AJ304&lt;=0,AJ308/AJ304&lt;0,AJ308/AJ304&gt;1),0,AJ308/AJ304),0)</f>
        <v>0.322332771874363</v>
      </c>
      <c r="AK309" s="33" t="n">
        <f aca="false">IFERROR(IF(OR(AK304&lt;=0,AK308/AK304&lt;0,AK308/AK304&gt;1),0,AK308/AK304),0)</f>
        <v>0</v>
      </c>
      <c r="AL309" s="33" t="n">
        <f aca="false">IFERROR(IF(OR(AL304&lt;=0,AL308/AL304&lt;0,AL308/AL304&gt;1),0,AL308/AL304),0)</f>
        <v>0.188605340250268</v>
      </c>
      <c r="AM309" s="33" t="n">
        <f aca="false">IFERROR(IF(OR(AM304&lt;=0,AM308/AM304&lt;0,AM308/AM304&gt;1),0,AM308/AM304),0)</f>
        <v>0.206808694749265</v>
      </c>
      <c r="AN309" s="33" t="n">
        <f aca="false">IFERROR(IF(OR(AN304&lt;=0,AN308/AN304&lt;0,AN308/AN304&gt;1),0,AN308/AN304),0)</f>
        <v>0.219072308965605</v>
      </c>
      <c r="AO309" s="33" t="n">
        <f aca="false">IFERROR(IF(OR(AO304&lt;=0,AO308/AO304&lt;0,AO308/AO304&gt;1),0,AO308/AO304),0)</f>
        <v>0.100852585573139</v>
      </c>
      <c r="AP309" s="33" t="n">
        <f aca="false">IFERROR(IF(OR(AP304&lt;=0,AP308/AP304&lt;0,AP308/AP304&gt;1),0,AP308/AP304),0)</f>
        <v>0.084690264621362</v>
      </c>
      <c r="AQ309" s="33" t="n">
        <f aca="false">IFERROR(IF(OR(AQ304&lt;=0,AQ308/AQ304&lt;0,AQ308/AQ304&gt;1),0,AQ308/AQ304),0)</f>
        <v>0</v>
      </c>
      <c r="AR309" s="33" t="n">
        <f aca="false">IFERROR(IF(OR(AR304&lt;=0,AR308/AR304&lt;0,AR308/AR304&gt;1),0,AR308/AR304),0)</f>
        <v>0</v>
      </c>
      <c r="AS309" s="33" t="n">
        <f aca="false">IFERROR(IF(OR(AS304&lt;=0,AS308/AS304&lt;0,AS308/AS304&gt;1),0,AS308/AS304),0)</f>
        <v>0</v>
      </c>
      <c r="AT309" s="33" t="n">
        <f aca="false">IFERROR(IF(OR(AT304&lt;=0,AT308/AT304&lt;0,AT308/AT304&gt;1),0,AT308/AT304),0)</f>
        <v>0</v>
      </c>
      <c r="AU309" s="33" t="n">
        <f aca="false">IFERROR(IF(OR(AU304&lt;=0,AU308/AU304&lt;0,AU308/AU304&gt;1),0,AU308/AU304),0)</f>
        <v>0</v>
      </c>
      <c r="AV309" s="33" t="n">
        <f aca="false">IFERROR(IF(OR(AV304&lt;=0,AV308/AV304&lt;0,AV308/AV304&gt;1),0,AV308/AV304),0)</f>
        <v>0.00914310398705747</v>
      </c>
      <c r="AW309" s="33" t="n">
        <f aca="false">IFERROR(IF(OR(AW304&lt;=0,AW308/AW304&lt;0,AW308/AW304&gt;1),0,AW308/AW304),0)</f>
        <v>0</v>
      </c>
      <c r="AX309" s="33" t="n">
        <f aca="false">IFERROR(IF(OR(AX304&lt;=0,AX308/AX304&lt;0,AX308/AX304&gt;1),0,AX308/AX304),0)</f>
        <v>0</v>
      </c>
      <c r="AY309" s="33" t="n">
        <f aca="false">IFERROR(IF(OR(AY304&lt;=0,AY308/AY304&lt;0,AY308/AY304&gt;1),0,AY308/AY304),0)</f>
        <v>0</v>
      </c>
      <c r="AZ309" s="33" t="n">
        <f aca="false">IFERROR(IF(OR(AZ304&lt;=0,AZ308/AZ304&lt;0,AZ308/AZ304&gt;1),0,AZ308/AZ304),0)</f>
        <v>0</v>
      </c>
      <c r="BA309" s="33" t="n">
        <f aca="false">IFERROR(IF(OR(BA304&lt;=0,BA308/BA304&lt;0,BA308/BA304&gt;1),0,BA308/BA304),0)</f>
        <v>0</v>
      </c>
      <c r="BB309" s="33" t="n">
        <f aca="false">IFERROR(IF(OR(BB304&lt;=0,BB308/BB304&lt;0,BB308/BB304&gt;1),0,BB308/BB304),0)</f>
        <v>0</v>
      </c>
      <c r="BC309" s="33" t="n">
        <f aca="false">IFERROR(IF(OR(BC304&lt;=0,BC308/BC304&lt;0,BC308/BC304&gt;1),0,BC308/BC304),0)</f>
        <v>0</v>
      </c>
      <c r="BD309" s="33" t="n">
        <f aca="false">IFERROR(IF(OR(BD304&lt;=0,BD308/BD304&lt;0,BD308/BD304&gt;1),0,BD308/BD304),0)</f>
        <v>0</v>
      </c>
      <c r="BE309" s="33" t="n">
        <f aca="false">IFERROR(IF(OR(BE304&lt;=0,BE308/BE304&lt;0,BE308/BE304&gt;1),0,BE308/BE304),0)</f>
        <v>0</v>
      </c>
      <c r="BF309" s="33" t="n">
        <f aca="false">IFERROR(IF(OR(BF304&lt;=0,BF308/BF304&lt;0,BF308/BF304&gt;1),0,BF308/BF304),0)</f>
        <v>0</v>
      </c>
      <c r="BG309" s="33" t="n">
        <f aca="false">IFERROR(IF(OR(BG304&lt;=0,BG308/BG304&lt;0,BG308/BG304&gt;1),0,BG308/BG304),0)</f>
        <v>0</v>
      </c>
      <c r="BH309" s="33" t="n">
        <f aca="false">IFERROR(IF(OR(BH304&lt;=0,BH308/BH304&lt;0,BH308/BH304&gt;1),0,BH308/BH304),0)</f>
        <v>0</v>
      </c>
      <c r="BI309" s="33" t="n">
        <f aca="false">IFERROR(IF(OR(BI304&lt;=0,BI308/BI304&lt;0,BI308/BI304&gt;1),0,BI308/BI304),0)</f>
        <v>0</v>
      </c>
      <c r="BJ309" s="33" t="n">
        <f aca="false">IFERROR(IF(OR(BJ304&lt;=0,BJ308/BJ304&lt;0,BJ308/BJ304&gt;1),0,BJ308/BJ304),0)</f>
        <v>0</v>
      </c>
      <c r="BK309" s="33" t="n">
        <f aca="false">IFERROR(IF(OR(BK304&lt;=0,BK308/BK304&lt;0,BK308/BK304&gt;1),0,BK308/BK304),0)</f>
        <v>0</v>
      </c>
      <c r="BL309" s="33" t="n">
        <f aca="false">IFERROR(IF(OR(BL304&lt;=0,BL308/BL304&lt;0,BL308/BL304&gt;1),0,BL308/BL304),0)</f>
        <v>0</v>
      </c>
      <c r="BM309" s="33" t="n">
        <f aca="false">IFERROR(IF(OR(BM304&lt;=0,BM308/BM304&lt;0,BM308/BM304&gt;1),0,BM308/BM304),0)</f>
        <v>0</v>
      </c>
      <c r="BN309" s="33" t="n">
        <f aca="false">IFERROR(IF(OR(BN304&lt;=0,BN308/BN304&lt;0,BN308/BN304&gt;1),0,BN308/BN304),0)</f>
        <v>0</v>
      </c>
      <c r="BO309" s="33" t="n">
        <f aca="false">IFERROR(IF(OR(BO304&lt;=0,BO308/BO304&lt;0,BO308/BO304&gt;1),0,BO308/BO304),0)</f>
        <v>0</v>
      </c>
      <c r="BP309" s="33" t="n">
        <f aca="false">IFERROR(IF(OR(BP304&lt;=0,BP308/BP304&lt;0,BP308/BP304&gt;1),0,BP308/BP304),0)</f>
        <v>0</v>
      </c>
      <c r="BQ309" s="33" t="n">
        <f aca="false">IFERROR(IF(OR(BQ304&lt;=0,BQ308/BQ304&lt;0,BQ308/BQ304&gt;1),0,BQ308/BQ304),0)</f>
        <v>0</v>
      </c>
      <c r="BR309" s="33" t="n">
        <f aca="false">IFERROR(IF(OR(BR304&lt;=0,BR308/BR304&lt;0,BR308/BR304&gt;1),0,BR308/BR304),0)</f>
        <v>0</v>
      </c>
      <c r="BS309" s="33" t="n">
        <f aca="false">IFERROR(IF(OR(BS304&lt;=0,BS308/BS304&lt;0,BS308/BS304&gt;1),0,BS308/BS304),0)</f>
        <v>0</v>
      </c>
      <c r="BT309" s="33" t="n">
        <f aca="false">IFERROR(IF(OR(BT304&lt;=0,BT308/BT304&lt;0,BT308/BT304&gt;1),0,BT308/BT304),0)</f>
        <v>0</v>
      </c>
      <c r="BU309" s="33" t="n">
        <f aca="false">IFERROR(IF(OR(BU304&lt;=0,BU308/BU304&lt;0,BU308/BU304&gt;1),0,BU308/BU304),0)</f>
        <v>0</v>
      </c>
      <c r="BV309" s="33" t="n">
        <f aca="false">IFERROR(IF(OR(BV304&lt;=0,BV308/BV304&lt;0,BV308/BV304&gt;1),0,BV308/BV304),0)</f>
        <v>0</v>
      </c>
      <c r="BW309" s="33" t="n">
        <f aca="false">IFERROR(IF(OR(BW304&lt;=0,BW308/BW304&lt;0,BW308/BW304&gt;1),0,BW308/BW304),0)</f>
        <v>0</v>
      </c>
      <c r="BX309" s="33" t="n">
        <f aca="false">IFERROR(IF(OR(BX304&lt;=0,BX308/BX304&lt;0,BX308/BX304&gt;1),0,BX308/BX304),0)</f>
        <v>0</v>
      </c>
      <c r="BY309" s="33" t="n">
        <f aca="false">IFERROR(IF(OR(BY304&lt;=0,BY308/BY304&lt;0,BY308/BY304&gt;1),0,BY308/BY304),0)</f>
        <v>0</v>
      </c>
      <c r="BZ309" s="33" t="n">
        <f aca="false">IFERROR(IF(OR(BZ304&lt;=0,BZ308/BZ304&lt;0,BZ308/BZ304&gt;1),0,BZ308/BZ304),0)</f>
        <v>0</v>
      </c>
      <c r="CA309" s="33" t="n">
        <f aca="false">IFERROR(IF(OR(CA304&lt;=0,CA308/CA304&lt;0,CA308/CA304&gt;1),0,CA308/CA304),0)</f>
        <v>0</v>
      </c>
      <c r="CB309" s="33" t="n">
        <f aca="false">IFERROR(IF(OR(CB304&lt;=0,CB308/CB304&lt;0,CB308/CB304&gt;1),0,CB308/CB304),0)</f>
        <v>0</v>
      </c>
      <c r="CC309" s="33" t="n">
        <f aca="false">IFERROR(IF(OR(CC304&lt;=0,CC308/CC304&lt;0,CC308/CC304&gt;1),0,CC308/CC304),0)</f>
        <v>0</v>
      </c>
      <c r="CD309" s="33" t="n">
        <f aca="false">IFERROR(IF(OR(CD304&lt;=0,CD308/CD304&lt;0,CD308/CD304&gt;1),0,CD308/CD304),0)</f>
        <v>0</v>
      </c>
      <c r="CE309" s="33" t="n">
        <f aca="false">IFERROR(IF(OR(CE304&lt;=0,CE308/CE304&lt;0,CE308/CE304&gt;1),0,CE308/CE304),0)</f>
        <v>0</v>
      </c>
      <c r="CF309" s="33" t="n">
        <f aca="false">IFERROR(IF(OR(CF304&lt;=0,CF308/CF304&lt;0,CF308/CF304&gt;1),0,CF308/CF304),0)</f>
        <v>0</v>
      </c>
      <c r="CG309" s="33" t="n">
        <f aca="false">IFERROR(IF(OR(CG304&lt;=0,CG308/CG304&lt;0,CG308/CG304&gt;1),0,CG308/CG304),0)</f>
        <v>0</v>
      </c>
      <c r="CH309" s="33" t="n">
        <f aca="false">IFERROR(IF(OR(CH304&lt;=0,CH308/CH304&lt;0,CH308/CH304&gt;1),0,CH308/CH304),0)</f>
        <v>0</v>
      </c>
      <c r="CI309" s="33" t="n">
        <f aca="false">IFERROR(IF(OR(CI304&lt;=0,CI308/CI304&lt;0,CI308/CI304&gt;1),0,CI308/CI304),0)</f>
        <v>0</v>
      </c>
      <c r="CJ309" s="33" t="n">
        <f aca="false">IFERROR(IF(OR(CJ304&lt;=0,CJ308/CJ304&lt;0,CJ308/CJ304&gt;1),0,CJ308/CJ304),0)</f>
        <v>0</v>
      </c>
      <c r="CK309" s="33" t="n">
        <f aca="false">IFERROR(IF(OR(CK304&lt;=0,CK308/CK304&lt;0,CK308/CK304&gt;1),0,CK308/CK304),0)</f>
        <v>0</v>
      </c>
      <c r="CL309" s="33" t="n">
        <f aca="false">IFERROR(IF(OR(CL304&lt;=0,CL308/CL304&lt;0,CL308/CL304&gt;1),0,CL308/CL304),0)</f>
        <v>0</v>
      </c>
      <c r="CM309" s="33" t="n">
        <f aca="false">IFERROR(IF(OR(CM304&lt;=0,CM308/CM304&lt;0,CM308/CM304&gt;1),0,CM308/CM304),0)</f>
        <v>0</v>
      </c>
      <c r="CN309" s="33" t="n">
        <f aca="false">IFERROR(IF(OR(CN304&lt;=0,CN308/CN304&lt;0,CN308/CN304&gt;1),0,CN308/CN304),0)</f>
        <v>0</v>
      </c>
      <c r="CO309" s="33" t="n">
        <f aca="false">IFERROR(IF(OR(CO304&lt;=0,CO308/CO304&lt;0,CO308/CO304&gt;1),0,CO308/CO304),0)</f>
        <v>0</v>
      </c>
      <c r="CP309" s="33" t="n">
        <f aca="false">IFERROR(IF(OR(CP304&lt;=0,CP308/CP304&lt;0,CP308/CP304&gt;1),0,CP308/CP304),0)</f>
        <v>0</v>
      </c>
      <c r="CQ309" s="33" t="n">
        <f aca="false">IFERROR(IF(OR(CQ304&lt;=0,CQ308/CQ304&lt;0,CQ308/CQ304&gt;1),0,CQ308/CQ304),0)</f>
        <v>0</v>
      </c>
      <c r="CR309" s="33" t="n">
        <f aca="false">IFERROR(IF(OR(CR304&lt;=0,CR308/CR304&lt;0,CR308/CR304&gt;1),0,CR308/CR304),0)</f>
        <v>0</v>
      </c>
      <c r="CS309" s="33" t="n">
        <f aca="false">IFERROR(IF(OR(CS304&lt;=0,CS308/CS304&lt;0,CS308/CS304&gt;1),0,CS308/CS304),0)</f>
        <v>0</v>
      </c>
      <c r="CT309" s="33" t="n">
        <f aca="false">IFERROR(IF(OR(CT304&lt;=0,CT308/CT304&lt;0,CT308/CT304&gt;1),0,CT308/CT304),0)</f>
        <v>0</v>
      </c>
      <c r="CU309" s="33" t="n">
        <f aca="false">IFERROR(IF(OR(CU304&lt;=0,CU308/CU304&lt;0,CU308/CU304&gt;1),0,CU308/CU304),0)</f>
        <v>0</v>
      </c>
      <c r="CV309" s="33" t="n">
        <f aca="false">IFERROR(IF(OR(CV304&lt;=0,CV308/CV304&lt;0,CV308/CV304&gt;1),0,CV308/CV304),0)</f>
        <v>0</v>
      </c>
      <c r="CW309" s="33" t="n">
        <f aca="false">IFERROR(IF(OR(CW304&lt;=0,CW308/CW304&lt;0,CW308/CW304&gt;1),0,CW308/CW304),0)</f>
        <v>0</v>
      </c>
      <c r="CX309" s="33" t="n">
        <f aca="false">IFERROR(IF(OR(CX304&lt;=0,CX308/CX304&lt;0,CX308/CX304&gt;1),0,CX308/CX304),0)</f>
        <v>0</v>
      </c>
      <c r="CY309" s="33" t="n">
        <f aca="false">IFERROR(IF(OR(CY304&lt;=0,CY308/CY304&lt;0,CY308/CY304&gt;1),0,CY308/CY304),0)</f>
        <v>0</v>
      </c>
      <c r="CZ309" s="33" t="n">
        <f aca="false">IFERROR(IF(OR(CZ304&lt;=0,CZ308/CZ304&lt;0,CZ308/CZ304&gt;1),0,CZ308/CZ304),0)</f>
        <v>0</v>
      </c>
      <c r="DA309" s="33" t="n">
        <f aca="false">IFERROR(IF(OR(DA304&lt;=0,DA308/DA304&lt;0,DA308/DA304&gt;1),0,DA308/DA304),0)</f>
        <v>0</v>
      </c>
      <c r="DB309" s="33" t="n">
        <f aca="false">IFERROR(IF(OR(DB304&lt;=0,DB308/DB304&lt;0,DB308/DB304&gt;1),0,DB308/DB304),0)</f>
        <v>0</v>
      </c>
      <c r="DC309" s="33" t="n">
        <f aca="false">IFERROR(IF(OR(DC304&lt;=0,DC308/DC304&lt;0,DC308/DC304&gt;1),0,DC308/DC304),0)</f>
        <v>0</v>
      </c>
      <c r="DD309" s="33" t="n">
        <f aca="false">IFERROR(IF(OR(DD304&lt;=0,DD308/DD304&lt;0,DD308/DD304&gt;1),0,DD308/DD304),0)</f>
        <v>0</v>
      </c>
      <c r="DE309" s="33" t="n">
        <f aca="false">IFERROR(IF(OR(DE304&lt;=0,DE308/DE304&lt;0,DE308/DE304&gt;1),0,DE308/DE304),0)</f>
        <v>0</v>
      </c>
    </row>
    <row r="310" customFormat="false" ht="15" hidden="false" customHeight="true" outlineLevel="0" collapsed="false">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row>
    <row r="311" customFormat="false" ht="15" hidden="false" customHeight="true" outlineLevel="0" collapsed="false">
      <c r="A311" s="40" t="s">
        <v>153</v>
      </c>
      <c r="B311" s="13" t="n">
        <f aca="false">ROUND(B308-(Budget!C57+Budget!C114),2)</f>
        <v>-118338.95</v>
      </c>
      <c r="C311" s="13" t="n">
        <f aca="false">ROUND(C308-(Budget!D57+Budget!D114),2)</f>
        <v>-396722.56</v>
      </c>
      <c r="D311" s="13" t="n">
        <f aca="false">ROUND(D308-(Budget!E57+Budget!E114),2)</f>
        <v>79136.02</v>
      </c>
      <c r="E311" s="13" t="n">
        <f aca="false">ROUND(E308-(Budget!F57+Budget!F114),2)</f>
        <v>243557.91</v>
      </c>
      <c r="F311" s="13" t="n">
        <f aca="false">ROUND(F308-(Budget!G57+Budget!G114),2)</f>
        <v>-311031.92</v>
      </c>
      <c r="G311" s="13" t="n">
        <f aca="false">ROUND(G308-(Budget!H57+Budget!H114),2)</f>
        <v>363656.62</v>
      </c>
      <c r="H311" s="13" t="n">
        <f aca="false">ROUND(H308-(Budget!I57+Budget!I114),2)</f>
        <v>1173237.17</v>
      </c>
      <c r="I311" s="13" t="n">
        <f aca="false">ROUND(I308-(Budget!J57+Budget!J114),2)</f>
        <v>7155.98</v>
      </c>
      <c r="J311" s="13" t="n">
        <f aca="false">ROUND(J308-(Budget!K57+Budget!K114),2)</f>
        <v>-385653.81</v>
      </c>
      <c r="K311" s="13" t="n">
        <f aca="false">ROUND(K308-(Budget!L57+Budget!L114),2)</f>
        <v>-215620.27</v>
      </c>
      <c r="L311" s="13" t="n">
        <f aca="false">ROUND(L308-(Budget!M57+Budget!M114),2)</f>
        <v>-275631.81</v>
      </c>
      <c r="M311" s="13" t="n">
        <f aca="false">ROUND(M308-(Budget!N57+Budget!N114),2)</f>
        <v>-620565.7</v>
      </c>
      <c r="N311" s="13" t="n">
        <f aca="false">ROUND(N308-'Budget FY2027'!C105,2)</f>
        <v>-0</v>
      </c>
      <c r="O311" s="13" t="n">
        <f aca="false">ROUND(O308-'Budget FY2027'!D105,2)</f>
        <v>-0</v>
      </c>
      <c r="P311" s="13" t="n">
        <f aca="false">ROUND(P308-'Budget FY2027'!E105,2)</f>
        <v>115.38</v>
      </c>
      <c r="Q311" s="13" t="n">
        <f aca="false">ROUND(Q308-'Budget FY2027'!F105,2)</f>
        <v>0</v>
      </c>
      <c r="R311" s="13" t="n">
        <f aca="false">ROUND(R308-'Budget FY2027'!G105,2)</f>
        <v>0</v>
      </c>
      <c r="S311" s="13" t="n">
        <f aca="false">ROUND(S308-'Budget FY2027'!H105,2)</f>
        <v>0</v>
      </c>
      <c r="T311" s="13" t="n">
        <f aca="false">ROUND(T308-'Budget FY2027'!I105,2)</f>
        <v>0</v>
      </c>
      <c r="U311" s="13" t="n">
        <f aca="false">ROUND(U308-'Budget FY2027'!J105,2)</f>
        <v>0</v>
      </c>
      <c r="V311" s="13" t="n">
        <f aca="false">ROUND(V308-'Budget FY2027'!K105,2)</f>
        <v>0</v>
      </c>
      <c r="W311" s="13" t="n">
        <f aca="false">ROUND(W308-'Budget FY2027'!L105,2)</f>
        <v>-0</v>
      </c>
      <c r="X311" s="13" t="n">
        <f aca="false">ROUND(X308-'Budget FY2027'!M105,2)</f>
        <v>0</v>
      </c>
      <c r="Y311" s="13" t="n">
        <f aca="false">ROUND(Y308-'Budget FY2027'!N105,2)</f>
        <v>0</v>
      </c>
      <c r="Z311" s="13" t="n">
        <f aca="false">ROUND(Z308-(Budget!AA57+Budget!AA114),2)</f>
        <v>629928.43</v>
      </c>
      <c r="AA311" s="13" t="n">
        <f aca="false">ROUND(AA308-(Budget!AB57+Budget!AB114),2)</f>
        <v>539761.49</v>
      </c>
      <c r="AB311" s="13" t="n">
        <f aca="false">ROUND(AB308-(Budget!AC57+Budget!AC114),2)</f>
        <v>459002.22</v>
      </c>
      <c r="AC311" s="13" t="n">
        <f aca="false">ROUND(AC308-(Budget!AD57+Budget!AD114),2)</f>
        <v>309899.27</v>
      </c>
      <c r="AD311" s="13" t="n">
        <f aca="false">ROUND(AD308-(Budget!AE57+Budget!AE114),2)</f>
        <v>357120.04</v>
      </c>
      <c r="AE311" s="13" t="n">
        <f aca="false">ROUND(AE308-(Budget!AF57+Budget!AF114),2)</f>
        <v>-147711.9</v>
      </c>
      <c r="AF311" s="13" t="n">
        <f aca="false">ROUND(AF308-(Budget!AG57+Budget!AG114),2)</f>
        <v>686170.57</v>
      </c>
      <c r="AG311" s="13" t="n">
        <f aca="false">ROUND(AG308-(Budget!AH57+Budget!AH114),2)</f>
        <v>619594.92</v>
      </c>
      <c r="AH311" s="13" t="n">
        <f aca="false">ROUND(AH308-(Budget!AI57+Budget!AI114),2)</f>
        <v>609731.16</v>
      </c>
      <c r="AI311" s="13" t="n">
        <f aca="false">ROUND(AI308-(Budget!AJ57+Budget!AJ114),2)</f>
        <v>374291.19</v>
      </c>
      <c r="AJ311" s="13" t="n">
        <f aca="false">ROUND(AJ308-(Budget!AK57+Budget!AK114),2)</f>
        <v>323168.21</v>
      </c>
      <c r="AK311" s="13" t="n">
        <f aca="false">ROUND(AK308-(Budget!AL57+Budget!AL114),2)</f>
        <v>-40323.4</v>
      </c>
      <c r="AL311" s="13" t="n">
        <f aca="false">ROUND(AL308-(Budget!AM57+Budget!AM114),2)</f>
        <v>160912.6</v>
      </c>
      <c r="AM311" s="13" t="n">
        <f aca="false">ROUND(AM308-(Budget!AN57+Budget!AN114),2)</f>
        <v>178859.32</v>
      </c>
      <c r="AN311" s="13" t="n">
        <f aca="false">ROUND(AN308-(Budget!AO57+Budget!AO114),2)</f>
        <v>184849.21</v>
      </c>
      <c r="AO311" s="13" t="n">
        <f aca="false">ROUND(AO308-(Budget!AP57+Budget!AP114),2)</f>
        <v>72193.75</v>
      </c>
      <c r="AP311" s="13" t="n">
        <f aca="false">ROUND(AP308-(Budget!AQ57+Budget!AQ114),2)</f>
        <v>57489.67</v>
      </c>
      <c r="AQ311" s="13" t="n">
        <f aca="false">ROUND(AQ308-(Budget!AR57+Budget!AR114),2)</f>
        <v>-169389.98</v>
      </c>
      <c r="AR311" s="13" t="n">
        <f aca="false">ROUND(AR308-(Budget!AS57+Budget!AS114),2)</f>
        <v>-159774.59</v>
      </c>
      <c r="AS311" s="13" t="n">
        <f aca="false">ROUND(AS308-(Budget!AT57+Budget!AT114),2)</f>
        <v>-159774.59</v>
      </c>
      <c r="AT311" s="13" t="n">
        <f aca="false">ROUND(AT308-(Budget!AU57+Budget!AU114),2)</f>
        <v>-63018.48</v>
      </c>
      <c r="AU311" s="13" t="n">
        <f aca="false">ROUND(AU308-(Budget!AV57+Budget!AV114),2)</f>
        <v>-276590.24</v>
      </c>
      <c r="AV311" s="13" t="n">
        <f aca="false">ROUND(AV308-(Budget!AW57+Budget!AW114),2)</f>
        <v>5510.73</v>
      </c>
      <c r="AW311" s="13" t="n">
        <f aca="false">ROUND(AW308-(Budget!AX57+Budget!AX114),2)</f>
        <v>-639549.06</v>
      </c>
      <c r="AX311" s="13" t="n">
        <f aca="false">ROUND(AX308-(Budget!AY57+Budget!AY114),2)</f>
        <v>-450739.48</v>
      </c>
      <c r="AY311" s="13" t="n">
        <f aca="false">ROUND(AY308-(Budget!AZ57+Budget!AZ114),2)</f>
        <v>-450739.48</v>
      </c>
      <c r="AZ311" s="13" t="n">
        <f aca="false">ROUND(AZ308-(Budget!BA57+Budget!BA114),2)</f>
        <v>-450739.48</v>
      </c>
      <c r="BA311" s="13" t="n">
        <f aca="false">ROUND(BA308-(Budget!BB57+Budget!BB114),2)</f>
        <v>-450739.48</v>
      </c>
      <c r="BB311" s="13" t="n">
        <f aca="false">ROUND(BB308-(Budget!BC57+Budget!BC114),2)</f>
        <v>-450739.48</v>
      </c>
      <c r="BC311" s="13" t="n">
        <f aca="false">ROUND(BC308-(Budget!BD57+Budget!BD114),2)</f>
        <v>-450739.48</v>
      </c>
      <c r="BD311" s="13" t="n">
        <f aca="false">ROUND(BD308-(Budget!BE57+Budget!BE114),2)</f>
        <v>-450739.48</v>
      </c>
      <c r="BE311" s="13" t="n">
        <f aca="false">ROUND(BE308-(Budget!BF57+Budget!BF114),2)</f>
        <v>-450739.48</v>
      </c>
      <c r="BF311" s="13" t="n">
        <f aca="false">ROUND(BF308-(Budget!BG57+Budget!BG114),2)</f>
        <v>-450739.48</v>
      </c>
      <c r="BG311" s="13" t="n">
        <f aca="false">ROUND(BG308-(Budget!BH57+Budget!BH114),2)</f>
        <v>-450739.48</v>
      </c>
      <c r="BH311" s="13" t="n">
        <f aca="false">ROUND(BH308-(Budget!BI57+Budget!BI114),2)</f>
        <v>-201803.2</v>
      </c>
      <c r="BI311" s="13" t="n">
        <f aca="false">ROUND(BI308-(Budget!BJ57+Budget!BJ114),2)</f>
        <v>-808399.12</v>
      </c>
      <c r="BJ311" s="13" t="n">
        <f aca="false">ROUND(BJ308-(Budget!BK57+Budget!BK114),2)</f>
        <v>-619813.34</v>
      </c>
      <c r="BK311" s="13" t="n">
        <f aca="false">ROUND(BK308-(Budget!BL57+Budget!BL114),2)</f>
        <v>-619813.34</v>
      </c>
      <c r="BL311" s="13" t="n">
        <f aca="false">ROUND(BL308-(Budget!BM57+Budget!BM114),2)</f>
        <v>-619813.34</v>
      </c>
      <c r="BM311" s="13" t="n">
        <f aca="false">ROUND(BM308-(Budget!BN57+Budget!BN114),2)</f>
        <v>-619813.34</v>
      </c>
      <c r="BN311" s="13" t="n">
        <f aca="false">ROUND(BN308-(Budget!BO57+Budget!BO114),2)</f>
        <v>-619813.34</v>
      </c>
      <c r="BO311" s="13" t="n">
        <f aca="false">ROUND(BO308-(Budget!BP57+Budget!BP114),2)</f>
        <v>-619813.34</v>
      </c>
      <c r="BP311" s="13" t="n">
        <f aca="false">ROUND(BP308-(Budget!BQ57+Budget!BQ114),2)</f>
        <v>-619813.34</v>
      </c>
      <c r="BQ311" s="13" t="n">
        <f aca="false">ROUND(BQ308-(Budget!BR57+Budget!BR114),2)</f>
        <v>-619813.34</v>
      </c>
      <c r="BR311" s="13" t="n">
        <f aca="false">ROUND(BR308-(Budget!BS57+Budget!BS114),2)</f>
        <v>-566562.99</v>
      </c>
      <c r="BS311" s="13" t="n">
        <f aca="false">ROUND(BS308-(Budget!BT57+Budget!BT114),2)</f>
        <v>-619813.34</v>
      </c>
      <c r="BT311" s="13" t="n">
        <f aca="false">ROUND(BT308-(Budget!BU57+Budget!BU114),2)</f>
        <v>-619813.34</v>
      </c>
      <c r="BU311" s="13" t="n">
        <f aca="false">ROUND(BU308-(Budget!BV57+Budget!BV114),2)</f>
        <v>-752051.34</v>
      </c>
      <c r="BV311" s="13" t="n">
        <f aca="false">ROUND(BV308-(Budget!BW57+Budget!BW114),2)</f>
        <v>-631455.85</v>
      </c>
      <c r="BW311" s="13" t="n">
        <f aca="false">ROUND(BW308-(Budget!BX57+Budget!BX114),2)</f>
        <v>-631455.85</v>
      </c>
      <c r="BX311" s="13" t="n">
        <f aca="false">ROUND(BX308-(Budget!BY57+Budget!BY114),2)</f>
        <v>-563693.85</v>
      </c>
      <c r="BY311" s="13" t="n">
        <f aca="false">ROUND(BY308-(Budget!BZ57+Budget!BZ114),2)</f>
        <v>-631455.85</v>
      </c>
      <c r="BZ311" s="13" t="n">
        <f aca="false">ROUND(BZ308-(Budget!CA57+Budget!CA114),2)</f>
        <v>-631455.85</v>
      </c>
      <c r="CA311" s="13" t="n">
        <f aca="false">ROUND(CA308-(Budget!CB57+Budget!CB114),2)</f>
        <v>-563693.85</v>
      </c>
      <c r="CB311" s="13" t="n">
        <f aca="false">ROUND(CB308-(Budget!CC57+Budget!CC114),2)</f>
        <v>-631455.85</v>
      </c>
      <c r="CC311" s="13" t="n">
        <f aca="false">ROUND(CC308-(Budget!CD57+Budget!CD114),2)</f>
        <v>-631455.85</v>
      </c>
      <c r="CD311" s="13" t="n">
        <f aca="false">ROUND(CD308-(Budget!CE57+Budget!CE114),2)</f>
        <v>-554956.85</v>
      </c>
      <c r="CE311" s="13" t="n">
        <f aca="false">ROUND(CE308-(Budget!CF57+Budget!CF114),2)</f>
        <v>-631455.85</v>
      </c>
      <c r="CF311" s="13" t="n">
        <f aca="false">ROUND(CF308-(Budget!CG57+Budget!CG114),2)</f>
        <v>-631455.85</v>
      </c>
      <c r="CG311" s="13" t="n">
        <f aca="false">ROUND(CG308-(Budget!CH57+Budget!CH114),2)</f>
        <v>-754956.85</v>
      </c>
      <c r="CH311" s="13" t="n">
        <f aca="false">ROUND(CH308-(Budget!CI57+Budget!CI114),2)</f>
        <v>-643331.2</v>
      </c>
      <c r="CI311" s="13" t="n">
        <f aca="false">ROUND(CI308-(Budget!CJ57+Budget!CJ114),2)</f>
        <v>-643331.2</v>
      </c>
      <c r="CJ311" s="13" t="n">
        <f aca="false">ROUND(CJ308-(Budget!CK57+Budget!CK114),2)</f>
        <v>-560224.18</v>
      </c>
      <c r="CK311" s="13" t="n">
        <f aca="false">ROUND(CK308-(Budget!CL57+Budget!CL114),2)</f>
        <v>-485470.2</v>
      </c>
      <c r="CL311" s="13" t="n">
        <f aca="false">ROUND(CL308-(Budget!CM57+Budget!CM114),2)</f>
        <v>-485470.2</v>
      </c>
      <c r="CM311" s="13" t="n">
        <f aca="false">ROUND(CM308-(Budget!CN57+Budget!CN114),2)</f>
        <v>-485470.2</v>
      </c>
      <c r="CN311" s="13" t="n">
        <f aca="false">ROUND(CN308-(Budget!CO57+Budget!CO114),2)</f>
        <v>-485470.2</v>
      </c>
      <c r="CO311" s="13" t="n">
        <f aca="false">ROUND(CO308-(Budget!CP57+Budget!CP114),2)</f>
        <v>-485470.2</v>
      </c>
      <c r="CP311" s="13" t="n">
        <f aca="false">ROUND(CP308-(Budget!CQ57+Budget!CQ114),2)</f>
        <v>-485470.2</v>
      </c>
      <c r="CQ311" s="13" t="n">
        <f aca="false">ROUND(CQ308-(Budget!CR57+Budget!CR114),2)</f>
        <v>-485470.2</v>
      </c>
      <c r="CR311" s="13" t="n">
        <f aca="false">ROUND(CR308-(Budget!CS57+Budget!CS114),2)</f>
        <v>-485470.2</v>
      </c>
      <c r="CS311" s="13" t="n">
        <f aca="false">ROUND(CS308-(Budget!CT57+Budget!CT114),2)</f>
        <v>-685470.2</v>
      </c>
      <c r="CT311" s="13" t="n">
        <f aca="false">ROUND(CT308-(Budget!CU57+Budget!CU114),2)</f>
        <v>-451061.81</v>
      </c>
      <c r="CU311" s="13" t="n">
        <f aca="false">ROUND(CU308-(Budget!CV57+Budget!CV114),2)</f>
        <v>-451061.81</v>
      </c>
      <c r="CV311" s="13" t="n">
        <f aca="false">ROUND(CV308-(Budget!CW57+Budget!CW114),2)</f>
        <v>-451061.81</v>
      </c>
      <c r="CW311" s="13" t="n">
        <f aca="false">ROUND(CW308-(Budget!CX57+Budget!CX114),2)</f>
        <v>-395353.66</v>
      </c>
      <c r="CX311" s="13" t="n">
        <f aca="false">ROUND(CX308-(Budget!CY57+Budget!CY114),2)</f>
        <v>-377906.81</v>
      </c>
      <c r="CY311" s="13" t="n">
        <f aca="false">ROUND(CY308-(Budget!CZ57+Budget!CZ114),2)</f>
        <v>-377906.81</v>
      </c>
      <c r="CZ311" s="13" t="n">
        <f aca="false">ROUND(CZ308-(Budget!DA57+Budget!DA114),2)</f>
        <v>-377906.81</v>
      </c>
      <c r="DA311" s="13" t="n">
        <f aca="false">ROUND(DA308-(Budget!DB57+Budget!DB114),2)</f>
        <v>-377906.81</v>
      </c>
      <c r="DB311" s="13" t="n">
        <f aca="false">ROUND(DB308-(Budget!DC57+Budget!DC114),2)</f>
        <v>-377906.81</v>
      </c>
      <c r="DC311" s="13" t="n">
        <f aca="false">ROUND(DC308-(Budget!DD57+Budget!DD114),2)</f>
        <v>-377906.81</v>
      </c>
      <c r="DD311" s="13" t="n">
        <f aca="false">ROUND(DD308-(Budget!DE57+Budget!DE114),2)</f>
        <v>-377906.81</v>
      </c>
      <c r="DE311" s="13" t="n">
        <f aca="false">ROUND(DE308-(Budget!DF57+Budget!DF114),2)</f>
        <v>-577906.81</v>
      </c>
    </row>
    <row r="312" customFormat="false" ht="15" hidden="false" customHeight="true" outlineLevel="0" collapsed="false">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row>
    <row r="313" customFormat="false" ht="15" hidden="false" customHeight="true" outlineLevel="0" collapsed="false">
      <c r="A313" s="44" t="s">
        <v>154</v>
      </c>
      <c r="B313" s="39"/>
      <c r="C313" s="39"/>
      <c r="D313" s="39"/>
      <c r="E313" s="39"/>
      <c r="F313" s="39"/>
      <c r="G313" s="39"/>
      <c r="H313" s="39"/>
      <c r="I313" s="39"/>
      <c r="J313" s="39"/>
      <c r="K313" s="39"/>
      <c r="L313" s="39"/>
      <c r="M313" s="39"/>
      <c r="N313" s="39"/>
      <c r="O313" s="39"/>
      <c r="P313" s="39"/>
      <c r="Q313" s="39"/>
      <c r="R313" s="39"/>
      <c r="S313" s="39"/>
      <c r="T313" s="39"/>
      <c r="U313" s="39"/>
      <c r="V313" s="39"/>
      <c r="W313" s="39"/>
      <c r="X313" s="39"/>
      <c r="Y313" s="39"/>
      <c r="Z313" s="39"/>
      <c r="AA313" s="39"/>
      <c r="AB313" s="39"/>
      <c r="AC313" s="39"/>
      <c r="AD313" s="39"/>
      <c r="AE313" s="39"/>
      <c r="AF313" s="39"/>
      <c r="AG313" s="39"/>
      <c r="AH313" s="39"/>
      <c r="AI313" s="39"/>
      <c r="AJ313" s="39"/>
      <c r="AK313" s="39"/>
      <c r="AL313" s="39"/>
      <c r="AM313" s="39"/>
      <c r="AN313" s="39"/>
      <c r="AO313" s="39"/>
      <c r="AP313" s="39"/>
      <c r="AQ313" s="39"/>
      <c r="AR313" s="39"/>
      <c r="AS313" s="39"/>
      <c r="AT313" s="39"/>
      <c r="AU313" s="39"/>
      <c r="AV313" s="39"/>
      <c r="AW313" s="39"/>
      <c r="AX313" s="39"/>
      <c r="AY313" s="39"/>
      <c r="AZ313" s="39"/>
      <c r="BA313" s="39"/>
      <c r="BB313" s="39"/>
      <c r="BC313" s="39"/>
      <c r="BD313" s="39"/>
      <c r="BE313" s="39"/>
      <c r="BF313" s="39"/>
      <c r="BG313" s="39"/>
      <c r="BH313" s="39"/>
      <c r="BI313" s="39"/>
      <c r="BJ313" s="39"/>
      <c r="BK313" s="39"/>
      <c r="BL313" s="39"/>
      <c r="BM313" s="39"/>
      <c r="BN313" s="39"/>
      <c r="BO313" s="39"/>
      <c r="BP313" s="39"/>
      <c r="BQ313" s="39"/>
      <c r="BR313" s="39"/>
      <c r="BS313" s="39"/>
      <c r="BT313" s="39"/>
      <c r="BU313" s="39"/>
      <c r="BV313" s="39"/>
      <c r="BW313" s="39"/>
      <c r="BX313" s="39"/>
      <c r="BY313" s="39"/>
      <c r="BZ313" s="39"/>
      <c r="CA313" s="39"/>
      <c r="CB313" s="39"/>
      <c r="CC313" s="39"/>
      <c r="CD313" s="39"/>
      <c r="CE313" s="39"/>
      <c r="CF313" s="39"/>
      <c r="CG313" s="39"/>
      <c r="CH313" s="39"/>
      <c r="CI313" s="39"/>
      <c r="CJ313" s="39"/>
      <c r="CK313" s="39"/>
      <c r="CL313" s="39"/>
      <c r="CM313" s="39"/>
      <c r="CN313" s="39"/>
      <c r="CO313" s="39"/>
      <c r="CP313" s="39"/>
      <c r="CQ313" s="39"/>
      <c r="CR313" s="39"/>
      <c r="CS313" s="39"/>
      <c r="CT313" s="39"/>
      <c r="CU313" s="39"/>
      <c r="CV313" s="39"/>
      <c r="CW313" s="39"/>
      <c r="CX313" s="39"/>
      <c r="CY313" s="39"/>
      <c r="CZ313" s="39"/>
      <c r="DA313" s="39"/>
      <c r="DB313" s="39"/>
      <c r="DC313" s="39"/>
      <c r="DD313" s="39"/>
      <c r="DE313" s="39"/>
    </row>
    <row r="314" customFormat="false" ht="19.5" hidden="false" customHeight="true" outlineLevel="0" collapsed="false">
      <c r="A314" s="22" t="s">
        <v>155</v>
      </c>
      <c r="B314" s="13"/>
      <c r="C314" s="13"/>
      <c r="D314" s="13"/>
      <c r="E314" s="13" t="n">
        <f aca="false">Assumptions!$B$33</f>
        <v>1615485</v>
      </c>
      <c r="F314" s="13" t="n">
        <f aca="false">E317</f>
        <v>1615485</v>
      </c>
      <c r="G314" s="13" t="n">
        <f aca="false">F317</f>
        <v>1615485</v>
      </c>
      <c r="H314" s="13" t="n">
        <f aca="false">G317</f>
        <v>1676065.6875</v>
      </c>
      <c r="I314" s="13" t="n">
        <f aca="false">H317</f>
        <v>1676065.6875</v>
      </c>
      <c r="J314" s="13" t="n">
        <f aca="false">I317</f>
        <v>1676065.6875</v>
      </c>
      <c r="K314" s="13" t="n">
        <f aca="false">J317</f>
        <v>1738918.15078125</v>
      </c>
      <c r="L314" s="13" t="n">
        <f aca="false">K317</f>
        <v>1738918.15078125</v>
      </c>
      <c r="M314" s="13" t="n">
        <f aca="false">L317</f>
        <v>1738918.15078125</v>
      </c>
      <c r="N314" s="13" t="n">
        <f aca="false">M317</f>
        <v>1804127.58143555</v>
      </c>
      <c r="O314" s="13" t="n">
        <f aca="false">N317</f>
        <v>1804127.58143555</v>
      </c>
      <c r="P314" s="13" t="n">
        <f aca="false">O317</f>
        <v>1804127.58143555</v>
      </c>
      <c r="Q314" s="13" t="n">
        <f aca="false">P317</f>
        <v>1871782.36573938</v>
      </c>
      <c r="R314" s="13" t="n">
        <f aca="false">Q317</f>
        <v>1871782.36573938</v>
      </c>
      <c r="S314" s="13" t="n">
        <f aca="false">R317</f>
        <v>1871782.36573938</v>
      </c>
      <c r="T314" s="13" t="n">
        <f aca="false">S317</f>
        <v>1941974.20445461</v>
      </c>
      <c r="U314" s="13" t="n">
        <f aca="false">T317</f>
        <v>1941974.20445461</v>
      </c>
      <c r="V314" s="13" t="n">
        <f aca="false">U317</f>
        <v>1829974.20445461</v>
      </c>
      <c r="W314" s="13" t="n">
        <f aca="false">V317</f>
        <v>1786598.23712165</v>
      </c>
      <c r="X314" s="13" t="n">
        <f aca="false">W317</f>
        <v>1674598.23712165</v>
      </c>
      <c r="Y314" s="13" t="n">
        <f aca="false">X317</f>
        <v>1562598.23712165</v>
      </c>
      <c r="Z314" s="13" t="n">
        <f aca="false">Y317</f>
        <v>1509195.67101372</v>
      </c>
      <c r="AA314" s="13" t="n">
        <f aca="false">Z317</f>
        <v>1397195.67101372</v>
      </c>
      <c r="AB314" s="13" t="n">
        <f aca="false">AA317</f>
        <v>1285195.67101372</v>
      </c>
      <c r="AC314" s="13" t="n">
        <f aca="false">AB317</f>
        <v>1221390.50867673</v>
      </c>
      <c r="AD314" s="13" t="n">
        <f aca="false">AC317</f>
        <v>1109390.50867673</v>
      </c>
      <c r="AE314" s="13" t="n">
        <f aca="false">AD317</f>
        <v>997390.508676731</v>
      </c>
      <c r="AF314" s="13" t="n">
        <f aca="false">AE317</f>
        <v>922792.652752108</v>
      </c>
      <c r="AG314" s="13" t="n">
        <f aca="false">AF317</f>
        <v>810792.652752108</v>
      </c>
      <c r="AH314" s="13" t="n">
        <f aca="false">AG317</f>
        <v>698792.652752108</v>
      </c>
      <c r="AI314" s="13" t="n">
        <f aca="false">AH317</f>
        <v>612997.377230312</v>
      </c>
      <c r="AJ314" s="13" t="n">
        <f aca="false">AI317</f>
        <v>500997.377230312</v>
      </c>
      <c r="AK314" s="13" t="n">
        <f aca="false">AJ317</f>
        <v>388997.377230312</v>
      </c>
      <c r="AL314" s="13" t="n">
        <f aca="false">AK317</f>
        <v>291584.778876449</v>
      </c>
      <c r="AM314" s="13" t="n">
        <f aca="false">AL317</f>
        <v>179584.778876449</v>
      </c>
      <c r="AN314" s="13" t="n">
        <f aca="false">AM317</f>
        <v>67584.7788764492</v>
      </c>
      <c r="AO314" s="13" t="n">
        <f aca="false">AN317</f>
        <v>0</v>
      </c>
      <c r="AP314" s="13" t="n">
        <f aca="false">AO317</f>
        <v>0</v>
      </c>
      <c r="AQ314" s="13" t="n">
        <f aca="false">AP317</f>
        <v>0</v>
      </c>
      <c r="AR314" s="13" t="n">
        <f aca="false">AQ317</f>
        <v>0</v>
      </c>
      <c r="AS314" s="13" t="n">
        <f aca="false">AR317</f>
        <v>0</v>
      </c>
      <c r="AT314" s="13" t="n">
        <f aca="false">AS317</f>
        <v>0</v>
      </c>
      <c r="AU314" s="13" t="n">
        <f aca="false">AT317</f>
        <v>0</v>
      </c>
      <c r="AV314" s="13" t="n">
        <f aca="false">AU317</f>
        <v>0</v>
      </c>
      <c r="AW314" s="13" t="n">
        <f aca="false">AV317</f>
        <v>0</v>
      </c>
      <c r="AX314" s="13" t="n">
        <f aca="false">AW317</f>
        <v>0</v>
      </c>
      <c r="AY314" s="13" t="n">
        <f aca="false">AX317</f>
        <v>0</v>
      </c>
      <c r="AZ314" s="13" t="n">
        <f aca="false">AY317</f>
        <v>0</v>
      </c>
      <c r="BA314" s="13" t="n">
        <f aca="false">AZ317</f>
        <v>0</v>
      </c>
      <c r="BB314" s="13" t="n">
        <f aca="false">BA317</f>
        <v>0</v>
      </c>
      <c r="BC314" s="13" t="n">
        <f aca="false">BB317</f>
        <v>0</v>
      </c>
      <c r="BD314" s="13" t="n">
        <f aca="false">BC317</f>
        <v>0</v>
      </c>
      <c r="BE314" s="13" t="n">
        <f aca="false">BD317</f>
        <v>0</v>
      </c>
      <c r="BF314" s="13" t="n">
        <f aca="false">BE317</f>
        <v>0</v>
      </c>
      <c r="BG314" s="13" t="n">
        <f aca="false">BF317</f>
        <v>0</v>
      </c>
      <c r="BH314" s="13" t="n">
        <f aca="false">BG317</f>
        <v>0</v>
      </c>
      <c r="BI314" s="13" t="n">
        <f aca="false">BH317</f>
        <v>0</v>
      </c>
      <c r="BJ314" s="13" t="n">
        <f aca="false">BI317</f>
        <v>0</v>
      </c>
      <c r="BK314" s="13" t="n">
        <f aca="false">BJ317</f>
        <v>0</v>
      </c>
      <c r="BL314" s="13" t="n">
        <f aca="false">BK317</f>
        <v>0</v>
      </c>
      <c r="BM314" s="13" t="n">
        <f aca="false">BL317</f>
        <v>0</v>
      </c>
      <c r="BN314" s="13" t="n">
        <f aca="false">BM317</f>
        <v>0</v>
      </c>
      <c r="BO314" s="13" t="n">
        <f aca="false">BN317</f>
        <v>0</v>
      </c>
      <c r="BP314" s="13" t="n">
        <f aca="false">BO317</f>
        <v>0</v>
      </c>
      <c r="BQ314" s="13" t="n">
        <f aca="false">BP317</f>
        <v>0</v>
      </c>
      <c r="BR314" s="13" t="n">
        <f aca="false">BQ317</f>
        <v>0</v>
      </c>
      <c r="BS314" s="13" t="n">
        <f aca="false">BR317</f>
        <v>0</v>
      </c>
      <c r="BT314" s="13" t="n">
        <f aca="false">BS317</f>
        <v>0</v>
      </c>
      <c r="BU314" s="13" t="n">
        <f aca="false">BT317</f>
        <v>0</v>
      </c>
      <c r="BV314" s="13" t="n">
        <f aca="false">BU317</f>
        <v>0</v>
      </c>
      <c r="BW314" s="13" t="n">
        <f aca="false">BV317</f>
        <v>0</v>
      </c>
      <c r="BX314" s="13" t="n">
        <f aca="false">BW317</f>
        <v>0</v>
      </c>
      <c r="BY314" s="13" t="n">
        <f aca="false">BX317</f>
        <v>0</v>
      </c>
      <c r="BZ314" s="13" t="n">
        <f aca="false">BY317</f>
        <v>0</v>
      </c>
      <c r="CA314" s="13" t="n">
        <f aca="false">BZ317</f>
        <v>0</v>
      </c>
      <c r="CB314" s="13" t="n">
        <f aca="false">CA317</f>
        <v>0</v>
      </c>
      <c r="CC314" s="13" t="n">
        <f aca="false">CB317</f>
        <v>0</v>
      </c>
      <c r="CD314" s="13" t="n">
        <f aca="false">CC317</f>
        <v>0</v>
      </c>
      <c r="CE314" s="13" t="n">
        <f aca="false">CD317</f>
        <v>0</v>
      </c>
      <c r="CF314" s="13" t="n">
        <f aca="false">CE317</f>
        <v>0</v>
      </c>
      <c r="CG314" s="13" t="n">
        <f aca="false">CF317</f>
        <v>0</v>
      </c>
      <c r="CH314" s="13" t="n">
        <f aca="false">CG317</f>
        <v>0</v>
      </c>
      <c r="CI314" s="13" t="n">
        <f aca="false">CH317</f>
        <v>0</v>
      </c>
      <c r="CJ314" s="13" t="n">
        <f aca="false">CI317</f>
        <v>0</v>
      </c>
      <c r="CK314" s="13" t="n">
        <f aca="false">CJ317</f>
        <v>0</v>
      </c>
      <c r="CL314" s="13" t="n">
        <f aca="false">CK317</f>
        <v>0</v>
      </c>
      <c r="CM314" s="13" t="n">
        <f aca="false">CL317</f>
        <v>0</v>
      </c>
      <c r="CN314" s="13" t="n">
        <f aca="false">CM317</f>
        <v>0</v>
      </c>
      <c r="CO314" s="13" t="n">
        <f aca="false">CN317</f>
        <v>0</v>
      </c>
      <c r="CP314" s="13" t="n">
        <f aca="false">CO317</f>
        <v>0</v>
      </c>
      <c r="CQ314" s="13" t="n">
        <f aca="false">CP317</f>
        <v>0</v>
      </c>
      <c r="CR314" s="13" t="n">
        <f aca="false">CQ317</f>
        <v>0</v>
      </c>
      <c r="CS314" s="13" t="n">
        <f aca="false">CR317</f>
        <v>0</v>
      </c>
      <c r="CT314" s="13" t="n">
        <f aca="false">CS317</f>
        <v>0</v>
      </c>
      <c r="CU314" s="13" t="n">
        <f aca="false">CT317</f>
        <v>0</v>
      </c>
      <c r="CV314" s="13" t="n">
        <f aca="false">CU317</f>
        <v>0</v>
      </c>
      <c r="CW314" s="13" t="n">
        <f aca="false">CV317</f>
        <v>0</v>
      </c>
      <c r="CX314" s="13" t="n">
        <f aca="false">CW317</f>
        <v>0</v>
      </c>
      <c r="CY314" s="13" t="n">
        <f aca="false">CX317</f>
        <v>0</v>
      </c>
      <c r="CZ314" s="13" t="n">
        <f aca="false">CY317</f>
        <v>0</v>
      </c>
      <c r="DA314" s="13" t="n">
        <f aca="false">CZ317</f>
        <v>0</v>
      </c>
      <c r="DB314" s="13" t="n">
        <f aca="false">DA317</f>
        <v>0</v>
      </c>
      <c r="DC314" s="13" t="n">
        <f aca="false">DB317</f>
        <v>0</v>
      </c>
      <c r="DD314" s="13" t="n">
        <f aca="false">DC317</f>
        <v>0</v>
      </c>
      <c r="DE314" s="13" t="n">
        <f aca="false">DD317</f>
        <v>0</v>
      </c>
    </row>
    <row r="315" customFormat="false" ht="15" hidden="false" customHeight="true" outlineLevel="0" collapsed="false">
      <c r="A315" s="22" t="s">
        <v>156</v>
      </c>
      <c r="B315" s="13"/>
      <c r="C315" s="13"/>
      <c r="D315" s="13"/>
      <c r="E315" s="13" t="n">
        <f aca="false">IF(AND(MOD(1,3)=0,E314&gt;0),E314*Assumptions!$B$35,0)</f>
        <v>0</v>
      </c>
      <c r="F315" s="13" t="n">
        <f aca="false">IF(AND(MOD(2,3)=0,F314&gt;0),F314*Assumptions!$B$35,0)</f>
        <v>0</v>
      </c>
      <c r="G315" s="13" t="n">
        <f aca="false">IF(AND(MOD(3,3)=0,G314&gt;0),G314*Assumptions!$B$35,0)</f>
        <v>60580.6875</v>
      </c>
      <c r="H315" s="13" t="n">
        <f aca="false">IF(AND(MOD(4,3)=0,H314&gt;0),H314*Assumptions!$B$35,0)</f>
        <v>0</v>
      </c>
      <c r="I315" s="13" t="n">
        <f aca="false">IF(AND(MOD(5,3)=0,I314&gt;0),I314*Assumptions!$B$35,0)</f>
        <v>0</v>
      </c>
      <c r="J315" s="13" t="n">
        <f aca="false">IF(AND(MOD(6,3)=0,J314&gt;0),J314*Assumptions!$B$35,0)</f>
        <v>62852.46328125</v>
      </c>
      <c r="K315" s="13" t="n">
        <f aca="false">IF(AND(MOD(7,3)=0,K314&gt;0),K314*Assumptions!$B$35,0)</f>
        <v>0</v>
      </c>
      <c r="L315" s="13" t="n">
        <f aca="false">IF(AND(MOD(8,3)=0,L314&gt;0),L314*Assumptions!$B$35,0)</f>
        <v>0</v>
      </c>
      <c r="M315" s="13" t="n">
        <f aca="false">IF(AND(MOD(9,3)=0,M314&gt;0),M314*Assumptions!$B$35,0)</f>
        <v>65209.4306542969</v>
      </c>
      <c r="N315" s="13" t="n">
        <f aca="false">IF(AND(MOD(10,3)=0,N314&gt;0),N314*Assumptions!$B$35,0)</f>
        <v>0</v>
      </c>
      <c r="O315" s="13" t="n">
        <f aca="false">IF(AND(MOD(11,3)=0,O314&gt;0),O314*Assumptions!$B$35,0)</f>
        <v>0</v>
      </c>
      <c r="P315" s="13" t="n">
        <f aca="false">IF(AND(MOD(12,3)=0,P314&gt;0),P314*Assumptions!$B$35,0)</f>
        <v>67654.784303833</v>
      </c>
      <c r="Q315" s="13" t="n">
        <f aca="false">IF(AND(MOD(13,3)=0,Q314&gt;0),Q314*Assumptions!$B$35,0)</f>
        <v>0</v>
      </c>
      <c r="R315" s="13" t="n">
        <f aca="false">IF(AND(MOD(14,3)=0,R314&gt;0),R314*Assumptions!$B$35,0)</f>
        <v>0</v>
      </c>
      <c r="S315" s="13" t="n">
        <f aca="false">IF(AND(MOD(15,3)=0,S314&gt;0),S314*Assumptions!$B$35,0)</f>
        <v>70191.8387152268</v>
      </c>
      <c r="T315" s="13" t="n">
        <f aca="false">IF(AND(MOD(16,3)=0,T314&gt;0),T314*Assumptions!$B$35,0)</f>
        <v>0</v>
      </c>
      <c r="U315" s="13" t="n">
        <f aca="false">IF(AND(MOD(17,3)=0,U314&gt;0),U314*Assumptions!$B$35,0)</f>
        <v>0</v>
      </c>
      <c r="V315" s="13" t="n">
        <f aca="false">IF(AND(MOD(18,3)=0,V314&gt;0),V314*Assumptions!$B$35,0)</f>
        <v>68624.0326670478</v>
      </c>
      <c r="W315" s="13" t="n">
        <f aca="false">IF(AND(MOD(19,3)=0,W314&gt;0),W314*Assumptions!$B$35,0)</f>
        <v>0</v>
      </c>
      <c r="X315" s="13" t="n">
        <f aca="false">IF(AND(MOD(20,3)=0,X314&gt;0),X314*Assumptions!$B$35,0)</f>
        <v>0</v>
      </c>
      <c r="Y315" s="13" t="n">
        <f aca="false">IF(AND(MOD(21,3)=0,Y314&gt;0),Y314*Assumptions!$B$35,0)</f>
        <v>58597.4338920621</v>
      </c>
      <c r="Z315" s="13" t="n">
        <f aca="false">IF(AND(MOD(22,3)=0,Z314&gt;0),Z314*Assumptions!$B$35,0)</f>
        <v>0</v>
      </c>
      <c r="AA315" s="13" t="n">
        <f aca="false">IF(AND(MOD(23,3)=0,AA314&gt;0),AA314*Assumptions!$B$35,0)</f>
        <v>0</v>
      </c>
      <c r="AB315" s="13" t="n">
        <f aca="false">IF(AND(MOD(24,3)=0,AB314&gt;0),AB314*Assumptions!$B$35,0)</f>
        <v>48194.8376630144</v>
      </c>
      <c r="AC315" s="13" t="n">
        <f aca="false">IF(AND(MOD(25,3)=0,AC314&gt;0),AC314*Assumptions!$B$35,0)</f>
        <v>0</v>
      </c>
      <c r="AD315" s="13" t="n">
        <f aca="false">IF(AND(MOD(26,3)=0,AD314&gt;0),AD314*Assumptions!$B$35,0)</f>
        <v>0</v>
      </c>
      <c r="AE315" s="13" t="n">
        <f aca="false">IF(AND(MOD(27,3)=0,AE314&gt;0),AE314*Assumptions!$B$35,0)</f>
        <v>37402.1440753774</v>
      </c>
      <c r="AF315" s="13" t="n">
        <f aca="false">IF(AND(MOD(28,3)=0,AF314&gt;0),AF314*Assumptions!$B$35,0)</f>
        <v>0</v>
      </c>
      <c r="AG315" s="13" t="n">
        <f aca="false">IF(AND(MOD(29,3)=0,AG314&gt;0),AG314*Assumptions!$B$35,0)</f>
        <v>0</v>
      </c>
      <c r="AH315" s="13" t="n">
        <f aca="false">IF(AND(MOD(30,3)=0,AH314&gt;0),AH314*Assumptions!$B$35,0)</f>
        <v>26204.7244782041</v>
      </c>
      <c r="AI315" s="13" t="n">
        <f aca="false">IF(AND(MOD(31,3)=0,AI314&gt;0),AI314*Assumptions!$B$35,0)</f>
        <v>0</v>
      </c>
      <c r="AJ315" s="13" t="n">
        <f aca="false">IF(AND(MOD(32,3)=0,AJ314&gt;0),AJ314*Assumptions!$B$35,0)</f>
        <v>0</v>
      </c>
      <c r="AK315" s="13" t="n">
        <f aca="false">IF(AND(MOD(33,3)=0,AK314&gt;0),AK314*Assumptions!$B$35,0)</f>
        <v>14587.4016461367</v>
      </c>
      <c r="AL315" s="13" t="n">
        <f aca="false">IF(AND(MOD(34,3)=0,AL314&gt;0),AL314*Assumptions!$B$35,0)</f>
        <v>0</v>
      </c>
      <c r="AM315" s="13" t="n">
        <f aca="false">IF(AND(MOD(35,3)=0,AM314&gt;0),AM314*Assumptions!$B$35,0)</f>
        <v>0</v>
      </c>
      <c r="AN315" s="13" t="n">
        <f aca="false">IF(AND(MOD(36,3)=0,AN314&gt;0),AN314*Assumptions!$B$35,0)</f>
        <v>2534.42920786684</v>
      </c>
      <c r="AO315" s="13" t="n">
        <f aca="false">IF(AND(MOD(37,3)=0,AO314&gt;0),AO314*Assumptions!$B$35,0)</f>
        <v>0</v>
      </c>
      <c r="AP315" s="13" t="n">
        <f aca="false">IF(AND(MOD(38,3)=0,AP314&gt;0),AP314*Assumptions!$B$35,0)</f>
        <v>0</v>
      </c>
      <c r="AQ315" s="13" t="n">
        <f aca="false">IF(AND(MOD(39,3)=0,AQ314&gt;0),AQ314*Assumptions!$B$35,0)</f>
        <v>0</v>
      </c>
      <c r="AR315" s="13" t="n">
        <f aca="false">IF(AND(MOD(40,3)=0,AR314&gt;0),AR314*Assumptions!$B$35,0)</f>
        <v>0</v>
      </c>
      <c r="AS315" s="13" t="n">
        <f aca="false">IF(AND(MOD(41,3)=0,AS314&gt;0),AS314*Assumptions!$B$35,0)</f>
        <v>0</v>
      </c>
      <c r="AT315" s="13" t="n">
        <f aca="false">IF(AND(MOD(42,3)=0,AT314&gt;0),AT314*Assumptions!$B$35,0)</f>
        <v>0</v>
      </c>
      <c r="AU315" s="13" t="n">
        <f aca="false">IF(AND(MOD(43,3)=0,AU314&gt;0),AU314*Assumptions!$B$35,0)</f>
        <v>0</v>
      </c>
      <c r="AV315" s="13" t="n">
        <f aca="false">IF(AND(MOD(44,3)=0,AV314&gt;0),AV314*Assumptions!$B$35,0)</f>
        <v>0</v>
      </c>
      <c r="AW315" s="13" t="n">
        <f aca="false">IF(AND(MOD(45,3)=0,AW314&gt;0),AW314*Assumptions!$B$35,0)</f>
        <v>0</v>
      </c>
      <c r="AX315" s="13" t="n">
        <f aca="false">IF(AND(MOD(46,3)=0,AX314&gt;0),AX314*Assumptions!$B$35,0)</f>
        <v>0</v>
      </c>
      <c r="AY315" s="13" t="n">
        <f aca="false">IF(AND(MOD(47,3)=0,AY314&gt;0),AY314*Assumptions!$B$35,0)</f>
        <v>0</v>
      </c>
      <c r="AZ315" s="13" t="n">
        <f aca="false">IF(AND(MOD(48,3)=0,AZ314&gt;0),AZ314*Assumptions!$B$35,0)</f>
        <v>0</v>
      </c>
      <c r="BA315" s="13" t="n">
        <f aca="false">IF(AND(MOD(49,3)=0,BA314&gt;0),BA314*Assumptions!$B$35,0)</f>
        <v>0</v>
      </c>
      <c r="BB315" s="13" t="n">
        <f aca="false">IF(AND(MOD(50,3)=0,BB314&gt;0),BB314*Assumptions!$B$35,0)</f>
        <v>0</v>
      </c>
      <c r="BC315" s="13" t="n">
        <f aca="false">IF(AND(MOD(51,3)=0,BC314&gt;0),BC314*Assumptions!$B$35,0)</f>
        <v>0</v>
      </c>
      <c r="BD315" s="13" t="n">
        <f aca="false">IF(AND(MOD(52,3)=0,BD314&gt;0),BD314*Assumptions!$B$35,0)</f>
        <v>0</v>
      </c>
      <c r="BE315" s="13" t="n">
        <f aca="false">IF(AND(MOD(53,3)=0,BE314&gt;0),BE314*Assumptions!$B$35,0)</f>
        <v>0</v>
      </c>
      <c r="BF315" s="13" t="n">
        <f aca="false">IF(AND(MOD(54,3)=0,BF314&gt;0),BF314*Assumptions!$B$35,0)</f>
        <v>0</v>
      </c>
      <c r="BG315" s="13" t="n">
        <f aca="false">IF(AND(MOD(55,3)=0,BG314&gt;0),BG314*Assumptions!$B$35,0)</f>
        <v>0</v>
      </c>
      <c r="BH315" s="13" t="n">
        <f aca="false">IF(AND(MOD(56,3)=0,BH314&gt;0),BH314*Assumptions!$B$35,0)</f>
        <v>0</v>
      </c>
      <c r="BI315" s="13" t="n">
        <f aca="false">IF(AND(MOD(57,3)=0,BI314&gt;0),BI314*Assumptions!$B$35,0)</f>
        <v>0</v>
      </c>
      <c r="BJ315" s="13" t="n">
        <f aca="false">IF(AND(MOD(58,3)=0,BJ314&gt;0),BJ314*Assumptions!$B$35,0)</f>
        <v>0</v>
      </c>
      <c r="BK315" s="13" t="n">
        <f aca="false">IF(AND(MOD(59,3)=0,BK314&gt;0),BK314*Assumptions!$B$35,0)</f>
        <v>0</v>
      </c>
      <c r="BL315" s="13" t="n">
        <f aca="false">IF(AND(MOD(60,3)=0,BL314&gt;0),BL314*Assumptions!$B$35,0)</f>
        <v>0</v>
      </c>
      <c r="BM315" s="13" t="n">
        <f aca="false">IF(AND(MOD(61,3)=0,BM314&gt;0),BM314*Assumptions!$B$35,0)</f>
        <v>0</v>
      </c>
      <c r="BN315" s="13" t="n">
        <f aca="false">IF(AND(MOD(62,3)=0,BN314&gt;0),BN314*Assumptions!$B$35,0)</f>
        <v>0</v>
      </c>
      <c r="BO315" s="13" t="n">
        <f aca="false">IF(AND(MOD(63,3)=0,BO314&gt;0),BO314*Assumptions!$B$35,0)</f>
        <v>0</v>
      </c>
      <c r="BP315" s="13" t="n">
        <f aca="false">IF(AND(MOD(64,3)=0,BP314&gt;0),BP314*Assumptions!$B$35,0)</f>
        <v>0</v>
      </c>
      <c r="BQ315" s="13" t="n">
        <f aca="false">IF(AND(MOD(65,3)=0,BQ314&gt;0),BQ314*Assumptions!$B$35,0)</f>
        <v>0</v>
      </c>
      <c r="BR315" s="13" t="n">
        <f aca="false">IF(AND(MOD(66,3)=0,BR314&gt;0),BR314*Assumptions!$B$35,0)</f>
        <v>0</v>
      </c>
      <c r="BS315" s="13" t="n">
        <f aca="false">IF(AND(MOD(67,3)=0,BS314&gt;0),BS314*Assumptions!$B$35,0)</f>
        <v>0</v>
      </c>
      <c r="BT315" s="13" t="n">
        <f aca="false">IF(AND(MOD(68,3)=0,BT314&gt;0),BT314*Assumptions!$B$35,0)</f>
        <v>0</v>
      </c>
      <c r="BU315" s="13" t="n">
        <f aca="false">IF(AND(MOD(69,3)=0,BU314&gt;0),BU314*Assumptions!$B$35,0)</f>
        <v>0</v>
      </c>
      <c r="BV315" s="13" t="n">
        <f aca="false">IF(AND(MOD(70,3)=0,BV314&gt;0),BV314*Assumptions!$B$35,0)</f>
        <v>0</v>
      </c>
      <c r="BW315" s="13" t="n">
        <f aca="false">IF(AND(MOD(71,3)=0,BW314&gt;0),BW314*Assumptions!$B$35,0)</f>
        <v>0</v>
      </c>
      <c r="BX315" s="13" t="n">
        <f aca="false">IF(AND(MOD(72,3)=0,BX314&gt;0),BX314*Assumptions!$B$35,0)</f>
        <v>0</v>
      </c>
      <c r="BY315" s="13" t="n">
        <f aca="false">IF(AND(MOD(73,3)=0,BY314&gt;0),BY314*Assumptions!$B$35,0)</f>
        <v>0</v>
      </c>
      <c r="BZ315" s="13" t="n">
        <f aca="false">IF(AND(MOD(74,3)=0,BZ314&gt;0),BZ314*Assumptions!$B$35,0)</f>
        <v>0</v>
      </c>
      <c r="CA315" s="13" t="n">
        <f aca="false">IF(AND(MOD(75,3)=0,CA314&gt;0),CA314*Assumptions!$B$35,0)</f>
        <v>0</v>
      </c>
      <c r="CB315" s="13" t="n">
        <f aca="false">IF(AND(MOD(76,3)=0,CB314&gt;0),CB314*Assumptions!$B$35,0)</f>
        <v>0</v>
      </c>
      <c r="CC315" s="13" t="n">
        <f aca="false">IF(AND(MOD(77,3)=0,CC314&gt;0),CC314*Assumptions!$B$35,0)</f>
        <v>0</v>
      </c>
      <c r="CD315" s="13" t="n">
        <f aca="false">IF(AND(MOD(78,3)=0,CD314&gt;0),CD314*Assumptions!$B$35,0)</f>
        <v>0</v>
      </c>
      <c r="CE315" s="13" t="n">
        <f aca="false">IF(AND(MOD(79,3)=0,CE314&gt;0),CE314*Assumptions!$B$35,0)</f>
        <v>0</v>
      </c>
      <c r="CF315" s="13" t="n">
        <f aca="false">IF(AND(MOD(80,3)=0,CF314&gt;0),CF314*Assumptions!$B$35,0)</f>
        <v>0</v>
      </c>
      <c r="CG315" s="13" t="n">
        <f aca="false">IF(AND(MOD(81,3)=0,CG314&gt;0),CG314*Assumptions!$B$35,0)</f>
        <v>0</v>
      </c>
      <c r="CH315" s="13" t="n">
        <f aca="false">IF(AND(MOD(82,3)=0,CH314&gt;0),CH314*Assumptions!$B$35,0)</f>
        <v>0</v>
      </c>
      <c r="CI315" s="13" t="n">
        <f aca="false">IF(AND(MOD(83,3)=0,CI314&gt;0),CI314*Assumptions!$B$35,0)</f>
        <v>0</v>
      </c>
      <c r="CJ315" s="13" t="n">
        <f aca="false">IF(AND(MOD(84,3)=0,CJ314&gt;0),CJ314*Assumptions!$B$35,0)</f>
        <v>0</v>
      </c>
      <c r="CK315" s="13" t="n">
        <f aca="false">IF(AND(MOD(85,3)=0,CK314&gt;0),CK314*Assumptions!$B$35,0)</f>
        <v>0</v>
      </c>
      <c r="CL315" s="13" t="n">
        <f aca="false">IF(AND(MOD(86,3)=0,CL314&gt;0),CL314*Assumptions!$B$35,0)</f>
        <v>0</v>
      </c>
      <c r="CM315" s="13" t="n">
        <f aca="false">IF(AND(MOD(87,3)=0,CM314&gt;0),CM314*Assumptions!$B$35,0)</f>
        <v>0</v>
      </c>
      <c r="CN315" s="13" t="n">
        <f aca="false">IF(AND(MOD(88,3)=0,CN314&gt;0),CN314*Assumptions!$B$35,0)</f>
        <v>0</v>
      </c>
      <c r="CO315" s="13" t="n">
        <f aca="false">IF(AND(MOD(89,3)=0,CO314&gt;0),CO314*Assumptions!$B$35,0)</f>
        <v>0</v>
      </c>
      <c r="CP315" s="13" t="n">
        <f aca="false">IF(AND(MOD(90,3)=0,CP314&gt;0),CP314*Assumptions!$B$35,0)</f>
        <v>0</v>
      </c>
      <c r="CQ315" s="13" t="n">
        <f aca="false">IF(AND(MOD(91,3)=0,CQ314&gt;0),CQ314*Assumptions!$B$35,0)</f>
        <v>0</v>
      </c>
      <c r="CR315" s="13" t="n">
        <f aca="false">IF(AND(MOD(92,3)=0,CR314&gt;0),CR314*Assumptions!$B$35,0)</f>
        <v>0</v>
      </c>
      <c r="CS315" s="13" t="n">
        <f aca="false">IF(AND(MOD(93,3)=0,CS314&gt;0),CS314*Assumptions!$B$35,0)</f>
        <v>0</v>
      </c>
      <c r="CT315" s="13" t="n">
        <f aca="false">IF(AND(MOD(94,3)=0,CT314&gt;0),CT314*Assumptions!$B$35,0)</f>
        <v>0</v>
      </c>
      <c r="CU315" s="13" t="n">
        <f aca="false">IF(AND(MOD(95,3)=0,CU314&gt;0),CU314*Assumptions!$B$35,0)</f>
        <v>0</v>
      </c>
      <c r="CV315" s="13" t="n">
        <f aca="false">IF(AND(MOD(96,3)=0,CV314&gt;0),CV314*Assumptions!$B$35,0)</f>
        <v>0</v>
      </c>
      <c r="CW315" s="13" t="n">
        <f aca="false">IF(AND(MOD(97,3)=0,CW314&gt;0),CW314*Assumptions!$B$35,0)</f>
        <v>0</v>
      </c>
      <c r="CX315" s="13" t="n">
        <f aca="false">IF(AND(MOD(98,3)=0,CX314&gt;0),CX314*Assumptions!$B$35,0)</f>
        <v>0</v>
      </c>
      <c r="CY315" s="13" t="n">
        <f aca="false">IF(AND(MOD(99,3)=0,CY314&gt;0),CY314*Assumptions!$B$35,0)</f>
        <v>0</v>
      </c>
      <c r="CZ315" s="13" t="n">
        <f aca="false">IF(AND(MOD(100,3)=0,CZ314&gt;0),CZ314*Assumptions!$B$35,0)</f>
        <v>0</v>
      </c>
      <c r="DA315" s="13" t="n">
        <f aca="false">IF(AND(MOD(101,3)=0,DA314&gt;0),DA314*Assumptions!$B$35,0)</f>
        <v>0</v>
      </c>
      <c r="DB315" s="13" t="n">
        <f aca="false">IF(AND(MOD(102,3)=0,DB314&gt;0),DB314*Assumptions!$B$35,0)</f>
        <v>0</v>
      </c>
      <c r="DC315" s="13" t="n">
        <f aca="false">IF(AND(MOD(103,3)=0,DC314&gt;0),DC314*Assumptions!$B$35,0)</f>
        <v>0</v>
      </c>
      <c r="DD315" s="13" t="n">
        <f aca="false">IF(AND(MOD(104,3)=0,DD314&gt;0),DD314*Assumptions!$B$35,0)</f>
        <v>0</v>
      </c>
      <c r="DE315" s="13" t="n">
        <f aca="false">IF(AND(MOD(105,3)=0,DE314&gt;0),DE314*Assumptions!$B$35,0)</f>
        <v>0</v>
      </c>
    </row>
    <row r="316" customFormat="false" ht="15" hidden="false" customHeight="true" outlineLevel="0" collapsed="false">
      <c r="A316" s="22" t="s">
        <v>157</v>
      </c>
      <c r="B316" s="13"/>
      <c r="C316" s="13"/>
      <c r="D316" s="13"/>
      <c r="E316" s="13" t="n">
        <f aca="false">IF(AND(1&gt;=Assumptions!$B$37,E314+E315&gt;0),-MIN(Assumptions!$B$36,E314+E315),0)</f>
        <v>0</v>
      </c>
      <c r="F316" s="13" t="n">
        <f aca="false">IF(AND(2&gt;=Assumptions!$B$37,F314+F315&gt;0),-MIN(Assumptions!$B$36,F314+F315),0)</f>
        <v>0</v>
      </c>
      <c r="G316" s="13" t="n">
        <f aca="false">IF(AND(3&gt;=Assumptions!$B$37,G314+G315&gt;0),-MIN(Assumptions!$B$36,G314+G315),0)</f>
        <v>0</v>
      </c>
      <c r="H316" s="13" t="n">
        <f aca="false">IF(AND(4&gt;=Assumptions!$B$37,H314+H315&gt;0),-MIN(Assumptions!$B$36,H314+H315),0)</f>
        <v>0</v>
      </c>
      <c r="I316" s="13" t="n">
        <f aca="false">IF(AND(5&gt;=Assumptions!$B$37,I314+I315&gt;0),-MIN(Assumptions!$B$36,I314+I315),0)</f>
        <v>0</v>
      </c>
      <c r="J316" s="13" t="n">
        <f aca="false">IF(AND(6&gt;=Assumptions!$B$37,J314+J315&gt;0),-MIN(Assumptions!$B$36,J314+J315),0)</f>
        <v>0</v>
      </c>
      <c r="K316" s="13" t="n">
        <f aca="false">IF(AND(7&gt;=Assumptions!$B$37,K314+K315&gt;0),-MIN(Assumptions!$B$36,K314+K315),0)</f>
        <v>0</v>
      </c>
      <c r="L316" s="13" t="n">
        <f aca="false">IF(AND(8&gt;=Assumptions!$B$37,L314+L315&gt;0),-MIN(Assumptions!$B$36,L314+L315),0)</f>
        <v>0</v>
      </c>
      <c r="M316" s="13" t="n">
        <f aca="false">IF(AND(9&gt;=Assumptions!$B$37,M314+M315&gt;0),-MIN(Assumptions!$B$36,M314+M315),0)</f>
        <v>0</v>
      </c>
      <c r="N316" s="13" t="n">
        <f aca="false">IF(AND(10&gt;=Assumptions!$B$37,N314+N315&gt;0),-MIN(Assumptions!$B$36,N314+N315),0)</f>
        <v>0</v>
      </c>
      <c r="O316" s="13" t="n">
        <f aca="false">IF(AND(11&gt;=Assumptions!$B$37,O314+O315&gt;0),-MIN(Assumptions!$B$36,O314+O315),0)</f>
        <v>0</v>
      </c>
      <c r="P316" s="13" t="n">
        <f aca="false">IF(AND(12&gt;=Assumptions!$B$37,P314+P315&gt;0),-MIN(Assumptions!$B$36,P314+P315),0)</f>
        <v>0</v>
      </c>
      <c r="Q316" s="13" t="n">
        <f aca="false">IF(AND(13&gt;=Assumptions!$B$37,Q314+Q315&gt;0),-MIN(Assumptions!$B$36,Q314+Q315),0)</f>
        <v>0</v>
      </c>
      <c r="R316" s="13" t="n">
        <f aca="false">IF(AND(14&gt;=Assumptions!$B$37,R314+R315&gt;0),-MIN(Assumptions!$B$36,R314+R315),0)</f>
        <v>0</v>
      </c>
      <c r="S316" s="13" t="n">
        <f aca="false">IF(AND(15&gt;=Assumptions!$B$37,S314+S315&gt;0),-MIN(Assumptions!$B$36,S314+S315),0)</f>
        <v>0</v>
      </c>
      <c r="T316" s="13" t="n">
        <f aca="false">IF(AND(16&gt;=Assumptions!$B$37,T314+T315&gt;0),-MIN(Assumptions!$B$36,T314+T315),0)</f>
        <v>0</v>
      </c>
      <c r="U316" s="13" t="n">
        <f aca="false">IF(AND(17&gt;=Assumptions!$B$37,U314+U315&gt;0),-MIN(Assumptions!$B$36,U314+U315),0)</f>
        <v>-112000</v>
      </c>
      <c r="V316" s="13" t="n">
        <f aca="false">IF(AND(18&gt;=Assumptions!$B$37,V314+V315&gt;0),-MIN(Assumptions!$B$36,V314+V315),0)</f>
        <v>-112000</v>
      </c>
      <c r="W316" s="13" t="n">
        <f aca="false">IF(AND(19&gt;=Assumptions!$B$37,W314+W315&gt;0),-MIN(Assumptions!$B$36,W314+W315),0)</f>
        <v>-112000</v>
      </c>
      <c r="X316" s="13" t="n">
        <f aca="false">IF(AND(20&gt;=Assumptions!$B$37,X314+X315&gt;0),-MIN(Assumptions!$B$36,X314+X315),0)</f>
        <v>-112000</v>
      </c>
      <c r="Y316" s="13" t="n">
        <f aca="false">IF(AND(21&gt;=Assumptions!$B$37,Y314+Y315&gt;0),-MIN(Assumptions!$B$36,Y314+Y315),0)</f>
        <v>-112000</v>
      </c>
      <c r="Z316" s="13" t="n">
        <f aca="false">IF(AND(22&gt;=Assumptions!$B$37,Z314+Z315&gt;0),-MIN(Assumptions!$B$36,Z314+Z315),0)</f>
        <v>-112000</v>
      </c>
      <c r="AA316" s="13" t="n">
        <f aca="false">IF(AND(23&gt;=Assumptions!$B$37,AA314+AA315&gt;0),-MIN(Assumptions!$B$36,AA314+AA315),0)</f>
        <v>-112000</v>
      </c>
      <c r="AB316" s="13" t="n">
        <f aca="false">IF(AND(24&gt;=Assumptions!$B$37,AB314+AB315&gt;0),-MIN(Assumptions!$B$36,AB314+AB315),0)</f>
        <v>-112000</v>
      </c>
      <c r="AC316" s="13" t="n">
        <f aca="false">IF(AND(25&gt;=Assumptions!$B$37,AC314+AC315&gt;0),-MIN(Assumptions!$B$36,AC314+AC315),0)</f>
        <v>-112000</v>
      </c>
      <c r="AD316" s="13" t="n">
        <f aca="false">IF(AND(26&gt;=Assumptions!$B$37,AD314+AD315&gt;0),-MIN(Assumptions!$B$36,AD314+AD315),0)</f>
        <v>-112000</v>
      </c>
      <c r="AE316" s="13" t="n">
        <f aca="false">IF(AND(27&gt;=Assumptions!$B$37,AE314+AE315&gt;0),-MIN(Assumptions!$B$36,AE314+AE315),0)</f>
        <v>-112000</v>
      </c>
      <c r="AF316" s="13" t="n">
        <f aca="false">IF(AND(28&gt;=Assumptions!$B$37,AF314+AF315&gt;0),-MIN(Assumptions!$B$36,AF314+AF315),0)</f>
        <v>-112000</v>
      </c>
      <c r="AG316" s="13" t="n">
        <f aca="false">IF(AND(29&gt;=Assumptions!$B$37,AG314+AG315&gt;0),-MIN(Assumptions!$B$36,AG314+AG315),0)</f>
        <v>-112000</v>
      </c>
      <c r="AH316" s="13" t="n">
        <f aca="false">IF(AND(30&gt;=Assumptions!$B$37,AH314+AH315&gt;0),-MIN(Assumptions!$B$36,AH314+AH315),0)</f>
        <v>-112000</v>
      </c>
      <c r="AI316" s="13" t="n">
        <f aca="false">IF(AND(31&gt;=Assumptions!$B$37,AI314+AI315&gt;0),-MIN(Assumptions!$B$36,AI314+AI315),0)</f>
        <v>-112000</v>
      </c>
      <c r="AJ316" s="13" t="n">
        <f aca="false">IF(AND(32&gt;=Assumptions!$B$37,AJ314+AJ315&gt;0),-MIN(Assumptions!$B$36,AJ314+AJ315),0)</f>
        <v>-112000</v>
      </c>
      <c r="AK316" s="13" t="n">
        <f aca="false">IF(AND(33&gt;=Assumptions!$B$37,AK314+AK315&gt;0),-MIN(Assumptions!$B$36,AK314+AK315),0)</f>
        <v>-112000</v>
      </c>
      <c r="AL316" s="13" t="n">
        <f aca="false">IF(AND(34&gt;=Assumptions!$B$37,AL314+AL315&gt;0),-MIN(Assumptions!$B$36,AL314+AL315),0)</f>
        <v>-112000</v>
      </c>
      <c r="AM316" s="13" t="n">
        <f aca="false">IF(AND(35&gt;=Assumptions!$B$37,AM314+AM315&gt;0),-MIN(Assumptions!$B$36,AM314+AM315),0)</f>
        <v>-112000</v>
      </c>
      <c r="AN316" s="13" t="n">
        <f aca="false">IF(AND(36&gt;=Assumptions!$B$37,AN314+AN315&gt;0),-MIN(Assumptions!$B$36,AN314+AN315),0)</f>
        <v>-70119.208084316</v>
      </c>
      <c r="AO316" s="13" t="n">
        <f aca="false">IF(AND(37&gt;=Assumptions!$B$37,AO314+AO315&gt;0),-MIN(Assumptions!$B$36,AO314+AO315),0)</f>
        <v>0</v>
      </c>
      <c r="AP316" s="13" t="n">
        <f aca="false">IF(AND(38&gt;=Assumptions!$B$37,AP314+AP315&gt;0),-MIN(Assumptions!$B$36,AP314+AP315),0)</f>
        <v>0</v>
      </c>
      <c r="AQ316" s="13" t="n">
        <f aca="false">IF(AND(39&gt;=Assumptions!$B$37,AQ314+AQ315&gt;0),-MIN(Assumptions!$B$36,AQ314+AQ315),0)</f>
        <v>0</v>
      </c>
      <c r="AR316" s="13" t="n">
        <f aca="false">IF(AND(40&gt;=Assumptions!$B$37,AR314+AR315&gt;0),-MIN(Assumptions!$B$36,AR314+AR315),0)</f>
        <v>0</v>
      </c>
      <c r="AS316" s="13" t="n">
        <f aca="false">IF(AND(41&gt;=Assumptions!$B$37,AS314+AS315&gt;0),-MIN(Assumptions!$B$36,AS314+AS315),0)</f>
        <v>0</v>
      </c>
      <c r="AT316" s="13" t="n">
        <f aca="false">IF(AND(42&gt;=Assumptions!$B$37,AT314+AT315&gt;0),-MIN(Assumptions!$B$36,AT314+AT315),0)</f>
        <v>0</v>
      </c>
      <c r="AU316" s="13" t="n">
        <f aca="false">IF(AND(43&gt;=Assumptions!$B$37,AU314+AU315&gt;0),-MIN(Assumptions!$B$36,AU314+AU315),0)</f>
        <v>0</v>
      </c>
      <c r="AV316" s="13" t="n">
        <f aca="false">IF(AND(44&gt;=Assumptions!$B$37,AV314+AV315&gt;0),-MIN(Assumptions!$B$36,AV314+AV315),0)</f>
        <v>0</v>
      </c>
      <c r="AW316" s="13" t="n">
        <f aca="false">IF(AND(45&gt;=Assumptions!$B$37,AW314+AW315&gt;0),-MIN(Assumptions!$B$36,AW314+AW315),0)</f>
        <v>0</v>
      </c>
      <c r="AX316" s="13" t="n">
        <f aca="false">IF(AND(46&gt;=Assumptions!$B$37,AX314+AX315&gt;0),-MIN(Assumptions!$B$36,AX314+AX315),0)</f>
        <v>0</v>
      </c>
      <c r="AY316" s="13" t="n">
        <f aca="false">IF(AND(47&gt;=Assumptions!$B$37,AY314+AY315&gt;0),-MIN(Assumptions!$B$36,AY314+AY315),0)</f>
        <v>0</v>
      </c>
      <c r="AZ316" s="13" t="n">
        <f aca="false">IF(AND(48&gt;=Assumptions!$B$37,AZ314+AZ315&gt;0),-MIN(Assumptions!$B$36,AZ314+AZ315),0)</f>
        <v>0</v>
      </c>
      <c r="BA316" s="13" t="n">
        <f aca="false">IF(AND(49&gt;=Assumptions!$B$37,BA314+BA315&gt;0),-MIN(Assumptions!$B$36,BA314+BA315),0)</f>
        <v>0</v>
      </c>
      <c r="BB316" s="13" t="n">
        <f aca="false">IF(AND(50&gt;=Assumptions!$B$37,BB314+BB315&gt;0),-MIN(Assumptions!$B$36,BB314+BB315),0)</f>
        <v>0</v>
      </c>
      <c r="BC316" s="13" t="n">
        <f aca="false">IF(AND(51&gt;=Assumptions!$B$37,BC314+BC315&gt;0),-MIN(Assumptions!$B$36,BC314+BC315),0)</f>
        <v>0</v>
      </c>
      <c r="BD316" s="13" t="n">
        <f aca="false">IF(AND(52&gt;=Assumptions!$B$37,BD314+BD315&gt;0),-MIN(Assumptions!$B$36,BD314+BD315),0)</f>
        <v>0</v>
      </c>
      <c r="BE316" s="13" t="n">
        <f aca="false">IF(AND(53&gt;=Assumptions!$B$37,BE314+BE315&gt;0),-MIN(Assumptions!$B$36,BE314+BE315),0)</f>
        <v>0</v>
      </c>
      <c r="BF316" s="13" t="n">
        <f aca="false">IF(AND(54&gt;=Assumptions!$B$37,BF314+BF315&gt;0),-MIN(Assumptions!$B$36,BF314+BF315),0)</f>
        <v>0</v>
      </c>
      <c r="BG316" s="13" t="n">
        <f aca="false">IF(AND(55&gt;=Assumptions!$B$37,BG314+BG315&gt;0),-MIN(Assumptions!$B$36,BG314+BG315),0)</f>
        <v>0</v>
      </c>
      <c r="BH316" s="13" t="n">
        <f aca="false">IF(AND(56&gt;=Assumptions!$B$37,BH314+BH315&gt;0),-MIN(Assumptions!$B$36,BH314+BH315),0)</f>
        <v>0</v>
      </c>
      <c r="BI316" s="13" t="n">
        <f aca="false">IF(AND(57&gt;=Assumptions!$B$37,BI314+BI315&gt;0),-MIN(Assumptions!$B$36,BI314+BI315),0)</f>
        <v>0</v>
      </c>
      <c r="BJ316" s="13" t="n">
        <f aca="false">IF(AND(58&gt;=Assumptions!$B$37,BJ314+BJ315&gt;0),-MIN(Assumptions!$B$36,BJ314+BJ315),0)</f>
        <v>0</v>
      </c>
      <c r="BK316" s="13" t="n">
        <f aca="false">IF(AND(59&gt;=Assumptions!$B$37,BK314+BK315&gt;0),-MIN(Assumptions!$B$36,BK314+BK315),0)</f>
        <v>0</v>
      </c>
      <c r="BL316" s="13" t="n">
        <f aca="false">IF(AND(60&gt;=Assumptions!$B$37,BL314+BL315&gt;0),-MIN(Assumptions!$B$36,BL314+BL315),0)</f>
        <v>0</v>
      </c>
      <c r="BM316" s="13" t="n">
        <f aca="false">IF(AND(61&gt;=Assumptions!$B$37,BM314+BM315&gt;0),-MIN(Assumptions!$B$36,BM314+BM315),0)</f>
        <v>0</v>
      </c>
      <c r="BN316" s="13" t="n">
        <f aca="false">IF(AND(62&gt;=Assumptions!$B$37,BN314+BN315&gt;0),-MIN(Assumptions!$B$36,BN314+BN315),0)</f>
        <v>0</v>
      </c>
      <c r="BO316" s="13" t="n">
        <f aca="false">IF(AND(63&gt;=Assumptions!$B$37,BO314+BO315&gt;0),-MIN(Assumptions!$B$36,BO314+BO315),0)</f>
        <v>0</v>
      </c>
      <c r="BP316" s="13" t="n">
        <f aca="false">IF(AND(64&gt;=Assumptions!$B$37,BP314+BP315&gt;0),-MIN(Assumptions!$B$36,BP314+BP315),0)</f>
        <v>0</v>
      </c>
      <c r="BQ316" s="13" t="n">
        <f aca="false">IF(AND(65&gt;=Assumptions!$B$37,BQ314+BQ315&gt;0),-MIN(Assumptions!$B$36,BQ314+BQ315),0)</f>
        <v>0</v>
      </c>
      <c r="BR316" s="13" t="n">
        <f aca="false">IF(AND(66&gt;=Assumptions!$B$37,BR314+BR315&gt;0),-MIN(Assumptions!$B$36,BR314+BR315),0)</f>
        <v>0</v>
      </c>
      <c r="BS316" s="13" t="n">
        <f aca="false">IF(AND(67&gt;=Assumptions!$B$37,BS314+BS315&gt;0),-MIN(Assumptions!$B$36,BS314+BS315),0)</f>
        <v>0</v>
      </c>
      <c r="BT316" s="13" t="n">
        <f aca="false">IF(AND(68&gt;=Assumptions!$B$37,BT314+BT315&gt;0),-MIN(Assumptions!$B$36,BT314+BT315),0)</f>
        <v>0</v>
      </c>
      <c r="BU316" s="13" t="n">
        <f aca="false">IF(AND(69&gt;=Assumptions!$B$37,BU314+BU315&gt;0),-MIN(Assumptions!$B$36,BU314+BU315),0)</f>
        <v>0</v>
      </c>
      <c r="BV316" s="13" t="n">
        <f aca="false">IF(AND(70&gt;=Assumptions!$B$37,BV314+BV315&gt;0),-MIN(Assumptions!$B$36,BV314+BV315),0)</f>
        <v>0</v>
      </c>
      <c r="BW316" s="13" t="n">
        <f aca="false">IF(AND(71&gt;=Assumptions!$B$37,BW314+BW315&gt;0),-MIN(Assumptions!$B$36,BW314+BW315),0)</f>
        <v>0</v>
      </c>
      <c r="BX316" s="13" t="n">
        <f aca="false">IF(AND(72&gt;=Assumptions!$B$37,BX314+BX315&gt;0),-MIN(Assumptions!$B$36,BX314+BX315),0)</f>
        <v>0</v>
      </c>
      <c r="BY316" s="13" t="n">
        <f aca="false">IF(AND(73&gt;=Assumptions!$B$37,BY314+BY315&gt;0),-MIN(Assumptions!$B$36,BY314+BY315),0)</f>
        <v>0</v>
      </c>
      <c r="BZ316" s="13" t="n">
        <f aca="false">IF(AND(74&gt;=Assumptions!$B$37,BZ314+BZ315&gt;0),-MIN(Assumptions!$B$36,BZ314+BZ315),0)</f>
        <v>0</v>
      </c>
      <c r="CA316" s="13" t="n">
        <f aca="false">IF(AND(75&gt;=Assumptions!$B$37,CA314+CA315&gt;0),-MIN(Assumptions!$B$36,CA314+CA315),0)</f>
        <v>0</v>
      </c>
      <c r="CB316" s="13" t="n">
        <f aca="false">IF(AND(76&gt;=Assumptions!$B$37,CB314+CB315&gt;0),-MIN(Assumptions!$B$36,CB314+CB315),0)</f>
        <v>0</v>
      </c>
      <c r="CC316" s="13" t="n">
        <f aca="false">IF(AND(77&gt;=Assumptions!$B$37,CC314+CC315&gt;0),-MIN(Assumptions!$B$36,CC314+CC315),0)</f>
        <v>0</v>
      </c>
      <c r="CD316" s="13" t="n">
        <f aca="false">IF(AND(78&gt;=Assumptions!$B$37,CD314+CD315&gt;0),-MIN(Assumptions!$B$36,CD314+CD315),0)</f>
        <v>0</v>
      </c>
      <c r="CE316" s="13" t="n">
        <f aca="false">IF(AND(79&gt;=Assumptions!$B$37,CE314+CE315&gt;0),-MIN(Assumptions!$B$36,CE314+CE315),0)</f>
        <v>0</v>
      </c>
      <c r="CF316" s="13" t="n">
        <f aca="false">IF(AND(80&gt;=Assumptions!$B$37,CF314+CF315&gt;0),-MIN(Assumptions!$B$36,CF314+CF315),0)</f>
        <v>0</v>
      </c>
      <c r="CG316" s="13" t="n">
        <f aca="false">IF(AND(81&gt;=Assumptions!$B$37,CG314+CG315&gt;0),-MIN(Assumptions!$B$36,CG314+CG315),0)</f>
        <v>0</v>
      </c>
      <c r="CH316" s="13" t="n">
        <f aca="false">IF(AND(82&gt;=Assumptions!$B$37,CH314+CH315&gt;0),-MIN(Assumptions!$B$36,CH314+CH315),0)</f>
        <v>0</v>
      </c>
      <c r="CI316" s="13" t="n">
        <f aca="false">IF(AND(83&gt;=Assumptions!$B$37,CI314+CI315&gt;0),-MIN(Assumptions!$B$36,CI314+CI315),0)</f>
        <v>0</v>
      </c>
      <c r="CJ316" s="13" t="n">
        <f aca="false">IF(AND(84&gt;=Assumptions!$B$37,CJ314+CJ315&gt;0),-MIN(Assumptions!$B$36,CJ314+CJ315),0)</f>
        <v>0</v>
      </c>
      <c r="CK316" s="13" t="n">
        <f aca="false">IF(AND(85&gt;=Assumptions!$B$37,CK314+CK315&gt;0),-MIN(Assumptions!$B$36,CK314+CK315),0)</f>
        <v>0</v>
      </c>
      <c r="CL316" s="13" t="n">
        <f aca="false">IF(AND(86&gt;=Assumptions!$B$37,CL314+CL315&gt;0),-MIN(Assumptions!$B$36,CL314+CL315),0)</f>
        <v>0</v>
      </c>
      <c r="CM316" s="13" t="n">
        <f aca="false">IF(AND(87&gt;=Assumptions!$B$37,CM314+CM315&gt;0),-MIN(Assumptions!$B$36,CM314+CM315),0)</f>
        <v>0</v>
      </c>
      <c r="CN316" s="13" t="n">
        <f aca="false">IF(AND(88&gt;=Assumptions!$B$37,CN314+CN315&gt;0),-MIN(Assumptions!$B$36,CN314+CN315),0)</f>
        <v>0</v>
      </c>
      <c r="CO316" s="13" t="n">
        <f aca="false">IF(AND(89&gt;=Assumptions!$B$37,CO314+CO315&gt;0),-MIN(Assumptions!$B$36,CO314+CO315),0)</f>
        <v>0</v>
      </c>
      <c r="CP316" s="13" t="n">
        <f aca="false">IF(AND(90&gt;=Assumptions!$B$37,CP314+CP315&gt;0),-MIN(Assumptions!$B$36,CP314+CP315),0)</f>
        <v>0</v>
      </c>
      <c r="CQ316" s="13" t="n">
        <f aca="false">IF(AND(91&gt;=Assumptions!$B$37,CQ314+CQ315&gt;0),-MIN(Assumptions!$B$36,CQ314+CQ315),0)</f>
        <v>0</v>
      </c>
      <c r="CR316" s="13" t="n">
        <f aca="false">IF(AND(92&gt;=Assumptions!$B$37,CR314+CR315&gt;0),-MIN(Assumptions!$B$36,CR314+CR315),0)</f>
        <v>0</v>
      </c>
      <c r="CS316" s="13" t="n">
        <f aca="false">IF(AND(93&gt;=Assumptions!$B$37,CS314+CS315&gt;0),-MIN(Assumptions!$B$36,CS314+CS315),0)</f>
        <v>0</v>
      </c>
      <c r="CT316" s="13" t="n">
        <f aca="false">IF(AND(94&gt;=Assumptions!$B$37,CT314+CT315&gt;0),-MIN(Assumptions!$B$36,CT314+CT315),0)</f>
        <v>0</v>
      </c>
      <c r="CU316" s="13" t="n">
        <f aca="false">IF(AND(95&gt;=Assumptions!$B$37,CU314+CU315&gt;0),-MIN(Assumptions!$B$36,CU314+CU315),0)</f>
        <v>0</v>
      </c>
      <c r="CV316" s="13" t="n">
        <f aca="false">IF(AND(96&gt;=Assumptions!$B$37,CV314+CV315&gt;0),-MIN(Assumptions!$B$36,CV314+CV315),0)</f>
        <v>0</v>
      </c>
      <c r="CW316" s="13" t="n">
        <f aca="false">IF(AND(97&gt;=Assumptions!$B$37,CW314+CW315&gt;0),-MIN(Assumptions!$B$36,CW314+CW315),0)</f>
        <v>0</v>
      </c>
      <c r="CX316" s="13" t="n">
        <f aca="false">IF(AND(98&gt;=Assumptions!$B$37,CX314+CX315&gt;0),-MIN(Assumptions!$B$36,CX314+CX315),0)</f>
        <v>0</v>
      </c>
      <c r="CY316" s="13" t="n">
        <f aca="false">IF(AND(99&gt;=Assumptions!$B$37,CY314+CY315&gt;0),-MIN(Assumptions!$B$36,CY314+CY315),0)</f>
        <v>0</v>
      </c>
      <c r="CZ316" s="13" t="n">
        <f aca="false">IF(AND(100&gt;=Assumptions!$B$37,CZ314+CZ315&gt;0),-MIN(Assumptions!$B$36,CZ314+CZ315),0)</f>
        <v>0</v>
      </c>
      <c r="DA316" s="13" t="n">
        <f aca="false">IF(AND(101&gt;=Assumptions!$B$37,DA314+DA315&gt;0),-MIN(Assumptions!$B$36,DA314+DA315),0)</f>
        <v>0</v>
      </c>
      <c r="DB316" s="13" t="n">
        <f aca="false">IF(AND(102&gt;=Assumptions!$B$37,DB314+DB315&gt;0),-MIN(Assumptions!$B$36,DB314+DB315),0)</f>
        <v>0</v>
      </c>
      <c r="DC316" s="13" t="n">
        <f aca="false">IF(AND(103&gt;=Assumptions!$B$37,DC314+DC315&gt;0),-MIN(Assumptions!$B$36,DC314+DC315),0)</f>
        <v>0</v>
      </c>
      <c r="DD316" s="13" t="n">
        <f aca="false">IF(AND(104&gt;=Assumptions!$B$37,DD314+DD315&gt;0),-MIN(Assumptions!$B$36,DD314+DD315),0)</f>
        <v>0</v>
      </c>
      <c r="DE316" s="13" t="n">
        <f aca="false">IF(AND(105&gt;=Assumptions!$B$37,DE314+DE315&gt;0),-MIN(Assumptions!$B$36,DE314+DE315),0)</f>
        <v>0</v>
      </c>
    </row>
    <row r="317" customFormat="false" ht="15" hidden="false" customHeight="true" outlineLevel="0" collapsed="false">
      <c r="A317" s="45" t="s">
        <v>158</v>
      </c>
      <c r="B317" s="46"/>
      <c r="C317" s="46"/>
      <c r="D317" s="46"/>
      <c r="E317" s="46" t="n">
        <f aca="false">MAX(0,E314+E315+E316)</f>
        <v>1615485</v>
      </c>
      <c r="F317" s="46" t="n">
        <f aca="false">MAX(0,F314+F315+F316)</f>
        <v>1615485</v>
      </c>
      <c r="G317" s="46" t="n">
        <f aca="false">MAX(0,G314+G315+G316)</f>
        <v>1676065.6875</v>
      </c>
      <c r="H317" s="46" t="n">
        <f aca="false">MAX(0,H314+H315+H316)</f>
        <v>1676065.6875</v>
      </c>
      <c r="I317" s="46" t="n">
        <f aca="false">MAX(0,I314+I315+I316)</f>
        <v>1676065.6875</v>
      </c>
      <c r="J317" s="46" t="n">
        <f aca="false">MAX(0,J314+J315+J316)</f>
        <v>1738918.15078125</v>
      </c>
      <c r="K317" s="46" t="n">
        <f aca="false">MAX(0,K314+K315+K316)</f>
        <v>1738918.15078125</v>
      </c>
      <c r="L317" s="46" t="n">
        <f aca="false">MAX(0,L314+L315+L316)</f>
        <v>1738918.15078125</v>
      </c>
      <c r="M317" s="46" t="n">
        <f aca="false">MAX(0,M314+M315+M316)</f>
        <v>1804127.58143555</v>
      </c>
      <c r="N317" s="46" t="n">
        <f aca="false">MAX(0,N314+N315+N316)</f>
        <v>1804127.58143555</v>
      </c>
      <c r="O317" s="46" t="n">
        <f aca="false">MAX(0,O314+O315+O316)</f>
        <v>1804127.58143555</v>
      </c>
      <c r="P317" s="46" t="n">
        <f aca="false">MAX(0,P314+P315+P316)</f>
        <v>1871782.36573938</v>
      </c>
      <c r="Q317" s="46" t="n">
        <f aca="false">MAX(0,Q314+Q315+Q316)</f>
        <v>1871782.36573938</v>
      </c>
      <c r="R317" s="46" t="n">
        <f aca="false">MAX(0,R314+R315+R316)</f>
        <v>1871782.36573938</v>
      </c>
      <c r="S317" s="46" t="n">
        <f aca="false">MAX(0,S314+S315+S316)</f>
        <v>1941974.20445461</v>
      </c>
      <c r="T317" s="46" t="n">
        <f aca="false">MAX(0,T314+T315+T316)</f>
        <v>1941974.20445461</v>
      </c>
      <c r="U317" s="46" t="n">
        <f aca="false">MAX(0,U314+U315+U316)</f>
        <v>1829974.20445461</v>
      </c>
      <c r="V317" s="46" t="n">
        <f aca="false">MAX(0,V314+V315+V316)</f>
        <v>1786598.23712165</v>
      </c>
      <c r="W317" s="46" t="n">
        <f aca="false">MAX(0,W314+W315+W316)</f>
        <v>1674598.23712165</v>
      </c>
      <c r="X317" s="46" t="n">
        <f aca="false">MAX(0,X314+X315+X316)</f>
        <v>1562598.23712165</v>
      </c>
      <c r="Y317" s="46" t="n">
        <f aca="false">MAX(0,Y314+Y315+Y316)</f>
        <v>1509195.67101372</v>
      </c>
      <c r="Z317" s="46" t="n">
        <f aca="false">MAX(0,Z314+Z315+Z316)</f>
        <v>1397195.67101372</v>
      </c>
      <c r="AA317" s="46" t="n">
        <f aca="false">MAX(0,AA314+AA315+AA316)</f>
        <v>1285195.67101372</v>
      </c>
      <c r="AB317" s="46" t="n">
        <f aca="false">MAX(0,AB314+AB315+AB316)</f>
        <v>1221390.50867673</v>
      </c>
      <c r="AC317" s="46" t="n">
        <f aca="false">MAX(0,AC314+AC315+AC316)</f>
        <v>1109390.50867673</v>
      </c>
      <c r="AD317" s="46" t="n">
        <f aca="false">MAX(0,AD314+AD315+AD316)</f>
        <v>997390.508676731</v>
      </c>
      <c r="AE317" s="46" t="n">
        <f aca="false">MAX(0,AE314+AE315+AE316)</f>
        <v>922792.652752108</v>
      </c>
      <c r="AF317" s="46" t="n">
        <f aca="false">MAX(0,AF314+AF315+AF316)</f>
        <v>810792.652752108</v>
      </c>
      <c r="AG317" s="46" t="n">
        <f aca="false">MAX(0,AG314+AG315+AG316)</f>
        <v>698792.652752108</v>
      </c>
      <c r="AH317" s="46" t="n">
        <f aca="false">MAX(0,AH314+AH315+AH316)</f>
        <v>612997.377230312</v>
      </c>
      <c r="AI317" s="46" t="n">
        <f aca="false">MAX(0,AI314+AI315+AI316)</f>
        <v>500997.377230312</v>
      </c>
      <c r="AJ317" s="46" t="n">
        <f aca="false">MAX(0,AJ314+AJ315+AJ316)</f>
        <v>388997.377230312</v>
      </c>
      <c r="AK317" s="46" t="n">
        <f aca="false">MAX(0,AK314+AK315+AK316)</f>
        <v>291584.778876449</v>
      </c>
      <c r="AL317" s="46" t="n">
        <f aca="false">MAX(0,AL314+AL315+AL316)</f>
        <v>179584.778876449</v>
      </c>
      <c r="AM317" s="46" t="n">
        <f aca="false">MAX(0,AM314+AM315+AM316)</f>
        <v>67584.7788764492</v>
      </c>
      <c r="AN317" s="46" t="n">
        <f aca="false">MAX(0,AN314+AN315+AN316)</f>
        <v>0</v>
      </c>
      <c r="AO317" s="46" t="n">
        <f aca="false">MAX(0,AO314+AO315+AO316)</f>
        <v>0</v>
      </c>
      <c r="AP317" s="46" t="n">
        <f aca="false">MAX(0,AP314+AP315+AP316)</f>
        <v>0</v>
      </c>
      <c r="AQ317" s="46" t="n">
        <f aca="false">MAX(0,AQ314+AQ315+AQ316)</f>
        <v>0</v>
      </c>
      <c r="AR317" s="46" t="n">
        <f aca="false">MAX(0,AR314+AR315+AR316)</f>
        <v>0</v>
      </c>
      <c r="AS317" s="46" t="n">
        <f aca="false">MAX(0,AS314+AS315+AS316)</f>
        <v>0</v>
      </c>
      <c r="AT317" s="46" t="n">
        <f aca="false">MAX(0,AT314+AT315+AT316)</f>
        <v>0</v>
      </c>
      <c r="AU317" s="46" t="n">
        <f aca="false">MAX(0,AU314+AU315+AU316)</f>
        <v>0</v>
      </c>
      <c r="AV317" s="46" t="n">
        <f aca="false">MAX(0,AV314+AV315+AV316)</f>
        <v>0</v>
      </c>
      <c r="AW317" s="46" t="n">
        <f aca="false">MAX(0,AW314+AW315+AW316)</f>
        <v>0</v>
      </c>
      <c r="AX317" s="46" t="n">
        <f aca="false">MAX(0,AX314+AX315+AX316)</f>
        <v>0</v>
      </c>
      <c r="AY317" s="46" t="n">
        <f aca="false">MAX(0,AY314+AY315+AY316)</f>
        <v>0</v>
      </c>
      <c r="AZ317" s="46" t="n">
        <f aca="false">MAX(0,AZ314+AZ315+AZ316)</f>
        <v>0</v>
      </c>
      <c r="BA317" s="46" t="n">
        <f aca="false">MAX(0,BA314+BA315+BA316)</f>
        <v>0</v>
      </c>
      <c r="BB317" s="46" t="n">
        <f aca="false">MAX(0,BB314+BB315+BB316)</f>
        <v>0</v>
      </c>
      <c r="BC317" s="46" t="n">
        <f aca="false">MAX(0,BC314+BC315+BC316)</f>
        <v>0</v>
      </c>
      <c r="BD317" s="46" t="n">
        <f aca="false">MAX(0,BD314+BD315+BD316)</f>
        <v>0</v>
      </c>
      <c r="BE317" s="46" t="n">
        <f aca="false">MAX(0,BE314+BE315+BE316)</f>
        <v>0</v>
      </c>
      <c r="BF317" s="46" t="n">
        <f aca="false">MAX(0,BF314+BF315+BF316)</f>
        <v>0</v>
      </c>
      <c r="BG317" s="46" t="n">
        <f aca="false">MAX(0,BG314+BG315+BG316)</f>
        <v>0</v>
      </c>
      <c r="BH317" s="46" t="n">
        <f aca="false">MAX(0,BH314+BH315+BH316)</f>
        <v>0</v>
      </c>
      <c r="BI317" s="46" t="n">
        <f aca="false">MAX(0,BI314+BI315+BI316)</f>
        <v>0</v>
      </c>
      <c r="BJ317" s="46" t="n">
        <f aca="false">MAX(0,BJ314+BJ315+BJ316)</f>
        <v>0</v>
      </c>
      <c r="BK317" s="46" t="n">
        <f aca="false">MAX(0,BK314+BK315+BK316)</f>
        <v>0</v>
      </c>
      <c r="BL317" s="46" t="n">
        <f aca="false">MAX(0,BL314+BL315+BL316)</f>
        <v>0</v>
      </c>
      <c r="BM317" s="46" t="n">
        <f aca="false">MAX(0,BM314+BM315+BM316)</f>
        <v>0</v>
      </c>
      <c r="BN317" s="46" t="n">
        <f aca="false">MAX(0,BN314+BN315+BN316)</f>
        <v>0</v>
      </c>
      <c r="BO317" s="46" t="n">
        <f aca="false">MAX(0,BO314+BO315+BO316)</f>
        <v>0</v>
      </c>
      <c r="BP317" s="46" t="n">
        <f aca="false">MAX(0,BP314+BP315+BP316)</f>
        <v>0</v>
      </c>
      <c r="BQ317" s="46" t="n">
        <f aca="false">MAX(0,BQ314+BQ315+BQ316)</f>
        <v>0</v>
      </c>
      <c r="BR317" s="46" t="n">
        <f aca="false">MAX(0,BR314+BR315+BR316)</f>
        <v>0</v>
      </c>
      <c r="BS317" s="46" t="n">
        <f aca="false">MAX(0,BS314+BS315+BS316)</f>
        <v>0</v>
      </c>
      <c r="BT317" s="46" t="n">
        <f aca="false">MAX(0,BT314+BT315+BT316)</f>
        <v>0</v>
      </c>
      <c r="BU317" s="46" t="n">
        <f aca="false">MAX(0,BU314+BU315+BU316)</f>
        <v>0</v>
      </c>
      <c r="BV317" s="46" t="n">
        <f aca="false">MAX(0,BV314+BV315+BV316)</f>
        <v>0</v>
      </c>
      <c r="BW317" s="46" t="n">
        <f aca="false">MAX(0,BW314+BW315+BW316)</f>
        <v>0</v>
      </c>
      <c r="BX317" s="46" t="n">
        <f aca="false">MAX(0,BX314+BX315+BX316)</f>
        <v>0</v>
      </c>
      <c r="BY317" s="46" t="n">
        <f aca="false">MAX(0,BY314+BY315+BY316)</f>
        <v>0</v>
      </c>
      <c r="BZ317" s="46" t="n">
        <f aca="false">MAX(0,BZ314+BZ315+BZ316)</f>
        <v>0</v>
      </c>
      <c r="CA317" s="46" t="n">
        <f aca="false">MAX(0,CA314+CA315+CA316)</f>
        <v>0</v>
      </c>
      <c r="CB317" s="46" t="n">
        <f aca="false">MAX(0,CB314+CB315+CB316)</f>
        <v>0</v>
      </c>
      <c r="CC317" s="46" t="n">
        <f aca="false">MAX(0,CC314+CC315+CC316)</f>
        <v>0</v>
      </c>
      <c r="CD317" s="46" t="n">
        <f aca="false">MAX(0,CD314+CD315+CD316)</f>
        <v>0</v>
      </c>
      <c r="CE317" s="46" t="n">
        <f aca="false">MAX(0,CE314+CE315+CE316)</f>
        <v>0</v>
      </c>
      <c r="CF317" s="46" t="n">
        <f aca="false">MAX(0,CF314+CF315+CF316)</f>
        <v>0</v>
      </c>
      <c r="CG317" s="46" t="n">
        <f aca="false">MAX(0,CG314+CG315+CG316)</f>
        <v>0</v>
      </c>
      <c r="CH317" s="46" t="n">
        <f aca="false">MAX(0,CH314+CH315+CH316)</f>
        <v>0</v>
      </c>
      <c r="CI317" s="46" t="n">
        <f aca="false">MAX(0,CI314+CI315+CI316)</f>
        <v>0</v>
      </c>
      <c r="CJ317" s="46" t="n">
        <f aca="false">MAX(0,CJ314+CJ315+CJ316)</f>
        <v>0</v>
      </c>
      <c r="CK317" s="46" t="n">
        <f aca="false">MAX(0,CK314+CK315+CK316)</f>
        <v>0</v>
      </c>
      <c r="CL317" s="46" t="n">
        <f aca="false">MAX(0,CL314+CL315+CL316)</f>
        <v>0</v>
      </c>
      <c r="CM317" s="46" t="n">
        <f aca="false">MAX(0,CM314+CM315+CM316)</f>
        <v>0</v>
      </c>
      <c r="CN317" s="46" t="n">
        <f aca="false">MAX(0,CN314+CN315+CN316)</f>
        <v>0</v>
      </c>
      <c r="CO317" s="46" t="n">
        <f aca="false">MAX(0,CO314+CO315+CO316)</f>
        <v>0</v>
      </c>
      <c r="CP317" s="46" t="n">
        <f aca="false">MAX(0,CP314+CP315+CP316)</f>
        <v>0</v>
      </c>
      <c r="CQ317" s="46" t="n">
        <f aca="false">MAX(0,CQ314+CQ315+CQ316)</f>
        <v>0</v>
      </c>
      <c r="CR317" s="46" t="n">
        <f aca="false">MAX(0,CR314+CR315+CR316)</f>
        <v>0</v>
      </c>
      <c r="CS317" s="46" t="n">
        <f aca="false">MAX(0,CS314+CS315+CS316)</f>
        <v>0</v>
      </c>
      <c r="CT317" s="46" t="n">
        <f aca="false">MAX(0,CT314+CT315+CT316)</f>
        <v>0</v>
      </c>
      <c r="CU317" s="46" t="n">
        <f aca="false">MAX(0,CU314+CU315+CU316)</f>
        <v>0</v>
      </c>
      <c r="CV317" s="46" t="n">
        <f aca="false">MAX(0,CV314+CV315+CV316)</f>
        <v>0</v>
      </c>
      <c r="CW317" s="46" t="n">
        <f aca="false">MAX(0,CW314+CW315+CW316)</f>
        <v>0</v>
      </c>
      <c r="CX317" s="46" t="n">
        <f aca="false">MAX(0,CX314+CX315+CX316)</f>
        <v>0</v>
      </c>
      <c r="CY317" s="46" t="n">
        <f aca="false">MAX(0,CY314+CY315+CY316)</f>
        <v>0</v>
      </c>
      <c r="CZ317" s="46" t="n">
        <f aca="false">MAX(0,CZ314+CZ315+CZ316)</f>
        <v>0</v>
      </c>
      <c r="DA317" s="46" t="n">
        <f aca="false">MAX(0,DA314+DA315+DA316)</f>
        <v>0</v>
      </c>
      <c r="DB317" s="46" t="n">
        <f aca="false">MAX(0,DB314+DB315+DB316)</f>
        <v>0</v>
      </c>
      <c r="DC317" s="46" t="n">
        <f aca="false">MAX(0,DC314+DC315+DC316)</f>
        <v>0</v>
      </c>
      <c r="DD317" s="46" t="n">
        <f aca="false">MAX(0,DD314+DD315+DD316)</f>
        <v>0</v>
      </c>
      <c r="DE317" s="46" t="n">
        <f aca="false">MAX(0,DE314+DE315+DE316)</f>
        <v>0</v>
      </c>
    </row>
    <row r="318" customFormat="false" ht="13.5" hidden="false" customHeight="true" outlineLevel="0" collapsed="false">
      <c r="A318" s="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3"/>
      <c r="BD318" s="13"/>
      <c r="BE318" s="13"/>
      <c r="BF318" s="13"/>
      <c r="BG318" s="13"/>
      <c r="BH318" s="13"/>
      <c r="BI318" s="13"/>
      <c r="BJ318" s="13"/>
      <c r="BK318" s="13"/>
      <c r="BL318" s="13"/>
      <c r="BM318" s="13"/>
      <c r="BN318" s="13"/>
      <c r="BO318" s="13"/>
      <c r="BP318" s="13"/>
      <c r="BQ318" s="13"/>
      <c r="BR318" s="13"/>
      <c r="BS318" s="13"/>
      <c r="BT318" s="13"/>
      <c r="BU318" s="13"/>
      <c r="BV318" s="13"/>
      <c r="BW318" s="13"/>
      <c r="BX318" s="13"/>
      <c r="BY318" s="13"/>
      <c r="BZ318" s="13"/>
      <c r="CA318" s="13"/>
      <c r="CB318" s="13"/>
      <c r="CC318" s="13"/>
      <c r="CD318" s="13"/>
      <c r="CE318" s="13"/>
      <c r="CF318" s="13"/>
      <c r="CG318" s="13"/>
      <c r="CH318" s="13"/>
      <c r="CI318" s="13"/>
      <c r="CJ318" s="13"/>
      <c r="CK318" s="13"/>
      <c r="CL318" s="13"/>
      <c r="CM318" s="13"/>
      <c r="CN318" s="13"/>
      <c r="CO318" s="13"/>
      <c r="CP318" s="13"/>
      <c r="CQ318" s="13"/>
      <c r="CR318" s="13"/>
      <c r="CS318" s="13"/>
      <c r="CT318" s="13"/>
      <c r="CU318" s="13"/>
      <c r="CV318" s="13"/>
      <c r="CW318" s="13"/>
      <c r="CX318" s="13"/>
      <c r="CY318" s="13"/>
      <c r="CZ318" s="13"/>
      <c r="DA318" s="13"/>
      <c r="DB318" s="13"/>
      <c r="DC318" s="13"/>
      <c r="DD318" s="13"/>
      <c r="DE318" s="13"/>
    </row>
    <row r="319" customFormat="false" ht="16.5" hidden="false" customHeight="true" outlineLevel="0" collapsed="false">
      <c r="A319" s="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3"/>
      <c r="BD319" s="13"/>
      <c r="BE319" s="13"/>
      <c r="BF319" s="13"/>
      <c r="BG319" s="13"/>
      <c r="BH319" s="13"/>
      <c r="BI319" s="13"/>
      <c r="BJ319" s="13"/>
      <c r="BK319" s="13"/>
      <c r="BL319" s="13"/>
      <c r="BM319" s="13"/>
      <c r="BN319" s="13"/>
      <c r="BO319" s="13"/>
      <c r="BP319" s="13"/>
      <c r="BQ319" s="13"/>
      <c r="BR319" s="13"/>
      <c r="BS319" s="13"/>
      <c r="BT319" s="13"/>
      <c r="BU319" s="13"/>
      <c r="BV319" s="13"/>
      <c r="BW319" s="13"/>
      <c r="BX319" s="13"/>
      <c r="BY319" s="13"/>
      <c r="BZ319" s="13"/>
      <c r="CA319" s="13"/>
      <c r="CB319" s="13"/>
      <c r="CC319" s="13"/>
      <c r="CD319" s="13"/>
      <c r="CE319" s="13"/>
      <c r="CF319" s="13"/>
      <c r="CG319" s="13"/>
      <c r="CH319" s="13"/>
      <c r="CI319" s="13"/>
      <c r="CJ319" s="13"/>
      <c r="CK319" s="13"/>
      <c r="CL319" s="13"/>
      <c r="CM319" s="13"/>
      <c r="CN319" s="13"/>
      <c r="CO319" s="13"/>
      <c r="CP319" s="13"/>
      <c r="CQ319" s="13"/>
      <c r="CR319" s="13"/>
      <c r="CS319" s="13"/>
      <c r="CT319" s="13"/>
      <c r="CU319" s="13"/>
      <c r="CV319" s="13"/>
      <c r="CW319" s="13"/>
      <c r="CX319" s="13"/>
      <c r="CY319" s="13"/>
      <c r="CZ319" s="13"/>
      <c r="DA319" s="13"/>
      <c r="DB319" s="13"/>
      <c r="DC319" s="13"/>
      <c r="DD319" s="13"/>
      <c r="DE319" s="13"/>
    </row>
    <row r="320" customFormat="false" ht="15" hidden="false" customHeight="true" outlineLevel="0" collapsed="false">
      <c r="A320" s="44" t="s">
        <v>159</v>
      </c>
      <c r="B320" s="39"/>
      <c r="C320" s="39"/>
      <c r="D320" s="39"/>
      <c r="E320" s="39"/>
      <c r="F320" s="39"/>
      <c r="G320" s="39"/>
      <c r="H320" s="39"/>
      <c r="I320" s="39"/>
      <c r="J320" s="39"/>
      <c r="K320" s="39"/>
      <c r="L320" s="39"/>
      <c r="M320" s="39"/>
      <c r="N320" s="39"/>
      <c r="O320" s="39"/>
      <c r="P320" s="39"/>
      <c r="Q320" s="39"/>
      <c r="R320" s="39"/>
      <c r="S320" s="39"/>
      <c r="T320" s="39"/>
      <c r="U320" s="39"/>
      <c r="V320" s="39"/>
      <c r="W320" s="39"/>
      <c r="X320" s="39"/>
      <c r="Y320" s="39"/>
      <c r="Z320" s="39"/>
      <c r="AA320" s="39"/>
      <c r="AB320" s="39"/>
      <c r="AC320" s="39"/>
      <c r="AD320" s="39"/>
      <c r="AE320" s="39"/>
      <c r="AF320" s="39"/>
      <c r="AG320" s="39"/>
      <c r="AH320" s="39"/>
      <c r="AI320" s="39"/>
      <c r="AJ320" s="39"/>
      <c r="AK320" s="39"/>
      <c r="AL320" s="39"/>
      <c r="AM320" s="39"/>
      <c r="AN320" s="39"/>
      <c r="AO320" s="39"/>
      <c r="AP320" s="39"/>
      <c r="AQ320" s="39"/>
      <c r="AR320" s="39"/>
      <c r="AS320" s="39"/>
      <c r="AT320" s="39"/>
      <c r="AU320" s="39"/>
      <c r="AV320" s="39"/>
      <c r="AW320" s="39"/>
      <c r="AX320" s="39"/>
      <c r="AY320" s="39"/>
      <c r="AZ320" s="39"/>
      <c r="BA320" s="39"/>
      <c r="BB320" s="39"/>
      <c r="BC320" s="39"/>
      <c r="BD320" s="39"/>
      <c r="BE320" s="39"/>
      <c r="BF320" s="39"/>
      <c r="BG320" s="39"/>
      <c r="BH320" s="39"/>
      <c r="BI320" s="39"/>
      <c r="BJ320" s="39"/>
      <c r="BK320" s="39"/>
      <c r="BL320" s="39"/>
      <c r="BM320" s="39"/>
      <c r="BN320" s="39"/>
      <c r="BO320" s="39"/>
      <c r="BP320" s="39"/>
      <c r="BQ320" s="39"/>
      <c r="BR320" s="39"/>
      <c r="BS320" s="39"/>
      <c r="BT320" s="39"/>
      <c r="BU320" s="39"/>
      <c r="BV320" s="39"/>
      <c r="BW320" s="39"/>
      <c r="BX320" s="39"/>
      <c r="BY320" s="39"/>
      <c r="BZ320" s="39"/>
      <c r="CA320" s="39"/>
      <c r="CB320" s="39"/>
      <c r="CC320" s="39"/>
      <c r="CD320" s="39"/>
      <c r="CE320" s="39"/>
      <c r="CF320" s="39"/>
      <c r="CG320" s="39"/>
      <c r="CH320" s="39"/>
      <c r="CI320" s="39"/>
      <c r="CJ320" s="39"/>
      <c r="CK320" s="39"/>
      <c r="CL320" s="39"/>
      <c r="CM320" s="39"/>
      <c r="CN320" s="39"/>
      <c r="CO320" s="39"/>
      <c r="CP320" s="39"/>
      <c r="CQ320" s="39"/>
      <c r="CR320" s="39"/>
      <c r="CS320" s="39"/>
      <c r="CT320" s="39"/>
      <c r="CU320" s="39"/>
      <c r="CV320" s="39"/>
      <c r="CW320" s="39"/>
      <c r="CX320" s="39"/>
      <c r="CY320" s="39"/>
      <c r="CZ320" s="39"/>
      <c r="DA320" s="39"/>
      <c r="DB320" s="39"/>
      <c r="DC320" s="39"/>
      <c r="DD320" s="39"/>
      <c r="DE320" s="39"/>
    </row>
    <row r="321" customFormat="false" ht="15" hidden="false" customHeight="true" outlineLevel="0" collapsed="false">
      <c r="A321" s="22" t="s">
        <v>155</v>
      </c>
      <c r="B321" s="13"/>
      <c r="C321" s="13"/>
      <c r="D321" s="13"/>
      <c r="E321" s="13" t="n">
        <f aca="false">Assumptions!$B$41</f>
        <v>1000000</v>
      </c>
      <c r="F321" s="13" t="n">
        <f aca="false">E323</f>
        <v>1000000</v>
      </c>
      <c r="G321" s="13" t="n">
        <f aca="false">F323</f>
        <v>1000000</v>
      </c>
      <c r="H321" s="13" t="n">
        <f aca="false">G323</f>
        <v>1000000</v>
      </c>
      <c r="I321" s="13" t="n">
        <f aca="false">H323</f>
        <v>1000000</v>
      </c>
      <c r="J321" s="13" t="n">
        <f aca="false">I323</f>
        <v>1000000</v>
      </c>
      <c r="K321" s="13" t="n">
        <f aca="false">J323</f>
        <v>1000000</v>
      </c>
      <c r="L321" s="13" t="n">
        <f aca="false">K323</f>
        <v>1000000</v>
      </c>
      <c r="M321" s="13" t="n">
        <f aca="false">L323</f>
        <v>1000000</v>
      </c>
      <c r="N321" s="13" t="n">
        <f aca="false">M323</f>
        <v>1000000</v>
      </c>
      <c r="O321" s="13" t="n">
        <f aca="false">N323</f>
        <v>1000000</v>
      </c>
      <c r="P321" s="13" t="n">
        <f aca="false">O323</f>
        <v>1000000</v>
      </c>
      <c r="Q321" s="13" t="n">
        <f aca="false">P323</f>
        <v>1000000</v>
      </c>
      <c r="R321" s="13" t="n">
        <f aca="false">Q323</f>
        <v>1000000</v>
      </c>
      <c r="S321" s="13" t="n">
        <f aca="false">R323</f>
        <v>1000000</v>
      </c>
      <c r="T321" s="13" t="n">
        <f aca="false">S323</f>
        <v>1000000</v>
      </c>
      <c r="U321" s="13" t="n">
        <f aca="false">T323</f>
        <v>1000000</v>
      </c>
      <c r="V321" s="13" t="n">
        <f aca="false">U323</f>
        <v>1000000</v>
      </c>
      <c r="W321" s="13" t="n">
        <f aca="false">V323</f>
        <v>1000000</v>
      </c>
      <c r="X321" s="13" t="n">
        <f aca="false">W323</f>
        <v>1000000</v>
      </c>
      <c r="Y321" s="13" t="n">
        <f aca="false">X323</f>
        <v>1000000</v>
      </c>
      <c r="Z321" s="13" t="n">
        <f aca="false">Y323</f>
        <v>1000000</v>
      </c>
      <c r="AA321" s="13" t="n">
        <f aca="false">Z323</f>
        <v>1000000</v>
      </c>
      <c r="AB321" s="13" t="n">
        <f aca="false">AA323</f>
        <v>750000</v>
      </c>
      <c r="AC321" s="13" t="n">
        <f aca="false">AB323</f>
        <v>750000</v>
      </c>
      <c r="AD321" s="13" t="n">
        <f aca="false">AC323</f>
        <v>750000</v>
      </c>
      <c r="AE321" s="13" t="n">
        <f aca="false">AD323</f>
        <v>750000</v>
      </c>
      <c r="AF321" s="13" t="n">
        <f aca="false">AE323</f>
        <v>750000</v>
      </c>
      <c r="AG321" s="13" t="n">
        <f aca="false">AF323</f>
        <v>750000</v>
      </c>
      <c r="AH321" s="13" t="n">
        <f aca="false">AG323</f>
        <v>750000</v>
      </c>
      <c r="AI321" s="13" t="n">
        <f aca="false">AH323</f>
        <v>750000</v>
      </c>
      <c r="AJ321" s="13" t="n">
        <f aca="false">AI323</f>
        <v>750000</v>
      </c>
      <c r="AK321" s="13" t="n">
        <f aca="false">AJ323</f>
        <v>750000</v>
      </c>
      <c r="AL321" s="13" t="n">
        <f aca="false">AK323</f>
        <v>750000</v>
      </c>
      <c r="AM321" s="13" t="n">
        <f aca="false">AL323</f>
        <v>750000</v>
      </c>
      <c r="AN321" s="13" t="n">
        <f aca="false">AM323</f>
        <v>500000</v>
      </c>
      <c r="AO321" s="13" t="n">
        <f aca="false">AN323</f>
        <v>500000</v>
      </c>
      <c r="AP321" s="13" t="n">
        <f aca="false">AO323</f>
        <v>500000</v>
      </c>
      <c r="AQ321" s="13" t="n">
        <f aca="false">AP323</f>
        <v>500000</v>
      </c>
      <c r="AR321" s="13" t="n">
        <f aca="false">AQ323</f>
        <v>500000</v>
      </c>
      <c r="AS321" s="13" t="n">
        <f aca="false">AR323</f>
        <v>500000</v>
      </c>
      <c r="AT321" s="13" t="n">
        <f aca="false">AS323</f>
        <v>500000</v>
      </c>
      <c r="AU321" s="13" t="n">
        <f aca="false">AT323</f>
        <v>500000</v>
      </c>
      <c r="AV321" s="13" t="n">
        <f aca="false">AU323</f>
        <v>500000</v>
      </c>
      <c r="AW321" s="13" t="n">
        <f aca="false">AV323</f>
        <v>500000</v>
      </c>
      <c r="AX321" s="13" t="n">
        <f aca="false">AW323</f>
        <v>500000</v>
      </c>
      <c r="AY321" s="13" t="n">
        <f aca="false">AX323</f>
        <v>500000</v>
      </c>
      <c r="AZ321" s="13" t="n">
        <f aca="false">AY323</f>
        <v>500000</v>
      </c>
      <c r="BA321" s="13" t="n">
        <f aca="false">AZ323</f>
        <v>500000</v>
      </c>
      <c r="BB321" s="13" t="n">
        <f aca="false">BA323</f>
        <v>500000</v>
      </c>
      <c r="BC321" s="13" t="n">
        <f aca="false">BB323</f>
        <v>500000</v>
      </c>
      <c r="BD321" s="13" t="n">
        <f aca="false">BC323</f>
        <v>500000</v>
      </c>
      <c r="BE321" s="13" t="n">
        <f aca="false">BD323</f>
        <v>500000</v>
      </c>
      <c r="BF321" s="13" t="n">
        <f aca="false">BE323</f>
        <v>500000</v>
      </c>
      <c r="BG321" s="13" t="n">
        <f aca="false">BF323</f>
        <v>500000</v>
      </c>
      <c r="BH321" s="13" t="n">
        <f aca="false">BG323</f>
        <v>500000</v>
      </c>
      <c r="BI321" s="13" t="n">
        <f aca="false">BH323</f>
        <v>500000</v>
      </c>
      <c r="BJ321" s="13" t="n">
        <f aca="false">BI323</f>
        <v>500000</v>
      </c>
      <c r="BK321" s="13" t="n">
        <f aca="false">BJ323</f>
        <v>500000</v>
      </c>
      <c r="BL321" s="13" t="n">
        <f aca="false">BK323</f>
        <v>500000</v>
      </c>
      <c r="BM321" s="13" t="n">
        <f aca="false">BL323</f>
        <v>500000</v>
      </c>
      <c r="BN321" s="13" t="n">
        <f aca="false">BM323</f>
        <v>500000</v>
      </c>
      <c r="BO321" s="13" t="n">
        <f aca="false">BN323</f>
        <v>500000</v>
      </c>
      <c r="BP321" s="13" t="n">
        <f aca="false">BO323</f>
        <v>500000</v>
      </c>
      <c r="BQ321" s="13" t="n">
        <f aca="false">BP323</f>
        <v>500000</v>
      </c>
      <c r="BR321" s="13" t="n">
        <f aca="false">BQ323</f>
        <v>500000</v>
      </c>
      <c r="BS321" s="13" t="n">
        <f aca="false">BR323</f>
        <v>500000</v>
      </c>
      <c r="BT321" s="13" t="n">
        <f aca="false">BS323</f>
        <v>500000</v>
      </c>
      <c r="BU321" s="13" t="n">
        <f aca="false">BT323</f>
        <v>500000</v>
      </c>
      <c r="BV321" s="13" t="n">
        <f aca="false">BU323</f>
        <v>500000</v>
      </c>
      <c r="BW321" s="13" t="n">
        <f aca="false">BV323</f>
        <v>500000</v>
      </c>
      <c r="BX321" s="13" t="n">
        <f aca="false">BW323</f>
        <v>500000</v>
      </c>
      <c r="BY321" s="13" t="n">
        <f aca="false">BX323</f>
        <v>500000</v>
      </c>
      <c r="BZ321" s="13" t="n">
        <f aca="false">BY323</f>
        <v>500000</v>
      </c>
      <c r="CA321" s="13" t="n">
        <f aca="false">BZ323</f>
        <v>500000</v>
      </c>
      <c r="CB321" s="13" t="n">
        <f aca="false">CA323</f>
        <v>500000</v>
      </c>
      <c r="CC321" s="13" t="n">
        <f aca="false">CB323</f>
        <v>500000</v>
      </c>
      <c r="CD321" s="13" t="n">
        <f aca="false">CC323</f>
        <v>500000</v>
      </c>
      <c r="CE321" s="13" t="n">
        <f aca="false">CD323</f>
        <v>500000</v>
      </c>
      <c r="CF321" s="13" t="n">
        <f aca="false">CE323</f>
        <v>500000</v>
      </c>
      <c r="CG321" s="13" t="n">
        <f aca="false">CF323</f>
        <v>500000</v>
      </c>
      <c r="CH321" s="13" t="n">
        <f aca="false">CG323</f>
        <v>500000</v>
      </c>
      <c r="CI321" s="13" t="n">
        <f aca="false">CH323</f>
        <v>500000</v>
      </c>
      <c r="CJ321" s="13" t="n">
        <f aca="false">CI323</f>
        <v>500000</v>
      </c>
      <c r="CK321" s="13" t="n">
        <f aca="false">CJ323</f>
        <v>500000</v>
      </c>
      <c r="CL321" s="13" t="n">
        <f aca="false">CK323</f>
        <v>500000</v>
      </c>
      <c r="CM321" s="13" t="n">
        <f aca="false">CL323</f>
        <v>500000</v>
      </c>
      <c r="CN321" s="13" t="n">
        <f aca="false">CM323</f>
        <v>500000</v>
      </c>
      <c r="CO321" s="13" t="n">
        <f aca="false">CN323</f>
        <v>500000</v>
      </c>
      <c r="CP321" s="13" t="n">
        <f aca="false">CO323</f>
        <v>500000</v>
      </c>
      <c r="CQ321" s="13" t="n">
        <f aca="false">CP323</f>
        <v>500000</v>
      </c>
      <c r="CR321" s="13" t="n">
        <f aca="false">CQ323</f>
        <v>500000</v>
      </c>
      <c r="CS321" s="13" t="n">
        <f aca="false">CR323</f>
        <v>500000</v>
      </c>
      <c r="CT321" s="13" t="n">
        <f aca="false">CS323</f>
        <v>500000</v>
      </c>
      <c r="CU321" s="13" t="n">
        <f aca="false">CT323</f>
        <v>500000</v>
      </c>
      <c r="CV321" s="13" t="n">
        <f aca="false">CU323</f>
        <v>500000</v>
      </c>
      <c r="CW321" s="13" t="n">
        <f aca="false">CV323</f>
        <v>500000</v>
      </c>
      <c r="CX321" s="13" t="n">
        <f aca="false">CW323</f>
        <v>500000</v>
      </c>
      <c r="CY321" s="13" t="n">
        <f aca="false">CX323</f>
        <v>500000</v>
      </c>
      <c r="CZ321" s="13" t="n">
        <f aca="false">CY323</f>
        <v>500000</v>
      </c>
      <c r="DA321" s="13" t="n">
        <f aca="false">CZ323</f>
        <v>500000</v>
      </c>
      <c r="DB321" s="13" t="n">
        <f aca="false">DA323</f>
        <v>500000</v>
      </c>
      <c r="DC321" s="13" t="n">
        <f aca="false">DB323</f>
        <v>500000</v>
      </c>
      <c r="DD321" s="13" t="n">
        <f aca="false">DC323</f>
        <v>500000</v>
      </c>
      <c r="DE321" s="13" t="n">
        <f aca="false">DD323</f>
        <v>500000</v>
      </c>
    </row>
    <row r="322" customFormat="false" ht="15" hidden="false" customHeight="true" outlineLevel="0" collapsed="false">
      <c r="A322" s="22" t="s">
        <v>160</v>
      </c>
      <c r="B322" s="13"/>
      <c r="C322" s="13"/>
      <c r="D322" s="13"/>
      <c r="E322" s="13" t="n">
        <v>0</v>
      </c>
      <c r="F322" s="13" t="n">
        <v>0</v>
      </c>
      <c r="G322" s="13" t="n">
        <v>0</v>
      </c>
      <c r="H322" s="13" t="n">
        <v>0</v>
      </c>
      <c r="I322" s="13" t="n">
        <v>0</v>
      </c>
      <c r="J322" s="13" t="n">
        <v>0</v>
      </c>
      <c r="K322" s="13" t="n">
        <v>0</v>
      </c>
      <c r="L322" s="13" t="n">
        <v>0</v>
      </c>
      <c r="M322" s="13" t="n">
        <v>0</v>
      </c>
      <c r="N322" s="13" t="n">
        <v>0</v>
      </c>
      <c r="O322" s="13" t="n">
        <f aca="false">IF(AND(O321&gt;0,SUM(B308:M308)&gt;=Assumptions!$B$43),-MIN(Assumptions!$B$42,O321),0)</f>
        <v>0</v>
      </c>
      <c r="P322" s="13" t="n">
        <v>0</v>
      </c>
      <c r="Q322" s="13" t="n">
        <v>0</v>
      </c>
      <c r="R322" s="13" t="n">
        <v>0</v>
      </c>
      <c r="S322" s="13" t="n">
        <v>0</v>
      </c>
      <c r="T322" s="13" t="n">
        <v>0</v>
      </c>
      <c r="U322" s="13" t="n">
        <v>0</v>
      </c>
      <c r="V322" s="13" t="n">
        <v>0</v>
      </c>
      <c r="W322" s="13" t="n">
        <v>0</v>
      </c>
      <c r="X322" s="13" t="n">
        <v>0</v>
      </c>
      <c r="Y322" s="13" t="n">
        <v>0</v>
      </c>
      <c r="Z322" s="13" t="n">
        <v>0</v>
      </c>
      <c r="AA322" s="13" t="n">
        <f aca="false">IF(AND(AA321&gt;0,SUM(N308:Y308)&gt;=Assumptions!$B$43),-MIN(Assumptions!$B$42,AA321),0)</f>
        <v>-250000</v>
      </c>
      <c r="AB322" s="13" t="n">
        <v>0</v>
      </c>
      <c r="AC322" s="13" t="n">
        <v>0</v>
      </c>
      <c r="AD322" s="13" t="n">
        <v>0</v>
      </c>
      <c r="AE322" s="13" t="n">
        <v>0</v>
      </c>
      <c r="AF322" s="13" t="n">
        <v>0</v>
      </c>
      <c r="AG322" s="13" t="n">
        <v>0</v>
      </c>
      <c r="AH322" s="13" t="n">
        <v>0</v>
      </c>
      <c r="AI322" s="13" t="n">
        <v>0</v>
      </c>
      <c r="AJ322" s="13" t="n">
        <v>0</v>
      </c>
      <c r="AK322" s="13" t="n">
        <v>0</v>
      </c>
      <c r="AL322" s="13" t="n">
        <v>0</v>
      </c>
      <c r="AM322" s="13" t="n">
        <f aca="false">IF(AND(AM321&gt;0,SUM(Z308:AK308)&gt;=Assumptions!$B$43),-MIN(Assumptions!$B$42,AM321),0)</f>
        <v>-250000</v>
      </c>
      <c r="AN322" s="13" t="n">
        <v>0</v>
      </c>
      <c r="AO322" s="13" t="n">
        <v>0</v>
      </c>
      <c r="AP322" s="13" t="n">
        <v>0</v>
      </c>
      <c r="AQ322" s="13" t="n">
        <v>0</v>
      </c>
      <c r="AR322" s="13" t="n">
        <v>0</v>
      </c>
      <c r="AS322" s="13" t="n">
        <v>0</v>
      </c>
      <c r="AT322" s="13" t="n">
        <v>0</v>
      </c>
      <c r="AU322" s="13" t="n">
        <v>0</v>
      </c>
      <c r="AV322" s="13" t="n">
        <v>0</v>
      </c>
      <c r="AW322" s="13" t="n">
        <v>0</v>
      </c>
      <c r="AX322" s="13" t="n">
        <v>0</v>
      </c>
      <c r="AY322" s="13" t="n">
        <f aca="false">IF(AND(AY321&gt;0,SUM(AL308:AW308)&gt;=Assumptions!$B$43),-MIN(Assumptions!$B$42,AY321),0)</f>
        <v>0</v>
      </c>
      <c r="AZ322" s="13" t="n">
        <v>0</v>
      </c>
      <c r="BA322" s="13" t="n">
        <v>0</v>
      </c>
      <c r="BB322" s="13" t="n">
        <v>0</v>
      </c>
      <c r="BC322" s="13" t="n">
        <v>0</v>
      </c>
      <c r="BD322" s="13" t="n">
        <v>0</v>
      </c>
      <c r="BE322" s="13" t="n">
        <v>0</v>
      </c>
      <c r="BF322" s="13" t="n">
        <v>0</v>
      </c>
      <c r="BG322" s="13" t="n">
        <v>0</v>
      </c>
      <c r="BH322" s="13" t="n">
        <v>0</v>
      </c>
      <c r="BI322" s="13" t="n">
        <v>0</v>
      </c>
      <c r="BJ322" s="13" t="n">
        <v>0</v>
      </c>
      <c r="BK322" s="13" t="n">
        <f aca="false">IF(AND(BK321&gt;0,SUM(AX308:BI308)&gt;=Assumptions!$B$43),-MIN(Assumptions!$B$42,BK321),0)</f>
        <v>0</v>
      </c>
      <c r="BL322" s="13" t="n">
        <v>0</v>
      </c>
      <c r="BM322" s="13" t="n">
        <v>0</v>
      </c>
      <c r="BN322" s="13" t="n">
        <v>0</v>
      </c>
      <c r="BO322" s="13" t="n">
        <v>0</v>
      </c>
      <c r="BP322" s="13" t="n">
        <v>0</v>
      </c>
      <c r="BQ322" s="13" t="n">
        <v>0</v>
      </c>
      <c r="BR322" s="13" t="n">
        <v>0</v>
      </c>
      <c r="BS322" s="13" t="n">
        <v>0</v>
      </c>
      <c r="BT322" s="13" t="n">
        <v>0</v>
      </c>
      <c r="BU322" s="13" t="n">
        <v>0</v>
      </c>
      <c r="BV322" s="13" t="n">
        <v>0</v>
      </c>
      <c r="BW322" s="13" t="n">
        <f aca="false">IF(AND(BW321&gt;0,SUM(BJ308:BU308)&gt;=Assumptions!$B$43),-MIN(Assumptions!$B$42,BW321),0)</f>
        <v>0</v>
      </c>
      <c r="BX322" s="13" t="n">
        <v>0</v>
      </c>
      <c r="BY322" s="13" t="n">
        <v>0</v>
      </c>
      <c r="BZ322" s="13" t="n">
        <v>0</v>
      </c>
      <c r="CA322" s="13" t="n">
        <v>0</v>
      </c>
      <c r="CB322" s="13" t="n">
        <v>0</v>
      </c>
      <c r="CC322" s="13" t="n">
        <v>0</v>
      </c>
      <c r="CD322" s="13" t="n">
        <v>0</v>
      </c>
      <c r="CE322" s="13" t="n">
        <v>0</v>
      </c>
      <c r="CF322" s="13" t="n">
        <v>0</v>
      </c>
      <c r="CG322" s="13" t="n">
        <v>0</v>
      </c>
      <c r="CH322" s="13" t="n">
        <v>0</v>
      </c>
      <c r="CI322" s="13" t="n">
        <f aca="false">IF(AND(CI321&gt;0,SUM(BV308:CG308)&gt;=Assumptions!$B$43),-MIN(Assumptions!$B$42,CI321),0)</f>
        <v>0</v>
      </c>
      <c r="CJ322" s="13" t="n">
        <v>0</v>
      </c>
      <c r="CK322" s="13" t="n">
        <v>0</v>
      </c>
      <c r="CL322" s="13" t="n">
        <v>0</v>
      </c>
      <c r="CM322" s="13" t="n">
        <v>0</v>
      </c>
      <c r="CN322" s="13" t="n">
        <v>0</v>
      </c>
      <c r="CO322" s="13" t="n">
        <v>0</v>
      </c>
      <c r="CP322" s="13" t="n">
        <v>0</v>
      </c>
      <c r="CQ322" s="13" t="n">
        <v>0</v>
      </c>
      <c r="CR322" s="13" t="n">
        <v>0</v>
      </c>
      <c r="CS322" s="13" t="n">
        <v>0</v>
      </c>
      <c r="CT322" s="13"/>
      <c r="CU322" s="13"/>
      <c r="CV322" s="13"/>
      <c r="CW322" s="13"/>
      <c r="CX322" s="13"/>
      <c r="CY322" s="13"/>
      <c r="CZ322" s="13"/>
      <c r="DA322" s="13"/>
      <c r="DB322" s="13"/>
      <c r="DC322" s="13"/>
      <c r="DD322" s="13"/>
      <c r="DE322" s="13"/>
    </row>
    <row r="323" customFormat="false" ht="15" hidden="false" customHeight="true" outlineLevel="0" collapsed="false">
      <c r="A323" s="45" t="s">
        <v>158</v>
      </c>
      <c r="B323" s="46"/>
      <c r="C323" s="46"/>
      <c r="D323" s="46"/>
      <c r="E323" s="46" t="n">
        <f aca="false">MAX(0,E321+E322)</f>
        <v>1000000</v>
      </c>
      <c r="F323" s="46" t="n">
        <f aca="false">MAX(0,F321+F322)</f>
        <v>1000000</v>
      </c>
      <c r="G323" s="46" t="n">
        <f aca="false">MAX(0,G321+G322)</f>
        <v>1000000</v>
      </c>
      <c r="H323" s="46" t="n">
        <f aca="false">MAX(0,H321+H322)</f>
        <v>1000000</v>
      </c>
      <c r="I323" s="46" t="n">
        <f aca="false">MAX(0,I321+I322)</f>
        <v>1000000</v>
      </c>
      <c r="J323" s="46" t="n">
        <f aca="false">MAX(0,J321+J322)</f>
        <v>1000000</v>
      </c>
      <c r="K323" s="46" t="n">
        <f aca="false">MAX(0,K321+K322)</f>
        <v>1000000</v>
      </c>
      <c r="L323" s="46" t="n">
        <f aca="false">MAX(0,L321+L322)</f>
        <v>1000000</v>
      </c>
      <c r="M323" s="46" t="n">
        <f aca="false">MAX(0,M321+M322)</f>
        <v>1000000</v>
      </c>
      <c r="N323" s="46" t="n">
        <f aca="false">MAX(0,N321+N322)</f>
        <v>1000000</v>
      </c>
      <c r="O323" s="46" t="n">
        <f aca="false">MAX(0,O321+O322)</f>
        <v>1000000</v>
      </c>
      <c r="P323" s="46" t="n">
        <f aca="false">MAX(0,P321+P322)</f>
        <v>1000000</v>
      </c>
      <c r="Q323" s="46" t="n">
        <f aca="false">MAX(0,Q321+Q322)</f>
        <v>1000000</v>
      </c>
      <c r="R323" s="46" t="n">
        <f aca="false">MAX(0,R321+R322)</f>
        <v>1000000</v>
      </c>
      <c r="S323" s="46" t="n">
        <f aca="false">MAX(0,S321+S322)</f>
        <v>1000000</v>
      </c>
      <c r="T323" s="46" t="n">
        <f aca="false">MAX(0,T321+T322)</f>
        <v>1000000</v>
      </c>
      <c r="U323" s="46" t="n">
        <f aca="false">MAX(0,U321+U322)</f>
        <v>1000000</v>
      </c>
      <c r="V323" s="46" t="n">
        <f aca="false">MAX(0,V321+V322)</f>
        <v>1000000</v>
      </c>
      <c r="W323" s="46" t="n">
        <f aca="false">MAX(0,W321+W322)</f>
        <v>1000000</v>
      </c>
      <c r="X323" s="46" t="n">
        <f aca="false">MAX(0,X321+X322)</f>
        <v>1000000</v>
      </c>
      <c r="Y323" s="46" t="n">
        <f aca="false">MAX(0,Y321+Y322)</f>
        <v>1000000</v>
      </c>
      <c r="Z323" s="46" t="n">
        <f aca="false">MAX(0,Z321+Z322)</f>
        <v>1000000</v>
      </c>
      <c r="AA323" s="46" t="n">
        <f aca="false">MAX(0,AA321+AA322)</f>
        <v>750000</v>
      </c>
      <c r="AB323" s="46" t="n">
        <f aca="false">MAX(0,AB321+AB322)</f>
        <v>750000</v>
      </c>
      <c r="AC323" s="46" t="n">
        <f aca="false">MAX(0,AC321+AC322)</f>
        <v>750000</v>
      </c>
      <c r="AD323" s="46" t="n">
        <f aca="false">MAX(0,AD321+AD322)</f>
        <v>750000</v>
      </c>
      <c r="AE323" s="46" t="n">
        <f aca="false">MAX(0,AE321+AE322)</f>
        <v>750000</v>
      </c>
      <c r="AF323" s="46" t="n">
        <f aca="false">MAX(0,AF321+AF322)</f>
        <v>750000</v>
      </c>
      <c r="AG323" s="46" t="n">
        <f aca="false">MAX(0,AG321+AG322)</f>
        <v>750000</v>
      </c>
      <c r="AH323" s="46" t="n">
        <f aca="false">MAX(0,AH321+AH322)</f>
        <v>750000</v>
      </c>
      <c r="AI323" s="46" t="n">
        <f aca="false">MAX(0,AI321+AI322)</f>
        <v>750000</v>
      </c>
      <c r="AJ323" s="46" t="n">
        <f aca="false">MAX(0,AJ321+AJ322)</f>
        <v>750000</v>
      </c>
      <c r="AK323" s="46" t="n">
        <f aca="false">MAX(0,AK321+AK322)</f>
        <v>750000</v>
      </c>
      <c r="AL323" s="46" t="n">
        <f aca="false">MAX(0,AL321+AL322)</f>
        <v>750000</v>
      </c>
      <c r="AM323" s="46" t="n">
        <f aca="false">MAX(0,AM321+AM322)</f>
        <v>500000</v>
      </c>
      <c r="AN323" s="46" t="n">
        <f aca="false">MAX(0,AN321+AN322)</f>
        <v>500000</v>
      </c>
      <c r="AO323" s="46" t="n">
        <f aca="false">MAX(0,AO321+AO322)</f>
        <v>500000</v>
      </c>
      <c r="AP323" s="46" t="n">
        <f aca="false">MAX(0,AP321+AP322)</f>
        <v>500000</v>
      </c>
      <c r="AQ323" s="46" t="n">
        <f aca="false">MAX(0,AQ321+AQ322)</f>
        <v>500000</v>
      </c>
      <c r="AR323" s="46" t="n">
        <f aca="false">MAX(0,AR321+AR322)</f>
        <v>500000</v>
      </c>
      <c r="AS323" s="46" t="n">
        <f aca="false">MAX(0,AS321+AS322)</f>
        <v>500000</v>
      </c>
      <c r="AT323" s="46" t="n">
        <f aca="false">MAX(0,AT321+AT322)</f>
        <v>500000</v>
      </c>
      <c r="AU323" s="46" t="n">
        <f aca="false">MAX(0,AU321+AU322)</f>
        <v>500000</v>
      </c>
      <c r="AV323" s="46" t="n">
        <f aca="false">MAX(0,AV321+AV322)</f>
        <v>500000</v>
      </c>
      <c r="AW323" s="46" t="n">
        <f aca="false">MAX(0,AW321+AW322)</f>
        <v>500000</v>
      </c>
      <c r="AX323" s="46" t="n">
        <f aca="false">MAX(0,AX321+AX322)</f>
        <v>500000</v>
      </c>
      <c r="AY323" s="46" t="n">
        <f aca="false">MAX(0,AY321+AY322)</f>
        <v>500000</v>
      </c>
      <c r="AZ323" s="46" t="n">
        <f aca="false">MAX(0,AZ321+AZ322)</f>
        <v>500000</v>
      </c>
      <c r="BA323" s="46" t="n">
        <f aca="false">MAX(0,BA321+BA322)</f>
        <v>500000</v>
      </c>
      <c r="BB323" s="46" t="n">
        <f aca="false">MAX(0,BB321+BB322)</f>
        <v>500000</v>
      </c>
      <c r="BC323" s="46" t="n">
        <f aca="false">MAX(0,BC321+BC322)</f>
        <v>500000</v>
      </c>
      <c r="BD323" s="46" t="n">
        <f aca="false">MAX(0,BD321+BD322)</f>
        <v>500000</v>
      </c>
      <c r="BE323" s="46" t="n">
        <f aca="false">MAX(0,BE321+BE322)</f>
        <v>500000</v>
      </c>
      <c r="BF323" s="46" t="n">
        <f aca="false">MAX(0,BF321+BF322)</f>
        <v>500000</v>
      </c>
      <c r="BG323" s="46" t="n">
        <f aca="false">MAX(0,BG321+BG322)</f>
        <v>500000</v>
      </c>
      <c r="BH323" s="46" t="n">
        <f aca="false">MAX(0,BH321+BH322)</f>
        <v>500000</v>
      </c>
      <c r="BI323" s="46" t="n">
        <f aca="false">MAX(0,BI321+BI322)</f>
        <v>500000</v>
      </c>
      <c r="BJ323" s="46" t="n">
        <f aca="false">MAX(0,BJ321+BJ322)</f>
        <v>500000</v>
      </c>
      <c r="BK323" s="46" t="n">
        <f aca="false">MAX(0,BK321+BK322)</f>
        <v>500000</v>
      </c>
      <c r="BL323" s="46" t="n">
        <f aca="false">MAX(0,BL321+BL322)</f>
        <v>500000</v>
      </c>
      <c r="BM323" s="46" t="n">
        <f aca="false">MAX(0,BM321+BM322)</f>
        <v>500000</v>
      </c>
      <c r="BN323" s="46" t="n">
        <f aca="false">MAX(0,BN321+BN322)</f>
        <v>500000</v>
      </c>
      <c r="BO323" s="46" t="n">
        <f aca="false">MAX(0,BO321+BO322)</f>
        <v>500000</v>
      </c>
      <c r="BP323" s="46" t="n">
        <f aca="false">MAX(0,BP321+BP322)</f>
        <v>500000</v>
      </c>
      <c r="BQ323" s="46" t="n">
        <f aca="false">MAX(0,BQ321+BQ322)</f>
        <v>500000</v>
      </c>
      <c r="BR323" s="46" t="n">
        <f aca="false">MAX(0,BR321+BR322)</f>
        <v>500000</v>
      </c>
      <c r="BS323" s="46" t="n">
        <f aca="false">MAX(0,BS321+BS322)</f>
        <v>500000</v>
      </c>
      <c r="BT323" s="46" t="n">
        <f aca="false">MAX(0,BT321+BT322)</f>
        <v>500000</v>
      </c>
      <c r="BU323" s="46" t="n">
        <f aca="false">MAX(0,BU321+BU322)</f>
        <v>500000</v>
      </c>
      <c r="BV323" s="46" t="n">
        <f aca="false">MAX(0,BV321+BV322)</f>
        <v>500000</v>
      </c>
      <c r="BW323" s="46" t="n">
        <f aca="false">MAX(0,BW321+BW322)</f>
        <v>500000</v>
      </c>
      <c r="BX323" s="46" t="n">
        <f aca="false">MAX(0,BX321+BX322)</f>
        <v>500000</v>
      </c>
      <c r="BY323" s="46" t="n">
        <f aca="false">MAX(0,BY321+BY322)</f>
        <v>500000</v>
      </c>
      <c r="BZ323" s="46" t="n">
        <f aca="false">MAX(0,BZ321+BZ322)</f>
        <v>500000</v>
      </c>
      <c r="CA323" s="46" t="n">
        <f aca="false">MAX(0,CA321+CA322)</f>
        <v>500000</v>
      </c>
      <c r="CB323" s="46" t="n">
        <f aca="false">MAX(0,CB321+CB322)</f>
        <v>500000</v>
      </c>
      <c r="CC323" s="46" t="n">
        <f aca="false">MAX(0,CC321+CC322)</f>
        <v>500000</v>
      </c>
      <c r="CD323" s="46" t="n">
        <f aca="false">MAX(0,CD321+CD322)</f>
        <v>500000</v>
      </c>
      <c r="CE323" s="46" t="n">
        <f aca="false">MAX(0,CE321+CE322)</f>
        <v>500000</v>
      </c>
      <c r="CF323" s="46" t="n">
        <f aca="false">MAX(0,CF321+CF322)</f>
        <v>500000</v>
      </c>
      <c r="CG323" s="46" t="n">
        <f aca="false">MAX(0,CG321+CG322)</f>
        <v>500000</v>
      </c>
      <c r="CH323" s="46" t="n">
        <f aca="false">MAX(0,CH321+CH322)</f>
        <v>500000</v>
      </c>
      <c r="CI323" s="46" t="n">
        <f aca="false">MAX(0,CI321+CI322)</f>
        <v>500000</v>
      </c>
      <c r="CJ323" s="46" t="n">
        <f aca="false">MAX(0,CJ321+CJ322)</f>
        <v>500000</v>
      </c>
      <c r="CK323" s="46" t="n">
        <f aca="false">MAX(0,CK321+CK322)</f>
        <v>500000</v>
      </c>
      <c r="CL323" s="46" t="n">
        <f aca="false">MAX(0,CL321+CL322)</f>
        <v>500000</v>
      </c>
      <c r="CM323" s="46" t="n">
        <f aca="false">MAX(0,CM321+CM322)</f>
        <v>500000</v>
      </c>
      <c r="CN323" s="46" t="n">
        <f aca="false">MAX(0,CN321+CN322)</f>
        <v>500000</v>
      </c>
      <c r="CO323" s="46" t="n">
        <f aca="false">MAX(0,CO321+CO322)</f>
        <v>500000</v>
      </c>
      <c r="CP323" s="46" t="n">
        <f aca="false">MAX(0,CP321+CP322)</f>
        <v>500000</v>
      </c>
      <c r="CQ323" s="46" t="n">
        <f aca="false">MAX(0,CQ321+CQ322)</f>
        <v>500000</v>
      </c>
      <c r="CR323" s="46" t="n">
        <f aca="false">MAX(0,CR321+CR322)</f>
        <v>500000</v>
      </c>
      <c r="CS323" s="46" t="n">
        <f aca="false">MAX(0,CS321+CS322)</f>
        <v>500000</v>
      </c>
      <c r="CT323" s="46" t="n">
        <f aca="false">MAX(0,CT321+CT322)</f>
        <v>500000</v>
      </c>
      <c r="CU323" s="46" t="n">
        <f aca="false">MAX(0,CU321+CU322)</f>
        <v>500000</v>
      </c>
      <c r="CV323" s="46" t="n">
        <f aca="false">MAX(0,CV321+CV322)</f>
        <v>500000</v>
      </c>
      <c r="CW323" s="46" t="n">
        <f aca="false">MAX(0,CW321+CW322)</f>
        <v>500000</v>
      </c>
      <c r="CX323" s="46" t="n">
        <f aca="false">MAX(0,CX321+CX322)</f>
        <v>500000</v>
      </c>
      <c r="CY323" s="46" t="n">
        <f aca="false">MAX(0,CY321+CY322)</f>
        <v>500000</v>
      </c>
      <c r="CZ323" s="46" t="n">
        <f aca="false">MAX(0,CZ321+CZ322)</f>
        <v>500000</v>
      </c>
      <c r="DA323" s="46" t="n">
        <f aca="false">MAX(0,DA321+DA322)</f>
        <v>500000</v>
      </c>
      <c r="DB323" s="46" t="n">
        <f aca="false">MAX(0,DB321+DB322)</f>
        <v>500000</v>
      </c>
      <c r="DC323" s="46" t="n">
        <f aca="false">MAX(0,DC321+DC322)</f>
        <v>500000</v>
      </c>
      <c r="DD323" s="46" t="n">
        <f aca="false">MAX(0,DD321+DD322)</f>
        <v>500000</v>
      </c>
      <c r="DE323" s="46" t="n">
        <f aca="false">MAX(0,DE321+DE322)</f>
        <v>500000</v>
      </c>
    </row>
    <row r="324" customFormat="false" ht="15" hidden="false" customHeight="true" outlineLevel="0" collapsed="false">
      <c r="A324" s="47"/>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row>
    <row r="325" customFormat="false" ht="15" hidden="false" customHeight="true" outlineLevel="0" collapsed="false">
      <c r="A325" s="49" t="s">
        <v>161</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c r="AP325" s="50"/>
      <c r="AQ325" s="50"/>
      <c r="AR325" s="50"/>
      <c r="AS325" s="50"/>
      <c r="AT325" s="50"/>
      <c r="AU325" s="50"/>
      <c r="AV325" s="50"/>
      <c r="AW325" s="50"/>
      <c r="AX325" s="50"/>
      <c r="AY325" s="50"/>
      <c r="AZ325" s="50"/>
      <c r="BA325" s="50"/>
      <c r="BB325" s="50"/>
      <c r="BC325" s="50"/>
      <c r="BD325" s="50"/>
      <c r="BE325" s="50"/>
      <c r="BF325" s="50"/>
      <c r="BG325" s="50"/>
      <c r="BH325" s="50"/>
      <c r="BI325" s="50"/>
      <c r="BJ325" s="50"/>
      <c r="BK325" s="50"/>
      <c r="BL325" s="50"/>
      <c r="BM325" s="50"/>
      <c r="BN325" s="50"/>
      <c r="BO325" s="50"/>
      <c r="BP325" s="50"/>
      <c r="BQ325" s="50"/>
      <c r="BR325" s="50"/>
      <c r="BS325" s="50"/>
      <c r="BT325" s="50"/>
      <c r="BU325" s="50"/>
      <c r="BV325" s="50"/>
      <c r="BW325" s="50"/>
      <c r="BX325" s="50"/>
      <c r="BY325" s="50"/>
      <c r="BZ325" s="50"/>
      <c r="CA325" s="50"/>
      <c r="CB325" s="50"/>
      <c r="CC325" s="50"/>
      <c r="CD325" s="50"/>
      <c r="CE325" s="50"/>
      <c r="CF325" s="50"/>
      <c r="CG325" s="50"/>
      <c r="CH325" s="50"/>
      <c r="CI325" s="50"/>
      <c r="CJ325" s="50"/>
      <c r="CK325" s="50"/>
      <c r="CL325" s="50"/>
      <c r="CM325" s="50"/>
      <c r="CN325" s="50"/>
      <c r="CO325" s="50"/>
      <c r="CP325" s="50"/>
      <c r="CQ325" s="50"/>
      <c r="CR325" s="50"/>
      <c r="CS325" s="50"/>
      <c r="CT325" s="50"/>
      <c r="CU325" s="50"/>
      <c r="CV325" s="50"/>
      <c r="CW325" s="50"/>
      <c r="CX325" s="50"/>
      <c r="CY325" s="50"/>
      <c r="CZ325" s="50"/>
      <c r="DA325" s="50"/>
      <c r="DB325" s="50"/>
      <c r="DC325" s="50"/>
      <c r="DD325" s="50"/>
      <c r="DE325" s="50"/>
    </row>
    <row r="326" customFormat="false" ht="15" hidden="false" customHeight="true" outlineLevel="0" collapsed="false">
      <c r="A326" s="22" t="s">
        <v>162</v>
      </c>
      <c r="B326" s="21"/>
      <c r="C326" s="21"/>
      <c r="D326" s="21"/>
      <c r="E326" s="21" t="n">
        <f aca="false">IF(AND(Projects!$G$11="Yes",Projects!$C$11&lt;=1),Assumptions!$B$60,0)</f>
        <v>0</v>
      </c>
      <c r="F326" s="21" t="n">
        <f aca="false">IF(AND(Projects!$G$11="Yes",2=Projects!$C$11),Assumptions!$B$60,E330)</f>
        <v>0</v>
      </c>
      <c r="G326" s="21" t="n">
        <f aca="false">IF(AND(Projects!$G$11="Yes",3=Projects!$C$11),Assumptions!$B$60,F330)</f>
        <v>0</v>
      </c>
      <c r="H326" s="21" t="n">
        <f aca="false">IF(AND(Projects!$G$11="Yes",4=Projects!$C$11),Assumptions!$B$60,G330)</f>
        <v>0</v>
      </c>
      <c r="I326" s="21" t="n">
        <f aca="false">IF(AND(Projects!$G$11="Yes",5=Projects!$C$11),Assumptions!$B$60,H330)</f>
        <v>0</v>
      </c>
      <c r="J326" s="21" t="n">
        <f aca="false">IF(AND(Projects!$G$11="Yes",6=Projects!$C$11),Assumptions!$B$60,I330)</f>
        <v>0</v>
      </c>
      <c r="K326" s="21" t="n">
        <f aca="false">IF(AND(Projects!$G$11="Yes",7=Projects!$C$11),Assumptions!$B$60,J330)</f>
        <v>0</v>
      </c>
      <c r="L326" s="21" t="n">
        <f aca="false">IF(AND(Projects!$G$11="Yes",8=Projects!$C$11),Assumptions!$B$60,K330)</f>
        <v>0</v>
      </c>
      <c r="M326" s="21" t="n">
        <f aca="false">IF(AND(Projects!$G$11="Yes",9=Projects!$C$11),Assumptions!$B$60,L330)</f>
        <v>0</v>
      </c>
      <c r="N326" s="21" t="n">
        <f aca="false">IF(AND(Projects!$G$11="Yes",10=Projects!$C$11),Assumptions!$B$60,M330)</f>
        <v>0</v>
      </c>
      <c r="O326" s="21" t="n">
        <f aca="false">IF(AND(Projects!$G$11="Yes",11=Projects!$C$11),Assumptions!$B$60,N330)</f>
        <v>0</v>
      </c>
      <c r="P326" s="21" t="n">
        <f aca="false">IF(AND(Projects!$G$11="Yes",12=Projects!$C$11),Assumptions!$B$60,O330)</f>
        <v>0</v>
      </c>
      <c r="Q326" s="21" t="n">
        <f aca="false">IF(AND(Projects!$G$11="Yes",13=Projects!$C$11),Assumptions!$B$60,P330)</f>
        <v>0</v>
      </c>
      <c r="R326" s="21" t="n">
        <f aca="false">IF(AND(Projects!$G$11="Yes",14=Projects!$C$11),Assumptions!$B$60,Q330)</f>
        <v>0</v>
      </c>
      <c r="S326" s="21" t="n">
        <f aca="false">IF(AND(Projects!$G$11="Yes",15=Projects!$C$11),Assumptions!$B$60,R330)</f>
        <v>0</v>
      </c>
      <c r="T326" s="21" t="n">
        <f aca="false">IF(AND(Projects!$G$11="Yes",16=Projects!$C$11),Assumptions!$B$60,S330)</f>
        <v>0</v>
      </c>
      <c r="U326" s="21" t="n">
        <f aca="false">IF(AND(Projects!$G$11="Yes",17=Projects!$C$11),Assumptions!$B$60,T330)</f>
        <v>0</v>
      </c>
      <c r="V326" s="21" t="n">
        <f aca="false">IF(AND(Projects!$G$11="Yes",18=Projects!$C$11),Assumptions!$B$60,U330)</f>
        <v>0</v>
      </c>
      <c r="W326" s="21" t="n">
        <f aca="false">IF(AND(Projects!$G$11="Yes",19=Projects!$C$11),Assumptions!$B$60,V330)</f>
        <v>0</v>
      </c>
      <c r="X326" s="21" t="n">
        <f aca="false">IF(AND(Projects!$G$11="Yes",20=Projects!$C$11),Assumptions!$B$60,W330)</f>
        <v>0</v>
      </c>
      <c r="Y326" s="21" t="n">
        <f aca="false">IF(AND(Projects!$G$11="Yes",21=Projects!$C$11),Assumptions!$B$60,X330)</f>
        <v>0</v>
      </c>
      <c r="Z326" s="21" t="n">
        <f aca="false">IF(AND(Projects!$G$11="Yes",22=Projects!$C$11),Assumptions!$B$60,Y330)</f>
        <v>0</v>
      </c>
      <c r="AA326" s="21" t="n">
        <f aca="false">IF(AND(Projects!$G$11="Yes",23=Projects!$C$11),Assumptions!$B$60,Z330)</f>
        <v>0</v>
      </c>
      <c r="AB326" s="21" t="n">
        <f aca="false">IF(AND(Projects!$G$11="Yes",24=Projects!$C$11),Assumptions!$B$60,AA330)</f>
        <v>0</v>
      </c>
      <c r="AC326" s="21" t="n">
        <f aca="false">IF(AND(Projects!$G$11="Yes",25=Projects!$C$11),Assumptions!$B$60,AB330)</f>
        <v>0</v>
      </c>
      <c r="AD326" s="21" t="n">
        <f aca="false">IF(AND(Projects!$G$11="Yes",26=Projects!$C$11),Assumptions!$B$60,AC330)</f>
        <v>0</v>
      </c>
      <c r="AE326" s="21" t="n">
        <f aca="false">IF(AND(Projects!$G$11="Yes",27=Projects!$C$11),Assumptions!$B$60,AD330)</f>
        <v>0</v>
      </c>
      <c r="AF326" s="21" t="n">
        <f aca="false">IF(AND(Projects!$G$11="Yes",28=Projects!$C$11),Assumptions!$B$60,AE330)</f>
        <v>0</v>
      </c>
      <c r="AG326" s="21" t="n">
        <f aca="false">IF(AND(Projects!$G$11="Yes",29=Projects!$C$11),Assumptions!$B$60,AF330)</f>
        <v>0</v>
      </c>
      <c r="AH326" s="21" t="n">
        <f aca="false">IF(AND(Projects!$G$11="Yes",30=Projects!$C$11),Assumptions!$B$60,AG330)</f>
        <v>0</v>
      </c>
      <c r="AI326" s="21" t="n">
        <f aca="false">IF(AND(Projects!$G$11="Yes",31=Projects!$C$11),Assumptions!$B$60,AH330)</f>
        <v>0</v>
      </c>
      <c r="AJ326" s="21" t="n">
        <f aca="false">IF(AND(Projects!$G$11="Yes",32=Projects!$C$11),Assumptions!$B$60,AI330)</f>
        <v>0</v>
      </c>
      <c r="AK326" s="21" t="n">
        <f aca="false">IF(AND(Projects!$G$11="Yes",33=Projects!$C$11),Assumptions!$B$60,AJ330)</f>
        <v>0</v>
      </c>
      <c r="AL326" s="21" t="n">
        <f aca="false">IF(AND(Projects!$G$11="Yes",34=Projects!$C$11),Assumptions!$B$60,AK330)</f>
        <v>0</v>
      </c>
      <c r="AM326" s="21" t="n">
        <f aca="false">IF(AND(Projects!$G$11="Yes",35=Projects!$C$11),Assumptions!$B$60,AL330)</f>
        <v>0</v>
      </c>
      <c r="AN326" s="21" t="n">
        <f aca="false">IF(AND(Projects!$G$11="Yes",36=Projects!$C$11),Assumptions!$B$60,AM330)</f>
        <v>0</v>
      </c>
      <c r="AO326" s="21" t="n">
        <f aca="false">IF(AND(Projects!$G$11="Yes",37=Projects!$C$11),Assumptions!$B$60,AN330)</f>
        <v>0</v>
      </c>
      <c r="AP326" s="21" t="n">
        <f aca="false">IF(AND(Projects!$G$11="Yes",38=Projects!$C$11),Assumptions!$B$60,AO330)</f>
        <v>0</v>
      </c>
      <c r="AQ326" s="21" t="n">
        <f aca="false">IF(AND(Projects!$G$11="Yes",39=Projects!$C$11),Assumptions!$B$60,AP330)</f>
        <v>0</v>
      </c>
      <c r="AR326" s="21" t="n">
        <f aca="false">IF(AND(Projects!$G$11="Yes",40=Projects!$C$11),Assumptions!$B$60,AQ330)</f>
        <v>0</v>
      </c>
      <c r="AS326" s="21" t="n">
        <f aca="false">IF(AND(Projects!$G$11="Yes",41=Projects!$C$11),Assumptions!$B$60,AR330)</f>
        <v>0</v>
      </c>
      <c r="AT326" s="21" t="n">
        <f aca="false">IF(AND(Projects!$G$11="Yes",42=Projects!$C$11),Assumptions!$B$60,AS330)</f>
        <v>0</v>
      </c>
      <c r="AU326" s="21" t="n">
        <f aca="false">IF(AND(Projects!$G$11="Yes",43=Projects!$C$11),Assumptions!$B$60,AT330)</f>
        <v>0</v>
      </c>
      <c r="AV326" s="21" t="n">
        <f aca="false">IF(AND(Projects!$G$11="Yes",44=Projects!$C$11),Assumptions!$B$60,AU330)</f>
        <v>0</v>
      </c>
      <c r="AW326" s="21" t="n">
        <f aca="false">IF(AND(Projects!$G$11="Yes",45=Projects!$C$11),Assumptions!$B$60,AV330)</f>
        <v>0</v>
      </c>
      <c r="AX326" s="21" t="n">
        <f aca="false">IF(AND(Projects!$G$11="Yes",46=Projects!$C$11),Assumptions!$B$60,AW330)</f>
        <v>0</v>
      </c>
      <c r="AY326" s="21" t="n">
        <f aca="false">IF(AND(Projects!$G$11="Yes",47=Projects!$C$11),Assumptions!$B$60,AX330)</f>
        <v>0</v>
      </c>
      <c r="AZ326" s="21" t="n">
        <f aca="false">IF(AND(Projects!$G$11="Yes",48=Projects!$C$11),Assumptions!$B$60,AY330)</f>
        <v>0</v>
      </c>
      <c r="BA326" s="21" t="n">
        <f aca="false">IF(AND(Projects!$G$11="Yes",49=Projects!$C$11),Assumptions!$B$60,AZ330)</f>
        <v>0</v>
      </c>
      <c r="BB326" s="21" t="n">
        <f aca="false">IF(AND(Projects!$G$11="Yes",50=Projects!$C$11),Assumptions!$B$60,BA330)</f>
        <v>0</v>
      </c>
      <c r="BC326" s="21" t="n">
        <f aca="false">IF(AND(Projects!$G$11="Yes",51=Projects!$C$11),Assumptions!$B$60,BB330)</f>
        <v>0</v>
      </c>
      <c r="BD326" s="21" t="n">
        <f aca="false">IF(AND(Projects!$G$11="Yes",52=Projects!$C$11),Assumptions!$B$60,BC330)</f>
        <v>0</v>
      </c>
      <c r="BE326" s="21" t="n">
        <f aca="false">IF(AND(Projects!$G$11="Yes",53=Projects!$C$11),Assumptions!$B$60,BD330)</f>
        <v>0</v>
      </c>
      <c r="BF326" s="21" t="n">
        <f aca="false">IF(AND(Projects!$G$11="Yes",54=Projects!$C$11),Assumptions!$B$60,BE330)</f>
        <v>0</v>
      </c>
      <c r="BG326" s="21" t="n">
        <f aca="false">IF(AND(Projects!$G$11="Yes",55=Projects!$C$11),Assumptions!$B$60,BF330)</f>
        <v>0</v>
      </c>
      <c r="BH326" s="21" t="n">
        <f aca="false">IF(AND(Projects!$G$11="Yes",56=Projects!$C$11),Assumptions!$B$60,BG330)</f>
        <v>0</v>
      </c>
      <c r="BI326" s="21" t="n">
        <f aca="false">IF(AND(Projects!$G$11="Yes",57=Projects!$C$11),Assumptions!$B$60,BH330)</f>
        <v>0</v>
      </c>
      <c r="BJ326" s="21" t="n">
        <f aca="false">IF(AND(Projects!$G$11="Yes",58=Projects!$C$11),Assumptions!$B$60,BI330)</f>
        <v>0</v>
      </c>
      <c r="BK326" s="21" t="n">
        <f aca="false">IF(AND(Projects!$G$11="Yes",59=Projects!$C$11),Assumptions!$B$60,BJ330)</f>
        <v>0</v>
      </c>
      <c r="BL326" s="21" t="n">
        <f aca="false">IF(AND(Projects!$G$11="Yes",60=Projects!$C$11),Assumptions!$B$60,BK330)</f>
        <v>0</v>
      </c>
      <c r="BM326" s="21" t="n">
        <f aca="false">IF(AND(Projects!$G$11="Yes",61=Projects!$C$11),Assumptions!$B$60,BL330)</f>
        <v>0</v>
      </c>
      <c r="BN326" s="21" t="n">
        <f aca="false">IF(AND(Projects!$G$11="Yes",62=Projects!$C$11),Assumptions!$B$60,BM330)</f>
        <v>0</v>
      </c>
      <c r="BO326" s="21" t="n">
        <f aca="false">IF(AND(Projects!$G$11="Yes",63=Projects!$C$11),Assumptions!$B$60,BN330)</f>
        <v>0</v>
      </c>
      <c r="BP326" s="21" t="n">
        <f aca="false">IF(AND(Projects!$G$11="Yes",64=Projects!$C$11),Assumptions!$B$60,BO330)</f>
        <v>0</v>
      </c>
      <c r="BQ326" s="21" t="n">
        <f aca="false">IF(AND(Projects!$G$11="Yes",65=Projects!$C$11),Assumptions!$B$60,BP330)</f>
        <v>0</v>
      </c>
      <c r="BR326" s="21" t="n">
        <f aca="false">IF(AND(Projects!$G$11="Yes",66=Projects!$C$11),Assumptions!$B$60,BQ330)</f>
        <v>0</v>
      </c>
      <c r="BS326" s="21" t="n">
        <f aca="false">IF(AND(Projects!$G$11="Yes",67=Projects!$C$11),Assumptions!$B$60,BR330)</f>
        <v>0</v>
      </c>
      <c r="BT326" s="21" t="n">
        <f aca="false">IF(AND(Projects!$G$11="Yes",68=Projects!$C$11),Assumptions!$B$60,BS330)</f>
        <v>0</v>
      </c>
      <c r="BU326" s="21" t="n">
        <f aca="false">IF(AND(Projects!$G$11="Yes",69=Projects!$C$11),Assumptions!$B$60,BT330)</f>
        <v>0</v>
      </c>
      <c r="BV326" s="21" t="n">
        <f aca="false">IF(AND(Projects!$G$11="Yes",70=Projects!$C$11),Assumptions!$B$60,BU330)</f>
        <v>0</v>
      </c>
      <c r="BW326" s="21" t="n">
        <f aca="false">IF(AND(Projects!$G$11="Yes",71=Projects!$C$11),Assumptions!$B$60,BV330)</f>
        <v>0</v>
      </c>
      <c r="BX326" s="21" t="n">
        <f aca="false">IF(AND(Projects!$G$11="Yes",72=Projects!$C$11),Assumptions!$B$60,BW330)</f>
        <v>0</v>
      </c>
      <c r="BY326" s="21" t="n">
        <f aca="false">IF(AND(Projects!$G$11="Yes",73=Projects!$C$11),Assumptions!$B$60,BX330)</f>
        <v>0</v>
      </c>
      <c r="BZ326" s="21" t="n">
        <f aca="false">IF(AND(Projects!$G$11="Yes",74=Projects!$C$11),Assumptions!$B$60,BY330)</f>
        <v>0</v>
      </c>
      <c r="CA326" s="21" t="n">
        <f aca="false">IF(AND(Projects!$G$11="Yes",75=Projects!$C$11),Assumptions!$B$60,BZ330)</f>
        <v>0</v>
      </c>
      <c r="CB326" s="21" t="n">
        <f aca="false">IF(AND(Projects!$G$11="Yes",76=Projects!$C$11),Assumptions!$B$60,CA330)</f>
        <v>0</v>
      </c>
      <c r="CC326" s="21" t="n">
        <f aca="false">IF(AND(Projects!$G$11="Yes",77=Projects!$C$11),Assumptions!$B$60,CB330)</f>
        <v>0</v>
      </c>
      <c r="CD326" s="21" t="n">
        <f aca="false">IF(AND(Projects!$G$11="Yes",78=Projects!$C$11),Assumptions!$B$60,CC330)</f>
        <v>0</v>
      </c>
      <c r="CE326" s="21" t="n">
        <f aca="false">IF(AND(Projects!$G$11="Yes",79=Projects!$C$11),Assumptions!$B$60,CD330)</f>
        <v>0</v>
      </c>
      <c r="CF326" s="21" t="n">
        <f aca="false">IF(AND(Projects!$G$11="Yes",80=Projects!$C$11),Assumptions!$B$60,CE330)</f>
        <v>0</v>
      </c>
      <c r="CG326" s="21" t="n">
        <f aca="false">IF(AND(Projects!$G$11="Yes",81=Projects!$C$11),Assumptions!$B$60,CF330)</f>
        <v>0</v>
      </c>
      <c r="CH326" s="21" t="n">
        <f aca="false">IF(AND(Projects!$G$11="Yes",82=Projects!$C$11),Assumptions!$B$60,CG330)</f>
        <v>0</v>
      </c>
      <c r="CI326" s="21" t="n">
        <f aca="false">IF(AND(Projects!$G$11="Yes",83=Projects!$C$11),Assumptions!$B$60,CH330)</f>
        <v>0</v>
      </c>
      <c r="CJ326" s="21" t="n">
        <f aca="false">IF(AND(Projects!$G$11="Yes",84=Projects!$C$11),Assumptions!$B$60,CI330)</f>
        <v>0</v>
      </c>
      <c r="CK326" s="21" t="n">
        <f aca="false">IF(AND(Projects!$G$11="Yes",85=Projects!$C$11),Assumptions!$B$60,CJ330)</f>
        <v>0</v>
      </c>
      <c r="CL326" s="21" t="n">
        <f aca="false">IF(AND(Projects!$G$11="Yes",86=Projects!$C$11),Assumptions!$B$60,CK330)</f>
        <v>0</v>
      </c>
      <c r="CM326" s="21" t="n">
        <f aca="false">IF(AND(Projects!$G$11="Yes",87=Projects!$C$11),Assumptions!$B$60,CL330)</f>
        <v>0</v>
      </c>
      <c r="CN326" s="21" t="n">
        <f aca="false">IF(AND(Projects!$G$11="Yes",88=Projects!$C$11),Assumptions!$B$60,CM330)</f>
        <v>0</v>
      </c>
      <c r="CO326" s="21" t="n">
        <f aca="false">IF(AND(Projects!$G$11="Yes",89=Projects!$C$11),Assumptions!$B$60,CN330)</f>
        <v>0</v>
      </c>
      <c r="CP326" s="21" t="n">
        <f aca="false">IF(AND(Projects!$G$11="Yes",90=Projects!$C$11),Assumptions!$B$60,CO330)</f>
        <v>0</v>
      </c>
      <c r="CQ326" s="21" t="n">
        <f aca="false">IF(AND(Projects!$G$11="Yes",91=Projects!$C$11),Assumptions!$B$60,CP330)</f>
        <v>0</v>
      </c>
      <c r="CR326" s="21" t="n">
        <f aca="false">IF(AND(Projects!$G$11="Yes",92=Projects!$C$11),Assumptions!$B$60,CQ330)</f>
        <v>0</v>
      </c>
      <c r="CS326" s="21" t="n">
        <f aca="false">IF(AND(Projects!$G$11="Yes",93=Projects!$C$11),Assumptions!$B$60,CR330)</f>
        <v>0</v>
      </c>
      <c r="CT326" s="21" t="n">
        <f aca="false">IF(AND(Projects!$G$11="Yes",94=Projects!$C$11),Assumptions!$B$60,CS330)</f>
        <v>0</v>
      </c>
      <c r="CU326" s="21" t="n">
        <f aca="false">IF(AND(Projects!$G$11="Yes",95=Projects!$C$11),Assumptions!$B$60,CT330)</f>
        <v>0</v>
      </c>
      <c r="CV326" s="21" t="n">
        <f aca="false">IF(AND(Projects!$G$11="Yes",96=Projects!$C$11),Assumptions!$B$60,CU330)</f>
        <v>0</v>
      </c>
      <c r="CW326" s="21" t="n">
        <f aca="false">IF(AND(Projects!$G$11="Yes",97=Projects!$C$11),Assumptions!$B$60,CV330)</f>
        <v>0</v>
      </c>
      <c r="CX326" s="21" t="n">
        <f aca="false">IF(AND(Projects!$G$11="Yes",98=Projects!$C$11),Assumptions!$B$60,CW330)</f>
        <v>0</v>
      </c>
      <c r="CY326" s="21" t="n">
        <f aca="false">IF(AND(Projects!$G$11="Yes",99=Projects!$C$11),Assumptions!$B$60,CX330)</f>
        <v>0</v>
      </c>
      <c r="CZ326" s="21" t="n">
        <f aca="false">IF(AND(Projects!$G$11="Yes",100=Projects!$C$11),Assumptions!$B$60,CY330)</f>
        <v>0</v>
      </c>
      <c r="DA326" s="21" t="n">
        <f aca="false">IF(AND(Projects!$G$11="Yes",101=Projects!$C$11),Assumptions!$B$60,CZ330)</f>
        <v>0</v>
      </c>
      <c r="DB326" s="21" t="n">
        <f aca="false">IF(AND(Projects!$G$11="Yes",102=Projects!$C$11),Assumptions!$B$60,DA330)</f>
        <v>0</v>
      </c>
      <c r="DC326" s="21" t="n">
        <f aca="false">IF(AND(Projects!$G$11="Yes",103=Projects!$C$11),Assumptions!$B$60,DB330)</f>
        <v>0</v>
      </c>
      <c r="DD326" s="21" t="n">
        <f aca="false">IF(AND(Projects!$G$11="Yes",104=Projects!$C$11),Assumptions!$B$60,DC330)</f>
        <v>0</v>
      </c>
      <c r="DE326" s="21" t="n">
        <f aca="false">IF(AND(Projects!$G$11="Yes",105=Projects!$C$11),Assumptions!$B$60,DD330)</f>
        <v>0</v>
      </c>
    </row>
    <row r="327" customFormat="false" ht="15" hidden="false" customHeight="true" outlineLevel="0" collapsed="false">
      <c r="A327" s="22" t="s">
        <v>163</v>
      </c>
      <c r="B327" s="21"/>
      <c r="C327" s="21"/>
      <c r="D327" s="21"/>
      <c r="E327" s="21" t="n">
        <f aca="false">IF(AND(MOD(1,3)=0,E326&gt;0),E326*Assumptions!$B$59,0)</f>
        <v>0</v>
      </c>
      <c r="F327" s="21" t="n">
        <f aca="false">IF(AND(MOD(2,3)=0,F326&gt;0),F326*Assumptions!$B$59,0)</f>
        <v>0</v>
      </c>
      <c r="G327" s="21" t="n">
        <f aca="false">IF(AND(MOD(3,3)=0,G326&gt;0),G326*Assumptions!$B$59,0)</f>
        <v>0</v>
      </c>
      <c r="H327" s="21" t="n">
        <f aca="false">IF(AND(MOD(4,3)=0,H326&gt;0),H326*Assumptions!$B$59,0)</f>
        <v>0</v>
      </c>
      <c r="I327" s="21" t="n">
        <f aca="false">IF(AND(MOD(5,3)=0,I326&gt;0),I326*Assumptions!$B$59,0)</f>
        <v>0</v>
      </c>
      <c r="J327" s="21" t="n">
        <f aca="false">IF(AND(MOD(6,3)=0,J326&gt;0),J326*Assumptions!$B$59,0)</f>
        <v>0</v>
      </c>
      <c r="K327" s="21" t="n">
        <f aca="false">IF(AND(MOD(7,3)=0,K326&gt;0),K326*Assumptions!$B$59,0)</f>
        <v>0</v>
      </c>
      <c r="L327" s="21" t="n">
        <f aca="false">IF(AND(MOD(8,3)=0,L326&gt;0),L326*Assumptions!$B$59,0)</f>
        <v>0</v>
      </c>
      <c r="M327" s="21" t="n">
        <f aca="false">IF(AND(MOD(9,3)=0,M326&gt;0),M326*Assumptions!$B$59,0)</f>
        <v>0</v>
      </c>
      <c r="N327" s="21" t="n">
        <f aca="false">IF(AND(MOD(10,3)=0,N326&gt;0),N326*Assumptions!$B$59,0)</f>
        <v>0</v>
      </c>
      <c r="O327" s="21" t="n">
        <f aca="false">IF(AND(MOD(11,3)=0,O326&gt;0),O326*Assumptions!$B$59,0)</f>
        <v>0</v>
      </c>
      <c r="P327" s="21" t="n">
        <f aca="false">IF(AND(MOD(12,3)=0,P326&gt;0),P326*Assumptions!$B$59,0)</f>
        <v>0</v>
      </c>
      <c r="Q327" s="21" t="n">
        <f aca="false">IF(AND(MOD(13,3)=0,Q326&gt;0),Q326*Assumptions!$B$59,0)</f>
        <v>0</v>
      </c>
      <c r="R327" s="21" t="n">
        <f aca="false">IF(AND(MOD(14,3)=0,R326&gt;0),R326*Assumptions!$B$59,0)</f>
        <v>0</v>
      </c>
      <c r="S327" s="21" t="n">
        <f aca="false">IF(AND(MOD(15,3)=0,S326&gt;0),S326*Assumptions!$B$59,0)</f>
        <v>0</v>
      </c>
      <c r="T327" s="21" t="n">
        <f aca="false">IF(AND(MOD(16,3)=0,T326&gt;0),T326*Assumptions!$B$59,0)</f>
        <v>0</v>
      </c>
      <c r="U327" s="21" t="n">
        <f aca="false">IF(AND(MOD(17,3)=0,U326&gt;0),U326*Assumptions!$B$59,0)</f>
        <v>0</v>
      </c>
      <c r="V327" s="21" t="n">
        <f aca="false">IF(AND(MOD(18,3)=0,V326&gt;0),V326*Assumptions!$B$59,0)</f>
        <v>0</v>
      </c>
      <c r="W327" s="21" t="n">
        <f aca="false">IF(AND(MOD(19,3)=0,W326&gt;0),W326*Assumptions!$B$59,0)</f>
        <v>0</v>
      </c>
      <c r="X327" s="21" t="n">
        <f aca="false">IF(AND(MOD(20,3)=0,X326&gt;0),X326*Assumptions!$B$59,0)</f>
        <v>0</v>
      </c>
      <c r="Y327" s="21" t="n">
        <f aca="false">IF(AND(MOD(21,3)=0,Y326&gt;0),Y326*Assumptions!$B$59,0)</f>
        <v>0</v>
      </c>
      <c r="Z327" s="21" t="n">
        <f aca="false">IF(AND(MOD(22,3)=0,Z326&gt;0),Z326*Assumptions!$B$59,0)</f>
        <v>0</v>
      </c>
      <c r="AA327" s="21" t="n">
        <f aca="false">IF(AND(MOD(23,3)=0,AA326&gt;0),AA326*Assumptions!$B$59,0)</f>
        <v>0</v>
      </c>
      <c r="AB327" s="21" t="n">
        <f aca="false">IF(AND(MOD(24,3)=0,AB326&gt;0),AB326*Assumptions!$B$59,0)</f>
        <v>0</v>
      </c>
      <c r="AC327" s="21" t="n">
        <f aca="false">IF(AND(MOD(25,3)=0,AC326&gt;0),AC326*Assumptions!$B$59,0)</f>
        <v>0</v>
      </c>
      <c r="AD327" s="21" t="n">
        <f aca="false">IF(AND(MOD(26,3)=0,AD326&gt;0),AD326*Assumptions!$B$59,0)</f>
        <v>0</v>
      </c>
      <c r="AE327" s="21" t="n">
        <f aca="false">IF(AND(MOD(27,3)=0,AE326&gt;0),AE326*Assumptions!$B$59,0)</f>
        <v>0</v>
      </c>
      <c r="AF327" s="21" t="n">
        <f aca="false">IF(AND(MOD(28,3)=0,AF326&gt;0),AF326*Assumptions!$B$59,0)</f>
        <v>0</v>
      </c>
      <c r="AG327" s="21" t="n">
        <f aca="false">IF(AND(MOD(29,3)=0,AG326&gt;0),AG326*Assumptions!$B$59,0)</f>
        <v>0</v>
      </c>
      <c r="AH327" s="21" t="n">
        <f aca="false">IF(AND(MOD(30,3)=0,AH326&gt;0),AH326*Assumptions!$B$59,0)</f>
        <v>0</v>
      </c>
      <c r="AI327" s="21" t="n">
        <f aca="false">IF(AND(MOD(31,3)=0,AI326&gt;0),AI326*Assumptions!$B$59,0)</f>
        <v>0</v>
      </c>
      <c r="AJ327" s="21" t="n">
        <f aca="false">IF(AND(MOD(32,3)=0,AJ326&gt;0),AJ326*Assumptions!$B$59,0)</f>
        <v>0</v>
      </c>
      <c r="AK327" s="21" t="n">
        <f aca="false">IF(AND(MOD(33,3)=0,AK326&gt;0),AK326*Assumptions!$B$59,0)</f>
        <v>0</v>
      </c>
      <c r="AL327" s="21" t="n">
        <f aca="false">IF(AND(MOD(34,3)=0,AL326&gt;0),AL326*Assumptions!$B$59,0)</f>
        <v>0</v>
      </c>
      <c r="AM327" s="21" t="n">
        <f aca="false">IF(AND(MOD(35,3)=0,AM326&gt;0),AM326*Assumptions!$B$59,0)</f>
        <v>0</v>
      </c>
      <c r="AN327" s="21" t="n">
        <f aca="false">IF(AND(MOD(36,3)=0,AN326&gt;0),AN326*Assumptions!$B$59,0)</f>
        <v>0</v>
      </c>
      <c r="AO327" s="21" t="n">
        <f aca="false">IF(AND(MOD(37,3)=0,AO326&gt;0),AO326*Assumptions!$B$59,0)</f>
        <v>0</v>
      </c>
      <c r="AP327" s="21" t="n">
        <f aca="false">IF(AND(MOD(38,3)=0,AP326&gt;0),AP326*Assumptions!$B$59,0)</f>
        <v>0</v>
      </c>
      <c r="AQ327" s="21" t="n">
        <f aca="false">IF(AND(MOD(39,3)=0,AQ326&gt;0),AQ326*Assumptions!$B$59,0)</f>
        <v>0</v>
      </c>
      <c r="AR327" s="21" t="n">
        <f aca="false">IF(AND(MOD(40,3)=0,AR326&gt;0),AR326*Assumptions!$B$59,0)</f>
        <v>0</v>
      </c>
      <c r="AS327" s="21" t="n">
        <f aca="false">IF(AND(MOD(41,3)=0,AS326&gt;0),AS326*Assumptions!$B$59,0)</f>
        <v>0</v>
      </c>
      <c r="AT327" s="21" t="n">
        <f aca="false">IF(AND(MOD(42,3)=0,AT326&gt;0),AT326*Assumptions!$B$59,0)</f>
        <v>0</v>
      </c>
      <c r="AU327" s="21" t="n">
        <f aca="false">IF(AND(MOD(43,3)=0,AU326&gt;0),AU326*Assumptions!$B$59,0)</f>
        <v>0</v>
      </c>
      <c r="AV327" s="21" t="n">
        <f aca="false">IF(AND(MOD(44,3)=0,AV326&gt;0),AV326*Assumptions!$B$59,0)</f>
        <v>0</v>
      </c>
      <c r="AW327" s="21" t="n">
        <f aca="false">IF(AND(MOD(45,3)=0,AW326&gt;0),AW326*Assumptions!$B$59,0)</f>
        <v>0</v>
      </c>
      <c r="AX327" s="21" t="n">
        <f aca="false">IF(AND(MOD(46,3)=0,AX326&gt;0),AX326*Assumptions!$B$59,0)</f>
        <v>0</v>
      </c>
      <c r="AY327" s="21" t="n">
        <f aca="false">IF(AND(MOD(47,3)=0,AY326&gt;0),AY326*Assumptions!$B$59,0)</f>
        <v>0</v>
      </c>
      <c r="AZ327" s="21" t="n">
        <f aca="false">IF(AND(MOD(48,3)=0,AZ326&gt;0),AZ326*Assumptions!$B$59,0)</f>
        <v>0</v>
      </c>
      <c r="BA327" s="21" t="n">
        <f aca="false">IF(AND(MOD(49,3)=0,BA326&gt;0),BA326*Assumptions!$B$59,0)</f>
        <v>0</v>
      </c>
      <c r="BB327" s="21" t="n">
        <f aca="false">IF(AND(MOD(50,3)=0,BB326&gt;0),BB326*Assumptions!$B$59,0)</f>
        <v>0</v>
      </c>
      <c r="BC327" s="21" t="n">
        <f aca="false">IF(AND(MOD(51,3)=0,BC326&gt;0),BC326*Assumptions!$B$59,0)</f>
        <v>0</v>
      </c>
      <c r="BD327" s="21" t="n">
        <f aca="false">IF(AND(MOD(52,3)=0,BD326&gt;0),BD326*Assumptions!$B$59,0)</f>
        <v>0</v>
      </c>
      <c r="BE327" s="21" t="n">
        <f aca="false">IF(AND(MOD(53,3)=0,BE326&gt;0),BE326*Assumptions!$B$59,0)</f>
        <v>0</v>
      </c>
      <c r="BF327" s="21" t="n">
        <f aca="false">IF(AND(MOD(54,3)=0,BF326&gt;0),BF326*Assumptions!$B$59,0)</f>
        <v>0</v>
      </c>
      <c r="BG327" s="21" t="n">
        <f aca="false">IF(AND(MOD(55,3)=0,BG326&gt;0),BG326*Assumptions!$B$59,0)</f>
        <v>0</v>
      </c>
      <c r="BH327" s="21" t="n">
        <f aca="false">IF(AND(MOD(56,3)=0,BH326&gt;0),BH326*Assumptions!$B$59,0)</f>
        <v>0</v>
      </c>
      <c r="BI327" s="21" t="n">
        <f aca="false">IF(AND(MOD(57,3)=0,BI326&gt;0),BI326*Assumptions!$B$59,0)</f>
        <v>0</v>
      </c>
      <c r="BJ327" s="21" t="n">
        <f aca="false">IF(AND(MOD(58,3)=0,BJ326&gt;0),BJ326*Assumptions!$B$59,0)</f>
        <v>0</v>
      </c>
      <c r="BK327" s="21" t="n">
        <f aca="false">IF(AND(MOD(59,3)=0,BK326&gt;0),BK326*Assumptions!$B$59,0)</f>
        <v>0</v>
      </c>
      <c r="BL327" s="21" t="n">
        <f aca="false">IF(AND(MOD(60,3)=0,BL326&gt;0),BL326*Assumptions!$B$59,0)</f>
        <v>0</v>
      </c>
      <c r="BM327" s="21" t="n">
        <f aca="false">IF(AND(MOD(61,3)=0,BM326&gt;0),BM326*Assumptions!$B$59,0)</f>
        <v>0</v>
      </c>
      <c r="BN327" s="21" t="n">
        <f aca="false">IF(AND(MOD(62,3)=0,BN326&gt;0),BN326*Assumptions!$B$59,0)</f>
        <v>0</v>
      </c>
      <c r="BO327" s="21" t="n">
        <f aca="false">IF(AND(MOD(63,3)=0,BO326&gt;0),BO326*Assumptions!$B$59,0)</f>
        <v>0</v>
      </c>
      <c r="BP327" s="21" t="n">
        <f aca="false">IF(AND(MOD(64,3)=0,BP326&gt;0),BP326*Assumptions!$B$59,0)</f>
        <v>0</v>
      </c>
      <c r="BQ327" s="21" t="n">
        <f aca="false">IF(AND(MOD(65,3)=0,BQ326&gt;0),BQ326*Assumptions!$B$59,0)</f>
        <v>0</v>
      </c>
      <c r="BR327" s="21" t="n">
        <f aca="false">IF(AND(MOD(66,3)=0,BR326&gt;0),BR326*Assumptions!$B$59,0)</f>
        <v>0</v>
      </c>
      <c r="BS327" s="21" t="n">
        <f aca="false">IF(AND(MOD(67,3)=0,BS326&gt;0),BS326*Assumptions!$B$59,0)</f>
        <v>0</v>
      </c>
      <c r="BT327" s="21" t="n">
        <f aca="false">IF(AND(MOD(68,3)=0,BT326&gt;0),BT326*Assumptions!$B$59,0)</f>
        <v>0</v>
      </c>
      <c r="BU327" s="21" t="n">
        <f aca="false">IF(AND(MOD(69,3)=0,BU326&gt;0),BU326*Assumptions!$B$59,0)</f>
        <v>0</v>
      </c>
      <c r="BV327" s="21" t="n">
        <f aca="false">IF(AND(MOD(70,3)=0,BV326&gt;0),BV326*Assumptions!$B$59,0)</f>
        <v>0</v>
      </c>
      <c r="BW327" s="21" t="n">
        <f aca="false">IF(AND(MOD(71,3)=0,BW326&gt;0),BW326*Assumptions!$B$59,0)</f>
        <v>0</v>
      </c>
      <c r="BX327" s="21" t="n">
        <f aca="false">IF(AND(MOD(72,3)=0,BX326&gt;0),BX326*Assumptions!$B$59,0)</f>
        <v>0</v>
      </c>
      <c r="BY327" s="21" t="n">
        <f aca="false">IF(AND(MOD(73,3)=0,BY326&gt;0),BY326*Assumptions!$B$59,0)</f>
        <v>0</v>
      </c>
      <c r="BZ327" s="21" t="n">
        <f aca="false">IF(AND(MOD(74,3)=0,BZ326&gt;0),BZ326*Assumptions!$B$59,0)</f>
        <v>0</v>
      </c>
      <c r="CA327" s="21" t="n">
        <f aca="false">IF(AND(MOD(75,3)=0,CA326&gt;0),CA326*Assumptions!$B$59,0)</f>
        <v>0</v>
      </c>
      <c r="CB327" s="21" t="n">
        <f aca="false">IF(AND(MOD(76,3)=0,CB326&gt;0),CB326*Assumptions!$B$59,0)</f>
        <v>0</v>
      </c>
      <c r="CC327" s="21" t="n">
        <f aca="false">IF(AND(MOD(77,3)=0,CC326&gt;0),CC326*Assumptions!$B$59,0)</f>
        <v>0</v>
      </c>
      <c r="CD327" s="21" t="n">
        <f aca="false">IF(AND(MOD(78,3)=0,CD326&gt;0),CD326*Assumptions!$B$59,0)</f>
        <v>0</v>
      </c>
      <c r="CE327" s="21" t="n">
        <f aca="false">IF(AND(MOD(79,3)=0,CE326&gt;0),CE326*Assumptions!$B$59,0)</f>
        <v>0</v>
      </c>
      <c r="CF327" s="21" t="n">
        <f aca="false">IF(AND(MOD(80,3)=0,CF326&gt;0),CF326*Assumptions!$B$59,0)</f>
        <v>0</v>
      </c>
      <c r="CG327" s="21" t="n">
        <f aca="false">IF(AND(MOD(81,3)=0,CG326&gt;0),CG326*Assumptions!$B$59,0)</f>
        <v>0</v>
      </c>
      <c r="CH327" s="21" t="n">
        <f aca="false">IF(AND(MOD(82,3)=0,CH326&gt;0),CH326*Assumptions!$B$59,0)</f>
        <v>0</v>
      </c>
      <c r="CI327" s="21" t="n">
        <f aca="false">IF(AND(MOD(83,3)=0,CI326&gt;0),CI326*Assumptions!$B$59,0)</f>
        <v>0</v>
      </c>
      <c r="CJ327" s="21" t="n">
        <f aca="false">IF(AND(MOD(84,3)=0,CJ326&gt;0),CJ326*Assumptions!$B$59,0)</f>
        <v>0</v>
      </c>
      <c r="CK327" s="21" t="n">
        <f aca="false">IF(AND(MOD(85,3)=0,CK326&gt;0),CK326*Assumptions!$B$59,0)</f>
        <v>0</v>
      </c>
      <c r="CL327" s="21" t="n">
        <f aca="false">IF(AND(MOD(86,3)=0,CL326&gt;0),CL326*Assumptions!$B$59,0)</f>
        <v>0</v>
      </c>
      <c r="CM327" s="21" t="n">
        <f aca="false">IF(AND(MOD(87,3)=0,CM326&gt;0),CM326*Assumptions!$B$59,0)</f>
        <v>0</v>
      </c>
      <c r="CN327" s="21" t="n">
        <f aca="false">IF(AND(MOD(88,3)=0,CN326&gt;0),CN326*Assumptions!$B$59,0)</f>
        <v>0</v>
      </c>
      <c r="CO327" s="21" t="n">
        <f aca="false">IF(AND(MOD(89,3)=0,CO326&gt;0),CO326*Assumptions!$B$59,0)</f>
        <v>0</v>
      </c>
      <c r="CP327" s="21" t="n">
        <f aca="false">IF(AND(MOD(90,3)=0,CP326&gt;0),CP326*Assumptions!$B$59,0)</f>
        <v>0</v>
      </c>
      <c r="CQ327" s="21" t="n">
        <f aca="false">IF(AND(MOD(91,3)=0,CQ326&gt;0),CQ326*Assumptions!$B$59,0)</f>
        <v>0</v>
      </c>
      <c r="CR327" s="21" t="n">
        <f aca="false">IF(AND(MOD(92,3)=0,CR326&gt;0),CR326*Assumptions!$B$59,0)</f>
        <v>0</v>
      </c>
      <c r="CS327" s="21" t="n">
        <f aca="false">IF(AND(MOD(93,3)=0,CS326&gt;0),CS326*Assumptions!$B$59,0)</f>
        <v>0</v>
      </c>
      <c r="CT327" s="21" t="n">
        <f aca="false">IF(AND(MOD(94,3)=0,CT326&gt;0),CT326*Assumptions!$B$59,0)</f>
        <v>0</v>
      </c>
      <c r="CU327" s="21" t="n">
        <f aca="false">IF(AND(MOD(95,3)=0,CU326&gt;0),CU326*Assumptions!$B$59,0)</f>
        <v>0</v>
      </c>
      <c r="CV327" s="21" t="n">
        <f aca="false">IF(AND(MOD(96,3)=0,CV326&gt;0),CV326*Assumptions!$B$59,0)</f>
        <v>0</v>
      </c>
      <c r="CW327" s="21" t="n">
        <f aca="false">IF(AND(MOD(97,3)=0,CW326&gt;0),CW326*Assumptions!$B$59,0)</f>
        <v>0</v>
      </c>
      <c r="CX327" s="21" t="n">
        <f aca="false">IF(AND(MOD(98,3)=0,CX326&gt;0),CX326*Assumptions!$B$59,0)</f>
        <v>0</v>
      </c>
      <c r="CY327" s="21" t="n">
        <f aca="false">IF(AND(MOD(99,3)=0,CY326&gt;0),CY326*Assumptions!$B$59,0)</f>
        <v>0</v>
      </c>
      <c r="CZ327" s="21" t="n">
        <f aca="false">IF(AND(MOD(100,3)=0,CZ326&gt;0),CZ326*Assumptions!$B$59,0)</f>
        <v>0</v>
      </c>
      <c r="DA327" s="21" t="n">
        <f aca="false">IF(AND(MOD(101,3)=0,DA326&gt;0),DA326*Assumptions!$B$59,0)</f>
        <v>0</v>
      </c>
      <c r="DB327" s="21" t="n">
        <f aca="false">IF(AND(MOD(102,3)=0,DB326&gt;0),DB326*Assumptions!$B$59,0)</f>
        <v>0</v>
      </c>
      <c r="DC327" s="21" t="n">
        <f aca="false">IF(AND(MOD(103,3)=0,DC326&gt;0),DC326*Assumptions!$B$59,0)</f>
        <v>0</v>
      </c>
      <c r="DD327" s="21" t="n">
        <f aca="false">IF(AND(MOD(104,3)=0,DD326&gt;0),DD326*Assumptions!$B$59,0)</f>
        <v>0</v>
      </c>
      <c r="DE327" s="21" t="n">
        <f aca="false">IF(AND(MOD(105,3)=0,DE326&gt;0),DE326*Assumptions!$B$59,0)</f>
        <v>0</v>
      </c>
    </row>
    <row r="328" customFormat="false" ht="15" hidden="false" customHeight="true" outlineLevel="0" collapsed="false">
      <c r="A328" s="22" t="s">
        <v>164</v>
      </c>
      <c r="B328" s="21"/>
      <c r="C328" s="21"/>
      <c r="D328" s="21"/>
      <c r="E328" s="21" t="n">
        <v>0</v>
      </c>
      <c r="F328" s="21" t="n">
        <v>0</v>
      </c>
      <c r="G328" s="21" t="n">
        <v>0</v>
      </c>
      <c r="H328" s="21" t="n">
        <v>0</v>
      </c>
      <c r="I328" s="21" t="n">
        <v>0</v>
      </c>
      <c r="J328" s="21" t="n">
        <v>0</v>
      </c>
      <c r="K328" s="21" t="n">
        <v>0</v>
      </c>
      <c r="L328" s="21" t="n">
        <v>0</v>
      </c>
      <c r="M328" s="21" t="n">
        <v>0</v>
      </c>
      <c r="N328" s="21" t="n">
        <v>0</v>
      </c>
      <c r="O328" s="21" t="n">
        <v>0</v>
      </c>
      <c r="P328" s="21" t="n">
        <v>0</v>
      </c>
      <c r="Q328" s="21" t="n">
        <v>0</v>
      </c>
      <c r="R328" s="21" t="n">
        <v>0</v>
      </c>
      <c r="S328" s="21" t="n">
        <v>0</v>
      </c>
      <c r="T328" s="21" t="n">
        <v>0</v>
      </c>
      <c r="U328" s="21" t="n">
        <v>0</v>
      </c>
      <c r="V328" s="21" t="n">
        <v>0</v>
      </c>
      <c r="W328" s="21" t="n">
        <v>0</v>
      </c>
      <c r="X328" s="21" t="n">
        <v>0</v>
      </c>
      <c r="Y328" s="21" t="n">
        <v>0</v>
      </c>
      <c r="Z328" s="21" t="n">
        <v>0</v>
      </c>
      <c r="AA328" s="21" t="n">
        <v>0</v>
      </c>
      <c r="AB328" s="21" t="n">
        <v>0</v>
      </c>
      <c r="AC328" s="21" t="n">
        <v>0</v>
      </c>
      <c r="AD328" s="21" t="n">
        <v>0</v>
      </c>
      <c r="AE328" s="21" t="n">
        <v>0</v>
      </c>
      <c r="AF328" s="21" t="n">
        <v>0</v>
      </c>
      <c r="AG328" s="21" t="n">
        <v>0</v>
      </c>
      <c r="AH328" s="21" t="n">
        <v>0</v>
      </c>
      <c r="AI328" s="21" t="n">
        <v>0</v>
      </c>
      <c r="AJ328" s="21" t="n">
        <v>0</v>
      </c>
      <c r="AK328" s="21" t="n">
        <v>0</v>
      </c>
      <c r="AL328" s="21" t="n">
        <v>0</v>
      </c>
      <c r="AM328" s="21" t="n">
        <v>0</v>
      </c>
      <c r="AN328" s="21" t="n">
        <v>0</v>
      </c>
      <c r="AO328" s="21" t="n">
        <v>0</v>
      </c>
      <c r="AP328" s="21" t="n">
        <v>0</v>
      </c>
      <c r="AQ328" s="21" t="n">
        <v>0</v>
      </c>
      <c r="AR328" s="21" t="n">
        <v>0</v>
      </c>
      <c r="AS328" s="21" t="n">
        <v>0</v>
      </c>
      <c r="AT328" s="21" t="n">
        <v>0</v>
      </c>
      <c r="AU328" s="21" t="n">
        <v>0</v>
      </c>
      <c r="AV328" s="21" t="n">
        <v>0</v>
      </c>
      <c r="AW328" s="21" t="n">
        <v>0</v>
      </c>
      <c r="AX328" s="21" t="n">
        <v>0</v>
      </c>
      <c r="AY328" s="21" t="n">
        <v>0</v>
      </c>
      <c r="AZ328" s="21" t="n">
        <v>0</v>
      </c>
      <c r="BA328" s="21" t="n">
        <v>0</v>
      </c>
      <c r="BB328" s="21" t="n">
        <v>0</v>
      </c>
      <c r="BC328" s="21" t="n">
        <v>0</v>
      </c>
      <c r="BD328" s="21" t="n">
        <v>0</v>
      </c>
      <c r="BE328" s="21" t="n">
        <v>0</v>
      </c>
      <c r="BF328" s="21" t="n">
        <v>0</v>
      </c>
      <c r="BG328" s="21" t="n">
        <v>0</v>
      </c>
      <c r="BH328" s="21" t="n">
        <v>0</v>
      </c>
      <c r="BI328" s="21" t="n">
        <v>0</v>
      </c>
      <c r="BJ328" s="21" t="n">
        <v>0</v>
      </c>
      <c r="BK328" s="21" t="n">
        <v>0</v>
      </c>
      <c r="BL328" s="21" t="n">
        <v>0</v>
      </c>
      <c r="BM328" s="21" t="n">
        <v>0</v>
      </c>
      <c r="BN328" s="21" t="n">
        <v>0</v>
      </c>
      <c r="BO328" s="21" t="n">
        <v>0</v>
      </c>
      <c r="BP328" s="21" t="n">
        <v>0</v>
      </c>
      <c r="BQ328" s="21" t="n">
        <v>0</v>
      </c>
      <c r="BR328" s="21" t="n">
        <v>0</v>
      </c>
      <c r="BS328" s="21" t="n">
        <v>0</v>
      </c>
      <c r="BT328" s="21" t="n">
        <v>0</v>
      </c>
      <c r="BU328" s="21" t="n">
        <v>0</v>
      </c>
      <c r="BV328" s="21" t="n">
        <v>0</v>
      </c>
      <c r="BW328" s="21" t="n">
        <v>0</v>
      </c>
      <c r="BX328" s="21" t="n">
        <v>0</v>
      </c>
      <c r="BY328" s="21" t="n">
        <v>0</v>
      </c>
      <c r="BZ328" s="21" t="n">
        <v>0</v>
      </c>
      <c r="CA328" s="21" t="n">
        <v>0</v>
      </c>
      <c r="CB328" s="21" t="n">
        <v>0</v>
      </c>
      <c r="CC328" s="21" t="n">
        <v>0</v>
      </c>
      <c r="CD328" s="21" t="n">
        <v>0</v>
      </c>
      <c r="CE328" s="21" t="n">
        <v>0</v>
      </c>
      <c r="CF328" s="21" t="n">
        <v>0</v>
      </c>
      <c r="CG328" s="21" t="n">
        <v>0</v>
      </c>
      <c r="CH328" s="21" t="n">
        <v>0</v>
      </c>
      <c r="CI328" s="21" t="n">
        <v>0</v>
      </c>
      <c r="CJ328" s="21" t="n">
        <v>0</v>
      </c>
      <c r="CK328" s="21" t="n">
        <v>0</v>
      </c>
      <c r="CL328" s="21" t="n">
        <v>0</v>
      </c>
      <c r="CM328" s="21" t="n">
        <v>0</v>
      </c>
      <c r="CN328" s="21" t="n">
        <v>0</v>
      </c>
      <c r="CO328" s="21" t="n">
        <v>0</v>
      </c>
      <c r="CP328" s="21" t="n">
        <v>0</v>
      </c>
      <c r="CQ328" s="21" t="n">
        <v>0</v>
      </c>
      <c r="CR328" s="21" t="n">
        <v>0</v>
      </c>
      <c r="CS328" s="21" t="n">
        <v>0</v>
      </c>
      <c r="CT328" s="21"/>
      <c r="CU328" s="21"/>
      <c r="CV328" s="21"/>
      <c r="CW328" s="21"/>
      <c r="CX328" s="21"/>
      <c r="CY328" s="21"/>
      <c r="CZ328" s="21"/>
      <c r="DA328" s="21"/>
      <c r="DB328" s="21"/>
      <c r="DC328" s="21"/>
      <c r="DD328" s="21"/>
      <c r="DE328" s="21"/>
    </row>
    <row r="329" customFormat="false" ht="15" hidden="false" customHeight="true" outlineLevel="0" collapsed="false">
      <c r="A329" s="51" t="s">
        <v>165</v>
      </c>
      <c r="B329" s="52"/>
      <c r="C329" s="52"/>
      <c r="D329" s="52"/>
      <c r="E329" s="52" t="n">
        <v>0</v>
      </c>
      <c r="F329" s="52" t="n">
        <v>0</v>
      </c>
      <c r="G329" s="52" t="n">
        <v>0</v>
      </c>
      <c r="H329" s="52" t="n">
        <v>0</v>
      </c>
      <c r="I329" s="52" t="n">
        <v>0</v>
      </c>
      <c r="J329" s="52" t="n">
        <v>0</v>
      </c>
      <c r="K329" s="52" t="n">
        <v>0</v>
      </c>
      <c r="L329" s="52" t="n">
        <v>0</v>
      </c>
      <c r="M329" s="52" t="n">
        <v>0</v>
      </c>
      <c r="N329" s="52" t="n">
        <v>0</v>
      </c>
      <c r="O329" s="52" t="n">
        <v>0</v>
      </c>
      <c r="P329" s="52" t="n">
        <v>0</v>
      </c>
      <c r="Q329" s="52" t="n">
        <v>0</v>
      </c>
      <c r="R329" s="52" t="n">
        <v>0</v>
      </c>
      <c r="S329" s="52" t="n">
        <v>0</v>
      </c>
      <c r="T329" s="52" t="n">
        <v>0</v>
      </c>
      <c r="U329" s="52" t="n">
        <v>0</v>
      </c>
      <c r="V329" s="52" t="n">
        <v>0</v>
      </c>
      <c r="W329" s="52" t="n">
        <v>0</v>
      </c>
      <c r="X329" s="52" t="n">
        <v>0</v>
      </c>
      <c r="Y329" s="52" t="n">
        <v>0</v>
      </c>
      <c r="Z329" s="52" t="n">
        <v>0</v>
      </c>
      <c r="AA329" s="52" t="n">
        <v>0</v>
      </c>
      <c r="AB329" s="52" t="n">
        <v>0</v>
      </c>
      <c r="AC329" s="52" t="n">
        <v>0</v>
      </c>
      <c r="AD329" s="52" t="n">
        <v>0</v>
      </c>
      <c r="AE329" s="52" t="n">
        <v>0</v>
      </c>
      <c r="AF329" s="52" t="n">
        <v>0</v>
      </c>
      <c r="AG329" s="52" t="n">
        <v>0</v>
      </c>
      <c r="AH329" s="52" t="n">
        <v>0</v>
      </c>
      <c r="AI329" s="52" t="n">
        <v>0</v>
      </c>
      <c r="AJ329" s="52" t="n">
        <v>0</v>
      </c>
      <c r="AK329" s="52" t="n">
        <v>0</v>
      </c>
      <c r="AL329" s="52" t="n">
        <v>0</v>
      </c>
      <c r="AM329" s="52" t="n">
        <v>0</v>
      </c>
      <c r="AN329" s="52" t="n">
        <v>0</v>
      </c>
      <c r="AO329" s="52" t="n">
        <v>0</v>
      </c>
      <c r="AP329" s="52" t="n">
        <v>0</v>
      </c>
      <c r="AQ329" s="52" t="n">
        <v>0</v>
      </c>
      <c r="AR329" s="52" t="n">
        <v>0</v>
      </c>
      <c r="AS329" s="52" t="n">
        <v>0</v>
      </c>
      <c r="AT329" s="52" t="n">
        <v>0</v>
      </c>
      <c r="AU329" s="52" t="n">
        <v>0</v>
      </c>
      <c r="AV329" s="52" t="n">
        <v>0</v>
      </c>
      <c r="AW329" s="52" t="n">
        <v>0</v>
      </c>
      <c r="AX329" s="52" t="n">
        <v>0</v>
      </c>
      <c r="AY329" s="52" t="n">
        <v>0</v>
      </c>
      <c r="AZ329" s="52" t="n">
        <v>0</v>
      </c>
      <c r="BA329" s="52" t="n">
        <v>0</v>
      </c>
      <c r="BB329" s="52" t="n">
        <v>0</v>
      </c>
      <c r="BC329" s="52" t="n">
        <v>0</v>
      </c>
      <c r="BD329" s="52" t="n">
        <v>0</v>
      </c>
      <c r="BE329" s="52" t="n">
        <v>0</v>
      </c>
      <c r="BF329" s="52" t="n">
        <v>0</v>
      </c>
      <c r="BG329" s="52" t="n">
        <v>0</v>
      </c>
      <c r="BH329" s="52" t="n">
        <v>0</v>
      </c>
      <c r="BI329" s="52" t="n">
        <v>0</v>
      </c>
      <c r="BJ329" s="52" t="n">
        <v>0</v>
      </c>
      <c r="BK329" s="52" t="n">
        <v>0</v>
      </c>
      <c r="BL329" s="52" t="n">
        <v>0</v>
      </c>
      <c r="BM329" s="52" t="n">
        <v>0</v>
      </c>
      <c r="BN329" s="52" t="n">
        <v>0</v>
      </c>
      <c r="BO329" s="52" t="n">
        <v>0</v>
      </c>
      <c r="BP329" s="52" t="n">
        <v>0</v>
      </c>
      <c r="BQ329" s="52" t="n">
        <v>0</v>
      </c>
      <c r="BR329" s="52" t="n">
        <v>0</v>
      </c>
      <c r="BS329" s="52" t="n">
        <v>0</v>
      </c>
      <c r="BT329" s="52" t="n">
        <v>0</v>
      </c>
      <c r="BU329" s="52" t="n">
        <v>0</v>
      </c>
      <c r="BV329" s="52" t="n">
        <v>0</v>
      </c>
      <c r="BW329" s="52" t="n">
        <v>0</v>
      </c>
      <c r="BX329" s="52" t="n">
        <v>0</v>
      </c>
      <c r="BY329" s="52" t="n">
        <v>0</v>
      </c>
      <c r="BZ329" s="52" t="n">
        <v>0</v>
      </c>
      <c r="CA329" s="52" t="n">
        <v>0</v>
      </c>
      <c r="CB329" s="52" t="n">
        <v>0</v>
      </c>
      <c r="CC329" s="52" t="n">
        <v>0</v>
      </c>
      <c r="CD329" s="52" t="n">
        <v>0</v>
      </c>
      <c r="CE329" s="52" t="n">
        <v>0</v>
      </c>
      <c r="CF329" s="52" t="n">
        <v>0</v>
      </c>
      <c r="CG329" s="52" t="n">
        <v>0</v>
      </c>
      <c r="CH329" s="52" t="n">
        <v>0</v>
      </c>
      <c r="CI329" s="52" t="n">
        <v>0</v>
      </c>
      <c r="CJ329" s="52" t="n">
        <v>0</v>
      </c>
      <c r="CK329" s="52" t="n">
        <v>0</v>
      </c>
      <c r="CL329" s="52" t="n">
        <v>0</v>
      </c>
      <c r="CM329" s="52" t="n">
        <v>0</v>
      </c>
      <c r="CN329" s="52" t="n">
        <v>0</v>
      </c>
      <c r="CO329" s="52" t="n">
        <v>0</v>
      </c>
      <c r="CP329" s="52" t="n">
        <v>0</v>
      </c>
      <c r="CQ329" s="52" t="n">
        <v>0</v>
      </c>
      <c r="CR329" s="52" t="n">
        <v>0</v>
      </c>
      <c r="CS329" s="52" t="n">
        <v>0</v>
      </c>
      <c r="CT329" s="52"/>
      <c r="CU329" s="52"/>
      <c r="CV329" s="52"/>
      <c r="CW329" s="52"/>
      <c r="CX329" s="52"/>
      <c r="CY329" s="52"/>
      <c r="CZ329" s="52"/>
      <c r="DA329" s="52"/>
      <c r="DB329" s="52"/>
      <c r="DC329" s="52"/>
      <c r="DD329" s="52"/>
      <c r="DE329" s="52"/>
    </row>
    <row r="330" customFormat="false" ht="15" hidden="false" customHeight="true" outlineLevel="0" collapsed="false">
      <c r="A330" s="53" t="s">
        <v>166</v>
      </c>
      <c r="B330" s="54"/>
      <c r="C330" s="54"/>
      <c r="D330" s="54"/>
      <c r="E330" s="54" t="n">
        <f aca="false">MAX(0,E326+E327+E328+E329)</f>
        <v>0</v>
      </c>
      <c r="F330" s="54" t="n">
        <f aca="false">MAX(0,F326+F327+F328+F329)</f>
        <v>0</v>
      </c>
      <c r="G330" s="54" t="n">
        <f aca="false">MAX(0,G326+G327+G328+G329)</f>
        <v>0</v>
      </c>
      <c r="H330" s="54" t="n">
        <f aca="false">MAX(0,H326+H327+H328+H329)</f>
        <v>0</v>
      </c>
      <c r="I330" s="54" t="n">
        <f aca="false">MAX(0,I326+I327+I328+I329)</f>
        <v>0</v>
      </c>
      <c r="J330" s="54" t="n">
        <f aca="false">MAX(0,J326+J327+J328+J329)</f>
        <v>0</v>
      </c>
      <c r="K330" s="54" t="n">
        <f aca="false">MAX(0,K326+K327+K328+K329)</f>
        <v>0</v>
      </c>
      <c r="L330" s="54" t="n">
        <f aca="false">MAX(0,L326+L327+L328+L329)</f>
        <v>0</v>
      </c>
      <c r="M330" s="54" t="n">
        <f aca="false">MAX(0,M326+M327+M328+M329)</f>
        <v>0</v>
      </c>
      <c r="N330" s="54" t="n">
        <f aca="false">MAX(0,N326+N327+N328+N329)</f>
        <v>0</v>
      </c>
      <c r="O330" s="54" t="n">
        <f aca="false">MAX(0,O326+O327+O328+O329)</f>
        <v>0</v>
      </c>
      <c r="P330" s="54" t="n">
        <f aca="false">MAX(0,P326+P327+P328+P329)</f>
        <v>0</v>
      </c>
      <c r="Q330" s="54" t="n">
        <f aca="false">MAX(0,Q326+Q327+Q328+Q329)</f>
        <v>0</v>
      </c>
      <c r="R330" s="54" t="n">
        <f aca="false">MAX(0,R326+R327+R328+R329)</f>
        <v>0</v>
      </c>
      <c r="S330" s="54" t="n">
        <f aca="false">MAX(0,S326+S327+S328+S329)</f>
        <v>0</v>
      </c>
      <c r="T330" s="54" t="n">
        <f aca="false">MAX(0,T326+T327+T328+T329)</f>
        <v>0</v>
      </c>
      <c r="U330" s="54" t="n">
        <f aca="false">MAX(0,U326+U327+U328+U329)</f>
        <v>0</v>
      </c>
      <c r="V330" s="54" t="n">
        <f aca="false">MAX(0,V326+V327+V328+V329)</f>
        <v>0</v>
      </c>
      <c r="W330" s="54" t="n">
        <f aca="false">MAX(0,W326+W327+W328+W329)</f>
        <v>0</v>
      </c>
      <c r="X330" s="54" t="n">
        <f aca="false">MAX(0,X326+X327+X328+X329)</f>
        <v>0</v>
      </c>
      <c r="Y330" s="54" t="n">
        <f aca="false">MAX(0,Y326+Y327+Y328+Y329)</f>
        <v>0</v>
      </c>
      <c r="Z330" s="54" t="n">
        <f aca="false">MAX(0,Z326+Z327+Z328+Z329)</f>
        <v>0</v>
      </c>
      <c r="AA330" s="54" t="n">
        <f aca="false">MAX(0,AA326+AA327+AA328+AA329)</f>
        <v>0</v>
      </c>
      <c r="AB330" s="54" t="n">
        <f aca="false">MAX(0,AB326+AB327+AB328+AB329)</f>
        <v>0</v>
      </c>
      <c r="AC330" s="54" t="n">
        <f aca="false">MAX(0,AC326+AC327+AC328+AC329)</f>
        <v>0</v>
      </c>
      <c r="AD330" s="54" t="n">
        <f aca="false">MAX(0,AD326+AD327+AD328+AD329)</f>
        <v>0</v>
      </c>
      <c r="AE330" s="54" t="n">
        <f aca="false">MAX(0,AE326+AE327+AE328+AE329)</f>
        <v>0</v>
      </c>
      <c r="AF330" s="54" t="n">
        <f aca="false">MAX(0,AF326+AF327+AF328+AF329)</f>
        <v>0</v>
      </c>
      <c r="AG330" s="54" t="n">
        <f aca="false">MAX(0,AG326+AG327+AG328+AG329)</f>
        <v>0</v>
      </c>
      <c r="AH330" s="54" t="n">
        <f aca="false">MAX(0,AH326+AH327+AH328+AH329)</f>
        <v>0</v>
      </c>
      <c r="AI330" s="54" t="n">
        <f aca="false">MAX(0,AI326+AI327+AI328+AI329)</f>
        <v>0</v>
      </c>
      <c r="AJ330" s="54" t="n">
        <f aca="false">MAX(0,AJ326+AJ327+AJ328+AJ329)</f>
        <v>0</v>
      </c>
      <c r="AK330" s="54" t="n">
        <f aca="false">MAX(0,AK326+AK327+AK328+AK329)</f>
        <v>0</v>
      </c>
      <c r="AL330" s="54" t="n">
        <f aca="false">MAX(0,AL326+AL327+AL328+AL329)</f>
        <v>0</v>
      </c>
      <c r="AM330" s="54" t="n">
        <f aca="false">MAX(0,AM326+AM327+AM328+AM329)</f>
        <v>0</v>
      </c>
      <c r="AN330" s="54" t="n">
        <f aca="false">MAX(0,AN326+AN327+AN328+AN329)</f>
        <v>0</v>
      </c>
      <c r="AO330" s="54" t="n">
        <f aca="false">MAX(0,AO326+AO327+AO328+AO329)</f>
        <v>0</v>
      </c>
      <c r="AP330" s="54" t="n">
        <f aca="false">MAX(0,AP326+AP327+AP328+AP329)</f>
        <v>0</v>
      </c>
      <c r="AQ330" s="54" t="n">
        <f aca="false">MAX(0,AQ326+AQ327+AQ328+AQ329)</f>
        <v>0</v>
      </c>
      <c r="AR330" s="54" t="n">
        <f aca="false">MAX(0,AR326+AR327+AR328+AR329)</f>
        <v>0</v>
      </c>
      <c r="AS330" s="54" t="n">
        <f aca="false">MAX(0,AS326+AS327+AS328+AS329)</f>
        <v>0</v>
      </c>
      <c r="AT330" s="54" t="n">
        <f aca="false">MAX(0,AT326+AT327+AT328+AT329)</f>
        <v>0</v>
      </c>
      <c r="AU330" s="54" t="n">
        <f aca="false">MAX(0,AU326+AU327+AU328+AU329)</f>
        <v>0</v>
      </c>
      <c r="AV330" s="54" t="n">
        <f aca="false">MAX(0,AV326+AV327+AV328+AV329)</f>
        <v>0</v>
      </c>
      <c r="AW330" s="54" t="n">
        <f aca="false">MAX(0,AW326+AW327+AW328+AW329)</f>
        <v>0</v>
      </c>
      <c r="AX330" s="54" t="n">
        <f aca="false">MAX(0,AX326+AX327+AX328+AX329)</f>
        <v>0</v>
      </c>
      <c r="AY330" s="54" t="n">
        <f aca="false">MAX(0,AY326+AY327+AY328+AY329)</f>
        <v>0</v>
      </c>
      <c r="AZ330" s="54" t="n">
        <f aca="false">MAX(0,AZ326+AZ327+AZ328+AZ329)</f>
        <v>0</v>
      </c>
      <c r="BA330" s="54" t="n">
        <f aca="false">MAX(0,BA326+BA327+BA328+BA329)</f>
        <v>0</v>
      </c>
      <c r="BB330" s="54" t="n">
        <f aca="false">MAX(0,BB326+BB327+BB328+BB329)</f>
        <v>0</v>
      </c>
      <c r="BC330" s="54" t="n">
        <f aca="false">MAX(0,BC326+BC327+BC328+BC329)</f>
        <v>0</v>
      </c>
      <c r="BD330" s="54" t="n">
        <f aca="false">MAX(0,BD326+BD327+BD328+BD329)</f>
        <v>0</v>
      </c>
      <c r="BE330" s="54" t="n">
        <f aca="false">MAX(0,BE326+BE327+BE328+BE329)</f>
        <v>0</v>
      </c>
      <c r="BF330" s="54" t="n">
        <f aca="false">MAX(0,BF326+BF327+BF328+BF329)</f>
        <v>0</v>
      </c>
      <c r="BG330" s="54" t="n">
        <f aca="false">MAX(0,BG326+BG327+BG328+BG329)</f>
        <v>0</v>
      </c>
      <c r="BH330" s="54" t="n">
        <f aca="false">MAX(0,BH326+BH327+BH328+BH329)</f>
        <v>0</v>
      </c>
      <c r="BI330" s="54" t="n">
        <f aca="false">MAX(0,BI326+BI327+BI328+BI329)</f>
        <v>0</v>
      </c>
      <c r="BJ330" s="54" t="n">
        <f aca="false">MAX(0,BJ326+BJ327+BJ328+BJ329)</f>
        <v>0</v>
      </c>
      <c r="BK330" s="54" t="n">
        <f aca="false">MAX(0,BK326+BK327+BK328+BK329)</f>
        <v>0</v>
      </c>
      <c r="BL330" s="54" t="n">
        <f aca="false">MAX(0,BL326+BL327+BL328+BL329)</f>
        <v>0</v>
      </c>
      <c r="BM330" s="54" t="n">
        <f aca="false">MAX(0,BM326+BM327+BM328+BM329)</f>
        <v>0</v>
      </c>
      <c r="BN330" s="54" t="n">
        <f aca="false">MAX(0,BN326+BN327+BN328+BN329)</f>
        <v>0</v>
      </c>
      <c r="BO330" s="54" t="n">
        <f aca="false">MAX(0,BO326+BO327+BO328+BO329)</f>
        <v>0</v>
      </c>
      <c r="BP330" s="54" t="n">
        <f aca="false">MAX(0,BP326+BP327+BP328+BP329)</f>
        <v>0</v>
      </c>
      <c r="BQ330" s="54" t="n">
        <f aca="false">MAX(0,BQ326+BQ327+BQ328+BQ329)</f>
        <v>0</v>
      </c>
      <c r="BR330" s="54" t="n">
        <f aca="false">MAX(0,BR326+BR327+BR328+BR329)</f>
        <v>0</v>
      </c>
      <c r="BS330" s="54" t="n">
        <f aca="false">MAX(0,BS326+BS327+BS328+BS329)</f>
        <v>0</v>
      </c>
      <c r="BT330" s="54" t="n">
        <f aca="false">MAX(0,BT326+BT327+BT328+BT329)</f>
        <v>0</v>
      </c>
      <c r="BU330" s="54" t="n">
        <f aca="false">MAX(0,BU326+BU327+BU328+BU329)</f>
        <v>0</v>
      </c>
      <c r="BV330" s="54" t="n">
        <f aca="false">MAX(0,BV326+BV327+BV328+BV329)</f>
        <v>0</v>
      </c>
      <c r="BW330" s="54" t="n">
        <f aca="false">MAX(0,BW326+BW327+BW328+BW329)</f>
        <v>0</v>
      </c>
      <c r="BX330" s="54" t="n">
        <f aca="false">MAX(0,BX326+BX327+BX328+BX329)</f>
        <v>0</v>
      </c>
      <c r="BY330" s="54" t="n">
        <f aca="false">MAX(0,BY326+BY327+BY328+BY329)</f>
        <v>0</v>
      </c>
      <c r="BZ330" s="54" t="n">
        <f aca="false">MAX(0,BZ326+BZ327+BZ328+BZ329)</f>
        <v>0</v>
      </c>
      <c r="CA330" s="54" t="n">
        <f aca="false">MAX(0,CA326+CA327+CA328+CA329)</f>
        <v>0</v>
      </c>
      <c r="CB330" s="54" t="n">
        <f aca="false">MAX(0,CB326+CB327+CB328+CB329)</f>
        <v>0</v>
      </c>
      <c r="CC330" s="54" t="n">
        <f aca="false">MAX(0,CC326+CC327+CC328+CC329)</f>
        <v>0</v>
      </c>
      <c r="CD330" s="54" t="n">
        <f aca="false">MAX(0,CD326+CD327+CD328+CD329)</f>
        <v>0</v>
      </c>
      <c r="CE330" s="54" t="n">
        <f aca="false">MAX(0,CE326+CE327+CE328+CE329)</f>
        <v>0</v>
      </c>
      <c r="CF330" s="54" t="n">
        <f aca="false">MAX(0,CF326+CF327+CF328+CF329)</f>
        <v>0</v>
      </c>
      <c r="CG330" s="54" t="n">
        <f aca="false">MAX(0,CG326+CG327+CG328+CG329)</f>
        <v>0</v>
      </c>
      <c r="CH330" s="54" t="n">
        <f aca="false">MAX(0,CH326+CH327+CH328+CH329)</f>
        <v>0</v>
      </c>
      <c r="CI330" s="54" t="n">
        <f aca="false">MAX(0,CI326+CI327+CI328+CI329)</f>
        <v>0</v>
      </c>
      <c r="CJ330" s="54" t="n">
        <f aca="false">MAX(0,CJ326+CJ327+CJ328+CJ329)</f>
        <v>0</v>
      </c>
      <c r="CK330" s="54" t="n">
        <f aca="false">MAX(0,CK326+CK327+CK328+CK329)</f>
        <v>0</v>
      </c>
      <c r="CL330" s="54" t="n">
        <f aca="false">MAX(0,CL326+CL327+CL328+CL329)</f>
        <v>0</v>
      </c>
      <c r="CM330" s="54" t="n">
        <f aca="false">MAX(0,CM326+CM327+CM328+CM329)</f>
        <v>0</v>
      </c>
      <c r="CN330" s="54" t="n">
        <f aca="false">MAX(0,CN326+CN327+CN328+CN329)</f>
        <v>0</v>
      </c>
      <c r="CO330" s="54" t="n">
        <f aca="false">MAX(0,CO326+CO327+CO328+CO329)</f>
        <v>0</v>
      </c>
      <c r="CP330" s="54" t="n">
        <f aca="false">MAX(0,CP326+CP327+CP328+CP329)</f>
        <v>0</v>
      </c>
      <c r="CQ330" s="54" t="n">
        <f aca="false">MAX(0,CQ326+CQ327+CQ328+CQ329)</f>
        <v>0</v>
      </c>
      <c r="CR330" s="54" t="n">
        <f aca="false">MAX(0,CR326+CR327+CR328+CR329)</f>
        <v>0</v>
      </c>
      <c r="CS330" s="54" t="n">
        <f aca="false">MAX(0,CS326+CS327+CS328+CS329)</f>
        <v>0</v>
      </c>
      <c r="CT330" s="54" t="n">
        <f aca="false">MAX(0,CT326+CT327+CT328+CT329)</f>
        <v>0</v>
      </c>
      <c r="CU330" s="54" t="n">
        <f aca="false">MAX(0,CU326+CU327+CU328+CU329)</f>
        <v>0</v>
      </c>
      <c r="CV330" s="54" t="n">
        <f aca="false">MAX(0,CV326+CV327+CV328+CV329)</f>
        <v>0</v>
      </c>
      <c r="CW330" s="54" t="n">
        <f aca="false">MAX(0,CW326+CW327+CW328+CW329)</f>
        <v>0</v>
      </c>
      <c r="CX330" s="54" t="n">
        <f aca="false">MAX(0,CX326+CX327+CX328+CX329)</f>
        <v>0</v>
      </c>
      <c r="CY330" s="54" t="n">
        <f aca="false">MAX(0,CY326+CY327+CY328+CY329)</f>
        <v>0</v>
      </c>
      <c r="CZ330" s="54" t="n">
        <f aca="false">MAX(0,CZ326+CZ327+CZ328+CZ329)</f>
        <v>0</v>
      </c>
      <c r="DA330" s="54" t="n">
        <f aca="false">MAX(0,DA326+DA327+DA328+DA329)</f>
        <v>0</v>
      </c>
      <c r="DB330" s="54" t="n">
        <f aca="false">MAX(0,DB326+DB327+DB328+DB329)</f>
        <v>0</v>
      </c>
      <c r="DC330" s="54" t="n">
        <f aca="false">MAX(0,DC326+DC327+DC328+DC329)</f>
        <v>0</v>
      </c>
      <c r="DD330" s="54" t="n">
        <f aca="false">MAX(0,DD326+DD327+DD328+DD329)</f>
        <v>0</v>
      </c>
      <c r="DE330" s="54" t="n">
        <f aca="false">MAX(0,DE326+DE327+DE328+DE329)</f>
        <v>0</v>
      </c>
    </row>
    <row r="331" customFormat="false" ht="15" hidden="false" customHeight="true" outlineLevel="0" collapsed="false">
      <c r="A331" s="22" t="s">
        <v>167</v>
      </c>
      <c r="B331" s="21"/>
      <c r="C331" s="21"/>
      <c r="D331" s="21"/>
      <c r="E331" s="21" t="n">
        <f aca="false">IF(AND(Projects!$G$12="Yes",Projects!$C$12&lt;=1),Assumptions!$B$61,0)</f>
        <v>0</v>
      </c>
      <c r="F331" s="21" t="n">
        <f aca="false">IF(AND(Projects!$G$12="Yes",2=Projects!$C$12),Assumptions!$B$61,E335)</f>
        <v>0</v>
      </c>
      <c r="G331" s="21" t="n">
        <f aca="false">IF(AND(Projects!$G$12="Yes",3=Projects!$C$12),Assumptions!$B$61,F335)</f>
        <v>0</v>
      </c>
      <c r="H331" s="21" t="n">
        <f aca="false">IF(AND(Projects!$G$12="Yes",4=Projects!$C$12),Assumptions!$B$61,G335)</f>
        <v>0</v>
      </c>
      <c r="I331" s="21" t="n">
        <f aca="false">IF(AND(Projects!$G$12="Yes",5=Projects!$C$12),Assumptions!$B$61,H335)</f>
        <v>0</v>
      </c>
      <c r="J331" s="21" t="n">
        <f aca="false">IF(AND(Projects!$G$12="Yes",6=Projects!$C$12),Assumptions!$B$61,I335)</f>
        <v>0</v>
      </c>
      <c r="K331" s="21" t="n">
        <f aca="false">IF(AND(Projects!$G$12="Yes",7=Projects!$C$12),Assumptions!$B$61,J335)</f>
        <v>0</v>
      </c>
      <c r="L331" s="21" t="n">
        <f aca="false">IF(AND(Projects!$G$12="Yes",8=Projects!$C$12),Assumptions!$B$61,K335)</f>
        <v>0</v>
      </c>
      <c r="M331" s="21" t="n">
        <f aca="false">IF(AND(Projects!$G$12="Yes",9=Projects!$C$12),Assumptions!$B$61,L335)</f>
        <v>0</v>
      </c>
      <c r="N331" s="21" t="n">
        <f aca="false">IF(AND(Projects!$G$12="Yes",10=Projects!$C$12),Assumptions!$B$61,M335)</f>
        <v>0</v>
      </c>
      <c r="O331" s="21" t="n">
        <f aca="false">IF(AND(Projects!$G$12="Yes",11=Projects!$C$12),Assumptions!$B$61,N335)</f>
        <v>0</v>
      </c>
      <c r="P331" s="21" t="n">
        <f aca="false">IF(AND(Projects!$G$12="Yes",12=Projects!$C$12),Assumptions!$B$61,O335)</f>
        <v>0</v>
      </c>
      <c r="Q331" s="21" t="n">
        <f aca="false">IF(AND(Projects!$G$12="Yes",13=Projects!$C$12),Assumptions!$B$61,P335)</f>
        <v>0</v>
      </c>
      <c r="R331" s="21" t="n">
        <f aca="false">IF(AND(Projects!$G$12="Yes",14=Projects!$C$12),Assumptions!$B$61,Q335)</f>
        <v>0</v>
      </c>
      <c r="S331" s="21" t="n">
        <f aca="false">IF(AND(Projects!$G$12="Yes",15=Projects!$C$12),Assumptions!$B$61,R335)</f>
        <v>0</v>
      </c>
      <c r="T331" s="21" t="n">
        <f aca="false">IF(AND(Projects!$G$12="Yes",16=Projects!$C$12),Assumptions!$B$61,S335)</f>
        <v>0</v>
      </c>
      <c r="U331" s="21" t="n">
        <f aca="false">IF(AND(Projects!$G$12="Yes",17=Projects!$C$12),Assumptions!$B$61,T335)</f>
        <v>0</v>
      </c>
      <c r="V331" s="21" t="n">
        <f aca="false">IF(AND(Projects!$G$12="Yes",18=Projects!$C$12),Assumptions!$B$61,U335)</f>
        <v>0</v>
      </c>
      <c r="W331" s="21" t="n">
        <f aca="false">IF(AND(Projects!$G$12="Yes",19=Projects!$C$12),Assumptions!$B$61,V335)</f>
        <v>0</v>
      </c>
      <c r="X331" s="21" t="n">
        <f aca="false">IF(AND(Projects!$G$12="Yes",20=Projects!$C$12),Assumptions!$B$61,W335)</f>
        <v>0</v>
      </c>
      <c r="Y331" s="21" t="n">
        <f aca="false">IF(AND(Projects!$G$12="Yes",21=Projects!$C$12),Assumptions!$B$61,X335)</f>
        <v>0</v>
      </c>
      <c r="Z331" s="21" t="n">
        <f aca="false">IF(AND(Projects!$G$12="Yes",22=Projects!$C$12),Assumptions!$B$61,Y335)</f>
        <v>0</v>
      </c>
      <c r="AA331" s="21" t="n">
        <f aca="false">IF(AND(Projects!$G$12="Yes",23=Projects!$C$12),Assumptions!$B$61,Z335)</f>
        <v>0</v>
      </c>
      <c r="AB331" s="21" t="n">
        <f aca="false">IF(AND(Projects!$G$12="Yes",24=Projects!$C$12),Assumptions!$B$61,AA335)</f>
        <v>0</v>
      </c>
      <c r="AC331" s="21" t="n">
        <f aca="false">IF(AND(Projects!$G$12="Yes",25=Projects!$C$12),Assumptions!$B$61,AB335)</f>
        <v>0</v>
      </c>
      <c r="AD331" s="21" t="n">
        <f aca="false">IF(AND(Projects!$G$12="Yes",26=Projects!$C$12),Assumptions!$B$61,AC335)</f>
        <v>0</v>
      </c>
      <c r="AE331" s="21" t="n">
        <f aca="false">IF(AND(Projects!$G$12="Yes",27=Projects!$C$12),Assumptions!$B$61,AD335)</f>
        <v>0</v>
      </c>
      <c r="AF331" s="21" t="n">
        <f aca="false">IF(AND(Projects!$G$12="Yes",28=Projects!$C$12),Assumptions!$B$61,AE335)</f>
        <v>0</v>
      </c>
      <c r="AG331" s="21" t="n">
        <f aca="false">IF(AND(Projects!$G$12="Yes",29=Projects!$C$12),Assumptions!$B$61,AF335)</f>
        <v>0</v>
      </c>
      <c r="AH331" s="21" t="n">
        <f aca="false">IF(AND(Projects!$G$12="Yes",30=Projects!$C$12),Assumptions!$B$61,AG335)</f>
        <v>0</v>
      </c>
      <c r="AI331" s="21" t="n">
        <f aca="false">IF(AND(Projects!$G$12="Yes",31=Projects!$C$12),Assumptions!$B$61,AH335)</f>
        <v>0</v>
      </c>
      <c r="AJ331" s="21" t="n">
        <f aca="false">IF(AND(Projects!$G$12="Yes",32=Projects!$C$12),Assumptions!$B$61,AI335)</f>
        <v>0</v>
      </c>
      <c r="AK331" s="21" t="n">
        <f aca="false">IF(AND(Projects!$G$12="Yes",33=Projects!$C$12),Assumptions!$B$61,AJ335)</f>
        <v>0</v>
      </c>
      <c r="AL331" s="21" t="n">
        <f aca="false">IF(AND(Projects!$G$12="Yes",34=Projects!$C$12),Assumptions!$B$61,AK335)</f>
        <v>0</v>
      </c>
      <c r="AM331" s="21" t="n">
        <f aca="false">IF(AND(Projects!$G$12="Yes",35=Projects!$C$12),Assumptions!$B$61,AL335)</f>
        <v>0</v>
      </c>
      <c r="AN331" s="21" t="n">
        <f aca="false">IF(AND(Projects!$G$12="Yes",36=Projects!$C$12),Assumptions!$B$61,AM335)</f>
        <v>0</v>
      </c>
      <c r="AO331" s="21" t="n">
        <f aca="false">IF(AND(Projects!$G$12="Yes",37=Projects!$C$12),Assumptions!$B$61,AN335)</f>
        <v>0</v>
      </c>
      <c r="AP331" s="21" t="n">
        <f aca="false">IF(AND(Projects!$G$12="Yes",38=Projects!$C$12),Assumptions!$B$61,AO335)</f>
        <v>0</v>
      </c>
      <c r="AQ331" s="21" t="n">
        <f aca="false">IF(AND(Projects!$G$12="Yes",39=Projects!$C$12),Assumptions!$B$61,AP335)</f>
        <v>0</v>
      </c>
      <c r="AR331" s="21" t="n">
        <f aca="false">IF(AND(Projects!$G$12="Yes",40=Projects!$C$12),Assumptions!$B$61,AQ335)</f>
        <v>0</v>
      </c>
      <c r="AS331" s="21" t="n">
        <f aca="false">IF(AND(Projects!$G$12="Yes",41=Projects!$C$12),Assumptions!$B$61,AR335)</f>
        <v>0</v>
      </c>
      <c r="AT331" s="21" t="n">
        <f aca="false">IF(AND(Projects!$G$12="Yes",42=Projects!$C$12),Assumptions!$B$61,AS335)</f>
        <v>0</v>
      </c>
      <c r="AU331" s="21" t="n">
        <f aca="false">IF(AND(Projects!$G$12="Yes",43=Projects!$C$12),Assumptions!$B$61,AT335)</f>
        <v>0</v>
      </c>
      <c r="AV331" s="21" t="n">
        <f aca="false">IF(AND(Projects!$G$12="Yes",44=Projects!$C$12),Assumptions!$B$61,AU335)</f>
        <v>0</v>
      </c>
      <c r="AW331" s="21" t="n">
        <f aca="false">IF(AND(Projects!$G$12="Yes",45=Projects!$C$12),Assumptions!$B$61,AV335)</f>
        <v>0</v>
      </c>
      <c r="AX331" s="21" t="n">
        <f aca="false">IF(AND(Projects!$G$12="Yes",46=Projects!$C$12),Assumptions!$B$61,AW335)</f>
        <v>0</v>
      </c>
      <c r="AY331" s="21" t="n">
        <f aca="false">IF(AND(Projects!$G$12="Yes",47=Projects!$C$12),Assumptions!$B$61,AX335)</f>
        <v>0</v>
      </c>
      <c r="AZ331" s="21" t="n">
        <f aca="false">IF(AND(Projects!$G$12="Yes",48=Projects!$C$12),Assumptions!$B$61,AY335)</f>
        <v>0</v>
      </c>
      <c r="BA331" s="21" t="n">
        <f aca="false">IF(AND(Projects!$G$12="Yes",49=Projects!$C$12),Assumptions!$B$61,AZ335)</f>
        <v>0</v>
      </c>
      <c r="BB331" s="21" t="n">
        <f aca="false">IF(AND(Projects!$G$12="Yes",50=Projects!$C$12),Assumptions!$B$61,BA335)</f>
        <v>0</v>
      </c>
      <c r="BC331" s="21" t="n">
        <f aca="false">IF(AND(Projects!$G$12="Yes",51=Projects!$C$12),Assumptions!$B$61,BB335)</f>
        <v>0</v>
      </c>
      <c r="BD331" s="21" t="n">
        <f aca="false">IF(AND(Projects!$G$12="Yes",52=Projects!$C$12),Assumptions!$B$61,BC335)</f>
        <v>0</v>
      </c>
      <c r="BE331" s="21" t="n">
        <f aca="false">IF(AND(Projects!$G$12="Yes",53=Projects!$C$12),Assumptions!$B$61,BD335)</f>
        <v>0</v>
      </c>
      <c r="BF331" s="21" t="n">
        <f aca="false">IF(AND(Projects!$G$12="Yes",54=Projects!$C$12),Assumptions!$B$61,BE335)</f>
        <v>0</v>
      </c>
      <c r="BG331" s="21" t="n">
        <f aca="false">IF(AND(Projects!$G$12="Yes",55=Projects!$C$12),Assumptions!$B$61,BF335)</f>
        <v>0</v>
      </c>
      <c r="BH331" s="21" t="n">
        <f aca="false">IF(AND(Projects!$G$12="Yes",56=Projects!$C$12),Assumptions!$B$61,BG335)</f>
        <v>0</v>
      </c>
      <c r="BI331" s="21" t="n">
        <f aca="false">IF(AND(Projects!$G$12="Yes",57=Projects!$C$12),Assumptions!$B$61,BH335)</f>
        <v>0</v>
      </c>
      <c r="BJ331" s="21" t="n">
        <f aca="false">IF(AND(Projects!$G$12="Yes",58=Projects!$C$12),Assumptions!$B$61,BI335)</f>
        <v>0</v>
      </c>
      <c r="BK331" s="21" t="n">
        <f aca="false">IF(AND(Projects!$G$12="Yes",59=Projects!$C$12),Assumptions!$B$61,BJ335)</f>
        <v>0</v>
      </c>
      <c r="BL331" s="21" t="n">
        <f aca="false">IF(AND(Projects!$G$12="Yes",60=Projects!$C$12),Assumptions!$B$61,BK335)</f>
        <v>0</v>
      </c>
      <c r="BM331" s="21" t="n">
        <f aca="false">IF(AND(Projects!$G$12="Yes",61=Projects!$C$12),Assumptions!$B$61,BL335)</f>
        <v>0</v>
      </c>
      <c r="BN331" s="21" t="n">
        <f aca="false">IF(AND(Projects!$G$12="Yes",62=Projects!$C$12),Assumptions!$B$61,BM335)</f>
        <v>0</v>
      </c>
      <c r="BO331" s="21" t="n">
        <f aca="false">IF(AND(Projects!$G$12="Yes",63=Projects!$C$12),Assumptions!$B$61,BN335)</f>
        <v>0</v>
      </c>
      <c r="BP331" s="21" t="n">
        <f aca="false">IF(AND(Projects!$G$12="Yes",64=Projects!$C$12),Assumptions!$B$61,BO335)</f>
        <v>0</v>
      </c>
      <c r="BQ331" s="21" t="n">
        <f aca="false">IF(AND(Projects!$G$12="Yes",65=Projects!$C$12),Assumptions!$B$61,BP335)</f>
        <v>0</v>
      </c>
      <c r="BR331" s="21" t="n">
        <f aca="false">IF(AND(Projects!$G$12="Yes",66=Projects!$C$12),Assumptions!$B$61,BQ335)</f>
        <v>0</v>
      </c>
      <c r="BS331" s="21" t="n">
        <f aca="false">IF(AND(Projects!$G$12="Yes",67=Projects!$C$12),Assumptions!$B$61,BR335)</f>
        <v>0</v>
      </c>
      <c r="BT331" s="21" t="n">
        <f aca="false">IF(AND(Projects!$G$12="Yes",68=Projects!$C$12),Assumptions!$B$61,BS335)</f>
        <v>0</v>
      </c>
      <c r="BU331" s="21" t="n">
        <f aca="false">IF(AND(Projects!$G$12="Yes",69=Projects!$C$12),Assumptions!$B$61,BT335)</f>
        <v>0</v>
      </c>
      <c r="BV331" s="21" t="n">
        <f aca="false">IF(AND(Projects!$G$12="Yes",70=Projects!$C$12),Assumptions!$B$61,BU335)</f>
        <v>0</v>
      </c>
      <c r="BW331" s="21" t="n">
        <f aca="false">IF(AND(Projects!$G$12="Yes",71=Projects!$C$12),Assumptions!$B$61,BV335)</f>
        <v>0</v>
      </c>
      <c r="BX331" s="21" t="n">
        <f aca="false">IF(AND(Projects!$G$12="Yes",72=Projects!$C$12),Assumptions!$B$61,BW335)</f>
        <v>0</v>
      </c>
      <c r="BY331" s="21" t="n">
        <f aca="false">IF(AND(Projects!$G$12="Yes",73=Projects!$C$12),Assumptions!$B$61,BX335)</f>
        <v>0</v>
      </c>
      <c r="BZ331" s="21" t="n">
        <f aca="false">IF(AND(Projects!$G$12="Yes",74=Projects!$C$12),Assumptions!$B$61,BY335)</f>
        <v>0</v>
      </c>
      <c r="CA331" s="21" t="n">
        <f aca="false">IF(AND(Projects!$G$12="Yes",75=Projects!$C$12),Assumptions!$B$61,BZ335)</f>
        <v>0</v>
      </c>
      <c r="CB331" s="21" t="n">
        <f aca="false">IF(AND(Projects!$G$12="Yes",76=Projects!$C$12),Assumptions!$B$61,CA335)</f>
        <v>0</v>
      </c>
      <c r="CC331" s="21" t="n">
        <f aca="false">IF(AND(Projects!$G$12="Yes",77=Projects!$C$12),Assumptions!$B$61,CB335)</f>
        <v>0</v>
      </c>
      <c r="CD331" s="21" t="n">
        <f aca="false">IF(AND(Projects!$G$12="Yes",78=Projects!$C$12),Assumptions!$B$61,CC335)</f>
        <v>0</v>
      </c>
      <c r="CE331" s="21" t="n">
        <f aca="false">IF(AND(Projects!$G$12="Yes",79=Projects!$C$12),Assumptions!$B$61,CD335)</f>
        <v>0</v>
      </c>
      <c r="CF331" s="21" t="n">
        <f aca="false">IF(AND(Projects!$G$12="Yes",80=Projects!$C$12),Assumptions!$B$61,CE335)</f>
        <v>0</v>
      </c>
      <c r="CG331" s="21" t="n">
        <f aca="false">IF(AND(Projects!$G$12="Yes",81=Projects!$C$12),Assumptions!$B$61,CF335)</f>
        <v>0</v>
      </c>
      <c r="CH331" s="21" t="n">
        <f aca="false">IF(AND(Projects!$G$12="Yes",82=Projects!$C$12),Assumptions!$B$61,CG335)</f>
        <v>0</v>
      </c>
      <c r="CI331" s="21" t="n">
        <f aca="false">IF(AND(Projects!$G$12="Yes",83=Projects!$C$12),Assumptions!$B$61,CH335)</f>
        <v>0</v>
      </c>
      <c r="CJ331" s="21" t="n">
        <f aca="false">IF(AND(Projects!$G$12="Yes",84=Projects!$C$12),Assumptions!$B$61,CI335)</f>
        <v>0</v>
      </c>
      <c r="CK331" s="21" t="n">
        <f aca="false">IF(AND(Projects!$G$12="Yes",85=Projects!$C$12),Assumptions!$B$61,CJ335)</f>
        <v>0</v>
      </c>
      <c r="CL331" s="21" t="n">
        <f aca="false">IF(AND(Projects!$G$12="Yes",86=Projects!$C$12),Assumptions!$B$61,CK335)</f>
        <v>0</v>
      </c>
      <c r="CM331" s="21" t="n">
        <f aca="false">IF(AND(Projects!$G$12="Yes",87=Projects!$C$12),Assumptions!$B$61,CL335)</f>
        <v>0</v>
      </c>
      <c r="CN331" s="21" t="n">
        <f aca="false">IF(AND(Projects!$G$12="Yes",88=Projects!$C$12),Assumptions!$B$61,CM335)</f>
        <v>0</v>
      </c>
      <c r="CO331" s="21" t="n">
        <f aca="false">IF(AND(Projects!$G$12="Yes",89=Projects!$C$12),Assumptions!$B$61,CN335)</f>
        <v>0</v>
      </c>
      <c r="CP331" s="21" t="n">
        <f aca="false">IF(AND(Projects!$G$12="Yes",90=Projects!$C$12),Assumptions!$B$61,CO335)</f>
        <v>0</v>
      </c>
      <c r="CQ331" s="21" t="n">
        <f aca="false">IF(AND(Projects!$G$12="Yes",91=Projects!$C$12),Assumptions!$B$61,CP335)</f>
        <v>0</v>
      </c>
      <c r="CR331" s="21" t="n">
        <f aca="false">IF(AND(Projects!$G$12="Yes",92=Projects!$C$12),Assumptions!$B$61,CQ335)</f>
        <v>0</v>
      </c>
      <c r="CS331" s="21" t="n">
        <f aca="false">IF(AND(Projects!$G$12="Yes",93=Projects!$C$12),Assumptions!$B$61,CR335)</f>
        <v>0</v>
      </c>
      <c r="CT331" s="21" t="n">
        <f aca="false">IF(AND(Projects!$G$12="Yes",94=Projects!$C$12),Assumptions!$B$61,CS335)</f>
        <v>0</v>
      </c>
      <c r="CU331" s="21" t="n">
        <f aca="false">IF(AND(Projects!$G$12="Yes",95=Projects!$C$12),Assumptions!$B$61,CT335)</f>
        <v>0</v>
      </c>
      <c r="CV331" s="21" t="n">
        <f aca="false">IF(AND(Projects!$G$12="Yes",96=Projects!$C$12),Assumptions!$B$61,CU335)</f>
        <v>0</v>
      </c>
      <c r="CW331" s="21" t="n">
        <f aca="false">IF(AND(Projects!$G$12="Yes",97=Projects!$C$12),Assumptions!$B$61,CV335)</f>
        <v>0</v>
      </c>
      <c r="CX331" s="21" t="n">
        <f aca="false">IF(AND(Projects!$G$12="Yes",98=Projects!$C$12),Assumptions!$B$61,CW335)</f>
        <v>0</v>
      </c>
      <c r="CY331" s="21" t="n">
        <f aca="false">IF(AND(Projects!$G$12="Yes",99=Projects!$C$12),Assumptions!$B$61,CX335)</f>
        <v>0</v>
      </c>
      <c r="CZ331" s="21" t="n">
        <f aca="false">IF(AND(Projects!$G$12="Yes",100=Projects!$C$12),Assumptions!$B$61,CY335)</f>
        <v>0</v>
      </c>
      <c r="DA331" s="21" t="n">
        <f aca="false">IF(AND(Projects!$G$12="Yes",101=Projects!$C$12),Assumptions!$B$61,CZ335)</f>
        <v>0</v>
      </c>
      <c r="DB331" s="21" t="n">
        <f aca="false">IF(AND(Projects!$G$12="Yes",102=Projects!$C$12),Assumptions!$B$61,DA335)</f>
        <v>0</v>
      </c>
      <c r="DC331" s="21" t="n">
        <f aca="false">IF(AND(Projects!$G$12="Yes",103=Projects!$C$12),Assumptions!$B$61,DB335)</f>
        <v>0</v>
      </c>
      <c r="DD331" s="21" t="n">
        <f aca="false">IF(AND(Projects!$G$12="Yes",104=Projects!$C$12),Assumptions!$B$61,DC335)</f>
        <v>0</v>
      </c>
      <c r="DE331" s="21" t="n">
        <f aca="false">IF(AND(Projects!$G$12="Yes",105=Projects!$C$12),Assumptions!$B$61,DD335)</f>
        <v>0</v>
      </c>
    </row>
    <row r="332" customFormat="false" ht="21.75" hidden="false" customHeight="true" outlineLevel="0" collapsed="false">
      <c r="A332" s="22" t="s">
        <v>168</v>
      </c>
      <c r="B332" s="21"/>
      <c r="C332" s="21"/>
      <c r="D332" s="21"/>
      <c r="E332" s="21" t="n">
        <f aca="false">IF(AND(MOD(1,3)=0,E331&gt;0),E331*Assumptions!$B$59,0)</f>
        <v>0</v>
      </c>
      <c r="F332" s="21" t="n">
        <f aca="false">IF(AND(MOD(2,3)=0,F331&gt;0),F331*Assumptions!$B$59,0)</f>
        <v>0</v>
      </c>
      <c r="G332" s="21" t="n">
        <f aca="false">IF(AND(MOD(3,3)=0,G331&gt;0),G331*Assumptions!$B$59,0)</f>
        <v>0</v>
      </c>
      <c r="H332" s="21" t="n">
        <f aca="false">IF(AND(MOD(4,3)=0,H331&gt;0),H331*Assumptions!$B$59,0)</f>
        <v>0</v>
      </c>
      <c r="I332" s="21" t="n">
        <f aca="false">IF(AND(MOD(5,3)=0,I331&gt;0),I331*Assumptions!$B$59,0)</f>
        <v>0</v>
      </c>
      <c r="J332" s="21" t="n">
        <f aca="false">IF(AND(MOD(6,3)=0,J331&gt;0),J331*Assumptions!$B$59,0)</f>
        <v>0</v>
      </c>
      <c r="K332" s="21" t="n">
        <f aca="false">IF(AND(MOD(7,3)=0,K331&gt;0),K331*Assumptions!$B$59,0)</f>
        <v>0</v>
      </c>
      <c r="L332" s="21" t="n">
        <f aca="false">IF(AND(MOD(8,3)=0,L331&gt;0),L331*Assumptions!$B$59,0)</f>
        <v>0</v>
      </c>
      <c r="M332" s="21" t="n">
        <f aca="false">IF(AND(MOD(9,3)=0,M331&gt;0),M331*Assumptions!$B$59,0)</f>
        <v>0</v>
      </c>
      <c r="N332" s="21" t="n">
        <f aca="false">IF(AND(MOD(10,3)=0,N331&gt;0),N331*Assumptions!$B$59,0)</f>
        <v>0</v>
      </c>
      <c r="O332" s="21" t="n">
        <f aca="false">IF(AND(MOD(11,3)=0,O331&gt;0),O331*Assumptions!$B$59,0)</f>
        <v>0</v>
      </c>
      <c r="P332" s="21" t="n">
        <f aca="false">IF(AND(MOD(12,3)=0,P331&gt;0),P331*Assumptions!$B$59,0)</f>
        <v>0</v>
      </c>
      <c r="Q332" s="21" t="n">
        <f aca="false">IF(AND(MOD(13,3)=0,Q331&gt;0),Q331*Assumptions!$B$59,0)</f>
        <v>0</v>
      </c>
      <c r="R332" s="21" t="n">
        <f aca="false">IF(AND(MOD(14,3)=0,R331&gt;0),R331*Assumptions!$B$59,0)</f>
        <v>0</v>
      </c>
      <c r="S332" s="21" t="n">
        <f aca="false">IF(AND(MOD(15,3)=0,S331&gt;0),S331*Assumptions!$B$59,0)</f>
        <v>0</v>
      </c>
      <c r="T332" s="21" t="n">
        <f aca="false">IF(AND(MOD(16,3)=0,T331&gt;0),T331*Assumptions!$B$59,0)</f>
        <v>0</v>
      </c>
      <c r="U332" s="21" t="n">
        <f aca="false">IF(AND(MOD(17,3)=0,U331&gt;0),U331*Assumptions!$B$59,0)</f>
        <v>0</v>
      </c>
      <c r="V332" s="21" t="n">
        <f aca="false">IF(AND(MOD(18,3)=0,V331&gt;0),V331*Assumptions!$B$59,0)</f>
        <v>0</v>
      </c>
      <c r="W332" s="21" t="n">
        <f aca="false">IF(AND(MOD(19,3)=0,W331&gt;0),W331*Assumptions!$B$59,0)</f>
        <v>0</v>
      </c>
      <c r="X332" s="21" t="n">
        <f aca="false">IF(AND(MOD(20,3)=0,X331&gt;0),X331*Assumptions!$B$59,0)</f>
        <v>0</v>
      </c>
      <c r="Y332" s="21" t="n">
        <f aca="false">IF(AND(MOD(21,3)=0,Y331&gt;0),Y331*Assumptions!$B$59,0)</f>
        <v>0</v>
      </c>
      <c r="Z332" s="21" t="n">
        <f aca="false">IF(AND(MOD(22,3)=0,Z331&gt;0),Z331*Assumptions!$B$59,0)</f>
        <v>0</v>
      </c>
      <c r="AA332" s="21" t="n">
        <f aca="false">IF(AND(MOD(23,3)=0,AA331&gt;0),AA331*Assumptions!$B$59,0)</f>
        <v>0</v>
      </c>
      <c r="AB332" s="21" t="n">
        <f aca="false">IF(AND(MOD(24,3)=0,AB331&gt;0),AB331*Assumptions!$B$59,0)</f>
        <v>0</v>
      </c>
      <c r="AC332" s="21" t="n">
        <f aca="false">IF(AND(MOD(25,3)=0,AC331&gt;0),AC331*Assumptions!$B$59,0)</f>
        <v>0</v>
      </c>
      <c r="AD332" s="21" t="n">
        <f aca="false">IF(AND(MOD(26,3)=0,AD331&gt;0),AD331*Assumptions!$B$59,0)</f>
        <v>0</v>
      </c>
      <c r="AE332" s="21" t="n">
        <f aca="false">IF(AND(MOD(27,3)=0,AE331&gt;0),AE331*Assumptions!$B$59,0)</f>
        <v>0</v>
      </c>
      <c r="AF332" s="21" t="n">
        <f aca="false">IF(AND(MOD(28,3)=0,AF331&gt;0),AF331*Assumptions!$B$59,0)</f>
        <v>0</v>
      </c>
      <c r="AG332" s="21" t="n">
        <f aca="false">IF(AND(MOD(29,3)=0,AG331&gt;0),AG331*Assumptions!$B$59,0)</f>
        <v>0</v>
      </c>
      <c r="AH332" s="21" t="n">
        <f aca="false">IF(AND(MOD(30,3)=0,AH331&gt;0),AH331*Assumptions!$B$59,0)</f>
        <v>0</v>
      </c>
      <c r="AI332" s="21" t="n">
        <f aca="false">IF(AND(MOD(31,3)=0,AI331&gt;0),AI331*Assumptions!$B$59,0)</f>
        <v>0</v>
      </c>
      <c r="AJ332" s="21" t="n">
        <f aca="false">IF(AND(MOD(32,3)=0,AJ331&gt;0),AJ331*Assumptions!$B$59,0)</f>
        <v>0</v>
      </c>
      <c r="AK332" s="21" t="n">
        <f aca="false">IF(AND(MOD(33,3)=0,AK331&gt;0),AK331*Assumptions!$B$59,0)</f>
        <v>0</v>
      </c>
      <c r="AL332" s="21" t="n">
        <f aca="false">IF(AND(MOD(34,3)=0,AL331&gt;0),AL331*Assumptions!$B$59,0)</f>
        <v>0</v>
      </c>
      <c r="AM332" s="21" t="n">
        <f aca="false">IF(AND(MOD(35,3)=0,AM331&gt;0),AM331*Assumptions!$B$59,0)</f>
        <v>0</v>
      </c>
      <c r="AN332" s="21" t="n">
        <f aca="false">IF(AND(MOD(36,3)=0,AN331&gt;0),AN331*Assumptions!$B$59,0)</f>
        <v>0</v>
      </c>
      <c r="AO332" s="21" t="n">
        <f aca="false">IF(AND(MOD(37,3)=0,AO331&gt;0),AO331*Assumptions!$B$59,0)</f>
        <v>0</v>
      </c>
      <c r="AP332" s="21" t="n">
        <f aca="false">IF(AND(MOD(38,3)=0,AP331&gt;0),AP331*Assumptions!$B$59,0)</f>
        <v>0</v>
      </c>
      <c r="AQ332" s="21" t="n">
        <f aca="false">IF(AND(MOD(39,3)=0,AQ331&gt;0),AQ331*Assumptions!$B$59,0)</f>
        <v>0</v>
      </c>
      <c r="AR332" s="21" t="n">
        <f aca="false">IF(AND(MOD(40,3)=0,AR331&gt;0),AR331*Assumptions!$B$59,0)</f>
        <v>0</v>
      </c>
      <c r="AS332" s="21" t="n">
        <f aca="false">IF(AND(MOD(41,3)=0,AS331&gt;0),AS331*Assumptions!$B$59,0)</f>
        <v>0</v>
      </c>
      <c r="AT332" s="21" t="n">
        <f aca="false">IF(AND(MOD(42,3)=0,AT331&gt;0),AT331*Assumptions!$B$59,0)</f>
        <v>0</v>
      </c>
      <c r="AU332" s="21" t="n">
        <f aca="false">IF(AND(MOD(43,3)=0,AU331&gt;0),AU331*Assumptions!$B$59,0)</f>
        <v>0</v>
      </c>
      <c r="AV332" s="21" t="n">
        <f aca="false">IF(AND(MOD(44,3)=0,AV331&gt;0),AV331*Assumptions!$B$59,0)</f>
        <v>0</v>
      </c>
      <c r="AW332" s="21" t="n">
        <f aca="false">IF(AND(MOD(45,3)=0,AW331&gt;0),AW331*Assumptions!$B$59,0)</f>
        <v>0</v>
      </c>
      <c r="AX332" s="21" t="n">
        <f aca="false">IF(AND(MOD(46,3)=0,AX331&gt;0),AX331*Assumptions!$B$59,0)</f>
        <v>0</v>
      </c>
      <c r="AY332" s="21" t="n">
        <f aca="false">IF(AND(MOD(47,3)=0,AY331&gt;0),AY331*Assumptions!$B$59,0)</f>
        <v>0</v>
      </c>
      <c r="AZ332" s="21" t="n">
        <f aca="false">IF(AND(MOD(48,3)=0,AZ331&gt;0),AZ331*Assumptions!$B$59,0)</f>
        <v>0</v>
      </c>
      <c r="BA332" s="21" t="n">
        <f aca="false">IF(AND(MOD(49,3)=0,BA331&gt;0),BA331*Assumptions!$B$59,0)</f>
        <v>0</v>
      </c>
      <c r="BB332" s="21" t="n">
        <f aca="false">IF(AND(MOD(50,3)=0,BB331&gt;0),BB331*Assumptions!$B$59,0)</f>
        <v>0</v>
      </c>
      <c r="BC332" s="21" t="n">
        <f aca="false">IF(AND(MOD(51,3)=0,BC331&gt;0),BC331*Assumptions!$B$59,0)</f>
        <v>0</v>
      </c>
      <c r="BD332" s="21" t="n">
        <f aca="false">IF(AND(MOD(52,3)=0,BD331&gt;0),BD331*Assumptions!$B$59,0)</f>
        <v>0</v>
      </c>
      <c r="BE332" s="21" t="n">
        <f aca="false">IF(AND(MOD(53,3)=0,BE331&gt;0),BE331*Assumptions!$B$59,0)</f>
        <v>0</v>
      </c>
      <c r="BF332" s="21" t="n">
        <f aca="false">IF(AND(MOD(54,3)=0,BF331&gt;0),BF331*Assumptions!$B$59,0)</f>
        <v>0</v>
      </c>
      <c r="BG332" s="21" t="n">
        <f aca="false">IF(AND(MOD(55,3)=0,BG331&gt;0),BG331*Assumptions!$B$59,0)</f>
        <v>0</v>
      </c>
      <c r="BH332" s="21" t="n">
        <f aca="false">IF(AND(MOD(56,3)=0,BH331&gt;0),BH331*Assumptions!$B$59,0)</f>
        <v>0</v>
      </c>
      <c r="BI332" s="21" t="n">
        <f aca="false">IF(AND(MOD(57,3)=0,BI331&gt;0),BI331*Assumptions!$B$59,0)</f>
        <v>0</v>
      </c>
      <c r="BJ332" s="21" t="n">
        <f aca="false">IF(AND(MOD(58,3)=0,BJ331&gt;0),BJ331*Assumptions!$B$59,0)</f>
        <v>0</v>
      </c>
      <c r="BK332" s="21" t="n">
        <f aca="false">IF(AND(MOD(59,3)=0,BK331&gt;0),BK331*Assumptions!$B$59,0)</f>
        <v>0</v>
      </c>
      <c r="BL332" s="21" t="n">
        <f aca="false">IF(AND(MOD(60,3)=0,BL331&gt;0),BL331*Assumptions!$B$59,0)</f>
        <v>0</v>
      </c>
      <c r="BM332" s="21" t="n">
        <f aca="false">IF(AND(MOD(61,3)=0,BM331&gt;0),BM331*Assumptions!$B$59,0)</f>
        <v>0</v>
      </c>
      <c r="BN332" s="21" t="n">
        <f aca="false">IF(AND(MOD(62,3)=0,BN331&gt;0),BN331*Assumptions!$B$59,0)</f>
        <v>0</v>
      </c>
      <c r="BO332" s="21" t="n">
        <f aca="false">IF(AND(MOD(63,3)=0,BO331&gt;0),BO331*Assumptions!$B$59,0)</f>
        <v>0</v>
      </c>
      <c r="BP332" s="21" t="n">
        <f aca="false">IF(AND(MOD(64,3)=0,BP331&gt;0),BP331*Assumptions!$B$59,0)</f>
        <v>0</v>
      </c>
      <c r="BQ332" s="21" t="n">
        <f aca="false">IF(AND(MOD(65,3)=0,BQ331&gt;0),BQ331*Assumptions!$B$59,0)</f>
        <v>0</v>
      </c>
      <c r="BR332" s="21" t="n">
        <f aca="false">IF(AND(MOD(66,3)=0,BR331&gt;0),BR331*Assumptions!$B$59,0)</f>
        <v>0</v>
      </c>
      <c r="BS332" s="21" t="n">
        <f aca="false">IF(AND(MOD(67,3)=0,BS331&gt;0),BS331*Assumptions!$B$59,0)</f>
        <v>0</v>
      </c>
      <c r="BT332" s="21" t="n">
        <f aca="false">IF(AND(MOD(68,3)=0,BT331&gt;0),BT331*Assumptions!$B$59,0)</f>
        <v>0</v>
      </c>
      <c r="BU332" s="21" t="n">
        <f aca="false">IF(AND(MOD(69,3)=0,BU331&gt;0),BU331*Assumptions!$B$59,0)</f>
        <v>0</v>
      </c>
      <c r="BV332" s="21" t="n">
        <f aca="false">IF(AND(MOD(70,3)=0,BV331&gt;0),BV331*Assumptions!$B$59,0)</f>
        <v>0</v>
      </c>
      <c r="BW332" s="21" t="n">
        <f aca="false">IF(AND(MOD(71,3)=0,BW331&gt;0),BW331*Assumptions!$B$59,0)</f>
        <v>0</v>
      </c>
      <c r="BX332" s="21" t="n">
        <f aca="false">IF(AND(MOD(72,3)=0,BX331&gt;0),BX331*Assumptions!$B$59,0)</f>
        <v>0</v>
      </c>
      <c r="BY332" s="21" t="n">
        <f aca="false">IF(AND(MOD(73,3)=0,BY331&gt;0),BY331*Assumptions!$B$59,0)</f>
        <v>0</v>
      </c>
      <c r="BZ332" s="21" t="n">
        <f aca="false">IF(AND(MOD(74,3)=0,BZ331&gt;0),BZ331*Assumptions!$B$59,0)</f>
        <v>0</v>
      </c>
      <c r="CA332" s="21" t="n">
        <f aca="false">IF(AND(MOD(75,3)=0,CA331&gt;0),CA331*Assumptions!$B$59,0)</f>
        <v>0</v>
      </c>
      <c r="CB332" s="21" t="n">
        <f aca="false">IF(AND(MOD(76,3)=0,CB331&gt;0),CB331*Assumptions!$B$59,0)</f>
        <v>0</v>
      </c>
      <c r="CC332" s="21" t="n">
        <f aca="false">IF(AND(MOD(77,3)=0,CC331&gt;0),CC331*Assumptions!$B$59,0)</f>
        <v>0</v>
      </c>
      <c r="CD332" s="21" t="n">
        <f aca="false">IF(AND(MOD(78,3)=0,CD331&gt;0),CD331*Assumptions!$B$59,0)</f>
        <v>0</v>
      </c>
      <c r="CE332" s="21" t="n">
        <f aca="false">IF(AND(MOD(79,3)=0,CE331&gt;0),CE331*Assumptions!$B$59,0)</f>
        <v>0</v>
      </c>
      <c r="CF332" s="21" t="n">
        <f aca="false">IF(AND(MOD(80,3)=0,CF331&gt;0),CF331*Assumptions!$B$59,0)</f>
        <v>0</v>
      </c>
      <c r="CG332" s="21" t="n">
        <f aca="false">IF(AND(MOD(81,3)=0,CG331&gt;0),CG331*Assumptions!$B$59,0)</f>
        <v>0</v>
      </c>
      <c r="CH332" s="21" t="n">
        <f aca="false">IF(AND(MOD(82,3)=0,CH331&gt;0),CH331*Assumptions!$B$59,0)</f>
        <v>0</v>
      </c>
      <c r="CI332" s="21" t="n">
        <f aca="false">IF(AND(MOD(83,3)=0,CI331&gt;0),CI331*Assumptions!$B$59,0)</f>
        <v>0</v>
      </c>
      <c r="CJ332" s="21" t="n">
        <f aca="false">IF(AND(MOD(84,3)=0,CJ331&gt;0),CJ331*Assumptions!$B$59,0)</f>
        <v>0</v>
      </c>
      <c r="CK332" s="21" t="n">
        <f aca="false">IF(AND(MOD(85,3)=0,CK331&gt;0),CK331*Assumptions!$B$59,0)</f>
        <v>0</v>
      </c>
      <c r="CL332" s="21" t="n">
        <f aca="false">IF(AND(MOD(86,3)=0,CL331&gt;0),CL331*Assumptions!$B$59,0)</f>
        <v>0</v>
      </c>
      <c r="CM332" s="21" t="n">
        <f aca="false">IF(AND(MOD(87,3)=0,CM331&gt;0),CM331*Assumptions!$B$59,0)</f>
        <v>0</v>
      </c>
      <c r="CN332" s="21" t="n">
        <f aca="false">IF(AND(MOD(88,3)=0,CN331&gt;0),CN331*Assumptions!$B$59,0)</f>
        <v>0</v>
      </c>
      <c r="CO332" s="21" t="n">
        <f aca="false">IF(AND(MOD(89,3)=0,CO331&gt;0),CO331*Assumptions!$B$59,0)</f>
        <v>0</v>
      </c>
      <c r="CP332" s="21" t="n">
        <f aca="false">IF(AND(MOD(90,3)=0,CP331&gt;0),CP331*Assumptions!$B$59,0)</f>
        <v>0</v>
      </c>
      <c r="CQ332" s="21" t="n">
        <f aca="false">IF(AND(MOD(91,3)=0,CQ331&gt;0),CQ331*Assumptions!$B$59,0)</f>
        <v>0</v>
      </c>
      <c r="CR332" s="21" t="n">
        <f aca="false">IF(AND(MOD(92,3)=0,CR331&gt;0),CR331*Assumptions!$B$59,0)</f>
        <v>0</v>
      </c>
      <c r="CS332" s="21" t="n">
        <f aca="false">IF(AND(MOD(93,3)=0,CS331&gt;0),CS331*Assumptions!$B$59,0)</f>
        <v>0</v>
      </c>
      <c r="CT332" s="21" t="n">
        <f aca="false">IF(AND(MOD(94,3)=0,CT331&gt;0),CT331*Assumptions!$B$59,0)</f>
        <v>0</v>
      </c>
      <c r="CU332" s="21" t="n">
        <f aca="false">IF(AND(MOD(95,3)=0,CU331&gt;0),CU331*Assumptions!$B$59,0)</f>
        <v>0</v>
      </c>
      <c r="CV332" s="21" t="n">
        <f aca="false">IF(AND(MOD(96,3)=0,CV331&gt;0),CV331*Assumptions!$B$59,0)</f>
        <v>0</v>
      </c>
      <c r="CW332" s="21" t="n">
        <f aca="false">IF(AND(MOD(97,3)=0,CW331&gt;0),CW331*Assumptions!$B$59,0)</f>
        <v>0</v>
      </c>
      <c r="CX332" s="21" t="n">
        <f aca="false">IF(AND(MOD(98,3)=0,CX331&gt;0),CX331*Assumptions!$B$59,0)</f>
        <v>0</v>
      </c>
      <c r="CY332" s="21" t="n">
        <f aca="false">IF(AND(MOD(99,3)=0,CY331&gt;0),CY331*Assumptions!$B$59,0)</f>
        <v>0</v>
      </c>
      <c r="CZ332" s="21" t="n">
        <f aca="false">IF(AND(MOD(100,3)=0,CZ331&gt;0),CZ331*Assumptions!$B$59,0)</f>
        <v>0</v>
      </c>
      <c r="DA332" s="21" t="n">
        <f aca="false">IF(AND(MOD(101,3)=0,DA331&gt;0),DA331*Assumptions!$B$59,0)</f>
        <v>0</v>
      </c>
      <c r="DB332" s="21" t="n">
        <f aca="false">IF(AND(MOD(102,3)=0,DB331&gt;0),DB331*Assumptions!$B$59,0)</f>
        <v>0</v>
      </c>
      <c r="DC332" s="21" t="n">
        <f aca="false">IF(AND(MOD(103,3)=0,DC331&gt;0),DC331*Assumptions!$B$59,0)</f>
        <v>0</v>
      </c>
      <c r="DD332" s="21" t="n">
        <f aca="false">IF(AND(MOD(104,3)=0,DD331&gt;0),DD331*Assumptions!$B$59,0)</f>
        <v>0</v>
      </c>
      <c r="DE332" s="21" t="n">
        <f aca="false">IF(AND(MOD(105,3)=0,DE331&gt;0),DE331*Assumptions!$B$59,0)</f>
        <v>0</v>
      </c>
    </row>
    <row r="333" customFormat="false" ht="15" hidden="false" customHeight="true" outlineLevel="0" collapsed="false">
      <c r="A333" s="22" t="s">
        <v>169</v>
      </c>
      <c r="B333" s="21"/>
      <c r="C333" s="21"/>
      <c r="D333" s="21"/>
      <c r="E333" s="21" t="n">
        <v>0</v>
      </c>
      <c r="F333" s="21" t="n">
        <v>0</v>
      </c>
      <c r="G333" s="21" t="n">
        <v>0</v>
      </c>
      <c r="H333" s="21" t="n">
        <v>0</v>
      </c>
      <c r="I333" s="21" t="n">
        <v>0</v>
      </c>
      <c r="J333" s="21" t="n">
        <v>0</v>
      </c>
      <c r="K333" s="21" t="n">
        <v>0</v>
      </c>
      <c r="L333" s="21" t="n">
        <v>0</v>
      </c>
      <c r="M333" s="21" t="n">
        <v>0</v>
      </c>
      <c r="N333" s="21" t="n">
        <v>0</v>
      </c>
      <c r="O333" s="21" t="n">
        <v>0</v>
      </c>
      <c r="P333" s="21" t="n">
        <v>0</v>
      </c>
      <c r="Q333" s="21" t="n">
        <v>0</v>
      </c>
      <c r="R333" s="21" t="n">
        <v>0</v>
      </c>
      <c r="S333" s="21" t="n">
        <v>0</v>
      </c>
      <c r="T333" s="21" t="n">
        <v>0</v>
      </c>
      <c r="U333" s="21" t="n">
        <v>0</v>
      </c>
      <c r="V333" s="21" t="n">
        <v>0</v>
      </c>
      <c r="W333" s="21" t="n">
        <v>0</v>
      </c>
      <c r="X333" s="21" t="n">
        <v>0</v>
      </c>
      <c r="Y333" s="21" t="n">
        <v>0</v>
      </c>
      <c r="Z333" s="21" t="n">
        <v>0</v>
      </c>
      <c r="AA333" s="21" t="n">
        <v>0</v>
      </c>
      <c r="AB333" s="21" t="n">
        <v>0</v>
      </c>
      <c r="AC333" s="21" t="n">
        <v>0</v>
      </c>
      <c r="AD333" s="21" t="n">
        <v>0</v>
      </c>
      <c r="AE333" s="21" t="n">
        <v>0</v>
      </c>
      <c r="AF333" s="21" t="n">
        <v>0</v>
      </c>
      <c r="AG333" s="21" t="n">
        <v>0</v>
      </c>
      <c r="AH333" s="21" t="n">
        <v>0</v>
      </c>
      <c r="AI333" s="21" t="n">
        <v>0</v>
      </c>
      <c r="AJ333" s="21" t="n">
        <v>0</v>
      </c>
      <c r="AK333" s="21" t="n">
        <v>0</v>
      </c>
      <c r="AL333" s="21" t="n">
        <v>0</v>
      </c>
      <c r="AM333" s="21" t="n">
        <v>0</v>
      </c>
      <c r="AN333" s="21" t="n">
        <v>0</v>
      </c>
      <c r="AO333" s="21" t="n">
        <v>0</v>
      </c>
      <c r="AP333" s="21" t="n">
        <v>0</v>
      </c>
      <c r="AQ333" s="21" t="n">
        <v>0</v>
      </c>
      <c r="AR333" s="21" t="n">
        <v>0</v>
      </c>
      <c r="AS333" s="21" t="n">
        <v>0</v>
      </c>
      <c r="AT333" s="21" t="n">
        <v>0</v>
      </c>
      <c r="AU333" s="21" t="n">
        <v>0</v>
      </c>
      <c r="AV333" s="21" t="n">
        <v>0</v>
      </c>
      <c r="AW333" s="21" t="n">
        <v>0</v>
      </c>
      <c r="AX333" s="21" t="n">
        <v>0</v>
      </c>
      <c r="AY333" s="21" t="n">
        <v>0</v>
      </c>
      <c r="AZ333" s="21" t="n">
        <v>0</v>
      </c>
      <c r="BA333" s="21" t="n">
        <v>0</v>
      </c>
      <c r="BB333" s="21" t="n">
        <v>0</v>
      </c>
      <c r="BC333" s="21" t="n">
        <v>0</v>
      </c>
      <c r="BD333" s="21" t="n">
        <v>0</v>
      </c>
      <c r="BE333" s="21" t="n">
        <v>0</v>
      </c>
      <c r="BF333" s="21" t="n">
        <v>0</v>
      </c>
      <c r="BG333" s="21" t="n">
        <v>0</v>
      </c>
      <c r="BH333" s="21" t="n">
        <v>0</v>
      </c>
      <c r="BI333" s="21" t="n">
        <v>0</v>
      </c>
      <c r="BJ333" s="21" t="n">
        <v>0</v>
      </c>
      <c r="BK333" s="21" t="n">
        <v>0</v>
      </c>
      <c r="BL333" s="21" t="n">
        <v>0</v>
      </c>
      <c r="BM333" s="21" t="n">
        <v>0</v>
      </c>
      <c r="BN333" s="21" t="n">
        <v>0</v>
      </c>
      <c r="BO333" s="21" t="n">
        <v>0</v>
      </c>
      <c r="BP333" s="21" t="n">
        <v>0</v>
      </c>
      <c r="BQ333" s="21" t="n">
        <v>0</v>
      </c>
      <c r="BR333" s="21" t="n">
        <v>0</v>
      </c>
      <c r="BS333" s="21" t="n">
        <v>0</v>
      </c>
      <c r="BT333" s="21" t="n">
        <v>0</v>
      </c>
      <c r="BU333" s="21" t="n">
        <v>0</v>
      </c>
      <c r="BV333" s="21" t="n">
        <v>0</v>
      </c>
      <c r="BW333" s="21" t="n">
        <v>0</v>
      </c>
      <c r="BX333" s="21" t="n">
        <v>0</v>
      </c>
      <c r="BY333" s="21" t="n">
        <v>0</v>
      </c>
      <c r="BZ333" s="21" t="n">
        <v>0</v>
      </c>
      <c r="CA333" s="21" t="n">
        <v>0</v>
      </c>
      <c r="CB333" s="21" t="n">
        <v>0</v>
      </c>
      <c r="CC333" s="21" t="n">
        <v>0</v>
      </c>
      <c r="CD333" s="21" t="n">
        <v>0</v>
      </c>
      <c r="CE333" s="21" t="n">
        <v>0</v>
      </c>
      <c r="CF333" s="21" t="n">
        <v>0</v>
      </c>
      <c r="CG333" s="21" t="n">
        <v>0</v>
      </c>
      <c r="CH333" s="21" t="n">
        <v>0</v>
      </c>
      <c r="CI333" s="21" t="n">
        <v>0</v>
      </c>
      <c r="CJ333" s="21" t="n">
        <v>0</v>
      </c>
      <c r="CK333" s="21" t="n">
        <v>0</v>
      </c>
      <c r="CL333" s="21" t="n">
        <v>0</v>
      </c>
      <c r="CM333" s="21" t="n">
        <v>0</v>
      </c>
      <c r="CN333" s="21" t="n">
        <v>0</v>
      </c>
      <c r="CO333" s="21" t="n">
        <v>0</v>
      </c>
      <c r="CP333" s="21" t="n">
        <v>0</v>
      </c>
      <c r="CQ333" s="21" t="n">
        <v>0</v>
      </c>
      <c r="CR333" s="21" t="n">
        <v>0</v>
      </c>
      <c r="CS333" s="21" t="n">
        <v>0</v>
      </c>
      <c r="CT333" s="21"/>
      <c r="CU333" s="21"/>
      <c r="CV333" s="21"/>
      <c r="CW333" s="21"/>
      <c r="CX333" s="21"/>
      <c r="CY333" s="21"/>
      <c r="CZ333" s="21"/>
      <c r="DA333" s="21"/>
      <c r="DB333" s="21"/>
      <c r="DC333" s="21"/>
      <c r="DD333" s="21"/>
      <c r="DE333" s="21"/>
    </row>
    <row r="334" customFormat="false" ht="15" hidden="false" customHeight="true" outlineLevel="0" collapsed="false">
      <c r="A334" s="51" t="s">
        <v>170</v>
      </c>
      <c r="B334" s="52"/>
      <c r="C334" s="52"/>
      <c r="D334" s="52"/>
      <c r="E334" s="52" t="n">
        <v>0</v>
      </c>
      <c r="F334" s="52" t="n">
        <v>0</v>
      </c>
      <c r="G334" s="52" t="n">
        <v>0</v>
      </c>
      <c r="H334" s="52" t="n">
        <v>0</v>
      </c>
      <c r="I334" s="52" t="n">
        <v>0</v>
      </c>
      <c r="J334" s="52" t="n">
        <v>0</v>
      </c>
      <c r="K334" s="52" t="n">
        <v>0</v>
      </c>
      <c r="L334" s="52" t="n">
        <v>0</v>
      </c>
      <c r="M334" s="52" t="n">
        <v>0</v>
      </c>
      <c r="N334" s="52" t="n">
        <v>0</v>
      </c>
      <c r="O334" s="52" t="n">
        <v>0</v>
      </c>
      <c r="P334" s="52" t="n">
        <v>0</v>
      </c>
      <c r="Q334" s="52" t="n">
        <v>0</v>
      </c>
      <c r="R334" s="52" t="n">
        <v>0</v>
      </c>
      <c r="S334" s="52" t="n">
        <v>0</v>
      </c>
      <c r="T334" s="52" t="n">
        <v>0</v>
      </c>
      <c r="U334" s="52" t="n">
        <v>0</v>
      </c>
      <c r="V334" s="52" t="n">
        <v>0</v>
      </c>
      <c r="W334" s="52" t="n">
        <v>0</v>
      </c>
      <c r="X334" s="52" t="n">
        <v>0</v>
      </c>
      <c r="Y334" s="52" t="n">
        <v>0</v>
      </c>
      <c r="Z334" s="52" t="n">
        <v>0</v>
      </c>
      <c r="AA334" s="52" t="n">
        <v>0</v>
      </c>
      <c r="AB334" s="52" t="n">
        <v>0</v>
      </c>
      <c r="AC334" s="52" t="n">
        <v>0</v>
      </c>
      <c r="AD334" s="52" t="n">
        <v>0</v>
      </c>
      <c r="AE334" s="52" t="n">
        <v>0</v>
      </c>
      <c r="AF334" s="52" t="n">
        <v>0</v>
      </c>
      <c r="AG334" s="52" t="n">
        <v>0</v>
      </c>
      <c r="AH334" s="52" t="n">
        <v>0</v>
      </c>
      <c r="AI334" s="52" t="n">
        <v>0</v>
      </c>
      <c r="AJ334" s="52" t="n">
        <v>0</v>
      </c>
      <c r="AK334" s="52" t="n">
        <v>0</v>
      </c>
      <c r="AL334" s="52" t="n">
        <v>0</v>
      </c>
      <c r="AM334" s="52" t="n">
        <v>0</v>
      </c>
      <c r="AN334" s="52" t="n">
        <v>0</v>
      </c>
      <c r="AO334" s="52" t="n">
        <v>0</v>
      </c>
      <c r="AP334" s="52" t="n">
        <v>0</v>
      </c>
      <c r="AQ334" s="52" t="n">
        <v>0</v>
      </c>
      <c r="AR334" s="52" t="n">
        <v>0</v>
      </c>
      <c r="AS334" s="52" t="n">
        <v>0</v>
      </c>
      <c r="AT334" s="52" t="n">
        <v>0</v>
      </c>
      <c r="AU334" s="52" t="n">
        <v>0</v>
      </c>
      <c r="AV334" s="52" t="n">
        <v>0</v>
      </c>
      <c r="AW334" s="52" t="n">
        <v>0</v>
      </c>
      <c r="AX334" s="52" t="n">
        <v>0</v>
      </c>
      <c r="AY334" s="52" t="n">
        <v>0</v>
      </c>
      <c r="AZ334" s="52" t="n">
        <v>0</v>
      </c>
      <c r="BA334" s="52" t="n">
        <v>0</v>
      </c>
      <c r="BB334" s="52" t="n">
        <v>0</v>
      </c>
      <c r="BC334" s="52" t="n">
        <v>0</v>
      </c>
      <c r="BD334" s="52" t="n">
        <v>0</v>
      </c>
      <c r="BE334" s="52" t="n">
        <v>0</v>
      </c>
      <c r="BF334" s="52" t="n">
        <v>0</v>
      </c>
      <c r="BG334" s="52" t="n">
        <v>0</v>
      </c>
      <c r="BH334" s="52" t="n">
        <v>0</v>
      </c>
      <c r="BI334" s="52" t="n">
        <v>0</v>
      </c>
      <c r="BJ334" s="52" t="n">
        <v>0</v>
      </c>
      <c r="BK334" s="52" t="n">
        <v>0</v>
      </c>
      <c r="BL334" s="52" t="n">
        <v>0</v>
      </c>
      <c r="BM334" s="52" t="n">
        <v>0</v>
      </c>
      <c r="BN334" s="52" t="n">
        <v>0</v>
      </c>
      <c r="BO334" s="52" t="n">
        <v>0</v>
      </c>
      <c r="BP334" s="52" t="n">
        <v>0</v>
      </c>
      <c r="BQ334" s="52" t="n">
        <v>0</v>
      </c>
      <c r="BR334" s="52" t="n">
        <v>0</v>
      </c>
      <c r="BS334" s="52" t="n">
        <v>0</v>
      </c>
      <c r="BT334" s="52" t="n">
        <v>0</v>
      </c>
      <c r="BU334" s="52" t="n">
        <v>0</v>
      </c>
      <c r="BV334" s="52" t="n">
        <v>0</v>
      </c>
      <c r="BW334" s="52" t="n">
        <v>0</v>
      </c>
      <c r="BX334" s="52" t="n">
        <v>0</v>
      </c>
      <c r="BY334" s="52" t="n">
        <v>0</v>
      </c>
      <c r="BZ334" s="52" t="n">
        <v>0</v>
      </c>
      <c r="CA334" s="52" t="n">
        <v>0</v>
      </c>
      <c r="CB334" s="52" t="n">
        <v>0</v>
      </c>
      <c r="CC334" s="52" t="n">
        <v>0</v>
      </c>
      <c r="CD334" s="52" t="n">
        <v>0</v>
      </c>
      <c r="CE334" s="52" t="n">
        <v>0</v>
      </c>
      <c r="CF334" s="52" t="n">
        <v>0</v>
      </c>
      <c r="CG334" s="52" t="n">
        <v>0</v>
      </c>
      <c r="CH334" s="52" t="n">
        <v>0</v>
      </c>
      <c r="CI334" s="52" t="n">
        <v>0</v>
      </c>
      <c r="CJ334" s="52" t="n">
        <v>0</v>
      </c>
      <c r="CK334" s="52" t="n">
        <v>0</v>
      </c>
      <c r="CL334" s="52" t="n">
        <v>0</v>
      </c>
      <c r="CM334" s="52" t="n">
        <v>0</v>
      </c>
      <c r="CN334" s="52" t="n">
        <v>0</v>
      </c>
      <c r="CO334" s="52" t="n">
        <v>0</v>
      </c>
      <c r="CP334" s="52" t="n">
        <v>0</v>
      </c>
      <c r="CQ334" s="52" t="n">
        <v>0</v>
      </c>
      <c r="CR334" s="52" t="n">
        <v>0</v>
      </c>
      <c r="CS334" s="52" t="n">
        <v>0</v>
      </c>
      <c r="CT334" s="52"/>
      <c r="CU334" s="52"/>
      <c r="CV334" s="52"/>
      <c r="CW334" s="52"/>
      <c r="CX334" s="52"/>
      <c r="CY334" s="52"/>
      <c r="CZ334" s="52"/>
      <c r="DA334" s="52"/>
      <c r="DB334" s="52"/>
      <c r="DC334" s="52"/>
      <c r="DD334" s="52"/>
      <c r="DE334" s="52"/>
    </row>
    <row r="335" customFormat="false" ht="15" hidden="false" customHeight="true" outlineLevel="0" collapsed="false">
      <c r="A335" s="53" t="s">
        <v>171</v>
      </c>
      <c r="B335" s="54"/>
      <c r="C335" s="54"/>
      <c r="D335" s="54"/>
      <c r="E335" s="54" t="n">
        <f aca="false">MAX(0,E331+E332+E333+E334)</f>
        <v>0</v>
      </c>
      <c r="F335" s="54" t="n">
        <f aca="false">MAX(0,F331+F332+F333+F334)</f>
        <v>0</v>
      </c>
      <c r="G335" s="54" t="n">
        <f aca="false">MAX(0,G331+G332+G333+G334)</f>
        <v>0</v>
      </c>
      <c r="H335" s="54" t="n">
        <f aca="false">MAX(0,H331+H332+H333+H334)</f>
        <v>0</v>
      </c>
      <c r="I335" s="54" t="n">
        <f aca="false">MAX(0,I331+I332+I333+I334)</f>
        <v>0</v>
      </c>
      <c r="J335" s="54" t="n">
        <f aca="false">MAX(0,J331+J332+J333+J334)</f>
        <v>0</v>
      </c>
      <c r="K335" s="54" t="n">
        <f aca="false">MAX(0,K331+K332+K333+K334)</f>
        <v>0</v>
      </c>
      <c r="L335" s="54" t="n">
        <f aca="false">MAX(0,L331+L332+L333+L334)</f>
        <v>0</v>
      </c>
      <c r="M335" s="54" t="n">
        <f aca="false">MAX(0,M331+M332+M333+M334)</f>
        <v>0</v>
      </c>
      <c r="N335" s="54" t="n">
        <f aca="false">MAX(0,N331+N332+N333+N334)</f>
        <v>0</v>
      </c>
      <c r="O335" s="54" t="n">
        <f aca="false">MAX(0,O331+O332+O333+O334)</f>
        <v>0</v>
      </c>
      <c r="P335" s="54" t="n">
        <f aca="false">MAX(0,P331+P332+P333+P334)</f>
        <v>0</v>
      </c>
      <c r="Q335" s="54" t="n">
        <f aca="false">MAX(0,Q331+Q332+Q333+Q334)</f>
        <v>0</v>
      </c>
      <c r="R335" s="54" t="n">
        <f aca="false">MAX(0,R331+R332+R333+R334)</f>
        <v>0</v>
      </c>
      <c r="S335" s="54" t="n">
        <f aca="false">MAX(0,S331+S332+S333+S334)</f>
        <v>0</v>
      </c>
      <c r="T335" s="54" t="n">
        <f aca="false">MAX(0,T331+T332+T333+T334)</f>
        <v>0</v>
      </c>
      <c r="U335" s="54" t="n">
        <f aca="false">MAX(0,U331+U332+U333+U334)</f>
        <v>0</v>
      </c>
      <c r="V335" s="54" t="n">
        <f aca="false">MAX(0,V331+V332+V333+V334)</f>
        <v>0</v>
      </c>
      <c r="W335" s="54" t="n">
        <f aca="false">MAX(0,W331+W332+W333+W334)</f>
        <v>0</v>
      </c>
      <c r="X335" s="54" t="n">
        <f aca="false">MAX(0,X331+X332+X333+X334)</f>
        <v>0</v>
      </c>
      <c r="Y335" s="54" t="n">
        <f aca="false">MAX(0,Y331+Y332+Y333+Y334)</f>
        <v>0</v>
      </c>
      <c r="Z335" s="54" t="n">
        <f aca="false">MAX(0,Z331+Z332+Z333+Z334)</f>
        <v>0</v>
      </c>
      <c r="AA335" s="54" t="n">
        <f aca="false">MAX(0,AA331+AA332+AA333+AA334)</f>
        <v>0</v>
      </c>
      <c r="AB335" s="54" t="n">
        <f aca="false">MAX(0,AB331+AB332+AB333+AB334)</f>
        <v>0</v>
      </c>
      <c r="AC335" s="54" t="n">
        <f aca="false">MAX(0,AC331+AC332+AC333+AC334)</f>
        <v>0</v>
      </c>
      <c r="AD335" s="54" t="n">
        <f aca="false">MAX(0,AD331+AD332+AD333+AD334)</f>
        <v>0</v>
      </c>
      <c r="AE335" s="54" t="n">
        <f aca="false">MAX(0,AE331+AE332+AE333+AE334)</f>
        <v>0</v>
      </c>
      <c r="AF335" s="54" t="n">
        <f aca="false">MAX(0,AF331+AF332+AF333+AF334)</f>
        <v>0</v>
      </c>
      <c r="AG335" s="54" t="n">
        <f aca="false">MAX(0,AG331+AG332+AG333+AG334)</f>
        <v>0</v>
      </c>
      <c r="AH335" s="54" t="n">
        <f aca="false">MAX(0,AH331+AH332+AH333+AH334)</f>
        <v>0</v>
      </c>
      <c r="AI335" s="54" t="n">
        <f aca="false">MAX(0,AI331+AI332+AI333+AI334)</f>
        <v>0</v>
      </c>
      <c r="AJ335" s="54" t="n">
        <f aca="false">MAX(0,AJ331+AJ332+AJ333+AJ334)</f>
        <v>0</v>
      </c>
      <c r="AK335" s="54" t="n">
        <f aca="false">MAX(0,AK331+AK332+AK333+AK334)</f>
        <v>0</v>
      </c>
      <c r="AL335" s="54" t="n">
        <f aca="false">MAX(0,AL331+AL332+AL333+AL334)</f>
        <v>0</v>
      </c>
      <c r="AM335" s="54" t="n">
        <f aca="false">MAX(0,AM331+AM332+AM333+AM334)</f>
        <v>0</v>
      </c>
      <c r="AN335" s="54" t="n">
        <f aca="false">MAX(0,AN331+AN332+AN333+AN334)</f>
        <v>0</v>
      </c>
      <c r="AO335" s="54" t="n">
        <f aca="false">MAX(0,AO331+AO332+AO333+AO334)</f>
        <v>0</v>
      </c>
      <c r="AP335" s="54" t="n">
        <f aca="false">MAX(0,AP331+AP332+AP333+AP334)</f>
        <v>0</v>
      </c>
      <c r="AQ335" s="54" t="n">
        <f aca="false">MAX(0,AQ331+AQ332+AQ333+AQ334)</f>
        <v>0</v>
      </c>
      <c r="AR335" s="54" t="n">
        <f aca="false">MAX(0,AR331+AR332+AR333+AR334)</f>
        <v>0</v>
      </c>
      <c r="AS335" s="54" t="n">
        <f aca="false">MAX(0,AS331+AS332+AS333+AS334)</f>
        <v>0</v>
      </c>
      <c r="AT335" s="54" t="n">
        <f aca="false">MAX(0,AT331+AT332+AT333+AT334)</f>
        <v>0</v>
      </c>
      <c r="AU335" s="54" t="n">
        <f aca="false">MAX(0,AU331+AU332+AU333+AU334)</f>
        <v>0</v>
      </c>
      <c r="AV335" s="54" t="n">
        <f aca="false">MAX(0,AV331+AV332+AV333+AV334)</f>
        <v>0</v>
      </c>
      <c r="AW335" s="54" t="n">
        <f aca="false">MAX(0,AW331+AW332+AW333+AW334)</f>
        <v>0</v>
      </c>
      <c r="AX335" s="54" t="n">
        <f aca="false">MAX(0,AX331+AX332+AX333+AX334)</f>
        <v>0</v>
      </c>
      <c r="AY335" s="54" t="n">
        <f aca="false">MAX(0,AY331+AY332+AY333+AY334)</f>
        <v>0</v>
      </c>
      <c r="AZ335" s="54" t="n">
        <f aca="false">MAX(0,AZ331+AZ332+AZ333+AZ334)</f>
        <v>0</v>
      </c>
      <c r="BA335" s="54" t="n">
        <f aca="false">MAX(0,BA331+BA332+BA333+BA334)</f>
        <v>0</v>
      </c>
      <c r="BB335" s="54" t="n">
        <f aca="false">MAX(0,BB331+BB332+BB333+BB334)</f>
        <v>0</v>
      </c>
      <c r="BC335" s="54" t="n">
        <f aca="false">MAX(0,BC331+BC332+BC333+BC334)</f>
        <v>0</v>
      </c>
      <c r="BD335" s="54" t="n">
        <f aca="false">MAX(0,BD331+BD332+BD333+BD334)</f>
        <v>0</v>
      </c>
      <c r="BE335" s="54" t="n">
        <f aca="false">MAX(0,BE331+BE332+BE333+BE334)</f>
        <v>0</v>
      </c>
      <c r="BF335" s="54" t="n">
        <f aca="false">MAX(0,BF331+BF332+BF333+BF334)</f>
        <v>0</v>
      </c>
      <c r="BG335" s="54" t="n">
        <f aca="false">MAX(0,BG331+BG332+BG333+BG334)</f>
        <v>0</v>
      </c>
      <c r="BH335" s="54" t="n">
        <f aca="false">MAX(0,BH331+BH332+BH333+BH334)</f>
        <v>0</v>
      </c>
      <c r="BI335" s="54" t="n">
        <f aca="false">MAX(0,BI331+BI332+BI333+BI334)</f>
        <v>0</v>
      </c>
      <c r="BJ335" s="54" t="n">
        <f aca="false">MAX(0,BJ331+BJ332+BJ333+BJ334)</f>
        <v>0</v>
      </c>
      <c r="BK335" s="54" t="n">
        <f aca="false">MAX(0,BK331+BK332+BK333+BK334)</f>
        <v>0</v>
      </c>
      <c r="BL335" s="54" t="n">
        <f aca="false">MAX(0,BL331+BL332+BL333+BL334)</f>
        <v>0</v>
      </c>
      <c r="BM335" s="54" t="n">
        <f aca="false">MAX(0,BM331+BM332+BM333+BM334)</f>
        <v>0</v>
      </c>
      <c r="BN335" s="54" t="n">
        <f aca="false">MAX(0,BN331+BN332+BN333+BN334)</f>
        <v>0</v>
      </c>
      <c r="BO335" s="54" t="n">
        <f aca="false">MAX(0,BO331+BO332+BO333+BO334)</f>
        <v>0</v>
      </c>
      <c r="BP335" s="54" t="n">
        <f aca="false">MAX(0,BP331+BP332+BP333+BP334)</f>
        <v>0</v>
      </c>
      <c r="BQ335" s="54" t="n">
        <f aca="false">MAX(0,BQ331+BQ332+BQ333+BQ334)</f>
        <v>0</v>
      </c>
      <c r="BR335" s="54" t="n">
        <f aca="false">MAX(0,BR331+BR332+BR333+BR334)</f>
        <v>0</v>
      </c>
      <c r="BS335" s="54" t="n">
        <f aca="false">MAX(0,BS331+BS332+BS333+BS334)</f>
        <v>0</v>
      </c>
      <c r="BT335" s="54" t="n">
        <f aca="false">MAX(0,BT331+BT332+BT333+BT334)</f>
        <v>0</v>
      </c>
      <c r="BU335" s="54" t="n">
        <f aca="false">MAX(0,BU331+BU332+BU333+BU334)</f>
        <v>0</v>
      </c>
      <c r="BV335" s="54" t="n">
        <f aca="false">MAX(0,BV331+BV332+BV333+BV334)</f>
        <v>0</v>
      </c>
      <c r="BW335" s="54" t="n">
        <f aca="false">MAX(0,BW331+BW332+BW333+BW334)</f>
        <v>0</v>
      </c>
      <c r="BX335" s="54" t="n">
        <f aca="false">MAX(0,BX331+BX332+BX333+BX334)</f>
        <v>0</v>
      </c>
      <c r="BY335" s="54" t="n">
        <f aca="false">MAX(0,BY331+BY332+BY333+BY334)</f>
        <v>0</v>
      </c>
      <c r="BZ335" s="54" t="n">
        <f aca="false">MAX(0,BZ331+BZ332+BZ333+BZ334)</f>
        <v>0</v>
      </c>
      <c r="CA335" s="54" t="n">
        <f aca="false">MAX(0,CA331+CA332+CA333+CA334)</f>
        <v>0</v>
      </c>
      <c r="CB335" s="54" t="n">
        <f aca="false">MAX(0,CB331+CB332+CB333+CB334)</f>
        <v>0</v>
      </c>
      <c r="CC335" s="54" t="n">
        <f aca="false">MAX(0,CC331+CC332+CC333+CC334)</f>
        <v>0</v>
      </c>
      <c r="CD335" s="54" t="n">
        <f aca="false">MAX(0,CD331+CD332+CD333+CD334)</f>
        <v>0</v>
      </c>
      <c r="CE335" s="54" t="n">
        <f aca="false">MAX(0,CE331+CE332+CE333+CE334)</f>
        <v>0</v>
      </c>
      <c r="CF335" s="54" t="n">
        <f aca="false">MAX(0,CF331+CF332+CF333+CF334)</f>
        <v>0</v>
      </c>
      <c r="CG335" s="54" t="n">
        <f aca="false">MAX(0,CG331+CG332+CG333+CG334)</f>
        <v>0</v>
      </c>
      <c r="CH335" s="54" t="n">
        <f aca="false">MAX(0,CH331+CH332+CH333+CH334)</f>
        <v>0</v>
      </c>
      <c r="CI335" s="54" t="n">
        <f aca="false">MAX(0,CI331+CI332+CI333+CI334)</f>
        <v>0</v>
      </c>
      <c r="CJ335" s="54" t="n">
        <f aca="false">MAX(0,CJ331+CJ332+CJ333+CJ334)</f>
        <v>0</v>
      </c>
      <c r="CK335" s="54" t="n">
        <f aca="false">MAX(0,CK331+CK332+CK333+CK334)</f>
        <v>0</v>
      </c>
      <c r="CL335" s="54" t="n">
        <f aca="false">MAX(0,CL331+CL332+CL333+CL334)</f>
        <v>0</v>
      </c>
      <c r="CM335" s="54" t="n">
        <f aca="false">MAX(0,CM331+CM332+CM333+CM334)</f>
        <v>0</v>
      </c>
      <c r="CN335" s="54" t="n">
        <f aca="false">MAX(0,CN331+CN332+CN333+CN334)</f>
        <v>0</v>
      </c>
      <c r="CO335" s="54" t="n">
        <f aca="false">MAX(0,CO331+CO332+CO333+CO334)</f>
        <v>0</v>
      </c>
      <c r="CP335" s="54" t="n">
        <f aca="false">MAX(0,CP331+CP332+CP333+CP334)</f>
        <v>0</v>
      </c>
      <c r="CQ335" s="54" t="n">
        <f aca="false">MAX(0,CQ331+CQ332+CQ333+CQ334)</f>
        <v>0</v>
      </c>
      <c r="CR335" s="54" t="n">
        <f aca="false">MAX(0,CR331+CR332+CR333+CR334)</f>
        <v>0</v>
      </c>
      <c r="CS335" s="54" t="n">
        <f aca="false">MAX(0,CS331+CS332+CS333+CS334)</f>
        <v>0</v>
      </c>
      <c r="CT335" s="54" t="n">
        <f aca="false">MAX(0,CT331+CT332+CT333+CT334)</f>
        <v>0</v>
      </c>
      <c r="CU335" s="54" t="n">
        <f aca="false">MAX(0,CU331+CU332+CU333+CU334)</f>
        <v>0</v>
      </c>
      <c r="CV335" s="54" t="n">
        <f aca="false">MAX(0,CV331+CV332+CV333+CV334)</f>
        <v>0</v>
      </c>
      <c r="CW335" s="54" t="n">
        <f aca="false">MAX(0,CW331+CW332+CW333+CW334)</f>
        <v>0</v>
      </c>
      <c r="CX335" s="54" t="n">
        <f aca="false">MAX(0,CX331+CX332+CX333+CX334)</f>
        <v>0</v>
      </c>
      <c r="CY335" s="54" t="n">
        <f aca="false">MAX(0,CY331+CY332+CY333+CY334)</f>
        <v>0</v>
      </c>
      <c r="CZ335" s="54" t="n">
        <f aca="false">MAX(0,CZ331+CZ332+CZ333+CZ334)</f>
        <v>0</v>
      </c>
      <c r="DA335" s="54" t="n">
        <f aca="false">MAX(0,DA331+DA332+DA333+DA334)</f>
        <v>0</v>
      </c>
      <c r="DB335" s="54" t="n">
        <f aca="false">MAX(0,DB331+DB332+DB333+DB334)</f>
        <v>0</v>
      </c>
      <c r="DC335" s="54" t="n">
        <f aca="false">MAX(0,DC331+DC332+DC333+DC334)</f>
        <v>0</v>
      </c>
      <c r="DD335" s="54" t="n">
        <f aca="false">MAX(0,DD331+DD332+DD333+DD334)</f>
        <v>0</v>
      </c>
      <c r="DE335" s="54" t="n">
        <f aca="false">MAX(0,DE331+DE332+DE333+DE334)</f>
        <v>0</v>
      </c>
    </row>
    <row r="336" customFormat="false" ht="15" hidden="false" customHeight="true" outlineLevel="0" collapsed="false">
      <c r="A336" s="55" t="s">
        <v>172</v>
      </c>
      <c r="B336" s="56"/>
      <c r="C336" s="56"/>
      <c r="D336" s="56"/>
      <c r="E336" s="56" t="n">
        <f aca="false">IF(Projects!$G$14="Yes",Assumptions!$B$75,0)</f>
        <v>264927.15</v>
      </c>
      <c r="F336" s="56" t="n">
        <f aca="false">E340</f>
        <v>264927.15</v>
      </c>
      <c r="G336" s="56" t="n">
        <f aca="false">IF(Projects!$G$14="Yes",F340+Assumptions!$B$76*0.2,F340)</f>
        <v>441545.25</v>
      </c>
      <c r="H336" s="56" t="n">
        <f aca="false">G340</f>
        <v>458103.196875</v>
      </c>
      <c r="I336" s="56" t="n">
        <f aca="false">H340</f>
        <v>458103.196875</v>
      </c>
      <c r="J336" s="56" t="n">
        <f aca="false">IF(Projects!$G$14="Yes",I340+Assumptions!$B$76*0.2,I340)</f>
        <v>634721.296875</v>
      </c>
      <c r="K336" s="56" t="n">
        <f aca="false">J340</f>
        <v>658523.345507813</v>
      </c>
      <c r="L336" s="56" t="n">
        <f aca="false">K340</f>
        <v>658523.345507813</v>
      </c>
      <c r="M336" s="56" t="n">
        <f aca="false">L340</f>
        <v>658523.345507813</v>
      </c>
      <c r="N336" s="56" t="n">
        <f aca="false">IF(Projects!$G$14="Yes",M340+Assumptions!$B$76*0.1,M340)</f>
        <v>771527.020964355</v>
      </c>
      <c r="O336" s="56" t="n">
        <f aca="false">N340</f>
        <v>771527.020964355</v>
      </c>
      <c r="P336" s="56" t="n">
        <f aca="false">O340</f>
        <v>771527.020964355</v>
      </c>
      <c r="Q336" s="56" t="n">
        <f aca="false">P340</f>
        <v>800459.284250519</v>
      </c>
      <c r="R336" s="56" t="n">
        <f aca="false">Q340</f>
        <v>800459.284250519</v>
      </c>
      <c r="S336" s="56" t="n">
        <f aca="false">IF(Projects!$G$14="Yes",R340+Assumptions!$B$76*0.1,R340)</f>
        <v>888768.334250519</v>
      </c>
      <c r="T336" s="56" t="n">
        <f aca="false">S340</f>
        <v>922097.146784913</v>
      </c>
      <c r="U336" s="56" t="n">
        <f aca="false">T340</f>
        <v>922097.146784913</v>
      </c>
      <c r="V336" s="56" t="n">
        <f aca="false">U340</f>
        <v>922097.146784913</v>
      </c>
      <c r="W336" s="56" t="n">
        <f aca="false">V340</f>
        <v>956675.789789348</v>
      </c>
      <c r="X336" s="56" t="n">
        <f aca="false">W340</f>
        <v>956675.789789348</v>
      </c>
      <c r="Y336" s="56" t="n">
        <f aca="false">IF(Projects!$G$14="Yes",X340+Assumptions!$B$76*0.1,X340)</f>
        <v>1044984.83978935</v>
      </c>
      <c r="Z336" s="56" t="n">
        <f aca="false">Y340</f>
        <v>1084171.77128145</v>
      </c>
      <c r="AA336" s="56" t="n">
        <f aca="false">Z340</f>
        <v>1084171.77128145</v>
      </c>
      <c r="AB336" s="56" t="n">
        <f aca="false">AA340</f>
        <v>1084171.77128145</v>
      </c>
      <c r="AC336" s="56" t="n">
        <f aca="false">AB340</f>
        <v>1124828.2127045</v>
      </c>
      <c r="AD336" s="56" t="n">
        <f aca="false">AC340</f>
        <v>1124828.2127045</v>
      </c>
      <c r="AE336" s="56" t="n">
        <f aca="false">IF(Projects!$G$14="Yes",AD340+Assumptions!$B$76,AD340)</f>
        <v>2007918.7127045</v>
      </c>
      <c r="AF336" s="56" t="n">
        <f aca="false">AE340</f>
        <v>283215.664430921</v>
      </c>
      <c r="AG336" s="56" t="n">
        <f aca="false">AF340</f>
        <v>283215.664430921</v>
      </c>
      <c r="AH336" s="56" t="n">
        <f aca="false">AG340</f>
        <v>283215.664430921</v>
      </c>
      <c r="AI336" s="56" t="n">
        <f aca="false">AH340</f>
        <v>293836.251847081</v>
      </c>
      <c r="AJ336" s="56" t="n">
        <f aca="false">AI340</f>
        <v>293836.251847081</v>
      </c>
      <c r="AK336" s="56" t="n">
        <f aca="false">AJ340</f>
        <v>293836.251847081</v>
      </c>
      <c r="AL336" s="56" t="n">
        <f aca="false">AK340</f>
        <v>304855.111291347</v>
      </c>
      <c r="AM336" s="56" t="n">
        <f aca="false">AL340</f>
        <v>304855.111291347</v>
      </c>
      <c r="AN336" s="56" t="n">
        <f aca="false">AM340</f>
        <v>304855.111291347</v>
      </c>
      <c r="AO336" s="56" t="n">
        <f aca="false">AN340</f>
        <v>316287.177964772</v>
      </c>
      <c r="AP336" s="56" t="n">
        <f aca="false">AO340</f>
        <v>316287.177964772</v>
      </c>
      <c r="AQ336" s="56" t="n">
        <f aca="false">AP340</f>
        <v>316287.177964772</v>
      </c>
      <c r="AR336" s="56" t="n">
        <f aca="false">AQ340</f>
        <v>328147.947138451</v>
      </c>
      <c r="AS336" s="56" t="n">
        <f aca="false">AR340</f>
        <v>328147.947138451</v>
      </c>
      <c r="AT336" s="56" t="n">
        <f aca="false">AS340</f>
        <v>328147.947138451</v>
      </c>
      <c r="AU336" s="56" t="n">
        <f aca="false">AT340</f>
        <v>340453.495156143</v>
      </c>
      <c r="AV336" s="56" t="n">
        <f aca="false">AU340</f>
        <v>340453.495156143</v>
      </c>
      <c r="AW336" s="56" t="n">
        <f aca="false">AV340</f>
        <v>340453.495156143</v>
      </c>
      <c r="AX336" s="56" t="n">
        <f aca="false">AW340</f>
        <v>353220.501224498</v>
      </c>
      <c r="AY336" s="56" t="n">
        <f aca="false">AX340</f>
        <v>353220.501224498</v>
      </c>
      <c r="AZ336" s="56" t="n">
        <f aca="false">AY340</f>
        <v>353220.501224498</v>
      </c>
      <c r="BA336" s="56" t="n">
        <f aca="false">AZ340</f>
        <v>366466.270020417</v>
      </c>
      <c r="BB336" s="56" t="n">
        <f aca="false">BA340</f>
        <v>366466.270020417</v>
      </c>
      <c r="BC336" s="56" t="n">
        <f aca="false">BB340</f>
        <v>366466.270020417</v>
      </c>
      <c r="BD336" s="56" t="n">
        <f aca="false">BC340</f>
        <v>380208.755146183</v>
      </c>
      <c r="BE336" s="56" t="n">
        <f aca="false">BD340</f>
        <v>380208.755146183</v>
      </c>
      <c r="BF336" s="56" t="n">
        <f aca="false">BE340</f>
        <v>380208.755146183</v>
      </c>
      <c r="BG336" s="56" t="n">
        <f aca="false">BF340</f>
        <v>394466.583464164</v>
      </c>
      <c r="BH336" s="56" t="n">
        <f aca="false">BG340</f>
        <v>394466.583464164</v>
      </c>
      <c r="BI336" s="56" t="n">
        <f aca="false">BH340</f>
        <v>394466.583464164</v>
      </c>
      <c r="BJ336" s="56" t="n">
        <f aca="false">BI340</f>
        <v>409259.080344071</v>
      </c>
      <c r="BK336" s="56" t="n">
        <f aca="false">BJ340</f>
        <v>409259.080344071</v>
      </c>
      <c r="BL336" s="56" t="n">
        <f aca="false">BK340</f>
        <v>409259.080344071</v>
      </c>
      <c r="BM336" s="56" t="n">
        <f aca="false">BL340</f>
        <v>424606.295856973</v>
      </c>
      <c r="BN336" s="56" t="n">
        <f aca="false">BM340</f>
        <v>424606.295856973</v>
      </c>
      <c r="BO336" s="56" t="n">
        <f aca="false">BN340</f>
        <v>424606.295856973</v>
      </c>
      <c r="BP336" s="56" t="n">
        <f aca="false">BO340</f>
        <v>440529.03195161</v>
      </c>
      <c r="BQ336" s="56" t="n">
        <f aca="false">BP340</f>
        <v>440529.03195161</v>
      </c>
      <c r="BR336" s="56" t="n">
        <f aca="false">BQ340</f>
        <v>440529.03195161</v>
      </c>
      <c r="BS336" s="56" t="n">
        <f aca="false">BR340</f>
        <v>457048.870649795</v>
      </c>
      <c r="BT336" s="56" t="n">
        <f aca="false">BS340</f>
        <v>457048.870649795</v>
      </c>
      <c r="BU336" s="56" t="n">
        <f aca="false">BT340</f>
        <v>457048.870649795</v>
      </c>
      <c r="BV336" s="56" t="n">
        <f aca="false">BU340</f>
        <v>474188.203299162</v>
      </c>
      <c r="BW336" s="56" t="n">
        <f aca="false">BV340</f>
        <v>474188.203299162</v>
      </c>
      <c r="BX336" s="56" t="n">
        <f aca="false">BW340</f>
        <v>474188.203299162</v>
      </c>
      <c r="BY336" s="56" t="n">
        <f aca="false">BX340</f>
        <v>491970.260922881</v>
      </c>
      <c r="BZ336" s="56" t="n">
        <f aca="false">BY340</f>
        <v>491970.260922881</v>
      </c>
      <c r="CA336" s="56" t="n">
        <f aca="false">BZ340</f>
        <v>491970.260922881</v>
      </c>
      <c r="CB336" s="56" t="n">
        <f aca="false">CA340</f>
        <v>510419.145707489</v>
      </c>
      <c r="CC336" s="56" t="n">
        <f aca="false">CB340</f>
        <v>510419.145707489</v>
      </c>
      <c r="CD336" s="56" t="n">
        <f aca="false">CC340</f>
        <v>510419.145707489</v>
      </c>
      <c r="CE336" s="56" t="n">
        <f aca="false">CD340</f>
        <v>529559.86367152</v>
      </c>
      <c r="CF336" s="56" t="n">
        <f aca="false">CE340</f>
        <v>529559.86367152</v>
      </c>
      <c r="CG336" s="56" t="n">
        <f aca="false">CF340</f>
        <v>529559.86367152</v>
      </c>
      <c r="CH336" s="56" t="n">
        <f aca="false">CG340</f>
        <v>549418.358559202</v>
      </c>
      <c r="CI336" s="56" t="n">
        <f aca="false">CH340</f>
        <v>549418.358559202</v>
      </c>
      <c r="CJ336" s="56" t="n">
        <f aca="false">CI340</f>
        <v>549418.358559202</v>
      </c>
      <c r="CK336" s="56" t="n">
        <f aca="false">CJ340</f>
        <v>570021.547005172</v>
      </c>
      <c r="CL336" s="56" t="n">
        <f aca="false">CK340</f>
        <v>570021.547005172</v>
      </c>
      <c r="CM336" s="56" t="n">
        <f aca="false">CL340</f>
        <v>570021.547005172</v>
      </c>
      <c r="CN336" s="56" t="n">
        <f aca="false">CM340</f>
        <v>591397.355017866</v>
      </c>
      <c r="CO336" s="56" t="n">
        <f aca="false">CN340</f>
        <v>569702.675017866</v>
      </c>
      <c r="CP336" s="56" t="n">
        <f aca="false">CO340</f>
        <v>496547.675017866</v>
      </c>
      <c r="CQ336" s="56" t="n">
        <f aca="false">CP340</f>
        <v>442013.212831036</v>
      </c>
      <c r="CR336" s="56" t="n">
        <f aca="false">CQ340</f>
        <v>368858.212831036</v>
      </c>
      <c r="CS336" s="56" t="n">
        <f aca="false">CR340</f>
        <v>295703.212831036</v>
      </c>
      <c r="CT336" s="56" t="n">
        <f aca="false">CS340</f>
        <v>233637.0833122</v>
      </c>
      <c r="CU336" s="56" t="n">
        <f aca="false">CT340</f>
        <v>160482.0833122</v>
      </c>
      <c r="CV336" s="56" t="n">
        <f aca="false">CU340</f>
        <v>87327.0833121997</v>
      </c>
      <c r="CW336" s="56" t="n">
        <f aca="false">CV340</f>
        <v>17446.8489364072</v>
      </c>
      <c r="CX336" s="56" t="n">
        <f aca="false">CW340</f>
        <v>0</v>
      </c>
      <c r="CY336" s="56" t="n">
        <f aca="false">CX340</f>
        <v>0</v>
      </c>
      <c r="CZ336" s="56" t="n">
        <f aca="false">CY340</f>
        <v>0</v>
      </c>
      <c r="DA336" s="56" t="n">
        <f aca="false">CZ340</f>
        <v>0</v>
      </c>
      <c r="DB336" s="56" t="n">
        <f aca="false">DA340</f>
        <v>0</v>
      </c>
      <c r="DC336" s="56" t="n">
        <f aca="false">DB340</f>
        <v>0</v>
      </c>
      <c r="DD336" s="56" t="n">
        <f aca="false">DC340</f>
        <v>0</v>
      </c>
      <c r="DE336" s="56" t="n">
        <f aca="false">DD340</f>
        <v>0</v>
      </c>
    </row>
    <row r="337" customFormat="false" ht="15" hidden="false" customHeight="true" outlineLevel="0" collapsed="false">
      <c r="A337" s="55" t="s">
        <v>173</v>
      </c>
      <c r="B337" s="56"/>
      <c r="C337" s="56"/>
      <c r="D337" s="56"/>
      <c r="E337" s="56" t="n">
        <f aca="false">IF(AND(MOD(1,3)=0,E336&gt;0),E336*Assumptions!$B$59,0)</f>
        <v>0</v>
      </c>
      <c r="F337" s="56" t="n">
        <f aca="false">IF(AND(MOD(2,3)=0,F336&gt;0),F336*Assumptions!$B$59,0)</f>
        <v>0</v>
      </c>
      <c r="G337" s="56" t="n">
        <f aca="false">IF(AND(MOD(3,3)=0,G336&gt;0),G336*Assumptions!$B$59,0)</f>
        <v>16557.946875</v>
      </c>
      <c r="H337" s="56" t="n">
        <f aca="false">IF(AND(MOD(4,3)=0,H336&gt;0),H336*Assumptions!$B$59,0)</f>
        <v>0</v>
      </c>
      <c r="I337" s="56" t="n">
        <f aca="false">IF(AND(MOD(5,3)=0,I336&gt;0),I336*Assumptions!$B$59,0)</f>
        <v>0</v>
      </c>
      <c r="J337" s="56" t="n">
        <f aca="false">IF(AND(MOD(6,3)=0,J336&gt;0),J336*Assumptions!$B$59,0)</f>
        <v>23802.0486328125</v>
      </c>
      <c r="K337" s="56" t="n">
        <f aca="false">IF(AND(MOD(7,3)=0,K336&gt;0),K336*Assumptions!$B$59,0)</f>
        <v>0</v>
      </c>
      <c r="L337" s="56" t="n">
        <f aca="false">IF(AND(MOD(8,3)=0,L336&gt;0),L336*Assumptions!$B$59,0)</f>
        <v>0</v>
      </c>
      <c r="M337" s="56" t="n">
        <f aca="false">IF(AND(MOD(9,3)=0,M336&gt;0),M336*Assumptions!$B$59,0)</f>
        <v>24694.625456543</v>
      </c>
      <c r="N337" s="56" t="n">
        <f aca="false">IF(AND(MOD(10,3)=0,N336&gt;0),N336*Assumptions!$B$59,0)</f>
        <v>0</v>
      </c>
      <c r="O337" s="56" t="n">
        <f aca="false">IF(AND(MOD(11,3)=0,O336&gt;0),O336*Assumptions!$B$59,0)</f>
        <v>0</v>
      </c>
      <c r="P337" s="56" t="n">
        <f aca="false">IF(AND(MOD(12,3)=0,P336&gt;0),P336*Assumptions!$B$59,0)</f>
        <v>28932.2632861633</v>
      </c>
      <c r="Q337" s="56" t="n">
        <f aca="false">IF(AND(MOD(13,3)=0,Q336&gt;0),Q336*Assumptions!$B$59,0)</f>
        <v>0</v>
      </c>
      <c r="R337" s="56" t="n">
        <f aca="false">IF(AND(MOD(14,3)=0,R336&gt;0),R336*Assumptions!$B$59,0)</f>
        <v>0</v>
      </c>
      <c r="S337" s="56" t="n">
        <f aca="false">IF(AND(MOD(15,3)=0,S336&gt;0),S336*Assumptions!$B$59,0)</f>
        <v>33328.8125343945</v>
      </c>
      <c r="T337" s="56" t="n">
        <f aca="false">IF(AND(MOD(16,3)=0,T336&gt;0),T336*Assumptions!$B$59,0)</f>
        <v>0</v>
      </c>
      <c r="U337" s="56" t="n">
        <f aca="false">IF(AND(MOD(17,3)=0,U336&gt;0),U336*Assumptions!$B$59,0)</f>
        <v>0</v>
      </c>
      <c r="V337" s="56" t="n">
        <f aca="false">IF(AND(MOD(18,3)=0,V336&gt;0),V336*Assumptions!$B$59,0)</f>
        <v>34578.6430044343</v>
      </c>
      <c r="W337" s="56" t="n">
        <f aca="false">IF(AND(MOD(19,3)=0,W336&gt;0),W336*Assumptions!$B$59,0)</f>
        <v>0</v>
      </c>
      <c r="X337" s="56" t="n">
        <f aca="false">IF(AND(MOD(20,3)=0,X336&gt;0),X336*Assumptions!$B$59,0)</f>
        <v>0</v>
      </c>
      <c r="Y337" s="56" t="n">
        <f aca="false">IF(AND(MOD(21,3)=0,Y336&gt;0),Y336*Assumptions!$B$59,0)</f>
        <v>39186.9314921005</v>
      </c>
      <c r="Z337" s="56" t="n">
        <f aca="false">IF(AND(MOD(22,3)=0,Z336&gt;0),Z336*Assumptions!$B$59,0)</f>
        <v>0</v>
      </c>
      <c r="AA337" s="56" t="n">
        <f aca="false">IF(AND(MOD(23,3)=0,AA336&gt;0),AA336*Assumptions!$B$59,0)</f>
        <v>0</v>
      </c>
      <c r="AB337" s="56" t="n">
        <f aca="false">IF(AND(MOD(24,3)=0,AB336&gt;0),AB336*Assumptions!$B$59,0)</f>
        <v>40656.4414230543</v>
      </c>
      <c r="AC337" s="56" t="n">
        <f aca="false">IF(AND(MOD(25,3)=0,AC336&gt;0),AC336*Assumptions!$B$59,0)</f>
        <v>0</v>
      </c>
      <c r="AD337" s="56" t="n">
        <f aca="false">IF(AND(MOD(26,3)=0,AD336&gt;0),AD336*Assumptions!$B$59,0)</f>
        <v>0</v>
      </c>
      <c r="AE337" s="56" t="n">
        <f aca="false">IF(AND(MOD(27,3)=0,AE336&gt;0),AE336*Assumptions!$B$59,0)</f>
        <v>75296.9517264189</v>
      </c>
      <c r="AF337" s="56" t="n">
        <f aca="false">IF(AND(MOD(28,3)=0,AF336&gt;0),AF336*Assumptions!$B$59,0)</f>
        <v>0</v>
      </c>
      <c r="AG337" s="56" t="n">
        <f aca="false">IF(AND(MOD(29,3)=0,AG336&gt;0),AG336*Assumptions!$B$59,0)</f>
        <v>0</v>
      </c>
      <c r="AH337" s="56" t="n">
        <f aca="false">IF(AND(MOD(30,3)=0,AH336&gt;0),AH336*Assumptions!$B$59,0)</f>
        <v>10620.5874161596</v>
      </c>
      <c r="AI337" s="56" t="n">
        <f aca="false">IF(AND(MOD(31,3)=0,AI336&gt;0),AI336*Assumptions!$B$59,0)</f>
        <v>0</v>
      </c>
      <c r="AJ337" s="56" t="n">
        <f aca="false">IF(AND(MOD(32,3)=0,AJ336&gt;0),AJ336*Assumptions!$B$59,0)</f>
        <v>0</v>
      </c>
      <c r="AK337" s="56" t="n">
        <f aca="false">IF(AND(MOD(33,3)=0,AK336&gt;0),AK336*Assumptions!$B$59,0)</f>
        <v>11018.8594442655</v>
      </c>
      <c r="AL337" s="56" t="n">
        <f aca="false">IF(AND(MOD(34,3)=0,AL336&gt;0),AL336*Assumptions!$B$59,0)</f>
        <v>0</v>
      </c>
      <c r="AM337" s="56" t="n">
        <f aca="false">IF(AND(MOD(35,3)=0,AM336&gt;0),AM336*Assumptions!$B$59,0)</f>
        <v>0</v>
      </c>
      <c r="AN337" s="56" t="n">
        <f aca="false">IF(AND(MOD(36,3)=0,AN336&gt;0),AN336*Assumptions!$B$59,0)</f>
        <v>11432.0666734255</v>
      </c>
      <c r="AO337" s="56" t="n">
        <f aca="false">IF(AND(MOD(37,3)=0,AO336&gt;0),AO336*Assumptions!$B$59,0)</f>
        <v>0</v>
      </c>
      <c r="AP337" s="56" t="n">
        <f aca="false">IF(AND(MOD(38,3)=0,AP336&gt;0),AP336*Assumptions!$B$59,0)</f>
        <v>0</v>
      </c>
      <c r="AQ337" s="56" t="n">
        <f aca="false">IF(AND(MOD(39,3)=0,AQ336&gt;0),AQ336*Assumptions!$B$59,0)</f>
        <v>11860.769173679</v>
      </c>
      <c r="AR337" s="56" t="n">
        <f aca="false">IF(AND(MOD(40,3)=0,AR336&gt;0),AR336*Assumptions!$B$59,0)</f>
        <v>0</v>
      </c>
      <c r="AS337" s="56" t="n">
        <f aca="false">IF(AND(MOD(41,3)=0,AS336&gt;0),AS336*Assumptions!$B$59,0)</f>
        <v>0</v>
      </c>
      <c r="AT337" s="56" t="n">
        <f aca="false">IF(AND(MOD(42,3)=0,AT336&gt;0),AT336*Assumptions!$B$59,0)</f>
        <v>12305.5480176919</v>
      </c>
      <c r="AU337" s="56" t="n">
        <f aca="false">IF(AND(MOD(43,3)=0,AU336&gt;0),AU336*Assumptions!$B$59,0)</f>
        <v>0</v>
      </c>
      <c r="AV337" s="56" t="n">
        <f aca="false">IF(AND(MOD(44,3)=0,AV336&gt;0),AV336*Assumptions!$B$59,0)</f>
        <v>0</v>
      </c>
      <c r="AW337" s="56" t="n">
        <f aca="false">IF(AND(MOD(45,3)=0,AW336&gt;0),AW336*Assumptions!$B$59,0)</f>
        <v>12767.0060683554</v>
      </c>
      <c r="AX337" s="56" t="n">
        <f aca="false">IF(AND(MOD(46,3)=0,AX336&gt;0),AX336*Assumptions!$B$59,0)</f>
        <v>0</v>
      </c>
      <c r="AY337" s="56" t="n">
        <f aca="false">IF(AND(MOD(47,3)=0,AY336&gt;0),AY336*Assumptions!$B$59,0)</f>
        <v>0</v>
      </c>
      <c r="AZ337" s="56" t="n">
        <f aca="false">IF(AND(MOD(48,3)=0,AZ336&gt;0),AZ336*Assumptions!$B$59,0)</f>
        <v>13245.7687959187</v>
      </c>
      <c r="BA337" s="56" t="n">
        <f aca="false">IF(AND(MOD(49,3)=0,BA336&gt;0),BA336*Assumptions!$B$59,0)</f>
        <v>0</v>
      </c>
      <c r="BB337" s="56" t="n">
        <f aca="false">IF(AND(MOD(50,3)=0,BB336&gt;0),BB336*Assumptions!$B$59,0)</f>
        <v>0</v>
      </c>
      <c r="BC337" s="56" t="n">
        <f aca="false">IF(AND(MOD(51,3)=0,BC336&gt;0),BC336*Assumptions!$B$59,0)</f>
        <v>13742.4851257656</v>
      </c>
      <c r="BD337" s="56" t="n">
        <f aca="false">IF(AND(MOD(52,3)=0,BD336&gt;0),BD336*Assumptions!$B$59,0)</f>
        <v>0</v>
      </c>
      <c r="BE337" s="56" t="n">
        <f aca="false">IF(AND(MOD(53,3)=0,BE336&gt;0),BE336*Assumptions!$B$59,0)</f>
        <v>0</v>
      </c>
      <c r="BF337" s="56" t="n">
        <f aca="false">IF(AND(MOD(54,3)=0,BF336&gt;0),BF336*Assumptions!$B$59,0)</f>
        <v>14257.8283179818</v>
      </c>
      <c r="BG337" s="56" t="n">
        <f aca="false">IF(AND(MOD(55,3)=0,BG336&gt;0),BG336*Assumptions!$B$59,0)</f>
        <v>0</v>
      </c>
      <c r="BH337" s="56" t="n">
        <f aca="false">IF(AND(MOD(56,3)=0,BH336&gt;0),BH336*Assumptions!$B$59,0)</f>
        <v>0</v>
      </c>
      <c r="BI337" s="56" t="n">
        <f aca="false">IF(AND(MOD(57,3)=0,BI336&gt;0),BI336*Assumptions!$B$59,0)</f>
        <v>14792.4968799062</v>
      </c>
      <c r="BJ337" s="56" t="n">
        <f aca="false">IF(AND(MOD(58,3)=0,BJ336&gt;0),BJ336*Assumptions!$B$59,0)</f>
        <v>0</v>
      </c>
      <c r="BK337" s="56" t="n">
        <f aca="false">IF(AND(MOD(59,3)=0,BK336&gt;0),BK336*Assumptions!$B$59,0)</f>
        <v>0</v>
      </c>
      <c r="BL337" s="56" t="n">
        <f aca="false">IF(AND(MOD(60,3)=0,BL336&gt;0),BL336*Assumptions!$B$59,0)</f>
        <v>15347.2155129026</v>
      </c>
      <c r="BM337" s="56" t="n">
        <f aca="false">IF(AND(MOD(61,3)=0,BM336&gt;0),BM336*Assumptions!$B$59,0)</f>
        <v>0</v>
      </c>
      <c r="BN337" s="56" t="n">
        <f aca="false">IF(AND(MOD(62,3)=0,BN336&gt;0),BN336*Assumptions!$B$59,0)</f>
        <v>0</v>
      </c>
      <c r="BO337" s="56" t="n">
        <f aca="false">IF(AND(MOD(63,3)=0,BO336&gt;0),BO336*Assumptions!$B$59,0)</f>
        <v>15922.7360946365</v>
      </c>
      <c r="BP337" s="56" t="n">
        <f aca="false">IF(AND(MOD(64,3)=0,BP336&gt;0),BP336*Assumptions!$B$59,0)</f>
        <v>0</v>
      </c>
      <c r="BQ337" s="56" t="n">
        <f aca="false">IF(AND(MOD(65,3)=0,BQ336&gt;0),BQ336*Assumptions!$B$59,0)</f>
        <v>0</v>
      </c>
      <c r="BR337" s="56" t="n">
        <f aca="false">IF(AND(MOD(66,3)=0,BR336&gt;0),BR336*Assumptions!$B$59,0)</f>
        <v>16519.8386981854</v>
      </c>
      <c r="BS337" s="56" t="n">
        <f aca="false">IF(AND(MOD(67,3)=0,BS336&gt;0),BS336*Assumptions!$B$59,0)</f>
        <v>0</v>
      </c>
      <c r="BT337" s="56" t="n">
        <f aca="false">IF(AND(MOD(68,3)=0,BT336&gt;0),BT336*Assumptions!$B$59,0)</f>
        <v>0</v>
      </c>
      <c r="BU337" s="56" t="n">
        <f aca="false">IF(AND(MOD(69,3)=0,BU336&gt;0),BU336*Assumptions!$B$59,0)</f>
        <v>17139.3326493673</v>
      </c>
      <c r="BV337" s="56" t="n">
        <f aca="false">IF(AND(MOD(70,3)=0,BV336&gt;0),BV336*Assumptions!$B$59,0)</f>
        <v>0</v>
      </c>
      <c r="BW337" s="56" t="n">
        <f aca="false">IF(AND(MOD(71,3)=0,BW336&gt;0),BW336*Assumptions!$B$59,0)</f>
        <v>0</v>
      </c>
      <c r="BX337" s="56" t="n">
        <f aca="false">IF(AND(MOD(72,3)=0,BX336&gt;0),BX336*Assumptions!$B$59,0)</f>
        <v>17782.0576237186</v>
      </c>
      <c r="BY337" s="56" t="n">
        <f aca="false">IF(AND(MOD(73,3)=0,BY336&gt;0),BY336*Assumptions!$B$59,0)</f>
        <v>0</v>
      </c>
      <c r="BZ337" s="56" t="n">
        <f aca="false">IF(AND(MOD(74,3)=0,BZ336&gt;0),BZ336*Assumptions!$B$59,0)</f>
        <v>0</v>
      </c>
      <c r="CA337" s="56" t="n">
        <f aca="false">IF(AND(MOD(75,3)=0,CA336&gt;0),CA336*Assumptions!$B$59,0)</f>
        <v>18448.884784608</v>
      </c>
      <c r="CB337" s="56" t="n">
        <f aca="false">IF(AND(MOD(76,3)=0,CB336&gt;0),CB336*Assumptions!$B$59,0)</f>
        <v>0</v>
      </c>
      <c r="CC337" s="56" t="n">
        <f aca="false">IF(AND(MOD(77,3)=0,CC336&gt;0),CC336*Assumptions!$B$59,0)</f>
        <v>0</v>
      </c>
      <c r="CD337" s="56" t="n">
        <f aca="false">IF(AND(MOD(78,3)=0,CD336&gt;0),CD336*Assumptions!$B$59,0)</f>
        <v>19140.7179640308</v>
      </c>
      <c r="CE337" s="56" t="n">
        <f aca="false">IF(AND(MOD(79,3)=0,CE336&gt;0),CE336*Assumptions!$B$59,0)</f>
        <v>0</v>
      </c>
      <c r="CF337" s="56" t="n">
        <f aca="false">IF(AND(MOD(80,3)=0,CF336&gt;0),CF336*Assumptions!$B$59,0)</f>
        <v>0</v>
      </c>
      <c r="CG337" s="56" t="n">
        <f aca="false">IF(AND(MOD(81,3)=0,CG336&gt;0),CG336*Assumptions!$B$59,0)</f>
        <v>19858.494887682</v>
      </c>
      <c r="CH337" s="56" t="n">
        <f aca="false">IF(AND(MOD(82,3)=0,CH336&gt;0),CH336*Assumptions!$B$59,0)</f>
        <v>0</v>
      </c>
      <c r="CI337" s="56" t="n">
        <f aca="false">IF(AND(MOD(83,3)=0,CI336&gt;0),CI336*Assumptions!$B$59,0)</f>
        <v>0</v>
      </c>
      <c r="CJ337" s="56" t="n">
        <f aca="false">IF(AND(MOD(84,3)=0,CJ336&gt;0),CJ336*Assumptions!$B$59,0)</f>
        <v>20603.1884459701</v>
      </c>
      <c r="CK337" s="56" t="n">
        <f aca="false">IF(AND(MOD(85,3)=0,CK336&gt;0),CK336*Assumptions!$B$59,0)</f>
        <v>0</v>
      </c>
      <c r="CL337" s="56" t="n">
        <f aca="false">IF(AND(MOD(86,3)=0,CL336&gt;0),CL336*Assumptions!$B$59,0)</f>
        <v>0</v>
      </c>
      <c r="CM337" s="56" t="n">
        <f aca="false">IF(AND(MOD(87,3)=0,CM336&gt;0),CM336*Assumptions!$B$59,0)</f>
        <v>21375.8080126939</v>
      </c>
      <c r="CN337" s="56" t="n">
        <f aca="false">IF(AND(MOD(88,3)=0,CN336&gt;0),CN336*Assumptions!$B$59,0)</f>
        <v>0</v>
      </c>
      <c r="CO337" s="56" t="n">
        <f aca="false">IF(AND(MOD(89,3)=0,CO336&gt;0),CO336*Assumptions!$B$59,0)</f>
        <v>0</v>
      </c>
      <c r="CP337" s="56" t="n">
        <f aca="false">IF(AND(MOD(90,3)=0,CP336&gt;0),CP336*Assumptions!$B$59,0)</f>
        <v>18620.53781317</v>
      </c>
      <c r="CQ337" s="56" t="n">
        <f aca="false">IF(AND(MOD(91,3)=0,CQ336&gt;0),CQ336*Assumptions!$B$59,0)</f>
        <v>0</v>
      </c>
      <c r="CR337" s="56" t="n">
        <f aca="false">IF(AND(MOD(92,3)=0,CR336&gt;0),CR336*Assumptions!$B$59,0)</f>
        <v>0</v>
      </c>
      <c r="CS337" s="56" t="n">
        <f aca="false">IF(AND(MOD(93,3)=0,CS336&gt;0),CS336*Assumptions!$B$59,0)</f>
        <v>11088.8704811638</v>
      </c>
      <c r="CT337" s="56" t="n">
        <f aca="false">IF(AND(MOD(94,3)=0,CT336&gt;0),CT336*Assumptions!$B$59,0)</f>
        <v>0</v>
      </c>
      <c r="CU337" s="56" t="n">
        <f aca="false">IF(AND(MOD(95,3)=0,CU336&gt;0),CU336*Assumptions!$B$59,0)</f>
        <v>0</v>
      </c>
      <c r="CV337" s="56" t="n">
        <f aca="false">IF(AND(MOD(96,3)=0,CV336&gt;0),CV336*Assumptions!$B$59,0)</f>
        <v>3274.76562420749</v>
      </c>
      <c r="CW337" s="56" t="n">
        <f aca="false">IF(AND(MOD(97,3)=0,CW336&gt;0),CW336*Assumptions!$B$59,0)</f>
        <v>0</v>
      </c>
      <c r="CX337" s="56" t="n">
        <f aca="false">IF(AND(MOD(98,3)=0,CX336&gt;0),CX336*Assumptions!$B$59,0)</f>
        <v>0</v>
      </c>
      <c r="CY337" s="56" t="n">
        <f aca="false">IF(AND(MOD(99,3)=0,CY336&gt;0),CY336*Assumptions!$B$59,0)</f>
        <v>0</v>
      </c>
      <c r="CZ337" s="56" t="n">
        <f aca="false">IF(AND(MOD(100,3)=0,CZ336&gt;0),CZ336*Assumptions!$B$59,0)</f>
        <v>0</v>
      </c>
      <c r="DA337" s="56" t="n">
        <f aca="false">IF(AND(MOD(101,3)=0,DA336&gt;0),DA336*Assumptions!$B$59,0)</f>
        <v>0</v>
      </c>
      <c r="DB337" s="56" t="n">
        <f aca="false">IF(AND(MOD(102,3)=0,DB336&gt;0),DB336*Assumptions!$B$59,0)</f>
        <v>0</v>
      </c>
      <c r="DC337" s="56" t="n">
        <f aca="false">IF(AND(MOD(103,3)=0,DC336&gt;0),DC336*Assumptions!$B$59,0)</f>
        <v>0</v>
      </c>
      <c r="DD337" s="56" t="n">
        <f aca="false">IF(AND(MOD(104,3)=0,DD336&gt;0),DD336*Assumptions!$B$59,0)</f>
        <v>0</v>
      </c>
      <c r="DE337" s="56" t="n">
        <f aca="false">IF(AND(MOD(105,3)=0,DE336&gt;0),DE336*Assumptions!$B$59,0)</f>
        <v>0</v>
      </c>
    </row>
    <row r="338" customFormat="false" ht="15" hidden="false" customHeight="true" outlineLevel="0" collapsed="false">
      <c r="A338" s="55" t="s">
        <v>174</v>
      </c>
      <c r="B338" s="56"/>
      <c r="C338" s="56"/>
      <c r="D338" s="56"/>
      <c r="E338" s="56" t="n">
        <v>0</v>
      </c>
      <c r="F338" s="56" t="n">
        <v>0</v>
      </c>
      <c r="G338" s="56" t="n">
        <v>0</v>
      </c>
      <c r="H338" s="56" t="n">
        <v>0</v>
      </c>
      <c r="I338" s="56" t="n">
        <v>0</v>
      </c>
      <c r="J338" s="56" t="n">
        <v>0</v>
      </c>
      <c r="K338" s="56" t="n">
        <v>0</v>
      </c>
      <c r="L338" s="56" t="n">
        <v>0</v>
      </c>
      <c r="M338" s="56" t="n">
        <v>0</v>
      </c>
      <c r="N338" s="56" t="n">
        <v>0</v>
      </c>
      <c r="O338" s="56" t="n">
        <v>0</v>
      </c>
      <c r="P338" s="56" t="n">
        <v>0</v>
      </c>
      <c r="Q338" s="56" t="n">
        <v>0</v>
      </c>
      <c r="R338" s="56" t="n">
        <v>0</v>
      </c>
      <c r="S338" s="56" t="n">
        <v>0</v>
      </c>
      <c r="T338" s="56" t="n">
        <v>0</v>
      </c>
      <c r="U338" s="56" t="n">
        <v>0</v>
      </c>
      <c r="V338" s="56" t="n">
        <v>0</v>
      </c>
      <c r="W338" s="56" t="n">
        <v>0</v>
      </c>
      <c r="X338" s="56" t="n">
        <v>0</v>
      </c>
      <c r="Y338" s="56" t="n">
        <v>0</v>
      </c>
      <c r="Z338" s="56" t="n">
        <v>0</v>
      </c>
      <c r="AA338" s="56" t="n">
        <v>0</v>
      </c>
      <c r="AB338" s="56" t="n">
        <v>0</v>
      </c>
      <c r="AC338" s="56" t="n">
        <v>0</v>
      </c>
      <c r="AD338" s="56" t="n">
        <v>0</v>
      </c>
      <c r="AE338" s="56" t="n">
        <f aca="false">IF(Projects!$G$14="Yes",Assumptions!$B$77,0)</f>
        <v>-1800000</v>
      </c>
      <c r="AF338" s="56" t="n">
        <v>0</v>
      </c>
      <c r="AG338" s="56" t="n">
        <v>0</v>
      </c>
      <c r="AH338" s="56" t="n">
        <v>0</v>
      </c>
      <c r="AI338" s="56" t="n">
        <v>0</v>
      </c>
      <c r="AJ338" s="56" t="n">
        <v>0</v>
      </c>
      <c r="AK338" s="56" t="n">
        <v>0</v>
      </c>
      <c r="AL338" s="56" t="n">
        <v>0</v>
      </c>
      <c r="AM338" s="56" t="n">
        <v>0</v>
      </c>
      <c r="AN338" s="56" t="n">
        <v>0</v>
      </c>
      <c r="AO338" s="56" t="n">
        <v>0</v>
      </c>
      <c r="AP338" s="56" t="n">
        <v>0</v>
      </c>
      <c r="AQ338" s="56" t="n">
        <v>0</v>
      </c>
      <c r="AR338" s="56" t="n">
        <v>0</v>
      </c>
      <c r="AS338" s="56" t="n">
        <v>0</v>
      </c>
      <c r="AT338" s="56" t="n">
        <v>0</v>
      </c>
      <c r="AU338" s="56" t="n">
        <v>0</v>
      </c>
      <c r="AV338" s="56" t="n">
        <v>0</v>
      </c>
      <c r="AW338" s="56" t="n">
        <v>0</v>
      </c>
      <c r="AX338" s="56" t="n">
        <v>0</v>
      </c>
      <c r="AY338" s="56" t="n">
        <v>0</v>
      </c>
      <c r="AZ338" s="56" t="n">
        <v>0</v>
      </c>
      <c r="BA338" s="56" t="n">
        <v>0</v>
      </c>
      <c r="BB338" s="56" t="n">
        <v>0</v>
      </c>
      <c r="BC338" s="56" t="n">
        <v>0</v>
      </c>
      <c r="BD338" s="56" t="n">
        <v>0</v>
      </c>
      <c r="BE338" s="56" t="n">
        <v>0</v>
      </c>
      <c r="BF338" s="56" t="n">
        <v>0</v>
      </c>
      <c r="BG338" s="56" t="n">
        <v>0</v>
      </c>
      <c r="BH338" s="56" t="n">
        <v>0</v>
      </c>
      <c r="BI338" s="56" t="n">
        <v>0</v>
      </c>
      <c r="BJ338" s="56" t="n">
        <v>0</v>
      </c>
      <c r="BK338" s="56" t="n">
        <v>0</v>
      </c>
      <c r="BL338" s="56" t="n">
        <v>0</v>
      </c>
      <c r="BM338" s="56" t="n">
        <v>0</v>
      </c>
      <c r="BN338" s="56" t="n">
        <v>0</v>
      </c>
      <c r="BO338" s="56" t="n">
        <v>0</v>
      </c>
      <c r="BP338" s="56" t="n">
        <v>0</v>
      </c>
      <c r="BQ338" s="56" t="n">
        <v>0</v>
      </c>
      <c r="BR338" s="56" t="n">
        <v>0</v>
      </c>
      <c r="BS338" s="56" t="n">
        <v>0</v>
      </c>
      <c r="BT338" s="56" t="n">
        <v>0</v>
      </c>
      <c r="BU338" s="56" t="n">
        <v>0</v>
      </c>
      <c r="BV338" s="56" t="n">
        <v>0</v>
      </c>
      <c r="BW338" s="56" t="n">
        <v>0</v>
      </c>
      <c r="BX338" s="56" t="n">
        <v>0</v>
      </c>
      <c r="BY338" s="56" t="n">
        <v>0</v>
      </c>
      <c r="BZ338" s="56" t="n">
        <v>0</v>
      </c>
      <c r="CA338" s="56" t="n">
        <v>0</v>
      </c>
      <c r="CB338" s="56" t="n">
        <v>0</v>
      </c>
      <c r="CC338" s="56" t="n">
        <v>0</v>
      </c>
      <c r="CD338" s="56" t="n">
        <v>0</v>
      </c>
      <c r="CE338" s="56" t="n">
        <v>0</v>
      </c>
      <c r="CF338" s="56" t="n">
        <v>0</v>
      </c>
      <c r="CG338" s="56" t="n">
        <v>0</v>
      </c>
      <c r="CH338" s="56" t="n">
        <v>0</v>
      </c>
      <c r="CI338" s="56" t="n">
        <v>0</v>
      </c>
      <c r="CJ338" s="56" t="n">
        <v>0</v>
      </c>
      <c r="CK338" s="56" t="n">
        <v>0</v>
      </c>
      <c r="CL338" s="56" t="n">
        <v>0</v>
      </c>
      <c r="CM338" s="56" t="n">
        <v>0</v>
      </c>
      <c r="CN338" s="56" t="n">
        <v>0</v>
      </c>
      <c r="CO338" s="56" t="n">
        <v>0</v>
      </c>
      <c r="CP338" s="56" t="n">
        <v>0</v>
      </c>
      <c r="CQ338" s="56" t="n">
        <v>0</v>
      </c>
      <c r="CR338" s="56" t="n">
        <v>0</v>
      </c>
      <c r="CS338" s="56" t="n">
        <v>0</v>
      </c>
      <c r="CT338" s="56"/>
      <c r="CU338" s="56"/>
      <c r="CV338" s="56"/>
      <c r="CW338" s="56"/>
      <c r="CX338" s="56"/>
      <c r="CY338" s="56"/>
      <c r="CZ338" s="56"/>
      <c r="DA338" s="56"/>
      <c r="DB338" s="56"/>
      <c r="DC338" s="56"/>
      <c r="DD338" s="56"/>
      <c r="DE338" s="56"/>
    </row>
    <row r="339" customFormat="false" ht="15" hidden="false" customHeight="true" outlineLevel="0" collapsed="false">
      <c r="A339" s="57" t="s">
        <v>175</v>
      </c>
      <c r="B339" s="58"/>
      <c r="C339" s="58"/>
      <c r="D339" s="58"/>
      <c r="E339" s="58" t="n">
        <f aca="false">-MIN(E336+E337+E338,MAX(0,E256-Helpers!C26))</f>
        <v>-0</v>
      </c>
      <c r="F339" s="58" t="n">
        <f aca="false">-MIN(F336+F337+F338,MAX(0,F256-Helpers!D26))</f>
        <v>-0</v>
      </c>
      <c r="G339" s="58" t="n">
        <f aca="false">-MIN(G336+G337+G338,MAX(0,G256-Helpers!E26))</f>
        <v>-0</v>
      </c>
      <c r="H339" s="58" t="n">
        <f aca="false">-MIN(H336+H337+H338,MAX(0,H256-Helpers!F26))</f>
        <v>-0</v>
      </c>
      <c r="I339" s="58" t="n">
        <f aca="false">-MIN(I336+I337+I338,MAX(0,I256-Helpers!G26))</f>
        <v>-0</v>
      </c>
      <c r="J339" s="58" t="n">
        <f aca="false">-MIN(J336+J337+J338,MAX(0,J256-Helpers!H26))</f>
        <v>-0</v>
      </c>
      <c r="K339" s="58" t="n">
        <f aca="false">-MIN(K336+K337+K338,MAX(0,K256-Helpers!I26))</f>
        <v>-0</v>
      </c>
      <c r="L339" s="58" t="n">
        <f aca="false">-MIN(L336+L337+L338,MAX(0,L256-Helpers!J26))</f>
        <v>-0</v>
      </c>
      <c r="M339" s="58" t="n">
        <f aca="false">-MIN(M336+M337+M338,MAX(0,M256-Helpers!K26))</f>
        <v>-0</v>
      </c>
      <c r="N339" s="58" t="n">
        <f aca="false">-MIN(N336+N337+N338,MAX(0,N256-Helpers!L26))</f>
        <v>-0</v>
      </c>
      <c r="O339" s="58" t="n">
        <f aca="false">-MIN(O336+O337+O338,MAX(0,O256-Helpers!M26))</f>
        <v>-0</v>
      </c>
      <c r="P339" s="58" t="n">
        <f aca="false">-MIN(P336+P337+P338,MAX(0,P256-Helpers!N26))</f>
        <v>-0</v>
      </c>
      <c r="Q339" s="58" t="n">
        <f aca="false">-MIN(Q336+Q337+Q338,MAX(0,Q256-Helpers!O26))</f>
        <v>-0</v>
      </c>
      <c r="R339" s="58" t="n">
        <f aca="false">-MIN(R336+R337+R338,MAX(0,R256-Helpers!P26))</f>
        <v>-0</v>
      </c>
      <c r="S339" s="58" t="n">
        <f aca="false">-MIN(S336+S337+S338,MAX(0,S256-Helpers!Q26))</f>
        <v>-0</v>
      </c>
      <c r="T339" s="58" t="n">
        <f aca="false">-MIN(T336+T337+T338,MAX(0,T256-Helpers!R26))</f>
        <v>-0</v>
      </c>
      <c r="U339" s="58" t="n">
        <f aca="false">-MIN(U336+U337+U338,MAX(0,U256-Helpers!S26))</f>
        <v>-0</v>
      </c>
      <c r="V339" s="58" t="n">
        <f aca="false">-MIN(V336+V337+V338,MAX(0,V256-Helpers!T26))</f>
        <v>-0</v>
      </c>
      <c r="W339" s="58" t="n">
        <f aca="false">-MIN(W336+W337+W338,MAX(0,W256-Helpers!U26))</f>
        <v>-0</v>
      </c>
      <c r="X339" s="58" t="n">
        <f aca="false">-MIN(X336+X337+X338,MAX(0,X256-Helpers!V26))</f>
        <v>-0</v>
      </c>
      <c r="Y339" s="58" t="n">
        <f aca="false">-MIN(Y336+Y337+Y338,MAX(0,Y256-Helpers!W26))</f>
        <v>-0</v>
      </c>
      <c r="Z339" s="58" t="n">
        <f aca="false">-MIN(Z336+Z337+Z338,MAX(0,Z256-Helpers!X26))</f>
        <v>-0</v>
      </c>
      <c r="AA339" s="58" t="n">
        <f aca="false">-MIN(AA336+AA337+AA338,MAX(0,AA256-Helpers!Y26))</f>
        <v>-0</v>
      </c>
      <c r="AB339" s="58" t="n">
        <f aca="false">-MIN(AB336+AB337+AB338,MAX(0,AB256-Helpers!Z26))</f>
        <v>-0</v>
      </c>
      <c r="AC339" s="58" t="n">
        <f aca="false">-MIN(AC336+AC337+AC338,MAX(0,AC256-Helpers!AA26))</f>
        <v>-0</v>
      </c>
      <c r="AD339" s="58" t="n">
        <f aca="false">-MIN(AD336+AD337+AD338,MAX(0,AD256-Helpers!AB26))</f>
        <v>-0</v>
      </c>
      <c r="AE339" s="58" t="n">
        <f aca="false">-MIN(AE336+AE337+AE338,MAX(0,AE256-Helpers!AC26))</f>
        <v>-0</v>
      </c>
      <c r="AF339" s="58" t="n">
        <f aca="false">-MIN(AF336+AF337+AF338,MAX(0,AF256-Helpers!AD26))</f>
        <v>-0</v>
      </c>
      <c r="AG339" s="58" t="n">
        <f aca="false">-MIN(AG336+AG337+AG338,MAX(0,AG256-Helpers!AE26))</f>
        <v>-0</v>
      </c>
      <c r="AH339" s="58" t="n">
        <f aca="false">-MIN(AH336+AH337+AH338,MAX(0,AH256-Helpers!AF26))</f>
        <v>-0</v>
      </c>
      <c r="AI339" s="58" t="n">
        <f aca="false">-MIN(AI336+AI337+AI338,MAX(0,AI256-Helpers!AG26))</f>
        <v>-0</v>
      </c>
      <c r="AJ339" s="58" t="n">
        <f aca="false">-MIN(AJ336+AJ337+AJ338,MAX(0,AJ256-Helpers!AH26))</f>
        <v>-0</v>
      </c>
      <c r="AK339" s="58" t="n">
        <f aca="false">-MIN(AK336+AK337+AK338,MAX(0,AK256-Helpers!AI26))</f>
        <v>-0</v>
      </c>
      <c r="AL339" s="58" t="n">
        <f aca="false">-MIN(AL336+AL337+AL338,MAX(0,AL256-Helpers!AJ26))</f>
        <v>-0</v>
      </c>
      <c r="AM339" s="58" t="n">
        <f aca="false">-MIN(AM336+AM337+AM338,MAX(0,AM256-Helpers!AK26))</f>
        <v>-0</v>
      </c>
      <c r="AN339" s="58" t="n">
        <f aca="false">-MIN(AN336+AN337+AN338,MAX(0,AN256-Helpers!AL26))</f>
        <v>-0</v>
      </c>
      <c r="AO339" s="58" t="n">
        <f aca="false">-MIN(AO336+AO337+AO338,MAX(0,AO256-Helpers!AM26))</f>
        <v>-0</v>
      </c>
      <c r="AP339" s="58" t="n">
        <f aca="false">-MIN(AP336+AP337+AP338,MAX(0,AP256-Helpers!AN26))</f>
        <v>-0</v>
      </c>
      <c r="AQ339" s="58" t="n">
        <f aca="false">-MIN(AQ336+AQ337+AQ338,MAX(0,AQ256-Helpers!AO26))</f>
        <v>-0</v>
      </c>
      <c r="AR339" s="58" t="n">
        <f aca="false">-MIN(AR336+AR337+AR338,MAX(0,AR256-Helpers!AP26))</f>
        <v>-0</v>
      </c>
      <c r="AS339" s="58" t="n">
        <f aca="false">-MIN(AS336+AS337+AS338,MAX(0,AS256-Helpers!AQ26))</f>
        <v>-0</v>
      </c>
      <c r="AT339" s="58" t="n">
        <f aca="false">-MIN(AT336+AT337+AT338,MAX(0,AT256-Helpers!AR26))</f>
        <v>-0</v>
      </c>
      <c r="AU339" s="58" t="n">
        <f aca="false">-MIN(AU336+AU337+AU338,MAX(0,AU256-Helpers!AS26))</f>
        <v>-0</v>
      </c>
      <c r="AV339" s="58" t="n">
        <f aca="false">-MIN(AV336+AV337+AV338,MAX(0,AV256-Helpers!AT26))</f>
        <v>-0</v>
      </c>
      <c r="AW339" s="58" t="n">
        <f aca="false">-MIN(AW336+AW337+AW338,MAX(0,AW256-Helpers!AU26))</f>
        <v>-0</v>
      </c>
      <c r="AX339" s="58" t="n">
        <f aca="false">-MIN(AX336+AX337+AX338,MAX(0,AX256-Helpers!AV26))</f>
        <v>-0</v>
      </c>
      <c r="AY339" s="58" t="n">
        <f aca="false">-MIN(AY336+AY337+AY338,MAX(0,AY256-Helpers!AW26))</f>
        <v>-0</v>
      </c>
      <c r="AZ339" s="58" t="n">
        <f aca="false">-MIN(AZ336+AZ337+AZ338,MAX(0,AZ256-Helpers!AX26))</f>
        <v>-0</v>
      </c>
      <c r="BA339" s="58" t="n">
        <f aca="false">-MIN(BA336+BA337+BA338,MAX(0,BA256-Helpers!AY26))</f>
        <v>-0</v>
      </c>
      <c r="BB339" s="58" t="n">
        <f aca="false">-MIN(BB336+BB337+BB338,MAX(0,BB256-Helpers!AZ26))</f>
        <v>-0</v>
      </c>
      <c r="BC339" s="58" t="n">
        <f aca="false">-MIN(BC336+BC337+BC338,MAX(0,BC256-Helpers!BA26))</f>
        <v>-0</v>
      </c>
      <c r="BD339" s="58" t="n">
        <f aca="false">-MIN(BD336+BD337+BD338,MAX(0,BD256-Helpers!BB26))</f>
        <v>-0</v>
      </c>
      <c r="BE339" s="58" t="n">
        <f aca="false">-MIN(BE336+BE337+BE338,MAX(0,BE256-Helpers!BC26))</f>
        <v>-0</v>
      </c>
      <c r="BF339" s="58" t="n">
        <f aca="false">-MIN(BF336+BF337+BF338,MAX(0,BF256-Helpers!BD26))</f>
        <v>-0</v>
      </c>
      <c r="BG339" s="58" t="n">
        <f aca="false">-MIN(BG336+BG337+BG338,MAX(0,BG256-Helpers!BE26))</f>
        <v>-0</v>
      </c>
      <c r="BH339" s="58" t="n">
        <f aca="false">-MIN(BH336+BH337+BH338,MAX(0,BH256-Helpers!BF26))</f>
        <v>-0</v>
      </c>
      <c r="BI339" s="58" t="n">
        <f aca="false">-MIN(BI336+BI337+BI338,MAX(0,BI256-Helpers!BG26))</f>
        <v>-0</v>
      </c>
      <c r="BJ339" s="58" t="n">
        <f aca="false">-MIN(BJ336+BJ337+BJ338,MAX(0,BJ256-Helpers!BH26))</f>
        <v>-0</v>
      </c>
      <c r="BK339" s="58" t="n">
        <f aca="false">-MIN(BK336+BK337+BK338,MAX(0,BK256-Helpers!BI26))</f>
        <v>-0</v>
      </c>
      <c r="BL339" s="58" t="n">
        <f aca="false">-MIN(BL336+BL337+BL338,MAX(0,BL256-Helpers!BJ26))</f>
        <v>-0</v>
      </c>
      <c r="BM339" s="58" t="n">
        <f aca="false">-MIN(BM336+BM337+BM338,MAX(0,BM256-Helpers!BK26))</f>
        <v>-0</v>
      </c>
      <c r="BN339" s="58" t="n">
        <f aca="false">-MIN(BN336+BN337+BN338,MAX(0,BN256-Helpers!BL26))</f>
        <v>-0</v>
      </c>
      <c r="BO339" s="58" t="n">
        <f aca="false">-MIN(BO336+BO337+BO338,MAX(0,BO256-Helpers!BM26))</f>
        <v>-0</v>
      </c>
      <c r="BP339" s="58" t="n">
        <f aca="false">-MIN(BP336+BP337+BP338,MAX(0,BP256-Helpers!BN26))</f>
        <v>-0</v>
      </c>
      <c r="BQ339" s="58" t="n">
        <f aca="false">-MIN(BQ336+BQ337+BQ338,MAX(0,BQ256-Helpers!BO26))</f>
        <v>-0</v>
      </c>
      <c r="BR339" s="58" t="n">
        <f aca="false">-MIN(BR336+BR337+BR338,MAX(0,BR256-Helpers!BP26))</f>
        <v>-0</v>
      </c>
      <c r="BS339" s="58" t="n">
        <f aca="false">-MIN(BS336+BS337+BS338,MAX(0,BS256-Helpers!BQ26))</f>
        <v>-0</v>
      </c>
      <c r="BT339" s="58" t="n">
        <f aca="false">-MIN(BT336+BT337+BT338,MAX(0,BT256-Helpers!BR26))</f>
        <v>-0</v>
      </c>
      <c r="BU339" s="58" t="n">
        <f aca="false">-MIN(BU336+BU337+BU338,MAX(0,BU256-Helpers!BS26))</f>
        <v>-0</v>
      </c>
      <c r="BV339" s="58" t="n">
        <f aca="false">-MIN(BV336+BV337+BV338,MAX(0,BV256-Helpers!BT26))</f>
        <v>-0</v>
      </c>
      <c r="BW339" s="58" t="n">
        <f aca="false">-MIN(BW336+BW337+BW338,MAX(0,BW256-Helpers!BU26))</f>
        <v>-0</v>
      </c>
      <c r="BX339" s="58" t="n">
        <f aca="false">-MIN(BX336+BX337+BX338,MAX(0,BX256-Helpers!BV26))</f>
        <v>-0</v>
      </c>
      <c r="BY339" s="58" t="n">
        <f aca="false">-MIN(BY336+BY337+BY338,MAX(0,BY256-Helpers!BW26))</f>
        <v>-0</v>
      </c>
      <c r="BZ339" s="58" t="n">
        <f aca="false">-MIN(BZ336+BZ337+BZ338,MAX(0,BZ256-Helpers!BX26))</f>
        <v>-0</v>
      </c>
      <c r="CA339" s="58" t="n">
        <f aca="false">-MIN(CA336+CA337+CA338,MAX(0,CA256-Helpers!BY26))</f>
        <v>-0</v>
      </c>
      <c r="CB339" s="58" t="n">
        <f aca="false">-MIN(CB336+CB337+CB338,MAX(0,CB256-Helpers!BZ26))</f>
        <v>-0</v>
      </c>
      <c r="CC339" s="58" t="n">
        <f aca="false">-MIN(CC336+CC337+CC338,MAX(0,CC256-Helpers!CA26))</f>
        <v>-0</v>
      </c>
      <c r="CD339" s="58" t="n">
        <f aca="false">-MIN(CD336+CD337+CD338,MAX(0,CD256-Helpers!CB26))</f>
        <v>-0</v>
      </c>
      <c r="CE339" s="58" t="n">
        <f aca="false">-MIN(CE336+CE337+CE338,MAX(0,CE256-Helpers!CC26))</f>
        <v>-0</v>
      </c>
      <c r="CF339" s="58" t="n">
        <f aca="false">-MIN(CF336+CF337+CF338,MAX(0,CF256-Helpers!CD26))</f>
        <v>-0</v>
      </c>
      <c r="CG339" s="58" t="n">
        <f aca="false">-MIN(CG336+CG337+CG338,MAX(0,CG256-Helpers!CE26))</f>
        <v>-0</v>
      </c>
      <c r="CH339" s="58" t="n">
        <f aca="false">-MIN(CH336+CH337+CH338,MAX(0,CH256-Helpers!CF26))</f>
        <v>-0</v>
      </c>
      <c r="CI339" s="58" t="n">
        <f aca="false">-MIN(CI336+CI337+CI338,MAX(0,CI256-Helpers!CG26))</f>
        <v>-0</v>
      </c>
      <c r="CJ339" s="58" t="n">
        <f aca="false">-MIN(CJ336+CJ337+CJ338,MAX(0,CJ256-Helpers!CH26))</f>
        <v>-0</v>
      </c>
      <c r="CK339" s="58" t="n">
        <f aca="false">-MIN(CK336+CK337+CK338,MAX(0,CK256-Helpers!CI26))</f>
        <v>-0</v>
      </c>
      <c r="CL339" s="58" t="n">
        <f aca="false">-MIN(CL336+CL337+CL338,MAX(0,CL256-Helpers!CJ26))</f>
        <v>-0</v>
      </c>
      <c r="CM339" s="58" t="n">
        <f aca="false">-MIN(CM336+CM337+CM338,MAX(0,CM256-Helpers!CK26))</f>
        <v>-0</v>
      </c>
      <c r="CN339" s="58" t="n">
        <f aca="false">-MIN(CN336+CN337+CN338,MAX(0,CN256-Helpers!CL26))</f>
        <v>-21694.6799999999</v>
      </c>
      <c r="CO339" s="58" t="n">
        <f aca="false">-MIN(CO336+CO337+CO338,MAX(0,CO256-Helpers!CM26))</f>
        <v>-73155</v>
      </c>
      <c r="CP339" s="58" t="n">
        <f aca="false">-MIN(CP336+CP337+CP338,MAX(0,CP256-Helpers!CN26))</f>
        <v>-73155</v>
      </c>
      <c r="CQ339" s="58" t="n">
        <f aca="false">-MIN(CQ336+CQ337+CQ338,MAX(0,CQ256-Helpers!CO26))</f>
        <v>-73155</v>
      </c>
      <c r="CR339" s="58" t="n">
        <f aca="false">-MIN(CR336+CR337+CR338,MAX(0,CR256-Helpers!CP26))</f>
        <v>-73155</v>
      </c>
      <c r="CS339" s="58" t="n">
        <f aca="false">-MIN(CS336+CS337+CS338,MAX(0,CS256-Helpers!CQ26))</f>
        <v>-73155</v>
      </c>
      <c r="CT339" s="58" t="n">
        <f aca="false">-MIN(CT336+CT337+CT338,MAX(0,CT256-Helpers!CR26))</f>
        <v>-73155</v>
      </c>
      <c r="CU339" s="58" t="n">
        <f aca="false">-MIN(CU336+CU337+CU338,MAX(0,CU256-Helpers!CS26))</f>
        <v>-73155</v>
      </c>
      <c r="CV339" s="58" t="n">
        <f aca="false">-MIN(CV336+CV337+CV338,MAX(0,CV256-Helpers!CT26))</f>
        <v>-73155</v>
      </c>
      <c r="CW339" s="58" t="n">
        <f aca="false">-MIN(CW336+CW337+CW338,MAX(0,CW256-Helpers!CU26))</f>
        <v>-17446.8489364072</v>
      </c>
      <c r="CX339" s="58" t="n">
        <f aca="false">-MIN(CX336+CX337+CX338,MAX(0,CX256-Helpers!CV26))</f>
        <v>-0</v>
      </c>
      <c r="CY339" s="58" t="n">
        <f aca="false">-MIN(CY336+CY337+CY338,MAX(0,CY256-Helpers!CW26))</f>
        <v>-0</v>
      </c>
      <c r="CZ339" s="58" t="n">
        <f aca="false">-MIN(CZ336+CZ337+CZ338,MAX(0,CZ256-Helpers!CX26))</f>
        <v>-0</v>
      </c>
      <c r="DA339" s="58" t="n">
        <f aca="false">-MIN(DA336+DA337+DA338,MAX(0,DA256-Helpers!CY26))</f>
        <v>-0</v>
      </c>
      <c r="DB339" s="58" t="n">
        <f aca="false">-MIN(DB336+DB337+DB338,MAX(0,DB256-Helpers!CZ26))</f>
        <v>-0</v>
      </c>
      <c r="DC339" s="58" t="n">
        <f aca="false">-MIN(DC336+DC337+DC338,MAX(0,DC256-Helpers!DA26))</f>
        <v>-0</v>
      </c>
      <c r="DD339" s="58" t="n">
        <f aca="false">-MIN(DD336+DD337+DD338,MAX(0,DD256-Helpers!DB26))</f>
        <v>-0</v>
      </c>
      <c r="DE339" s="58" t="n">
        <f aca="false">-MIN(DE336+DE337+DE338,MAX(0,DE256-Helpers!DC26))</f>
        <v>-0</v>
      </c>
    </row>
    <row r="340" customFormat="false" ht="15" hidden="false" customHeight="true" outlineLevel="0" collapsed="false">
      <c r="A340" s="53" t="s">
        <v>176</v>
      </c>
      <c r="B340" s="54"/>
      <c r="C340" s="54"/>
      <c r="D340" s="54"/>
      <c r="E340" s="54" t="n">
        <f aca="false">MAX(0,E336+E337+E338+E339)</f>
        <v>264927.15</v>
      </c>
      <c r="F340" s="54" t="n">
        <f aca="false">MAX(0,F336+F337+F338+F339)</f>
        <v>264927.15</v>
      </c>
      <c r="G340" s="54" t="n">
        <f aca="false">MAX(0,G336+G337+G338+G339)</f>
        <v>458103.196875</v>
      </c>
      <c r="H340" s="54" t="n">
        <f aca="false">MAX(0,H336+H337+H338+H339)</f>
        <v>458103.196875</v>
      </c>
      <c r="I340" s="54" t="n">
        <f aca="false">MAX(0,I336+I337+I338+I339)</f>
        <v>458103.196875</v>
      </c>
      <c r="J340" s="54" t="n">
        <f aca="false">MAX(0,J336+J337+J338+J339)</f>
        <v>658523.345507813</v>
      </c>
      <c r="K340" s="54" t="n">
        <f aca="false">MAX(0,K336+K337+K338+K339)</f>
        <v>658523.345507813</v>
      </c>
      <c r="L340" s="54" t="n">
        <f aca="false">MAX(0,L336+L337+L338+L339)</f>
        <v>658523.345507813</v>
      </c>
      <c r="M340" s="54" t="n">
        <f aca="false">MAX(0,M336+M337+M338+M339)</f>
        <v>683217.970964355</v>
      </c>
      <c r="N340" s="54" t="n">
        <f aca="false">MAX(0,N336+N337+N338+N339)</f>
        <v>771527.020964355</v>
      </c>
      <c r="O340" s="54" t="n">
        <f aca="false">MAX(0,O336+O337+O338+O339)</f>
        <v>771527.020964355</v>
      </c>
      <c r="P340" s="54" t="n">
        <f aca="false">MAX(0,P336+P337+P338+P339)</f>
        <v>800459.284250519</v>
      </c>
      <c r="Q340" s="54" t="n">
        <f aca="false">MAX(0,Q336+Q337+Q338+Q339)</f>
        <v>800459.284250519</v>
      </c>
      <c r="R340" s="54" t="n">
        <f aca="false">MAX(0,R336+R337+R338+R339)</f>
        <v>800459.284250519</v>
      </c>
      <c r="S340" s="54" t="n">
        <f aca="false">MAX(0,S336+S337+S338+S339)</f>
        <v>922097.146784913</v>
      </c>
      <c r="T340" s="54" t="n">
        <f aca="false">MAX(0,T336+T337+T338+T339)</f>
        <v>922097.146784913</v>
      </c>
      <c r="U340" s="54" t="n">
        <f aca="false">MAX(0,U336+U337+U338+U339)</f>
        <v>922097.146784913</v>
      </c>
      <c r="V340" s="54" t="n">
        <f aca="false">MAX(0,V336+V337+V338+V339)</f>
        <v>956675.789789348</v>
      </c>
      <c r="W340" s="54" t="n">
        <f aca="false">MAX(0,W336+W337+W338+W339)</f>
        <v>956675.789789348</v>
      </c>
      <c r="X340" s="54" t="n">
        <f aca="false">MAX(0,X336+X337+X338+X339)</f>
        <v>956675.789789348</v>
      </c>
      <c r="Y340" s="54" t="n">
        <f aca="false">MAX(0,Y336+Y337+Y338+Y339)</f>
        <v>1084171.77128145</v>
      </c>
      <c r="Z340" s="54" t="n">
        <f aca="false">MAX(0,Z336+Z337+Z338+Z339)</f>
        <v>1084171.77128145</v>
      </c>
      <c r="AA340" s="54" t="n">
        <f aca="false">MAX(0,AA336+AA337+AA338+AA339)</f>
        <v>1084171.77128145</v>
      </c>
      <c r="AB340" s="54" t="n">
        <f aca="false">MAX(0,AB336+AB337+AB338+AB339)</f>
        <v>1124828.2127045</v>
      </c>
      <c r="AC340" s="54" t="n">
        <f aca="false">MAX(0,AC336+AC337+AC338+AC339)</f>
        <v>1124828.2127045</v>
      </c>
      <c r="AD340" s="54" t="n">
        <f aca="false">MAX(0,AD336+AD337+AD338+AD339)</f>
        <v>1124828.2127045</v>
      </c>
      <c r="AE340" s="54" t="n">
        <f aca="false">MAX(0,AE336+AE337+AE338+AE339)</f>
        <v>283215.664430921</v>
      </c>
      <c r="AF340" s="54" t="n">
        <f aca="false">MAX(0,AF336+AF337+AF338+AF339)</f>
        <v>283215.664430921</v>
      </c>
      <c r="AG340" s="54" t="n">
        <f aca="false">MAX(0,AG336+AG337+AG338+AG339)</f>
        <v>283215.664430921</v>
      </c>
      <c r="AH340" s="54" t="n">
        <f aca="false">MAX(0,AH336+AH337+AH338+AH339)</f>
        <v>293836.251847081</v>
      </c>
      <c r="AI340" s="54" t="n">
        <f aca="false">MAX(0,AI336+AI337+AI338+AI339)</f>
        <v>293836.251847081</v>
      </c>
      <c r="AJ340" s="54" t="n">
        <f aca="false">MAX(0,AJ336+AJ337+AJ338+AJ339)</f>
        <v>293836.251847081</v>
      </c>
      <c r="AK340" s="54" t="n">
        <f aca="false">MAX(0,AK336+AK337+AK338+AK339)</f>
        <v>304855.111291347</v>
      </c>
      <c r="AL340" s="54" t="n">
        <f aca="false">MAX(0,AL336+AL337+AL338+AL339)</f>
        <v>304855.111291347</v>
      </c>
      <c r="AM340" s="54" t="n">
        <f aca="false">MAX(0,AM336+AM337+AM338+AM339)</f>
        <v>304855.111291347</v>
      </c>
      <c r="AN340" s="54" t="n">
        <f aca="false">MAX(0,AN336+AN337+AN338+AN339)</f>
        <v>316287.177964772</v>
      </c>
      <c r="AO340" s="54" t="n">
        <f aca="false">MAX(0,AO336+AO337+AO338+AO339)</f>
        <v>316287.177964772</v>
      </c>
      <c r="AP340" s="54" t="n">
        <f aca="false">MAX(0,AP336+AP337+AP338+AP339)</f>
        <v>316287.177964772</v>
      </c>
      <c r="AQ340" s="54" t="n">
        <f aca="false">MAX(0,AQ336+AQ337+AQ338+AQ339)</f>
        <v>328147.947138451</v>
      </c>
      <c r="AR340" s="54" t="n">
        <f aca="false">MAX(0,AR336+AR337+AR338+AR339)</f>
        <v>328147.947138451</v>
      </c>
      <c r="AS340" s="54" t="n">
        <f aca="false">MAX(0,AS336+AS337+AS338+AS339)</f>
        <v>328147.947138451</v>
      </c>
      <c r="AT340" s="54" t="n">
        <f aca="false">MAX(0,AT336+AT337+AT338+AT339)</f>
        <v>340453.495156143</v>
      </c>
      <c r="AU340" s="54" t="n">
        <f aca="false">MAX(0,AU336+AU337+AU338+AU339)</f>
        <v>340453.495156143</v>
      </c>
      <c r="AV340" s="54" t="n">
        <f aca="false">MAX(0,AV336+AV337+AV338+AV339)</f>
        <v>340453.495156143</v>
      </c>
      <c r="AW340" s="54" t="n">
        <f aca="false">MAX(0,AW336+AW337+AW338+AW339)</f>
        <v>353220.501224498</v>
      </c>
      <c r="AX340" s="54" t="n">
        <f aca="false">MAX(0,AX336+AX337+AX338+AX339)</f>
        <v>353220.501224498</v>
      </c>
      <c r="AY340" s="54" t="n">
        <f aca="false">MAX(0,AY336+AY337+AY338+AY339)</f>
        <v>353220.501224498</v>
      </c>
      <c r="AZ340" s="54" t="n">
        <f aca="false">MAX(0,AZ336+AZ337+AZ338+AZ339)</f>
        <v>366466.270020417</v>
      </c>
      <c r="BA340" s="54" t="n">
        <f aca="false">MAX(0,BA336+BA337+BA338+BA339)</f>
        <v>366466.270020417</v>
      </c>
      <c r="BB340" s="54" t="n">
        <f aca="false">MAX(0,BB336+BB337+BB338+BB339)</f>
        <v>366466.270020417</v>
      </c>
      <c r="BC340" s="54" t="n">
        <f aca="false">MAX(0,BC336+BC337+BC338+BC339)</f>
        <v>380208.755146183</v>
      </c>
      <c r="BD340" s="54" t="n">
        <f aca="false">MAX(0,BD336+BD337+BD338+BD339)</f>
        <v>380208.755146183</v>
      </c>
      <c r="BE340" s="54" t="n">
        <f aca="false">MAX(0,BE336+BE337+BE338+BE339)</f>
        <v>380208.755146183</v>
      </c>
      <c r="BF340" s="54" t="n">
        <f aca="false">MAX(0,BF336+BF337+BF338+BF339)</f>
        <v>394466.583464164</v>
      </c>
      <c r="BG340" s="54" t="n">
        <f aca="false">MAX(0,BG336+BG337+BG338+BG339)</f>
        <v>394466.583464164</v>
      </c>
      <c r="BH340" s="54" t="n">
        <f aca="false">MAX(0,BH336+BH337+BH338+BH339)</f>
        <v>394466.583464164</v>
      </c>
      <c r="BI340" s="54" t="n">
        <f aca="false">MAX(0,BI336+BI337+BI338+BI339)</f>
        <v>409259.080344071</v>
      </c>
      <c r="BJ340" s="54" t="n">
        <f aca="false">MAX(0,BJ336+BJ337+BJ338+BJ339)</f>
        <v>409259.080344071</v>
      </c>
      <c r="BK340" s="54" t="n">
        <f aca="false">MAX(0,BK336+BK337+BK338+BK339)</f>
        <v>409259.080344071</v>
      </c>
      <c r="BL340" s="54" t="n">
        <f aca="false">MAX(0,BL336+BL337+BL338+BL339)</f>
        <v>424606.295856973</v>
      </c>
      <c r="BM340" s="54" t="n">
        <f aca="false">MAX(0,BM336+BM337+BM338+BM339)</f>
        <v>424606.295856973</v>
      </c>
      <c r="BN340" s="54" t="n">
        <f aca="false">MAX(0,BN336+BN337+BN338+BN339)</f>
        <v>424606.295856973</v>
      </c>
      <c r="BO340" s="54" t="n">
        <f aca="false">MAX(0,BO336+BO337+BO338+BO339)</f>
        <v>440529.03195161</v>
      </c>
      <c r="BP340" s="54" t="n">
        <f aca="false">MAX(0,BP336+BP337+BP338+BP339)</f>
        <v>440529.03195161</v>
      </c>
      <c r="BQ340" s="54" t="n">
        <f aca="false">MAX(0,BQ336+BQ337+BQ338+BQ339)</f>
        <v>440529.03195161</v>
      </c>
      <c r="BR340" s="54" t="n">
        <f aca="false">MAX(0,BR336+BR337+BR338+BR339)</f>
        <v>457048.870649795</v>
      </c>
      <c r="BS340" s="54" t="n">
        <f aca="false">MAX(0,BS336+BS337+BS338+BS339)</f>
        <v>457048.870649795</v>
      </c>
      <c r="BT340" s="54" t="n">
        <f aca="false">MAX(0,BT336+BT337+BT338+BT339)</f>
        <v>457048.870649795</v>
      </c>
      <c r="BU340" s="54" t="n">
        <f aca="false">MAX(0,BU336+BU337+BU338+BU339)</f>
        <v>474188.203299162</v>
      </c>
      <c r="BV340" s="54" t="n">
        <f aca="false">MAX(0,BV336+BV337+BV338+BV339)</f>
        <v>474188.203299162</v>
      </c>
      <c r="BW340" s="54" t="n">
        <f aca="false">MAX(0,BW336+BW337+BW338+BW339)</f>
        <v>474188.203299162</v>
      </c>
      <c r="BX340" s="54" t="n">
        <f aca="false">MAX(0,BX336+BX337+BX338+BX339)</f>
        <v>491970.260922881</v>
      </c>
      <c r="BY340" s="54" t="n">
        <f aca="false">MAX(0,BY336+BY337+BY338+BY339)</f>
        <v>491970.260922881</v>
      </c>
      <c r="BZ340" s="54" t="n">
        <f aca="false">MAX(0,BZ336+BZ337+BZ338+BZ339)</f>
        <v>491970.260922881</v>
      </c>
      <c r="CA340" s="54" t="n">
        <f aca="false">MAX(0,CA336+CA337+CA338+CA339)</f>
        <v>510419.145707489</v>
      </c>
      <c r="CB340" s="54" t="n">
        <f aca="false">MAX(0,CB336+CB337+CB338+CB339)</f>
        <v>510419.145707489</v>
      </c>
      <c r="CC340" s="54" t="n">
        <f aca="false">MAX(0,CC336+CC337+CC338+CC339)</f>
        <v>510419.145707489</v>
      </c>
      <c r="CD340" s="54" t="n">
        <f aca="false">MAX(0,CD336+CD337+CD338+CD339)</f>
        <v>529559.86367152</v>
      </c>
      <c r="CE340" s="54" t="n">
        <f aca="false">MAX(0,CE336+CE337+CE338+CE339)</f>
        <v>529559.86367152</v>
      </c>
      <c r="CF340" s="54" t="n">
        <f aca="false">MAX(0,CF336+CF337+CF338+CF339)</f>
        <v>529559.86367152</v>
      </c>
      <c r="CG340" s="54" t="n">
        <f aca="false">MAX(0,CG336+CG337+CG338+CG339)</f>
        <v>549418.358559202</v>
      </c>
      <c r="CH340" s="54" t="n">
        <f aca="false">MAX(0,CH336+CH337+CH338+CH339)</f>
        <v>549418.358559202</v>
      </c>
      <c r="CI340" s="54" t="n">
        <f aca="false">MAX(0,CI336+CI337+CI338+CI339)</f>
        <v>549418.358559202</v>
      </c>
      <c r="CJ340" s="54" t="n">
        <f aca="false">MAX(0,CJ336+CJ337+CJ338+CJ339)</f>
        <v>570021.547005172</v>
      </c>
      <c r="CK340" s="54" t="n">
        <f aca="false">MAX(0,CK336+CK337+CK338+CK339)</f>
        <v>570021.547005172</v>
      </c>
      <c r="CL340" s="54" t="n">
        <f aca="false">MAX(0,CL336+CL337+CL338+CL339)</f>
        <v>570021.547005172</v>
      </c>
      <c r="CM340" s="54" t="n">
        <f aca="false">MAX(0,CM336+CM337+CM338+CM339)</f>
        <v>591397.355017866</v>
      </c>
      <c r="CN340" s="54" t="n">
        <f aca="false">MAX(0,CN336+CN337+CN338+CN339)</f>
        <v>569702.675017866</v>
      </c>
      <c r="CO340" s="54" t="n">
        <f aca="false">MAX(0,CO336+CO337+CO338+CO339)</f>
        <v>496547.675017866</v>
      </c>
      <c r="CP340" s="54" t="n">
        <f aca="false">MAX(0,CP336+CP337+CP338+CP339)</f>
        <v>442013.212831036</v>
      </c>
      <c r="CQ340" s="54" t="n">
        <f aca="false">MAX(0,CQ336+CQ337+CQ338+CQ339)</f>
        <v>368858.212831036</v>
      </c>
      <c r="CR340" s="54" t="n">
        <f aca="false">MAX(0,CR336+CR337+CR338+CR339)</f>
        <v>295703.212831036</v>
      </c>
      <c r="CS340" s="54" t="n">
        <f aca="false">MAX(0,CS336+CS337+CS338+CS339)</f>
        <v>233637.0833122</v>
      </c>
      <c r="CT340" s="54" t="n">
        <f aca="false">MAX(0,CT336+CT337+CT338+CT339)</f>
        <v>160482.0833122</v>
      </c>
      <c r="CU340" s="54" t="n">
        <f aca="false">MAX(0,CU336+CU337+CU338+CU339)</f>
        <v>87327.0833121997</v>
      </c>
      <c r="CV340" s="54" t="n">
        <f aca="false">MAX(0,CV336+CV337+CV338+CV339)</f>
        <v>17446.8489364072</v>
      </c>
      <c r="CW340" s="54" t="n">
        <f aca="false">MAX(0,CW336+CW337+CW338+CW339)</f>
        <v>0</v>
      </c>
      <c r="CX340" s="54" t="n">
        <f aca="false">MAX(0,CX336+CX337+CX338+CX339)</f>
        <v>0</v>
      </c>
      <c r="CY340" s="54" t="n">
        <f aca="false">MAX(0,CY336+CY337+CY338+CY339)</f>
        <v>0</v>
      </c>
      <c r="CZ340" s="54" t="n">
        <f aca="false">MAX(0,CZ336+CZ337+CZ338+CZ339)</f>
        <v>0</v>
      </c>
      <c r="DA340" s="54" t="n">
        <f aca="false">MAX(0,DA336+DA337+DA338+DA339)</f>
        <v>0</v>
      </c>
      <c r="DB340" s="54" t="n">
        <f aca="false">MAX(0,DB336+DB337+DB338+DB339)</f>
        <v>0</v>
      </c>
      <c r="DC340" s="54" t="n">
        <f aca="false">MAX(0,DC336+DC337+DC338+DC339)</f>
        <v>0</v>
      </c>
      <c r="DD340" s="54" t="n">
        <f aca="false">MAX(0,DD336+DD337+DD338+DD339)</f>
        <v>0</v>
      </c>
      <c r="DE340" s="54" t="n">
        <f aca="false">MAX(0,DE336+DE337+DE338+DE339)</f>
        <v>0</v>
      </c>
    </row>
    <row r="341" customFormat="false" ht="15" hidden="false" customHeight="true" outlineLevel="0" collapsed="false">
      <c r="A341" s="55" t="s">
        <v>177</v>
      </c>
      <c r="B341" s="56"/>
      <c r="C341" s="56"/>
      <c r="D341" s="56"/>
      <c r="E341" s="56" t="n">
        <f aca="false">IF(Projects!$G$13="Yes",Assumptions!$B$71,0)</f>
        <v>1134000</v>
      </c>
      <c r="F341" s="56" t="n">
        <f aca="false">E345+IF(AND(Projects!$G$13="Yes",2&lt;=Assumptions!$B$73),Assumptions!$B$72,0)</f>
        <v>1184000</v>
      </c>
      <c r="G341" s="56" t="n">
        <f aca="false">F345+IF(AND(Projects!$G$13="Yes",3&lt;=Assumptions!$B$73),Assumptions!$B$72,0)</f>
        <v>1234000</v>
      </c>
      <c r="H341" s="56" t="n">
        <f aca="false">G345+IF(AND(Projects!$G$13="Yes",4&lt;=Assumptions!$B$73),Assumptions!$B$72,0)</f>
        <v>1330275</v>
      </c>
      <c r="I341" s="56" t="n">
        <f aca="false">H345+IF(AND(Projects!$G$13="Yes",5&lt;=Assumptions!$B$73),Assumptions!$B$72,0)</f>
        <v>1380275</v>
      </c>
      <c r="J341" s="56" t="n">
        <f aca="false">I345+IF(AND(Projects!$G$13="Yes",6&lt;=Assumptions!$B$73),Assumptions!$B$72,0)</f>
        <v>1430275</v>
      </c>
      <c r="K341" s="56" t="n">
        <f aca="false">J345+IF(AND(Projects!$G$13="Yes",7&lt;=Assumptions!$B$73),Assumptions!$B$72,0)</f>
        <v>1533910.3125</v>
      </c>
      <c r="L341" s="56" t="n">
        <f aca="false">K345+IF(AND(Projects!$G$13="Yes",8&lt;=Assumptions!$B$73),Assumptions!$B$72,0)</f>
        <v>1583910.3125</v>
      </c>
      <c r="M341" s="56" t="n">
        <f aca="false">L345+IF(AND(Projects!$G$13="Yes",9&lt;=Assumptions!$B$73),Assumptions!$B$72,0)</f>
        <v>1633910.3125</v>
      </c>
      <c r="N341" s="56" t="n">
        <f aca="false">M345+IF(AND(Projects!$G$13="Yes",10&lt;=Assumptions!$B$73),Assumptions!$B$72,0)</f>
        <v>1745181.94921875</v>
      </c>
      <c r="O341" s="56" t="n">
        <f aca="false">N345+IF(AND(Projects!$G$13="Yes",11&lt;=Assumptions!$B$73),Assumptions!$B$72,0)</f>
        <v>1795181.94921875</v>
      </c>
      <c r="P341" s="56" t="n">
        <f aca="false">O345+IF(AND(Projects!$G$13="Yes",12&lt;=Assumptions!$B$73),Assumptions!$B$72,0)</f>
        <v>1845181.94921875</v>
      </c>
      <c r="Q341" s="56" t="n">
        <f aca="false">P345+IF(AND(Projects!$G$13="Yes",13&lt;=Assumptions!$B$73),Assumptions!$B$72,0)</f>
        <v>1964376.27231445</v>
      </c>
      <c r="R341" s="56" t="n">
        <f aca="false">Q345+IF(AND(Projects!$G$13="Yes",14&lt;=Assumptions!$B$73),Assumptions!$B$72,0)</f>
        <v>564376.272314453</v>
      </c>
      <c r="S341" s="56" t="n">
        <f aca="false">R345+IF(AND(Projects!$G$13="Yes",15&lt;=Assumptions!$B$73),Assumptions!$B$72,0)</f>
        <v>564376.272314453</v>
      </c>
      <c r="T341" s="56" t="n">
        <f aca="false">S345+IF(AND(Projects!$G$13="Yes",16&lt;=Assumptions!$B$73),Assumptions!$B$72,0)</f>
        <v>585540.382526245</v>
      </c>
      <c r="U341" s="56" t="n">
        <f aca="false">T345+IF(AND(Projects!$G$13="Yes",17&lt;=Assumptions!$B$73),Assumptions!$B$72,0)</f>
        <v>585540.382526245</v>
      </c>
      <c r="V341" s="56" t="n">
        <f aca="false">U345+IF(AND(Projects!$G$13="Yes",18&lt;=Assumptions!$B$73),Assumptions!$B$72,0)</f>
        <v>585540.382526245</v>
      </c>
      <c r="W341" s="56" t="n">
        <f aca="false">V345+IF(AND(Projects!$G$13="Yes",19&lt;=Assumptions!$B$73),Assumptions!$B$72,0)</f>
        <v>607498.146870979</v>
      </c>
      <c r="X341" s="56" t="n">
        <f aca="false">W345+IF(AND(Projects!$G$13="Yes",20&lt;=Assumptions!$B$73),Assumptions!$B$72,0)</f>
        <v>607498.146870979</v>
      </c>
      <c r="Y341" s="56" t="n">
        <f aca="false">X345+IF(AND(Projects!$G$13="Yes",21&lt;=Assumptions!$B$73),Assumptions!$B$72,0)</f>
        <v>607498.146870979</v>
      </c>
      <c r="Z341" s="56" t="n">
        <f aca="false">Y345+IF(AND(Projects!$G$13="Yes",22&lt;=Assumptions!$B$73),Assumptions!$B$72,0)</f>
        <v>630279.327378641</v>
      </c>
      <c r="AA341" s="56" t="n">
        <f aca="false">Z345+IF(AND(Projects!$G$13="Yes",23&lt;=Assumptions!$B$73),Assumptions!$B$72,0)</f>
        <v>630279.327378641</v>
      </c>
      <c r="AB341" s="56" t="n">
        <f aca="false">AA345+IF(AND(Projects!$G$13="Yes",24&lt;=Assumptions!$B$73),Assumptions!$B$72,0)</f>
        <v>630279.327378641</v>
      </c>
      <c r="AC341" s="56" t="n">
        <f aca="false">AB345+IF(AND(Projects!$G$13="Yes",25&lt;=Assumptions!$B$73),Assumptions!$B$72,0)</f>
        <v>653914.80215534</v>
      </c>
      <c r="AD341" s="56" t="n">
        <f aca="false">AC345+IF(AND(Projects!$G$13="Yes",26&lt;=Assumptions!$B$73),Assumptions!$B$72,0)</f>
        <v>653914.80215534</v>
      </c>
      <c r="AE341" s="56" t="n">
        <f aca="false">AD345+IF(AND(Projects!$G$13="Yes",27&lt;=Assumptions!$B$73),Assumptions!$B$72,0)</f>
        <v>653914.80215534</v>
      </c>
      <c r="AF341" s="56" t="n">
        <f aca="false">AE345+IF(AND(Projects!$G$13="Yes",28&lt;=Assumptions!$B$73),Assumptions!$B$72,0)</f>
        <v>678436.607236165</v>
      </c>
      <c r="AG341" s="56" t="n">
        <f aca="false">AF345+IF(AND(Projects!$G$13="Yes",29&lt;=Assumptions!$B$73),Assumptions!$B$72,0)</f>
        <v>678436.607236165</v>
      </c>
      <c r="AH341" s="56" t="n">
        <f aca="false">AG345+IF(AND(Projects!$G$13="Yes",30&lt;=Assumptions!$B$73),Assumptions!$B$72,0)</f>
        <v>678436.607236165</v>
      </c>
      <c r="AI341" s="56" t="n">
        <f aca="false">AH345+IF(AND(Projects!$G$13="Yes",31&lt;=Assumptions!$B$73),Assumptions!$B$72,0)</f>
        <v>703877.980007521</v>
      </c>
      <c r="AJ341" s="56" t="n">
        <f aca="false">AI345+IF(AND(Projects!$G$13="Yes",32&lt;=Assumptions!$B$73),Assumptions!$B$72,0)</f>
        <v>703877.980007521</v>
      </c>
      <c r="AK341" s="56" t="n">
        <f aca="false">AJ345+IF(AND(Projects!$G$13="Yes",33&lt;=Assumptions!$B$73),Assumptions!$B$72,0)</f>
        <v>703877.980007521</v>
      </c>
      <c r="AL341" s="56" t="n">
        <f aca="false">AK345+IF(AND(Projects!$G$13="Yes",34&lt;=Assumptions!$B$73),Assumptions!$B$72,0)</f>
        <v>730273.404257803</v>
      </c>
      <c r="AM341" s="56" t="n">
        <f aca="false">AL345+IF(AND(Projects!$G$13="Yes",35&lt;=Assumptions!$B$73),Assumptions!$B$72,0)</f>
        <v>730273.404257803</v>
      </c>
      <c r="AN341" s="56" t="n">
        <f aca="false">AM345+IF(AND(Projects!$G$13="Yes",36&lt;=Assumptions!$B$73),Assumptions!$B$72,0)</f>
        <v>730273.404257803</v>
      </c>
      <c r="AO341" s="56" t="n">
        <f aca="false">AN345+IF(AND(Projects!$G$13="Yes",37&lt;=Assumptions!$B$73),Assumptions!$B$72,0)</f>
        <v>757658.656917471</v>
      </c>
      <c r="AP341" s="56" t="n">
        <f aca="false">AO345+IF(AND(Projects!$G$13="Yes",38&lt;=Assumptions!$B$73),Assumptions!$B$72,0)</f>
        <v>757658.656917471</v>
      </c>
      <c r="AQ341" s="56" t="n">
        <f aca="false">AP345+IF(AND(Projects!$G$13="Yes",39&lt;=Assumptions!$B$73),Assumptions!$B$72,0)</f>
        <v>757658.656917471</v>
      </c>
      <c r="AR341" s="56" t="n">
        <f aca="false">AQ345+IF(AND(Projects!$G$13="Yes",40&lt;=Assumptions!$B$73),Assumptions!$B$72,0)</f>
        <v>786070.856551876</v>
      </c>
      <c r="AS341" s="56" t="n">
        <f aca="false">AR345+IF(AND(Projects!$G$13="Yes",41&lt;=Assumptions!$B$73),Assumptions!$B$72,0)</f>
        <v>786070.856551876</v>
      </c>
      <c r="AT341" s="56" t="n">
        <f aca="false">AS345+IF(AND(Projects!$G$13="Yes",42&lt;=Assumptions!$B$73),Assumptions!$B$72,0)</f>
        <v>786070.856551876</v>
      </c>
      <c r="AU341" s="56" t="n">
        <f aca="false">AT345+IF(AND(Projects!$G$13="Yes",43&lt;=Assumptions!$B$73),Assumptions!$B$72,0)</f>
        <v>815548.513672571</v>
      </c>
      <c r="AV341" s="56" t="n">
        <f aca="false">AU345+IF(AND(Projects!$G$13="Yes",44&lt;=Assumptions!$B$73),Assumptions!$B$72,0)</f>
        <v>815548.513672571</v>
      </c>
      <c r="AW341" s="56" t="n">
        <f aca="false">AV345+IF(AND(Projects!$G$13="Yes",45&lt;=Assumptions!$B$73),Assumptions!$B$72,0)</f>
        <v>815548.513672571</v>
      </c>
      <c r="AX341" s="56" t="n">
        <f aca="false">AW345+IF(AND(Projects!$G$13="Yes",46&lt;=Assumptions!$B$73),Assumptions!$B$72,0)</f>
        <v>846131.582935293</v>
      </c>
      <c r="AY341" s="56" t="n">
        <f aca="false">AX345+IF(AND(Projects!$G$13="Yes",47&lt;=Assumptions!$B$73),Assumptions!$B$72,0)</f>
        <v>846131.582935293</v>
      </c>
      <c r="AZ341" s="56" t="n">
        <f aca="false">AY345+IF(AND(Projects!$G$13="Yes",48&lt;=Assumptions!$B$73),Assumptions!$B$72,0)</f>
        <v>846131.582935293</v>
      </c>
      <c r="BA341" s="56" t="n">
        <f aca="false">AZ345+IF(AND(Projects!$G$13="Yes",49&lt;=Assumptions!$B$73),Assumptions!$B$72,0)</f>
        <v>877861.517295366</v>
      </c>
      <c r="BB341" s="56" t="n">
        <f aca="false">BA345+IF(AND(Projects!$G$13="Yes",50&lt;=Assumptions!$B$73),Assumptions!$B$72,0)</f>
        <v>877861.517295366</v>
      </c>
      <c r="BC341" s="56" t="n">
        <f aca="false">BB345+IF(AND(Projects!$G$13="Yes",51&lt;=Assumptions!$B$73),Assumptions!$B$72,0)</f>
        <v>877861.517295366</v>
      </c>
      <c r="BD341" s="56" t="n">
        <f aca="false">BC345+IF(AND(Projects!$G$13="Yes",52&lt;=Assumptions!$B$73),Assumptions!$B$72,0)</f>
        <v>661610.024193943</v>
      </c>
      <c r="BE341" s="56" t="n">
        <f aca="false">BD345+IF(AND(Projects!$G$13="Yes",53&lt;=Assumptions!$B$73),Assumptions!$B$72,0)</f>
        <v>661610.024193943</v>
      </c>
      <c r="BF341" s="56" t="n">
        <f aca="false">BE345+IF(AND(Projects!$G$13="Yes",54&lt;=Assumptions!$B$73),Assumptions!$B$72,0)</f>
        <v>661610.024193943</v>
      </c>
      <c r="BG341" s="56" t="n">
        <f aca="false">BF345+IF(AND(Projects!$G$13="Yes",55&lt;=Assumptions!$B$73),Assumptions!$B$72,0)</f>
        <v>614720.400101215</v>
      </c>
      <c r="BH341" s="56" t="n">
        <f aca="false">BG345+IF(AND(Projects!$G$13="Yes",56&lt;=Assumptions!$B$73),Assumptions!$B$72,0)</f>
        <v>614720.400101215</v>
      </c>
      <c r="BI341" s="56" t="n">
        <f aca="false">BH345+IF(AND(Projects!$G$13="Yes",57&lt;=Assumptions!$B$73),Assumptions!$B$72,0)</f>
        <v>614720.400101215</v>
      </c>
      <c r="BJ341" s="56" t="n">
        <f aca="false">BI345+IF(AND(Projects!$G$13="Yes",58&lt;=Assumptions!$B$73),Assumptions!$B$72,0)</f>
        <v>566072.415105011</v>
      </c>
      <c r="BK341" s="56" t="n">
        <f aca="false">BJ345+IF(AND(Projects!$G$13="Yes",59&lt;=Assumptions!$B$73),Assumptions!$B$72,0)</f>
        <v>566072.415105011</v>
      </c>
      <c r="BL341" s="56" t="n">
        <f aca="false">BK345+IF(AND(Projects!$G$13="Yes",60&lt;=Assumptions!$B$73),Assumptions!$B$72,0)</f>
        <v>566072.415105011</v>
      </c>
      <c r="BM341" s="56" t="n">
        <f aca="false">BL345+IF(AND(Projects!$G$13="Yes",61&lt;=Assumptions!$B$73),Assumptions!$B$72,0)</f>
        <v>515600.130671449</v>
      </c>
      <c r="BN341" s="56" t="n">
        <f aca="false">BM345+IF(AND(Projects!$G$13="Yes",62&lt;=Assumptions!$B$73),Assumptions!$B$72,0)</f>
        <v>515600.130671449</v>
      </c>
      <c r="BO341" s="56" t="n">
        <f aca="false">BN345+IF(AND(Projects!$G$13="Yes",63&lt;=Assumptions!$B$73),Assumptions!$B$72,0)</f>
        <v>515600.130671449</v>
      </c>
      <c r="BP341" s="56" t="n">
        <f aca="false">BO345+IF(AND(Projects!$G$13="Yes",64&lt;=Assumptions!$B$73),Assumptions!$B$72,0)</f>
        <v>463235.135571628</v>
      </c>
      <c r="BQ341" s="56" t="n">
        <f aca="false">BP345+IF(AND(Projects!$G$13="Yes",65&lt;=Assumptions!$B$73),Assumptions!$B$72,0)</f>
        <v>463235.135571628</v>
      </c>
      <c r="BR341" s="56" t="n">
        <f aca="false">BQ345+IF(AND(Projects!$G$13="Yes",66&lt;=Assumptions!$B$73),Assumptions!$B$72,0)</f>
        <v>463235.135571628</v>
      </c>
      <c r="BS341" s="56" t="n">
        <f aca="false">BR345+IF(AND(Projects!$G$13="Yes",67&lt;=Assumptions!$B$73),Assumptions!$B$72,0)</f>
        <v>405963.453155564</v>
      </c>
      <c r="BT341" s="56" t="n">
        <f aca="false">BS345+IF(AND(Projects!$G$13="Yes",68&lt;=Assumptions!$B$73),Assumptions!$B$72,0)</f>
        <v>405963.453155564</v>
      </c>
      <c r="BU341" s="56" t="n">
        <f aca="false">BT345+IF(AND(Projects!$G$13="Yes",69&lt;=Assumptions!$B$73),Assumptions!$B$72,0)</f>
        <v>405963.453155564</v>
      </c>
      <c r="BV341" s="56" t="n">
        <f aca="false">BU345+IF(AND(Projects!$G$13="Yes",70&lt;=Assumptions!$B$73),Assumptions!$B$72,0)</f>
        <v>346547.082648898</v>
      </c>
      <c r="BW341" s="56" t="n">
        <f aca="false">BV345+IF(AND(Projects!$G$13="Yes",71&lt;=Assumptions!$B$73),Assumptions!$B$72,0)</f>
        <v>346547.082648898</v>
      </c>
      <c r="BX341" s="56" t="n">
        <f aca="false">BW345+IF(AND(Projects!$G$13="Yes",72&lt;=Assumptions!$B$73),Assumptions!$B$72,0)</f>
        <v>346547.082648898</v>
      </c>
      <c r="BY341" s="56" t="n">
        <f aca="false">BX345+IF(AND(Projects!$G$13="Yes",73&lt;=Assumptions!$B$73),Assumptions!$B$72,0)</f>
        <v>284902.598248232</v>
      </c>
      <c r="BZ341" s="56" t="n">
        <f aca="false">BY345+IF(AND(Projects!$G$13="Yes",74&lt;=Assumptions!$B$73),Assumptions!$B$72,0)</f>
        <v>284902.598248232</v>
      </c>
      <c r="CA341" s="56" t="n">
        <f aca="false">BZ345+IF(AND(Projects!$G$13="Yes",75&lt;=Assumptions!$B$73),Assumptions!$B$72,0)</f>
        <v>284902.598248232</v>
      </c>
      <c r="CB341" s="56" t="n">
        <f aca="false">CA345+IF(AND(Projects!$G$13="Yes",76&lt;=Assumptions!$B$73),Assumptions!$B$72,0)</f>
        <v>220946.44568254</v>
      </c>
      <c r="CC341" s="56" t="n">
        <f aca="false">CB345+IF(AND(Projects!$G$13="Yes",77&lt;=Assumptions!$B$73),Assumptions!$B$72,0)</f>
        <v>220946.44568254</v>
      </c>
      <c r="CD341" s="56" t="n">
        <f aca="false">CC345+IF(AND(Projects!$G$13="Yes",78&lt;=Assumptions!$B$73),Assumptions!$B$72,0)</f>
        <v>220946.44568254</v>
      </c>
      <c r="CE341" s="56" t="n">
        <f aca="false">CD345+IF(AND(Projects!$G$13="Yes",79&lt;=Assumptions!$B$73),Assumptions!$B$72,0)</f>
        <v>147868.937395636</v>
      </c>
      <c r="CF341" s="56" t="n">
        <f aca="false">CE345+IF(AND(Projects!$G$13="Yes",80&lt;=Assumptions!$B$73),Assumptions!$B$72,0)</f>
        <v>147868.937395636</v>
      </c>
      <c r="CG341" s="56" t="n">
        <f aca="false">CF345+IF(AND(Projects!$G$13="Yes",81&lt;=Assumptions!$B$73),Assumptions!$B$72,0)</f>
        <v>147868.937395636</v>
      </c>
      <c r="CH341" s="56" t="n">
        <f aca="false">CG345+IF(AND(Projects!$G$13="Yes",82&lt;=Assumptions!$B$73),Assumptions!$B$72,0)</f>
        <v>72052.0225479718</v>
      </c>
      <c r="CI341" s="56" t="n">
        <f aca="false">CH345+IF(AND(Projects!$G$13="Yes",83&lt;=Assumptions!$B$73),Assumptions!$B$72,0)</f>
        <v>72052.0225479718</v>
      </c>
      <c r="CJ341" s="56" t="n">
        <f aca="false">CI345+IF(AND(Projects!$G$13="Yes",84&lt;=Assumptions!$B$73),Assumptions!$B$72,0)</f>
        <v>72052.0225479718</v>
      </c>
      <c r="CK341" s="56" t="n">
        <f aca="false">CJ345+IF(AND(Projects!$G$13="Yes",85&lt;=Assumptions!$B$73),Assumptions!$B$72,0)</f>
        <v>0</v>
      </c>
      <c r="CL341" s="56" t="n">
        <f aca="false">CK345+IF(AND(Projects!$G$13="Yes",86&lt;=Assumptions!$B$73),Assumptions!$B$72,0)</f>
        <v>0</v>
      </c>
      <c r="CM341" s="56" t="n">
        <f aca="false">CL345+IF(AND(Projects!$G$13="Yes",87&lt;=Assumptions!$B$73),Assumptions!$B$72,0)</f>
        <v>0</v>
      </c>
      <c r="CN341" s="56" t="n">
        <f aca="false">CM345+IF(AND(Projects!$G$13="Yes",88&lt;=Assumptions!$B$73),Assumptions!$B$72,0)</f>
        <v>0</v>
      </c>
      <c r="CO341" s="56" t="n">
        <f aca="false">CN345+IF(AND(Projects!$G$13="Yes",89&lt;=Assumptions!$B$73),Assumptions!$B$72,0)</f>
        <v>0</v>
      </c>
      <c r="CP341" s="56" t="n">
        <f aca="false">CO345+IF(AND(Projects!$G$13="Yes",90&lt;=Assumptions!$B$73),Assumptions!$B$72,0)</f>
        <v>0</v>
      </c>
      <c r="CQ341" s="56" t="n">
        <f aca="false">CP345+IF(AND(Projects!$G$13="Yes",91&lt;=Assumptions!$B$73),Assumptions!$B$72,0)</f>
        <v>0</v>
      </c>
      <c r="CR341" s="56" t="n">
        <f aca="false">CQ345+IF(AND(Projects!$G$13="Yes",92&lt;=Assumptions!$B$73),Assumptions!$B$72,0)</f>
        <v>0</v>
      </c>
      <c r="CS341" s="56" t="n">
        <f aca="false">CR345+IF(AND(Projects!$G$13="Yes",93&lt;=Assumptions!$B$73),Assumptions!$B$72,0)</f>
        <v>0</v>
      </c>
      <c r="CT341" s="56" t="n">
        <f aca="false">CS345+IF(AND(Projects!$G$13="Yes",94&lt;=Assumptions!$B$73),Assumptions!$B$72,0)</f>
        <v>0</v>
      </c>
      <c r="CU341" s="56" t="n">
        <f aca="false">CT345+IF(AND(Projects!$G$13="Yes",95&lt;=Assumptions!$B$73),Assumptions!$B$72,0)</f>
        <v>0</v>
      </c>
      <c r="CV341" s="56" t="n">
        <f aca="false">CU345+IF(AND(Projects!$G$13="Yes",96&lt;=Assumptions!$B$73),Assumptions!$B$72,0)</f>
        <v>0</v>
      </c>
      <c r="CW341" s="56" t="n">
        <f aca="false">CV345+IF(AND(Projects!$G$13="Yes",97&lt;=Assumptions!$B$73),Assumptions!$B$72,0)</f>
        <v>0</v>
      </c>
      <c r="CX341" s="56" t="n">
        <f aca="false">CW345+IF(AND(Projects!$G$13="Yes",98&lt;=Assumptions!$B$73),Assumptions!$B$72,0)</f>
        <v>0</v>
      </c>
      <c r="CY341" s="56" t="n">
        <f aca="false">CX345+IF(AND(Projects!$G$13="Yes",99&lt;=Assumptions!$B$73),Assumptions!$B$72,0)</f>
        <v>0</v>
      </c>
      <c r="CZ341" s="56" t="n">
        <f aca="false">CY345+IF(AND(Projects!$G$13="Yes",100&lt;=Assumptions!$B$73),Assumptions!$B$72,0)</f>
        <v>0</v>
      </c>
      <c r="DA341" s="56" t="n">
        <f aca="false">CZ345+IF(AND(Projects!$G$13="Yes",101&lt;=Assumptions!$B$73),Assumptions!$B$72,0)</f>
        <v>0</v>
      </c>
      <c r="DB341" s="56" t="n">
        <f aca="false">DA345+IF(AND(Projects!$G$13="Yes",102&lt;=Assumptions!$B$73),Assumptions!$B$72,0)</f>
        <v>0</v>
      </c>
      <c r="DC341" s="56" t="n">
        <f aca="false">DB345+IF(AND(Projects!$G$13="Yes",103&lt;=Assumptions!$B$73),Assumptions!$B$72,0)</f>
        <v>0</v>
      </c>
      <c r="DD341" s="56" t="n">
        <f aca="false">DC345+IF(AND(Projects!$G$13="Yes",104&lt;=Assumptions!$B$73),Assumptions!$B$72,0)</f>
        <v>0</v>
      </c>
      <c r="DE341" s="56" t="n">
        <f aca="false">DD345+IF(AND(Projects!$G$13="Yes",105&lt;=Assumptions!$B$73),Assumptions!$B$72,0)</f>
        <v>0</v>
      </c>
    </row>
    <row r="342" customFormat="false" ht="15" hidden="false" customHeight="true" outlineLevel="0" collapsed="false">
      <c r="A342" s="55" t="s">
        <v>178</v>
      </c>
      <c r="B342" s="56"/>
      <c r="C342" s="56"/>
      <c r="D342" s="56"/>
      <c r="E342" s="56" t="n">
        <f aca="false">IF(AND(MOD(1,3)=0,E341&gt;0),E341*Assumptions!$B$59,0)</f>
        <v>0</v>
      </c>
      <c r="F342" s="56" t="n">
        <f aca="false">IF(AND(MOD(2,3)=0,F341&gt;0),F341*Assumptions!$B$59,0)</f>
        <v>0</v>
      </c>
      <c r="G342" s="56" t="n">
        <f aca="false">IF(AND(MOD(3,3)=0,G341&gt;0),G341*Assumptions!$B$59,0)</f>
        <v>46275</v>
      </c>
      <c r="H342" s="56" t="n">
        <f aca="false">IF(AND(MOD(4,3)=0,H341&gt;0),H341*Assumptions!$B$59,0)</f>
        <v>0</v>
      </c>
      <c r="I342" s="56" t="n">
        <f aca="false">IF(AND(MOD(5,3)=0,I341&gt;0),I341*Assumptions!$B$59,0)</f>
        <v>0</v>
      </c>
      <c r="J342" s="56" t="n">
        <f aca="false">IF(AND(MOD(6,3)=0,J341&gt;0),J341*Assumptions!$B$59,0)</f>
        <v>53635.3125</v>
      </c>
      <c r="K342" s="56" t="n">
        <f aca="false">IF(AND(MOD(7,3)=0,K341&gt;0),K341*Assumptions!$B$59,0)</f>
        <v>0</v>
      </c>
      <c r="L342" s="56" t="n">
        <f aca="false">IF(AND(MOD(8,3)=0,L341&gt;0),L341*Assumptions!$B$59,0)</f>
        <v>0</v>
      </c>
      <c r="M342" s="56" t="n">
        <f aca="false">IF(AND(MOD(9,3)=0,M341&gt;0),M341*Assumptions!$B$59,0)</f>
        <v>61271.63671875</v>
      </c>
      <c r="N342" s="56" t="n">
        <f aca="false">IF(AND(MOD(10,3)=0,N341&gt;0),N341*Assumptions!$B$59,0)</f>
        <v>0</v>
      </c>
      <c r="O342" s="56" t="n">
        <f aca="false">IF(AND(MOD(11,3)=0,O341&gt;0),O341*Assumptions!$B$59,0)</f>
        <v>0</v>
      </c>
      <c r="P342" s="56" t="n">
        <f aca="false">IF(AND(MOD(12,3)=0,P341&gt;0),P341*Assumptions!$B$59,0)</f>
        <v>69194.3230957031</v>
      </c>
      <c r="Q342" s="56" t="n">
        <f aca="false">IF(AND(MOD(13,3)=0,Q341&gt;0),Q341*Assumptions!$B$59,0)</f>
        <v>0</v>
      </c>
      <c r="R342" s="56" t="n">
        <f aca="false">IF(AND(MOD(14,3)=0,R341&gt;0),R341*Assumptions!$B$59,0)</f>
        <v>0</v>
      </c>
      <c r="S342" s="56" t="n">
        <f aca="false">IF(AND(MOD(15,3)=0,S341&gt;0),S341*Assumptions!$B$59,0)</f>
        <v>21164.110211792</v>
      </c>
      <c r="T342" s="56" t="n">
        <f aca="false">IF(AND(MOD(16,3)=0,T341&gt;0),T341*Assumptions!$B$59,0)</f>
        <v>0</v>
      </c>
      <c r="U342" s="56" t="n">
        <f aca="false">IF(AND(MOD(17,3)=0,U341&gt;0),U341*Assumptions!$B$59,0)</f>
        <v>0</v>
      </c>
      <c r="V342" s="56" t="n">
        <f aca="false">IF(AND(MOD(18,3)=0,V341&gt;0),V341*Assumptions!$B$59,0)</f>
        <v>21957.7643447342</v>
      </c>
      <c r="W342" s="56" t="n">
        <f aca="false">IF(AND(MOD(19,3)=0,W341&gt;0),W341*Assumptions!$B$59,0)</f>
        <v>0</v>
      </c>
      <c r="X342" s="56" t="n">
        <f aca="false">IF(AND(MOD(20,3)=0,X341&gt;0),X341*Assumptions!$B$59,0)</f>
        <v>0</v>
      </c>
      <c r="Y342" s="56" t="n">
        <f aca="false">IF(AND(MOD(21,3)=0,Y341&gt;0),Y341*Assumptions!$B$59,0)</f>
        <v>22781.1805076617</v>
      </c>
      <c r="Z342" s="56" t="n">
        <f aca="false">IF(AND(MOD(22,3)=0,Z341&gt;0),Z341*Assumptions!$B$59,0)</f>
        <v>0</v>
      </c>
      <c r="AA342" s="56" t="n">
        <f aca="false">IF(AND(MOD(23,3)=0,AA341&gt;0),AA341*Assumptions!$B$59,0)</f>
        <v>0</v>
      </c>
      <c r="AB342" s="56" t="n">
        <f aca="false">IF(AND(MOD(24,3)=0,AB341&gt;0),AB341*Assumptions!$B$59,0)</f>
        <v>23635.474776699</v>
      </c>
      <c r="AC342" s="56" t="n">
        <f aca="false">IF(AND(MOD(25,3)=0,AC341&gt;0),AC341*Assumptions!$B$59,0)</f>
        <v>0</v>
      </c>
      <c r="AD342" s="56" t="n">
        <f aca="false">IF(AND(MOD(26,3)=0,AD341&gt;0),AD341*Assumptions!$B$59,0)</f>
        <v>0</v>
      </c>
      <c r="AE342" s="56" t="n">
        <f aca="false">IF(AND(MOD(27,3)=0,AE341&gt;0),AE341*Assumptions!$B$59,0)</f>
        <v>24521.8050808252</v>
      </c>
      <c r="AF342" s="56" t="n">
        <f aca="false">IF(AND(MOD(28,3)=0,AF341&gt;0),AF341*Assumptions!$B$59,0)</f>
        <v>0</v>
      </c>
      <c r="AG342" s="56" t="n">
        <f aca="false">IF(AND(MOD(29,3)=0,AG341&gt;0),AG341*Assumptions!$B$59,0)</f>
        <v>0</v>
      </c>
      <c r="AH342" s="56" t="n">
        <f aca="false">IF(AND(MOD(30,3)=0,AH341&gt;0),AH341*Assumptions!$B$59,0)</f>
        <v>25441.3727713562</v>
      </c>
      <c r="AI342" s="56" t="n">
        <f aca="false">IF(AND(MOD(31,3)=0,AI341&gt;0),AI341*Assumptions!$B$59,0)</f>
        <v>0</v>
      </c>
      <c r="AJ342" s="56" t="n">
        <f aca="false">IF(AND(MOD(32,3)=0,AJ341&gt;0),AJ341*Assumptions!$B$59,0)</f>
        <v>0</v>
      </c>
      <c r="AK342" s="56" t="n">
        <f aca="false">IF(AND(MOD(33,3)=0,AK341&gt;0),AK341*Assumptions!$B$59,0)</f>
        <v>26395.424250282</v>
      </c>
      <c r="AL342" s="56" t="n">
        <f aca="false">IF(AND(MOD(34,3)=0,AL341&gt;0),AL341*Assumptions!$B$59,0)</f>
        <v>0</v>
      </c>
      <c r="AM342" s="56" t="n">
        <f aca="false">IF(AND(MOD(35,3)=0,AM341&gt;0),AM341*Assumptions!$B$59,0)</f>
        <v>0</v>
      </c>
      <c r="AN342" s="56" t="n">
        <f aca="false">IF(AND(MOD(36,3)=0,AN341&gt;0),AN341*Assumptions!$B$59,0)</f>
        <v>27385.2526596676</v>
      </c>
      <c r="AO342" s="56" t="n">
        <f aca="false">IF(AND(MOD(37,3)=0,AO341&gt;0),AO341*Assumptions!$B$59,0)</f>
        <v>0</v>
      </c>
      <c r="AP342" s="56" t="n">
        <f aca="false">IF(AND(MOD(38,3)=0,AP341&gt;0),AP341*Assumptions!$B$59,0)</f>
        <v>0</v>
      </c>
      <c r="AQ342" s="56" t="n">
        <f aca="false">IF(AND(MOD(39,3)=0,AQ341&gt;0),AQ341*Assumptions!$B$59,0)</f>
        <v>28412.1996344052</v>
      </c>
      <c r="AR342" s="56" t="n">
        <f aca="false">IF(AND(MOD(40,3)=0,AR341&gt;0),AR341*Assumptions!$B$59,0)</f>
        <v>0</v>
      </c>
      <c r="AS342" s="56" t="n">
        <f aca="false">IF(AND(MOD(41,3)=0,AS341&gt;0),AS341*Assumptions!$B$59,0)</f>
        <v>0</v>
      </c>
      <c r="AT342" s="56" t="n">
        <f aca="false">IF(AND(MOD(42,3)=0,AT341&gt;0),AT341*Assumptions!$B$59,0)</f>
        <v>29477.6571206954</v>
      </c>
      <c r="AU342" s="56" t="n">
        <f aca="false">IF(AND(MOD(43,3)=0,AU341&gt;0),AU341*Assumptions!$B$59,0)</f>
        <v>0</v>
      </c>
      <c r="AV342" s="56" t="n">
        <f aca="false">IF(AND(MOD(44,3)=0,AV341&gt;0),AV341*Assumptions!$B$59,0)</f>
        <v>0</v>
      </c>
      <c r="AW342" s="56" t="n">
        <f aca="false">IF(AND(MOD(45,3)=0,AW341&gt;0),AW341*Assumptions!$B$59,0)</f>
        <v>30583.0692627214</v>
      </c>
      <c r="AX342" s="56" t="n">
        <f aca="false">IF(AND(MOD(46,3)=0,AX341&gt;0),AX341*Assumptions!$B$59,0)</f>
        <v>0</v>
      </c>
      <c r="AY342" s="56" t="n">
        <f aca="false">IF(AND(MOD(47,3)=0,AY341&gt;0),AY341*Assumptions!$B$59,0)</f>
        <v>0</v>
      </c>
      <c r="AZ342" s="56" t="n">
        <f aca="false">IF(AND(MOD(48,3)=0,AZ341&gt;0),AZ341*Assumptions!$B$59,0)</f>
        <v>31729.9343600735</v>
      </c>
      <c r="BA342" s="56" t="n">
        <f aca="false">IF(AND(MOD(49,3)=0,BA341&gt;0),BA341*Assumptions!$B$59,0)</f>
        <v>0</v>
      </c>
      <c r="BB342" s="56" t="n">
        <f aca="false">IF(AND(MOD(50,3)=0,BB341&gt;0),BB341*Assumptions!$B$59,0)</f>
        <v>0</v>
      </c>
      <c r="BC342" s="56" t="n">
        <f aca="false">IF(AND(MOD(51,3)=0,BC341&gt;0),BC341*Assumptions!$B$59,0)</f>
        <v>32919.8068985762</v>
      </c>
      <c r="BD342" s="56" t="n">
        <f aca="false">IF(AND(MOD(52,3)=0,BD341&gt;0),BD341*Assumptions!$B$59,0)</f>
        <v>0</v>
      </c>
      <c r="BE342" s="56" t="n">
        <f aca="false">IF(AND(MOD(53,3)=0,BE341&gt;0),BE341*Assumptions!$B$59,0)</f>
        <v>0</v>
      </c>
      <c r="BF342" s="56" t="n">
        <f aca="false">IF(AND(MOD(54,3)=0,BF341&gt;0),BF341*Assumptions!$B$59,0)</f>
        <v>24810.3759072728</v>
      </c>
      <c r="BG342" s="56" t="n">
        <f aca="false">IF(AND(MOD(55,3)=0,BG341&gt;0),BG341*Assumptions!$B$59,0)</f>
        <v>0</v>
      </c>
      <c r="BH342" s="56" t="n">
        <f aca="false">IF(AND(MOD(56,3)=0,BH341&gt;0),BH341*Assumptions!$B$59,0)</f>
        <v>0</v>
      </c>
      <c r="BI342" s="56" t="n">
        <f aca="false">IF(AND(MOD(57,3)=0,BI341&gt;0),BI341*Assumptions!$B$59,0)</f>
        <v>23052.0150037956</v>
      </c>
      <c r="BJ342" s="56" t="n">
        <f aca="false">IF(AND(MOD(58,3)=0,BJ341&gt;0),BJ341*Assumptions!$B$59,0)</f>
        <v>0</v>
      </c>
      <c r="BK342" s="56" t="n">
        <f aca="false">IF(AND(MOD(59,3)=0,BK341&gt;0),BK341*Assumptions!$B$59,0)</f>
        <v>0</v>
      </c>
      <c r="BL342" s="56" t="n">
        <f aca="false">IF(AND(MOD(60,3)=0,BL341&gt;0),BL341*Assumptions!$B$59,0)</f>
        <v>21227.7155664379</v>
      </c>
      <c r="BM342" s="56" t="n">
        <f aca="false">IF(AND(MOD(61,3)=0,BM341&gt;0),BM341*Assumptions!$B$59,0)</f>
        <v>0</v>
      </c>
      <c r="BN342" s="56" t="n">
        <f aca="false">IF(AND(MOD(62,3)=0,BN341&gt;0),BN341*Assumptions!$B$59,0)</f>
        <v>0</v>
      </c>
      <c r="BO342" s="56" t="n">
        <f aca="false">IF(AND(MOD(63,3)=0,BO341&gt;0),BO341*Assumptions!$B$59,0)</f>
        <v>19335.0049001793</v>
      </c>
      <c r="BP342" s="56" t="n">
        <f aca="false">IF(AND(MOD(64,3)=0,BP341&gt;0),BP341*Assumptions!$B$59,0)</f>
        <v>0</v>
      </c>
      <c r="BQ342" s="56" t="n">
        <f aca="false">IF(AND(MOD(65,3)=0,BQ341&gt;0),BQ341*Assumptions!$B$59,0)</f>
        <v>0</v>
      </c>
      <c r="BR342" s="56" t="n">
        <f aca="false">IF(AND(MOD(66,3)=0,BR341&gt;0),BR341*Assumptions!$B$59,0)</f>
        <v>17371.3175839361</v>
      </c>
      <c r="BS342" s="56" t="n">
        <f aca="false">IF(AND(MOD(67,3)=0,BS341&gt;0),BS341*Assumptions!$B$59,0)</f>
        <v>0</v>
      </c>
      <c r="BT342" s="56" t="n">
        <f aca="false">IF(AND(MOD(68,3)=0,BT341&gt;0),BT341*Assumptions!$B$59,0)</f>
        <v>0</v>
      </c>
      <c r="BU342" s="56" t="n">
        <f aca="false">IF(AND(MOD(69,3)=0,BU341&gt;0),BU341*Assumptions!$B$59,0)</f>
        <v>15223.6294933337</v>
      </c>
      <c r="BV342" s="56" t="n">
        <f aca="false">IF(AND(MOD(70,3)=0,BV341&gt;0),BV341*Assumptions!$B$59,0)</f>
        <v>0</v>
      </c>
      <c r="BW342" s="56" t="n">
        <f aca="false">IF(AND(MOD(71,3)=0,BW341&gt;0),BW341*Assumptions!$B$59,0)</f>
        <v>0</v>
      </c>
      <c r="BX342" s="56" t="n">
        <f aca="false">IF(AND(MOD(72,3)=0,BX341&gt;0),BX341*Assumptions!$B$59,0)</f>
        <v>12995.5155993337</v>
      </c>
      <c r="BY342" s="56" t="n">
        <f aca="false">IF(AND(MOD(73,3)=0,BY341&gt;0),BY341*Assumptions!$B$59,0)</f>
        <v>0</v>
      </c>
      <c r="BZ342" s="56" t="n">
        <f aca="false">IF(AND(MOD(74,3)=0,BZ341&gt;0),BZ341*Assumptions!$B$59,0)</f>
        <v>0</v>
      </c>
      <c r="CA342" s="56" t="n">
        <f aca="false">IF(AND(MOD(75,3)=0,CA341&gt;0),CA341*Assumptions!$B$59,0)</f>
        <v>10683.8474343087</v>
      </c>
      <c r="CB342" s="56" t="n">
        <f aca="false">IF(AND(MOD(76,3)=0,CB341&gt;0),CB341*Assumptions!$B$59,0)</f>
        <v>0</v>
      </c>
      <c r="CC342" s="56" t="n">
        <f aca="false">IF(AND(MOD(77,3)=0,CC341&gt;0),CC341*Assumptions!$B$59,0)</f>
        <v>0</v>
      </c>
      <c r="CD342" s="56" t="n">
        <f aca="false">IF(AND(MOD(78,3)=0,CD341&gt;0),CD341*Assumptions!$B$59,0)</f>
        <v>8285.49171309526</v>
      </c>
      <c r="CE342" s="56" t="n">
        <f aca="false">IF(AND(MOD(79,3)=0,CE341&gt;0),CE341*Assumptions!$B$59,0)</f>
        <v>0</v>
      </c>
      <c r="CF342" s="56" t="n">
        <f aca="false">IF(AND(MOD(80,3)=0,CF341&gt;0),CF341*Assumptions!$B$59,0)</f>
        <v>0</v>
      </c>
      <c r="CG342" s="56" t="n">
        <f aca="false">IF(AND(MOD(81,3)=0,CG341&gt;0),CG341*Assumptions!$B$59,0)</f>
        <v>5545.08515233633</v>
      </c>
      <c r="CH342" s="56" t="n">
        <f aca="false">IF(AND(MOD(82,3)=0,CH341&gt;0),CH341*Assumptions!$B$59,0)</f>
        <v>0</v>
      </c>
      <c r="CI342" s="56" t="n">
        <f aca="false">IF(AND(MOD(83,3)=0,CI341&gt;0),CI341*Assumptions!$B$59,0)</f>
        <v>0</v>
      </c>
      <c r="CJ342" s="56" t="n">
        <f aca="false">IF(AND(MOD(84,3)=0,CJ341&gt;0),CJ341*Assumptions!$B$59,0)</f>
        <v>2701.95084554894</v>
      </c>
      <c r="CK342" s="56" t="n">
        <f aca="false">IF(AND(MOD(85,3)=0,CK341&gt;0),CK341*Assumptions!$B$59,0)</f>
        <v>0</v>
      </c>
      <c r="CL342" s="56" t="n">
        <f aca="false">IF(AND(MOD(86,3)=0,CL341&gt;0),CL341*Assumptions!$B$59,0)</f>
        <v>0</v>
      </c>
      <c r="CM342" s="56" t="n">
        <f aca="false">IF(AND(MOD(87,3)=0,CM341&gt;0),CM341*Assumptions!$B$59,0)</f>
        <v>0</v>
      </c>
      <c r="CN342" s="56" t="n">
        <f aca="false">IF(AND(MOD(88,3)=0,CN341&gt;0),CN341*Assumptions!$B$59,0)</f>
        <v>0</v>
      </c>
      <c r="CO342" s="56" t="n">
        <f aca="false">IF(AND(MOD(89,3)=0,CO341&gt;0),CO341*Assumptions!$B$59,0)</f>
        <v>0</v>
      </c>
      <c r="CP342" s="56" t="n">
        <f aca="false">IF(AND(MOD(90,3)=0,CP341&gt;0),CP341*Assumptions!$B$59,0)</f>
        <v>0</v>
      </c>
      <c r="CQ342" s="56" t="n">
        <f aca="false">IF(AND(MOD(91,3)=0,CQ341&gt;0),CQ341*Assumptions!$B$59,0)</f>
        <v>0</v>
      </c>
      <c r="CR342" s="56" t="n">
        <f aca="false">IF(AND(MOD(92,3)=0,CR341&gt;0),CR341*Assumptions!$B$59,0)</f>
        <v>0</v>
      </c>
      <c r="CS342" s="56" t="n">
        <f aca="false">IF(AND(MOD(93,3)=0,CS341&gt;0),CS341*Assumptions!$B$59,0)</f>
        <v>0</v>
      </c>
      <c r="CT342" s="56" t="n">
        <f aca="false">IF(AND(MOD(94,3)=0,CT341&gt;0),CT341*Assumptions!$B$59,0)</f>
        <v>0</v>
      </c>
      <c r="CU342" s="56" t="n">
        <f aca="false">IF(AND(MOD(95,3)=0,CU341&gt;0),CU341*Assumptions!$B$59,0)</f>
        <v>0</v>
      </c>
      <c r="CV342" s="56" t="n">
        <f aca="false">IF(AND(MOD(96,3)=0,CV341&gt;0),CV341*Assumptions!$B$59,0)</f>
        <v>0</v>
      </c>
      <c r="CW342" s="56" t="n">
        <f aca="false">IF(AND(MOD(97,3)=0,CW341&gt;0),CW341*Assumptions!$B$59,0)</f>
        <v>0</v>
      </c>
      <c r="CX342" s="56" t="n">
        <f aca="false">IF(AND(MOD(98,3)=0,CX341&gt;0),CX341*Assumptions!$B$59,0)</f>
        <v>0</v>
      </c>
      <c r="CY342" s="56" t="n">
        <f aca="false">IF(AND(MOD(99,3)=0,CY341&gt;0),CY341*Assumptions!$B$59,0)</f>
        <v>0</v>
      </c>
      <c r="CZ342" s="56" t="n">
        <f aca="false">IF(AND(MOD(100,3)=0,CZ341&gt;0),CZ341*Assumptions!$B$59,0)</f>
        <v>0</v>
      </c>
      <c r="DA342" s="56" t="n">
        <f aca="false">IF(AND(MOD(101,3)=0,DA341&gt;0),DA341*Assumptions!$B$59,0)</f>
        <v>0</v>
      </c>
      <c r="DB342" s="56" t="n">
        <f aca="false">IF(AND(MOD(102,3)=0,DB341&gt;0),DB341*Assumptions!$B$59,0)</f>
        <v>0</v>
      </c>
      <c r="DC342" s="56" t="n">
        <f aca="false">IF(AND(MOD(103,3)=0,DC341&gt;0),DC341*Assumptions!$B$59,0)</f>
        <v>0</v>
      </c>
      <c r="DD342" s="56" t="n">
        <f aca="false">IF(AND(MOD(104,3)=0,DD341&gt;0),DD341*Assumptions!$B$59,0)</f>
        <v>0</v>
      </c>
      <c r="DE342" s="56" t="n">
        <f aca="false">IF(AND(MOD(105,3)=0,DE341&gt;0),DE341*Assumptions!$B$59,0)</f>
        <v>0</v>
      </c>
    </row>
    <row r="343" customFormat="false" ht="15" hidden="false" customHeight="true" outlineLevel="0" collapsed="false">
      <c r="A343" s="55" t="s">
        <v>179</v>
      </c>
      <c r="B343" s="56"/>
      <c r="C343" s="56"/>
      <c r="D343" s="56"/>
      <c r="E343" s="56" t="n">
        <v>0</v>
      </c>
      <c r="F343" s="56" t="n">
        <v>0</v>
      </c>
      <c r="G343" s="56" t="n">
        <v>0</v>
      </c>
      <c r="H343" s="56" t="n">
        <v>0</v>
      </c>
      <c r="I343" s="56" t="n">
        <v>0</v>
      </c>
      <c r="J343" s="56" t="n">
        <v>0</v>
      </c>
      <c r="K343" s="56" t="n">
        <v>0</v>
      </c>
      <c r="L343" s="56" t="n">
        <v>0</v>
      </c>
      <c r="M343" s="56" t="n">
        <v>0</v>
      </c>
      <c r="N343" s="56" t="n">
        <v>0</v>
      </c>
      <c r="O343" s="56" t="n">
        <v>0</v>
      </c>
      <c r="P343" s="56" t="n">
        <v>0</v>
      </c>
      <c r="Q343" s="56" t="n">
        <f aca="false">IF(Projects!$G$13="Yes",Assumptions!$B$74,0)</f>
        <v>-1450000</v>
      </c>
      <c r="R343" s="56" t="n">
        <v>0</v>
      </c>
      <c r="S343" s="56" t="n">
        <v>0</v>
      </c>
      <c r="T343" s="56" t="n">
        <v>0</v>
      </c>
      <c r="U343" s="56" t="n">
        <v>0</v>
      </c>
      <c r="V343" s="56" t="n">
        <v>0</v>
      </c>
      <c r="W343" s="56" t="n">
        <v>0</v>
      </c>
      <c r="X343" s="56" t="n">
        <v>0</v>
      </c>
      <c r="Y343" s="56" t="n">
        <v>0</v>
      </c>
      <c r="Z343" s="56" t="n">
        <v>0</v>
      </c>
      <c r="AA343" s="56" t="n">
        <v>0</v>
      </c>
      <c r="AB343" s="56" t="n">
        <v>0</v>
      </c>
      <c r="AC343" s="56" t="n">
        <v>0</v>
      </c>
      <c r="AD343" s="56" t="n">
        <v>0</v>
      </c>
      <c r="AE343" s="56" t="n">
        <v>0</v>
      </c>
      <c r="AF343" s="56" t="n">
        <v>0</v>
      </c>
      <c r="AG343" s="56" t="n">
        <v>0</v>
      </c>
      <c r="AH343" s="56" t="n">
        <v>0</v>
      </c>
      <c r="AI343" s="56" t="n">
        <v>0</v>
      </c>
      <c r="AJ343" s="56" t="n">
        <v>0</v>
      </c>
      <c r="AK343" s="56" t="n">
        <v>0</v>
      </c>
      <c r="AL343" s="56" t="n">
        <v>0</v>
      </c>
      <c r="AM343" s="56" t="n">
        <v>0</v>
      </c>
      <c r="AN343" s="56" t="n">
        <v>0</v>
      </c>
      <c r="AO343" s="56" t="n">
        <v>0</v>
      </c>
      <c r="AP343" s="56" t="n">
        <v>0</v>
      </c>
      <c r="AQ343" s="56" t="n">
        <v>0</v>
      </c>
      <c r="AR343" s="56" t="n">
        <v>0</v>
      </c>
      <c r="AS343" s="56" t="n">
        <v>0</v>
      </c>
      <c r="AT343" s="56" t="n">
        <v>0</v>
      </c>
      <c r="AU343" s="56" t="n">
        <v>0</v>
      </c>
      <c r="AV343" s="56" t="n">
        <v>0</v>
      </c>
      <c r="AW343" s="56" t="n">
        <v>0</v>
      </c>
      <c r="AX343" s="56" t="n">
        <v>0</v>
      </c>
      <c r="AY343" s="56" t="n">
        <v>0</v>
      </c>
      <c r="AZ343" s="56" t="n">
        <v>0</v>
      </c>
      <c r="BA343" s="56" t="n">
        <v>0</v>
      </c>
      <c r="BB343" s="56" t="n">
        <v>0</v>
      </c>
      <c r="BC343" s="56" t="n">
        <v>0</v>
      </c>
      <c r="BD343" s="56" t="n">
        <v>0</v>
      </c>
      <c r="BE343" s="56" t="n">
        <v>0</v>
      </c>
      <c r="BF343" s="56" t="n">
        <v>0</v>
      </c>
      <c r="BG343" s="56" t="n">
        <v>0</v>
      </c>
      <c r="BH343" s="56" t="n">
        <v>0</v>
      </c>
      <c r="BI343" s="56" t="n">
        <v>0</v>
      </c>
      <c r="BJ343" s="56" t="n">
        <v>0</v>
      </c>
      <c r="BK343" s="56" t="n">
        <v>0</v>
      </c>
      <c r="BL343" s="56" t="n">
        <v>0</v>
      </c>
      <c r="BM343" s="56" t="n">
        <v>0</v>
      </c>
      <c r="BN343" s="56" t="n">
        <v>0</v>
      </c>
      <c r="BO343" s="56" t="n">
        <v>0</v>
      </c>
      <c r="BP343" s="56" t="n">
        <v>0</v>
      </c>
      <c r="BQ343" s="56" t="n">
        <v>0</v>
      </c>
      <c r="BR343" s="56" t="n">
        <v>0</v>
      </c>
      <c r="BS343" s="56" t="n">
        <v>0</v>
      </c>
      <c r="BT343" s="56" t="n">
        <v>0</v>
      </c>
      <c r="BU343" s="56" t="n">
        <v>0</v>
      </c>
      <c r="BV343" s="56" t="n">
        <v>0</v>
      </c>
      <c r="BW343" s="56" t="n">
        <v>0</v>
      </c>
      <c r="BX343" s="56" t="n">
        <v>0</v>
      </c>
      <c r="BY343" s="56" t="n">
        <v>0</v>
      </c>
      <c r="BZ343" s="56" t="n">
        <v>0</v>
      </c>
      <c r="CA343" s="56" t="n">
        <v>0</v>
      </c>
      <c r="CB343" s="56" t="n">
        <v>0</v>
      </c>
      <c r="CC343" s="56" t="n">
        <v>0</v>
      </c>
      <c r="CD343" s="56" t="n">
        <v>0</v>
      </c>
      <c r="CE343" s="56" t="n">
        <v>0</v>
      </c>
      <c r="CF343" s="56" t="n">
        <v>0</v>
      </c>
      <c r="CG343" s="56" t="n">
        <v>0</v>
      </c>
      <c r="CH343" s="56" t="n">
        <v>0</v>
      </c>
      <c r="CI343" s="56" t="n">
        <v>0</v>
      </c>
      <c r="CJ343" s="56" t="n">
        <v>0</v>
      </c>
      <c r="CK343" s="56" t="n">
        <v>0</v>
      </c>
      <c r="CL343" s="56" t="n">
        <v>0</v>
      </c>
      <c r="CM343" s="56" t="n">
        <v>0</v>
      </c>
      <c r="CN343" s="56" t="n">
        <v>0</v>
      </c>
      <c r="CO343" s="56" t="n">
        <v>0</v>
      </c>
      <c r="CP343" s="56" t="n">
        <v>0</v>
      </c>
      <c r="CQ343" s="56" t="n">
        <v>0</v>
      </c>
      <c r="CR343" s="56" t="n">
        <v>0</v>
      </c>
      <c r="CS343" s="56" t="n">
        <v>0</v>
      </c>
      <c r="CT343" s="56"/>
      <c r="CU343" s="56"/>
      <c r="CV343" s="56"/>
      <c r="CW343" s="56"/>
      <c r="CX343" s="56"/>
      <c r="CY343" s="56"/>
      <c r="CZ343" s="56"/>
      <c r="DA343" s="56"/>
      <c r="DB343" s="56"/>
      <c r="DC343" s="56"/>
      <c r="DD343" s="56"/>
      <c r="DE343" s="56"/>
    </row>
    <row r="344" customFormat="false" ht="15" hidden="false" customHeight="true" outlineLevel="0" collapsed="false">
      <c r="A344" s="57" t="s">
        <v>180</v>
      </c>
      <c r="B344" s="58"/>
      <c r="C344" s="58"/>
      <c r="D344" s="58"/>
      <c r="E344" s="58" t="n">
        <f aca="false">-MIN(E341+E342+E343,MAX(0,E255-Helpers!C23))</f>
        <v>-0</v>
      </c>
      <c r="F344" s="58" t="n">
        <f aca="false">-MIN(F341+F342+F343,MAX(0,F255-Helpers!D23))</f>
        <v>-0</v>
      </c>
      <c r="G344" s="58" t="n">
        <f aca="false">-MIN(G341+G342+G343,MAX(0,G255-Helpers!E23))</f>
        <v>-0</v>
      </c>
      <c r="H344" s="58" t="n">
        <f aca="false">-MIN(H341+H342+H343,MAX(0,H255-Helpers!F23))</f>
        <v>-0</v>
      </c>
      <c r="I344" s="58" t="n">
        <f aca="false">-MIN(I341+I342+I343,MAX(0,I255-Helpers!G23))</f>
        <v>-0</v>
      </c>
      <c r="J344" s="58" t="n">
        <f aca="false">-MIN(J341+J342+J343,MAX(0,J255-Helpers!H23))</f>
        <v>-0</v>
      </c>
      <c r="K344" s="58" t="n">
        <f aca="false">-MIN(K341+K342+K343,MAX(0,K255-Helpers!I23))</f>
        <v>-0</v>
      </c>
      <c r="L344" s="58" t="n">
        <f aca="false">-MIN(L341+L342+L343,MAX(0,L255-Helpers!J23))</f>
        <v>-0</v>
      </c>
      <c r="M344" s="58" t="n">
        <f aca="false">-MIN(M341+M342+M343,MAX(0,M255-Helpers!K23))</f>
        <v>-0</v>
      </c>
      <c r="N344" s="58" t="n">
        <f aca="false">-MIN(N341+N342+N343,MAX(0,N255-Helpers!L23))</f>
        <v>-0</v>
      </c>
      <c r="O344" s="58" t="n">
        <f aca="false">-MIN(O341+O342+O343,MAX(0,O255-Helpers!M23))</f>
        <v>-0</v>
      </c>
      <c r="P344" s="58" t="n">
        <f aca="false">-MIN(P341+P342+P343,MAX(0,P255-Helpers!N23))</f>
        <v>-0</v>
      </c>
      <c r="Q344" s="58" t="n">
        <f aca="false">-MIN(Q341+Q342+Q343,MAX(0,Q255-Helpers!O23))</f>
        <v>-0</v>
      </c>
      <c r="R344" s="58" t="n">
        <f aca="false">-MIN(R341+R342+R343,MAX(0,R255-Helpers!P23))</f>
        <v>-0</v>
      </c>
      <c r="S344" s="58" t="n">
        <f aca="false">-MIN(S341+S342+S343,MAX(0,S255-Helpers!Q23))</f>
        <v>-0</v>
      </c>
      <c r="T344" s="58" t="n">
        <f aca="false">-MIN(T341+T342+T343,MAX(0,T255-Helpers!R23))</f>
        <v>-0</v>
      </c>
      <c r="U344" s="58" t="n">
        <f aca="false">-MIN(U341+U342+U343,MAX(0,U255-Helpers!S23))</f>
        <v>-0</v>
      </c>
      <c r="V344" s="58" t="n">
        <f aca="false">-MIN(V341+V342+V343,MAX(0,V255-Helpers!T23))</f>
        <v>-0</v>
      </c>
      <c r="W344" s="58" t="n">
        <f aca="false">-MIN(W341+W342+W343,MAX(0,W255-Helpers!U23))</f>
        <v>-0</v>
      </c>
      <c r="X344" s="58" t="n">
        <f aca="false">-MIN(X341+X342+X343,MAX(0,X255-Helpers!V23))</f>
        <v>-0</v>
      </c>
      <c r="Y344" s="58" t="n">
        <f aca="false">-MIN(Y341+Y342+Y343,MAX(0,Y255-Helpers!W23))</f>
        <v>-0</v>
      </c>
      <c r="Z344" s="58" t="n">
        <f aca="false">-MIN(Z341+Z342+Z343,MAX(0,Z255-Helpers!X23))</f>
        <v>-0</v>
      </c>
      <c r="AA344" s="58" t="n">
        <f aca="false">-MIN(AA341+AA342+AA343,MAX(0,AA255-Helpers!Y23))</f>
        <v>-0</v>
      </c>
      <c r="AB344" s="58" t="n">
        <f aca="false">-MIN(AB341+AB342+AB343,MAX(0,AB255-Helpers!Z23))</f>
        <v>-0</v>
      </c>
      <c r="AC344" s="58" t="n">
        <f aca="false">-MIN(AC341+AC342+AC343,MAX(0,AC255-Helpers!AA23))</f>
        <v>-0</v>
      </c>
      <c r="AD344" s="58" t="n">
        <f aca="false">-MIN(AD341+AD342+AD343,MAX(0,AD255-Helpers!AB23))</f>
        <v>-0</v>
      </c>
      <c r="AE344" s="58" t="n">
        <f aca="false">-MIN(AE341+AE342+AE343,MAX(0,AE255-Helpers!AC23))</f>
        <v>-0</v>
      </c>
      <c r="AF344" s="58" t="n">
        <f aca="false">-MIN(AF341+AF342+AF343,MAX(0,AF255-Helpers!AD23))</f>
        <v>-0</v>
      </c>
      <c r="AG344" s="58" t="n">
        <f aca="false">-MIN(AG341+AG342+AG343,MAX(0,AG255-Helpers!AE23))</f>
        <v>-0</v>
      </c>
      <c r="AH344" s="58" t="n">
        <f aca="false">-MIN(AH341+AH342+AH343,MAX(0,AH255-Helpers!AF23))</f>
        <v>-0</v>
      </c>
      <c r="AI344" s="58" t="n">
        <f aca="false">-MIN(AI341+AI342+AI343,MAX(0,AI255-Helpers!AG23))</f>
        <v>-0</v>
      </c>
      <c r="AJ344" s="58" t="n">
        <f aca="false">-MIN(AJ341+AJ342+AJ343,MAX(0,AJ255-Helpers!AH23))</f>
        <v>-0</v>
      </c>
      <c r="AK344" s="58" t="n">
        <f aca="false">-MIN(AK341+AK342+AK343,MAX(0,AK255-Helpers!AI23))</f>
        <v>-0</v>
      </c>
      <c r="AL344" s="58" t="n">
        <f aca="false">-MIN(AL341+AL342+AL343,MAX(0,AL255-Helpers!AJ23))</f>
        <v>-0</v>
      </c>
      <c r="AM344" s="58" t="n">
        <f aca="false">-MIN(AM341+AM342+AM343,MAX(0,AM255-Helpers!AK23))</f>
        <v>-0</v>
      </c>
      <c r="AN344" s="58" t="n">
        <f aca="false">-MIN(AN341+AN342+AN343,MAX(0,AN255-Helpers!AL23))</f>
        <v>-0</v>
      </c>
      <c r="AO344" s="58" t="n">
        <f aca="false">-MIN(AO341+AO342+AO343,MAX(0,AO255-Helpers!AM23))</f>
        <v>-0</v>
      </c>
      <c r="AP344" s="58" t="n">
        <f aca="false">-MIN(AP341+AP342+AP343,MAX(0,AP255-Helpers!AN23))</f>
        <v>-0</v>
      </c>
      <c r="AQ344" s="58" t="n">
        <f aca="false">-MIN(AQ341+AQ342+AQ343,MAX(0,AQ255-Helpers!AO23))</f>
        <v>-0</v>
      </c>
      <c r="AR344" s="58" t="n">
        <f aca="false">-MIN(AR341+AR342+AR343,MAX(0,AR255-Helpers!AP23))</f>
        <v>-0</v>
      </c>
      <c r="AS344" s="58" t="n">
        <f aca="false">-MIN(AS341+AS342+AS343,MAX(0,AS255-Helpers!AQ23))</f>
        <v>-0</v>
      </c>
      <c r="AT344" s="58" t="n">
        <f aca="false">-MIN(AT341+AT342+AT343,MAX(0,AT255-Helpers!AR23))</f>
        <v>-0</v>
      </c>
      <c r="AU344" s="58" t="n">
        <f aca="false">-MIN(AU341+AU342+AU343,MAX(0,AU255-Helpers!AS23))</f>
        <v>-0</v>
      </c>
      <c r="AV344" s="58" t="n">
        <f aca="false">-MIN(AV341+AV342+AV343,MAX(0,AV255-Helpers!AT23))</f>
        <v>-0</v>
      </c>
      <c r="AW344" s="58" t="n">
        <f aca="false">-MIN(AW341+AW342+AW343,MAX(0,AW255-Helpers!AU23))</f>
        <v>-0</v>
      </c>
      <c r="AX344" s="58" t="n">
        <f aca="false">-MIN(AX341+AX342+AX343,MAX(0,AX255-Helpers!AV23))</f>
        <v>-0</v>
      </c>
      <c r="AY344" s="58" t="n">
        <f aca="false">-MIN(AY341+AY342+AY343,MAX(0,AY255-Helpers!AW23))</f>
        <v>-0</v>
      </c>
      <c r="AZ344" s="58" t="n">
        <f aca="false">-MIN(AZ341+AZ342+AZ343,MAX(0,AZ255-Helpers!AX23))</f>
        <v>-0</v>
      </c>
      <c r="BA344" s="58" t="n">
        <f aca="false">-MIN(BA341+BA342+BA343,MAX(0,BA255-Helpers!AY23))</f>
        <v>-0</v>
      </c>
      <c r="BB344" s="58" t="n">
        <f aca="false">-MIN(BB341+BB342+BB343,MAX(0,BB255-Helpers!AZ23))</f>
        <v>-0</v>
      </c>
      <c r="BC344" s="58" t="n">
        <f aca="false">-MIN(BC341+BC342+BC343,MAX(0,BC255-Helpers!BA23))</f>
        <v>-249171.3</v>
      </c>
      <c r="BD344" s="58" t="n">
        <f aca="false">-MIN(BD341+BD342+BD343,MAX(0,BD255-Helpers!BB23))</f>
        <v>-0</v>
      </c>
      <c r="BE344" s="58" t="n">
        <f aca="false">-MIN(BE341+BE342+BE343,MAX(0,BE255-Helpers!BC23))</f>
        <v>-0</v>
      </c>
      <c r="BF344" s="58" t="n">
        <f aca="false">-MIN(BF341+BF342+BF343,MAX(0,BF255-Helpers!BD23))</f>
        <v>-71700</v>
      </c>
      <c r="BG344" s="58" t="n">
        <f aca="false">-MIN(BG341+BG342+BG343,MAX(0,BG255-Helpers!BE23))</f>
        <v>-0</v>
      </c>
      <c r="BH344" s="58" t="n">
        <f aca="false">-MIN(BH341+BH342+BH343,MAX(0,BH255-Helpers!BF23))</f>
        <v>-0</v>
      </c>
      <c r="BI344" s="58" t="n">
        <f aca="false">-MIN(BI341+BI342+BI343,MAX(0,BI255-Helpers!BG23))</f>
        <v>-71700</v>
      </c>
      <c r="BJ344" s="58" t="n">
        <f aca="false">-MIN(BJ341+BJ342+BJ343,MAX(0,BJ255-Helpers!BH23))</f>
        <v>-0</v>
      </c>
      <c r="BK344" s="58" t="n">
        <f aca="false">-MIN(BK341+BK342+BK343,MAX(0,BK255-Helpers!BI23))</f>
        <v>-0</v>
      </c>
      <c r="BL344" s="58" t="n">
        <f aca="false">-MIN(BL341+BL342+BL343,MAX(0,BL255-Helpers!BJ23))</f>
        <v>-71700</v>
      </c>
      <c r="BM344" s="58" t="n">
        <f aca="false">-MIN(BM341+BM342+BM343,MAX(0,BM255-Helpers!BK23))</f>
        <v>-0</v>
      </c>
      <c r="BN344" s="58" t="n">
        <f aca="false">-MIN(BN341+BN342+BN343,MAX(0,BN255-Helpers!BL23))</f>
        <v>-0</v>
      </c>
      <c r="BO344" s="58" t="n">
        <f aca="false">-MIN(BO341+BO342+BO343,MAX(0,BO255-Helpers!BM23))</f>
        <v>-71700</v>
      </c>
      <c r="BP344" s="58" t="n">
        <f aca="false">-MIN(BP341+BP342+BP343,MAX(0,BP255-Helpers!BN23))</f>
        <v>-0</v>
      </c>
      <c r="BQ344" s="58" t="n">
        <f aca="false">-MIN(BQ341+BQ342+BQ343,MAX(0,BQ255-Helpers!BO23))</f>
        <v>-0</v>
      </c>
      <c r="BR344" s="58" t="n">
        <f aca="false">-MIN(BR341+BR342+BR343,MAX(0,BR255-Helpers!BP23))</f>
        <v>-74643</v>
      </c>
      <c r="BS344" s="58" t="n">
        <f aca="false">-MIN(BS341+BS342+BS343,MAX(0,BS255-Helpers!BQ23))</f>
        <v>-0</v>
      </c>
      <c r="BT344" s="58" t="n">
        <f aca="false">-MIN(BT341+BT342+BT343,MAX(0,BT255-Helpers!BR23))</f>
        <v>-0</v>
      </c>
      <c r="BU344" s="58" t="n">
        <f aca="false">-MIN(BU341+BU342+BU343,MAX(0,BU255-Helpers!BS23))</f>
        <v>-74640</v>
      </c>
      <c r="BV344" s="58" t="n">
        <f aca="false">-MIN(BV341+BV342+BV343,MAX(0,BV255-Helpers!BT23))</f>
        <v>-0</v>
      </c>
      <c r="BW344" s="58" t="n">
        <f aca="false">-MIN(BW341+BW342+BW343,MAX(0,BW255-Helpers!BU23))</f>
        <v>-0</v>
      </c>
      <c r="BX344" s="58" t="n">
        <f aca="false">-MIN(BX341+BX342+BX343,MAX(0,BX255-Helpers!BV23))</f>
        <v>-74640</v>
      </c>
      <c r="BY344" s="58" t="n">
        <f aca="false">-MIN(BY341+BY342+BY343,MAX(0,BY255-Helpers!BW23))</f>
        <v>-0</v>
      </c>
      <c r="BZ344" s="58" t="n">
        <f aca="false">-MIN(BZ341+BZ342+BZ343,MAX(0,BZ255-Helpers!BX23))</f>
        <v>-0</v>
      </c>
      <c r="CA344" s="58" t="n">
        <f aca="false">-MIN(CA341+CA342+CA343,MAX(0,CA255-Helpers!BY23))</f>
        <v>-74640</v>
      </c>
      <c r="CB344" s="58" t="n">
        <f aca="false">-MIN(CB341+CB342+CB343,MAX(0,CB255-Helpers!BZ23))</f>
        <v>-0</v>
      </c>
      <c r="CC344" s="58" t="n">
        <f aca="false">-MIN(CC341+CC342+CC343,MAX(0,CC255-Helpers!CA23))</f>
        <v>-0</v>
      </c>
      <c r="CD344" s="58" t="n">
        <f aca="false">-MIN(CD341+CD342+CD343,MAX(0,CD255-Helpers!CB23))</f>
        <v>-81363</v>
      </c>
      <c r="CE344" s="58" t="n">
        <f aca="false">-MIN(CE341+CE342+CE343,MAX(0,CE255-Helpers!CC23))</f>
        <v>-0</v>
      </c>
      <c r="CF344" s="58" t="n">
        <f aca="false">-MIN(CF341+CF342+CF343,MAX(0,CF255-Helpers!CD23))</f>
        <v>-0</v>
      </c>
      <c r="CG344" s="58" t="n">
        <f aca="false">-MIN(CG341+CG342+CG343,MAX(0,CG255-Helpers!CE23))</f>
        <v>-81362</v>
      </c>
      <c r="CH344" s="58" t="n">
        <f aca="false">-MIN(CH341+CH342+CH343,MAX(0,CH255-Helpers!CF23))</f>
        <v>-0</v>
      </c>
      <c r="CI344" s="58" t="n">
        <f aca="false">-MIN(CI341+CI342+CI343,MAX(0,CI255-Helpers!CG23))</f>
        <v>-0</v>
      </c>
      <c r="CJ344" s="58" t="n">
        <f aca="false">-MIN(CJ341+CJ342+CJ343,MAX(0,CJ255-Helpers!CH23))</f>
        <v>-74753.9733935208</v>
      </c>
      <c r="CK344" s="58" t="n">
        <f aca="false">-MIN(CK341+CK342+CK343,MAX(0,CK255-Helpers!CI23))</f>
        <v>-0</v>
      </c>
      <c r="CL344" s="58" t="n">
        <f aca="false">-MIN(CL341+CL342+CL343,MAX(0,CL255-Helpers!CJ23))</f>
        <v>-0</v>
      </c>
      <c r="CM344" s="58" t="n">
        <f aca="false">-MIN(CM341+CM342+CM343,MAX(0,CM255-Helpers!CK23))</f>
        <v>-0</v>
      </c>
      <c r="CN344" s="58" t="n">
        <f aca="false">-MIN(CN341+CN342+CN343,MAX(0,CN255-Helpers!CL23))</f>
        <v>-0</v>
      </c>
      <c r="CO344" s="58" t="n">
        <f aca="false">-MIN(CO341+CO342+CO343,MAX(0,CO255-Helpers!CM23))</f>
        <v>-0</v>
      </c>
      <c r="CP344" s="58" t="n">
        <f aca="false">-MIN(CP341+CP342+CP343,MAX(0,CP255-Helpers!CN23))</f>
        <v>-0</v>
      </c>
      <c r="CQ344" s="58" t="n">
        <f aca="false">-MIN(CQ341+CQ342+CQ343,MAX(0,CQ255-Helpers!CO23))</f>
        <v>-0</v>
      </c>
      <c r="CR344" s="58" t="n">
        <f aca="false">-MIN(CR341+CR342+CR343,MAX(0,CR255-Helpers!CP23))</f>
        <v>-0</v>
      </c>
      <c r="CS344" s="58" t="n">
        <f aca="false">-MIN(CS341+CS342+CS343,MAX(0,CS255-Helpers!CQ23))</f>
        <v>-0</v>
      </c>
      <c r="CT344" s="58" t="n">
        <f aca="false">-MIN(CT341+CT342+CT343,MAX(0,CT255-Helpers!CR23))</f>
        <v>-0</v>
      </c>
      <c r="CU344" s="58" t="n">
        <f aca="false">-MIN(CU341+CU342+CU343,MAX(0,CU255-Helpers!CS23))</f>
        <v>-0</v>
      </c>
      <c r="CV344" s="58" t="n">
        <f aca="false">-MIN(CV341+CV342+CV343,MAX(0,CV255-Helpers!CT23))</f>
        <v>-0</v>
      </c>
      <c r="CW344" s="58" t="n">
        <f aca="false">-MIN(CW341+CW342+CW343,MAX(0,CW255-Helpers!CU23))</f>
        <v>-0</v>
      </c>
      <c r="CX344" s="58" t="n">
        <f aca="false">-MIN(CX341+CX342+CX343,MAX(0,CX255-Helpers!CV23))</f>
        <v>-0</v>
      </c>
      <c r="CY344" s="58" t="n">
        <f aca="false">-MIN(CY341+CY342+CY343,MAX(0,CY255-Helpers!CW23))</f>
        <v>-0</v>
      </c>
      <c r="CZ344" s="58" t="n">
        <f aca="false">-MIN(CZ341+CZ342+CZ343,MAX(0,CZ255-Helpers!CX23))</f>
        <v>-0</v>
      </c>
      <c r="DA344" s="58" t="n">
        <f aca="false">-MIN(DA341+DA342+DA343,MAX(0,DA255-Helpers!CY23))</f>
        <v>-0</v>
      </c>
      <c r="DB344" s="58" t="n">
        <f aca="false">-MIN(DB341+DB342+DB343,MAX(0,DB255-Helpers!CZ23))</f>
        <v>-0</v>
      </c>
      <c r="DC344" s="58" t="n">
        <f aca="false">-MIN(DC341+DC342+DC343,MAX(0,DC255-Helpers!DA23))</f>
        <v>-0</v>
      </c>
      <c r="DD344" s="58" t="n">
        <f aca="false">-MIN(DD341+DD342+DD343,MAX(0,DD255-Helpers!DB23))</f>
        <v>-0</v>
      </c>
      <c r="DE344" s="58" t="n">
        <f aca="false">-MIN(DE341+DE342+DE343,MAX(0,DE255-Helpers!DC23))</f>
        <v>-0</v>
      </c>
    </row>
    <row r="345" customFormat="false" ht="15" hidden="false" customHeight="true" outlineLevel="0" collapsed="false">
      <c r="A345" s="59" t="s">
        <v>181</v>
      </c>
      <c r="B345" s="60"/>
      <c r="C345" s="60"/>
      <c r="D345" s="60"/>
      <c r="E345" s="60" t="n">
        <f aca="false">MAX(0,E341+E342+E343+E344)</f>
        <v>1134000</v>
      </c>
      <c r="F345" s="60" t="n">
        <f aca="false">MAX(0,F341+F342+F343+F344)</f>
        <v>1184000</v>
      </c>
      <c r="G345" s="60" t="n">
        <f aca="false">MAX(0,G341+G342+G343+G344)</f>
        <v>1280275</v>
      </c>
      <c r="H345" s="60" t="n">
        <f aca="false">MAX(0,H341+H342+H343+H344)</f>
        <v>1330275</v>
      </c>
      <c r="I345" s="60" t="n">
        <f aca="false">MAX(0,I341+I342+I343+I344)</f>
        <v>1380275</v>
      </c>
      <c r="J345" s="60" t="n">
        <f aca="false">MAX(0,J341+J342+J343+J344)</f>
        <v>1483910.3125</v>
      </c>
      <c r="K345" s="60" t="n">
        <f aca="false">MAX(0,K341+K342+K343+K344)</f>
        <v>1533910.3125</v>
      </c>
      <c r="L345" s="60" t="n">
        <f aca="false">MAX(0,L341+L342+L343+L344)</f>
        <v>1583910.3125</v>
      </c>
      <c r="M345" s="60" t="n">
        <f aca="false">MAX(0,M341+M342+M343+M344)</f>
        <v>1695181.94921875</v>
      </c>
      <c r="N345" s="60" t="n">
        <f aca="false">MAX(0,N341+N342+N343+N344)</f>
        <v>1745181.94921875</v>
      </c>
      <c r="O345" s="60" t="n">
        <f aca="false">MAX(0,O341+O342+O343+O344)</f>
        <v>1795181.94921875</v>
      </c>
      <c r="P345" s="60" t="n">
        <f aca="false">MAX(0,P341+P342+P343+P344)</f>
        <v>1914376.27231445</v>
      </c>
      <c r="Q345" s="60" t="n">
        <f aca="false">MAX(0,Q341+Q342+Q343+Q344)</f>
        <v>514376.272314453</v>
      </c>
      <c r="R345" s="60" t="n">
        <f aca="false">MAX(0,R341+R342+R343+R344)</f>
        <v>564376.272314453</v>
      </c>
      <c r="S345" s="60" t="n">
        <f aca="false">MAX(0,S341+S342+S343+S344)</f>
        <v>585540.382526245</v>
      </c>
      <c r="T345" s="60" t="n">
        <f aca="false">MAX(0,T341+T342+T343+T344)</f>
        <v>585540.382526245</v>
      </c>
      <c r="U345" s="60" t="n">
        <f aca="false">MAX(0,U341+U342+U343+U344)</f>
        <v>585540.382526245</v>
      </c>
      <c r="V345" s="60" t="n">
        <f aca="false">MAX(0,V341+V342+V343+V344)</f>
        <v>607498.146870979</v>
      </c>
      <c r="W345" s="60" t="n">
        <f aca="false">MAX(0,W341+W342+W343+W344)</f>
        <v>607498.146870979</v>
      </c>
      <c r="X345" s="60" t="n">
        <f aca="false">MAX(0,X341+X342+X343+X344)</f>
        <v>607498.146870979</v>
      </c>
      <c r="Y345" s="60" t="n">
        <f aca="false">MAX(0,Y341+Y342+Y343+Y344)</f>
        <v>630279.327378641</v>
      </c>
      <c r="Z345" s="60" t="n">
        <f aca="false">MAX(0,Z341+Z342+Z343+Z344)</f>
        <v>630279.327378641</v>
      </c>
      <c r="AA345" s="60" t="n">
        <f aca="false">MAX(0,AA341+AA342+AA343+AA344)</f>
        <v>630279.327378641</v>
      </c>
      <c r="AB345" s="60" t="n">
        <f aca="false">MAX(0,AB341+AB342+AB343+AB344)</f>
        <v>653914.80215534</v>
      </c>
      <c r="AC345" s="60" t="n">
        <f aca="false">MAX(0,AC341+AC342+AC343+AC344)</f>
        <v>653914.80215534</v>
      </c>
      <c r="AD345" s="60" t="n">
        <f aca="false">MAX(0,AD341+AD342+AD343+AD344)</f>
        <v>653914.80215534</v>
      </c>
      <c r="AE345" s="60" t="n">
        <f aca="false">MAX(0,AE341+AE342+AE343+AE344)</f>
        <v>678436.607236165</v>
      </c>
      <c r="AF345" s="60" t="n">
        <f aca="false">MAX(0,AF341+AF342+AF343+AF344)</f>
        <v>678436.607236165</v>
      </c>
      <c r="AG345" s="60" t="n">
        <f aca="false">MAX(0,AG341+AG342+AG343+AG344)</f>
        <v>678436.607236165</v>
      </c>
      <c r="AH345" s="60" t="n">
        <f aca="false">MAX(0,AH341+AH342+AH343+AH344)</f>
        <v>703877.980007521</v>
      </c>
      <c r="AI345" s="60" t="n">
        <f aca="false">MAX(0,AI341+AI342+AI343+AI344)</f>
        <v>703877.980007521</v>
      </c>
      <c r="AJ345" s="60" t="n">
        <f aca="false">MAX(0,AJ341+AJ342+AJ343+AJ344)</f>
        <v>703877.980007521</v>
      </c>
      <c r="AK345" s="60" t="n">
        <f aca="false">MAX(0,AK341+AK342+AK343+AK344)</f>
        <v>730273.404257803</v>
      </c>
      <c r="AL345" s="60" t="n">
        <f aca="false">MAX(0,AL341+AL342+AL343+AL344)</f>
        <v>730273.404257803</v>
      </c>
      <c r="AM345" s="60" t="n">
        <f aca="false">MAX(0,AM341+AM342+AM343+AM344)</f>
        <v>730273.404257803</v>
      </c>
      <c r="AN345" s="60" t="n">
        <f aca="false">MAX(0,AN341+AN342+AN343+AN344)</f>
        <v>757658.656917471</v>
      </c>
      <c r="AO345" s="60" t="n">
        <f aca="false">MAX(0,AO341+AO342+AO343+AO344)</f>
        <v>757658.656917471</v>
      </c>
      <c r="AP345" s="60" t="n">
        <f aca="false">MAX(0,AP341+AP342+AP343+AP344)</f>
        <v>757658.656917471</v>
      </c>
      <c r="AQ345" s="60" t="n">
        <f aca="false">MAX(0,AQ341+AQ342+AQ343+AQ344)</f>
        <v>786070.856551876</v>
      </c>
      <c r="AR345" s="60" t="n">
        <f aca="false">MAX(0,AR341+AR342+AR343+AR344)</f>
        <v>786070.856551876</v>
      </c>
      <c r="AS345" s="60" t="n">
        <f aca="false">MAX(0,AS341+AS342+AS343+AS344)</f>
        <v>786070.856551876</v>
      </c>
      <c r="AT345" s="60" t="n">
        <f aca="false">MAX(0,AT341+AT342+AT343+AT344)</f>
        <v>815548.513672571</v>
      </c>
      <c r="AU345" s="60" t="n">
        <f aca="false">MAX(0,AU341+AU342+AU343+AU344)</f>
        <v>815548.513672571</v>
      </c>
      <c r="AV345" s="60" t="n">
        <f aca="false">MAX(0,AV341+AV342+AV343+AV344)</f>
        <v>815548.513672571</v>
      </c>
      <c r="AW345" s="60" t="n">
        <f aca="false">MAX(0,AW341+AW342+AW343+AW344)</f>
        <v>846131.582935293</v>
      </c>
      <c r="AX345" s="60" t="n">
        <f aca="false">MAX(0,AX341+AX342+AX343+AX344)</f>
        <v>846131.582935293</v>
      </c>
      <c r="AY345" s="60" t="n">
        <f aca="false">MAX(0,AY341+AY342+AY343+AY344)</f>
        <v>846131.582935293</v>
      </c>
      <c r="AZ345" s="60" t="n">
        <f aca="false">MAX(0,AZ341+AZ342+AZ343+AZ344)</f>
        <v>877861.517295366</v>
      </c>
      <c r="BA345" s="60" t="n">
        <f aca="false">MAX(0,BA341+BA342+BA343+BA344)</f>
        <v>877861.517295366</v>
      </c>
      <c r="BB345" s="60" t="n">
        <f aca="false">MAX(0,BB341+BB342+BB343+BB344)</f>
        <v>877861.517295366</v>
      </c>
      <c r="BC345" s="60" t="n">
        <f aca="false">MAX(0,BC341+BC342+BC343+BC344)</f>
        <v>661610.024193943</v>
      </c>
      <c r="BD345" s="60" t="n">
        <f aca="false">MAX(0,BD341+BD342+BD343+BD344)</f>
        <v>661610.024193943</v>
      </c>
      <c r="BE345" s="60" t="n">
        <f aca="false">MAX(0,BE341+BE342+BE343+BE344)</f>
        <v>661610.024193943</v>
      </c>
      <c r="BF345" s="60" t="n">
        <f aca="false">MAX(0,BF341+BF342+BF343+BF344)</f>
        <v>614720.400101215</v>
      </c>
      <c r="BG345" s="60" t="n">
        <f aca="false">MAX(0,BG341+BG342+BG343+BG344)</f>
        <v>614720.400101215</v>
      </c>
      <c r="BH345" s="60" t="n">
        <f aca="false">MAX(0,BH341+BH342+BH343+BH344)</f>
        <v>614720.400101215</v>
      </c>
      <c r="BI345" s="60" t="n">
        <f aca="false">MAX(0,BI341+BI342+BI343+BI344)</f>
        <v>566072.415105011</v>
      </c>
      <c r="BJ345" s="60" t="n">
        <f aca="false">MAX(0,BJ341+BJ342+BJ343+BJ344)</f>
        <v>566072.415105011</v>
      </c>
      <c r="BK345" s="60" t="n">
        <f aca="false">MAX(0,BK341+BK342+BK343+BK344)</f>
        <v>566072.415105011</v>
      </c>
      <c r="BL345" s="60" t="n">
        <f aca="false">MAX(0,BL341+BL342+BL343+BL344)</f>
        <v>515600.130671449</v>
      </c>
      <c r="BM345" s="60" t="n">
        <f aca="false">MAX(0,BM341+BM342+BM343+BM344)</f>
        <v>515600.130671449</v>
      </c>
      <c r="BN345" s="60" t="n">
        <f aca="false">MAX(0,BN341+BN342+BN343+BN344)</f>
        <v>515600.130671449</v>
      </c>
      <c r="BO345" s="60" t="n">
        <f aca="false">MAX(0,BO341+BO342+BO343+BO344)</f>
        <v>463235.135571628</v>
      </c>
      <c r="BP345" s="60" t="n">
        <f aca="false">MAX(0,BP341+BP342+BP343+BP344)</f>
        <v>463235.135571628</v>
      </c>
      <c r="BQ345" s="60" t="n">
        <f aca="false">MAX(0,BQ341+BQ342+BQ343+BQ344)</f>
        <v>463235.135571628</v>
      </c>
      <c r="BR345" s="60" t="n">
        <f aca="false">MAX(0,BR341+BR342+BR343+BR344)</f>
        <v>405963.453155564</v>
      </c>
      <c r="BS345" s="60" t="n">
        <f aca="false">MAX(0,BS341+BS342+BS343+BS344)</f>
        <v>405963.453155564</v>
      </c>
      <c r="BT345" s="60" t="n">
        <f aca="false">MAX(0,BT341+BT342+BT343+BT344)</f>
        <v>405963.453155564</v>
      </c>
      <c r="BU345" s="60" t="n">
        <f aca="false">MAX(0,BU341+BU342+BU343+BU344)</f>
        <v>346547.082648898</v>
      </c>
      <c r="BV345" s="60" t="n">
        <f aca="false">MAX(0,BV341+BV342+BV343+BV344)</f>
        <v>346547.082648898</v>
      </c>
      <c r="BW345" s="60" t="n">
        <f aca="false">MAX(0,BW341+BW342+BW343+BW344)</f>
        <v>346547.082648898</v>
      </c>
      <c r="BX345" s="60" t="n">
        <f aca="false">MAX(0,BX341+BX342+BX343+BX344)</f>
        <v>284902.598248232</v>
      </c>
      <c r="BY345" s="60" t="n">
        <f aca="false">MAX(0,BY341+BY342+BY343+BY344)</f>
        <v>284902.598248232</v>
      </c>
      <c r="BZ345" s="60" t="n">
        <f aca="false">MAX(0,BZ341+BZ342+BZ343+BZ344)</f>
        <v>284902.598248232</v>
      </c>
      <c r="CA345" s="60" t="n">
        <f aca="false">MAX(0,CA341+CA342+CA343+CA344)</f>
        <v>220946.44568254</v>
      </c>
      <c r="CB345" s="60" t="n">
        <f aca="false">MAX(0,CB341+CB342+CB343+CB344)</f>
        <v>220946.44568254</v>
      </c>
      <c r="CC345" s="60" t="n">
        <f aca="false">MAX(0,CC341+CC342+CC343+CC344)</f>
        <v>220946.44568254</v>
      </c>
      <c r="CD345" s="60" t="n">
        <f aca="false">MAX(0,CD341+CD342+CD343+CD344)</f>
        <v>147868.937395636</v>
      </c>
      <c r="CE345" s="60" t="n">
        <f aca="false">MAX(0,CE341+CE342+CE343+CE344)</f>
        <v>147868.937395636</v>
      </c>
      <c r="CF345" s="60" t="n">
        <f aca="false">MAX(0,CF341+CF342+CF343+CF344)</f>
        <v>147868.937395636</v>
      </c>
      <c r="CG345" s="60" t="n">
        <f aca="false">MAX(0,CG341+CG342+CG343+CG344)</f>
        <v>72052.0225479718</v>
      </c>
      <c r="CH345" s="60" t="n">
        <f aca="false">MAX(0,CH341+CH342+CH343+CH344)</f>
        <v>72052.0225479718</v>
      </c>
      <c r="CI345" s="60" t="n">
        <f aca="false">MAX(0,CI341+CI342+CI343+CI344)</f>
        <v>72052.0225479718</v>
      </c>
      <c r="CJ345" s="60" t="n">
        <f aca="false">MAX(0,CJ341+CJ342+CJ343+CJ344)</f>
        <v>0</v>
      </c>
      <c r="CK345" s="60" t="n">
        <f aca="false">MAX(0,CK341+CK342+CK343+CK344)</f>
        <v>0</v>
      </c>
      <c r="CL345" s="60" t="n">
        <f aca="false">MAX(0,CL341+CL342+CL343+CL344)</f>
        <v>0</v>
      </c>
      <c r="CM345" s="60" t="n">
        <f aca="false">MAX(0,CM341+CM342+CM343+CM344)</f>
        <v>0</v>
      </c>
      <c r="CN345" s="60" t="n">
        <f aca="false">MAX(0,CN341+CN342+CN343+CN344)</f>
        <v>0</v>
      </c>
      <c r="CO345" s="60" t="n">
        <f aca="false">MAX(0,CO341+CO342+CO343+CO344)</f>
        <v>0</v>
      </c>
      <c r="CP345" s="60" t="n">
        <f aca="false">MAX(0,CP341+CP342+CP343+CP344)</f>
        <v>0</v>
      </c>
      <c r="CQ345" s="60" t="n">
        <f aca="false">MAX(0,CQ341+CQ342+CQ343+CQ344)</f>
        <v>0</v>
      </c>
      <c r="CR345" s="60" t="n">
        <f aca="false">MAX(0,CR341+CR342+CR343+CR344)</f>
        <v>0</v>
      </c>
      <c r="CS345" s="60" t="n">
        <f aca="false">MAX(0,CS341+CS342+CS343+CS344)</f>
        <v>0</v>
      </c>
      <c r="CT345" s="60" t="n">
        <f aca="false">MAX(0,CT341+CT342+CT343+CT344)</f>
        <v>0</v>
      </c>
      <c r="CU345" s="60" t="n">
        <f aca="false">MAX(0,CU341+CU342+CU343+CU344)</f>
        <v>0</v>
      </c>
      <c r="CV345" s="60" t="n">
        <f aca="false">MAX(0,CV341+CV342+CV343+CV344)</f>
        <v>0</v>
      </c>
      <c r="CW345" s="60" t="n">
        <f aca="false">MAX(0,CW341+CW342+CW343+CW344)</f>
        <v>0</v>
      </c>
      <c r="CX345" s="60" t="n">
        <f aca="false">MAX(0,CX341+CX342+CX343+CX344)</f>
        <v>0</v>
      </c>
      <c r="CY345" s="60" t="n">
        <f aca="false">MAX(0,CY341+CY342+CY343+CY344)</f>
        <v>0</v>
      </c>
      <c r="CZ345" s="60" t="n">
        <f aca="false">MAX(0,CZ341+CZ342+CZ343+CZ344)</f>
        <v>0</v>
      </c>
      <c r="DA345" s="60" t="n">
        <f aca="false">MAX(0,DA341+DA342+DA343+DA344)</f>
        <v>0</v>
      </c>
      <c r="DB345" s="60" t="n">
        <f aca="false">MAX(0,DB341+DB342+DB343+DB344)</f>
        <v>0</v>
      </c>
      <c r="DC345" s="60" t="n">
        <f aca="false">MAX(0,DC341+DC342+DC343+DC344)</f>
        <v>0</v>
      </c>
      <c r="DD345" s="60" t="n">
        <f aca="false">MAX(0,DD341+DD342+DD343+DD344)</f>
        <v>0</v>
      </c>
      <c r="DE345" s="60" t="n">
        <f aca="false">MAX(0,DE341+DE342+DE343+DE344)</f>
        <v>0</v>
      </c>
    </row>
    <row r="346" customFormat="false" ht="15" hidden="false" customHeight="true" outlineLevel="0" collapsed="false">
      <c r="A346" s="61"/>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c r="AT346" s="62"/>
      <c r="AU346" s="62"/>
      <c r="AV346" s="62"/>
      <c r="AW346" s="62"/>
      <c r="AX346" s="62"/>
      <c r="AY346" s="62"/>
      <c r="AZ346" s="62"/>
      <c r="BA346" s="62"/>
      <c r="BB346" s="62"/>
      <c r="BC346" s="62"/>
      <c r="BD346" s="62"/>
      <c r="BE346" s="62"/>
      <c r="BF346" s="62"/>
      <c r="BG346" s="62"/>
      <c r="BH346" s="62"/>
      <c r="BI346" s="62"/>
      <c r="BJ346" s="62"/>
      <c r="BK346" s="62"/>
      <c r="BL346" s="62"/>
      <c r="BM346" s="62"/>
      <c r="BN346" s="62"/>
      <c r="BO346" s="62"/>
      <c r="BP346" s="62"/>
      <c r="BQ346" s="62"/>
      <c r="BR346" s="62"/>
      <c r="BS346" s="62"/>
      <c r="BT346" s="62"/>
      <c r="BU346" s="62"/>
      <c r="BV346" s="62"/>
      <c r="BW346" s="62"/>
      <c r="BX346" s="62"/>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row>
    <row r="347" customFormat="false" ht="15" hidden="false" customHeight="true" outlineLevel="0" collapsed="false">
      <c r="A347" s="63" t="s">
        <v>182</v>
      </c>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c r="AJ347" s="64"/>
      <c r="AK347" s="64"/>
      <c r="AL347" s="64"/>
      <c r="AM347" s="64"/>
      <c r="AN347" s="64"/>
      <c r="AO347" s="64"/>
      <c r="AP347" s="64"/>
      <c r="AQ347" s="64"/>
      <c r="AR347" s="64"/>
      <c r="AS347" s="64"/>
      <c r="AT347" s="64"/>
      <c r="AU347" s="64"/>
      <c r="AV347" s="64"/>
      <c r="AW347" s="64"/>
      <c r="AX347" s="64"/>
      <c r="AY347" s="64"/>
      <c r="AZ347" s="64"/>
      <c r="BA347" s="64"/>
      <c r="BB347" s="64"/>
      <c r="BC347" s="64"/>
      <c r="BD347" s="64"/>
      <c r="BE347" s="64"/>
      <c r="BF347" s="64"/>
      <c r="BG347" s="64"/>
      <c r="BH347" s="64"/>
      <c r="BI347" s="64"/>
      <c r="BJ347" s="64"/>
      <c r="BK347" s="64"/>
      <c r="BL347" s="64"/>
      <c r="BM347" s="64"/>
      <c r="BN347" s="64"/>
      <c r="BO347" s="64"/>
      <c r="BP347" s="64"/>
      <c r="BQ347" s="64"/>
      <c r="BR347" s="64"/>
      <c r="BS347" s="64"/>
      <c r="BT347" s="64"/>
      <c r="BU347" s="64"/>
      <c r="BV347" s="64"/>
      <c r="BW347" s="64"/>
      <c r="BX347" s="64"/>
      <c r="BY347" s="64"/>
      <c r="BZ347" s="64"/>
      <c r="CA347" s="64"/>
      <c r="CB347" s="64"/>
      <c r="CC347" s="64"/>
      <c r="CD347" s="64"/>
      <c r="CE347" s="64"/>
      <c r="CF347" s="64"/>
      <c r="CG347" s="64"/>
      <c r="CH347" s="64"/>
      <c r="CI347" s="64"/>
      <c r="CJ347" s="64"/>
      <c r="CK347" s="64"/>
      <c r="CL347" s="64"/>
      <c r="CM347" s="64"/>
      <c r="CN347" s="64"/>
      <c r="CO347" s="64"/>
      <c r="CP347" s="64"/>
      <c r="CQ347" s="64"/>
      <c r="CR347" s="64"/>
      <c r="CS347" s="64"/>
      <c r="CT347" s="64"/>
      <c r="CU347" s="64"/>
      <c r="CV347" s="64"/>
      <c r="CW347" s="64"/>
      <c r="CX347" s="64"/>
      <c r="CY347" s="64"/>
      <c r="CZ347" s="64"/>
      <c r="DA347" s="64"/>
      <c r="DB347" s="64"/>
      <c r="DC347" s="64"/>
      <c r="DD347" s="64"/>
      <c r="DE347" s="64"/>
    </row>
    <row r="348" customFormat="false" ht="15" hidden="false" customHeight="true" outlineLevel="0" collapsed="false">
      <c r="A348" s="22" t="s">
        <v>9</v>
      </c>
      <c r="B348" s="13"/>
      <c r="C348" s="13"/>
      <c r="D348" s="13"/>
      <c r="E348" s="13" t="n">
        <f aca="false">Helpers!C8</f>
        <v>11187175.79</v>
      </c>
      <c r="F348" s="13" t="n">
        <f aca="false">Helpers!D8</f>
        <v>10356493.69</v>
      </c>
      <c r="G348" s="13" t="n">
        <f aca="false">Helpers!E8</f>
        <v>9450240.48</v>
      </c>
      <c r="H348" s="13" t="n">
        <f aca="false">Helpers!F8</f>
        <v>8485833.11</v>
      </c>
      <c r="I348" s="13" t="n">
        <f aca="false">Helpers!G8</f>
        <v>6546008.3</v>
      </c>
      <c r="J348" s="13" t="n">
        <f aca="false">Helpers!H8</f>
        <v>5950977.14</v>
      </c>
      <c r="K348" s="13" t="n">
        <f aca="false">Helpers!I8</f>
        <v>5403449.04</v>
      </c>
      <c r="L348" s="13" t="n">
        <f aca="false">Helpers!J8</f>
        <v>4778618.53</v>
      </c>
      <c r="M348" s="13" t="n">
        <f aca="false">Helpers!K8</f>
        <v>4012283.82</v>
      </c>
      <c r="N348" s="13" t="n">
        <f aca="false">Helpers!L8</f>
        <v>3317496.87</v>
      </c>
      <c r="O348" s="13" t="n">
        <f aca="false">Helpers!M8</f>
        <v>2693094.26</v>
      </c>
      <c r="P348" s="13" t="n">
        <f aca="false">Helpers!N8</f>
        <v>1981609.96</v>
      </c>
      <c r="Q348" s="13" t="n">
        <f aca="false">Helpers!O8</f>
        <v>1250721.11</v>
      </c>
      <c r="R348" s="13" t="n">
        <f aca="false">Helpers!P8</f>
        <v>661631.3</v>
      </c>
      <c r="S348" s="13" t="n">
        <f aca="false">Helpers!Q8</f>
        <v>297802.14</v>
      </c>
      <c r="T348" s="13" t="n">
        <f aca="false">Helpers!R8</f>
        <v>126194.42</v>
      </c>
      <c r="U348" s="13" t="n">
        <f aca="false">Helpers!S8</f>
        <v>0</v>
      </c>
      <c r="V348" s="13" t="n">
        <f aca="false">Helpers!T8</f>
        <v>0</v>
      </c>
      <c r="W348" s="13" t="n">
        <f aca="false">Helpers!U8</f>
        <v>0</v>
      </c>
      <c r="X348" s="13" t="n">
        <f aca="false">Helpers!V8</f>
        <v>0</v>
      </c>
      <c r="Y348" s="13" t="n">
        <f aca="false">Helpers!W8</f>
        <v>0</v>
      </c>
      <c r="Z348" s="13" t="n">
        <f aca="false">Helpers!X8</f>
        <v>0</v>
      </c>
      <c r="AA348" s="13" t="n">
        <f aca="false">Helpers!Y8</f>
        <v>0</v>
      </c>
      <c r="AB348" s="13" t="n">
        <f aca="false">Helpers!Z8</f>
        <v>0</v>
      </c>
      <c r="AC348" s="13" t="n">
        <f aca="false">Helpers!AA8</f>
        <v>0</v>
      </c>
      <c r="AD348" s="13" t="n">
        <f aca="false">Helpers!AB8</f>
        <v>0</v>
      </c>
      <c r="AE348" s="13" t="n">
        <f aca="false">Helpers!AC8</f>
        <v>0</v>
      </c>
      <c r="AF348" s="13" t="n">
        <f aca="false">Helpers!AD8</f>
        <v>0</v>
      </c>
      <c r="AG348" s="13" t="n">
        <f aca="false">Helpers!AE8</f>
        <v>0</v>
      </c>
      <c r="AH348" s="13" t="n">
        <f aca="false">Helpers!AF8</f>
        <v>0</v>
      </c>
      <c r="AI348" s="13" t="n">
        <f aca="false">Helpers!AG8</f>
        <v>0</v>
      </c>
      <c r="AJ348" s="13" t="n">
        <f aca="false">Helpers!AH8</f>
        <v>0</v>
      </c>
      <c r="AK348" s="13" t="n">
        <f aca="false">Helpers!AI8</f>
        <v>0</v>
      </c>
      <c r="AL348" s="13" t="n">
        <f aca="false">Helpers!AJ8</f>
        <v>0</v>
      </c>
      <c r="AM348" s="13" t="n">
        <f aca="false">Helpers!AK8</f>
        <v>0</v>
      </c>
      <c r="AN348" s="13" t="n">
        <f aca="false">Helpers!AL8</f>
        <v>0</v>
      </c>
      <c r="AO348" s="13" t="n">
        <f aca="false">Helpers!AM8</f>
        <v>0</v>
      </c>
      <c r="AP348" s="13" t="n">
        <f aca="false">Helpers!AN8</f>
        <v>0</v>
      </c>
      <c r="AQ348" s="13" t="n">
        <f aca="false">Helpers!AO8</f>
        <v>0</v>
      </c>
      <c r="AR348" s="13" t="n">
        <f aca="false">Helpers!AP8</f>
        <v>0</v>
      </c>
      <c r="AS348" s="13" t="n">
        <f aca="false">Helpers!AQ8</f>
        <v>0</v>
      </c>
      <c r="AT348" s="13" t="n">
        <f aca="false">Helpers!AR8</f>
        <v>0</v>
      </c>
      <c r="AU348" s="13" t="n">
        <f aca="false">Helpers!AS8</f>
        <v>0</v>
      </c>
      <c r="AV348" s="13" t="n">
        <f aca="false">Helpers!AT8</f>
        <v>0</v>
      </c>
      <c r="AW348" s="13" t="n">
        <f aca="false">Helpers!AU8</f>
        <v>0</v>
      </c>
      <c r="AX348" s="13" t="n">
        <f aca="false">Helpers!AV8</f>
        <v>0</v>
      </c>
      <c r="AY348" s="13" t="n">
        <f aca="false">Helpers!AW8</f>
        <v>0</v>
      </c>
      <c r="AZ348" s="13" t="n">
        <f aca="false">Helpers!AX8</f>
        <v>0</v>
      </c>
      <c r="BA348" s="13" t="n">
        <f aca="false">Helpers!AY8</f>
        <v>0</v>
      </c>
      <c r="BB348" s="13" t="n">
        <f aca="false">Helpers!AZ8</f>
        <v>0</v>
      </c>
      <c r="BC348" s="13" t="n">
        <f aca="false">Helpers!BA8</f>
        <v>0</v>
      </c>
      <c r="BD348" s="13" t="n">
        <f aca="false">Helpers!BB8</f>
        <v>0</v>
      </c>
      <c r="BE348" s="13" t="n">
        <f aca="false">Helpers!BC8</f>
        <v>0</v>
      </c>
      <c r="BF348" s="13" t="n">
        <f aca="false">Helpers!BD8</f>
        <v>0</v>
      </c>
      <c r="BG348" s="13" t="n">
        <f aca="false">Helpers!BE8</f>
        <v>0</v>
      </c>
      <c r="BH348" s="13" t="n">
        <f aca="false">Helpers!BF8</f>
        <v>0</v>
      </c>
      <c r="BI348" s="13" t="n">
        <f aca="false">Helpers!BG8</f>
        <v>0</v>
      </c>
      <c r="BJ348" s="13" t="n">
        <f aca="false">Helpers!BH8</f>
        <v>0</v>
      </c>
      <c r="BK348" s="13" t="n">
        <f aca="false">Helpers!BI8</f>
        <v>0</v>
      </c>
      <c r="BL348" s="13" t="n">
        <f aca="false">Helpers!BJ8</f>
        <v>0</v>
      </c>
      <c r="BM348" s="13" t="n">
        <f aca="false">Helpers!BK8</f>
        <v>0</v>
      </c>
      <c r="BN348" s="13" t="n">
        <f aca="false">Helpers!BL8</f>
        <v>0</v>
      </c>
      <c r="BO348" s="13" t="n">
        <f aca="false">Helpers!BM8</f>
        <v>0</v>
      </c>
      <c r="BP348" s="13" t="n">
        <f aca="false">Helpers!BN8</f>
        <v>0</v>
      </c>
      <c r="BQ348" s="13" t="n">
        <f aca="false">Helpers!BO8</f>
        <v>0</v>
      </c>
      <c r="BR348" s="13" t="n">
        <f aca="false">Helpers!BP8</f>
        <v>0</v>
      </c>
      <c r="BS348" s="13" t="n">
        <f aca="false">Helpers!BQ8</f>
        <v>0</v>
      </c>
      <c r="BT348" s="13" t="n">
        <f aca="false">Helpers!BR8</f>
        <v>0</v>
      </c>
      <c r="BU348" s="13" t="n">
        <f aca="false">Helpers!BS8</f>
        <v>0</v>
      </c>
      <c r="BV348" s="13" t="n">
        <f aca="false">Helpers!BT8</f>
        <v>0</v>
      </c>
      <c r="BW348" s="13" t="n">
        <f aca="false">Helpers!BU8</f>
        <v>0</v>
      </c>
      <c r="BX348" s="13" t="n">
        <f aca="false">Helpers!BV8</f>
        <v>0</v>
      </c>
      <c r="BY348" s="13" t="n">
        <f aca="false">Helpers!BW8</f>
        <v>0</v>
      </c>
      <c r="BZ348" s="13" t="n">
        <f aca="false">Helpers!BX8</f>
        <v>0</v>
      </c>
      <c r="CA348" s="13" t="n">
        <f aca="false">Helpers!BY8</f>
        <v>0</v>
      </c>
      <c r="CB348" s="13" t="n">
        <f aca="false">Helpers!BZ8</f>
        <v>0</v>
      </c>
      <c r="CC348" s="13" t="n">
        <f aca="false">Helpers!CA8</f>
        <v>0</v>
      </c>
      <c r="CD348" s="13" t="n">
        <f aca="false">Helpers!CB8</f>
        <v>0</v>
      </c>
      <c r="CE348" s="13" t="n">
        <f aca="false">Helpers!CC8</f>
        <v>0</v>
      </c>
      <c r="CF348" s="13" t="n">
        <f aca="false">Helpers!CD8</f>
        <v>0</v>
      </c>
      <c r="CG348" s="13" t="n">
        <f aca="false">Helpers!CE8</f>
        <v>0</v>
      </c>
      <c r="CH348" s="13" t="n">
        <f aca="false">Helpers!CF8</f>
        <v>0</v>
      </c>
      <c r="CI348" s="13" t="n">
        <f aca="false">Helpers!CG8</f>
        <v>0</v>
      </c>
      <c r="CJ348" s="13" t="n">
        <f aca="false">Helpers!CH8</f>
        <v>0</v>
      </c>
      <c r="CK348" s="13" t="n">
        <f aca="false">Helpers!CI8</f>
        <v>0</v>
      </c>
      <c r="CL348" s="13" t="n">
        <f aca="false">Helpers!CJ8</f>
        <v>0</v>
      </c>
      <c r="CM348" s="13" t="n">
        <f aca="false">Helpers!CK8</f>
        <v>0</v>
      </c>
      <c r="CN348" s="13" t="n">
        <f aca="false">Helpers!CL8</f>
        <v>0</v>
      </c>
      <c r="CO348" s="13" t="n">
        <f aca="false">Helpers!CM8</f>
        <v>0</v>
      </c>
      <c r="CP348" s="13" t="n">
        <f aca="false">Helpers!CN8</f>
        <v>0</v>
      </c>
      <c r="CQ348" s="13" t="n">
        <f aca="false">Helpers!CO8</f>
        <v>0</v>
      </c>
      <c r="CR348" s="13" t="n">
        <f aca="false">Helpers!CP8</f>
        <v>0</v>
      </c>
      <c r="CS348" s="13" t="n">
        <f aca="false">Helpers!CQ8</f>
        <v>0</v>
      </c>
      <c r="CT348" s="13" t="n">
        <f aca="false">Helpers!CR8</f>
        <v>0</v>
      </c>
      <c r="CU348" s="13" t="n">
        <f aca="false">Helpers!CS8</f>
        <v>0</v>
      </c>
      <c r="CV348" s="13" t="n">
        <f aca="false">Helpers!CT8</f>
        <v>0</v>
      </c>
      <c r="CW348" s="13" t="n">
        <f aca="false">Helpers!CU8</f>
        <v>0</v>
      </c>
      <c r="CX348" s="13" t="n">
        <f aca="false">Helpers!CV8</f>
        <v>0</v>
      </c>
      <c r="CY348" s="13" t="n">
        <f aca="false">Helpers!CW8</f>
        <v>0</v>
      </c>
      <c r="CZ348" s="13" t="n">
        <f aca="false">Helpers!CX8</f>
        <v>0</v>
      </c>
      <c r="DA348" s="13" t="n">
        <f aca="false">Helpers!CY8</f>
        <v>0</v>
      </c>
      <c r="DB348" s="13" t="n">
        <f aca="false">Helpers!CZ8</f>
        <v>0</v>
      </c>
      <c r="DC348" s="13" t="n">
        <f aca="false">Helpers!DA8</f>
        <v>0</v>
      </c>
      <c r="DD348" s="13" t="n">
        <f aca="false">Helpers!DB8</f>
        <v>0</v>
      </c>
      <c r="DE348" s="13" t="n">
        <f aca="false">Helpers!DC8</f>
        <v>0</v>
      </c>
    </row>
    <row r="349" customFormat="false" ht="15" hidden="false" customHeight="true" outlineLevel="0" collapsed="false">
      <c r="A349" s="22" t="s">
        <v>10</v>
      </c>
      <c r="B349" s="13"/>
      <c r="C349" s="13"/>
      <c r="D349" s="13"/>
      <c r="E349" s="13" t="n">
        <f aca="false">Helpers!C9</f>
        <v>13529664.56</v>
      </c>
      <c r="F349" s="13" t="n">
        <f aca="false">Helpers!D9</f>
        <v>12525045.48</v>
      </c>
      <c r="G349" s="13" t="n">
        <f aca="false">Helpers!E9</f>
        <v>11429031.43</v>
      </c>
      <c r="H349" s="13" t="n">
        <f aca="false">Helpers!F9</f>
        <v>10262686.27</v>
      </c>
      <c r="I349" s="13" t="n">
        <f aca="false">Helpers!G9</f>
        <v>9354156.4</v>
      </c>
      <c r="J349" s="13" t="n">
        <f aca="false">Helpers!H9</f>
        <v>8576474.68</v>
      </c>
      <c r="K349" s="13" t="n">
        <f aca="false">Helpers!I9</f>
        <v>7686708.76</v>
      </c>
      <c r="L349" s="13" t="n">
        <f aca="false">Helpers!J9</f>
        <v>7003935.62</v>
      </c>
      <c r="M349" s="13" t="n">
        <f aca="false">Helpers!K9</f>
        <v>6232412.67</v>
      </c>
      <c r="N349" s="13" t="n">
        <f aca="false">Helpers!L9</f>
        <v>5543806.21</v>
      </c>
      <c r="O349" s="13" t="n">
        <f aca="false">Helpers!M9</f>
        <v>4887352.83</v>
      </c>
      <c r="P349" s="13" t="n">
        <f aca="false">Helpers!N9</f>
        <v>4294423.23</v>
      </c>
      <c r="Q349" s="13" t="n">
        <f aca="false">Helpers!O9</f>
        <v>3826241.58</v>
      </c>
      <c r="R349" s="13" t="n">
        <f aca="false">Helpers!P9</f>
        <v>3410361.03</v>
      </c>
      <c r="S349" s="13" t="n">
        <f aca="false">Helpers!Q9</f>
        <v>2510448.86</v>
      </c>
      <c r="T349" s="13" t="n">
        <f aca="false">Helpers!R9</f>
        <v>1384588.44</v>
      </c>
      <c r="U349" s="13" t="n">
        <f aca="false">Helpers!S9</f>
        <v>631341.78</v>
      </c>
      <c r="V349" s="13" t="n">
        <f aca="false">Helpers!T9</f>
        <v>164743.84</v>
      </c>
      <c r="W349" s="13" t="n">
        <f aca="false">Helpers!U9</f>
        <v>0</v>
      </c>
      <c r="X349" s="13" t="n">
        <f aca="false">Helpers!V9</f>
        <v>0</v>
      </c>
      <c r="Y349" s="13" t="n">
        <f aca="false">Helpers!W9</f>
        <v>0</v>
      </c>
      <c r="Z349" s="13" t="n">
        <f aca="false">Helpers!X9</f>
        <v>0</v>
      </c>
      <c r="AA349" s="13" t="n">
        <f aca="false">Helpers!Y9</f>
        <v>0</v>
      </c>
      <c r="AB349" s="13" t="n">
        <f aca="false">Helpers!Z9</f>
        <v>0</v>
      </c>
      <c r="AC349" s="13" t="n">
        <f aca="false">Helpers!AA9</f>
        <v>0</v>
      </c>
      <c r="AD349" s="13" t="n">
        <f aca="false">Helpers!AB9</f>
        <v>0</v>
      </c>
      <c r="AE349" s="13" t="n">
        <f aca="false">Helpers!AC9</f>
        <v>0</v>
      </c>
      <c r="AF349" s="13" t="n">
        <f aca="false">Helpers!AD9</f>
        <v>0</v>
      </c>
      <c r="AG349" s="13" t="n">
        <f aca="false">Helpers!AE9</f>
        <v>0</v>
      </c>
      <c r="AH349" s="13" t="n">
        <f aca="false">Helpers!AF9</f>
        <v>0</v>
      </c>
      <c r="AI349" s="13" t="n">
        <f aca="false">Helpers!AG9</f>
        <v>0</v>
      </c>
      <c r="AJ349" s="13" t="n">
        <f aca="false">Helpers!AH9</f>
        <v>0</v>
      </c>
      <c r="AK349" s="13" t="n">
        <f aca="false">Helpers!AI9</f>
        <v>0</v>
      </c>
      <c r="AL349" s="13" t="n">
        <f aca="false">Helpers!AJ9</f>
        <v>0</v>
      </c>
      <c r="AM349" s="13" t="n">
        <f aca="false">Helpers!AK9</f>
        <v>0</v>
      </c>
      <c r="AN349" s="13" t="n">
        <f aca="false">Helpers!AL9</f>
        <v>0</v>
      </c>
      <c r="AO349" s="13" t="n">
        <f aca="false">Helpers!AM9</f>
        <v>0</v>
      </c>
      <c r="AP349" s="13" t="n">
        <f aca="false">Helpers!AN9</f>
        <v>0</v>
      </c>
      <c r="AQ349" s="13" t="n">
        <f aca="false">Helpers!AO9</f>
        <v>0</v>
      </c>
      <c r="AR349" s="13" t="n">
        <f aca="false">Helpers!AP9</f>
        <v>0</v>
      </c>
      <c r="AS349" s="13" t="n">
        <f aca="false">Helpers!AQ9</f>
        <v>0</v>
      </c>
      <c r="AT349" s="13" t="n">
        <f aca="false">Helpers!AR9</f>
        <v>0</v>
      </c>
      <c r="AU349" s="13" t="n">
        <f aca="false">Helpers!AS9</f>
        <v>0</v>
      </c>
      <c r="AV349" s="13" t="n">
        <f aca="false">Helpers!AT9</f>
        <v>0</v>
      </c>
      <c r="AW349" s="13" t="n">
        <f aca="false">Helpers!AU9</f>
        <v>0</v>
      </c>
      <c r="AX349" s="13" t="n">
        <f aca="false">Helpers!AV9</f>
        <v>0</v>
      </c>
      <c r="AY349" s="13" t="n">
        <f aca="false">Helpers!AW9</f>
        <v>0</v>
      </c>
      <c r="AZ349" s="13" t="n">
        <f aca="false">Helpers!AX9</f>
        <v>0</v>
      </c>
      <c r="BA349" s="13" t="n">
        <f aca="false">Helpers!AY9</f>
        <v>0</v>
      </c>
      <c r="BB349" s="13" t="n">
        <f aca="false">Helpers!AZ9</f>
        <v>0</v>
      </c>
      <c r="BC349" s="13" t="n">
        <f aca="false">Helpers!BA9</f>
        <v>0</v>
      </c>
      <c r="BD349" s="13" t="n">
        <f aca="false">Helpers!BB9</f>
        <v>0</v>
      </c>
      <c r="BE349" s="13" t="n">
        <f aca="false">Helpers!BC9</f>
        <v>0</v>
      </c>
      <c r="BF349" s="13" t="n">
        <f aca="false">Helpers!BD9</f>
        <v>0</v>
      </c>
      <c r="BG349" s="13" t="n">
        <f aca="false">Helpers!BE9</f>
        <v>0</v>
      </c>
      <c r="BH349" s="13" t="n">
        <f aca="false">Helpers!BF9</f>
        <v>0</v>
      </c>
      <c r="BI349" s="13" t="n">
        <f aca="false">Helpers!BG9</f>
        <v>0</v>
      </c>
      <c r="BJ349" s="13" t="n">
        <f aca="false">Helpers!BH9</f>
        <v>0</v>
      </c>
      <c r="BK349" s="13" t="n">
        <f aca="false">Helpers!BI9</f>
        <v>0</v>
      </c>
      <c r="BL349" s="13" t="n">
        <f aca="false">Helpers!BJ9</f>
        <v>0</v>
      </c>
      <c r="BM349" s="13" t="n">
        <f aca="false">Helpers!BK9</f>
        <v>0</v>
      </c>
      <c r="BN349" s="13" t="n">
        <f aca="false">Helpers!BL9</f>
        <v>0</v>
      </c>
      <c r="BO349" s="13" t="n">
        <f aca="false">Helpers!BM9</f>
        <v>0</v>
      </c>
      <c r="BP349" s="13" t="n">
        <f aca="false">Helpers!BN9</f>
        <v>0</v>
      </c>
      <c r="BQ349" s="13" t="n">
        <f aca="false">Helpers!BO9</f>
        <v>0</v>
      </c>
      <c r="BR349" s="13" t="n">
        <f aca="false">Helpers!BP9</f>
        <v>0</v>
      </c>
      <c r="BS349" s="13" t="n">
        <f aca="false">Helpers!BQ9</f>
        <v>0</v>
      </c>
      <c r="BT349" s="13" t="n">
        <f aca="false">Helpers!BR9</f>
        <v>0</v>
      </c>
      <c r="BU349" s="13" t="n">
        <f aca="false">Helpers!BS9</f>
        <v>0</v>
      </c>
      <c r="BV349" s="13" t="n">
        <f aca="false">Helpers!BT9</f>
        <v>0</v>
      </c>
      <c r="BW349" s="13" t="n">
        <f aca="false">Helpers!BU9</f>
        <v>0</v>
      </c>
      <c r="BX349" s="13" t="n">
        <f aca="false">Helpers!BV9</f>
        <v>0</v>
      </c>
      <c r="BY349" s="13" t="n">
        <f aca="false">Helpers!BW9</f>
        <v>0</v>
      </c>
      <c r="BZ349" s="13" t="n">
        <f aca="false">Helpers!BX9</f>
        <v>0</v>
      </c>
      <c r="CA349" s="13" t="n">
        <f aca="false">Helpers!BY9</f>
        <v>0</v>
      </c>
      <c r="CB349" s="13" t="n">
        <f aca="false">Helpers!BZ9</f>
        <v>0</v>
      </c>
      <c r="CC349" s="13" t="n">
        <f aca="false">Helpers!CA9</f>
        <v>0</v>
      </c>
      <c r="CD349" s="13" t="n">
        <f aca="false">Helpers!CB9</f>
        <v>0</v>
      </c>
      <c r="CE349" s="13" t="n">
        <f aca="false">Helpers!CC9</f>
        <v>0</v>
      </c>
      <c r="CF349" s="13" t="n">
        <f aca="false">Helpers!CD9</f>
        <v>0</v>
      </c>
      <c r="CG349" s="13" t="n">
        <f aca="false">Helpers!CE9</f>
        <v>0</v>
      </c>
      <c r="CH349" s="13" t="n">
        <f aca="false">Helpers!CF9</f>
        <v>0</v>
      </c>
      <c r="CI349" s="13" t="n">
        <f aca="false">Helpers!CG9</f>
        <v>0</v>
      </c>
      <c r="CJ349" s="13" t="n">
        <f aca="false">Helpers!CH9</f>
        <v>0</v>
      </c>
      <c r="CK349" s="13" t="n">
        <f aca="false">Helpers!CI9</f>
        <v>0</v>
      </c>
      <c r="CL349" s="13" t="n">
        <f aca="false">Helpers!CJ9</f>
        <v>0</v>
      </c>
      <c r="CM349" s="13" t="n">
        <f aca="false">Helpers!CK9</f>
        <v>0</v>
      </c>
      <c r="CN349" s="13" t="n">
        <f aca="false">Helpers!CL9</f>
        <v>0</v>
      </c>
      <c r="CO349" s="13" t="n">
        <f aca="false">Helpers!CM9</f>
        <v>0</v>
      </c>
      <c r="CP349" s="13" t="n">
        <f aca="false">Helpers!CN9</f>
        <v>0</v>
      </c>
      <c r="CQ349" s="13" t="n">
        <f aca="false">Helpers!CO9</f>
        <v>0</v>
      </c>
      <c r="CR349" s="13" t="n">
        <f aca="false">Helpers!CP9</f>
        <v>0</v>
      </c>
      <c r="CS349" s="13" t="n">
        <f aca="false">Helpers!CQ9</f>
        <v>0</v>
      </c>
      <c r="CT349" s="13" t="n">
        <f aca="false">Helpers!CR9</f>
        <v>0</v>
      </c>
      <c r="CU349" s="13" t="n">
        <f aca="false">Helpers!CS9</f>
        <v>0</v>
      </c>
      <c r="CV349" s="13" t="n">
        <f aca="false">Helpers!CT9</f>
        <v>0</v>
      </c>
      <c r="CW349" s="13" t="n">
        <f aca="false">Helpers!CU9</f>
        <v>0</v>
      </c>
      <c r="CX349" s="13" t="n">
        <f aca="false">Helpers!CV9</f>
        <v>0</v>
      </c>
      <c r="CY349" s="13" t="n">
        <f aca="false">Helpers!CW9</f>
        <v>0</v>
      </c>
      <c r="CZ349" s="13" t="n">
        <f aca="false">Helpers!CX9</f>
        <v>0</v>
      </c>
      <c r="DA349" s="13" t="n">
        <f aca="false">Helpers!CY9</f>
        <v>0</v>
      </c>
      <c r="DB349" s="13" t="n">
        <f aca="false">Helpers!CZ9</f>
        <v>0</v>
      </c>
      <c r="DC349" s="13" t="n">
        <f aca="false">Helpers!DA9</f>
        <v>0</v>
      </c>
      <c r="DD349" s="13" t="n">
        <f aca="false">Helpers!DB9</f>
        <v>0</v>
      </c>
      <c r="DE349" s="13" t="n">
        <f aca="false">Helpers!DC9</f>
        <v>0</v>
      </c>
    </row>
    <row r="350" customFormat="false" ht="15" hidden="false" customHeight="true" outlineLevel="0" collapsed="false">
      <c r="A350" s="22" t="s">
        <v>12</v>
      </c>
      <c r="B350" s="13"/>
      <c r="C350" s="13"/>
      <c r="D350" s="13"/>
      <c r="E350" s="13" t="n">
        <f aca="false">Helpers!C10</f>
        <v>0</v>
      </c>
      <c r="F350" s="13" t="n">
        <f aca="false">Helpers!D10</f>
        <v>0</v>
      </c>
      <c r="G350" s="13" t="n">
        <f aca="false">Helpers!E10</f>
        <v>0</v>
      </c>
      <c r="H350" s="13" t="n">
        <f aca="false">Helpers!F10</f>
        <v>0</v>
      </c>
      <c r="I350" s="13" t="n">
        <f aca="false">Helpers!G10</f>
        <v>42418193.38</v>
      </c>
      <c r="J350" s="13" t="n">
        <f aca="false">Helpers!H10</f>
        <v>41557159.51</v>
      </c>
      <c r="K350" s="13" t="n">
        <f aca="false">Helpers!I10</f>
        <v>40347746.5</v>
      </c>
      <c r="L350" s="13" t="n">
        <f aca="false">Helpers!J10</f>
        <v>39561567.49</v>
      </c>
      <c r="M350" s="13" t="n">
        <f aca="false">Helpers!K10</f>
        <v>38972367.12</v>
      </c>
      <c r="N350" s="13" t="n">
        <f aca="false">Helpers!L10</f>
        <v>38221747.38</v>
      </c>
      <c r="O350" s="13" t="n">
        <f aca="false">Helpers!M10</f>
        <v>37614512.89</v>
      </c>
      <c r="P350" s="13" t="n">
        <f aca="false">Helpers!N10</f>
        <v>36881872.23</v>
      </c>
      <c r="Q350" s="13" t="n">
        <f aca="false">Helpers!O10</f>
        <v>36263088.93</v>
      </c>
      <c r="R350" s="13" t="n">
        <f aca="false">Helpers!P10</f>
        <v>35502601.32</v>
      </c>
      <c r="S350" s="13" t="n">
        <f aca="false">Helpers!Q10</f>
        <v>34787831.07</v>
      </c>
      <c r="T350" s="13" t="n">
        <f aca="false">Helpers!R10</f>
        <v>33505756.49</v>
      </c>
      <c r="U350" s="13" t="n">
        <f aca="false">Helpers!S10</f>
        <v>32686448.68</v>
      </c>
      <c r="V350" s="13" t="n">
        <f aca="false">Helpers!T10</f>
        <v>30243213.22</v>
      </c>
      <c r="W350" s="13" t="n">
        <f aca="false">Helpers!U10</f>
        <v>28699798.34</v>
      </c>
      <c r="X350" s="13" t="n">
        <f aca="false">Helpers!V10</f>
        <v>25529541</v>
      </c>
      <c r="Y350" s="13" t="n">
        <f aca="false">Helpers!W10</f>
        <v>23704130.61</v>
      </c>
      <c r="Z350" s="13" t="n">
        <f aca="false">Helpers!X10</f>
        <v>20828303.45</v>
      </c>
      <c r="AA350" s="13" t="n">
        <f aca="false">Helpers!Y10</f>
        <v>18426892.45</v>
      </c>
      <c r="AB350" s="13" t="n">
        <f aca="false">Helpers!Z10</f>
        <v>16789882.88</v>
      </c>
      <c r="AC350" s="13" t="n">
        <f aca="false">Helpers!AA10</f>
        <v>15753895.35</v>
      </c>
      <c r="AD350" s="13" t="n">
        <f aca="false">Helpers!AB10</f>
        <v>14527106.83</v>
      </c>
      <c r="AE350" s="13" t="n">
        <f aca="false">Helpers!AC10</f>
        <v>13375707.75</v>
      </c>
      <c r="AF350" s="13" t="n">
        <f aca="false">Helpers!AD10</f>
        <v>11951889.75</v>
      </c>
      <c r="AG350" s="13" t="n">
        <f aca="false">Helpers!AE10</f>
        <v>9479263.81</v>
      </c>
      <c r="AH350" s="13" t="n">
        <f aca="false">Helpers!AF10</f>
        <v>7184499.57</v>
      </c>
      <c r="AI350" s="13" t="n">
        <f aca="false">Helpers!AG10</f>
        <v>4941005.43</v>
      </c>
      <c r="AJ350" s="13" t="n">
        <f aca="false">Helpers!AH10</f>
        <v>3716991.2</v>
      </c>
      <c r="AK350" s="13" t="n">
        <f aca="false">Helpers!AI10</f>
        <v>2700888.54</v>
      </c>
      <c r="AL350" s="13" t="n">
        <f aca="false">Helpers!AJ10</f>
        <v>1565814.84</v>
      </c>
      <c r="AM350" s="13" t="n">
        <f aca="false">Helpers!AK10</f>
        <v>331958.4</v>
      </c>
      <c r="AN350" s="13" t="n">
        <f aca="false">Helpers!AL10</f>
        <v>0</v>
      </c>
      <c r="AO350" s="13" t="n">
        <f aca="false">Helpers!AM10</f>
        <v>0</v>
      </c>
      <c r="AP350" s="13" t="n">
        <f aca="false">Helpers!AN10</f>
        <v>0</v>
      </c>
      <c r="AQ350" s="13" t="n">
        <f aca="false">Helpers!AO10</f>
        <v>0</v>
      </c>
      <c r="AR350" s="13" t="n">
        <f aca="false">Helpers!AP10</f>
        <v>0</v>
      </c>
      <c r="AS350" s="13" t="n">
        <f aca="false">Helpers!AQ10</f>
        <v>0</v>
      </c>
      <c r="AT350" s="13" t="n">
        <f aca="false">Helpers!AR10</f>
        <v>0</v>
      </c>
      <c r="AU350" s="13" t="n">
        <f aca="false">Helpers!AS10</f>
        <v>0</v>
      </c>
      <c r="AV350" s="13" t="n">
        <f aca="false">Helpers!AT10</f>
        <v>0</v>
      </c>
      <c r="AW350" s="13" t="n">
        <f aca="false">Helpers!AU10</f>
        <v>0</v>
      </c>
      <c r="AX350" s="13" t="n">
        <f aca="false">Helpers!AV10</f>
        <v>0</v>
      </c>
      <c r="AY350" s="13" t="n">
        <f aca="false">Helpers!AW10</f>
        <v>0</v>
      </c>
      <c r="AZ350" s="13" t="n">
        <f aca="false">Helpers!AX10</f>
        <v>0</v>
      </c>
      <c r="BA350" s="13" t="n">
        <f aca="false">Helpers!AY10</f>
        <v>0</v>
      </c>
      <c r="BB350" s="13" t="n">
        <f aca="false">Helpers!AZ10</f>
        <v>0</v>
      </c>
      <c r="BC350" s="13" t="n">
        <f aca="false">Helpers!BA10</f>
        <v>0</v>
      </c>
      <c r="BD350" s="13" t="n">
        <f aca="false">Helpers!BB10</f>
        <v>0</v>
      </c>
      <c r="BE350" s="13" t="n">
        <f aca="false">Helpers!BC10</f>
        <v>0</v>
      </c>
      <c r="BF350" s="13" t="n">
        <f aca="false">Helpers!BD10</f>
        <v>0</v>
      </c>
      <c r="BG350" s="13" t="n">
        <f aca="false">Helpers!BE10</f>
        <v>0</v>
      </c>
      <c r="BH350" s="13" t="n">
        <f aca="false">Helpers!BF10</f>
        <v>0</v>
      </c>
      <c r="BI350" s="13" t="n">
        <f aca="false">Helpers!BG10</f>
        <v>0</v>
      </c>
      <c r="BJ350" s="13" t="n">
        <f aca="false">Helpers!BH10</f>
        <v>0</v>
      </c>
      <c r="BK350" s="13" t="n">
        <f aca="false">Helpers!BI10</f>
        <v>0</v>
      </c>
      <c r="BL350" s="13" t="n">
        <f aca="false">Helpers!BJ10</f>
        <v>0</v>
      </c>
      <c r="BM350" s="13" t="n">
        <f aca="false">Helpers!BK10</f>
        <v>0</v>
      </c>
      <c r="BN350" s="13" t="n">
        <f aca="false">Helpers!BL10</f>
        <v>0</v>
      </c>
      <c r="BO350" s="13" t="n">
        <f aca="false">Helpers!BM10</f>
        <v>0</v>
      </c>
      <c r="BP350" s="13" t="n">
        <f aca="false">Helpers!BN10</f>
        <v>0</v>
      </c>
      <c r="BQ350" s="13" t="n">
        <f aca="false">Helpers!BO10</f>
        <v>0</v>
      </c>
      <c r="BR350" s="13" t="n">
        <f aca="false">Helpers!BP10</f>
        <v>0</v>
      </c>
      <c r="BS350" s="13" t="n">
        <f aca="false">Helpers!BQ10</f>
        <v>0</v>
      </c>
      <c r="BT350" s="13" t="n">
        <f aca="false">Helpers!BR10</f>
        <v>0</v>
      </c>
      <c r="BU350" s="13" t="n">
        <f aca="false">Helpers!BS10</f>
        <v>0</v>
      </c>
      <c r="BV350" s="13" t="n">
        <f aca="false">Helpers!BT10</f>
        <v>0</v>
      </c>
      <c r="BW350" s="13" t="n">
        <f aca="false">Helpers!BU10</f>
        <v>0</v>
      </c>
      <c r="BX350" s="13" t="n">
        <f aca="false">Helpers!BV10</f>
        <v>0</v>
      </c>
      <c r="BY350" s="13" t="n">
        <f aca="false">Helpers!BW10</f>
        <v>0</v>
      </c>
      <c r="BZ350" s="13" t="n">
        <f aca="false">Helpers!BX10</f>
        <v>0</v>
      </c>
      <c r="CA350" s="13" t="n">
        <f aca="false">Helpers!BY10</f>
        <v>0</v>
      </c>
      <c r="CB350" s="13" t="n">
        <f aca="false">Helpers!BZ10</f>
        <v>0</v>
      </c>
      <c r="CC350" s="13" t="n">
        <f aca="false">Helpers!CA10</f>
        <v>0</v>
      </c>
      <c r="CD350" s="13" t="n">
        <f aca="false">Helpers!CB10</f>
        <v>0</v>
      </c>
      <c r="CE350" s="13" t="n">
        <f aca="false">Helpers!CC10</f>
        <v>0</v>
      </c>
      <c r="CF350" s="13" t="n">
        <f aca="false">Helpers!CD10</f>
        <v>0</v>
      </c>
      <c r="CG350" s="13" t="n">
        <f aca="false">Helpers!CE10</f>
        <v>0</v>
      </c>
      <c r="CH350" s="13" t="n">
        <f aca="false">Helpers!CF10</f>
        <v>0</v>
      </c>
      <c r="CI350" s="13" t="n">
        <f aca="false">Helpers!CG10</f>
        <v>0</v>
      </c>
      <c r="CJ350" s="13" t="n">
        <f aca="false">Helpers!CH10</f>
        <v>0</v>
      </c>
      <c r="CK350" s="13" t="n">
        <f aca="false">Helpers!CI10</f>
        <v>0</v>
      </c>
      <c r="CL350" s="13" t="n">
        <f aca="false">Helpers!CJ10</f>
        <v>0</v>
      </c>
      <c r="CM350" s="13" t="n">
        <f aca="false">Helpers!CK10</f>
        <v>0</v>
      </c>
      <c r="CN350" s="13" t="n">
        <f aca="false">Helpers!CL10</f>
        <v>0</v>
      </c>
      <c r="CO350" s="13" t="n">
        <f aca="false">Helpers!CM10</f>
        <v>0</v>
      </c>
      <c r="CP350" s="13" t="n">
        <f aca="false">Helpers!CN10</f>
        <v>0</v>
      </c>
      <c r="CQ350" s="13" t="n">
        <f aca="false">Helpers!CO10</f>
        <v>0</v>
      </c>
      <c r="CR350" s="13" t="n">
        <f aca="false">Helpers!CP10</f>
        <v>0</v>
      </c>
      <c r="CS350" s="13" t="n">
        <f aca="false">Helpers!CQ10</f>
        <v>0</v>
      </c>
      <c r="CT350" s="13" t="n">
        <f aca="false">Helpers!CR10</f>
        <v>0</v>
      </c>
      <c r="CU350" s="13" t="n">
        <f aca="false">Helpers!CS10</f>
        <v>0</v>
      </c>
      <c r="CV350" s="13" t="n">
        <f aca="false">Helpers!CT10</f>
        <v>0</v>
      </c>
      <c r="CW350" s="13" t="n">
        <f aca="false">Helpers!CU10</f>
        <v>0</v>
      </c>
      <c r="CX350" s="13" t="n">
        <f aca="false">Helpers!CV10</f>
        <v>0</v>
      </c>
      <c r="CY350" s="13" t="n">
        <f aca="false">Helpers!CW10</f>
        <v>0</v>
      </c>
      <c r="CZ350" s="13" t="n">
        <f aca="false">Helpers!CX10</f>
        <v>0</v>
      </c>
      <c r="DA350" s="13" t="n">
        <f aca="false">Helpers!CY10</f>
        <v>0</v>
      </c>
      <c r="DB350" s="13" t="n">
        <f aca="false">Helpers!CZ10</f>
        <v>0</v>
      </c>
      <c r="DC350" s="13" t="n">
        <f aca="false">Helpers!DA10</f>
        <v>0</v>
      </c>
      <c r="DD350" s="13" t="n">
        <f aca="false">Helpers!DB10</f>
        <v>0</v>
      </c>
      <c r="DE350" s="13" t="n">
        <f aca="false">Helpers!DC10</f>
        <v>0</v>
      </c>
    </row>
    <row r="351" customFormat="false" ht="15" hidden="false" customHeight="true" outlineLevel="0" collapsed="false">
      <c r="A351" s="22" t="s">
        <v>13</v>
      </c>
      <c r="B351" s="13"/>
      <c r="C351" s="13"/>
      <c r="D351" s="13"/>
      <c r="E351" s="13" t="n">
        <f aca="false">Helpers!C11</f>
        <v>0</v>
      </c>
      <c r="F351" s="13" t="n">
        <f aca="false">Helpers!D11</f>
        <v>0</v>
      </c>
      <c r="G351" s="13" t="n">
        <f aca="false">Helpers!E11</f>
        <v>0</v>
      </c>
      <c r="H351" s="13" t="n">
        <f aca="false">Helpers!F11</f>
        <v>0</v>
      </c>
      <c r="I351" s="13" t="n">
        <f aca="false">Helpers!G11</f>
        <v>0</v>
      </c>
      <c r="J351" s="13" t="n">
        <f aca="false">Helpers!H11</f>
        <v>12649220.0904822</v>
      </c>
      <c r="K351" s="13" t="n">
        <f aca="false">Helpers!I11</f>
        <v>12223530.9933081</v>
      </c>
      <c r="L351" s="13" t="n">
        <f aca="false">Helpers!J11</f>
        <v>11710510.727302</v>
      </c>
      <c r="M351" s="13" t="n">
        <f aca="false">Helpers!K11</f>
        <v>11107443.5932694</v>
      </c>
      <c r="N351" s="13" t="n">
        <f aca="false">Helpers!L11</f>
        <v>10415940.8194405</v>
      </c>
      <c r="O351" s="13" t="n">
        <f aca="false">Helpers!M11</f>
        <v>9642525.2813924</v>
      </c>
      <c r="P351" s="13" t="n">
        <f aca="false">Helpers!N11</f>
        <v>8798748.44603355</v>
      </c>
      <c r="Q351" s="13" t="n">
        <f aca="false">Helpers!O11</f>
        <v>7900826.54587435</v>
      </c>
      <c r="R351" s="13" t="n">
        <f aca="false">Helpers!P11</f>
        <v>6968757.00225575</v>
      </c>
      <c r="S351" s="13" t="n">
        <f aca="false">Helpers!Q11</f>
        <v>6025019.04774425</v>
      </c>
      <c r="T351" s="13" t="n">
        <f aca="false">Helpers!R11</f>
        <v>5092949.50412565</v>
      </c>
      <c r="U351" s="13" t="n">
        <f aca="false">Helpers!S11</f>
        <v>4195027.60396645</v>
      </c>
      <c r="V351" s="13" t="n">
        <f aca="false">Helpers!T11</f>
        <v>3351250.7686076</v>
      </c>
      <c r="W351" s="13" t="n">
        <f aca="false">Helpers!U11</f>
        <v>2577835.2305595</v>
      </c>
      <c r="X351" s="13" t="n">
        <f aca="false">Helpers!V11</f>
        <v>1886332.4567306</v>
      </c>
      <c r="Y351" s="13" t="n">
        <f aca="false">Helpers!W11</f>
        <v>1283265.322698</v>
      </c>
      <c r="Z351" s="13" t="n">
        <f aca="false">Helpers!X11</f>
        <v>770245.056691899</v>
      </c>
      <c r="AA351" s="13" t="n">
        <f aca="false">Helpers!Y11</f>
        <v>344555.95951785</v>
      </c>
      <c r="AB351" s="13" t="n">
        <f aca="false">Helpers!Z11</f>
        <v>0</v>
      </c>
      <c r="AC351" s="13" t="n">
        <f aca="false">Helpers!AA11</f>
        <v>0</v>
      </c>
      <c r="AD351" s="13" t="n">
        <f aca="false">Helpers!AB11</f>
        <v>0</v>
      </c>
      <c r="AE351" s="13" t="n">
        <f aca="false">Helpers!AC11</f>
        <v>0</v>
      </c>
      <c r="AF351" s="13" t="n">
        <f aca="false">Helpers!AD11</f>
        <v>0</v>
      </c>
      <c r="AG351" s="13" t="n">
        <f aca="false">Helpers!AE11</f>
        <v>0</v>
      </c>
      <c r="AH351" s="13" t="n">
        <f aca="false">Helpers!AF11</f>
        <v>0</v>
      </c>
      <c r="AI351" s="13" t="n">
        <f aca="false">Helpers!AG11</f>
        <v>0</v>
      </c>
      <c r="AJ351" s="13" t="n">
        <f aca="false">Helpers!AH11</f>
        <v>0</v>
      </c>
      <c r="AK351" s="13" t="n">
        <f aca="false">Helpers!AI11</f>
        <v>0</v>
      </c>
      <c r="AL351" s="13" t="n">
        <f aca="false">Helpers!AJ11</f>
        <v>0</v>
      </c>
      <c r="AM351" s="13" t="n">
        <f aca="false">Helpers!AK11</f>
        <v>0</v>
      </c>
      <c r="AN351" s="13" t="n">
        <f aca="false">Helpers!AL11</f>
        <v>0</v>
      </c>
      <c r="AO351" s="13" t="n">
        <f aca="false">Helpers!AM11</f>
        <v>0</v>
      </c>
      <c r="AP351" s="13" t="n">
        <f aca="false">Helpers!AN11</f>
        <v>0</v>
      </c>
      <c r="AQ351" s="13" t="n">
        <f aca="false">Helpers!AO11</f>
        <v>0</v>
      </c>
      <c r="AR351" s="13" t="n">
        <f aca="false">Helpers!AP11</f>
        <v>0</v>
      </c>
      <c r="AS351" s="13" t="n">
        <f aca="false">Helpers!AQ11</f>
        <v>0</v>
      </c>
      <c r="AT351" s="13" t="n">
        <f aca="false">Helpers!AR11</f>
        <v>0</v>
      </c>
      <c r="AU351" s="13" t="n">
        <f aca="false">Helpers!AS11</f>
        <v>0</v>
      </c>
      <c r="AV351" s="13" t="n">
        <f aca="false">Helpers!AT11</f>
        <v>0</v>
      </c>
      <c r="AW351" s="13" t="n">
        <f aca="false">Helpers!AU11</f>
        <v>0</v>
      </c>
      <c r="AX351" s="13" t="n">
        <f aca="false">Helpers!AV11</f>
        <v>0</v>
      </c>
      <c r="AY351" s="13" t="n">
        <f aca="false">Helpers!AW11</f>
        <v>0</v>
      </c>
      <c r="AZ351" s="13" t="n">
        <f aca="false">Helpers!AX11</f>
        <v>0</v>
      </c>
      <c r="BA351" s="13" t="n">
        <f aca="false">Helpers!AY11</f>
        <v>0</v>
      </c>
      <c r="BB351" s="13" t="n">
        <f aca="false">Helpers!AZ11</f>
        <v>0</v>
      </c>
      <c r="BC351" s="13" t="n">
        <f aca="false">Helpers!BA11</f>
        <v>0</v>
      </c>
      <c r="BD351" s="13" t="n">
        <f aca="false">Helpers!BB11</f>
        <v>0</v>
      </c>
      <c r="BE351" s="13" t="n">
        <f aca="false">Helpers!BC11</f>
        <v>0</v>
      </c>
      <c r="BF351" s="13" t="n">
        <f aca="false">Helpers!BD11</f>
        <v>0</v>
      </c>
      <c r="BG351" s="13" t="n">
        <f aca="false">Helpers!BE11</f>
        <v>0</v>
      </c>
      <c r="BH351" s="13" t="n">
        <f aca="false">Helpers!BF11</f>
        <v>0</v>
      </c>
      <c r="BI351" s="13" t="n">
        <f aca="false">Helpers!BG11</f>
        <v>0</v>
      </c>
      <c r="BJ351" s="13" t="n">
        <f aca="false">Helpers!BH11</f>
        <v>0</v>
      </c>
      <c r="BK351" s="13" t="n">
        <f aca="false">Helpers!BI11</f>
        <v>0</v>
      </c>
      <c r="BL351" s="13" t="n">
        <f aca="false">Helpers!BJ11</f>
        <v>0</v>
      </c>
      <c r="BM351" s="13" t="n">
        <f aca="false">Helpers!BK11</f>
        <v>0</v>
      </c>
      <c r="BN351" s="13" t="n">
        <f aca="false">Helpers!BL11</f>
        <v>0</v>
      </c>
      <c r="BO351" s="13" t="n">
        <f aca="false">Helpers!BM11</f>
        <v>0</v>
      </c>
      <c r="BP351" s="13" t="n">
        <f aca="false">Helpers!BN11</f>
        <v>0</v>
      </c>
      <c r="BQ351" s="13" t="n">
        <f aca="false">Helpers!BO11</f>
        <v>0</v>
      </c>
      <c r="BR351" s="13" t="n">
        <f aca="false">Helpers!BP11</f>
        <v>0</v>
      </c>
      <c r="BS351" s="13" t="n">
        <f aca="false">Helpers!BQ11</f>
        <v>0</v>
      </c>
      <c r="BT351" s="13" t="n">
        <f aca="false">Helpers!BR11</f>
        <v>0</v>
      </c>
      <c r="BU351" s="13" t="n">
        <f aca="false">Helpers!BS11</f>
        <v>0</v>
      </c>
      <c r="BV351" s="13" t="n">
        <f aca="false">Helpers!BT11</f>
        <v>0</v>
      </c>
      <c r="BW351" s="13" t="n">
        <f aca="false">Helpers!BU11</f>
        <v>0</v>
      </c>
      <c r="BX351" s="13" t="n">
        <f aca="false">Helpers!BV11</f>
        <v>0</v>
      </c>
      <c r="BY351" s="13" t="n">
        <f aca="false">Helpers!BW11</f>
        <v>0</v>
      </c>
      <c r="BZ351" s="13" t="n">
        <f aca="false">Helpers!BX11</f>
        <v>0</v>
      </c>
      <c r="CA351" s="13" t="n">
        <f aca="false">Helpers!BY11</f>
        <v>0</v>
      </c>
      <c r="CB351" s="13" t="n">
        <f aca="false">Helpers!BZ11</f>
        <v>0</v>
      </c>
      <c r="CC351" s="13" t="n">
        <f aca="false">Helpers!CA11</f>
        <v>0</v>
      </c>
      <c r="CD351" s="13" t="n">
        <f aca="false">Helpers!CB11</f>
        <v>0</v>
      </c>
      <c r="CE351" s="13" t="n">
        <f aca="false">Helpers!CC11</f>
        <v>0</v>
      </c>
      <c r="CF351" s="13" t="n">
        <f aca="false">Helpers!CD11</f>
        <v>0</v>
      </c>
      <c r="CG351" s="13" t="n">
        <f aca="false">Helpers!CE11</f>
        <v>0</v>
      </c>
      <c r="CH351" s="13" t="n">
        <f aca="false">Helpers!CF11</f>
        <v>0</v>
      </c>
      <c r="CI351" s="13" t="n">
        <f aca="false">Helpers!CG11</f>
        <v>0</v>
      </c>
      <c r="CJ351" s="13" t="n">
        <f aca="false">Helpers!CH11</f>
        <v>0</v>
      </c>
      <c r="CK351" s="13" t="n">
        <f aca="false">Helpers!CI11</f>
        <v>0</v>
      </c>
      <c r="CL351" s="13" t="n">
        <f aca="false">Helpers!CJ11</f>
        <v>0</v>
      </c>
      <c r="CM351" s="13" t="n">
        <f aca="false">Helpers!CK11</f>
        <v>0</v>
      </c>
      <c r="CN351" s="13" t="n">
        <f aca="false">Helpers!CL11</f>
        <v>0</v>
      </c>
      <c r="CO351" s="13" t="n">
        <f aca="false">Helpers!CM11</f>
        <v>0</v>
      </c>
      <c r="CP351" s="13" t="n">
        <f aca="false">Helpers!CN11</f>
        <v>0</v>
      </c>
      <c r="CQ351" s="13" t="n">
        <f aca="false">Helpers!CO11</f>
        <v>0</v>
      </c>
      <c r="CR351" s="13" t="n">
        <f aca="false">Helpers!CP11</f>
        <v>0</v>
      </c>
      <c r="CS351" s="13" t="n">
        <f aca="false">Helpers!CQ11</f>
        <v>0</v>
      </c>
      <c r="CT351" s="13" t="n">
        <f aca="false">Helpers!CR11</f>
        <v>0</v>
      </c>
      <c r="CU351" s="13" t="n">
        <f aca="false">Helpers!CS11</f>
        <v>0</v>
      </c>
      <c r="CV351" s="13" t="n">
        <f aca="false">Helpers!CT11</f>
        <v>0</v>
      </c>
      <c r="CW351" s="13" t="n">
        <f aca="false">Helpers!CU11</f>
        <v>0</v>
      </c>
      <c r="CX351" s="13" t="n">
        <f aca="false">Helpers!CV11</f>
        <v>0</v>
      </c>
      <c r="CY351" s="13" t="n">
        <f aca="false">Helpers!CW11</f>
        <v>0</v>
      </c>
      <c r="CZ351" s="13" t="n">
        <f aca="false">Helpers!CX11</f>
        <v>0</v>
      </c>
      <c r="DA351" s="13" t="n">
        <f aca="false">Helpers!CY11</f>
        <v>0</v>
      </c>
      <c r="DB351" s="13" t="n">
        <f aca="false">Helpers!CZ11</f>
        <v>0</v>
      </c>
      <c r="DC351" s="13" t="n">
        <f aca="false">Helpers!DA11</f>
        <v>0</v>
      </c>
      <c r="DD351" s="13" t="n">
        <f aca="false">Helpers!DB11</f>
        <v>0</v>
      </c>
      <c r="DE351" s="13" t="n">
        <f aca="false">Helpers!DC11</f>
        <v>0</v>
      </c>
    </row>
    <row r="352" customFormat="false" ht="15" hidden="false" customHeight="true" outlineLevel="0" collapsed="false">
      <c r="A352" s="22" t="s">
        <v>14</v>
      </c>
      <c r="B352" s="13"/>
      <c r="C352" s="13"/>
      <c r="D352" s="13"/>
      <c r="E352" s="13" t="n">
        <f aca="false">Helpers!C12</f>
        <v>0</v>
      </c>
      <c r="F352" s="13" t="n">
        <f aca="false">Helpers!D12</f>
        <v>0</v>
      </c>
      <c r="G352" s="13" t="n">
        <f aca="false">Helpers!E12</f>
        <v>0</v>
      </c>
      <c r="H352" s="13" t="n">
        <f aca="false">Helpers!F12</f>
        <v>0</v>
      </c>
      <c r="I352" s="13" t="n">
        <f aca="false">Helpers!G12</f>
        <v>14106170.5891092</v>
      </c>
      <c r="J352" s="13" t="n">
        <f aca="false">Helpers!H12</f>
        <v>13840677.8231148</v>
      </c>
      <c r="K352" s="13" t="n">
        <f aca="false">Helpers!I12</f>
        <v>13538353.2763752</v>
      </c>
      <c r="L352" s="13" t="n">
        <f aca="false">Helpers!J12</f>
        <v>13197519.5186268</v>
      </c>
      <c r="M352" s="13" t="n">
        <f aca="false">Helpers!K12</f>
        <v>12817086.9370488</v>
      </c>
      <c r="N352" s="13" t="n">
        <f aca="false">Helpers!L12</f>
        <v>12396682.7693604</v>
      </c>
      <c r="O352" s="13" t="n">
        <f aca="false">Helpers!M12</f>
        <v>11936722.7888748</v>
      </c>
      <c r="P352" s="13" t="n">
        <f aca="false">Helpers!N12</f>
        <v>11438482.9895532</v>
      </c>
      <c r="Q352" s="13" t="n">
        <f aca="false">Helpers!O12</f>
        <v>10904156.934048</v>
      </c>
      <c r="R352" s="13" t="n">
        <f aca="false">Helpers!P12</f>
        <v>10336812.7426704</v>
      </c>
      <c r="S352" s="13" t="n">
        <f aca="false">Helpers!Q12</f>
        <v>9740407.4304012</v>
      </c>
      <c r="T352" s="13" t="n">
        <f aca="false">Helpers!R12</f>
        <v>9119686.5478152</v>
      </c>
      <c r="U352" s="13" t="n">
        <f aca="false">Helpers!S12</f>
        <v>8480069.4849948</v>
      </c>
      <c r="V352" s="13" t="n">
        <f aca="false">Helpers!T12</f>
        <v>7827549.1124544</v>
      </c>
      <c r="W352" s="13" t="n">
        <f aca="false">Helpers!U12</f>
        <v>7168476.7259784</v>
      </c>
      <c r="X352" s="13" t="n">
        <f aca="false">Helpers!V12</f>
        <v>6509404.3395024</v>
      </c>
      <c r="Y352" s="13" t="n">
        <f aca="false">Helpers!W12</f>
        <v>5856883.966962</v>
      </c>
      <c r="Z352" s="13" t="n">
        <f aca="false">Helpers!X12</f>
        <v>5217266.9041416</v>
      </c>
      <c r="AA352" s="13" t="n">
        <f aca="false">Helpers!Y12</f>
        <v>4596546.0215556</v>
      </c>
      <c r="AB352" s="13" t="n">
        <f aca="false">Helpers!Z12</f>
        <v>0</v>
      </c>
      <c r="AC352" s="13" t="n">
        <f aca="false">Helpers!AA12</f>
        <v>0</v>
      </c>
      <c r="AD352" s="13" t="n">
        <f aca="false">Helpers!AB12</f>
        <v>0</v>
      </c>
      <c r="AE352" s="13" t="n">
        <f aca="false">Helpers!AC12</f>
        <v>0</v>
      </c>
      <c r="AF352" s="13" t="n">
        <f aca="false">Helpers!AD12</f>
        <v>0</v>
      </c>
      <c r="AG352" s="13" t="n">
        <f aca="false">Helpers!AE12</f>
        <v>0</v>
      </c>
      <c r="AH352" s="13" t="n">
        <f aca="false">Helpers!AF12</f>
        <v>0</v>
      </c>
      <c r="AI352" s="13" t="n">
        <f aca="false">Helpers!AG12</f>
        <v>0</v>
      </c>
      <c r="AJ352" s="13" t="n">
        <f aca="false">Helpers!AH12</f>
        <v>0</v>
      </c>
      <c r="AK352" s="13" t="n">
        <f aca="false">Helpers!AI12</f>
        <v>0</v>
      </c>
      <c r="AL352" s="13" t="n">
        <f aca="false">Helpers!AJ12</f>
        <v>0</v>
      </c>
      <c r="AM352" s="13" t="n">
        <f aca="false">Helpers!AK12</f>
        <v>0</v>
      </c>
      <c r="AN352" s="13" t="n">
        <f aca="false">Helpers!AL12</f>
        <v>0</v>
      </c>
      <c r="AO352" s="13" t="n">
        <f aca="false">Helpers!AM12</f>
        <v>0</v>
      </c>
      <c r="AP352" s="13" t="n">
        <f aca="false">Helpers!AN12</f>
        <v>0</v>
      </c>
      <c r="AQ352" s="13" t="n">
        <f aca="false">Helpers!AO12</f>
        <v>0</v>
      </c>
      <c r="AR352" s="13" t="n">
        <f aca="false">Helpers!AP12</f>
        <v>0</v>
      </c>
      <c r="AS352" s="13" t="n">
        <f aca="false">Helpers!AQ12</f>
        <v>0</v>
      </c>
      <c r="AT352" s="13" t="n">
        <f aca="false">Helpers!AR12</f>
        <v>0</v>
      </c>
      <c r="AU352" s="13" t="n">
        <f aca="false">Helpers!AS12</f>
        <v>0</v>
      </c>
      <c r="AV352" s="13" t="n">
        <f aca="false">Helpers!AT12</f>
        <v>0</v>
      </c>
      <c r="AW352" s="13" t="n">
        <f aca="false">Helpers!AU12</f>
        <v>0</v>
      </c>
      <c r="AX352" s="13" t="n">
        <f aca="false">Helpers!AV12</f>
        <v>0</v>
      </c>
      <c r="AY352" s="13" t="n">
        <f aca="false">Helpers!AW12</f>
        <v>0</v>
      </c>
      <c r="AZ352" s="13" t="n">
        <f aca="false">Helpers!AX12</f>
        <v>0</v>
      </c>
      <c r="BA352" s="13" t="n">
        <f aca="false">Helpers!AY12</f>
        <v>0</v>
      </c>
      <c r="BB352" s="13" t="n">
        <f aca="false">Helpers!AZ12</f>
        <v>0</v>
      </c>
      <c r="BC352" s="13" t="n">
        <f aca="false">Helpers!BA12</f>
        <v>0</v>
      </c>
      <c r="BD352" s="13" t="n">
        <f aca="false">Helpers!BB12</f>
        <v>0</v>
      </c>
      <c r="BE352" s="13" t="n">
        <f aca="false">Helpers!BC12</f>
        <v>0</v>
      </c>
      <c r="BF352" s="13" t="n">
        <f aca="false">Helpers!BD12</f>
        <v>0</v>
      </c>
      <c r="BG352" s="13" t="n">
        <f aca="false">Helpers!BE12</f>
        <v>0</v>
      </c>
      <c r="BH352" s="13" t="n">
        <f aca="false">Helpers!BF12</f>
        <v>0</v>
      </c>
      <c r="BI352" s="13" t="n">
        <f aca="false">Helpers!BG12</f>
        <v>0</v>
      </c>
      <c r="BJ352" s="13" t="n">
        <f aca="false">Helpers!BH12</f>
        <v>0</v>
      </c>
      <c r="BK352" s="13" t="n">
        <f aca="false">Helpers!BI12</f>
        <v>0</v>
      </c>
      <c r="BL352" s="13" t="n">
        <f aca="false">Helpers!BJ12</f>
        <v>0</v>
      </c>
      <c r="BM352" s="13" t="n">
        <f aca="false">Helpers!BK12</f>
        <v>0</v>
      </c>
      <c r="BN352" s="13" t="n">
        <f aca="false">Helpers!BL12</f>
        <v>0</v>
      </c>
      <c r="BO352" s="13" t="n">
        <f aca="false">Helpers!BM12</f>
        <v>0</v>
      </c>
      <c r="BP352" s="13" t="n">
        <f aca="false">Helpers!BN12</f>
        <v>0</v>
      </c>
      <c r="BQ352" s="13" t="n">
        <f aca="false">Helpers!BO12</f>
        <v>0</v>
      </c>
      <c r="BR352" s="13" t="n">
        <f aca="false">Helpers!BP12</f>
        <v>0</v>
      </c>
      <c r="BS352" s="13" t="n">
        <f aca="false">Helpers!BQ12</f>
        <v>0</v>
      </c>
      <c r="BT352" s="13" t="n">
        <f aca="false">Helpers!BR12</f>
        <v>0</v>
      </c>
      <c r="BU352" s="13" t="n">
        <f aca="false">Helpers!BS12</f>
        <v>0</v>
      </c>
      <c r="BV352" s="13" t="n">
        <f aca="false">Helpers!BT12</f>
        <v>0</v>
      </c>
      <c r="BW352" s="13" t="n">
        <f aca="false">Helpers!BU12</f>
        <v>0</v>
      </c>
      <c r="BX352" s="13" t="n">
        <f aca="false">Helpers!BV12</f>
        <v>0</v>
      </c>
      <c r="BY352" s="13" t="n">
        <f aca="false">Helpers!BW12</f>
        <v>0</v>
      </c>
      <c r="BZ352" s="13" t="n">
        <f aca="false">Helpers!BX12</f>
        <v>0</v>
      </c>
      <c r="CA352" s="13" t="n">
        <f aca="false">Helpers!BY12</f>
        <v>0</v>
      </c>
      <c r="CB352" s="13" t="n">
        <f aca="false">Helpers!BZ12</f>
        <v>0</v>
      </c>
      <c r="CC352" s="13" t="n">
        <f aca="false">Helpers!CA12</f>
        <v>0</v>
      </c>
      <c r="CD352" s="13" t="n">
        <f aca="false">Helpers!CB12</f>
        <v>0</v>
      </c>
      <c r="CE352" s="13" t="n">
        <f aca="false">Helpers!CC12</f>
        <v>0</v>
      </c>
      <c r="CF352" s="13" t="n">
        <f aca="false">Helpers!CD12</f>
        <v>0</v>
      </c>
      <c r="CG352" s="13" t="n">
        <f aca="false">Helpers!CE12</f>
        <v>0</v>
      </c>
      <c r="CH352" s="13" t="n">
        <f aca="false">Helpers!CF12</f>
        <v>0</v>
      </c>
      <c r="CI352" s="13" t="n">
        <f aca="false">Helpers!CG12</f>
        <v>0</v>
      </c>
      <c r="CJ352" s="13" t="n">
        <f aca="false">Helpers!CH12</f>
        <v>0</v>
      </c>
      <c r="CK352" s="13" t="n">
        <f aca="false">Helpers!CI12</f>
        <v>0</v>
      </c>
      <c r="CL352" s="13" t="n">
        <f aca="false">Helpers!CJ12</f>
        <v>0</v>
      </c>
      <c r="CM352" s="13" t="n">
        <f aca="false">Helpers!CK12</f>
        <v>0</v>
      </c>
      <c r="CN352" s="13" t="n">
        <f aca="false">Helpers!CL12</f>
        <v>0</v>
      </c>
      <c r="CO352" s="13" t="n">
        <f aca="false">Helpers!CM12</f>
        <v>0</v>
      </c>
      <c r="CP352" s="13" t="n">
        <f aca="false">Helpers!CN12</f>
        <v>0</v>
      </c>
      <c r="CQ352" s="13" t="n">
        <f aca="false">Helpers!CO12</f>
        <v>0</v>
      </c>
      <c r="CR352" s="13" t="n">
        <f aca="false">Helpers!CP12</f>
        <v>0</v>
      </c>
      <c r="CS352" s="13" t="n">
        <f aca="false">Helpers!CQ12</f>
        <v>0</v>
      </c>
      <c r="CT352" s="13" t="n">
        <f aca="false">Helpers!CR12</f>
        <v>0</v>
      </c>
      <c r="CU352" s="13" t="n">
        <f aca="false">Helpers!CS12</f>
        <v>0</v>
      </c>
      <c r="CV352" s="13" t="n">
        <f aca="false">Helpers!CT12</f>
        <v>0</v>
      </c>
      <c r="CW352" s="13" t="n">
        <f aca="false">Helpers!CU12</f>
        <v>0</v>
      </c>
      <c r="CX352" s="13" t="n">
        <f aca="false">Helpers!CV12</f>
        <v>0</v>
      </c>
      <c r="CY352" s="13" t="n">
        <f aca="false">Helpers!CW12</f>
        <v>0</v>
      </c>
      <c r="CZ352" s="13" t="n">
        <f aca="false">Helpers!CX12</f>
        <v>0</v>
      </c>
      <c r="DA352" s="13" t="n">
        <f aca="false">Helpers!CY12</f>
        <v>0</v>
      </c>
      <c r="DB352" s="13" t="n">
        <f aca="false">Helpers!CZ12</f>
        <v>0</v>
      </c>
      <c r="DC352" s="13" t="n">
        <f aca="false">Helpers!DA12</f>
        <v>0</v>
      </c>
      <c r="DD352" s="13" t="n">
        <f aca="false">Helpers!DB12</f>
        <v>0</v>
      </c>
      <c r="DE352" s="13" t="n">
        <f aca="false">Helpers!DC12</f>
        <v>0</v>
      </c>
    </row>
    <row r="353" customFormat="false" ht="15" hidden="false" customHeight="true" outlineLevel="0" collapsed="false">
      <c r="A353" s="22" t="s">
        <v>15</v>
      </c>
      <c r="B353" s="13"/>
      <c r="C353" s="13"/>
      <c r="D353" s="13"/>
      <c r="E353" s="13" t="n">
        <f aca="false">Helpers!C13</f>
        <v>0</v>
      </c>
      <c r="F353" s="13" t="n">
        <f aca="false">Helpers!D13</f>
        <v>0</v>
      </c>
      <c r="G353" s="13" t="n">
        <f aca="false">Helpers!E13</f>
        <v>0</v>
      </c>
      <c r="H353" s="13" t="n">
        <f aca="false">Helpers!F13</f>
        <v>0</v>
      </c>
      <c r="I353" s="13" t="n">
        <f aca="false">Helpers!G13</f>
        <v>0</v>
      </c>
      <c r="J353" s="13" t="n">
        <f aca="false">Helpers!H13</f>
        <v>0</v>
      </c>
      <c r="K353" s="13" t="n">
        <f aca="false">Helpers!I13</f>
        <v>0</v>
      </c>
      <c r="L353" s="13" t="n">
        <f aca="false">Helpers!J13</f>
        <v>0</v>
      </c>
      <c r="M353" s="13" t="n">
        <f aca="false">Helpers!K13</f>
        <v>0</v>
      </c>
      <c r="N353" s="13" t="n">
        <f aca="false">Helpers!L13</f>
        <v>0</v>
      </c>
      <c r="O353" s="13" t="n">
        <f aca="false">Helpers!M13</f>
        <v>0</v>
      </c>
      <c r="P353" s="13" t="n">
        <f aca="false">Helpers!N13</f>
        <v>0</v>
      </c>
      <c r="Q353" s="13" t="n">
        <f aca="false">Helpers!O13</f>
        <v>0</v>
      </c>
      <c r="R353" s="13" t="n">
        <f aca="false">Helpers!P13</f>
        <v>0</v>
      </c>
      <c r="S353" s="13" t="n">
        <f aca="false">Helpers!Q13</f>
        <v>20699563.289615</v>
      </c>
      <c r="T353" s="13" t="n">
        <f aca="false">Helpers!R13</f>
        <v>20002952.87841</v>
      </c>
      <c r="U353" s="13" t="n">
        <f aca="false">Helpers!S13</f>
        <v>19163431.1222</v>
      </c>
      <c r="V353" s="13" t="n">
        <f aca="false">Helpers!T13</f>
        <v>18176553.96934</v>
      </c>
      <c r="W353" s="13" t="n">
        <f aca="false">Helpers!U13</f>
        <v>17044958.08205</v>
      </c>
      <c r="X353" s="13" t="n">
        <f aca="false">Helpers!V13</f>
        <v>15779317.68964</v>
      </c>
      <c r="Y353" s="13" t="n">
        <f aca="false">Helpers!W13</f>
        <v>14398535.959155</v>
      </c>
      <c r="Z353" s="13" t="n">
        <f aca="false">Helpers!X13</f>
        <v>12929149.620035</v>
      </c>
      <c r="AA353" s="13" t="n">
        <f aca="false">Helpers!Y13</f>
        <v>11403883.052575</v>
      </c>
      <c r="AB353" s="13" t="n">
        <f aca="false">Helpers!Z13</f>
        <v>9859521.947425</v>
      </c>
      <c r="AC353" s="13" t="n">
        <f aca="false">Helpers!AA13</f>
        <v>8334255.379965</v>
      </c>
      <c r="AD353" s="13" t="n">
        <f aca="false">Helpers!AB13</f>
        <v>6864869.040845</v>
      </c>
      <c r="AE353" s="13" t="n">
        <f aca="false">Helpers!AC13</f>
        <v>5484087.31036</v>
      </c>
      <c r="AF353" s="13" t="n">
        <f aca="false">Helpers!AD13</f>
        <v>4218446.91795</v>
      </c>
      <c r="AG353" s="13" t="n">
        <f aca="false">Helpers!AE13</f>
        <v>3086851.03066</v>
      </c>
      <c r="AH353" s="13" t="n">
        <f aca="false">Helpers!AF13</f>
        <v>2099973.8778</v>
      </c>
      <c r="AI353" s="13" t="n">
        <f aca="false">Helpers!AG13</f>
        <v>1260452.12159</v>
      </c>
      <c r="AJ353" s="13" t="n">
        <f aca="false">Helpers!AH13</f>
        <v>563841.710385</v>
      </c>
      <c r="AK353" s="13" t="n">
        <f aca="false">Helpers!AI13</f>
        <v>0</v>
      </c>
      <c r="AL353" s="13" t="n">
        <f aca="false">Helpers!AJ13</f>
        <v>0</v>
      </c>
      <c r="AM353" s="13" t="n">
        <f aca="false">Helpers!AK13</f>
        <v>0</v>
      </c>
      <c r="AN353" s="13" t="n">
        <f aca="false">Helpers!AL13</f>
        <v>0</v>
      </c>
      <c r="AO353" s="13" t="n">
        <f aca="false">Helpers!AM13</f>
        <v>0</v>
      </c>
      <c r="AP353" s="13" t="n">
        <f aca="false">Helpers!AN13</f>
        <v>0</v>
      </c>
      <c r="AQ353" s="13" t="n">
        <f aca="false">Helpers!AO13</f>
        <v>0</v>
      </c>
      <c r="AR353" s="13" t="n">
        <f aca="false">Helpers!AP13</f>
        <v>0</v>
      </c>
      <c r="AS353" s="13" t="n">
        <f aca="false">Helpers!AQ13</f>
        <v>0</v>
      </c>
      <c r="AT353" s="13" t="n">
        <f aca="false">Helpers!AR13</f>
        <v>0</v>
      </c>
      <c r="AU353" s="13" t="n">
        <f aca="false">Helpers!AS13</f>
        <v>0</v>
      </c>
      <c r="AV353" s="13" t="n">
        <f aca="false">Helpers!AT13</f>
        <v>0</v>
      </c>
      <c r="AW353" s="13" t="n">
        <f aca="false">Helpers!AU13</f>
        <v>0</v>
      </c>
      <c r="AX353" s="13" t="n">
        <f aca="false">Helpers!AV13</f>
        <v>0</v>
      </c>
      <c r="AY353" s="13" t="n">
        <f aca="false">Helpers!AW13</f>
        <v>0</v>
      </c>
      <c r="AZ353" s="13" t="n">
        <f aca="false">Helpers!AX13</f>
        <v>0</v>
      </c>
      <c r="BA353" s="13" t="n">
        <f aca="false">Helpers!AY13</f>
        <v>0</v>
      </c>
      <c r="BB353" s="13" t="n">
        <f aca="false">Helpers!AZ13</f>
        <v>0</v>
      </c>
      <c r="BC353" s="13" t="n">
        <f aca="false">Helpers!BA13</f>
        <v>0</v>
      </c>
      <c r="BD353" s="13" t="n">
        <f aca="false">Helpers!BB13</f>
        <v>0</v>
      </c>
      <c r="BE353" s="13" t="n">
        <f aca="false">Helpers!BC13</f>
        <v>0</v>
      </c>
      <c r="BF353" s="13" t="n">
        <f aca="false">Helpers!BD13</f>
        <v>0</v>
      </c>
      <c r="BG353" s="13" t="n">
        <f aca="false">Helpers!BE13</f>
        <v>0</v>
      </c>
      <c r="BH353" s="13" t="n">
        <f aca="false">Helpers!BF13</f>
        <v>0</v>
      </c>
      <c r="BI353" s="13" t="n">
        <f aca="false">Helpers!BG13</f>
        <v>0</v>
      </c>
      <c r="BJ353" s="13" t="n">
        <f aca="false">Helpers!BH13</f>
        <v>0</v>
      </c>
      <c r="BK353" s="13" t="n">
        <f aca="false">Helpers!BI13</f>
        <v>0</v>
      </c>
      <c r="BL353" s="13" t="n">
        <f aca="false">Helpers!BJ13</f>
        <v>0</v>
      </c>
      <c r="BM353" s="13" t="n">
        <f aca="false">Helpers!BK13</f>
        <v>0</v>
      </c>
      <c r="BN353" s="13" t="n">
        <f aca="false">Helpers!BL13</f>
        <v>0</v>
      </c>
      <c r="BO353" s="13" t="n">
        <f aca="false">Helpers!BM13</f>
        <v>0</v>
      </c>
      <c r="BP353" s="13" t="n">
        <f aca="false">Helpers!BN13</f>
        <v>0</v>
      </c>
      <c r="BQ353" s="13" t="n">
        <f aca="false">Helpers!BO13</f>
        <v>0</v>
      </c>
      <c r="BR353" s="13" t="n">
        <f aca="false">Helpers!BP13</f>
        <v>0</v>
      </c>
      <c r="BS353" s="13" t="n">
        <f aca="false">Helpers!BQ13</f>
        <v>0</v>
      </c>
      <c r="BT353" s="13" t="n">
        <f aca="false">Helpers!BR13</f>
        <v>0</v>
      </c>
      <c r="BU353" s="13" t="n">
        <f aca="false">Helpers!BS13</f>
        <v>0</v>
      </c>
      <c r="BV353" s="13" t="n">
        <f aca="false">Helpers!BT13</f>
        <v>0</v>
      </c>
      <c r="BW353" s="13" t="n">
        <f aca="false">Helpers!BU13</f>
        <v>0</v>
      </c>
      <c r="BX353" s="13" t="n">
        <f aca="false">Helpers!BV13</f>
        <v>0</v>
      </c>
      <c r="BY353" s="13" t="n">
        <f aca="false">Helpers!BW13</f>
        <v>0</v>
      </c>
      <c r="BZ353" s="13" t="n">
        <f aca="false">Helpers!BX13</f>
        <v>0</v>
      </c>
      <c r="CA353" s="13" t="n">
        <f aca="false">Helpers!BY13</f>
        <v>0</v>
      </c>
      <c r="CB353" s="13" t="n">
        <f aca="false">Helpers!BZ13</f>
        <v>0</v>
      </c>
      <c r="CC353" s="13" t="n">
        <f aca="false">Helpers!CA13</f>
        <v>0</v>
      </c>
      <c r="CD353" s="13" t="n">
        <f aca="false">Helpers!CB13</f>
        <v>0</v>
      </c>
      <c r="CE353" s="13" t="n">
        <f aca="false">Helpers!CC13</f>
        <v>0</v>
      </c>
      <c r="CF353" s="13" t="n">
        <f aca="false">Helpers!CD13</f>
        <v>0</v>
      </c>
      <c r="CG353" s="13" t="n">
        <f aca="false">Helpers!CE13</f>
        <v>0</v>
      </c>
      <c r="CH353" s="13" t="n">
        <f aca="false">Helpers!CF13</f>
        <v>0</v>
      </c>
      <c r="CI353" s="13" t="n">
        <f aca="false">Helpers!CG13</f>
        <v>0</v>
      </c>
      <c r="CJ353" s="13" t="n">
        <f aca="false">Helpers!CH13</f>
        <v>0</v>
      </c>
      <c r="CK353" s="13" t="n">
        <f aca="false">Helpers!CI13</f>
        <v>0</v>
      </c>
      <c r="CL353" s="13" t="n">
        <f aca="false">Helpers!CJ13</f>
        <v>0</v>
      </c>
      <c r="CM353" s="13" t="n">
        <f aca="false">Helpers!CK13</f>
        <v>0</v>
      </c>
      <c r="CN353" s="13" t="n">
        <f aca="false">Helpers!CL13</f>
        <v>0</v>
      </c>
      <c r="CO353" s="13" t="n">
        <f aca="false">Helpers!CM13</f>
        <v>0</v>
      </c>
      <c r="CP353" s="13" t="n">
        <f aca="false">Helpers!CN13</f>
        <v>0</v>
      </c>
      <c r="CQ353" s="13" t="n">
        <f aca="false">Helpers!CO13</f>
        <v>0</v>
      </c>
      <c r="CR353" s="13" t="n">
        <f aca="false">Helpers!CP13</f>
        <v>0</v>
      </c>
      <c r="CS353" s="13" t="n">
        <f aca="false">Helpers!CQ13</f>
        <v>0</v>
      </c>
      <c r="CT353" s="13" t="n">
        <f aca="false">Helpers!CR13</f>
        <v>0</v>
      </c>
      <c r="CU353" s="13" t="n">
        <f aca="false">Helpers!CS13</f>
        <v>0</v>
      </c>
      <c r="CV353" s="13" t="n">
        <f aca="false">Helpers!CT13</f>
        <v>0</v>
      </c>
      <c r="CW353" s="13" t="n">
        <f aca="false">Helpers!CU13</f>
        <v>0</v>
      </c>
      <c r="CX353" s="13" t="n">
        <f aca="false">Helpers!CV13</f>
        <v>0</v>
      </c>
      <c r="CY353" s="13" t="n">
        <f aca="false">Helpers!CW13</f>
        <v>0</v>
      </c>
      <c r="CZ353" s="13" t="n">
        <f aca="false">Helpers!CX13</f>
        <v>0</v>
      </c>
      <c r="DA353" s="13" t="n">
        <f aca="false">Helpers!CY13</f>
        <v>0</v>
      </c>
      <c r="DB353" s="13" t="n">
        <f aca="false">Helpers!CZ13</f>
        <v>0</v>
      </c>
      <c r="DC353" s="13" t="n">
        <f aca="false">Helpers!DA13</f>
        <v>0</v>
      </c>
      <c r="DD353" s="13" t="n">
        <f aca="false">Helpers!DB13</f>
        <v>0</v>
      </c>
      <c r="DE353" s="13" t="n">
        <f aca="false">Helpers!DC13</f>
        <v>0</v>
      </c>
    </row>
    <row r="354" customFormat="false" ht="15" hidden="false" customHeight="true" outlineLevel="0" collapsed="false">
      <c r="A354" s="22" t="s">
        <v>18</v>
      </c>
      <c r="B354" s="13"/>
      <c r="C354" s="13"/>
      <c r="D354" s="13"/>
      <c r="E354" s="13" t="n">
        <f aca="false">Helpers!C14</f>
        <v>0</v>
      </c>
      <c r="F354" s="13" t="n">
        <f aca="false">Helpers!D14</f>
        <v>0</v>
      </c>
      <c r="G354" s="13" t="n">
        <f aca="false">Helpers!E14</f>
        <v>0</v>
      </c>
      <c r="H354" s="13" t="n">
        <f aca="false">Helpers!F14</f>
        <v>0</v>
      </c>
      <c r="I354" s="13" t="n">
        <f aca="false">Helpers!G14</f>
        <v>0</v>
      </c>
      <c r="J354" s="13" t="n">
        <f aca="false">Helpers!H14</f>
        <v>0</v>
      </c>
      <c r="K354" s="13" t="n">
        <f aca="false">Helpers!I14</f>
        <v>0</v>
      </c>
      <c r="L354" s="13" t="n">
        <f aca="false">Helpers!J14</f>
        <v>0</v>
      </c>
      <c r="M354" s="13" t="n">
        <f aca="false">Helpers!K14</f>
        <v>0</v>
      </c>
      <c r="N354" s="13" t="n">
        <f aca="false">Helpers!L14</f>
        <v>0</v>
      </c>
      <c r="O354" s="13" t="n">
        <f aca="false">Helpers!M14</f>
        <v>0</v>
      </c>
      <c r="P354" s="13" t="n">
        <f aca="false">Helpers!N14</f>
        <v>0</v>
      </c>
      <c r="Q354" s="13" t="n">
        <f aca="false">Helpers!O14</f>
        <v>0</v>
      </c>
      <c r="R354" s="13" t="n">
        <f aca="false">Helpers!P14</f>
        <v>0</v>
      </c>
      <c r="S354" s="13" t="n">
        <f aca="false">Helpers!Q14</f>
        <v>44537929.73623</v>
      </c>
      <c r="T354" s="13" t="n">
        <f aca="false">Helpers!R14</f>
        <v>43699679.68937</v>
      </c>
      <c r="U354" s="13" t="n">
        <f aca="false">Helpers!S14</f>
        <v>42745139.31038</v>
      </c>
      <c r="V354" s="13" t="n">
        <f aca="false">Helpers!T14</f>
        <v>41669012.38717</v>
      </c>
      <c r="W354" s="13" t="n">
        <f aca="false">Helpers!U14</f>
        <v>40467858.64522</v>
      </c>
      <c r="X354" s="13" t="n">
        <f aca="false">Helpers!V14</f>
        <v>39140501.14851</v>
      </c>
      <c r="Y354" s="13" t="n">
        <f aca="false">Helpers!W14</f>
        <v>37688252.63337</v>
      </c>
      <c r="Z354" s="13" t="n">
        <f aca="false">Helpers!X14</f>
        <v>36115141.84233</v>
      </c>
      <c r="AA354" s="13" t="n">
        <f aca="false">Helpers!Y14</f>
        <v>34428094.5912</v>
      </c>
      <c r="AB354" s="13" t="n">
        <f aca="false">Helpers!Z14</f>
        <v>32636797.96876</v>
      </c>
      <c r="AC354" s="13" t="n">
        <f aca="false">Helpers!AA14</f>
        <v>30753745.60353</v>
      </c>
      <c r="AD354" s="13" t="n">
        <f aca="false">Helpers!AB14</f>
        <v>28793920.79638</v>
      </c>
      <c r="AE354" s="13" t="n">
        <f aca="false">Helpers!AC14</f>
        <v>26774434.38637</v>
      </c>
      <c r="AF354" s="13" t="n">
        <f aca="false">Helpers!AD14</f>
        <v>24714207.88336</v>
      </c>
      <c r="AG354" s="13" t="n">
        <f aca="false">Helpers!AE14</f>
        <v>22633294.46646</v>
      </c>
      <c r="AH354" s="13" t="n">
        <f aca="false">Helpers!AF14</f>
        <v>20552381.04956</v>
      </c>
      <c r="AI354" s="13" t="n">
        <f aca="false">Helpers!AG14</f>
        <v>18492154.54655</v>
      </c>
      <c r="AJ354" s="13" t="n">
        <f aca="false">Helpers!AH14</f>
        <v>16472668.13654</v>
      </c>
      <c r="AK354" s="13" t="n">
        <f aca="false">Helpers!AI14</f>
        <v>14512843.32939</v>
      </c>
      <c r="AL354" s="13" t="n">
        <f aca="false">Helpers!AJ14</f>
        <v>12629790.96416</v>
      </c>
      <c r="AM354" s="13" t="n">
        <f aca="false">Helpers!AK14</f>
        <v>10838494.34172</v>
      </c>
      <c r="AN354" s="13" t="n">
        <f aca="false">Helpers!AL14</f>
        <v>9151447.09059</v>
      </c>
      <c r="AO354" s="13" t="n">
        <f aca="false">Helpers!AM14</f>
        <v>7578336.29955</v>
      </c>
      <c r="AP354" s="13" t="n">
        <f aca="false">Helpers!AN14</f>
        <v>6126087.78441</v>
      </c>
      <c r="AQ354" s="13" t="n">
        <f aca="false">Helpers!AO14</f>
        <v>4798730.2877</v>
      </c>
      <c r="AR354" s="13" t="n">
        <f aca="false">Helpers!AP14</f>
        <v>3597576.54575</v>
      </c>
      <c r="AS354" s="13" t="n">
        <f aca="false">Helpers!AQ14</f>
        <v>2521449.62254</v>
      </c>
      <c r="AT354" s="13" t="n">
        <f aca="false">Helpers!AR14</f>
        <v>1566909.24355</v>
      </c>
      <c r="AU354" s="13" t="n">
        <f aca="false">Helpers!AS14</f>
        <v>728659.196690001</v>
      </c>
      <c r="AV354" s="13" t="n">
        <f aca="false">Helpers!AT14</f>
        <v>-181.067079995155</v>
      </c>
      <c r="AW354" s="13" t="n">
        <f aca="false">Helpers!AU14</f>
        <v>0</v>
      </c>
      <c r="AX354" s="13" t="n">
        <f aca="false">Helpers!AV14</f>
        <v>0</v>
      </c>
      <c r="AY354" s="13" t="n">
        <f aca="false">Helpers!AW14</f>
        <v>0</v>
      </c>
      <c r="AZ354" s="13" t="n">
        <f aca="false">Helpers!AX14</f>
        <v>0</v>
      </c>
      <c r="BA354" s="13" t="n">
        <f aca="false">Helpers!AY14</f>
        <v>0</v>
      </c>
      <c r="BB354" s="13" t="n">
        <f aca="false">Helpers!AZ14</f>
        <v>0</v>
      </c>
      <c r="BC354" s="13" t="n">
        <f aca="false">Helpers!BA14</f>
        <v>0</v>
      </c>
      <c r="BD354" s="13" t="n">
        <f aca="false">Helpers!BB14</f>
        <v>0</v>
      </c>
      <c r="BE354" s="13" t="n">
        <f aca="false">Helpers!BC14</f>
        <v>0</v>
      </c>
      <c r="BF354" s="13" t="n">
        <f aca="false">Helpers!BD14</f>
        <v>0</v>
      </c>
      <c r="BG354" s="13" t="n">
        <f aca="false">Helpers!BE14</f>
        <v>0</v>
      </c>
      <c r="BH354" s="13" t="n">
        <f aca="false">Helpers!BF14</f>
        <v>0</v>
      </c>
      <c r="BI354" s="13" t="n">
        <f aca="false">Helpers!BG14</f>
        <v>0</v>
      </c>
      <c r="BJ354" s="13" t="n">
        <f aca="false">Helpers!BH14</f>
        <v>0</v>
      </c>
      <c r="BK354" s="13" t="n">
        <f aca="false">Helpers!BI14</f>
        <v>0</v>
      </c>
      <c r="BL354" s="13" t="n">
        <f aca="false">Helpers!BJ14</f>
        <v>0</v>
      </c>
      <c r="BM354" s="13" t="n">
        <f aca="false">Helpers!BK14</f>
        <v>0</v>
      </c>
      <c r="BN354" s="13" t="n">
        <f aca="false">Helpers!BL14</f>
        <v>0</v>
      </c>
      <c r="BO354" s="13" t="n">
        <f aca="false">Helpers!BM14</f>
        <v>0</v>
      </c>
      <c r="BP354" s="13" t="n">
        <f aca="false">Helpers!BN14</f>
        <v>0</v>
      </c>
      <c r="BQ354" s="13" t="n">
        <f aca="false">Helpers!BO14</f>
        <v>0</v>
      </c>
      <c r="BR354" s="13" t="n">
        <f aca="false">Helpers!BP14</f>
        <v>0</v>
      </c>
      <c r="BS354" s="13" t="n">
        <f aca="false">Helpers!BQ14</f>
        <v>0</v>
      </c>
      <c r="BT354" s="13" t="n">
        <f aca="false">Helpers!BR14</f>
        <v>0</v>
      </c>
      <c r="BU354" s="13" t="n">
        <f aca="false">Helpers!BS14</f>
        <v>0</v>
      </c>
      <c r="BV354" s="13" t="n">
        <f aca="false">Helpers!BT14</f>
        <v>0</v>
      </c>
      <c r="BW354" s="13" t="n">
        <f aca="false">Helpers!BU14</f>
        <v>0</v>
      </c>
      <c r="BX354" s="13" t="n">
        <f aca="false">Helpers!BV14</f>
        <v>0</v>
      </c>
      <c r="BY354" s="13" t="n">
        <f aca="false">Helpers!BW14</f>
        <v>0</v>
      </c>
      <c r="BZ354" s="13" t="n">
        <f aca="false">Helpers!BX14</f>
        <v>0</v>
      </c>
      <c r="CA354" s="13" t="n">
        <f aca="false">Helpers!BY14</f>
        <v>0</v>
      </c>
      <c r="CB354" s="13" t="n">
        <f aca="false">Helpers!BZ14</f>
        <v>0</v>
      </c>
      <c r="CC354" s="13" t="n">
        <f aca="false">Helpers!CA14</f>
        <v>0</v>
      </c>
      <c r="CD354" s="13" t="n">
        <f aca="false">Helpers!CB14</f>
        <v>0</v>
      </c>
      <c r="CE354" s="13" t="n">
        <f aca="false">Helpers!CC14</f>
        <v>0</v>
      </c>
      <c r="CF354" s="13" t="n">
        <f aca="false">Helpers!CD14</f>
        <v>0</v>
      </c>
      <c r="CG354" s="13" t="n">
        <f aca="false">Helpers!CE14</f>
        <v>0</v>
      </c>
      <c r="CH354" s="13" t="n">
        <f aca="false">Helpers!CF14</f>
        <v>0</v>
      </c>
      <c r="CI354" s="13" t="n">
        <f aca="false">Helpers!CG14</f>
        <v>0</v>
      </c>
      <c r="CJ354" s="13" t="n">
        <f aca="false">Helpers!CH14</f>
        <v>0</v>
      </c>
      <c r="CK354" s="13" t="n">
        <f aca="false">Helpers!CI14</f>
        <v>0</v>
      </c>
      <c r="CL354" s="13" t="n">
        <f aca="false">Helpers!CJ14</f>
        <v>0</v>
      </c>
      <c r="CM354" s="13" t="n">
        <f aca="false">Helpers!CK14</f>
        <v>0</v>
      </c>
      <c r="CN354" s="13" t="n">
        <f aca="false">Helpers!CL14</f>
        <v>0</v>
      </c>
      <c r="CO354" s="13" t="n">
        <f aca="false">Helpers!CM14</f>
        <v>0</v>
      </c>
      <c r="CP354" s="13" t="n">
        <f aca="false">Helpers!CN14</f>
        <v>0</v>
      </c>
      <c r="CQ354" s="13" t="n">
        <f aca="false">Helpers!CO14</f>
        <v>0</v>
      </c>
      <c r="CR354" s="13" t="n">
        <f aca="false">Helpers!CP14</f>
        <v>0</v>
      </c>
      <c r="CS354" s="13" t="n">
        <f aca="false">Helpers!CQ14</f>
        <v>0</v>
      </c>
      <c r="CT354" s="13" t="n">
        <f aca="false">Helpers!CR14</f>
        <v>0</v>
      </c>
      <c r="CU354" s="13" t="n">
        <f aca="false">Helpers!CS14</f>
        <v>0</v>
      </c>
      <c r="CV354" s="13" t="n">
        <f aca="false">Helpers!CT14</f>
        <v>0</v>
      </c>
      <c r="CW354" s="13" t="n">
        <f aca="false">Helpers!CU14</f>
        <v>0</v>
      </c>
      <c r="CX354" s="13" t="n">
        <f aca="false">Helpers!CV14</f>
        <v>0</v>
      </c>
      <c r="CY354" s="13" t="n">
        <f aca="false">Helpers!CW14</f>
        <v>0</v>
      </c>
      <c r="CZ354" s="13" t="n">
        <f aca="false">Helpers!CX14</f>
        <v>0</v>
      </c>
      <c r="DA354" s="13" t="n">
        <f aca="false">Helpers!CY14</f>
        <v>0</v>
      </c>
      <c r="DB354" s="13" t="n">
        <f aca="false">Helpers!CZ14</f>
        <v>0</v>
      </c>
      <c r="DC354" s="13" t="n">
        <f aca="false">Helpers!DA14</f>
        <v>0</v>
      </c>
      <c r="DD354" s="13" t="n">
        <f aca="false">Helpers!DB14</f>
        <v>0</v>
      </c>
      <c r="DE354" s="13" t="n">
        <f aca="false">Helpers!DC14</f>
        <v>0</v>
      </c>
    </row>
    <row r="355" customFormat="false" ht="15" hidden="false" customHeight="true" outlineLevel="0" collapsed="false">
      <c r="A355" s="22" t="s">
        <v>19</v>
      </c>
      <c r="B355" s="13"/>
      <c r="C355" s="13"/>
      <c r="D355" s="13"/>
      <c r="E355" s="13" t="n">
        <f aca="false">Helpers!C15</f>
        <v>0</v>
      </c>
      <c r="F355" s="13" t="n">
        <f aca="false">Helpers!D15</f>
        <v>0</v>
      </c>
      <c r="G355" s="13" t="n">
        <f aca="false">Helpers!E15</f>
        <v>0</v>
      </c>
      <c r="H355" s="13" t="n">
        <f aca="false">Helpers!F15</f>
        <v>0</v>
      </c>
      <c r="I355" s="13" t="n">
        <f aca="false">Helpers!G15</f>
        <v>0</v>
      </c>
      <c r="J355" s="13" t="n">
        <f aca="false">Helpers!H15</f>
        <v>0</v>
      </c>
      <c r="K355" s="13" t="n">
        <f aca="false">Helpers!I15</f>
        <v>0</v>
      </c>
      <c r="L355" s="13" t="n">
        <f aca="false">Helpers!J15</f>
        <v>0</v>
      </c>
      <c r="M355" s="13" t="n">
        <f aca="false">Helpers!K15</f>
        <v>0</v>
      </c>
      <c r="N355" s="13" t="n">
        <f aca="false">Helpers!L15</f>
        <v>0</v>
      </c>
      <c r="O355" s="13" t="n">
        <f aca="false">Helpers!M15</f>
        <v>0</v>
      </c>
      <c r="P355" s="13" t="n">
        <f aca="false">Helpers!N15</f>
        <v>0</v>
      </c>
      <c r="Q355" s="13" t="n">
        <f aca="false">Helpers!O15</f>
        <v>0</v>
      </c>
      <c r="R355" s="13" t="n">
        <f aca="false">Helpers!P15</f>
        <v>0</v>
      </c>
      <c r="S355" s="13" t="n">
        <f aca="false">Helpers!Q15</f>
        <v>0</v>
      </c>
      <c r="T355" s="13" t="n">
        <f aca="false">Helpers!R15</f>
        <v>0</v>
      </c>
      <c r="U355" s="13" t="n">
        <f aca="false">Helpers!S15</f>
        <v>0</v>
      </c>
      <c r="V355" s="13" t="n">
        <f aca="false">Helpers!T15</f>
        <v>0</v>
      </c>
      <c r="W355" s="13" t="n">
        <f aca="false">Helpers!U15</f>
        <v>0</v>
      </c>
      <c r="X355" s="13" t="n">
        <f aca="false">Helpers!V15</f>
        <v>0</v>
      </c>
      <c r="Y355" s="13" t="n">
        <f aca="false">Helpers!W15</f>
        <v>0</v>
      </c>
      <c r="Z355" s="13" t="n">
        <f aca="false">Helpers!X15</f>
        <v>0</v>
      </c>
      <c r="AA355" s="13" t="n">
        <f aca="false">Helpers!Y15</f>
        <v>0</v>
      </c>
      <c r="AB355" s="13" t="n">
        <f aca="false">Helpers!Z15</f>
        <v>0</v>
      </c>
      <c r="AC355" s="13" t="n">
        <f aca="false">Helpers!AA15</f>
        <v>0</v>
      </c>
      <c r="AD355" s="13" t="n">
        <f aca="false">Helpers!AB15</f>
        <v>0</v>
      </c>
      <c r="AE355" s="13" t="n">
        <f aca="false">Helpers!AC15</f>
        <v>40688781.070168</v>
      </c>
      <c r="AF355" s="13" t="n">
        <f aca="false">Helpers!AD15</f>
        <v>39922975.994792</v>
      </c>
      <c r="AG355" s="13" t="n">
        <f aca="false">Helpers!AE15</f>
        <v>39050930.869808</v>
      </c>
      <c r="AH355" s="13" t="n">
        <f aca="false">Helpers!AF15</f>
        <v>38067807.203272</v>
      </c>
      <c r="AI355" s="13" t="n">
        <f aca="false">Helpers!AG15</f>
        <v>36970462.043152</v>
      </c>
      <c r="AJ355" s="13" t="n">
        <f aca="false">Helpers!AH15</f>
        <v>35757820.169016</v>
      </c>
      <c r="AK355" s="13" t="n">
        <f aca="false">Helpers!AI15</f>
        <v>34431080.865192</v>
      </c>
      <c r="AL355" s="13" t="n">
        <f aca="false">Helpers!AJ15</f>
        <v>32993924.693928</v>
      </c>
      <c r="AM355" s="13" t="n">
        <f aca="false">Helpers!AK15</f>
        <v>31452678.91392</v>
      </c>
      <c r="AN355" s="13" t="n">
        <f aca="false">Helpers!AL15</f>
        <v>29816193.416416</v>
      </c>
      <c r="AO355" s="13" t="n">
        <f aca="false">Helpers!AM15</f>
        <v>28095882.079848</v>
      </c>
      <c r="AP355" s="13" t="n">
        <f aca="false">Helpers!AN15</f>
        <v>26305433.287408</v>
      </c>
      <c r="AQ355" s="13" t="n">
        <f aca="false">Helpers!AO15</f>
        <v>24460479.089992</v>
      </c>
      <c r="AR355" s="13" t="n">
        <f aca="false">Helpers!AP15</f>
        <v>22578305.723776</v>
      </c>
      <c r="AS355" s="13" t="n">
        <f aca="false">Helpers!AQ15</f>
        <v>20677233.290736</v>
      </c>
      <c r="AT355" s="13" t="n">
        <f aca="false">Helpers!AR15</f>
        <v>18776160.857696</v>
      </c>
      <c r="AU355" s="13" t="n">
        <f aca="false">Helpers!AS15</f>
        <v>16893987.49148</v>
      </c>
      <c r="AV355" s="13" t="n">
        <f aca="false">Helpers!AT15</f>
        <v>15049033.294064</v>
      </c>
      <c r="AW355" s="13" t="n">
        <f aca="false">Helpers!AU15</f>
        <v>13258584.501624</v>
      </c>
      <c r="AX355" s="13" t="n">
        <f aca="false">Helpers!AV15</f>
        <v>11538273.165056</v>
      </c>
      <c r="AY355" s="13" t="n">
        <f aca="false">Helpers!AW15</f>
        <v>9901787.667552</v>
      </c>
      <c r="AZ355" s="13" t="n">
        <f aca="false">Helpers!AX15</f>
        <v>8360541.887544</v>
      </c>
      <c r="BA355" s="13" t="n">
        <f aca="false">Helpers!AY15</f>
        <v>6923385.71628</v>
      </c>
      <c r="BB355" s="13" t="n">
        <f aca="false">Helpers!AZ15</f>
        <v>5596646.412456</v>
      </c>
      <c r="BC355" s="13" t="n">
        <f aca="false">Helpers!BA15</f>
        <v>4384004.53832</v>
      </c>
      <c r="BD355" s="13" t="n">
        <f aca="false">Helpers!BB15</f>
        <v>3286659.3782</v>
      </c>
      <c r="BE355" s="13" t="n">
        <f aca="false">Helpers!BC15</f>
        <v>2303535.711664</v>
      </c>
      <c r="BF355" s="13" t="n">
        <f aca="false">Helpers!BD15</f>
        <v>1431490.58668</v>
      </c>
      <c r="BG355" s="13" t="n">
        <f aca="false">Helpers!BE15</f>
        <v>665685.511304001</v>
      </c>
      <c r="BH355" s="13" t="n">
        <f aca="false">Helpers!BF15</f>
        <v>-165.418527995574</v>
      </c>
      <c r="BI355" s="13" t="n">
        <f aca="false">Helpers!BG15</f>
        <v>0</v>
      </c>
      <c r="BJ355" s="13" t="n">
        <f aca="false">Helpers!BH15</f>
        <v>0</v>
      </c>
      <c r="BK355" s="13" t="n">
        <f aca="false">Helpers!BI15</f>
        <v>0</v>
      </c>
      <c r="BL355" s="13" t="n">
        <f aca="false">Helpers!BJ15</f>
        <v>0</v>
      </c>
      <c r="BM355" s="13" t="n">
        <f aca="false">Helpers!BK15</f>
        <v>0</v>
      </c>
      <c r="BN355" s="13" t="n">
        <f aca="false">Helpers!BL15</f>
        <v>0</v>
      </c>
      <c r="BO355" s="13" t="n">
        <f aca="false">Helpers!BM15</f>
        <v>0</v>
      </c>
      <c r="BP355" s="13" t="n">
        <f aca="false">Helpers!BN15</f>
        <v>0</v>
      </c>
      <c r="BQ355" s="13" t="n">
        <f aca="false">Helpers!BO15</f>
        <v>0</v>
      </c>
      <c r="BR355" s="13" t="n">
        <f aca="false">Helpers!BP15</f>
        <v>0</v>
      </c>
      <c r="BS355" s="13" t="n">
        <f aca="false">Helpers!BQ15</f>
        <v>0</v>
      </c>
      <c r="BT355" s="13" t="n">
        <f aca="false">Helpers!BR15</f>
        <v>0</v>
      </c>
      <c r="BU355" s="13" t="n">
        <f aca="false">Helpers!BS15</f>
        <v>0</v>
      </c>
      <c r="BV355" s="13" t="n">
        <f aca="false">Helpers!BT15</f>
        <v>0</v>
      </c>
      <c r="BW355" s="13" t="n">
        <f aca="false">Helpers!BU15</f>
        <v>0</v>
      </c>
      <c r="BX355" s="13" t="n">
        <f aca="false">Helpers!BV15</f>
        <v>0</v>
      </c>
      <c r="BY355" s="13" t="n">
        <f aca="false">Helpers!BW15</f>
        <v>0</v>
      </c>
      <c r="BZ355" s="13" t="n">
        <f aca="false">Helpers!BX15</f>
        <v>0</v>
      </c>
      <c r="CA355" s="13" t="n">
        <f aca="false">Helpers!BY15</f>
        <v>0</v>
      </c>
      <c r="CB355" s="13" t="n">
        <f aca="false">Helpers!BZ15</f>
        <v>0</v>
      </c>
      <c r="CC355" s="13" t="n">
        <f aca="false">Helpers!CA15</f>
        <v>0</v>
      </c>
      <c r="CD355" s="13" t="n">
        <f aca="false">Helpers!CB15</f>
        <v>0</v>
      </c>
      <c r="CE355" s="13" t="n">
        <f aca="false">Helpers!CC15</f>
        <v>0</v>
      </c>
      <c r="CF355" s="13" t="n">
        <f aca="false">Helpers!CD15</f>
        <v>0</v>
      </c>
      <c r="CG355" s="13" t="n">
        <f aca="false">Helpers!CE15</f>
        <v>0</v>
      </c>
      <c r="CH355" s="13" t="n">
        <f aca="false">Helpers!CF15</f>
        <v>0</v>
      </c>
      <c r="CI355" s="13" t="n">
        <f aca="false">Helpers!CG15</f>
        <v>0</v>
      </c>
      <c r="CJ355" s="13" t="n">
        <f aca="false">Helpers!CH15</f>
        <v>0</v>
      </c>
      <c r="CK355" s="13" t="n">
        <f aca="false">Helpers!CI15</f>
        <v>0</v>
      </c>
      <c r="CL355" s="13" t="n">
        <f aca="false">Helpers!CJ15</f>
        <v>0</v>
      </c>
      <c r="CM355" s="13" t="n">
        <f aca="false">Helpers!CK15</f>
        <v>0</v>
      </c>
      <c r="CN355" s="13" t="n">
        <f aca="false">Helpers!CL15</f>
        <v>0</v>
      </c>
      <c r="CO355" s="13" t="n">
        <f aca="false">Helpers!CM15</f>
        <v>0</v>
      </c>
      <c r="CP355" s="13" t="n">
        <f aca="false">Helpers!CN15</f>
        <v>0</v>
      </c>
      <c r="CQ355" s="13" t="n">
        <f aca="false">Helpers!CO15</f>
        <v>0</v>
      </c>
      <c r="CR355" s="13" t="n">
        <f aca="false">Helpers!CP15</f>
        <v>0</v>
      </c>
      <c r="CS355" s="13" t="n">
        <f aca="false">Helpers!CQ15</f>
        <v>0</v>
      </c>
      <c r="CT355" s="13" t="n">
        <f aca="false">Helpers!CR15</f>
        <v>0</v>
      </c>
      <c r="CU355" s="13" t="n">
        <f aca="false">Helpers!CS15</f>
        <v>0</v>
      </c>
      <c r="CV355" s="13" t="n">
        <f aca="false">Helpers!CT15</f>
        <v>0</v>
      </c>
      <c r="CW355" s="13" t="n">
        <f aca="false">Helpers!CU15</f>
        <v>0</v>
      </c>
      <c r="CX355" s="13" t="n">
        <f aca="false">Helpers!CV15</f>
        <v>0</v>
      </c>
      <c r="CY355" s="13" t="n">
        <f aca="false">Helpers!CW15</f>
        <v>0</v>
      </c>
      <c r="CZ355" s="13" t="n">
        <f aca="false">Helpers!CX15</f>
        <v>0</v>
      </c>
      <c r="DA355" s="13" t="n">
        <f aca="false">Helpers!CY15</f>
        <v>0</v>
      </c>
      <c r="DB355" s="13" t="n">
        <f aca="false">Helpers!CZ15</f>
        <v>0</v>
      </c>
      <c r="DC355" s="13" t="n">
        <f aca="false">Helpers!DA15</f>
        <v>0</v>
      </c>
      <c r="DD355" s="13" t="n">
        <f aca="false">Helpers!DB15</f>
        <v>0</v>
      </c>
      <c r="DE355" s="13" t="n">
        <f aca="false">Helpers!DC15</f>
        <v>0</v>
      </c>
    </row>
    <row r="356" customFormat="false" ht="15" hidden="false" customHeight="true" outlineLevel="0" collapsed="false">
      <c r="A356" s="29" t="s">
        <v>183</v>
      </c>
      <c r="B356" s="30"/>
      <c r="C356" s="30"/>
      <c r="D356" s="30"/>
      <c r="E356" s="30" t="n">
        <f aca="false">SUM(E348:E355)+E357</f>
        <v>24716840.35</v>
      </c>
      <c r="F356" s="30" t="n">
        <f aca="false">SUM(F348:F355)+F357</f>
        <v>22881539.17</v>
      </c>
      <c r="G356" s="30" t="n">
        <f aca="false">SUM(G348:G355)+G357</f>
        <v>20879271.91</v>
      </c>
      <c r="H356" s="30" t="n">
        <f aca="false">SUM(H348:H355)+H357</f>
        <v>18748519.38</v>
      </c>
      <c r="I356" s="30" t="n">
        <f aca="false">SUM(I348:I355)+I357</f>
        <v>72424528.6691092</v>
      </c>
      <c r="J356" s="30" t="n">
        <f aca="false">SUM(J348:J355)+J357</f>
        <v>82574509.2435969</v>
      </c>
      <c r="K356" s="30" t="n">
        <f aca="false">SUM(K348:K355)+K357</f>
        <v>79199788.5696833</v>
      </c>
      <c r="L356" s="30" t="n">
        <f aca="false">SUM(L348:L355)+L357</f>
        <v>76252151.8859288</v>
      </c>
      <c r="M356" s="30" t="n">
        <f aca="false">SUM(M348:M355)+M357</f>
        <v>73141594.1403182</v>
      </c>
      <c r="N356" s="30" t="n">
        <f aca="false">SUM(N348:N355)+N357</f>
        <v>69895674.0488009</v>
      </c>
      <c r="O356" s="30" t="n">
        <f aca="false">SUM(O348:O355)+O357</f>
        <v>66774208.0502672</v>
      </c>
      <c r="P356" s="30" t="n">
        <f aca="false">SUM(P348:P355)+P357</f>
        <v>63395136.8555867</v>
      </c>
      <c r="Q356" s="30" t="n">
        <f aca="false">SUM(Q348:Q355)+Q357</f>
        <v>78380149.9773847</v>
      </c>
      <c r="R356" s="30" t="n">
        <f aca="false">SUM(R348:R355)+R357</f>
        <v>85685896.6296022</v>
      </c>
      <c r="S356" s="30" t="n">
        <f aca="false">SUM(S348:S355)+S357</f>
        <v>146224437.25068</v>
      </c>
      <c r="T356" s="30" t="n">
        <f aca="false">SUM(T348:T355)+T357</f>
        <v>139154769.534357</v>
      </c>
      <c r="U356" s="30" t="n">
        <f aca="false">SUM(U348:U355)+U357</f>
        <v>132501965.325732</v>
      </c>
      <c r="V356" s="30" t="n">
        <f aca="false">SUM(V348:V355)+V357</f>
        <v>138047722.957519</v>
      </c>
      <c r="W356" s="30" t="n">
        <f aca="false">SUM(W348:W355)+W357</f>
        <v>143446264.91456</v>
      </c>
      <c r="X356" s="30" t="n">
        <f aca="false">SUM(X348:X355)+X357</f>
        <v>133180212.789533</v>
      </c>
      <c r="Y356" s="30" t="n">
        <f aca="false">SUM(Y348:Y355)+Y357</f>
        <v>123836403.431</v>
      </c>
      <c r="Z356" s="30" t="n">
        <f aca="false">SUM(Z348:Z355)+Z357</f>
        <v>113113579.071589</v>
      </c>
      <c r="AA356" s="30" t="n">
        <f aca="false">SUM(AA348:AA355)+AA357</f>
        <v>102647120.726292</v>
      </c>
      <c r="AB356" s="30" t="n">
        <f aca="false">SUM(AB348:AB355)+AB357</f>
        <v>88848521.3998633</v>
      </c>
      <c r="AC356" s="30" t="n">
        <f aca="false">SUM(AC348:AC355)+AC357</f>
        <v>80520682.2104245</v>
      </c>
      <c r="AD356" s="30" t="n">
        <f aca="false">SUM(AD348:AD355)+AD357</f>
        <v>72061359.1061441</v>
      </c>
      <c r="AE356" s="30" t="n">
        <f aca="false">SUM(AE348:AE355)+AE357</f>
        <v>104548861.695813</v>
      </c>
      <c r="AF356" s="30" t="n">
        <f aca="false">SUM(AF348:AF355)+AF357</f>
        <v>95601587.017886</v>
      </c>
      <c r="AG356" s="30" t="n">
        <f aca="false">SUM(AG348:AG355)+AG357</f>
        <v>85882133.9205707</v>
      </c>
      <c r="AH356" s="30" t="n">
        <f aca="false">SUM(AH348:AH355)+AH357</f>
        <v>76680945.162742</v>
      </c>
      <c r="AI356" s="30" t="n">
        <f aca="false">SUM(AI348:AI355)+AI357</f>
        <v>68325973.156947</v>
      </c>
      <c r="AJ356" s="30" t="n">
        <f aca="false">SUM(AJ348:AJ355)+AJ357</f>
        <v>61294734.342681</v>
      </c>
      <c r="AK356" s="30" t="n">
        <f aca="false">SUM(AK348:AK355)+AK357</f>
        <v>55038862.430782</v>
      </c>
      <c r="AL356" s="30" t="n">
        <f aca="false">SUM(AL348:AL355)+AL357</f>
        <v>49386041.246598</v>
      </c>
      <c r="AM356" s="30" t="n">
        <f aca="false">SUM(AM348:AM355)+AM357</f>
        <v>43812655.598405</v>
      </c>
      <c r="AN356" s="30" t="n">
        <f aca="false">SUM(AN348:AN355)+AN357</f>
        <v>39331082.509006</v>
      </c>
      <c r="AO356" s="30" t="n">
        <f aca="false">SUM(AO348:AO355)+AO357</f>
        <v>35674218.379398</v>
      </c>
      <c r="AP356" s="30" t="n">
        <f aca="false">SUM(AP348:AP355)+AP357</f>
        <v>32431521.071818</v>
      </c>
      <c r="AQ356" s="30" t="n">
        <f aca="false">SUM(AQ348:AQ355)+AQ357</f>
        <v>29259209.377692</v>
      </c>
      <c r="AR356" s="30" t="n">
        <f aca="false">SUM(AR348:AR355)+AR357</f>
        <v>26175882.269526</v>
      </c>
      <c r="AS356" s="30" t="n">
        <f aca="false">SUM(AS348:AS355)+AS357</f>
        <v>23198682.913276</v>
      </c>
      <c r="AT356" s="30" t="n">
        <f aca="false">SUM(AT348:AT355)+AT357</f>
        <v>20343070.101246</v>
      </c>
      <c r="AU356" s="30" t="n">
        <f aca="false">SUM(AU348:AU355)+AU357</f>
        <v>17622646.68817</v>
      </c>
      <c r="AV356" s="30" t="n">
        <f aca="false">SUM(AV348:AV355)+AV357</f>
        <v>15048852.226984</v>
      </c>
      <c r="AW356" s="30" t="n">
        <f aca="false">SUM(AW348:AW355)+AW357</f>
        <v>13258584.501624</v>
      </c>
      <c r="AX356" s="30" t="n">
        <f aca="false">SUM(AX348:AX355)+AX357</f>
        <v>11538273.165056</v>
      </c>
      <c r="AY356" s="30" t="n">
        <f aca="false">SUM(AY348:AY355)+AY357</f>
        <v>9901787.667552</v>
      </c>
      <c r="AZ356" s="30" t="n">
        <f aca="false">SUM(AZ348:AZ355)+AZ357</f>
        <v>8360541.887544</v>
      </c>
      <c r="BA356" s="30" t="n">
        <f aca="false">SUM(BA348:BA355)+BA357</f>
        <v>6923385.71628</v>
      </c>
      <c r="BB356" s="30" t="n">
        <f aca="false">SUM(BB348:BB355)+BB357</f>
        <v>5596646.412456</v>
      </c>
      <c r="BC356" s="30" t="n">
        <f aca="false">SUM(BC348:BC355)+BC357</f>
        <v>4384004.53832</v>
      </c>
      <c r="BD356" s="30" t="n">
        <f aca="false">SUM(BD348:BD355)+BD357</f>
        <v>3286659.3782</v>
      </c>
      <c r="BE356" s="30" t="n">
        <f aca="false">SUM(BE348:BE355)+BE357</f>
        <v>2303535.711664</v>
      </c>
      <c r="BF356" s="30" t="n">
        <f aca="false">SUM(BF348:BF355)+BF357</f>
        <v>1431490.58668</v>
      </c>
      <c r="BG356" s="30" t="n">
        <f aca="false">SUM(BG348:BG355)+BG357</f>
        <v>665685.511304001</v>
      </c>
      <c r="BH356" s="30" t="n">
        <f aca="false">SUM(BH348:BH355)+BH357</f>
        <v>-165.418527995574</v>
      </c>
      <c r="BI356" s="30" t="n">
        <f aca="false">SUM(BI348:BI355)+BI357</f>
        <v>0</v>
      </c>
      <c r="BJ356" s="30" t="n">
        <f aca="false">SUM(BJ348:BJ355)+BJ357</f>
        <v>0</v>
      </c>
      <c r="BK356" s="30" t="n">
        <f aca="false">SUM(BK348:BK355)+BK357</f>
        <v>0</v>
      </c>
      <c r="BL356" s="30" t="n">
        <f aca="false">SUM(BL348:BL355)+BL357</f>
        <v>0</v>
      </c>
      <c r="BM356" s="30" t="n">
        <f aca="false">SUM(BM348:BM355)+BM357</f>
        <v>0</v>
      </c>
      <c r="BN356" s="30" t="n">
        <f aca="false">SUM(BN348:BN355)+BN357</f>
        <v>0</v>
      </c>
      <c r="BO356" s="30" t="n">
        <f aca="false">SUM(BO348:BO355)+BO357</f>
        <v>0</v>
      </c>
      <c r="BP356" s="30" t="n">
        <f aca="false">SUM(BP348:BP355)+BP357</f>
        <v>0</v>
      </c>
      <c r="BQ356" s="30" t="n">
        <f aca="false">SUM(BQ348:BQ355)+BQ357</f>
        <v>0</v>
      </c>
      <c r="BR356" s="30" t="n">
        <f aca="false">SUM(BR348:BR355)+BR357</f>
        <v>0</v>
      </c>
      <c r="BS356" s="30" t="n">
        <f aca="false">SUM(BS348:BS355)+BS357</f>
        <v>0</v>
      </c>
      <c r="BT356" s="30" t="n">
        <f aca="false">SUM(BT348:BT355)+BT357</f>
        <v>0</v>
      </c>
      <c r="BU356" s="30" t="n">
        <f aca="false">SUM(BU348:BU355)+BU357</f>
        <v>0</v>
      </c>
      <c r="BV356" s="30" t="n">
        <f aca="false">SUM(BV348:BV355)+BV357</f>
        <v>0</v>
      </c>
      <c r="BW356" s="30" t="n">
        <f aca="false">SUM(BW348:BW355)+BW357</f>
        <v>0</v>
      </c>
      <c r="BX356" s="30" t="n">
        <f aca="false">SUM(BX348:BX355)+BX357</f>
        <v>0</v>
      </c>
      <c r="BY356" s="30" t="n">
        <f aca="false">SUM(BY348:BY355)+BY357</f>
        <v>0</v>
      </c>
      <c r="BZ356" s="30" t="n">
        <f aca="false">SUM(BZ348:BZ355)+BZ357</f>
        <v>0</v>
      </c>
      <c r="CA356" s="30" t="n">
        <f aca="false">SUM(CA348:CA355)+CA357</f>
        <v>0</v>
      </c>
      <c r="CB356" s="30" t="n">
        <f aca="false">SUM(CB348:CB355)+CB357</f>
        <v>0</v>
      </c>
      <c r="CC356" s="30" t="n">
        <f aca="false">SUM(CC348:CC355)+CC357</f>
        <v>0</v>
      </c>
      <c r="CD356" s="30" t="n">
        <f aca="false">SUM(CD348:CD355)+CD357</f>
        <v>0</v>
      </c>
      <c r="CE356" s="30" t="n">
        <f aca="false">SUM(CE348:CE355)+CE357</f>
        <v>0</v>
      </c>
      <c r="CF356" s="30" t="n">
        <f aca="false">SUM(CF348:CF355)+CF357</f>
        <v>0</v>
      </c>
      <c r="CG356" s="30" t="n">
        <f aca="false">SUM(CG348:CG355)+CG357</f>
        <v>0</v>
      </c>
      <c r="CH356" s="30" t="n">
        <f aca="false">SUM(CH348:CH355)+CH357</f>
        <v>0</v>
      </c>
      <c r="CI356" s="30" t="n">
        <f aca="false">SUM(CI348:CI355)+CI357</f>
        <v>0</v>
      </c>
      <c r="CJ356" s="30" t="n">
        <f aca="false">SUM(CJ348:CJ355)+CJ357</f>
        <v>0</v>
      </c>
      <c r="CK356" s="30" t="n">
        <f aca="false">SUM(CK348:CK355)+CK357</f>
        <v>0</v>
      </c>
      <c r="CL356" s="30" t="n">
        <f aca="false">SUM(CL348:CL355)+CL357</f>
        <v>0</v>
      </c>
      <c r="CM356" s="30" t="n">
        <f aca="false">SUM(CM348:CM355)+CM357</f>
        <v>0</v>
      </c>
      <c r="CN356" s="30" t="n">
        <f aca="false">SUM(CN348:CN355)+CN357</f>
        <v>0</v>
      </c>
      <c r="CO356" s="30" t="n">
        <f aca="false">SUM(CO348:CO355)+CO357</f>
        <v>0</v>
      </c>
      <c r="CP356" s="30" t="n">
        <f aca="false">SUM(CP348:CP355)+CP357</f>
        <v>0</v>
      </c>
      <c r="CQ356" s="30" t="n">
        <f aca="false">SUM(CQ348:CQ355)+CQ357</f>
        <v>0</v>
      </c>
      <c r="CR356" s="30" t="n">
        <f aca="false">SUM(CR348:CR355)+CR357</f>
        <v>0</v>
      </c>
      <c r="CS356" s="30" t="n">
        <f aca="false">SUM(CS348:CS355)+CS357</f>
        <v>0</v>
      </c>
      <c r="CT356" s="30" t="n">
        <f aca="false">SUM(CT348:CT355)+CT357</f>
        <v>0</v>
      </c>
      <c r="CU356" s="30" t="n">
        <f aca="false">SUM(CU348:CU355)+CU357</f>
        <v>0</v>
      </c>
      <c r="CV356" s="30" t="n">
        <f aca="false">SUM(CV348:CV355)+CV357</f>
        <v>0</v>
      </c>
      <c r="CW356" s="30" t="n">
        <f aca="false">SUM(CW348:CW355)+CW357</f>
        <v>0</v>
      </c>
      <c r="CX356" s="30" t="n">
        <f aca="false">SUM(CX348:CX355)+CX357</f>
        <v>0</v>
      </c>
      <c r="CY356" s="30" t="n">
        <f aca="false">SUM(CY348:CY355)+CY357</f>
        <v>0</v>
      </c>
      <c r="CZ356" s="30" t="n">
        <f aca="false">SUM(CZ348:CZ355)+CZ357</f>
        <v>0</v>
      </c>
      <c r="DA356" s="30" t="n">
        <f aca="false">SUM(DA348:DA355)+DA357</f>
        <v>0</v>
      </c>
      <c r="DB356" s="30" t="n">
        <f aca="false">SUM(DB348:DB355)+DB357</f>
        <v>0</v>
      </c>
      <c r="DC356" s="30" t="n">
        <f aca="false">SUM(DC348:DC355)+DC357</f>
        <v>0</v>
      </c>
      <c r="DD356" s="30" t="n">
        <f aca="false">SUM(DD348:DD355)+DD357</f>
        <v>0</v>
      </c>
      <c r="DE356" s="30" t="n">
        <f aca="false">SUM(DE348:DE355)+DE357</f>
        <v>0</v>
      </c>
    </row>
    <row r="357" customFormat="false" ht="15" hidden="false" customHeight="true" outlineLevel="0" collapsed="false">
      <c r="A357" s="3" t="s">
        <v>184</v>
      </c>
      <c r="B357" s="13"/>
      <c r="C357" s="13"/>
      <c r="D357" s="13"/>
      <c r="E357" s="13" t="n">
        <f aca="false">IF(AND(Projects!$G$22="Yes",Projects!$F$22="Yes",E$3&gt;=Projects!$C$22,E$3&lt;Projects!$C$22+Projects!$D$22),Projects!$B$22*(1-SUMPRODUCT((Curves!$B$4:$AR$4)*(COLUMN(Curves!$B$4:$AR$4)-COLUMN(Curves!$B$4)+1&lt;=E$3-Projects!$C$22+1))),0)+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$10:$AR$10)*(COLUMN(Curves!$B$10:$AR$10)-COLUMN(Curves!$B$10)+1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7" s="13" t="n">
        <f aca="false">IF(AND(Projects!$G$22="Yes",Projects!$F$22="Yes",F$3&gt;=Projects!$C$22,F$3&lt;Projects!$C$22+Projects!$D$22),Projects!$B$22*(1-SUMPRODUCT((Curves!$B$4:$AR$4)*(COLUMN(Curves!$B$4:$AR$4)-COLUMN(Curves!$B$4)+1&lt;=F$3-Projects!$C$22+1))),0)+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$10:$AR$10)*(COLUMN(Curves!$B$10:$AR$10)-COLUMN(Curves!$B$10)+1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7" s="13" t="n">
        <f aca="false">IF(AND(Projects!$G$22="Yes",Projects!$F$22="Yes",G$3&gt;=Projects!$C$22,G$3&lt;Projects!$C$22+Projects!$D$22),Projects!$B$22*(1-SUMPRODUCT((Curves!$B$4:$AR$4)*(COLUMN(Curves!$B$4:$AR$4)-COLUMN(Curves!$B$4)+1&lt;=G$3-Projects!$C$22+1))),0)+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$10:$AR$10)*(COLUMN(Curves!$B$10:$AR$10)-COLUMN(Curves!$B$10)+1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7" s="13" t="n">
        <f aca="false">IF(AND(Projects!$G$22="Yes",Projects!$F$22="Yes",H$3&gt;=Projects!$C$22,H$3&lt;Projects!$C$22+Projects!$D$22),Projects!$B$22*(1-SUMPRODUCT((Curves!$B$4:$AR$4)*(COLUMN(Curves!$B$4:$AR$4)-COLUMN(Curves!$B$4)+1&lt;=H$3-Projects!$C$22+1))),0)+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$10:$AR$10)*(COLUMN(Curves!$B$10:$AR$10)-COLUMN(Curves!$B$10)+1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7" s="13" t="n">
        <f aca="false">IF(AND(Projects!$G$22="Yes",Projects!$F$22="Yes",I$3&gt;=Projects!$C$22,I$3&lt;Projects!$C$22+Projects!$D$22),Projects!$B$22*(1-SUMPRODUCT((Curves!$B$4:$AR$4)*(COLUMN(Curves!$B$4:$AR$4)-COLUMN(Curves!$B$4)+1&lt;=I$3-Projects!$C$22+1))),0)+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$10:$AR$10)*(COLUMN(Curves!$B$10:$AR$10)-COLUMN(Curves!$B$10)+1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7" s="13" t="n">
        <f aca="false">IF(AND(Projects!$G$22="Yes",Projects!$F$22="Yes",J$3&gt;=Projects!$C$22,J$3&lt;Projects!$C$22+Projects!$D$22),Projects!$B$22*(1-SUMPRODUCT((Curves!$B$4:$AR$4)*(COLUMN(Curves!$B$4:$AR$4)-COLUMN(Curves!$B$4)+1&lt;=J$3-Projects!$C$22+1))),0)+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$10:$AR$10)*(COLUMN(Curves!$B$10:$AR$10)-COLUMN(Curves!$B$10)+1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7" s="13" t="n">
        <f aca="false">IF(AND(Projects!$G$22="Yes",Projects!$F$22="Yes",K$3&gt;=Projects!$C$22,K$3&lt;Projects!$C$22+Projects!$D$22),Projects!$B$22*(1-SUMPRODUCT((Curves!$B$4:$AR$4)*(COLUMN(Curves!$B$4:$AR$4)-COLUMN(Curves!$B$4)+1&lt;=K$3-Projects!$C$22+1))),0)+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$10:$AR$10)*(COLUMN(Curves!$B$10:$AR$10)-COLUMN(Curves!$B$10)+1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7" s="13" t="n">
        <f aca="false">IF(AND(Projects!$G$22="Yes",Projects!$F$22="Yes",L$3&gt;=Projects!$C$22,L$3&lt;Projects!$C$22+Projects!$D$22),Projects!$B$22*(1-SUMPRODUCT((Curves!$B$4:$AR$4)*(COLUMN(Curves!$B$4:$AR$4)-COLUMN(Curves!$B$4)+1&lt;=L$3-Projects!$C$22+1))),0)+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$10:$AR$10)*(COLUMN(Curves!$B$10:$AR$10)-COLUMN(Curves!$B$10)+1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7" s="13" t="n">
        <f aca="false">IF(AND(Projects!$G$22="Yes",Projects!$F$22="Yes",M$3&gt;=Projects!$C$22,M$3&lt;Projects!$C$22+Projects!$D$22),Projects!$B$22*(1-SUMPRODUCT((Curves!$B$4:$AR$4)*(COLUMN(Curves!$B$4:$AR$4)-COLUMN(Curves!$B$4)+1&lt;=M$3-Projects!$C$22+1))),0)+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$10:$AR$10)*(COLUMN(Curves!$B$10:$AR$10)-COLUMN(Curves!$B$10)+1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7" s="13" t="n">
        <f aca="false">IF(AND(Projects!$G$22="Yes",Projects!$F$22="Yes",N$3&gt;=Projects!$C$22,N$3&lt;Projects!$C$22+Projects!$D$22),Projects!$B$22*(1-SUMPRODUCT((Curves!$B$4:$AR$4)*(COLUMN(Curves!$B$4:$AR$4)-COLUMN(Curves!$B$4)+1&lt;=N$3-Projects!$C$22+1))),0)+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$10:$AR$10)*(COLUMN(Curves!$B$10:$AR$10)-COLUMN(Curves!$B$10)+1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7" s="13" t="n">
        <f aca="false">IF(AND(Projects!$G$22="Yes",Projects!$F$22="Yes",O$3&gt;=Projects!$C$22,O$3&lt;Projects!$C$22+Projects!$D$22),Projects!$B$22*(1-SUMPRODUCT((Curves!$B$4:$AR$4)*(COLUMN(Curves!$B$4:$AR$4)-COLUMN(Curves!$B$4)+1&lt;=O$3-Projects!$C$22+1))),0)+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$10:$AR$10)*(COLUMN(Curves!$B$10:$AR$10)-COLUMN(Curves!$B$10)+1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7" s="13" t="n">
        <f aca="false">IF(AND(Projects!$G$22="Yes",Projects!$F$22="Yes",P$3&gt;=Projects!$C$22,P$3&lt;Projects!$C$22+Projects!$D$22),Projects!$B$22*(1-SUMPRODUCT((Curves!$B$4:$AR$4)*(COLUMN(Curves!$B$4:$AR$4)-COLUMN(Curves!$B$4)+1&lt;=P$3-Projects!$C$22+1))),0)+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$10:$AR$10)*(COLUMN(Curves!$B$10:$AR$10)-COLUMN(Curves!$B$10)+1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7" s="13" t="n">
        <f aca="false">IF(AND(Projects!$G$22="Yes",Projects!$F$22="Yes",Q$3&gt;=Projects!$C$22,Q$3&lt;Projects!$C$22+Projects!$D$22),Projects!$B$22*(1-SUMPRODUCT((Curves!$B$4:$AR$4)*(COLUMN(Curves!$B$4:$AR$4)-COLUMN(Curves!$B$4)+1&lt;=Q$3-Projects!$C$22+1))),0)+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$10:$AR$10)*(COLUMN(Curves!$B$10:$AR$10)-COLUMN(Curves!$B$10)+1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18235114.8774623</v>
      </c>
      <c r="R357" s="13" t="n">
        <f aca="false">IF(AND(Projects!$G$22="Yes",Projects!$F$22="Yes",R$3&gt;=Projects!$C$22,R$3&lt;Projects!$C$22+Projects!$D$22),Projects!$B$22*(1-SUMPRODUCT((Curves!$B$4:$AR$4)*(COLUMN(Curves!$B$4:$AR$4)-COLUMN(Curves!$B$4)+1&lt;=R$3-Projects!$C$22+1))),0)+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$10:$AR$10)*(COLUMN(Curves!$B$10:$AR$10)-COLUMN(Curves!$B$10)+1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28805733.234676</v>
      </c>
      <c r="S357" s="13" t="n">
        <f aca="false">IF(AND(Projects!$G$22="Yes",Projects!$F$22="Yes",S$3&gt;=Projects!$C$22,S$3&lt;Projects!$C$22+Projects!$D$22),Projects!$B$22*(1-SUMPRODUCT((Curves!$B$4:$AR$4)*(COLUMN(Curves!$B$4:$AR$4)-COLUMN(Curves!$B$4)+1&lt;=S$3-Projects!$C$22+1))),0)+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$10:$AR$10)*(COLUMN(Curves!$B$10:$AR$10)-COLUMN(Curves!$B$10)+1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27625435.6766897</v>
      </c>
      <c r="T357" s="13" t="n">
        <f aca="false">IF(AND(Projects!$G$22="Yes",Projects!$F$22="Yes",T$3&gt;=Projects!$C$22,T$3&lt;Projects!$C$22+Projects!$D$22),Projects!$B$22*(1-SUMPRODUCT((Curves!$B$4:$AR$4)*(COLUMN(Curves!$B$4:$AR$4)-COLUMN(Curves!$B$4)+1&lt;=T$3-Projects!$C$22+1))),0)+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$10:$AR$10)*(COLUMN(Curves!$B$10:$AR$10)-COLUMN(Curves!$B$10)+1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26222961.5646359</v>
      </c>
      <c r="U357" s="13" t="n">
        <f aca="false">IF(AND(Projects!$G$22="Yes",Projects!$F$22="Yes",U$3&gt;=Projects!$C$22,U$3&lt;Projects!$C$22+Projects!$D$22),Projects!$B$22*(1-SUMPRODUCT((Curves!$B$4:$AR$4)*(COLUMN(Curves!$B$4:$AR$4)-COLUMN(Curves!$B$4)+1&lt;=U$3-Projects!$C$22+1))),0)+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$10:$AR$10)*(COLUMN(Curves!$B$10:$AR$10)-COLUMN(Curves!$B$10)+1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24600507.3441905</v>
      </c>
      <c r="V357" s="13" t="n">
        <f aca="false">IF(AND(Projects!$G$22="Yes",Projects!$F$22="Yes",V$3&gt;=Projects!$C$22,V$3&lt;Projects!$C$22+Projects!$D$22),Projects!$B$22*(1-SUMPRODUCT((Curves!$B$4:$AR$4)*(COLUMN(Curves!$B$4:$AR$4)-COLUMN(Curves!$B$4)+1&lt;=V$3-Projects!$C$22+1))),0)+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$10:$AR$10)*(COLUMN(Curves!$B$10:$AR$10)-COLUMN(Curves!$B$10)+1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36615399.6599467</v>
      </c>
      <c r="W357" s="13" t="n">
        <f aca="false">IF(AND(Projects!$G$22="Yes",Projects!$F$22="Yes",W$3&gt;=Projects!$C$22,W$3&lt;Projects!$C$22+Projects!$D$22),Projects!$B$22*(1-SUMPRODUCT((Curves!$B$4:$AR$4)*(COLUMN(Curves!$B$4:$AR$4)-COLUMN(Curves!$B$4)+1&lt;=W$3-Projects!$C$22+1))),0)+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$10:$AR$10)*(COLUMN(Curves!$B$10:$AR$10)-COLUMN(Curves!$B$10)+1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47487337.8907516</v>
      </c>
      <c r="X357" s="13" t="n">
        <f aca="false">IF(AND(Projects!$G$22="Yes",Projects!$F$22="Yes",X$3&gt;=Projects!$C$22,X$3&lt;Projects!$C$22+Projects!$D$22),Projects!$B$22*(1-SUMPRODUCT((Curves!$B$4:$AR$4)*(COLUMN(Curves!$B$4:$AR$4)-COLUMN(Curves!$B$4)+1&lt;=X$3-Projects!$C$22+1))),0)+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$10:$AR$10)*(COLUMN(Curves!$B$10:$AR$10)-COLUMN(Curves!$B$10)+1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44335116.1551499</v>
      </c>
      <c r="Y357" s="13" t="n">
        <f aca="false">IF(AND(Projects!$G$22="Yes",Projects!$F$22="Yes",Y$3&gt;=Projects!$C$22,Y$3&lt;Projects!$C$22+Projects!$D$22),Projects!$B$22*(1-SUMPRODUCT((Curves!$B$4:$AR$4)*(COLUMN(Curves!$B$4:$AR$4)-COLUMN(Curves!$B$4)+1&lt;=Y$3-Projects!$C$22+1))),0)+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$10:$AR$10)*(COLUMN(Curves!$B$10:$AR$10)-COLUMN(Curves!$B$10)+1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40905334.938815</v>
      </c>
      <c r="Z357" s="13" t="n">
        <f aca="false">IF(AND(Projects!$G$22="Yes",Projects!$F$22="Yes",Z$3&gt;=Projects!$C$22,Z$3&lt;Projects!$C$22+Projects!$D$22),Projects!$B$22*(1-SUMPRODUCT((Curves!$B$4:$AR$4)*(COLUMN(Curves!$B$4:$AR$4)-COLUMN(Curves!$B$4)+1&lt;=Z$3-Projects!$C$22+1))),0)+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$10:$AR$10)*(COLUMN(Curves!$B$10:$AR$10)-COLUMN(Curves!$B$10)+1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37253472.1983901</v>
      </c>
      <c r="AA357" s="13" t="n">
        <f aca="false">IF(AND(Projects!$G$22="Yes",Projects!$F$22="Yes",AA$3&gt;=Projects!$C$22,AA$3&lt;Projects!$C$22+Projects!$D$22),Projects!$B$22*(1-SUMPRODUCT((Curves!$B$4:$AR$4)*(COLUMN(Curves!$B$4:$AR$4)-COLUMN(Curves!$B$4)+1&lt;=AA$3-Projects!$C$22+1))),0)+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$10:$AR$10)*(COLUMN(Curves!$B$10:$AR$10)-COLUMN(Curves!$B$10)+1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33447148.6514434</v>
      </c>
      <c r="AB357" s="13" t="n">
        <f aca="false">IF(AND(Projects!$G$22="Yes",Projects!$F$22="Yes",AB$3&gt;=Projects!$C$22,AB$3&lt;Projects!$C$22+Projects!$D$22),Projects!$B$22*(1-SUMPRODUCT((Curves!$B$4:$AR$4)*(COLUMN(Curves!$B$4:$AR$4)-COLUMN(Curves!$B$4)+1&lt;=AB$3-Projects!$C$22+1))),0)+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$10:$AR$10)*(COLUMN(Curves!$B$10:$AR$10)-COLUMN(Curves!$B$10)+1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29562318.6036783</v>
      </c>
      <c r="AC357" s="13" t="n">
        <f aca="false">IF(AND(Projects!$G$22="Yes",Projects!$F$22="Yes",AC$3&gt;=Projects!$C$22,AC$3&lt;Projects!$C$22+Projects!$D$22),Projects!$B$22*(1-SUMPRODUCT((Curves!$B$4:$AR$4)*(COLUMN(Curves!$B$4:$AR$4)-COLUMN(Curves!$B$4)+1&lt;=AC$3-Projects!$C$22+1))),0)+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$10:$AR$10)*(COLUMN(Curves!$B$10:$AR$10)-COLUMN(Curves!$B$10)+1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25678785.8769295</v>
      </c>
      <c r="AD357" s="13" t="n">
        <f aca="false">IF(AND(Projects!$G$22="Yes",Projects!$F$22="Yes",AD$3&gt;=Projects!$C$22,AD$3&lt;Projects!$C$22+Projects!$D$22),Projects!$B$22*(1-SUMPRODUCT((Curves!$B$4:$AR$4)*(COLUMN(Curves!$B$4:$AR$4)-COLUMN(Curves!$B$4)+1&lt;=AD$3-Projects!$C$22+1))),0)+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$10:$AR$10)*(COLUMN(Curves!$B$10:$AR$10)-COLUMN(Curves!$B$10)+1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21875462.4389191</v>
      </c>
      <c r="AE357" s="13" t="n">
        <f aca="false">IF(AND(Projects!$G$22="Yes",Projects!$F$22="Yes",AE$3&gt;=Projects!$C$22,AE$3&lt;Projects!$C$22+Projects!$D$22),Projects!$B$22*(1-SUMPRODUCT((Curves!$B$4:$AR$4)*(COLUMN(Curves!$B$4:$AR$4)-COLUMN(Curves!$B$4)+1&lt;=AE$3-Projects!$C$22+1))),0)+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$10:$AR$10)*(COLUMN(Curves!$B$10:$AR$10)-COLUMN(Curves!$B$10)+1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18225851.1789153</v>
      </c>
      <c r="AF357" s="13" t="n">
        <f aca="false">IF(AND(Projects!$G$22="Yes",Projects!$F$22="Yes",AF$3&gt;=Projects!$C$22,AF$3&lt;Projects!$C$22+Projects!$D$22),Projects!$B$22*(1-SUMPRODUCT((Curves!$B$4:$AR$4)*(COLUMN(Curves!$B$4:$AR$4)-COLUMN(Curves!$B$4)+1&lt;=AF$3-Projects!$C$22+1))),0)+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$10:$AR$10)*(COLUMN(Curves!$B$10:$AR$10)-COLUMN(Curves!$B$10)+1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14794066.471784</v>
      </c>
      <c r="AG357" s="13" t="n">
        <f aca="false">IF(AND(Projects!$G$22="Yes",Projects!$F$22="Yes",AG$3&gt;=Projects!$C$22,AG$3&lt;Projects!$C$22+Projects!$D$22),Projects!$B$22*(1-SUMPRODUCT((Curves!$B$4:$AR$4)*(COLUMN(Curves!$B$4:$AR$4)-COLUMN(Curves!$B$4)+1&lt;=AG$3-Projects!$C$22+1))),0)+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$10:$AR$10)*(COLUMN(Curves!$B$10:$AR$10)-COLUMN(Curves!$B$10)+1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11631793.7436427</v>
      </c>
      <c r="AH357" s="13" t="n">
        <f aca="false">IF(AND(Projects!$G$22="Yes",Projects!$F$22="Yes",AH$3&gt;=Projects!$C$22,AH$3&lt;Projects!$C$22+Projects!$D$22),Projects!$B$22*(1-SUMPRODUCT((Curves!$B$4:$AR$4)*(COLUMN(Curves!$B$4:$AR$4)-COLUMN(Curves!$B$4)+1&lt;=AH$3-Projects!$C$22+1))),0)+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$10:$AR$10)*(COLUMN(Curves!$B$10:$AR$10)-COLUMN(Curves!$B$10)+1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8776283.46211</v>
      </c>
      <c r="AI357" s="13" t="n">
        <f aca="false">IF(AND(Projects!$G$22="Yes",Projects!$F$22="Yes",AI$3&gt;=Projects!$C$22,AI$3&lt;Projects!$C$22+Projects!$D$22),Projects!$B$22*(1-SUMPRODUCT((Curves!$B$4:$AR$4)*(COLUMN(Curves!$B$4:$AR$4)-COLUMN(Curves!$B$4)+1&lt;=AI$3-Projects!$C$22+1))),0)+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$10:$AR$10)*(COLUMN(Curves!$B$10:$AR$10)-COLUMN(Curves!$B$10)+1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6661899.015655</v>
      </c>
      <c r="AJ357" s="13" t="n">
        <f aca="false">IF(AND(Projects!$G$22="Yes",Projects!$F$22="Yes",AJ$3&gt;=Projects!$C$22,AJ$3&lt;Projects!$C$22+Projects!$D$22),Projects!$B$22*(1-SUMPRODUCT((Curves!$B$4:$AR$4)*(COLUMN(Curves!$B$4:$AR$4)-COLUMN(Curves!$B$4)+1&lt;=AJ$3-Projects!$C$22+1))),0)+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$10:$AR$10)*(COLUMN(Curves!$B$10:$AR$10)-COLUMN(Curves!$B$10)+1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4783413.12674</v>
      </c>
      <c r="AK357" s="13" t="n">
        <f aca="false">IF(AND(Projects!$G$22="Yes",Projects!$F$22="Yes",AK$3&gt;=Projects!$C$22,AK$3&lt;Projects!$C$22+Projects!$D$22),Projects!$B$22*(1-SUMPRODUCT((Curves!$B$4:$AR$4)*(COLUMN(Curves!$B$4:$AR$4)-COLUMN(Curves!$B$4)+1&lt;=AK$3-Projects!$C$22+1))),0)+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$10:$AR$10)*(COLUMN(Curves!$B$10:$AR$10)-COLUMN(Curves!$B$10)+1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3394049.6962</v>
      </c>
      <c r="AL357" s="13" t="n">
        <f aca="false">IF(AND(Projects!$G$22="Yes",Projects!$F$22="Yes",AL$3&gt;=Projects!$C$22,AL$3&lt;Projects!$C$22+Projects!$D$22),Projects!$B$22*(1-SUMPRODUCT((Curves!$B$4:$AR$4)*(COLUMN(Curves!$B$4:$AR$4)-COLUMN(Curves!$B$4)+1&lt;=AL$3-Projects!$C$22+1))),0)+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$10:$AR$10)*(COLUMN(Curves!$B$10:$AR$10)-COLUMN(Curves!$B$10)+1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2196510.74851</v>
      </c>
      <c r="AM357" s="13" t="n">
        <f aca="false">IF(AND(Projects!$G$22="Yes",Projects!$F$22="Yes",AM$3&gt;=Projects!$C$22,AM$3&lt;Projects!$C$22+Projects!$D$22),Projects!$B$22*(1-SUMPRODUCT((Curves!$B$4:$AR$4)*(COLUMN(Curves!$B$4:$AR$4)-COLUMN(Curves!$B$4)+1&lt;=AM$3-Projects!$C$22+1))),0)+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$10:$AR$10)*(COLUMN(Curves!$B$10:$AR$10)-COLUMN(Curves!$B$10)+1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1189523.942765</v>
      </c>
      <c r="AN357" s="13" t="n">
        <f aca="false">IF(AND(Projects!$G$22="Yes",Projects!$F$22="Yes",AN$3&gt;=Projects!$C$22,AN$3&lt;Projects!$C$22+Projects!$D$22),Projects!$B$22*(1-SUMPRODUCT((Curves!$B$4:$AR$4)*(COLUMN(Curves!$B$4:$AR$4)-COLUMN(Curves!$B$4)+1&lt;=AN$3-Projects!$C$22+1))),0)+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$10:$AR$10)*(COLUMN(Curves!$B$10:$AR$10)-COLUMN(Curves!$B$10)+1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363442.002</v>
      </c>
      <c r="AO357" s="13" t="n">
        <f aca="false">IF(AND(Projects!$G$22="Yes",Projects!$F$22="Yes",AO$3&gt;=Projects!$C$22,AO$3&lt;Projects!$C$22+Projects!$D$22),Projects!$B$22*(1-SUMPRODUCT((Curves!$B$4:$AR$4)*(COLUMN(Curves!$B$4:$AR$4)-COLUMN(Curves!$B$4)+1&lt;=AO$3-Projects!$C$22+1))),0)+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$10:$AR$10)*(COLUMN(Curves!$B$10:$AR$10)-COLUMN(Curves!$B$10)+1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0</v>
      </c>
      <c r="AP357" s="13" t="n">
        <f aca="false">IF(AND(Projects!$G$22="Yes",Projects!$F$22="Yes",AP$3&gt;=Projects!$C$22,AP$3&lt;Projects!$C$22+Projects!$D$22),Projects!$B$22*(1-SUMPRODUCT((Curves!$B$4:$AR$4)*(COLUMN(Curves!$B$4:$AR$4)-COLUMN(Curves!$B$4)+1&lt;=AP$3-Projects!$C$22+1))),0)+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$10:$AR$10)*(COLUMN(Curves!$B$10:$AR$10)-COLUMN(Curves!$B$10)+1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0</v>
      </c>
      <c r="AQ357" s="13" t="n">
        <f aca="false">IF(AND(Projects!$G$22="Yes",Projects!$F$22="Yes",AQ$3&gt;=Projects!$C$22,AQ$3&lt;Projects!$C$22+Projects!$D$22),Projects!$B$22*(1-SUMPRODUCT((Curves!$B$4:$AR$4)*(COLUMN(Curves!$B$4:$AR$4)-COLUMN(Curves!$B$4)+1&lt;=AQ$3-Projects!$C$22+1))),0)+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$10:$AR$10)*(COLUMN(Curves!$B$10:$AR$10)-COLUMN(Curves!$B$10)+1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0</v>
      </c>
      <c r="AR357" s="13" t="n">
        <f aca="false">IF(AND(Projects!$G$22="Yes",Projects!$F$22="Yes",AR$3&gt;=Projects!$C$22,AR$3&lt;Projects!$C$22+Projects!$D$22),Projects!$B$22*(1-SUMPRODUCT((Curves!$B$4:$AR$4)*(COLUMN(Curves!$B$4:$AR$4)-COLUMN(Curves!$B$4)+1&lt;=AR$3-Projects!$C$22+1))),0)+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$10:$AR$10)*(COLUMN(Curves!$B$10:$AR$10)-COLUMN(Curves!$B$10)+1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0</v>
      </c>
      <c r="AS357" s="13" t="n">
        <f aca="false">IF(AND(Projects!$G$22="Yes",Projects!$F$22="Yes",AS$3&gt;=Projects!$C$22,AS$3&lt;Projects!$C$22+Projects!$D$22),Projects!$B$22*(1-SUMPRODUCT((Curves!$B$4:$AR$4)*(COLUMN(Curves!$B$4:$AR$4)-COLUMN(Curves!$B$4)+1&lt;=AS$3-Projects!$C$22+1))),0)+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$10:$AR$10)*(COLUMN(Curves!$B$10:$AR$10)-COLUMN(Curves!$B$10)+1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0</v>
      </c>
      <c r="AT357" s="13" t="n">
        <f aca="false">IF(AND(Projects!$G$22="Yes",Projects!$F$22="Yes",AT$3&gt;=Projects!$C$22,AT$3&lt;Projects!$C$22+Projects!$D$22),Projects!$B$22*(1-SUMPRODUCT((Curves!$B$4:$AR$4)*(COLUMN(Curves!$B$4:$AR$4)-COLUMN(Curves!$B$4)+1&lt;=AT$3-Projects!$C$22+1))),0)+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$10:$AR$10)*(COLUMN(Curves!$B$10:$AR$10)-COLUMN(Curves!$B$10)+1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0</v>
      </c>
      <c r="AU357" s="13" t="n">
        <f aca="false">IF(AND(Projects!$G$22="Yes",Projects!$F$22="Yes",AU$3&gt;=Projects!$C$22,AU$3&lt;Projects!$C$22+Projects!$D$22),Projects!$B$22*(1-SUMPRODUCT((Curves!$B$4:$AR$4)*(COLUMN(Curves!$B$4:$AR$4)-COLUMN(Curves!$B$4)+1&lt;=AU$3-Projects!$C$22+1))),0)+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$10:$AR$10)*(COLUMN(Curves!$B$10:$AR$10)-COLUMN(Curves!$B$10)+1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0</v>
      </c>
      <c r="AV357" s="13" t="n">
        <f aca="false">IF(AND(Projects!$G$22="Yes",Projects!$F$22="Yes",AV$3&gt;=Projects!$C$22,AV$3&lt;Projects!$C$22+Projects!$D$22),Projects!$B$22*(1-SUMPRODUCT((Curves!$B$4:$AR$4)*(COLUMN(Curves!$B$4:$AR$4)-COLUMN(Curves!$B$4)+1&lt;=AV$3-Projects!$C$22+1))),0)+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$10:$AR$10)*(COLUMN(Curves!$B$10:$AR$10)-COLUMN(Curves!$B$10)+1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0</v>
      </c>
      <c r="AW357" s="13" t="n">
        <f aca="false">IF(AND(Projects!$G$22="Yes",Projects!$F$22="Yes",AW$3&gt;=Projects!$C$22,AW$3&lt;Projects!$C$22+Projects!$D$22),Projects!$B$22*(1-SUMPRODUCT((Curves!$B$4:$AR$4)*(COLUMN(Curves!$B$4:$AR$4)-COLUMN(Curves!$B$4)+1&lt;=AW$3-Projects!$C$22+1))),0)+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$10:$AR$10)*(COLUMN(Curves!$B$10:$AR$10)-COLUMN(Curves!$B$10)+1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0</v>
      </c>
      <c r="AX357" s="13" t="n">
        <f aca="false">IF(AND(Projects!$G$22="Yes",Projects!$F$22="Yes",AX$3&gt;=Projects!$C$22,AX$3&lt;Projects!$C$22+Projects!$D$22),Projects!$B$22*(1-SUMPRODUCT((Curves!$B$4:$AR$4)*(COLUMN(Curves!$B$4:$AR$4)-COLUMN(Curves!$B$4)+1&lt;=AX$3-Projects!$C$22+1))),0)+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$10:$AR$10)*(COLUMN(Curves!$B$10:$AR$10)-COLUMN(Curves!$B$10)+1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0</v>
      </c>
      <c r="AY357" s="13" t="n">
        <f aca="false">IF(AND(Projects!$G$22="Yes",Projects!$F$22="Yes",AY$3&gt;=Projects!$C$22,AY$3&lt;Projects!$C$22+Projects!$D$22),Projects!$B$22*(1-SUMPRODUCT((Curves!$B$4:$AR$4)*(COLUMN(Curves!$B$4:$AR$4)-COLUMN(Curves!$B$4)+1&lt;=AY$3-Projects!$C$22+1))),0)+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$10:$AR$10)*(COLUMN(Curves!$B$10:$AR$10)-COLUMN(Curves!$B$10)+1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0</v>
      </c>
      <c r="AZ357" s="13" t="n">
        <f aca="false">IF(AND(Projects!$G$22="Yes",Projects!$F$22="Yes",AZ$3&gt;=Projects!$C$22,AZ$3&lt;Projects!$C$22+Projects!$D$22),Projects!$B$22*(1-SUMPRODUCT((Curves!$B$4:$AR$4)*(COLUMN(Curves!$B$4:$AR$4)-COLUMN(Curves!$B$4)+1&lt;=AZ$3-Projects!$C$22+1))),0)+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$10:$AR$10)*(COLUMN(Curves!$B$10:$AR$10)-COLUMN(Curves!$B$10)+1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0</v>
      </c>
      <c r="BA357" s="13" t="n">
        <f aca="false">IF(AND(Projects!$G$22="Yes",Projects!$F$22="Yes",BA$3&gt;=Projects!$C$22,BA$3&lt;Projects!$C$22+Projects!$D$22),Projects!$B$22*(1-SUMPRODUCT((Curves!$B$4:$AR$4)*(COLUMN(Curves!$B$4:$AR$4)-COLUMN(Curves!$B$4)+1&lt;=BA$3-Projects!$C$22+1))),0)+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$10:$AR$10)*(COLUMN(Curves!$B$10:$AR$10)-COLUMN(Curves!$B$10)+1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0</v>
      </c>
      <c r="BB357" s="13" t="n">
        <f aca="false">IF(AND(Projects!$G$22="Yes",Projects!$F$22="Yes",BB$3&gt;=Projects!$C$22,BB$3&lt;Projects!$C$22+Projects!$D$22),Projects!$B$22*(1-SUMPRODUCT((Curves!$B$4:$AR$4)*(COLUMN(Curves!$B$4:$AR$4)-COLUMN(Curves!$B$4)+1&lt;=BB$3-Projects!$C$22+1))),0)+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$10:$AR$10)*(COLUMN(Curves!$B$10:$AR$10)-COLUMN(Curves!$B$10)+1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0</v>
      </c>
      <c r="BC357" s="13" t="n">
        <f aca="false">IF(AND(Projects!$G$22="Yes",Projects!$F$22="Yes",BC$3&gt;=Projects!$C$22,BC$3&lt;Projects!$C$22+Projects!$D$22),Projects!$B$22*(1-SUMPRODUCT((Curves!$B$4:$AR$4)*(COLUMN(Curves!$B$4:$AR$4)-COLUMN(Curves!$B$4)+1&lt;=BC$3-Projects!$C$22+1))),0)+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$10:$AR$10)*(COLUMN(Curves!$B$10:$AR$10)-COLUMN(Curves!$B$10)+1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0</v>
      </c>
      <c r="BD357" s="13" t="n">
        <f aca="false">IF(AND(Projects!$G$22="Yes",Projects!$F$22="Yes",BD$3&gt;=Projects!$C$22,BD$3&lt;Projects!$C$22+Projects!$D$22),Projects!$B$22*(1-SUMPRODUCT((Curves!$B$4:$AR$4)*(COLUMN(Curves!$B$4:$AR$4)-COLUMN(Curves!$B$4)+1&lt;=BD$3-Projects!$C$22+1))),0)+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$10:$AR$10)*(COLUMN(Curves!$B$10:$AR$10)-COLUMN(Curves!$B$10)+1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0</v>
      </c>
      <c r="BE357" s="13" t="n">
        <f aca="false">IF(AND(Projects!$G$22="Yes",Projects!$F$22="Yes",BE$3&gt;=Projects!$C$22,BE$3&lt;Projects!$C$22+Projects!$D$22),Projects!$B$22*(1-SUMPRODUCT((Curves!$B$4:$AR$4)*(COLUMN(Curves!$B$4:$AR$4)-COLUMN(Curves!$B$4)+1&lt;=BE$3-Projects!$C$22+1))),0)+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$10:$AR$10)*(COLUMN(Curves!$B$10:$AR$10)-COLUMN(Curves!$B$10)+1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0</v>
      </c>
      <c r="BF357" s="13" t="n">
        <f aca="false">IF(AND(Projects!$G$22="Yes",Projects!$F$22="Yes",BF$3&gt;=Projects!$C$22,BF$3&lt;Projects!$C$22+Projects!$D$22),Projects!$B$22*(1-SUMPRODUCT((Curves!$B$4:$AR$4)*(COLUMN(Curves!$B$4:$AR$4)-COLUMN(Curves!$B$4)+1&lt;=BF$3-Projects!$C$22+1))),0)+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$10:$AR$10)*(COLUMN(Curves!$B$10:$AR$10)-COLUMN(Curves!$B$10)+1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0</v>
      </c>
      <c r="BG357" s="13" t="n">
        <f aca="false">IF(AND(Projects!$G$22="Yes",Projects!$F$22="Yes",BG$3&gt;=Projects!$C$22,BG$3&lt;Projects!$C$22+Projects!$D$22),Projects!$B$22*(1-SUMPRODUCT((Curves!$B$4:$AR$4)*(COLUMN(Curves!$B$4:$AR$4)-COLUMN(Curves!$B$4)+1&lt;=BG$3-Projects!$C$22+1))),0)+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$10:$AR$10)*(COLUMN(Curves!$B$10:$AR$10)-COLUMN(Curves!$B$10)+1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0</v>
      </c>
      <c r="BH357" s="13" t="n">
        <f aca="false">IF(AND(Projects!$G$22="Yes",Projects!$F$22="Yes",BH$3&gt;=Projects!$C$22,BH$3&lt;Projects!$C$22+Projects!$D$22),Projects!$B$22*(1-SUMPRODUCT((Curves!$B$4:$AR$4)*(COLUMN(Curves!$B$4:$AR$4)-COLUMN(Curves!$B$4)+1&lt;=BH$3-Projects!$C$22+1))),0)+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$10:$AR$10)*(COLUMN(Curves!$B$10:$AR$10)-COLUMN(Curves!$B$10)+1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0</v>
      </c>
      <c r="BI357" s="13" t="n">
        <f aca="false">IF(AND(Projects!$G$22="Yes",Projects!$F$22="Yes",BI$3&gt;=Projects!$C$22,BI$3&lt;Projects!$C$22+Projects!$D$22),Projects!$B$22*(1-SUMPRODUCT((Curves!$B$4:$AR$4)*(COLUMN(Curves!$B$4:$AR$4)-COLUMN(Curves!$B$4)+1&lt;=BI$3-Projects!$C$22+1))),0)+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$10:$AR$10)*(COLUMN(Curves!$B$10:$AR$10)-COLUMN(Curves!$B$10)+1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0</v>
      </c>
      <c r="BJ357" s="13" t="n">
        <f aca="false">IF(AND(Projects!$G$22="Yes",Projects!$F$22="Yes",BJ$3&gt;=Projects!$C$22,BJ$3&lt;Projects!$C$22+Projects!$D$22),Projects!$B$22*(1-SUMPRODUCT((Curves!$B$4:$AR$4)*(COLUMN(Curves!$B$4:$AR$4)-COLUMN(Curves!$B$4)+1&lt;=BJ$3-Projects!$C$22+1))),0)+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$10:$AR$10)*(COLUMN(Curves!$B$10:$AR$10)-COLUMN(Curves!$B$10)+1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0</v>
      </c>
      <c r="BK357" s="13" t="n">
        <f aca="false">IF(AND(Projects!$G$22="Yes",Projects!$F$22="Yes",BK$3&gt;=Projects!$C$22,BK$3&lt;Projects!$C$22+Projects!$D$22),Projects!$B$22*(1-SUMPRODUCT((Curves!$B$4:$AR$4)*(COLUMN(Curves!$B$4:$AR$4)-COLUMN(Curves!$B$4)+1&lt;=BK$3-Projects!$C$22+1))),0)+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$10:$AR$10)*(COLUMN(Curves!$B$10:$AR$10)-COLUMN(Curves!$B$10)+1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0</v>
      </c>
      <c r="BL357" s="13" t="n">
        <f aca="false">IF(AND(Projects!$G$22="Yes",Projects!$F$22="Yes",BL$3&gt;=Projects!$C$22,BL$3&lt;Projects!$C$22+Projects!$D$22),Projects!$B$22*(1-SUMPRODUCT((Curves!$B$4:$AR$4)*(COLUMN(Curves!$B$4:$AR$4)-COLUMN(Curves!$B$4)+1&lt;=BL$3-Projects!$C$22+1))),0)+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$10:$AR$10)*(COLUMN(Curves!$B$10:$AR$10)-COLUMN(Curves!$B$10)+1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0</v>
      </c>
      <c r="BM357" s="13" t="n">
        <f aca="false">IF(AND(Projects!$G$22="Yes",Projects!$F$22="Yes",BM$3&gt;=Projects!$C$22,BM$3&lt;Projects!$C$22+Projects!$D$22),Projects!$B$22*(1-SUMPRODUCT((Curves!$B$4:$AR$4)*(COLUMN(Curves!$B$4:$AR$4)-COLUMN(Curves!$B$4)+1&lt;=BM$3-Projects!$C$22+1))),0)+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$10:$AR$10)*(COLUMN(Curves!$B$10:$AR$10)-COLUMN(Curves!$B$10)+1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0</v>
      </c>
      <c r="BN357" s="13" t="n">
        <f aca="false">IF(AND(Projects!$G$22="Yes",Projects!$F$22="Yes",BN$3&gt;=Projects!$C$22,BN$3&lt;Projects!$C$22+Projects!$D$22),Projects!$B$22*(1-SUMPRODUCT((Curves!$B$4:$AR$4)*(COLUMN(Curves!$B$4:$AR$4)-COLUMN(Curves!$B$4)+1&lt;=BN$3-Projects!$C$22+1))),0)+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$10:$AR$10)*(COLUMN(Curves!$B$10:$AR$10)-COLUMN(Curves!$B$10)+1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0</v>
      </c>
      <c r="BO357" s="13" t="n">
        <f aca="false">IF(AND(Projects!$G$22="Yes",Projects!$F$22="Yes",BO$3&gt;=Projects!$C$22,BO$3&lt;Projects!$C$22+Projects!$D$22),Projects!$B$22*(1-SUMPRODUCT((Curves!$B$4:$AR$4)*(COLUMN(Curves!$B$4:$AR$4)-COLUMN(Curves!$B$4)+1&lt;=BO$3-Projects!$C$22+1))),0)+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$10:$AR$10)*(COLUMN(Curves!$B$10:$AR$10)-COLUMN(Curves!$B$10)+1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0</v>
      </c>
      <c r="BP357" s="13" t="n">
        <f aca="false">IF(AND(Projects!$G$22="Yes",Projects!$F$22="Yes",BP$3&gt;=Projects!$C$22,BP$3&lt;Projects!$C$22+Projects!$D$22),Projects!$B$22*(1-SUMPRODUCT((Curves!$B$4:$AR$4)*(COLUMN(Curves!$B$4:$AR$4)-COLUMN(Curves!$B$4)+1&lt;=BP$3-Projects!$C$22+1))),0)+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$10:$AR$10)*(COLUMN(Curves!$B$10:$AR$10)-COLUMN(Curves!$B$10)+1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0</v>
      </c>
      <c r="BQ357" s="13" t="n">
        <f aca="false">IF(AND(Projects!$G$22="Yes",Projects!$F$22="Yes",BQ$3&gt;=Projects!$C$22,BQ$3&lt;Projects!$C$22+Projects!$D$22),Projects!$B$22*(1-SUMPRODUCT((Curves!$B$4:$AR$4)*(COLUMN(Curves!$B$4:$AR$4)-COLUMN(Curves!$B$4)+1&lt;=BQ$3-Projects!$C$22+1))),0)+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$10:$AR$10)*(COLUMN(Curves!$B$10:$AR$10)-COLUMN(Curves!$B$10)+1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0</v>
      </c>
      <c r="BR357" s="13" t="n">
        <f aca="false">IF(AND(Projects!$G$22="Yes",Projects!$F$22="Yes",BR$3&gt;=Projects!$C$22,BR$3&lt;Projects!$C$22+Projects!$D$22),Projects!$B$22*(1-SUMPRODUCT((Curves!$B$4:$AR$4)*(COLUMN(Curves!$B$4:$AR$4)-COLUMN(Curves!$B$4)+1&lt;=BR$3-Projects!$C$22+1))),0)+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$10:$AR$10)*(COLUMN(Curves!$B$10:$AR$10)-COLUMN(Curves!$B$10)+1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0</v>
      </c>
      <c r="BS357" s="13" t="n">
        <f aca="false">IF(AND(Projects!$G$22="Yes",Projects!$F$22="Yes",BS$3&gt;=Projects!$C$22,BS$3&lt;Projects!$C$22+Projects!$D$22),Projects!$B$22*(1-SUMPRODUCT((Curves!$B$4:$AR$4)*(COLUMN(Curves!$B$4:$AR$4)-COLUMN(Curves!$B$4)+1&lt;=BS$3-Projects!$C$22+1))),0)+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$10:$AR$10)*(COLUMN(Curves!$B$10:$AR$10)-COLUMN(Curves!$B$10)+1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0</v>
      </c>
      <c r="BT357" s="13" t="n">
        <f aca="false">IF(AND(Projects!$G$22="Yes",Projects!$F$22="Yes",BT$3&gt;=Projects!$C$22,BT$3&lt;Projects!$C$22+Projects!$D$22),Projects!$B$22*(1-SUMPRODUCT((Curves!$B$4:$AR$4)*(COLUMN(Curves!$B$4:$AR$4)-COLUMN(Curves!$B$4)+1&lt;=BT$3-Projects!$C$22+1))),0)+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$10:$AR$10)*(COLUMN(Curves!$B$10:$AR$10)-COLUMN(Curves!$B$10)+1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0</v>
      </c>
      <c r="BU357" s="13" t="n">
        <f aca="false">IF(AND(Projects!$G$22="Yes",Projects!$F$22="Yes",BU$3&gt;=Projects!$C$22,BU$3&lt;Projects!$C$22+Projects!$D$22),Projects!$B$22*(1-SUMPRODUCT((Curves!$B$4:$AR$4)*(COLUMN(Curves!$B$4:$AR$4)-COLUMN(Curves!$B$4)+1&lt;=BU$3-Projects!$C$22+1))),0)+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$10:$AR$10)*(COLUMN(Curves!$B$10:$AR$10)-COLUMN(Curves!$B$10)+1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0</v>
      </c>
      <c r="BV357" s="13" t="n">
        <f aca="false">IF(AND(Projects!$G$22="Yes",Projects!$F$22="Yes",BV$3&gt;=Projects!$C$22,BV$3&lt;Projects!$C$22+Projects!$D$22),Projects!$B$22*(1-SUMPRODUCT((Curves!$B$4:$AR$4)*(COLUMN(Curves!$B$4:$AR$4)-COLUMN(Curves!$B$4)+1&lt;=BV$3-Projects!$C$22+1))),0)+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$10:$AR$10)*(COLUMN(Curves!$B$10:$AR$10)-COLUMN(Curves!$B$10)+1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0</v>
      </c>
      <c r="BW357" s="13" t="n">
        <f aca="false">IF(AND(Projects!$G$22="Yes",Projects!$F$22="Yes",BW$3&gt;=Projects!$C$22,BW$3&lt;Projects!$C$22+Projects!$D$22),Projects!$B$22*(1-SUMPRODUCT((Curves!$B$4:$AR$4)*(COLUMN(Curves!$B$4:$AR$4)-COLUMN(Curves!$B$4)+1&lt;=BW$3-Projects!$C$22+1))),0)+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$10:$AR$10)*(COLUMN(Curves!$B$10:$AR$10)-COLUMN(Curves!$B$10)+1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0</v>
      </c>
      <c r="BX357" s="13" t="n">
        <f aca="false">IF(AND(Projects!$G$22="Yes",Projects!$F$22="Yes",BX$3&gt;=Projects!$C$22,BX$3&lt;Projects!$C$22+Projects!$D$22),Projects!$B$22*(1-SUMPRODUCT((Curves!$B$4:$AR$4)*(COLUMN(Curves!$B$4:$AR$4)-COLUMN(Curves!$B$4)+1&lt;=BX$3-Projects!$C$22+1))),0)+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$10:$AR$10)*(COLUMN(Curves!$B$10:$AR$10)-COLUMN(Curves!$B$10)+1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0</v>
      </c>
      <c r="BY357" s="13" t="n">
        <f aca="false">IF(AND(Projects!$G$22="Yes",Projects!$F$22="Yes",BY$3&gt;=Projects!$C$22,BY$3&lt;Projects!$C$22+Projects!$D$22),Projects!$B$22*(1-SUMPRODUCT((Curves!$B$4:$AR$4)*(COLUMN(Curves!$B$4:$AR$4)-COLUMN(Curves!$B$4)+1&lt;=BY$3-Projects!$C$22+1))),0)+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$10:$AR$10)*(COLUMN(Curves!$B$10:$AR$10)-COLUMN(Curves!$B$10)+1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0</v>
      </c>
      <c r="BZ357" s="13" t="n">
        <f aca="false">IF(AND(Projects!$G$22="Yes",Projects!$F$22="Yes",BZ$3&gt;=Projects!$C$22,BZ$3&lt;Projects!$C$22+Projects!$D$22),Projects!$B$22*(1-SUMPRODUCT((Curves!$B$4:$AR$4)*(COLUMN(Curves!$B$4:$AR$4)-COLUMN(Curves!$B$4)+1&lt;=BZ$3-Projects!$C$22+1))),0)+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$10:$AR$10)*(COLUMN(Curves!$B$10:$AR$10)-COLUMN(Curves!$B$10)+1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7" s="13" t="n">
        <f aca="false">IF(AND(Projects!$G$22="Yes",Projects!$F$22="Yes",CA$3&gt;=Projects!$C$22,CA$3&lt;Projects!$C$22+Projects!$D$22),Projects!$B$22*(1-SUMPRODUCT((Curves!$B$4:$AR$4)*(COLUMN(Curves!$B$4:$AR$4)-COLUMN(Curves!$B$4)+1&lt;=CA$3-Projects!$C$22+1))),0)+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$10:$AR$10)*(COLUMN(Curves!$B$10:$AR$10)-COLUMN(Curves!$B$10)+1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7" s="13" t="n">
        <f aca="false">IF(AND(Projects!$G$22="Yes",Projects!$F$22="Yes",CB$3&gt;=Projects!$C$22,CB$3&lt;Projects!$C$22+Projects!$D$22),Projects!$B$22*(1-SUMPRODUCT((Curves!$B$4:$AR$4)*(COLUMN(Curves!$B$4:$AR$4)-COLUMN(Curves!$B$4)+1&lt;=CB$3-Projects!$C$22+1))),0)+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$10:$AR$10)*(COLUMN(Curves!$B$10:$AR$10)-COLUMN(Curves!$B$10)+1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7" s="13" t="n">
        <f aca="false">IF(AND(Projects!$G$22="Yes",Projects!$F$22="Yes",CC$3&gt;=Projects!$C$22,CC$3&lt;Projects!$C$22+Projects!$D$22),Projects!$B$22*(1-SUMPRODUCT((Curves!$B$4:$AR$4)*(COLUMN(Curves!$B$4:$AR$4)-COLUMN(Curves!$B$4)+1&lt;=CC$3-Projects!$C$22+1))),0)+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$10:$AR$10)*(COLUMN(Curves!$B$10:$AR$10)-COLUMN(Curves!$B$10)+1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7" s="13" t="n">
        <f aca="false">IF(AND(Projects!$G$22="Yes",Projects!$F$22="Yes",CD$3&gt;=Projects!$C$22,CD$3&lt;Projects!$C$22+Projects!$D$22),Projects!$B$22*(1-SUMPRODUCT((Curves!$B$4:$AR$4)*(COLUMN(Curves!$B$4:$AR$4)-COLUMN(Curves!$B$4)+1&lt;=CD$3-Projects!$C$22+1))),0)+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$10:$AR$10)*(COLUMN(Curves!$B$10:$AR$10)-COLUMN(Curves!$B$10)+1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7" s="13" t="n">
        <f aca="false">IF(AND(Projects!$G$22="Yes",Projects!$F$22="Yes",CE$3&gt;=Projects!$C$22,CE$3&lt;Projects!$C$22+Projects!$D$22),Projects!$B$22*(1-SUMPRODUCT((Curves!$B$4:$AR$4)*(COLUMN(Curves!$B$4:$AR$4)-COLUMN(Curves!$B$4)+1&lt;=CE$3-Projects!$C$22+1))),0)+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$10:$AR$10)*(COLUMN(Curves!$B$10:$AR$10)-COLUMN(Curves!$B$10)+1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7" s="13" t="n">
        <f aca="false">IF(AND(Projects!$G$22="Yes",Projects!$F$22="Yes",CF$3&gt;=Projects!$C$22,CF$3&lt;Projects!$C$22+Projects!$D$22),Projects!$B$22*(1-SUMPRODUCT((Curves!$B$4:$AR$4)*(COLUMN(Curves!$B$4:$AR$4)-COLUMN(Curves!$B$4)+1&lt;=CF$3-Projects!$C$22+1))),0)+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$10:$AR$10)*(COLUMN(Curves!$B$10:$AR$10)-COLUMN(Curves!$B$10)+1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7" s="13" t="n">
        <f aca="false">IF(AND(Projects!$G$22="Yes",Projects!$F$22="Yes",CG$3&gt;=Projects!$C$22,CG$3&lt;Projects!$C$22+Projects!$D$22),Projects!$B$22*(1-SUMPRODUCT((Curves!$B$4:$AR$4)*(COLUMN(Curves!$B$4:$AR$4)-COLUMN(Curves!$B$4)+1&lt;=CG$3-Projects!$C$22+1))),0)+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$10:$AR$10)*(COLUMN(Curves!$B$10:$AR$10)-COLUMN(Curves!$B$10)+1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7" s="13" t="n">
        <f aca="false">IF(AND(Projects!$G$22="Yes",Projects!$F$22="Yes",CH$3&gt;=Projects!$C$22,CH$3&lt;Projects!$C$22+Projects!$D$22),Projects!$B$22*(1-SUMPRODUCT((Curves!$B$4:$AR$4)*(COLUMN(Curves!$B$4:$AR$4)-COLUMN(Curves!$B$4)+1&lt;=CH$3-Projects!$C$22+1))),0)+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$10:$AR$10)*(COLUMN(Curves!$B$10:$AR$10)-COLUMN(Curves!$B$10)+1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7" s="13" t="n">
        <f aca="false">IF(AND(Projects!$G$22="Yes",Projects!$F$22="Yes",CI$3&gt;=Projects!$C$22,CI$3&lt;Projects!$C$22+Projects!$D$22),Projects!$B$22*(1-SUMPRODUCT((Curves!$B$4:$AR$4)*(COLUMN(Curves!$B$4:$AR$4)-COLUMN(Curves!$B$4)+1&lt;=CI$3-Projects!$C$22+1))),0)+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$10:$AR$10)*(COLUMN(Curves!$B$10:$AR$10)-COLUMN(Curves!$B$10)+1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7" s="13" t="n">
        <f aca="false">IF(AND(Projects!$G$22="Yes",Projects!$F$22="Yes",CJ$3&gt;=Projects!$C$22,CJ$3&lt;Projects!$C$22+Projects!$D$22),Projects!$B$22*(1-SUMPRODUCT((Curves!$B$4:$AR$4)*(COLUMN(Curves!$B$4:$AR$4)-COLUMN(Curves!$B$4)+1&lt;=CJ$3-Projects!$C$22+1))),0)+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$10:$AR$10)*(COLUMN(Curves!$B$10:$AR$10)-COLUMN(Curves!$B$10)+1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7" s="13" t="n">
        <f aca="false">IF(AND(Projects!$G$22="Yes",Projects!$F$22="Yes",CK$3&gt;=Projects!$C$22,CK$3&lt;Projects!$C$22+Projects!$D$22),Projects!$B$22*(1-SUMPRODUCT((Curves!$B$4:$AR$4)*(COLUMN(Curves!$B$4:$AR$4)-COLUMN(Curves!$B$4)+1&lt;=CK$3-Projects!$C$22+1))),0)+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$10:$AR$10)*(COLUMN(Curves!$B$10:$AR$10)-COLUMN(Curves!$B$10)+1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7" s="13" t="n">
        <f aca="false">IF(AND(Projects!$G$22="Yes",Projects!$F$22="Yes",CL$3&gt;=Projects!$C$22,CL$3&lt;Projects!$C$22+Projects!$D$22),Projects!$B$22*(1-SUMPRODUCT((Curves!$B$4:$AR$4)*(COLUMN(Curves!$B$4:$AR$4)-COLUMN(Curves!$B$4)+1&lt;=CL$3-Projects!$C$22+1))),0)+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$10:$AR$10)*(COLUMN(Curves!$B$10:$AR$10)-COLUMN(Curves!$B$10)+1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7" s="13" t="n">
        <f aca="false">IF(AND(Projects!$G$22="Yes",Projects!$F$22="Yes",CM$3&gt;=Projects!$C$22,CM$3&lt;Projects!$C$22+Projects!$D$22),Projects!$B$22*(1-SUMPRODUCT((Curves!$B$4:$AR$4)*(COLUMN(Curves!$B$4:$AR$4)-COLUMN(Curves!$B$4)+1&lt;=CM$3-Projects!$C$22+1))),0)+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$10:$AR$10)*(COLUMN(Curves!$B$10:$AR$10)-COLUMN(Curves!$B$10)+1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7" s="13" t="n">
        <f aca="false">IF(AND(Projects!$G$22="Yes",Projects!$F$22="Yes",CN$3&gt;=Projects!$C$22,CN$3&lt;Projects!$C$22+Projects!$D$22),Projects!$B$22*(1-SUMPRODUCT((Curves!$B$4:$AR$4)*(COLUMN(Curves!$B$4:$AR$4)-COLUMN(Curves!$B$4)+1&lt;=CN$3-Projects!$C$22+1))),0)+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$10:$AR$10)*(COLUMN(Curves!$B$10:$AR$10)-COLUMN(Curves!$B$10)+1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7" s="13" t="n">
        <f aca="false">IF(AND(Projects!$G$22="Yes",Projects!$F$22="Yes",CO$3&gt;=Projects!$C$22,CO$3&lt;Projects!$C$22+Projects!$D$22),Projects!$B$22*(1-SUMPRODUCT((Curves!$B$4:$AR$4)*(COLUMN(Curves!$B$4:$AR$4)-COLUMN(Curves!$B$4)+1&lt;=CO$3-Projects!$C$22+1))),0)+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$10:$AR$10)*(COLUMN(Curves!$B$10:$AR$10)-COLUMN(Curves!$B$10)+1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7" s="13" t="n">
        <f aca="false">IF(AND(Projects!$G$22="Yes",Projects!$F$22="Yes",CP$3&gt;=Projects!$C$22,CP$3&lt;Projects!$C$22+Projects!$D$22),Projects!$B$22*(1-SUMPRODUCT((Curves!$B$4:$AR$4)*(COLUMN(Curves!$B$4:$AR$4)-COLUMN(Curves!$B$4)+1&lt;=CP$3-Projects!$C$22+1))),0)+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$10:$AR$10)*(COLUMN(Curves!$B$10:$AR$10)-COLUMN(Curves!$B$10)+1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7" s="13" t="n">
        <f aca="false">IF(AND(Projects!$G$22="Yes",Projects!$F$22="Yes",CQ$3&gt;=Projects!$C$22,CQ$3&lt;Projects!$C$22+Projects!$D$22),Projects!$B$22*(1-SUMPRODUCT((Curves!$B$4:$AR$4)*(COLUMN(Curves!$B$4:$AR$4)-COLUMN(Curves!$B$4)+1&lt;=CQ$3-Projects!$C$22+1))),0)+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$10:$AR$10)*(COLUMN(Curves!$B$10:$AR$10)-COLUMN(Curves!$B$10)+1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7" s="13" t="n">
        <f aca="false">IF(AND(Projects!$G$22="Yes",Projects!$F$22="Yes",CR$3&gt;=Projects!$C$22,CR$3&lt;Projects!$C$22+Projects!$D$22),Projects!$B$22*(1-SUMPRODUCT((Curves!$B$4:$AR$4)*(COLUMN(Curves!$B$4:$AR$4)-COLUMN(Curves!$B$4)+1&lt;=CR$3-Projects!$C$22+1))),0)+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$10:$AR$10)*(COLUMN(Curves!$B$10:$AR$10)-COLUMN(Curves!$B$10)+1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7" s="13" t="n">
        <f aca="false">IF(AND(Projects!$G$22="Yes",Projects!$F$22="Yes",CS$3&gt;=Projects!$C$22,CS$3&lt;Projects!$C$22+Projects!$D$22),Projects!$B$22*(1-SUMPRODUCT((Curves!$B$4:$AR$4)*(COLUMN(Curves!$B$4:$AR$4)-COLUMN(Curves!$B$4)+1&lt;=CS$3-Projects!$C$22+1))),0)+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$10:$AR$10)*(COLUMN(Curves!$B$10:$AR$10)-COLUMN(Curves!$B$10)+1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7" s="13" t="n">
        <f aca="false">IF(AND(Projects!$G$22="Yes",Projects!$F$22="Yes",CT$3&gt;=Projects!$C$22,CT$3&lt;Projects!$C$22+Projects!$D$22),Projects!$B$22*(1-SUMPRODUCT((Curves!$B$4:$AR$4)*(COLUMN(Curves!$B$4:$AR$4)-COLUMN(Curves!$B$4)+1&lt;=CT$3-Projects!$C$22+1))),0)+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$10:$AR$10)*(COLUMN(Curves!$B$10:$AR$10)-COLUMN(Curves!$B$10)+1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7" s="13" t="n">
        <f aca="false">IF(AND(Projects!$G$22="Yes",Projects!$F$22="Yes",CU$3&gt;=Projects!$C$22,CU$3&lt;Projects!$C$22+Projects!$D$22),Projects!$B$22*(1-SUMPRODUCT((Curves!$B$4:$AR$4)*(COLUMN(Curves!$B$4:$AR$4)-COLUMN(Curves!$B$4)+1&lt;=CU$3-Projects!$C$22+1))),0)+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$10:$AR$10)*(COLUMN(Curves!$B$10:$AR$10)-COLUMN(Curves!$B$10)+1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7" s="13" t="n">
        <f aca="false">IF(AND(Projects!$G$22="Yes",Projects!$F$22="Yes",CV$3&gt;=Projects!$C$22,CV$3&lt;Projects!$C$22+Projects!$D$22),Projects!$B$22*(1-SUMPRODUCT((Curves!$B$4:$AR$4)*(COLUMN(Curves!$B$4:$AR$4)-COLUMN(Curves!$B$4)+1&lt;=CV$3-Projects!$C$22+1))),0)+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$10:$AR$10)*(COLUMN(Curves!$B$10:$AR$10)-COLUMN(Curves!$B$10)+1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7" s="13" t="n">
        <f aca="false">IF(AND(Projects!$G$22="Yes",Projects!$F$22="Yes",CW$3&gt;=Projects!$C$22,CW$3&lt;Projects!$C$22+Projects!$D$22),Projects!$B$22*(1-SUMPRODUCT((Curves!$B$4:$AR$4)*(COLUMN(Curves!$B$4:$AR$4)-COLUMN(Curves!$B$4)+1&lt;=CW$3-Projects!$C$22+1))),0)+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$10:$AR$10)*(COLUMN(Curves!$B$10:$AR$10)-COLUMN(Curves!$B$10)+1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7" s="13" t="n">
        <f aca="false">IF(AND(Projects!$G$22="Yes",Projects!$F$22="Yes",CX$3&gt;=Projects!$C$22,CX$3&lt;Projects!$C$22+Projects!$D$22),Projects!$B$22*(1-SUMPRODUCT((Curves!$B$4:$AR$4)*(COLUMN(Curves!$B$4:$AR$4)-COLUMN(Curves!$B$4)+1&lt;=CX$3-Projects!$C$22+1))),0)+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$10:$AR$10)*(COLUMN(Curves!$B$10:$AR$10)-COLUMN(Curves!$B$10)+1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7" s="13" t="n">
        <f aca="false">IF(AND(Projects!$G$22="Yes",Projects!$F$22="Yes",CY$3&gt;=Projects!$C$22,CY$3&lt;Projects!$C$22+Projects!$D$22),Projects!$B$22*(1-SUMPRODUCT((Curves!$B$4:$AR$4)*(COLUMN(Curves!$B$4:$AR$4)-COLUMN(Curves!$B$4)+1&lt;=CY$3-Projects!$C$22+1))),0)+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$10:$AR$10)*(COLUMN(Curves!$B$10:$AR$10)-COLUMN(Curves!$B$10)+1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7" s="13" t="n">
        <f aca="false">IF(AND(Projects!$G$22="Yes",Projects!$F$22="Yes",CZ$3&gt;=Projects!$C$22,CZ$3&lt;Projects!$C$22+Projects!$D$22),Projects!$B$22*(1-SUMPRODUCT((Curves!$B$4:$AR$4)*(COLUMN(Curves!$B$4:$AR$4)-COLUMN(Curves!$B$4)+1&lt;=CZ$3-Projects!$C$22+1))),0)+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$10:$AR$10)*(COLUMN(Curves!$B$10:$AR$10)-COLUMN(Curves!$B$10)+1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7" s="13" t="n">
        <f aca="false">IF(AND(Projects!$G$22="Yes",Projects!$F$22="Yes",DA$3&gt;=Projects!$C$22,DA$3&lt;Projects!$C$22+Projects!$D$22),Projects!$B$22*(1-SUMPRODUCT((Curves!$B$4:$AR$4)*(COLUMN(Curves!$B$4:$AR$4)-COLUMN(Curves!$B$4)+1&lt;=DA$3-Projects!$C$22+1))),0)+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$10:$AR$10)*(COLUMN(Curves!$B$10:$AR$10)-COLUMN(Curves!$B$10)+1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7" s="13" t="n">
        <f aca="false">IF(AND(Projects!$G$22="Yes",Projects!$F$22="Yes",DB$3&gt;=Projects!$C$22,DB$3&lt;Projects!$C$22+Projects!$D$22),Projects!$B$22*(1-SUMPRODUCT((Curves!$B$4:$AR$4)*(COLUMN(Curves!$B$4:$AR$4)-COLUMN(Curves!$B$4)+1&lt;=DB$3-Projects!$C$22+1))),0)+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$10:$AR$10)*(COLUMN(Curves!$B$10:$AR$10)-COLUMN(Curves!$B$10)+1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7" s="13" t="n">
        <f aca="false">IF(AND(Projects!$G$22="Yes",Projects!$F$22="Yes",DC$3&gt;=Projects!$C$22,DC$3&lt;Projects!$C$22+Projects!$D$22),Projects!$B$22*(1-SUMPRODUCT((Curves!$B$4:$AR$4)*(COLUMN(Curves!$B$4:$AR$4)-COLUMN(Curves!$B$4)+1&lt;=DC$3-Projects!$C$22+1))),0)+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$10:$AR$10)*(COLUMN(Curves!$B$10:$AR$10)-COLUMN(Curves!$B$10)+1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7" s="13" t="n">
        <f aca="false">IF(AND(Projects!$G$22="Yes",Projects!$F$22="Yes",DD$3&gt;=Projects!$C$22,DD$3&lt;Projects!$C$22+Projects!$D$22),Projects!$B$22*(1-SUMPRODUCT((Curves!$B$4:$AR$4)*(COLUMN(Curves!$B$4:$AR$4)-COLUMN(Curves!$B$4)+1&lt;=DD$3-Projects!$C$22+1))),0)+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$10:$AR$10)*(COLUMN(Curves!$B$10:$AR$10)-COLUMN(Curves!$B$10)+1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7" s="13" t="n">
        <f aca="false">IF(AND(Projects!$G$22="Yes",Projects!$F$22="Yes",DE$3&gt;=Projects!$C$22,DE$3&lt;Projects!$C$22+Projects!$D$22),Projects!$B$22*(1-SUMPRODUCT((Curves!$B$4:$AR$4)*(COLUMN(Curves!$B$4:$AR$4)-COLUMN(Curves!$B$4)+1&lt;=DE$3-Projects!$C$22+1))),0)+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$10:$AR$10)*(COLUMN(Curves!$B$10:$AR$10)-COLUMN(Curves!$B$10)+1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8" customFormat="false" ht="15" hidden="false" customHeight="true" outlineLevel="0" collapsed="false">
      <c r="A358" s="44" t="s">
        <v>185</v>
      </c>
      <c r="B358" s="39"/>
      <c r="C358" s="39"/>
      <c r="D358" s="39"/>
      <c r="E358" s="39"/>
      <c r="F358" s="39"/>
      <c r="G358" s="39"/>
      <c r="H358" s="39"/>
      <c r="I358" s="39"/>
      <c r="J358" s="39"/>
      <c r="K358" s="39"/>
      <c r="L358" s="39"/>
      <c r="M358" s="39"/>
      <c r="N358" s="39"/>
      <c r="O358" s="39"/>
      <c r="P358" s="39"/>
      <c r="Q358" s="39"/>
      <c r="R358" s="39"/>
      <c r="S358" s="39"/>
      <c r="T358" s="39"/>
      <c r="U358" s="39"/>
      <c r="V358" s="39"/>
      <c r="W358" s="39"/>
      <c r="X358" s="39"/>
      <c r="Y358" s="39"/>
      <c r="Z358" s="39"/>
      <c r="AA358" s="39"/>
      <c r="AB358" s="39"/>
      <c r="AC358" s="39"/>
      <c r="AD358" s="39"/>
      <c r="AE358" s="39"/>
      <c r="AF358" s="39"/>
      <c r="AG358" s="39"/>
      <c r="AH358" s="39"/>
      <c r="AI358" s="39"/>
      <c r="AJ358" s="39"/>
      <c r="AK358" s="39"/>
      <c r="AL358" s="39"/>
      <c r="AM358" s="39"/>
      <c r="AN358" s="39"/>
      <c r="AO358" s="39"/>
      <c r="AP358" s="39"/>
      <c r="AQ358" s="39"/>
      <c r="AR358" s="39"/>
      <c r="AS358" s="39"/>
      <c r="AT358" s="39"/>
      <c r="AU358" s="39"/>
      <c r="AV358" s="39"/>
      <c r="AW358" s="39"/>
      <c r="AX358" s="39"/>
      <c r="AY358" s="39"/>
      <c r="AZ358" s="39"/>
      <c r="BA358" s="39"/>
      <c r="BB358" s="39"/>
      <c r="BC358" s="39"/>
      <c r="BD358" s="39"/>
      <c r="BE358" s="39"/>
      <c r="BF358" s="39"/>
      <c r="BG358" s="39"/>
      <c r="BH358" s="39"/>
      <c r="BI358" s="39"/>
      <c r="BJ358" s="39"/>
      <c r="BK358" s="39"/>
      <c r="BL358" s="39"/>
      <c r="BM358" s="39"/>
      <c r="BN358" s="39"/>
      <c r="BO358" s="39"/>
      <c r="BP358" s="39"/>
      <c r="BQ358" s="39"/>
      <c r="BR358" s="39"/>
      <c r="BS358" s="39"/>
      <c r="BT358" s="39"/>
      <c r="BU358" s="39"/>
      <c r="BV358" s="39"/>
      <c r="BW358" s="39"/>
      <c r="BX358" s="39"/>
      <c r="BY358" s="39"/>
      <c r="BZ358" s="39"/>
      <c r="CA358" s="39"/>
      <c r="CB358" s="39"/>
      <c r="CC358" s="39"/>
      <c r="CD358" s="39"/>
      <c r="CE358" s="39"/>
      <c r="CF358" s="39"/>
      <c r="CG358" s="39"/>
      <c r="CH358" s="39"/>
      <c r="CI358" s="39"/>
      <c r="CJ358" s="39"/>
      <c r="CK358" s="39"/>
      <c r="CL358" s="39"/>
      <c r="CM358" s="39"/>
      <c r="CN358" s="39"/>
      <c r="CO358" s="39"/>
      <c r="CP358" s="39"/>
      <c r="CQ358" s="39"/>
      <c r="CR358" s="39"/>
      <c r="CS358" s="39"/>
      <c r="CT358" s="39"/>
      <c r="CU358" s="39"/>
      <c r="CV358" s="39"/>
      <c r="CW358" s="39"/>
      <c r="CX358" s="39"/>
      <c r="CY358" s="39"/>
      <c r="CZ358" s="39"/>
      <c r="DA358" s="39"/>
      <c r="DB358" s="39"/>
      <c r="DC358" s="39"/>
      <c r="DD358" s="39"/>
      <c r="DE358" s="39"/>
    </row>
    <row r="359" customFormat="false" ht="15" hidden="false" customHeight="true" outlineLevel="0" collapsed="false">
      <c r="A359" s="65"/>
      <c r="B359" s="66"/>
      <c r="C359" s="66"/>
      <c r="D359" s="66"/>
      <c r="E359" s="66"/>
      <c r="F359" s="66"/>
      <c r="G359" s="66"/>
      <c r="H359" s="66"/>
      <c r="I359" s="66"/>
      <c r="J359" s="66"/>
      <c r="K359" s="66"/>
      <c r="L359" s="66"/>
      <c r="M359" s="66"/>
      <c r="N359" s="66"/>
      <c r="O359" s="66"/>
      <c r="P359" s="66"/>
      <c r="Q359" s="66"/>
      <c r="R359" s="66"/>
      <c r="S359" s="66"/>
      <c r="T359" s="66"/>
      <c r="U359" s="66"/>
      <c r="V359" s="66"/>
      <c r="W359" s="66"/>
      <c r="X359" s="66"/>
      <c r="Y359" s="66"/>
      <c r="Z359" s="66"/>
      <c r="AA359" s="66"/>
      <c r="AB359" s="66"/>
      <c r="AC359" s="66"/>
      <c r="AD359" s="66"/>
      <c r="AE359" s="66"/>
      <c r="AF359" s="66"/>
      <c r="AG359" s="66"/>
      <c r="AH359" s="66"/>
      <c r="AI359" s="66"/>
      <c r="AJ359" s="66"/>
      <c r="AK359" s="66"/>
      <c r="AL359" s="66"/>
      <c r="AM359" s="66"/>
      <c r="AN359" s="66"/>
      <c r="AO359" s="66"/>
      <c r="AP359" s="66"/>
      <c r="AQ359" s="66"/>
      <c r="AR359" s="66"/>
      <c r="AS359" s="66"/>
      <c r="AT359" s="66"/>
      <c r="AU359" s="66"/>
      <c r="AV359" s="66"/>
      <c r="AW359" s="66"/>
      <c r="AX359" s="66"/>
      <c r="AY359" s="66"/>
      <c r="AZ359" s="66"/>
      <c r="BA359" s="66"/>
      <c r="BB359" s="66"/>
      <c r="BC359" s="66"/>
      <c r="BD359" s="66"/>
      <c r="BE359" s="66"/>
      <c r="BF359" s="66"/>
      <c r="BG359" s="66"/>
      <c r="BH359" s="66"/>
      <c r="BI359" s="66"/>
      <c r="BJ359" s="66"/>
      <c r="BK359" s="66"/>
      <c r="BL359" s="66"/>
      <c r="BM359" s="66"/>
      <c r="BN359" s="66"/>
      <c r="BO359" s="66"/>
      <c r="BP359" s="66"/>
      <c r="BQ359" s="66"/>
      <c r="BR359" s="66"/>
      <c r="BS359" s="66"/>
      <c r="BT359" s="66"/>
      <c r="BU359" s="66"/>
      <c r="BV359" s="66"/>
      <c r="BW359" s="66"/>
      <c r="BX359" s="66"/>
      <c r="BY359" s="66"/>
      <c r="BZ359" s="66"/>
      <c r="CA359" s="66"/>
      <c r="CB359" s="66"/>
      <c r="CC359" s="66"/>
      <c r="CD359" s="66"/>
      <c r="CE359" s="66"/>
      <c r="CF359" s="66"/>
      <c r="CG359" s="66"/>
      <c r="CH359" s="66"/>
      <c r="CI359" s="66"/>
      <c r="CJ359" s="66"/>
      <c r="CK359" s="66"/>
      <c r="CL359" s="66"/>
      <c r="CM359" s="66"/>
      <c r="CN359" s="66"/>
      <c r="CO359" s="66"/>
      <c r="CP359" s="66"/>
      <c r="CQ359" s="66"/>
      <c r="CR359" s="66"/>
      <c r="CS359" s="66"/>
      <c r="CT359" s="66"/>
      <c r="CU359" s="66"/>
      <c r="CV359" s="66"/>
      <c r="CW359" s="66"/>
      <c r="CX359" s="66"/>
      <c r="CY359" s="66"/>
      <c r="CZ359" s="66"/>
      <c r="DA359" s="66"/>
      <c r="DB359" s="66"/>
      <c r="DC359" s="66"/>
      <c r="DD359" s="66"/>
      <c r="DE359" s="66"/>
    </row>
    <row r="360" customFormat="false" ht="15" hidden="false" customHeight="true" outlineLevel="0" collapsed="false">
      <c r="A360" s="23" t="s">
        <v>186</v>
      </c>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4"/>
      <c r="AQ360" s="34"/>
      <c r="AR360" s="34"/>
      <c r="AS360" s="34"/>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row>
    <row r="361" customFormat="false" ht="15" hidden="false" customHeight="true" outlineLevel="0" collapsed="false">
      <c r="A361" s="22" t="s">
        <v>187</v>
      </c>
      <c r="B361" s="13"/>
      <c r="C361" s="13"/>
      <c r="D361" s="13"/>
      <c r="E361" s="13"/>
      <c r="F361" s="13"/>
      <c r="G361" s="13"/>
      <c r="H361" s="13"/>
      <c r="I361" s="13"/>
      <c r="J361" s="13"/>
      <c r="K361" s="13" t="n">
        <f aca="false">Assumptions!B29</f>
        <v>1415971</v>
      </c>
      <c r="L361" s="13" t="n">
        <f aca="false">K369</f>
        <v>1718793.99033333</v>
      </c>
      <c r="M361" s="13" t="n">
        <f aca="false">L369</f>
        <v>1878903.10516667</v>
      </c>
      <c r="N361" s="13" t="n">
        <f aca="false">M369</f>
        <v>2335079.76345215</v>
      </c>
      <c r="O361" s="13" t="n">
        <f aca="false">N369</f>
        <v>810348.55735434</v>
      </c>
      <c r="P361" s="13" t="n">
        <f aca="false">O369</f>
        <v>992897.77341301</v>
      </c>
      <c r="Q361" s="13" t="n">
        <f aca="false">P369</f>
        <v>1236104.78095263</v>
      </c>
      <c r="R361" s="13" t="n">
        <f aca="false">Q369</f>
        <v>1466827.40600587</v>
      </c>
      <c r="S361" s="13" t="n">
        <f aca="false">R369</f>
        <v>1420762.11974803</v>
      </c>
      <c r="T361" s="13" t="n">
        <f aca="false">S369</f>
        <v>1500108.0089895</v>
      </c>
      <c r="U361" s="13" t="n">
        <f aca="false">T369</f>
        <v>1490268.00482001</v>
      </c>
      <c r="V361" s="13" t="n">
        <f aca="false">U369</f>
        <v>2233668.04066032</v>
      </c>
      <c r="W361" s="13" t="n">
        <f aca="false">V369</f>
        <v>2923007.2493954</v>
      </c>
      <c r="X361" s="13" t="n">
        <f aca="false">W369</f>
        <v>3392852.73699058</v>
      </c>
      <c r="Y361" s="13" t="n">
        <f aca="false">X369</f>
        <v>3773954.1418193</v>
      </c>
      <c r="Z361" s="13" t="n">
        <f aca="false">Y369</f>
        <v>4420752.5249601</v>
      </c>
      <c r="AA361" s="13" t="n">
        <f aca="false">Z369</f>
        <v>5066452.62634089</v>
      </c>
      <c r="AB361" s="13" t="n">
        <f aca="false">AA369</f>
        <v>5903116.80722169</v>
      </c>
      <c r="AC361" s="13" t="n">
        <f aca="false">AB369</f>
        <v>6648272.56372426</v>
      </c>
      <c r="AD361" s="13" t="n">
        <f aca="false">AC369</f>
        <v>7186127.11798967</v>
      </c>
      <c r="AE361" s="13" t="n">
        <f aca="false">AD369</f>
        <v>7651102.22294738</v>
      </c>
      <c r="AF361" s="13" t="n">
        <f aca="false">AE369</f>
        <v>8153179.74878475</v>
      </c>
      <c r="AG361" s="13" t="n">
        <f aca="false">AF369</f>
        <v>8189353.23291772</v>
      </c>
      <c r="AH361" s="13" t="n">
        <f aca="false">AG369</f>
        <v>9054853.77748896</v>
      </c>
      <c r="AI361" s="13" t="n">
        <f aca="false">AH369</f>
        <v>9927180.01406438</v>
      </c>
      <c r="AJ361" s="13" t="n">
        <f aca="false">AI369</f>
        <v>10687343.8033538</v>
      </c>
      <c r="AK361" s="13" t="n">
        <f aca="false">AJ369</f>
        <v>11281253.4637048</v>
      </c>
      <c r="AL361" s="13" t="n">
        <f aca="false">AK369</f>
        <v>11562494.1244953</v>
      </c>
      <c r="AM361" s="13" t="n">
        <f aca="false">AL369</f>
        <v>11870301.2425991</v>
      </c>
      <c r="AN361" s="13" t="n">
        <f aca="false">AM369</f>
        <v>12197890.0760876</v>
      </c>
      <c r="AO361" s="13" t="n">
        <f aca="false">AN369</f>
        <v>12908270.9875755</v>
      </c>
      <c r="AP361" s="13" t="n">
        <f aca="false">AO369</f>
        <v>13358567.1222667</v>
      </c>
      <c r="AQ361" s="13" t="n">
        <f aca="false">AP369</f>
        <v>13750478.5933754</v>
      </c>
      <c r="AR361" s="13" t="n">
        <f aca="false">AQ369</f>
        <v>13991295.2327091</v>
      </c>
      <c r="AS361" s="13" t="n">
        <f aca="false">AR369</f>
        <v>14012400.8578493</v>
      </c>
      <c r="AT361" s="13" t="n">
        <f aca="false">AS369</f>
        <v>14033506.4829896</v>
      </c>
      <c r="AU361" s="13" t="n">
        <f aca="false">AT369</f>
        <v>14143835.861441</v>
      </c>
      <c r="AV361" s="13" t="n">
        <f aca="false">AU369</f>
        <v>14323998.6079516</v>
      </c>
      <c r="AW361" s="13" t="n">
        <f aca="false">AV369</f>
        <v>14502728.3920617</v>
      </c>
      <c r="AX361" s="13" t="n">
        <f aca="false">AW369</f>
        <v>14503711.1656423</v>
      </c>
      <c r="AY361" s="13" t="n">
        <f aca="false">AX369</f>
        <v>14252168.0763192</v>
      </c>
      <c r="AZ361" s="13" t="n">
        <f aca="false">AY369</f>
        <v>14000624.986996</v>
      </c>
      <c r="BA361" s="13" t="n">
        <f aca="false">AZ369</f>
        <v>13749081.8976728</v>
      </c>
      <c r="BB361" s="13" t="n">
        <f aca="false">BA369</f>
        <v>13497538.8083496</v>
      </c>
      <c r="BC361" s="13" t="n">
        <f aca="false">BB369</f>
        <v>13245995.7190264</v>
      </c>
      <c r="BD361" s="13" t="n">
        <f aca="false">BC369</f>
        <v>12994452.6297032</v>
      </c>
      <c r="BE361" s="13" t="n">
        <f aca="false">BD369</f>
        <v>12742909.5403801</v>
      </c>
      <c r="BF361" s="13" t="n">
        <f aca="false">BE369</f>
        <v>12491366.4510569</v>
      </c>
      <c r="BG361" s="13" t="n">
        <f aca="false">BF369</f>
        <v>12239823.3617337</v>
      </c>
      <c r="BH361" s="13" t="n">
        <f aca="false">BG369</f>
        <v>11988280.2724105</v>
      </c>
      <c r="BI361" s="13" t="n">
        <f aca="false">BH369</f>
        <v>11973226.6443901</v>
      </c>
      <c r="BJ361" s="13" t="n">
        <f aca="false">BI369</f>
        <v>11778502.812166</v>
      </c>
      <c r="BK361" s="13" t="n">
        <f aca="false">BJ369</f>
        <v>11369567.6690547</v>
      </c>
      <c r="BL361" s="13" t="n">
        <f aca="false">BK369</f>
        <v>10960632.5259434</v>
      </c>
      <c r="BM361" s="13" t="n">
        <f aca="false">BL369</f>
        <v>10551697.3828322</v>
      </c>
      <c r="BN361" s="13" t="n">
        <f aca="false">BM369</f>
        <v>10142762.2397209</v>
      </c>
      <c r="BO361" s="13" t="n">
        <f aca="false">BN369</f>
        <v>9733827.09660963</v>
      </c>
      <c r="BP361" s="13" t="n">
        <f aca="false">BO369</f>
        <v>9324891.95349836</v>
      </c>
      <c r="BQ361" s="13" t="n">
        <f aca="false">BP369</f>
        <v>8915956.81038709</v>
      </c>
      <c r="BR361" s="13" t="n">
        <f aca="false">BQ369</f>
        <v>8507021.66727582</v>
      </c>
      <c r="BS361" s="13" t="n">
        <f aca="false">BR369</f>
        <v>8098086.52416455</v>
      </c>
      <c r="BT361" s="13" t="n">
        <f aca="false">BS369</f>
        <v>7689151.38105328</v>
      </c>
      <c r="BU361" s="13" t="n">
        <f aca="false">BT369</f>
        <v>7280216.23794201</v>
      </c>
      <c r="BV361" s="13" t="n">
        <f aca="false">BU369</f>
        <v>6671281.09483074</v>
      </c>
      <c r="BW361" s="13" t="n">
        <f aca="false">BV369</f>
        <v>6254578.24885725</v>
      </c>
      <c r="BX361" s="13" t="n">
        <f aca="false">BW369</f>
        <v>5837875.40288375</v>
      </c>
      <c r="BY361" s="13" t="n">
        <f aca="false">BX369</f>
        <v>5421172.55691026</v>
      </c>
      <c r="BZ361" s="13" t="n">
        <f aca="false">BY369</f>
        <v>5004469.71093676</v>
      </c>
      <c r="CA361" s="13" t="n">
        <f aca="false">BZ369</f>
        <v>4587766.86496327</v>
      </c>
      <c r="CB361" s="13" t="n">
        <f aca="false">CA369</f>
        <v>4171064.01898977</v>
      </c>
      <c r="CC361" s="13" t="n">
        <f aca="false">CB369</f>
        <v>3754361.17301627</v>
      </c>
      <c r="CD361" s="13" t="n">
        <f aca="false">CC369</f>
        <v>3337658.32704278</v>
      </c>
      <c r="CE361" s="13" t="n">
        <f aca="false">CD369</f>
        <v>2920955.48106928</v>
      </c>
      <c r="CF361" s="13" t="n">
        <f aca="false">CE369</f>
        <v>2504252.63509579</v>
      </c>
      <c r="CG361" s="13" t="n">
        <f aca="false">CF369</f>
        <v>2087549.78912229</v>
      </c>
      <c r="CH361" s="13" t="n">
        <f aca="false">CG369</f>
        <v>1470846.9431488</v>
      </c>
      <c r="CI361" s="13" t="n">
        <f aca="false">CH369</f>
        <v>1046221.04025583</v>
      </c>
      <c r="CJ361" s="13" t="n">
        <f aca="false">CI369</f>
        <v>621595.137362867</v>
      </c>
      <c r="CK361" s="13" t="n">
        <f aca="false">CJ369</f>
        <v>196969.234469901</v>
      </c>
      <c r="CL361" s="13" t="n">
        <f aca="false">CK369</f>
        <v>-227656.668423064</v>
      </c>
      <c r="CM361" s="13" t="n">
        <f aca="false">CL369</f>
        <v>-652282.57131603</v>
      </c>
      <c r="CN361" s="13" t="n">
        <f aca="false">CM369</f>
        <v>-1076908.474209</v>
      </c>
      <c r="CO361" s="13" t="n">
        <f aca="false">CN369</f>
        <v>-1501534.37710196</v>
      </c>
      <c r="CP361" s="13" t="n">
        <f aca="false">CO369</f>
        <v>-1926160.27999493</v>
      </c>
      <c r="CQ361" s="13" t="n">
        <f aca="false">CP369</f>
        <v>-2350786.18288789</v>
      </c>
      <c r="CR361" s="13" t="n">
        <f aca="false">CQ369</f>
        <v>-2775412.08578086</v>
      </c>
      <c r="CS361" s="13" t="n">
        <f aca="false">CR369</f>
        <v>-3200037.98867382</v>
      </c>
      <c r="CT361" s="13" t="n">
        <f aca="false">CS369</f>
        <v>-3824663.89156679</v>
      </c>
      <c r="CU361" s="13" t="n">
        <f aca="false">CT369</f>
        <v>-4216829.20464994</v>
      </c>
      <c r="CV361" s="13" t="n">
        <f aca="false">CU369</f>
        <v>-4608994.51773309</v>
      </c>
      <c r="CW361" s="13" t="n">
        <f aca="false">CV369</f>
        <v>-5001159.83081624</v>
      </c>
      <c r="CX361" s="13" t="n">
        <f aca="false">CW369</f>
        <v>-5393325.14389939</v>
      </c>
      <c r="CY361" s="13" t="n">
        <f aca="false">CX369</f>
        <v>-5785490.45698254</v>
      </c>
      <c r="CZ361" s="13" t="n">
        <f aca="false">CY369</f>
        <v>-6177655.7700657</v>
      </c>
      <c r="DA361" s="13" t="n">
        <f aca="false">CZ369</f>
        <v>-6569821.08314885</v>
      </c>
      <c r="DB361" s="13" t="n">
        <f aca="false">DA369</f>
        <v>-6961986.396232</v>
      </c>
      <c r="DC361" s="13" t="n">
        <f aca="false">DB369</f>
        <v>-7354151.70931515</v>
      </c>
      <c r="DD361" s="13" t="n">
        <f aca="false">DC369</f>
        <v>-7746317.0223983</v>
      </c>
      <c r="DE361" s="13" t="n">
        <f aca="false">DD369</f>
        <v>-8138482.33548145</v>
      </c>
    </row>
    <row r="362" customFormat="false" ht="15" hidden="false" customHeight="true" outlineLevel="0" collapsed="false">
      <c r="A362" s="22" t="s">
        <v>188</v>
      </c>
      <c r="B362" s="13"/>
      <c r="C362" s="13"/>
      <c r="D362" s="13"/>
      <c r="E362" s="13"/>
      <c r="F362" s="13"/>
      <c r="G362" s="13"/>
      <c r="H362" s="13"/>
      <c r="I362" s="13"/>
      <c r="J362" s="13"/>
      <c r="K362" s="13" t="n">
        <f aca="false">K237</f>
        <v>103378.790333334</v>
      </c>
      <c r="L362" s="13" t="n">
        <f aca="false">L237</f>
        <v>52159.3503333338</v>
      </c>
      <c r="M362" s="13" t="n">
        <f aca="false">M237</f>
        <v>-341656.859851395</v>
      </c>
      <c r="N362" s="13" t="n">
        <f aca="false">N237</f>
        <v>240471.06871865</v>
      </c>
      <c r="O362" s="13" t="n">
        <f aca="false">O237</f>
        <v>248763.335199601</v>
      </c>
      <c r="P362" s="13" t="n">
        <f aca="false">P237</f>
        <v>300112.9551996</v>
      </c>
      <c r="Q362" s="13" t="n">
        <f aca="false">Q237</f>
        <v>34519.3803583153</v>
      </c>
      <c r="R362" s="13" t="n">
        <f aca="false">R237</f>
        <v>182841.768522535</v>
      </c>
      <c r="S362" s="13" t="n">
        <f aca="false">S237</f>
        <v>10578.0681115802</v>
      </c>
      <c r="T362" s="13" t="n">
        <f aca="false">T237</f>
        <v>720502.047621382</v>
      </c>
      <c r="U362" s="13" t="n">
        <f aca="false">U237</f>
        <v>616799.987621383</v>
      </c>
      <c r="V362" s="13" t="n">
        <f aca="false">V237</f>
        <v>536272.366339433</v>
      </c>
      <c r="W362" s="13" t="n">
        <f aca="false">W237</f>
        <v>474044.771022976</v>
      </c>
      <c r="X362" s="13" t="n">
        <f aca="false">X237</f>
        <v>847036.180435048</v>
      </c>
      <c r="Y362" s="13" t="n">
        <f aca="false">Y237</f>
        <v>526075.086885048</v>
      </c>
      <c r="Z362" s="13" t="n">
        <f aca="false">Z237</f>
        <v>813816.355125048</v>
      </c>
      <c r="AA362" s="13" t="n">
        <f aca="false">AA237</f>
        <v>723649.415125044</v>
      </c>
      <c r="AB362" s="13" t="n">
        <f aca="false">AB237</f>
        <v>585515.145125045</v>
      </c>
      <c r="AC362" s="13" t="n">
        <f aca="false">AC237</f>
        <v>493787.195509662</v>
      </c>
      <c r="AD362" s="13" t="n">
        <f aca="false">AD237</f>
        <v>541007.968201969</v>
      </c>
      <c r="AE362" s="13" t="n">
        <f aca="false">AE237</f>
        <v>-21198.9769620728</v>
      </c>
      <c r="AF362" s="13" t="n">
        <f aca="false">AF237</f>
        <v>870058.492712246</v>
      </c>
      <c r="AG362" s="13" t="n">
        <f aca="false">AG237</f>
        <v>806640.74190974</v>
      </c>
      <c r="AH362" s="13" t="n">
        <f aca="false">AH237</f>
        <v>799934.878123048</v>
      </c>
      <c r="AI362" s="13" t="n">
        <f aca="false">AI237</f>
        <v>573994.903066317</v>
      </c>
      <c r="AJ362" s="13" t="n">
        <f aca="false">AJ237</f>
        <v>522871.92246206</v>
      </c>
      <c r="AK362" s="13" t="n">
        <f aca="false">AK237</f>
        <v>159380.313670564</v>
      </c>
      <c r="AL362" s="13" t="n">
        <f aca="false">AL237</f>
        <v>364267.625275363</v>
      </c>
      <c r="AM362" s="13" t="n">
        <f aca="false">AM237</f>
        <v>382214.352659977</v>
      </c>
      <c r="AN362" s="13" t="n">
        <f aca="false">AN237</f>
        <v>388204.242264726</v>
      </c>
      <c r="AO362" s="13" t="n">
        <f aca="false">AO237</f>
        <v>275548.781662921</v>
      </c>
      <c r="AP362" s="13" t="n">
        <f aca="false">AP237</f>
        <v>260844.698938363</v>
      </c>
      <c r="AQ362" s="13" t="n">
        <f aca="false">AQ237</f>
        <v>33965.0530140927</v>
      </c>
      <c r="AR362" s="13" t="n">
        <f aca="false">AR237</f>
        <v>43580.4376294773</v>
      </c>
      <c r="AS362" s="13" t="n">
        <f aca="false">AS237</f>
        <v>43580.4376294773</v>
      </c>
      <c r="AT362" s="13" t="n">
        <f aca="false">AT237</f>
        <v>140336.553352747</v>
      </c>
      <c r="AU362" s="13" t="n">
        <f aca="false">AU237</f>
        <v>-73235.2143448211</v>
      </c>
      <c r="AV362" s="13" t="n">
        <f aca="false">AV237</f>
        <v>208865.755624063</v>
      </c>
      <c r="AW362" s="13" t="n">
        <f aca="false">AW237</f>
        <v>-436194.033786653</v>
      </c>
      <c r="AX362" s="13" t="n">
        <f aca="false">AX237</f>
        <v>-243660.107279757</v>
      </c>
      <c r="AY362" s="13" t="n">
        <f aca="false">AY237</f>
        <v>-243660.107279757</v>
      </c>
      <c r="AZ362" s="13" t="n">
        <f aca="false">AZ237</f>
        <v>-243660.107279757</v>
      </c>
      <c r="BA362" s="13" t="n">
        <f aca="false">BA237</f>
        <v>-243660.107279757</v>
      </c>
      <c r="BB362" s="13" t="n">
        <f aca="false">BB237</f>
        <v>-243660.107279757</v>
      </c>
      <c r="BC362" s="13" t="n">
        <f aca="false">BC237</f>
        <v>-243660.107279757</v>
      </c>
      <c r="BD362" s="13" t="n">
        <f aca="false">BD237</f>
        <v>-243660.107279757</v>
      </c>
      <c r="BE362" s="13" t="n">
        <f aca="false">BE237</f>
        <v>-243660.107279757</v>
      </c>
      <c r="BF362" s="13" t="n">
        <f aca="false">BF237</f>
        <v>-243660.107279757</v>
      </c>
      <c r="BG362" s="13" t="n">
        <f aca="false">BG237</f>
        <v>-243660.107279757</v>
      </c>
      <c r="BH362" s="13" t="n">
        <f aca="false">BH237</f>
        <v>5276.16777584259</v>
      </c>
      <c r="BI362" s="13" t="n">
        <f aca="false">BI237</f>
        <v>-601319.748148304</v>
      </c>
      <c r="BJ362" s="13" t="n">
        <f aca="false">BJ237</f>
        <v>-408935.14311127</v>
      </c>
      <c r="BK362" s="13" t="n">
        <f aca="false">BK237</f>
        <v>-408935.14311127</v>
      </c>
      <c r="BL362" s="13" t="n">
        <f aca="false">BL237</f>
        <v>-408935.14311127</v>
      </c>
      <c r="BM362" s="13" t="n">
        <f aca="false">BM237</f>
        <v>-408935.14311127</v>
      </c>
      <c r="BN362" s="13" t="n">
        <f aca="false">BN237</f>
        <v>-408935.14311127</v>
      </c>
      <c r="BO362" s="13" t="n">
        <f aca="false">BO237</f>
        <v>-408935.14311127</v>
      </c>
      <c r="BP362" s="13" t="n">
        <f aca="false">BP237</f>
        <v>-408935.14311127</v>
      </c>
      <c r="BQ362" s="13" t="n">
        <f aca="false">BQ237</f>
        <v>-408935.14311127</v>
      </c>
      <c r="BR362" s="13" t="n">
        <f aca="false">BR237</f>
        <v>-408935.14311127</v>
      </c>
      <c r="BS362" s="13" t="n">
        <f aca="false">BS237</f>
        <v>-408935.14311127</v>
      </c>
      <c r="BT362" s="13" t="n">
        <f aca="false">BT237</f>
        <v>-408935.14311127</v>
      </c>
      <c r="BU362" s="13" t="n">
        <f aca="false">BU237</f>
        <v>-608935.14311127</v>
      </c>
      <c r="BV362" s="13" t="n">
        <f aca="false">BV237</f>
        <v>-416702.845973495</v>
      </c>
      <c r="BW362" s="13" t="n">
        <f aca="false">BW237</f>
        <v>-416702.845973495</v>
      </c>
      <c r="BX362" s="13" t="n">
        <f aca="false">BX237</f>
        <v>-416702.845973495</v>
      </c>
      <c r="BY362" s="13" t="n">
        <f aca="false">BY237</f>
        <v>-416702.845973495</v>
      </c>
      <c r="BZ362" s="13" t="n">
        <f aca="false">BZ237</f>
        <v>-416702.845973495</v>
      </c>
      <c r="CA362" s="13" t="n">
        <f aca="false">CA237</f>
        <v>-416702.845973495</v>
      </c>
      <c r="CB362" s="13" t="n">
        <f aca="false">CB237</f>
        <v>-416702.845973495</v>
      </c>
      <c r="CC362" s="13" t="n">
        <f aca="false">CC237</f>
        <v>-416702.845973495</v>
      </c>
      <c r="CD362" s="13" t="n">
        <f aca="false">CD237</f>
        <v>-416702.845973495</v>
      </c>
      <c r="CE362" s="13" t="n">
        <f aca="false">CE237</f>
        <v>-416702.845973495</v>
      </c>
      <c r="CF362" s="13" t="n">
        <f aca="false">CF237</f>
        <v>-416702.845973495</v>
      </c>
      <c r="CG362" s="13" t="n">
        <f aca="false">CG237</f>
        <v>-616702.845973496</v>
      </c>
      <c r="CH362" s="13" t="n">
        <f aca="false">CH237</f>
        <v>-424625.902892965</v>
      </c>
      <c r="CI362" s="13" t="n">
        <f aca="false">CI237</f>
        <v>-424625.902892965</v>
      </c>
      <c r="CJ362" s="13" t="n">
        <f aca="false">CJ237</f>
        <v>-424625.902892965</v>
      </c>
      <c r="CK362" s="13" t="n">
        <f aca="false">CK237</f>
        <v>-424625.902892965</v>
      </c>
      <c r="CL362" s="13" t="n">
        <f aca="false">CL237</f>
        <v>-424625.902892965</v>
      </c>
      <c r="CM362" s="13" t="n">
        <f aca="false">CM237</f>
        <v>-424625.902892965</v>
      </c>
      <c r="CN362" s="13" t="n">
        <f aca="false">CN237</f>
        <v>-424625.902892965</v>
      </c>
      <c r="CO362" s="13" t="n">
        <f aca="false">CO237</f>
        <v>-424625.902892965</v>
      </c>
      <c r="CP362" s="13" t="n">
        <f aca="false">CP237</f>
        <v>-424625.902892965</v>
      </c>
      <c r="CQ362" s="13" t="n">
        <f aca="false">CQ237</f>
        <v>-424625.902892965</v>
      </c>
      <c r="CR362" s="13" t="n">
        <f aca="false">CR237</f>
        <v>-424625.902892965</v>
      </c>
      <c r="CS362" s="13" t="n">
        <f aca="false">CS237</f>
        <v>-624625.902892966</v>
      </c>
      <c r="CT362" s="13" t="n">
        <f aca="false">CT237</f>
        <v>-392165.313083151</v>
      </c>
      <c r="CU362" s="13" t="n">
        <f aca="false">CU237</f>
        <v>-392165.313083151</v>
      </c>
      <c r="CV362" s="13" t="n">
        <f aca="false">CV237</f>
        <v>-392165.313083151</v>
      </c>
      <c r="CW362" s="13" t="n">
        <f aca="false">CW237</f>
        <v>-392165.313083151</v>
      </c>
      <c r="CX362" s="13" t="n">
        <f aca="false">CX237</f>
        <v>-392165.313083151</v>
      </c>
      <c r="CY362" s="13" t="n">
        <f aca="false">CY237</f>
        <v>-392165.313083151</v>
      </c>
      <c r="CZ362" s="13" t="n">
        <f aca="false">CZ237</f>
        <v>-392165.313083151</v>
      </c>
      <c r="DA362" s="13" t="n">
        <f aca="false">DA237</f>
        <v>-392165.313083151</v>
      </c>
      <c r="DB362" s="13" t="n">
        <f aca="false">DB237</f>
        <v>-392165.313083151</v>
      </c>
      <c r="DC362" s="13" t="n">
        <f aca="false">DC237</f>
        <v>-392165.313083151</v>
      </c>
      <c r="DD362" s="13" t="n">
        <f aca="false">DD237</f>
        <v>-392165.313083151</v>
      </c>
      <c r="DE362" s="13" t="n">
        <f aca="false">DE237</f>
        <v>-592165.313083151</v>
      </c>
    </row>
    <row r="363" customFormat="false" ht="15" hidden="false" customHeight="true" outlineLevel="0" collapsed="false">
      <c r="A363" s="22" t="s">
        <v>189</v>
      </c>
      <c r="B363" s="13"/>
      <c r="C363" s="13"/>
      <c r="D363" s="13"/>
      <c r="E363" s="13"/>
      <c r="F363" s="13"/>
      <c r="G363" s="13"/>
      <c r="H363" s="13"/>
      <c r="I363" s="13"/>
      <c r="J363" s="13"/>
      <c r="K363" s="13" t="n">
        <v>9475819</v>
      </c>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c r="AJ363" s="13"/>
      <c r="AK363" s="13"/>
      <c r="AL363" s="13"/>
      <c r="AM363" s="13"/>
      <c r="AN363" s="13"/>
      <c r="AO363" s="13"/>
      <c r="AP363" s="13"/>
      <c r="AQ363" s="13"/>
      <c r="AR363" s="13"/>
      <c r="AS363" s="13"/>
      <c r="AT363" s="13"/>
      <c r="AU363" s="13"/>
      <c r="AV363" s="13"/>
      <c r="AW363" s="13"/>
      <c r="AX363" s="13"/>
      <c r="AY363" s="13"/>
      <c r="AZ363" s="13"/>
      <c r="BA363" s="13"/>
      <c r="BB363" s="13"/>
      <c r="BC363" s="13"/>
      <c r="BD363" s="13"/>
      <c r="BE363" s="13"/>
      <c r="BF363" s="13"/>
      <c r="BG363" s="13"/>
      <c r="BH363" s="13"/>
      <c r="BI363" s="13"/>
      <c r="BJ363" s="13"/>
      <c r="BK363" s="13"/>
      <c r="BL363" s="13"/>
      <c r="BM363" s="13"/>
      <c r="BN363" s="13"/>
      <c r="BO363" s="13"/>
      <c r="BP363" s="13"/>
      <c r="BQ363" s="13"/>
      <c r="BR363" s="13"/>
      <c r="BS363" s="13"/>
      <c r="BT363" s="13"/>
      <c r="BU363" s="13"/>
      <c r="BV363" s="13"/>
      <c r="BW363" s="13"/>
      <c r="BX363" s="13"/>
      <c r="BY363" s="13"/>
      <c r="BZ363" s="13"/>
      <c r="CA363" s="13"/>
      <c r="CB363" s="13"/>
      <c r="CC363" s="13"/>
      <c r="CD363" s="13"/>
      <c r="CE363" s="13"/>
      <c r="CF363" s="13"/>
      <c r="CG363" s="13"/>
      <c r="CH363" s="13"/>
      <c r="CI363" s="13"/>
      <c r="CJ363" s="13"/>
      <c r="CK363" s="13"/>
      <c r="CL363" s="13"/>
      <c r="CM363" s="13"/>
      <c r="CN363" s="13"/>
      <c r="CO363" s="13"/>
      <c r="CP363" s="13"/>
      <c r="CQ363" s="13"/>
      <c r="CR363" s="13"/>
      <c r="CS363" s="13"/>
      <c r="CT363" s="13"/>
      <c r="CU363" s="13"/>
      <c r="CV363" s="13"/>
      <c r="CW363" s="13"/>
      <c r="CX363" s="13"/>
      <c r="CY363" s="13"/>
      <c r="CZ363" s="13"/>
      <c r="DA363" s="13"/>
      <c r="DB363" s="13"/>
      <c r="DC363" s="13"/>
      <c r="DD363" s="13"/>
      <c r="DE363" s="13"/>
    </row>
    <row r="364" customFormat="false" ht="15" hidden="false" customHeight="true" outlineLevel="0" collapsed="false">
      <c r="A364" s="22" t="s">
        <v>190</v>
      </c>
      <c r="B364" s="13"/>
      <c r="C364" s="13"/>
      <c r="D364" s="13"/>
      <c r="E364" s="13"/>
      <c r="F364" s="13"/>
      <c r="G364" s="13"/>
      <c r="H364" s="13"/>
      <c r="I364" s="13"/>
      <c r="J364" s="13"/>
      <c r="K364" s="13" t="n">
        <f aca="false">-9427488+'Bonding Program'!$H$8+IF(K$3='Bonding Program'!$H$9,-'Bonding Program'!$H$7,0)+IF(K$3='Bonding Program'!$H$19,'Bonding Program'!$H$5,0)-IF(K$3='Bonding Program'!$H$9,'Bonding Program'!$H$5,0)</f>
        <v>-8734611.11</v>
      </c>
      <c r="L364" s="13" t="n">
        <f aca="false">IF(L$3='Bonding Program'!$H$9,-'Bonding Program'!$H$7,0)+IF(L$3='Bonding Program'!$H$19,'Bonding Program'!$H$5,0)-IF(L$3='Bonding Program'!$H$9,'Bonding Program'!$H$5,0)</f>
        <v>0</v>
      </c>
      <c r="M364" s="13" t="n">
        <f aca="false">IF(M$3='Bonding Program'!$H$9,-'Bonding Program'!$H$7,0)+IF(M$3='Bonding Program'!$H$19,'Bonding Program'!$H$5,0)-IF(M$3='Bonding Program'!$H$9,'Bonding Program'!$H$5,0)</f>
        <v>535544.173452153</v>
      </c>
      <c r="N364" s="13" t="n">
        <f aca="false">IF(N$3='Bonding Program'!$H$9,-'Bonding Program'!$H$7,0)+IF(N$3='Bonding Program'!$H$19,'Bonding Program'!$H$5,0)-IF(N$3='Bonding Program'!$H$9,'Bonding Program'!$H$5,0)</f>
        <v>-1228421.06857715</v>
      </c>
      <c r="O364" s="13" t="n">
        <f aca="false">IF(O$3='Bonding Program'!$H$9,-'Bonding Program'!$H$7,0)+IF(O$3='Bonding Program'!$H$19,'Bonding Program'!$H$5,0)-IF(O$3='Bonding Program'!$H$9,'Bonding Program'!$H$5,0)</f>
        <v>0</v>
      </c>
      <c r="P364" s="13" t="n">
        <f aca="false">IF(P$3='Bonding Program'!$H$9,-'Bonding Program'!$H$7,0)+IF(P$3='Bonding Program'!$H$19,'Bonding Program'!$H$5,0)-IF(P$3='Bonding Program'!$H$9,'Bonding Program'!$H$5,0)</f>
        <v>0</v>
      </c>
      <c r="Q364" s="13" t="n">
        <f aca="false">IF(Q$3='Bonding Program'!$H$9,-'Bonding Program'!$H$7,0)+IF(Q$3='Bonding Program'!$H$19,'Bonding Program'!$H$5,0)-IF(Q$3='Bonding Program'!$H$9,'Bonding Program'!$H$5,0)</f>
        <v>0</v>
      </c>
      <c r="R364" s="13" t="n">
        <f aca="false">IF(R$3='Bonding Program'!$H$9,-'Bonding Program'!$H$7,0)+IF(R$3='Bonding Program'!$H$19,'Bonding Program'!$H$5,0)-IF(R$3='Bonding Program'!$H$9,'Bonding Program'!$H$5,0)</f>
        <v>0</v>
      </c>
      <c r="S364" s="13" t="n">
        <f aca="false">IF(S$3='Bonding Program'!$H$9,-'Bonding Program'!$H$7,0)+IF(S$3='Bonding Program'!$H$19,'Bonding Program'!$H$5,0)-IF(S$3='Bonding Program'!$H$9,'Bonding Program'!$H$5,0)</f>
        <v>0</v>
      </c>
      <c r="T364" s="13" t="n">
        <f aca="false">IF(T$3='Bonding Program'!$H$9,-'Bonding Program'!$H$7,0)+IF(T$3='Bonding Program'!$H$19,'Bonding Program'!$H$5,0)-IF(T$3='Bonding Program'!$H$9,'Bonding Program'!$H$5,0)</f>
        <v>0</v>
      </c>
      <c r="U364" s="13" t="n">
        <f aca="false">IF(U$3='Bonding Program'!$H$9,-'Bonding Program'!$H$7,0)+IF(U$3='Bonding Program'!$H$19,'Bonding Program'!$H$5,0)-IF(U$3='Bonding Program'!$H$9,'Bonding Program'!$H$5,0)</f>
        <v>0</v>
      </c>
      <c r="V364" s="13" t="n">
        <f aca="false">IF(V$3='Bonding Program'!$H$9,-'Bonding Program'!$H$7,0)+IF(V$3='Bonding Program'!$H$19,'Bonding Program'!$H$5,0)-IF(V$3='Bonding Program'!$H$9,'Bonding Program'!$H$5,0)</f>
        <v>0</v>
      </c>
      <c r="W364" s="13" t="n">
        <f aca="false">IF(W$3='Bonding Program'!$H$9,-'Bonding Program'!$H$7,0)+IF(W$3='Bonding Program'!$H$19,'Bonding Program'!$H$5,0)-IF(W$3='Bonding Program'!$H$9,'Bonding Program'!$H$5,0)</f>
        <v>0</v>
      </c>
      <c r="X364" s="13" t="n">
        <f aca="false">IF(X$3='Bonding Program'!$H$9,-'Bonding Program'!$H$7,0)+IF(X$3='Bonding Program'!$H$19,'Bonding Program'!$H$5,0)-IF(X$3='Bonding Program'!$H$9,'Bonding Program'!$H$5,0)</f>
        <v>0</v>
      </c>
      <c r="Y364" s="13" t="n">
        <f aca="false">IF(Y$3='Bonding Program'!$H$9,-'Bonding Program'!$H$7,0)+IF(Y$3='Bonding Program'!$H$19,'Bonding Program'!$H$5,0)-IF(Y$3='Bonding Program'!$H$9,'Bonding Program'!$H$5,0)</f>
        <v>0</v>
      </c>
      <c r="Z364" s="13" t="n">
        <f aca="false">IF(Z$3='Bonding Program'!$H$9,-'Bonding Program'!$H$7,0)+IF(Z$3='Bonding Program'!$H$19,'Bonding Program'!$H$5,0)-IF(Z$3='Bonding Program'!$H$9,'Bonding Program'!$H$5,0)</f>
        <v>0</v>
      </c>
      <c r="AA364" s="13" t="n">
        <f aca="false">IF(AA$3='Bonding Program'!$H$9,-'Bonding Program'!$H$7,0)+IF(AA$3='Bonding Program'!$H$19,'Bonding Program'!$H$5,0)-IF(AA$3='Bonding Program'!$H$9,'Bonding Program'!$H$5,0)</f>
        <v>0</v>
      </c>
      <c r="AB364" s="13" t="n">
        <f aca="false">IF(AB$3='Bonding Program'!$H$9,-'Bonding Program'!$H$7,0)+IF(AB$3='Bonding Program'!$H$19,'Bonding Program'!$H$5,0)-IF(AB$3='Bonding Program'!$H$9,'Bonding Program'!$H$5,0)</f>
        <v>0</v>
      </c>
      <c r="AC364" s="13" t="n">
        <f aca="false">IF(AC$3='Bonding Program'!$H$9,-'Bonding Program'!$H$7,0)+IF(AC$3='Bonding Program'!$H$19,'Bonding Program'!$H$5,0)-IF(AC$3='Bonding Program'!$H$9,'Bonding Program'!$H$5,0)</f>
        <v>0</v>
      </c>
      <c r="AD364" s="13" t="n">
        <f aca="false">IF(AD$3='Bonding Program'!$H$9,-'Bonding Program'!$H$7,0)+IF(AD$3='Bonding Program'!$H$19,'Bonding Program'!$H$5,0)-IF(AD$3='Bonding Program'!$H$9,'Bonding Program'!$H$5,0)</f>
        <v>0</v>
      </c>
      <c r="AE364" s="13" t="n">
        <f aca="false">IF(AE$3='Bonding Program'!$H$9,-'Bonding Program'!$H$7,0)+IF(AE$3='Bonding Program'!$H$19,'Bonding Program'!$H$5,0)-IF(AE$3='Bonding Program'!$H$9,'Bonding Program'!$H$5,0)</f>
        <v>0</v>
      </c>
      <c r="AF364" s="13" t="n">
        <f aca="false">IF(AF$3='Bonding Program'!$H$9,-'Bonding Program'!$H$7,0)+IF(AF$3='Bonding Program'!$H$19,'Bonding Program'!$H$5,0)-IF(AF$3='Bonding Program'!$H$9,'Bonding Program'!$H$5,0)</f>
        <v>0</v>
      </c>
      <c r="AG364" s="13" t="n">
        <f aca="false">IF(AG$3='Bonding Program'!$H$9,-'Bonding Program'!$H$7,0)+IF(AG$3='Bonding Program'!$H$19,'Bonding Program'!$H$5,0)-IF(AG$3='Bonding Program'!$H$9,'Bonding Program'!$H$5,0)</f>
        <v>0</v>
      </c>
      <c r="AH364" s="13" t="n">
        <f aca="false">IF(AH$3='Bonding Program'!$H$9,-'Bonding Program'!$H$7,0)+IF(AH$3='Bonding Program'!$H$19,'Bonding Program'!$H$5,0)-IF(AH$3='Bonding Program'!$H$9,'Bonding Program'!$H$5,0)</f>
        <v>0</v>
      </c>
      <c r="AI364" s="13" t="n">
        <f aca="false">IF(AI$3='Bonding Program'!$H$9,-'Bonding Program'!$H$7,0)+IF(AI$3='Bonding Program'!$H$19,'Bonding Program'!$H$5,0)-IF(AI$3='Bonding Program'!$H$9,'Bonding Program'!$H$5,0)</f>
        <v>0</v>
      </c>
      <c r="AJ364" s="13" t="n">
        <f aca="false">IF(AJ$3='Bonding Program'!$H$9,-'Bonding Program'!$H$7,0)+IF(AJ$3='Bonding Program'!$H$19,'Bonding Program'!$H$5,0)-IF(AJ$3='Bonding Program'!$H$9,'Bonding Program'!$H$5,0)</f>
        <v>0</v>
      </c>
      <c r="AK364" s="13" t="n">
        <f aca="false">IF(AK$3='Bonding Program'!$H$9,-'Bonding Program'!$H$7,0)+IF(AK$3='Bonding Program'!$H$19,'Bonding Program'!$H$5,0)-IF(AK$3='Bonding Program'!$H$9,'Bonding Program'!$H$5,0)</f>
        <v>0</v>
      </c>
      <c r="AL364" s="13" t="n">
        <f aca="false">IF(AL$3='Bonding Program'!$H$9,-'Bonding Program'!$H$7,0)+IF(AL$3='Bonding Program'!$H$19,'Bonding Program'!$H$5,0)-IF(AL$3='Bonding Program'!$H$9,'Bonding Program'!$H$5,0)</f>
        <v>0</v>
      </c>
      <c r="AM364" s="13" t="n">
        <f aca="false">IF(AM$3='Bonding Program'!$H$9,-'Bonding Program'!$H$7,0)+IF(AM$3='Bonding Program'!$H$19,'Bonding Program'!$H$5,0)-IF(AM$3='Bonding Program'!$H$9,'Bonding Program'!$H$5,0)</f>
        <v>0</v>
      </c>
      <c r="AN364" s="13" t="n">
        <f aca="false">IF(AN$3='Bonding Program'!$H$9,-'Bonding Program'!$H$7,0)+IF(AN$3='Bonding Program'!$H$19,'Bonding Program'!$H$5,0)-IF(AN$3='Bonding Program'!$H$9,'Bonding Program'!$H$5,0)</f>
        <v>0</v>
      </c>
      <c r="AO364" s="13" t="n">
        <f aca="false">IF(AO$3='Bonding Program'!$H$9,-'Bonding Program'!$H$7,0)+IF(AO$3='Bonding Program'!$H$19,'Bonding Program'!$H$5,0)-IF(AO$3='Bonding Program'!$H$9,'Bonding Program'!$H$5,0)</f>
        <v>0</v>
      </c>
      <c r="AP364" s="13" t="n">
        <f aca="false">IF(AP$3='Bonding Program'!$H$9,-'Bonding Program'!$H$7,0)+IF(AP$3='Bonding Program'!$H$19,'Bonding Program'!$H$5,0)-IF(AP$3='Bonding Program'!$H$9,'Bonding Program'!$H$5,0)</f>
        <v>0</v>
      </c>
      <c r="AQ364" s="13" t="n">
        <f aca="false">IF(AQ$3='Bonding Program'!$H$9,-'Bonding Program'!$H$7,0)+IF(AQ$3='Bonding Program'!$H$19,'Bonding Program'!$H$5,0)-IF(AQ$3='Bonding Program'!$H$9,'Bonding Program'!$H$5,0)</f>
        <v>0</v>
      </c>
      <c r="AR364" s="13" t="n">
        <f aca="false">IF(AR$3='Bonding Program'!$H$9,-'Bonding Program'!$H$7,0)+IF(AR$3='Bonding Program'!$H$19,'Bonding Program'!$H$5,0)-IF(AR$3='Bonding Program'!$H$9,'Bonding Program'!$H$5,0)</f>
        <v>0</v>
      </c>
      <c r="AS364" s="13" t="n">
        <f aca="false">IF(AS$3='Bonding Program'!$H$9,-'Bonding Program'!$H$7,0)+IF(AS$3='Bonding Program'!$H$19,'Bonding Program'!$H$5,0)-IF(AS$3='Bonding Program'!$H$9,'Bonding Program'!$H$5,0)</f>
        <v>0</v>
      </c>
      <c r="AT364" s="13" t="n">
        <f aca="false">IF(AT$3='Bonding Program'!$H$9,-'Bonding Program'!$H$7,0)+IF(AT$3='Bonding Program'!$H$19,'Bonding Program'!$H$5,0)-IF(AT$3='Bonding Program'!$H$9,'Bonding Program'!$H$5,0)</f>
        <v>0</v>
      </c>
      <c r="AU364" s="13" t="n">
        <f aca="false">IF(AU$3='Bonding Program'!$H$9,-'Bonding Program'!$H$7,0)+IF(AU$3='Bonding Program'!$H$19,'Bonding Program'!$H$5,0)-IF(AU$3='Bonding Program'!$H$9,'Bonding Program'!$H$5,0)</f>
        <v>0</v>
      </c>
      <c r="AV364" s="13" t="n">
        <f aca="false">IF(AV$3='Bonding Program'!$H$9,-'Bonding Program'!$H$7,0)+IF(AV$3='Bonding Program'!$H$19,'Bonding Program'!$H$5,0)-IF(AV$3='Bonding Program'!$H$9,'Bonding Program'!$H$5,0)</f>
        <v>0</v>
      </c>
      <c r="AW364" s="13" t="n">
        <f aca="false">IF(AW$3='Bonding Program'!$H$9,-'Bonding Program'!$H$7,0)+IF(AW$3='Bonding Program'!$H$19,'Bonding Program'!$H$5,0)-IF(AW$3='Bonding Program'!$H$9,'Bonding Program'!$H$5,0)</f>
        <v>0</v>
      </c>
      <c r="AX364" s="13" t="n">
        <f aca="false">IF(AX$3='Bonding Program'!$H$9,-'Bonding Program'!$H$7,0)+IF(AX$3='Bonding Program'!$H$19,'Bonding Program'!$H$5,0)-IF(AX$3='Bonding Program'!$H$9,'Bonding Program'!$H$5,0)</f>
        <v>0</v>
      </c>
      <c r="AY364" s="13" t="n">
        <f aca="false">IF(AY$3='Bonding Program'!$H$9,-'Bonding Program'!$H$7,0)+IF(AY$3='Bonding Program'!$H$19,'Bonding Program'!$H$5,0)-IF(AY$3='Bonding Program'!$H$9,'Bonding Program'!$H$5,0)</f>
        <v>0</v>
      </c>
      <c r="AZ364" s="13" t="n">
        <f aca="false">IF(AZ$3='Bonding Program'!$H$9,-'Bonding Program'!$H$7,0)+IF(AZ$3='Bonding Program'!$H$19,'Bonding Program'!$H$5,0)-IF(AZ$3='Bonding Program'!$H$9,'Bonding Program'!$H$5,0)</f>
        <v>0</v>
      </c>
      <c r="BA364" s="13" t="n">
        <f aca="false">IF(BA$3='Bonding Program'!$H$9,-'Bonding Program'!$H$7,0)+IF(BA$3='Bonding Program'!$H$19,'Bonding Program'!$H$5,0)-IF(BA$3='Bonding Program'!$H$9,'Bonding Program'!$H$5,0)</f>
        <v>0</v>
      </c>
      <c r="BB364" s="13" t="n">
        <f aca="false">IF(BB$3='Bonding Program'!$H$9,-'Bonding Program'!$H$7,0)+IF(BB$3='Bonding Program'!$H$19,'Bonding Program'!$H$5,0)-IF(BB$3='Bonding Program'!$H$9,'Bonding Program'!$H$5,0)</f>
        <v>0</v>
      </c>
      <c r="BC364" s="13" t="n">
        <f aca="false">IF(BC$3='Bonding Program'!$H$9,-'Bonding Program'!$H$7,0)+IF(BC$3='Bonding Program'!$H$19,'Bonding Program'!$H$5,0)-IF(BC$3='Bonding Program'!$H$9,'Bonding Program'!$H$5,0)</f>
        <v>0</v>
      </c>
      <c r="BD364" s="13" t="n">
        <f aca="false">IF(BD$3='Bonding Program'!$H$9,-'Bonding Program'!$H$7,0)+IF(BD$3='Bonding Program'!$H$19,'Bonding Program'!$H$5,0)-IF(BD$3='Bonding Program'!$H$9,'Bonding Program'!$H$5,0)</f>
        <v>0</v>
      </c>
      <c r="BE364" s="13" t="n">
        <f aca="false">IF(BE$3='Bonding Program'!$H$9,-'Bonding Program'!$H$7,0)+IF(BE$3='Bonding Program'!$H$19,'Bonding Program'!$H$5,0)-IF(BE$3='Bonding Program'!$H$9,'Bonding Program'!$H$5,0)</f>
        <v>0</v>
      </c>
      <c r="BF364" s="13" t="n">
        <f aca="false">IF(BF$3='Bonding Program'!$H$9,-'Bonding Program'!$H$7,0)+IF(BF$3='Bonding Program'!$H$19,'Bonding Program'!$H$5,0)-IF(BF$3='Bonding Program'!$H$9,'Bonding Program'!$H$5,0)</f>
        <v>0</v>
      </c>
      <c r="BG364" s="13" t="n">
        <f aca="false">IF(BG$3='Bonding Program'!$H$9,-'Bonding Program'!$H$7,0)+IF(BG$3='Bonding Program'!$H$19,'Bonding Program'!$H$5,0)-IF(BG$3='Bonding Program'!$H$9,'Bonding Program'!$H$5,0)</f>
        <v>0</v>
      </c>
      <c r="BH364" s="13" t="n">
        <f aca="false">IF(BH$3='Bonding Program'!$H$9,-'Bonding Program'!$H$7,0)+IF(BH$3='Bonding Program'!$H$19,'Bonding Program'!$H$5,0)-IF(BH$3='Bonding Program'!$H$9,'Bonding Program'!$H$5,0)</f>
        <v>0</v>
      </c>
      <c r="BI364" s="13" t="n">
        <f aca="false">IF(BI$3='Bonding Program'!$H$9,-'Bonding Program'!$H$7,0)+IF(BI$3='Bonding Program'!$H$19,'Bonding Program'!$H$5,0)-IF(BI$3='Bonding Program'!$H$9,'Bonding Program'!$H$5,0)</f>
        <v>0</v>
      </c>
      <c r="BJ364" s="13" t="n">
        <f aca="false">IF(BJ$3='Bonding Program'!$H$9,-'Bonding Program'!$H$7,0)+IF(BJ$3='Bonding Program'!$H$19,'Bonding Program'!$H$5,0)-IF(BJ$3='Bonding Program'!$H$9,'Bonding Program'!$H$5,0)</f>
        <v>0</v>
      </c>
      <c r="BK364" s="13" t="n">
        <f aca="false">IF(BK$3='Bonding Program'!$H$9,-'Bonding Program'!$H$7,0)+IF(BK$3='Bonding Program'!$H$19,'Bonding Program'!$H$5,0)-IF(BK$3='Bonding Program'!$H$9,'Bonding Program'!$H$5,0)</f>
        <v>0</v>
      </c>
      <c r="BL364" s="13" t="n">
        <f aca="false">IF(BL$3='Bonding Program'!$H$9,-'Bonding Program'!$H$7,0)+IF(BL$3='Bonding Program'!$H$19,'Bonding Program'!$H$5,0)-IF(BL$3='Bonding Program'!$H$9,'Bonding Program'!$H$5,0)</f>
        <v>0</v>
      </c>
      <c r="BM364" s="13" t="n">
        <f aca="false">IF(BM$3='Bonding Program'!$H$9,-'Bonding Program'!$H$7,0)+IF(BM$3='Bonding Program'!$H$19,'Bonding Program'!$H$5,0)-IF(BM$3='Bonding Program'!$H$9,'Bonding Program'!$H$5,0)</f>
        <v>0</v>
      </c>
      <c r="BN364" s="13" t="n">
        <f aca="false">IF(BN$3='Bonding Program'!$H$9,-'Bonding Program'!$H$7,0)+IF(BN$3='Bonding Program'!$H$19,'Bonding Program'!$H$5,0)-IF(BN$3='Bonding Program'!$H$9,'Bonding Program'!$H$5,0)</f>
        <v>0</v>
      </c>
      <c r="BO364" s="13" t="n">
        <f aca="false">IF(BO$3='Bonding Program'!$H$9,-'Bonding Program'!$H$7,0)+IF(BO$3='Bonding Program'!$H$19,'Bonding Program'!$H$5,0)-IF(BO$3='Bonding Program'!$H$9,'Bonding Program'!$H$5,0)</f>
        <v>0</v>
      </c>
      <c r="BP364" s="13" t="n">
        <f aca="false">IF(BP$3='Bonding Program'!$H$9,-'Bonding Program'!$H$7,0)+IF(BP$3='Bonding Program'!$H$19,'Bonding Program'!$H$5,0)-IF(BP$3='Bonding Program'!$H$9,'Bonding Program'!$H$5,0)</f>
        <v>0</v>
      </c>
      <c r="BQ364" s="13" t="n">
        <f aca="false">IF(BQ$3='Bonding Program'!$H$9,-'Bonding Program'!$H$7,0)+IF(BQ$3='Bonding Program'!$H$19,'Bonding Program'!$H$5,0)-IF(BQ$3='Bonding Program'!$H$9,'Bonding Program'!$H$5,0)</f>
        <v>0</v>
      </c>
      <c r="BR364" s="13" t="n">
        <f aca="false">IF(BR$3='Bonding Program'!$H$9,-'Bonding Program'!$H$7,0)+IF(BR$3='Bonding Program'!$H$19,'Bonding Program'!$H$5,0)-IF(BR$3='Bonding Program'!$H$9,'Bonding Program'!$H$5,0)</f>
        <v>0</v>
      </c>
      <c r="BS364" s="13" t="n">
        <f aca="false">IF(BS$3='Bonding Program'!$H$9,-'Bonding Program'!$H$7,0)+IF(BS$3='Bonding Program'!$H$19,'Bonding Program'!$H$5,0)-IF(BS$3='Bonding Program'!$H$9,'Bonding Program'!$H$5,0)</f>
        <v>0</v>
      </c>
      <c r="BT364" s="13" t="n">
        <f aca="false">IF(BT$3='Bonding Program'!$H$9,-'Bonding Program'!$H$7,0)+IF(BT$3='Bonding Program'!$H$19,'Bonding Program'!$H$5,0)-IF(BT$3='Bonding Program'!$H$9,'Bonding Program'!$H$5,0)</f>
        <v>0</v>
      </c>
      <c r="BU364" s="13" t="n">
        <f aca="false">IF(BU$3='Bonding Program'!$H$9,-'Bonding Program'!$H$7,0)+IF(BU$3='Bonding Program'!$H$19,'Bonding Program'!$H$5,0)-IF(BU$3='Bonding Program'!$H$9,'Bonding Program'!$H$5,0)</f>
        <v>0</v>
      </c>
      <c r="BV364" s="13" t="n">
        <f aca="false">IF(BV$3='Bonding Program'!$H$9,-'Bonding Program'!$H$7,0)+IF(BV$3='Bonding Program'!$H$19,'Bonding Program'!$H$5,0)-IF(BV$3='Bonding Program'!$H$9,'Bonding Program'!$H$5,0)</f>
        <v>0</v>
      </c>
      <c r="BW364" s="13" t="n">
        <f aca="false">IF(BW$3='Bonding Program'!$H$9,-'Bonding Program'!$H$7,0)+IF(BW$3='Bonding Program'!$H$19,'Bonding Program'!$H$5,0)-IF(BW$3='Bonding Program'!$H$9,'Bonding Program'!$H$5,0)</f>
        <v>0</v>
      </c>
      <c r="BX364" s="13" t="n">
        <f aca="false">IF(BX$3='Bonding Program'!$H$9,-'Bonding Program'!$H$7,0)+IF(BX$3='Bonding Program'!$H$19,'Bonding Program'!$H$5,0)-IF(BX$3='Bonding Program'!$H$9,'Bonding Program'!$H$5,0)</f>
        <v>0</v>
      </c>
      <c r="BY364" s="13" t="n">
        <f aca="false">IF(BY$3='Bonding Program'!$H$9,-'Bonding Program'!$H$7,0)+IF(BY$3='Bonding Program'!$H$19,'Bonding Program'!$H$5,0)-IF(BY$3='Bonding Program'!$H$9,'Bonding Program'!$H$5,0)</f>
        <v>0</v>
      </c>
      <c r="BZ364" s="13" t="n">
        <f aca="false">IF(BZ$3='Bonding Program'!$H$9,-'Bonding Program'!$H$7,0)+IF(BZ$3='Bonding Program'!$H$19,'Bonding Program'!$H$5,0)-IF(BZ$3='Bonding Program'!$H$9,'Bonding Program'!$H$5,0)</f>
        <v>0</v>
      </c>
      <c r="CA364" s="13" t="n">
        <f aca="false">IF(CA$3='Bonding Program'!$H$9,-'Bonding Program'!$H$7,0)+IF(CA$3='Bonding Program'!$H$19,'Bonding Program'!$H$5,0)-IF(CA$3='Bonding Program'!$H$9,'Bonding Program'!$H$5,0)</f>
        <v>0</v>
      </c>
      <c r="CB364" s="13" t="n">
        <f aca="false">IF(CB$3='Bonding Program'!$H$9,-'Bonding Program'!$H$7,0)+IF(CB$3='Bonding Program'!$H$19,'Bonding Program'!$H$5,0)-IF(CB$3='Bonding Program'!$H$9,'Bonding Program'!$H$5,0)</f>
        <v>0</v>
      </c>
      <c r="CC364" s="13" t="n">
        <f aca="false">IF(CC$3='Bonding Program'!$H$9,-'Bonding Program'!$H$7,0)+IF(CC$3='Bonding Program'!$H$19,'Bonding Program'!$H$5,0)-IF(CC$3='Bonding Program'!$H$9,'Bonding Program'!$H$5,0)</f>
        <v>0</v>
      </c>
      <c r="CD364" s="13" t="n">
        <f aca="false">IF(CD$3='Bonding Program'!$H$9,-'Bonding Program'!$H$7,0)+IF(CD$3='Bonding Program'!$H$19,'Bonding Program'!$H$5,0)-IF(CD$3='Bonding Program'!$H$9,'Bonding Program'!$H$5,0)</f>
        <v>0</v>
      </c>
      <c r="CE364" s="13" t="n">
        <f aca="false">IF(CE$3='Bonding Program'!$H$9,-'Bonding Program'!$H$7,0)+IF(CE$3='Bonding Program'!$H$19,'Bonding Program'!$H$5,0)-IF(CE$3='Bonding Program'!$H$9,'Bonding Program'!$H$5,0)</f>
        <v>0</v>
      </c>
      <c r="CF364" s="13" t="n">
        <f aca="false">IF(CF$3='Bonding Program'!$H$9,-'Bonding Program'!$H$7,0)+IF(CF$3='Bonding Program'!$H$19,'Bonding Program'!$H$5,0)-IF(CF$3='Bonding Program'!$H$9,'Bonding Program'!$H$5,0)</f>
        <v>0</v>
      </c>
      <c r="CG364" s="13" t="n">
        <f aca="false">IF(CG$3='Bonding Program'!$H$9,-'Bonding Program'!$H$7,0)+IF(CG$3='Bonding Program'!$H$19,'Bonding Program'!$H$5,0)-IF(CG$3='Bonding Program'!$H$9,'Bonding Program'!$H$5,0)</f>
        <v>0</v>
      </c>
      <c r="CH364" s="13" t="n">
        <f aca="false">IF(CH$3='Bonding Program'!$H$9,-'Bonding Program'!$H$7,0)+IF(CH$3='Bonding Program'!$H$19,'Bonding Program'!$H$5,0)-IF(CH$3='Bonding Program'!$H$9,'Bonding Program'!$H$5,0)</f>
        <v>0</v>
      </c>
      <c r="CI364" s="13" t="n">
        <f aca="false">IF(CI$3='Bonding Program'!$H$9,-'Bonding Program'!$H$7,0)+IF(CI$3='Bonding Program'!$H$19,'Bonding Program'!$H$5,0)-IF(CI$3='Bonding Program'!$H$9,'Bonding Program'!$H$5,0)</f>
        <v>0</v>
      </c>
      <c r="CJ364" s="13" t="n">
        <f aca="false">IF(CJ$3='Bonding Program'!$H$9,-'Bonding Program'!$H$7,0)+IF(CJ$3='Bonding Program'!$H$19,'Bonding Program'!$H$5,0)-IF(CJ$3='Bonding Program'!$H$9,'Bonding Program'!$H$5,0)</f>
        <v>0</v>
      </c>
      <c r="CK364" s="13" t="n">
        <f aca="false">IF(CK$3='Bonding Program'!$H$9,-'Bonding Program'!$H$7,0)+IF(CK$3='Bonding Program'!$H$19,'Bonding Program'!$H$5,0)-IF(CK$3='Bonding Program'!$H$9,'Bonding Program'!$H$5,0)</f>
        <v>0</v>
      </c>
      <c r="CL364" s="13" t="n">
        <f aca="false">IF(CL$3='Bonding Program'!$H$9,-'Bonding Program'!$H$7,0)+IF(CL$3='Bonding Program'!$H$19,'Bonding Program'!$H$5,0)-IF(CL$3='Bonding Program'!$H$9,'Bonding Program'!$H$5,0)</f>
        <v>0</v>
      </c>
      <c r="CM364" s="13" t="n">
        <f aca="false">IF(CM$3='Bonding Program'!$H$9,-'Bonding Program'!$H$7,0)+IF(CM$3='Bonding Program'!$H$19,'Bonding Program'!$H$5,0)-IF(CM$3='Bonding Program'!$H$9,'Bonding Program'!$H$5,0)</f>
        <v>0</v>
      </c>
      <c r="CN364" s="13" t="n">
        <f aca="false">IF(CN$3='Bonding Program'!$H$9,-'Bonding Program'!$H$7,0)+IF(CN$3='Bonding Program'!$H$19,'Bonding Program'!$H$5,0)-IF(CN$3='Bonding Program'!$H$9,'Bonding Program'!$H$5,0)</f>
        <v>0</v>
      </c>
      <c r="CO364" s="13" t="n">
        <f aca="false">IF(CO$3='Bonding Program'!$H$9,-'Bonding Program'!$H$7,0)+IF(CO$3='Bonding Program'!$H$19,'Bonding Program'!$H$5,0)-IF(CO$3='Bonding Program'!$H$9,'Bonding Program'!$H$5,0)</f>
        <v>0</v>
      </c>
      <c r="CP364" s="13" t="n">
        <f aca="false">IF(CP$3='Bonding Program'!$H$9,-'Bonding Program'!$H$7,0)+IF(CP$3='Bonding Program'!$H$19,'Bonding Program'!$H$5,0)-IF(CP$3='Bonding Program'!$H$9,'Bonding Program'!$H$5,0)</f>
        <v>0</v>
      </c>
      <c r="CQ364" s="13" t="n">
        <f aca="false">IF(CQ$3='Bonding Program'!$H$9,-'Bonding Program'!$H$7,0)+IF(CQ$3='Bonding Program'!$H$19,'Bonding Program'!$H$5,0)-IF(CQ$3='Bonding Program'!$H$9,'Bonding Program'!$H$5,0)</f>
        <v>0</v>
      </c>
      <c r="CR364" s="13" t="n">
        <f aca="false">IF(CR$3='Bonding Program'!$H$9,-'Bonding Program'!$H$7,0)+IF(CR$3='Bonding Program'!$H$19,'Bonding Program'!$H$5,0)-IF(CR$3='Bonding Program'!$H$9,'Bonding Program'!$H$5,0)</f>
        <v>0</v>
      </c>
      <c r="CS364" s="13" t="n">
        <f aca="false">IF(CS$3='Bonding Program'!$H$9,-'Bonding Program'!$H$7,0)+IF(CS$3='Bonding Program'!$H$19,'Bonding Program'!$H$5,0)-IF(CS$3='Bonding Program'!$H$9,'Bonding Program'!$H$5,0)</f>
        <v>0</v>
      </c>
      <c r="CT364" s="13" t="n">
        <f aca="false">IF(CT$3='Bonding Program'!$H$9,-'Bonding Program'!$H$7,0)+IF(CT$3='Bonding Program'!$H$19,'Bonding Program'!$H$5,0)-IF(CT$3='Bonding Program'!$H$9,'Bonding Program'!$H$5,0)</f>
        <v>0</v>
      </c>
      <c r="CU364" s="13" t="n">
        <f aca="false">IF(CU$3='Bonding Program'!$H$9,-'Bonding Program'!$H$7,0)+IF(CU$3='Bonding Program'!$H$19,'Bonding Program'!$H$5,0)-IF(CU$3='Bonding Program'!$H$9,'Bonding Program'!$H$5,0)</f>
        <v>0</v>
      </c>
      <c r="CV364" s="13" t="n">
        <f aca="false">IF(CV$3='Bonding Program'!$H$9,-'Bonding Program'!$H$7,0)+IF(CV$3='Bonding Program'!$H$19,'Bonding Program'!$H$5,0)-IF(CV$3='Bonding Program'!$H$9,'Bonding Program'!$H$5,0)</f>
        <v>0</v>
      </c>
      <c r="CW364" s="13" t="n">
        <f aca="false">IF(CW$3='Bonding Program'!$H$9,-'Bonding Program'!$H$7,0)+IF(CW$3='Bonding Program'!$H$19,'Bonding Program'!$H$5,0)-IF(CW$3='Bonding Program'!$H$9,'Bonding Program'!$H$5,0)</f>
        <v>0</v>
      </c>
      <c r="CX364" s="13" t="n">
        <f aca="false">IF(CX$3='Bonding Program'!$H$9,-'Bonding Program'!$H$7,0)+IF(CX$3='Bonding Program'!$H$19,'Bonding Program'!$H$5,0)-IF(CX$3='Bonding Program'!$H$9,'Bonding Program'!$H$5,0)</f>
        <v>0</v>
      </c>
      <c r="CY364" s="13" t="n">
        <f aca="false">IF(CY$3='Bonding Program'!$H$9,-'Bonding Program'!$H$7,0)+IF(CY$3='Bonding Program'!$H$19,'Bonding Program'!$H$5,0)-IF(CY$3='Bonding Program'!$H$9,'Bonding Program'!$H$5,0)</f>
        <v>0</v>
      </c>
      <c r="CZ364" s="13" t="n">
        <f aca="false">IF(CZ$3='Bonding Program'!$H$9,-'Bonding Program'!$H$7,0)+IF(CZ$3='Bonding Program'!$H$19,'Bonding Program'!$H$5,0)-IF(CZ$3='Bonding Program'!$H$9,'Bonding Program'!$H$5,0)</f>
        <v>0</v>
      </c>
      <c r="DA364" s="13" t="n">
        <f aca="false">IF(DA$3='Bonding Program'!$H$9,-'Bonding Program'!$H$7,0)+IF(DA$3='Bonding Program'!$H$19,'Bonding Program'!$H$5,0)-IF(DA$3='Bonding Program'!$H$9,'Bonding Program'!$H$5,0)</f>
        <v>0</v>
      </c>
      <c r="DB364" s="13" t="n">
        <f aca="false">IF(DB$3='Bonding Program'!$H$9,-'Bonding Program'!$H$7,0)+IF(DB$3='Bonding Program'!$H$19,'Bonding Program'!$H$5,0)-IF(DB$3='Bonding Program'!$H$9,'Bonding Program'!$H$5,0)</f>
        <v>0</v>
      </c>
      <c r="DC364" s="13" t="n">
        <f aca="false">IF(DC$3='Bonding Program'!$H$9,-'Bonding Program'!$H$7,0)+IF(DC$3='Bonding Program'!$H$19,'Bonding Program'!$H$5,0)-IF(DC$3='Bonding Program'!$H$9,'Bonding Program'!$H$5,0)</f>
        <v>0</v>
      </c>
      <c r="DD364" s="13" t="n">
        <f aca="false">IF(DD$3='Bonding Program'!$H$9,-'Bonding Program'!$H$7,0)+IF(DD$3='Bonding Program'!$H$19,'Bonding Program'!$H$5,0)-IF(DD$3='Bonding Program'!$H$9,'Bonding Program'!$H$5,0)</f>
        <v>0</v>
      </c>
      <c r="DE364" s="13" t="n">
        <f aca="false">IF(DE$3='Bonding Program'!$H$9,-'Bonding Program'!$H$7,0)+IF(DE$3='Bonding Program'!$H$19,'Bonding Program'!$H$5,0)-IF(DE$3='Bonding Program'!$H$9,'Bonding Program'!$H$5,0)</f>
        <v>0</v>
      </c>
    </row>
    <row r="365" customFormat="false" ht="15" hidden="false" customHeight="true" outlineLevel="0" collapsed="false">
      <c r="A365" s="22" t="s">
        <v>191</v>
      </c>
      <c r="B365" s="13"/>
      <c r="C365" s="13"/>
      <c r="D365" s="13"/>
      <c r="E365" s="13"/>
      <c r="F365" s="13"/>
      <c r="G365" s="13"/>
      <c r="H365" s="13"/>
      <c r="I365" s="13"/>
      <c r="J365" s="13"/>
      <c r="K365" s="13" t="n">
        <f aca="false">-K199</f>
        <v>-506626.420000001</v>
      </c>
      <c r="L365" s="13" t="n">
        <f aca="false">K199-L199-K197-IF(K$3&lt;7,0,-SUMPRODUCT('Deal Terms'!$E$4:$E$47*('Deal Terms'!$G$4:$G$47=0),K$13:K$56+K$60:K$103))</f>
        <v>59197.2000000002</v>
      </c>
      <c r="M365" s="13" t="n">
        <f aca="false">L199-M199-L197-IF(L$3&lt;7,0,-SUMPRODUCT('Deal Terms'!$E$4:$E$47*('Deal Terms'!$G$4:$G$47=0),L$13:L$56+L$60:L$103))</f>
        <v>292375.540184729</v>
      </c>
      <c r="N365" s="13" t="n">
        <f aca="false">M199-N199-M197-IF(M$3&lt;7,0,-SUMPRODUCT('Deal Terms'!$E$4:$E$47*('Deal Terms'!$G$4:$G$47=0),M$13:M$56+M$60:M$103))</f>
        <v>-500307.756903379</v>
      </c>
      <c r="O365" s="13" t="n">
        <f aca="false">N199-O199-N197-IF(N$3&lt;7,0,-SUMPRODUCT('Deal Terms'!$E$4:$E$47*('Deal Terms'!$G$4:$G$47=0),N$13:N$56+N$60:N$103))</f>
        <v>-28806.9764809501</v>
      </c>
      <c r="P365" s="13" t="n">
        <f aca="false">O199-P199-O197-IF(O$3&lt;7,0,-SUMPRODUCT('Deal Terms'!$E$4:$E$47*('Deal Terms'!$G$4:$G$47=0),O$13:O$56+O$60:O$103))</f>
        <v>-18031.5600000001</v>
      </c>
      <c r="Q365" s="13" t="n">
        <f aca="false">P199-Q199-P197-IF(P$3&lt;7,0,-SUMPRODUCT('Deal Terms'!$E$4:$E$47*('Deal Terms'!$G$4:$G$47=0),P$13:P$56+P$60:P$103))</f>
        <v>239250.914841285</v>
      </c>
      <c r="R365" s="13" t="n">
        <f aca="false">Q199-R199-Q197-IF(Q$3&lt;7,0,-SUMPRODUCT('Deal Terms'!$E$4:$E$47*('Deal Terms'!$G$4:$G$47=0),Q$13:Q$56+Q$60:Q$103))</f>
        <v>-183650.08816422</v>
      </c>
      <c r="S365" s="13" t="n">
        <f aca="false">R199-S199-R197-IF(R$3&lt;7,0,-SUMPRODUCT('Deal Terms'!$E$4:$E$47*('Deal Terms'!$G$4:$G$47=0),R$13:R$56+R$60:R$103))</f>
        <v>97706.5504109574</v>
      </c>
      <c r="T365" s="13" t="n">
        <f aca="false">S199-T199-S197-IF(S$3&lt;7,0,-SUMPRODUCT('Deal Terms'!$E$4:$E$47*('Deal Terms'!$G$4:$G$47=0),S$13:S$56+S$60:S$103))</f>
        <v>-666290.089509803</v>
      </c>
      <c r="U365" s="13" t="n">
        <f aca="false">T199-U199-T197-IF(T$3&lt;7,0,-SUMPRODUCT('Deal Terms'!$E$4:$E$47*('Deal Terms'!$G$4:$G$47=0),T$13:T$56+T$60:T$103))</f>
        <v>104349.459999999</v>
      </c>
      <c r="V365" s="13" t="n">
        <f aca="false">U199-V199-U197-IF(U$3&lt;7,0,-SUMPRODUCT('Deal Terms'!$E$4:$E$47*('Deal Terms'!$G$4:$G$47=0),U$13:U$56+U$60:U$103))</f>
        <v>81033.4312819499</v>
      </c>
      <c r="W365" s="13" t="n">
        <f aca="false">V199-W199-V197-IF(V$3&lt;7,0,-SUMPRODUCT('Deal Terms'!$E$4:$E$47*('Deal Terms'!$G$4:$G$47=0),V$13:V$56+V$60:V$103))</f>
        <v>-30802.5046835416</v>
      </c>
      <c r="X365" s="13" t="n">
        <f aca="false">W199-X199-W197-IF(W$3&lt;7,0,-SUMPRODUCT('Deal Terms'!$E$4:$E$47*('Deal Terms'!$G$4:$G$47=0),W$13:W$56+W$60:W$103))</f>
        <v>-392915.34586207</v>
      </c>
      <c r="Y365" s="13" t="n">
        <f aca="false">X199-Y199-X197-IF(X$3&lt;7,0,-SUMPRODUCT('Deal Terms'!$E$4:$E$47*('Deal Terms'!$G$4:$G$47=0),X$13:X$56+X$60:X$103))</f>
        <v>184566.379999997</v>
      </c>
      <c r="Z365" s="13" t="n">
        <f aca="false">Y199-Z199-Y197-IF(Y$3&lt;7,0,-SUMPRODUCT('Deal Terms'!$E$4:$E$47*('Deal Terms'!$G$4:$G$47=0),Y$13:Y$56+Y$60:Y$103))</f>
        <v>-99276.8200000003</v>
      </c>
      <c r="AA365" s="13" t="n">
        <f aca="false">Z199-AA199-Z197-IF(Z$3&lt;7,0,-SUMPRODUCT('Deal Terms'!$E$4:$E$47*('Deal Terms'!$G$4:$G$47=0),Z$13:Z$56+Z$60:Z$103))</f>
        <v>91062.160000002</v>
      </c>
      <c r="AB365" s="13" t="n">
        <f aca="false">AA199-AB199-AA197-IF(AA$3&lt;7,0,-SUMPRODUCT('Deal Terms'!$E$4:$E$47*('Deal Terms'!$G$4:$G$47=0),AA$13:AA$56+AA$60:AA$103))</f>
        <v>138848.300000003</v>
      </c>
      <c r="AC365" s="13" t="n">
        <f aca="false">AB199-AC199-AB197-IF(AB$3&lt;7,0,-SUMPRODUCT('Deal Terms'!$E$4:$E$47*('Deal Terms'!$G$4:$G$47=0),AB$13:AB$56+AB$60:AB$103))</f>
        <v>96679.8899999987</v>
      </c>
      <c r="AD365" s="13" t="n">
        <f aca="false">AC199-AD199-AC197-IF(AC$3&lt;7,0,-SUMPRODUCT('Deal Terms'!$E$4:$E$47*('Deal Terms'!$G$4:$G$47=0),AC$13:AC$56+AC$60:AC$103))</f>
        <v>-22292.0300000012</v>
      </c>
      <c r="AE365" s="13" t="n">
        <f aca="false">AD199-AE199-AD197-IF(AD$3&lt;7,0,-SUMPRODUCT('Deal Terms'!$E$4:$E$47*('Deal Terms'!$G$4:$G$47=0),AD$13:AD$56+AD$60:AD$103))</f>
        <v>584454.502087119</v>
      </c>
      <c r="AF365" s="13" t="n">
        <f aca="false">AE199-AF199-AE197-IF(AE$3&lt;7,0,-SUMPRODUCT('Deal Terms'!$E$4:$E$47*('Deal Terms'!$G$4:$G$47=0),AE$13:AE$56+AE$60:AE$103))</f>
        <v>-890952.929674316</v>
      </c>
      <c r="AG365" s="13" t="n">
        <f aca="false">AF199-AG199-AF197-IF(AF$3&lt;7,0,-SUMPRODUCT('Deal Terms'!$E$4:$E$47*('Deal Terms'!$G$4:$G$47=0),AF$13:AF$56+AF$60:AF$103))</f>
        <v>66977.0969563499</v>
      </c>
      <c r="AH365" s="13" t="n">
        <f aca="false">AG199-AH199-AG197-IF(AG$3&lt;7,0,-SUMPRODUCT('Deal Terms'!$E$4:$E$47*('Deal Terms'!$G$4:$G$47=0),AG$13:AG$56+AG$60:AG$103))</f>
        <v>24035.1253251527</v>
      </c>
      <c r="AI365" s="13" t="n">
        <f aca="false">AH199-AI199-AH197-IF(AH$3&lt;7,0,-SUMPRODUCT('Deal Terms'!$E$4:$E$47*('Deal Terms'!$G$4:$G$47=0),AH$13:AH$56+AH$60:AH$103))</f>
        <v>238854.627364425</v>
      </c>
      <c r="AJ365" s="13" t="n">
        <f aca="false">AI199-AJ199-AI197-IF(AI$3&lt;7,0,-SUMPRODUCT('Deal Terms'!$E$4:$E$47*('Deal Terms'!$G$4:$G$47=0),AI$13:AI$56+AI$60:AI$103))</f>
        <v>51716.3806042513</v>
      </c>
      <c r="AK365" s="13" t="n">
        <f aca="false">AJ199-AK199-AJ197-IF(AJ$3&lt;7,0,-SUMPRODUCT('Deal Terms'!$E$4:$E$47*('Deal Terms'!$G$4:$G$47=0),AJ$13:AJ$56+AJ$60:AJ$103))</f>
        <v>163815.3587915</v>
      </c>
      <c r="AL365" s="13" t="n">
        <f aca="false">AK199-AL199-AK197-IF(AK$3&lt;7,0,-SUMPRODUCT('Deal Terms'!$E$4:$E$47*('Deal Terms'!$G$4:$G$47=0),AK$13:AK$56+AK$60:AK$103))</f>
        <v>-13801.96</v>
      </c>
      <c r="AM365" s="13" t="n">
        <f aca="false">AL199-AM199-AL197-IF(AL$3&lt;7,0,-SUMPRODUCT('Deal Terms'!$E$4:$E$47*('Deal Terms'!$G$4:$G$47=0),AL$13:AL$56+AL$60:AL$103))</f>
        <v>-11382.8199999994</v>
      </c>
      <c r="AN365" s="13" t="n">
        <f aca="false">AM199-AN199-AM197-IF(AM$3&lt;7,0,-SUMPRODUCT('Deal Terms'!$E$4:$E$47*('Deal Terms'!$G$4:$G$47=0),AM$13:AM$56+AM$60:AM$103))</f>
        <v>21398.5978952525</v>
      </c>
      <c r="AO365" s="13" t="n">
        <f aca="false">AN199-AO199-AN197-IF(AN$3&lt;7,0,-SUMPRODUCT('Deal Terms'!$E$4:$E$47*('Deal Terms'!$G$4:$G$47=0),AN$13:AN$56+AN$60:AN$103))</f>
        <v>128035.1219095</v>
      </c>
      <c r="AP365" s="13" t="n">
        <f aca="false">AO199-AP199-AO197-IF(AO$3&lt;7,0,-SUMPRODUCT('Deal Terms'!$E$4:$E$47*('Deal Terms'!$G$4:$G$47=0),AO$13:AO$56+AO$60:AO$103))</f>
        <v>37011.7750322507</v>
      </c>
      <c r="AQ365" s="13" t="n">
        <f aca="false">AP199-AQ199-AP197-IF(AP$3&lt;7,0,-SUMPRODUCT('Deal Terms'!$E$4:$E$47*('Deal Terms'!$G$4:$G$47=0),AP$13:AP$56+AP$60:AP$103))</f>
        <v>229326.398808885</v>
      </c>
      <c r="AR365" s="13" t="n">
        <f aca="false">AQ199-AR199-AQ197-IF(AQ$3&lt;7,0,-SUMPRODUCT('Deal Terms'!$E$4:$E$47*('Deal Terms'!$G$4:$G$47=0),AQ$13:AQ$56+AQ$60:AQ$103))</f>
        <v>0</v>
      </c>
      <c r="AS365" s="13" t="n">
        <f aca="false">AR199-AS199-AR197-IF(AR$3&lt;7,0,-SUMPRODUCT('Deal Terms'!$E$4:$E$47*('Deal Terms'!$G$4:$G$47=0),AR$13:AR$56+AR$60:AR$103))</f>
        <v>0</v>
      </c>
      <c r="AT365" s="13" t="n">
        <f aca="false">AS199-AT199-AS197-IF(AS$3&lt;7,0,-SUMPRODUCT('Deal Terms'!$E$4:$E$47*('Deal Terms'!$G$4:$G$47=0),AS$13:AS$56+AS$60:AS$103))</f>
        <v>-150647.248242839</v>
      </c>
      <c r="AU365" s="13" t="n">
        <f aca="false">AT199-AU199-AT197-IF(AT$3&lt;7,0,-SUMPRODUCT('Deal Terms'!$E$4:$E$47*('Deal Terms'!$G$4:$G$47=0),AT$13:AT$56+AT$60:AT$103))</f>
        <v>269909.653101753</v>
      </c>
      <c r="AV365" s="13" t="n">
        <f aca="false">AU199-AV199-AU197-IF(AU$3&lt;7,0,-SUMPRODUCT('Deal Terms'!$E$4:$E$47*('Deal Terms'!$G$4:$G$47=0),AU$13:AU$56+AU$60:AU$103))</f>
        <v>-272485.5853535</v>
      </c>
      <c r="AW365" s="13" t="n">
        <f aca="false">AV199-AW199-AV197-IF(AV$3&lt;7,0,-SUMPRODUCT('Deal Terms'!$E$4:$E$47*('Deal Terms'!$G$4:$G$47=0),AV$13:AV$56+AV$60:AV$103))</f>
        <v>445059.789410717</v>
      </c>
      <c r="AX365" s="13" t="n">
        <f aca="false">AW199-AX199-AW197-IF(AW$3&lt;7,0,-SUMPRODUCT('Deal Terms'!$E$4:$E$47*('Deal Terms'!$G$4:$G$47=0),AW$13:AW$56+AW$60:AW$103))</f>
        <v>0</v>
      </c>
      <c r="AY365" s="13" t="n">
        <f aca="false">AX199-AY199-AX197-IF(AX$3&lt;7,0,-SUMPRODUCT('Deal Terms'!$E$4:$E$47*('Deal Terms'!$G$4:$G$47=0),AX$13:AX$56+AX$60:AX$103))</f>
        <v>0</v>
      </c>
      <c r="AZ365" s="13" t="n">
        <f aca="false">AY199-AZ199-AY197-IF(AY$3&lt;7,0,-SUMPRODUCT('Deal Terms'!$E$4:$E$47*('Deal Terms'!$G$4:$G$47=0),AY$13:AY$56+AY$60:AY$103))</f>
        <v>0</v>
      </c>
      <c r="BA365" s="13" t="n">
        <f aca="false">AZ199-BA199-AZ197-IF(AZ$3&lt;7,0,-SUMPRODUCT('Deal Terms'!$E$4:$E$47*('Deal Terms'!$G$4:$G$47=0),AZ$13:AZ$56+AZ$60:AZ$103))</f>
        <v>0</v>
      </c>
      <c r="BB365" s="13" t="n">
        <f aca="false">BA199-BB199-BA197-IF(BA$3&lt;7,0,-SUMPRODUCT('Deal Terms'!$E$4:$E$47*('Deal Terms'!$G$4:$G$47=0),BA$13:BA$56+BA$60:BA$103))</f>
        <v>0</v>
      </c>
      <c r="BC365" s="13" t="n">
        <f aca="false">BB199-BC199-BB197-IF(BB$3&lt;7,0,-SUMPRODUCT('Deal Terms'!$E$4:$E$47*('Deal Terms'!$G$4:$G$47=0),BB$13:BB$56+BB$60:BB$103))</f>
        <v>0</v>
      </c>
      <c r="BD365" s="13" t="n">
        <f aca="false">BC199-BD199-BC197-IF(BC$3&lt;7,0,-SUMPRODUCT('Deal Terms'!$E$4:$E$47*('Deal Terms'!$G$4:$G$47=0),BC$13:BC$56+BC$60:BC$103))</f>
        <v>0</v>
      </c>
      <c r="BE365" s="13" t="n">
        <f aca="false">BD199-BE199-BD197-IF(BD$3&lt;7,0,-SUMPRODUCT('Deal Terms'!$E$4:$E$47*('Deal Terms'!$G$4:$G$47=0),BD$13:BD$56+BD$60:BD$103))</f>
        <v>0</v>
      </c>
      <c r="BF365" s="13" t="n">
        <f aca="false">BE199-BF199-BE197-IF(BE$3&lt;7,0,-SUMPRODUCT('Deal Terms'!$E$4:$E$47*('Deal Terms'!$G$4:$G$47=0),BE$13:BE$56+BE$60:BE$103))</f>
        <v>0</v>
      </c>
      <c r="BG365" s="13" t="n">
        <f aca="false">BF199-BG199-BF197-IF(BF$3&lt;7,0,-SUMPRODUCT('Deal Terms'!$E$4:$E$47*('Deal Terms'!$G$4:$G$47=0),BF$13:BF$56+BF$60:BF$103))</f>
        <v>0</v>
      </c>
      <c r="BH365" s="13" t="n">
        <f aca="false">BG199-BH199-BG197-IF(BG$3&lt;7,0,-SUMPRODUCT('Deal Terms'!$E$4:$E$47*('Deal Terms'!$G$4:$G$47=0),BG$13:BG$56+BG$60:BG$103))</f>
        <v>-248936.2750556</v>
      </c>
      <c r="BI365" s="13" t="n">
        <f aca="false">BH199-BI199-BH197-IF(BH$3&lt;7,0,-SUMPRODUCT('Deal Terms'!$E$4:$E$47*('Deal Terms'!$G$4:$G$47=0),BH$13:BH$56+BH$60:BH$103))</f>
        <v>406595.915924147</v>
      </c>
      <c r="BJ365" s="13" t="n">
        <f aca="false">BI199-BJ199-BI197-IF(BI$3&lt;7,0,-SUMPRODUCT('Deal Terms'!$E$4:$E$47*('Deal Terms'!$G$4:$G$47=0),BI$13:BI$56+BI$60:BI$103))</f>
        <v>0</v>
      </c>
      <c r="BK365" s="13" t="n">
        <f aca="false">BJ199-BK199-BJ197-IF(BJ$3&lt;7,0,-SUMPRODUCT('Deal Terms'!$E$4:$E$47*('Deal Terms'!$G$4:$G$47=0),BJ$13:BJ$56+BJ$60:BJ$103))</f>
        <v>0</v>
      </c>
      <c r="BL365" s="13" t="n">
        <f aca="false">BK199-BL199-BK197-IF(BK$3&lt;7,0,-SUMPRODUCT('Deal Terms'!$E$4:$E$47*('Deal Terms'!$G$4:$G$47=0),BK$13:BK$56+BK$60:BK$103))</f>
        <v>0</v>
      </c>
      <c r="BM365" s="13" t="n">
        <f aca="false">BL199-BM199-BL197-IF(BL$3&lt;7,0,-SUMPRODUCT('Deal Terms'!$E$4:$E$47*('Deal Terms'!$G$4:$G$47=0),BL$13:BL$56+BL$60:BL$103))</f>
        <v>0</v>
      </c>
      <c r="BN365" s="13" t="n">
        <f aca="false">BM199-BN199-BM197-IF(BM$3&lt;7,0,-SUMPRODUCT('Deal Terms'!$E$4:$E$47*('Deal Terms'!$G$4:$G$47=0),BM$13:BM$56+BM$60:BM$103))</f>
        <v>0</v>
      </c>
      <c r="BO365" s="13" t="n">
        <f aca="false">BN199-BO199-BN197-IF(BN$3&lt;7,0,-SUMPRODUCT('Deal Terms'!$E$4:$E$47*('Deal Terms'!$G$4:$G$47=0),BN$13:BN$56+BN$60:BN$103))</f>
        <v>0</v>
      </c>
      <c r="BP365" s="13" t="n">
        <f aca="false">BO199-BP199-BO197-IF(BO$3&lt;7,0,-SUMPRODUCT('Deal Terms'!$E$4:$E$47*('Deal Terms'!$G$4:$G$47=0),BO$13:BO$56+BO$60:BO$103))</f>
        <v>0</v>
      </c>
      <c r="BQ365" s="13" t="n">
        <f aca="false">BP199-BQ199-BP197-IF(BP$3&lt;7,0,-SUMPRODUCT('Deal Terms'!$E$4:$E$47*('Deal Terms'!$G$4:$G$47=0),BP$13:BP$56+BP$60:BP$103))</f>
        <v>0</v>
      </c>
      <c r="BR365" s="13" t="n">
        <f aca="false">BQ199-BR199-BQ197-IF(BQ$3&lt;7,0,-SUMPRODUCT('Deal Terms'!$E$4:$E$47*('Deal Terms'!$G$4:$G$47=0),BQ$13:BQ$56+BQ$60:BQ$103))</f>
        <v>0</v>
      </c>
      <c r="BS365" s="13" t="n">
        <f aca="false">BR199-BS199-BR197-IF(BR$3&lt;7,0,-SUMPRODUCT('Deal Terms'!$E$4:$E$47*('Deal Terms'!$G$4:$G$47=0),BR$13:BR$56+BR$60:BR$103))</f>
        <v>0</v>
      </c>
      <c r="BT365" s="13" t="n">
        <f aca="false">BS199-BT199-BS197-IF(BS$3&lt;7,0,-SUMPRODUCT('Deal Terms'!$E$4:$E$47*('Deal Terms'!$G$4:$G$47=0),BS$13:BS$56+BS$60:BS$103))</f>
        <v>0</v>
      </c>
      <c r="BU365" s="13" t="n">
        <f aca="false">BT199-BU199-BT197-IF(BT$3&lt;7,0,-SUMPRODUCT('Deal Terms'!$E$4:$E$47*('Deal Terms'!$G$4:$G$47=0),BT$13:BT$56+BT$60:BT$103))</f>
        <v>0</v>
      </c>
      <c r="BV365" s="13" t="n">
        <f aca="false">BU199-BV199-BU197-IF(BU$3&lt;7,0,-SUMPRODUCT('Deal Terms'!$E$4:$E$47*('Deal Terms'!$G$4:$G$47=0),BU$13:BU$56+BU$60:BU$103))</f>
        <v>0</v>
      </c>
      <c r="BW365" s="13" t="n">
        <f aca="false">BV199-BW199-BV197-IF(BV$3&lt;7,0,-SUMPRODUCT('Deal Terms'!$E$4:$E$47*('Deal Terms'!$G$4:$G$47=0),BV$13:BV$56+BV$60:BV$103))</f>
        <v>0</v>
      </c>
      <c r="BX365" s="13" t="n">
        <f aca="false">BW199-BX199-BW197-IF(BW$3&lt;7,0,-SUMPRODUCT('Deal Terms'!$E$4:$E$47*('Deal Terms'!$G$4:$G$47=0),BW$13:BW$56+BW$60:BW$103))</f>
        <v>0</v>
      </c>
      <c r="BY365" s="13" t="n">
        <f aca="false">BX199-BY199-BX197-IF(BX$3&lt;7,0,-SUMPRODUCT('Deal Terms'!$E$4:$E$47*('Deal Terms'!$G$4:$G$47=0),BX$13:BX$56+BX$60:BX$103))</f>
        <v>0</v>
      </c>
      <c r="BZ365" s="13" t="n">
        <f aca="false">BY199-BZ199-BY197-IF(BY$3&lt;7,0,-SUMPRODUCT('Deal Terms'!$E$4:$E$47*('Deal Terms'!$G$4:$G$47=0),BY$13:BY$56+BY$60:BY$103))</f>
        <v>0</v>
      </c>
      <c r="CA365" s="13" t="n">
        <f aca="false">BZ199-CA199-BZ197-IF(BZ$3&lt;7,0,-SUMPRODUCT('Deal Terms'!$E$4:$E$47*('Deal Terms'!$G$4:$G$47=0),BZ$13:BZ$56+BZ$60:BZ$103))</f>
        <v>0</v>
      </c>
      <c r="CB365" s="13" t="n">
        <f aca="false">CA199-CB199-CA197-IF(CA$3&lt;7,0,-SUMPRODUCT('Deal Terms'!$E$4:$E$47*('Deal Terms'!$G$4:$G$47=0),CA$13:CA$56+CA$60:CA$103))</f>
        <v>0</v>
      </c>
      <c r="CC365" s="13" t="n">
        <f aca="false">CB199-CC199-CB197-IF(CB$3&lt;7,0,-SUMPRODUCT('Deal Terms'!$E$4:$E$47*('Deal Terms'!$G$4:$G$47=0),CB$13:CB$56+CB$60:CB$103))</f>
        <v>0</v>
      </c>
      <c r="CD365" s="13" t="n">
        <f aca="false">CC199-CD199-CC197-IF(CC$3&lt;7,0,-SUMPRODUCT('Deal Terms'!$E$4:$E$47*('Deal Terms'!$G$4:$G$47=0),CC$13:CC$56+CC$60:CC$103))</f>
        <v>0</v>
      </c>
      <c r="CE365" s="13" t="n">
        <f aca="false">CD199-CE199-CD197-IF(CD$3&lt;7,0,-SUMPRODUCT('Deal Terms'!$E$4:$E$47*('Deal Terms'!$G$4:$G$47=0),CD$13:CD$56+CD$60:CD$103))</f>
        <v>0</v>
      </c>
      <c r="CF365" s="13" t="n">
        <f aca="false">CE199-CF199-CE197-IF(CE$3&lt;7,0,-SUMPRODUCT('Deal Terms'!$E$4:$E$47*('Deal Terms'!$G$4:$G$47=0),CE$13:CE$56+CE$60:CE$103))</f>
        <v>0</v>
      </c>
      <c r="CG365" s="13" t="n">
        <f aca="false">CF199-CG199-CF197-IF(CF$3&lt;7,0,-SUMPRODUCT('Deal Terms'!$E$4:$E$47*('Deal Terms'!$G$4:$G$47=0),CF$13:CF$56+CF$60:CF$103))</f>
        <v>0</v>
      </c>
      <c r="CH365" s="13" t="n">
        <f aca="false">CG199-CH199-CG197-IF(CG$3&lt;7,0,-SUMPRODUCT('Deal Terms'!$E$4:$E$47*('Deal Terms'!$G$4:$G$47=0),CG$13:CG$56+CG$60:CG$103))</f>
        <v>0</v>
      </c>
      <c r="CI365" s="13" t="n">
        <f aca="false">CH199-CI199-CH197-IF(CH$3&lt;7,0,-SUMPRODUCT('Deal Terms'!$E$4:$E$47*('Deal Terms'!$G$4:$G$47=0),CH$13:CH$56+CH$60:CH$103))</f>
        <v>0</v>
      </c>
      <c r="CJ365" s="13" t="n">
        <f aca="false">CI199-CJ199-CI197-IF(CI$3&lt;7,0,-SUMPRODUCT('Deal Terms'!$E$4:$E$47*('Deal Terms'!$G$4:$G$47=0),CI$13:CI$56+CI$60:CI$103))</f>
        <v>0</v>
      </c>
      <c r="CK365" s="13" t="n">
        <f aca="false">CJ199-CK199-CJ197-IF(CJ$3&lt;7,0,-SUMPRODUCT('Deal Terms'!$E$4:$E$47*('Deal Terms'!$G$4:$G$47=0),CJ$13:CJ$56+CJ$60:CJ$103))</f>
        <v>0</v>
      </c>
      <c r="CL365" s="13" t="n">
        <f aca="false">CK199-CL199-CK197-IF(CK$3&lt;7,0,-SUMPRODUCT('Deal Terms'!$E$4:$E$47*('Deal Terms'!$G$4:$G$47=0),CK$13:CK$56+CK$60:CK$103))</f>
        <v>0</v>
      </c>
      <c r="CM365" s="13" t="n">
        <f aca="false">CL199-CM199-CL197-IF(CL$3&lt;7,0,-SUMPRODUCT('Deal Terms'!$E$4:$E$47*('Deal Terms'!$G$4:$G$47=0),CL$13:CL$56+CL$60:CL$103))</f>
        <v>0</v>
      </c>
      <c r="CN365" s="13" t="n">
        <f aca="false">CM199-CN199-CM197-IF(CM$3&lt;7,0,-SUMPRODUCT('Deal Terms'!$E$4:$E$47*('Deal Terms'!$G$4:$G$47=0),CM$13:CM$56+CM$60:CM$103))</f>
        <v>0</v>
      </c>
      <c r="CO365" s="13" t="n">
        <f aca="false">CN199-CO199-CN197-IF(CN$3&lt;7,0,-SUMPRODUCT('Deal Terms'!$E$4:$E$47*('Deal Terms'!$G$4:$G$47=0),CN$13:CN$56+CN$60:CN$103))</f>
        <v>0</v>
      </c>
      <c r="CP365" s="13" t="n">
        <f aca="false">CO199-CP199-CO197-IF(CO$3&lt;7,0,-SUMPRODUCT('Deal Terms'!$E$4:$E$47*('Deal Terms'!$G$4:$G$47=0),CO$13:CO$56+CO$60:CO$103))</f>
        <v>0</v>
      </c>
      <c r="CQ365" s="13" t="n">
        <f aca="false">CP199-CQ199-CP197-IF(CP$3&lt;7,0,-SUMPRODUCT('Deal Terms'!$E$4:$E$47*('Deal Terms'!$G$4:$G$47=0),CP$13:CP$56+CP$60:CP$103))</f>
        <v>0</v>
      </c>
      <c r="CR365" s="13" t="n">
        <f aca="false">CQ199-CR199-CQ197-IF(CQ$3&lt;7,0,-SUMPRODUCT('Deal Terms'!$E$4:$E$47*('Deal Terms'!$G$4:$G$47=0),CQ$13:CQ$56+CQ$60:CQ$103))</f>
        <v>0</v>
      </c>
      <c r="CS365" s="13" t="n">
        <f aca="false">CR199-CS199-CR197-IF(CR$3&lt;7,0,-SUMPRODUCT('Deal Terms'!$E$4:$E$47*('Deal Terms'!$G$4:$G$47=0),CR$13:CR$56+CR$60:CR$103))</f>
        <v>0</v>
      </c>
      <c r="CT365" s="13" t="n">
        <f aca="false">CS199-CT199-CS197-IF(CS$3&lt;7,0,-SUMPRODUCT('Deal Terms'!$E$4:$E$47*('Deal Terms'!$G$4:$G$47=0),CS$13:CS$56+CS$60:CS$103))</f>
        <v>0</v>
      </c>
      <c r="CU365" s="13" t="n">
        <f aca="false">CT199-CU199-CT197-IF(CT$3&lt;7,0,-SUMPRODUCT('Deal Terms'!$E$4:$E$47*('Deal Terms'!$G$4:$G$47=0),CT$13:CT$56+CT$60:CT$103))</f>
        <v>0</v>
      </c>
      <c r="CV365" s="13" t="n">
        <f aca="false">CU199-CV199-CU197-IF(CU$3&lt;7,0,-SUMPRODUCT('Deal Terms'!$E$4:$E$47*('Deal Terms'!$G$4:$G$47=0),CU$13:CU$56+CU$60:CU$103))</f>
        <v>0</v>
      </c>
      <c r="CW365" s="13" t="n">
        <f aca="false">CV199-CW199-CV197-IF(CV$3&lt;7,0,-SUMPRODUCT('Deal Terms'!$E$4:$E$47*('Deal Terms'!$G$4:$G$47=0),CV$13:CV$56+CV$60:CV$103))</f>
        <v>0</v>
      </c>
      <c r="CX365" s="13" t="n">
        <f aca="false">CW199-CX199-CW197-IF(CW$3&lt;7,0,-SUMPRODUCT('Deal Terms'!$E$4:$E$47*('Deal Terms'!$G$4:$G$47=0),CW$13:CW$56+CW$60:CW$103))</f>
        <v>0</v>
      </c>
      <c r="CY365" s="13" t="n">
        <f aca="false">CX199-CY199-CX197-IF(CX$3&lt;7,0,-SUMPRODUCT('Deal Terms'!$E$4:$E$47*('Deal Terms'!$G$4:$G$47=0),CX$13:CX$56+CX$60:CX$103))</f>
        <v>0</v>
      </c>
      <c r="CZ365" s="13" t="n">
        <f aca="false">CY199-CZ199-CY197-IF(CY$3&lt;7,0,-SUMPRODUCT('Deal Terms'!$E$4:$E$47*('Deal Terms'!$G$4:$G$47=0),CY$13:CY$56+CY$60:CY$103))</f>
        <v>0</v>
      </c>
      <c r="DA365" s="13" t="n">
        <f aca="false">CZ199-DA199-CZ197-IF(CZ$3&lt;7,0,-SUMPRODUCT('Deal Terms'!$E$4:$E$47*('Deal Terms'!$G$4:$G$47=0),CZ$13:CZ$56+CZ$60:CZ$103))</f>
        <v>0</v>
      </c>
      <c r="DB365" s="13" t="n">
        <f aca="false">DA199-DB199-DA197-IF(DA$3&lt;7,0,-SUMPRODUCT('Deal Terms'!$E$4:$E$47*('Deal Terms'!$G$4:$G$47=0),DA$13:DA$56+DA$60:DA$103))</f>
        <v>0</v>
      </c>
      <c r="DC365" s="13" t="n">
        <f aca="false">DB199-DC199-DB197-IF(DB$3&lt;7,0,-SUMPRODUCT('Deal Terms'!$E$4:$E$47*('Deal Terms'!$G$4:$G$47=0),DB$13:DB$56+DB$60:DB$103))</f>
        <v>0</v>
      </c>
      <c r="DD365" s="13" t="n">
        <f aca="false">DC199-DD199-DC197-IF(DC$3&lt;7,0,-SUMPRODUCT('Deal Terms'!$E$4:$E$47*('Deal Terms'!$G$4:$G$47=0),DC$13:DC$56+DC$60:DC$103))</f>
        <v>0</v>
      </c>
      <c r="DE365" s="13" t="n">
        <f aca="false">DD199-DE199-DD197-IF(DD$3&lt;7,0,-SUMPRODUCT('Deal Terms'!$E$4:$E$47*('Deal Terms'!$G$4:$G$47=0),DD$13:DD$56+DD$60:DD$103))</f>
        <v>0</v>
      </c>
    </row>
    <row r="366" customFormat="false" ht="15" hidden="false" customHeight="true" outlineLevel="0" collapsed="false">
      <c r="A366" s="22" t="s">
        <v>192</v>
      </c>
      <c r="B366" s="13"/>
      <c r="C366" s="13"/>
      <c r="D366" s="13"/>
      <c r="E366" s="13"/>
      <c r="F366" s="13"/>
      <c r="G366" s="13"/>
      <c r="H366" s="13"/>
      <c r="I366" s="13"/>
      <c r="J366" s="13"/>
      <c r="K366" s="13" t="n">
        <v>0</v>
      </c>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c r="AJ366" s="13"/>
      <c r="AK366" s="13"/>
      <c r="AL366" s="13"/>
      <c r="AM366" s="13"/>
      <c r="AN366" s="13"/>
      <c r="AO366" s="13"/>
      <c r="AP366" s="13"/>
      <c r="AQ366" s="13"/>
      <c r="AR366" s="13"/>
      <c r="AS366" s="13"/>
      <c r="AT366" s="13"/>
      <c r="AU366" s="13"/>
      <c r="AV366" s="13"/>
      <c r="AW366" s="13"/>
      <c r="AX366" s="13"/>
      <c r="AY366" s="13"/>
      <c r="AZ366" s="13"/>
      <c r="BA366" s="13"/>
      <c r="BB366" s="13"/>
      <c r="BC366" s="13"/>
      <c r="BD366" s="13"/>
      <c r="BE366" s="13"/>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13"/>
      <c r="CJ366" s="13"/>
      <c r="CK366" s="13"/>
      <c r="CL366" s="13"/>
      <c r="CM366" s="13"/>
      <c r="CN366" s="13"/>
      <c r="CO366" s="13"/>
      <c r="CP366" s="13"/>
      <c r="CQ366" s="13"/>
      <c r="CR366" s="13"/>
      <c r="CS366" s="13"/>
      <c r="CT366" s="13"/>
      <c r="CU366" s="13"/>
      <c r="CV366" s="13"/>
      <c r="CW366" s="13"/>
      <c r="CX366" s="13"/>
      <c r="CY366" s="13"/>
      <c r="CZ366" s="13"/>
      <c r="DA366" s="13"/>
      <c r="DB366" s="13"/>
      <c r="DC366" s="13"/>
      <c r="DD366" s="13"/>
      <c r="DE366" s="13"/>
    </row>
    <row r="367" customFormat="false" ht="15" hidden="false" customHeight="true" outlineLevel="0" collapsed="false">
      <c r="A367" s="22" t="s">
        <v>193</v>
      </c>
      <c r="B367" s="13"/>
      <c r="C367" s="13"/>
      <c r="D367" s="13"/>
      <c r="E367" s="13"/>
      <c r="F367" s="13"/>
      <c r="G367" s="13"/>
      <c r="H367" s="13"/>
      <c r="I367" s="13"/>
      <c r="J367" s="13"/>
      <c r="K367" s="13" t="n">
        <f aca="false">-0.05*(K10+K11)</f>
        <v>-35137.27</v>
      </c>
      <c r="L367" s="13" t="n">
        <f aca="false">-0.05*(L10+L11)</f>
        <v>-28437.9935</v>
      </c>
      <c r="M367" s="13" t="n">
        <f aca="false">-0.05*(M10+M11)</f>
        <v>-30086.1955</v>
      </c>
      <c r="N367" s="13" t="n">
        <f aca="false">-0.05*(N10+N11)</f>
        <v>-36473.4493359325</v>
      </c>
      <c r="O367" s="13" t="n">
        <f aca="false">-0.05*(O10+O11)</f>
        <v>-37407.14265998</v>
      </c>
      <c r="P367" s="13" t="n">
        <f aca="false">-0.05*(P10+P11)</f>
        <v>-38874.38765998</v>
      </c>
      <c r="Q367" s="13" t="n">
        <f aca="false">-0.05*(Q10+Q11)</f>
        <v>-43047.670146364</v>
      </c>
      <c r="R367" s="13" t="n">
        <f aca="false">-0.05*(R10+R11)</f>
        <v>-45256.9666161515</v>
      </c>
      <c r="S367" s="13" t="n">
        <f aca="false">-0.05*(S10+S11)</f>
        <v>-59366.2127810691</v>
      </c>
      <c r="T367" s="13" t="n">
        <f aca="false">-0.05*(T10+T11)</f>
        <v>-64051.9622810691</v>
      </c>
      <c r="U367" s="13" t="n">
        <f aca="false">-0.05*(U10+U11)</f>
        <v>-58564.9397810691</v>
      </c>
      <c r="V367" s="13" t="n">
        <f aca="false">-0.05*(V10+V11)</f>
        <v>-65419.3808863066</v>
      </c>
      <c r="W367" s="13" t="n">
        <f aca="false">-0.05*(W10+W11)</f>
        <v>-65634.6457442524</v>
      </c>
      <c r="X367" s="13" t="n">
        <f aca="false">-0.05*(X10+X11)</f>
        <v>-73019.4297442523</v>
      </c>
      <c r="Y367" s="13" t="n">
        <f aca="false">-0.05*(Y10+Y11)</f>
        <v>-63843.0837442523</v>
      </c>
      <c r="Z367" s="13" t="n">
        <f aca="false">-0.05*(Z10+Z11)</f>
        <v>-68839.4337442524</v>
      </c>
      <c r="AA367" s="13" t="n">
        <f aca="false">-0.05*(AA10+AA11)</f>
        <v>-64331.0867442523</v>
      </c>
      <c r="AB367" s="13" t="n">
        <f aca="false">-0.05*(AB10+AB11)</f>
        <v>-57424.3732442523</v>
      </c>
      <c r="AC367" s="13" t="n">
        <f aca="false">-0.05*(AC10+AC11)</f>
        <v>-52612.5312442523</v>
      </c>
      <c r="AD367" s="13" t="n">
        <f aca="false">-0.05*(AD10+AD11)</f>
        <v>-53740.8332442523</v>
      </c>
      <c r="AE367" s="13" t="n">
        <f aca="false">-0.05*(AE10+AE11)</f>
        <v>-61177.9992876797</v>
      </c>
      <c r="AF367" s="13" t="n">
        <f aca="false">-0.05*(AF10+AF11)</f>
        <v>-69097.2056236122</v>
      </c>
      <c r="AG367" s="13" t="n">
        <f aca="false">-0.05*(AG10+AG11)</f>
        <v>-65767.1807757947</v>
      </c>
      <c r="AH367" s="13" t="n">
        <f aca="false">-0.05*(AH10+AH11)</f>
        <v>-64598.1245095372</v>
      </c>
      <c r="AI367" s="13" t="n">
        <f aca="false">-0.05*(AI10+AI11)</f>
        <v>-52685.7411413156</v>
      </c>
      <c r="AJ367" s="13" t="n">
        <f aca="false">-0.05*(AJ10+AJ11)</f>
        <v>-50129.5921111032</v>
      </c>
      <c r="AK367" s="13" t="n">
        <f aca="false">-0.05*(AK10+AK11)</f>
        <v>-41955.0116715282</v>
      </c>
      <c r="AL367" s="13" t="n">
        <f aca="false">-0.05*(AL10+AL11)</f>
        <v>-42658.5471715282</v>
      </c>
      <c r="AM367" s="13" t="n">
        <f aca="false">-0.05*(AM10+AM11)</f>
        <v>-43242.6991715282</v>
      </c>
      <c r="AN367" s="13" t="n">
        <f aca="false">-0.05*(AN10+AN11)</f>
        <v>-42189.0867767657</v>
      </c>
      <c r="AO367" s="13" t="n">
        <f aca="false">-0.05*(AO10+AO11)</f>
        <v>-35791.7211812906</v>
      </c>
      <c r="AP367" s="13" t="n">
        <f aca="false">-0.05*(AP10+AP11)</f>
        <v>-33941.1324296781</v>
      </c>
      <c r="AQ367" s="13" t="n">
        <f aca="false">-0.05*(AQ10+AQ11)</f>
        <v>-22474.8124892339</v>
      </c>
      <c r="AR367" s="13" t="n">
        <f aca="false">-0.05*(AR10+AR11)</f>
        <v>-22474.8124892339</v>
      </c>
      <c r="AS367" s="13" t="n">
        <f aca="false">-0.05*(AS10+AS11)</f>
        <v>-22474.8124892339</v>
      </c>
      <c r="AT367" s="13" t="n">
        <f aca="false">-0.05*(AT10+AT11)</f>
        <v>-30007.1749013758</v>
      </c>
      <c r="AU367" s="13" t="n">
        <f aca="false">-0.05*(AU10+AU11)</f>
        <v>-16511.6922462882</v>
      </c>
      <c r="AV367" s="13" t="n">
        <f aca="false">-0.05*(AV10+AV11)</f>
        <v>-30135.9715139632</v>
      </c>
      <c r="AW367" s="13" t="n">
        <f aca="false">-0.05*(AW10+AW11)</f>
        <v>-7882.98204342733</v>
      </c>
      <c r="AX367" s="13" t="n">
        <f aca="false">-0.05*(AX10+AX11)</f>
        <v>-7882.98204342733</v>
      </c>
      <c r="AY367" s="13" t="n">
        <f aca="false">-0.05*(AY10+AY11)</f>
        <v>-7882.98204342733</v>
      </c>
      <c r="AZ367" s="13" t="n">
        <f aca="false">-0.05*(AZ10+AZ11)</f>
        <v>-7882.98204342733</v>
      </c>
      <c r="BA367" s="13" t="n">
        <f aca="false">-0.05*(BA10+BA11)</f>
        <v>-7882.98204342733</v>
      </c>
      <c r="BB367" s="13" t="n">
        <f aca="false">-0.05*(BB10+BB11)</f>
        <v>-7882.98204342733</v>
      </c>
      <c r="BC367" s="13" t="n">
        <f aca="false">-0.05*(BC10+BC11)</f>
        <v>-7882.98204342733</v>
      </c>
      <c r="BD367" s="13" t="n">
        <f aca="false">-0.05*(BD10+BD11)</f>
        <v>-7882.98204342733</v>
      </c>
      <c r="BE367" s="13" t="n">
        <f aca="false">-0.05*(BE10+BE11)</f>
        <v>-7882.98204342733</v>
      </c>
      <c r="BF367" s="13" t="n">
        <f aca="false">-0.05*(BF10+BF11)</f>
        <v>-7882.98204342733</v>
      </c>
      <c r="BG367" s="13" t="n">
        <f aca="false">-0.05*(BG10+BG11)</f>
        <v>-7882.98204342733</v>
      </c>
      <c r="BH367" s="13" t="n">
        <f aca="false">-0.05*(BH10+BH11)</f>
        <v>-20329.7957962073</v>
      </c>
      <c r="BI367" s="13" t="n">
        <f aca="false">-0.05*(BI10+BI11)</f>
        <v>-0</v>
      </c>
      <c r="BJ367" s="13" t="n">
        <f aca="false">-0.05*(BJ10+BJ11)</f>
        <v>-0</v>
      </c>
      <c r="BK367" s="13" t="n">
        <f aca="false">-0.05*(BK10+BK11)</f>
        <v>-0</v>
      </c>
      <c r="BL367" s="13" t="n">
        <f aca="false">-0.05*(BL10+BL11)</f>
        <v>-0</v>
      </c>
      <c r="BM367" s="13" t="n">
        <f aca="false">-0.05*(BM10+BM11)</f>
        <v>-0</v>
      </c>
      <c r="BN367" s="13" t="n">
        <f aca="false">-0.05*(BN10+BN11)</f>
        <v>-0</v>
      </c>
      <c r="BO367" s="13" t="n">
        <f aca="false">-0.05*(BO10+BO11)</f>
        <v>-0</v>
      </c>
      <c r="BP367" s="13" t="n">
        <f aca="false">-0.05*(BP10+BP11)</f>
        <v>-0</v>
      </c>
      <c r="BQ367" s="13" t="n">
        <f aca="false">-0.05*(BQ10+BQ11)</f>
        <v>-0</v>
      </c>
      <c r="BR367" s="13" t="n">
        <f aca="false">-0.05*(BR10+BR11)</f>
        <v>-0</v>
      </c>
      <c r="BS367" s="13" t="n">
        <f aca="false">-0.05*(BS10+BS11)</f>
        <v>-0</v>
      </c>
      <c r="BT367" s="13" t="n">
        <f aca="false">-0.05*(BT10+BT11)</f>
        <v>-0</v>
      </c>
      <c r="BU367" s="13" t="n">
        <f aca="false">-0.05*(BU10+BU11)</f>
        <v>-0</v>
      </c>
      <c r="BV367" s="13" t="n">
        <f aca="false">-0.05*(BV10+BV11)</f>
        <v>-0</v>
      </c>
      <c r="BW367" s="13" t="n">
        <f aca="false">-0.05*(BW10+BW11)</f>
        <v>-0</v>
      </c>
      <c r="BX367" s="13" t="n">
        <f aca="false">-0.05*(BX10+BX11)</f>
        <v>-0</v>
      </c>
      <c r="BY367" s="13" t="n">
        <f aca="false">-0.05*(BY10+BY11)</f>
        <v>-0</v>
      </c>
      <c r="BZ367" s="13" t="n">
        <f aca="false">-0.05*(BZ10+BZ11)</f>
        <v>-0</v>
      </c>
      <c r="CA367" s="13" t="n">
        <f aca="false">-0.05*(CA10+CA11)</f>
        <v>-0</v>
      </c>
      <c r="CB367" s="13" t="n">
        <f aca="false">-0.05*(CB10+CB11)</f>
        <v>-0</v>
      </c>
      <c r="CC367" s="13" t="n">
        <f aca="false">-0.05*(CC10+CC11)</f>
        <v>-0</v>
      </c>
      <c r="CD367" s="13" t="n">
        <f aca="false">-0.05*(CD10+CD11)</f>
        <v>-0</v>
      </c>
      <c r="CE367" s="13" t="n">
        <f aca="false">-0.05*(CE10+CE11)</f>
        <v>-0</v>
      </c>
      <c r="CF367" s="13" t="n">
        <f aca="false">-0.05*(CF10+CF11)</f>
        <v>-0</v>
      </c>
      <c r="CG367" s="13" t="n">
        <f aca="false">-0.05*(CG10+CG11)</f>
        <v>-0</v>
      </c>
      <c r="CH367" s="13" t="n">
        <f aca="false">-0.05*(CH10+CH11)</f>
        <v>-0</v>
      </c>
      <c r="CI367" s="13" t="n">
        <f aca="false">-0.05*(CI10+CI11)</f>
        <v>-0</v>
      </c>
      <c r="CJ367" s="13" t="n">
        <f aca="false">-0.05*(CJ10+CJ11)</f>
        <v>-0</v>
      </c>
      <c r="CK367" s="13" t="n">
        <f aca="false">-0.05*(CK10+CK11)</f>
        <v>-0</v>
      </c>
      <c r="CL367" s="13" t="n">
        <f aca="false">-0.05*(CL10+CL11)</f>
        <v>-0</v>
      </c>
      <c r="CM367" s="13" t="n">
        <f aca="false">-0.05*(CM10+CM11)</f>
        <v>-0</v>
      </c>
      <c r="CN367" s="13" t="n">
        <f aca="false">-0.05*(CN10+CN11)</f>
        <v>-0</v>
      </c>
      <c r="CO367" s="13" t="n">
        <f aca="false">-0.05*(CO10+CO11)</f>
        <v>-0</v>
      </c>
      <c r="CP367" s="13" t="n">
        <f aca="false">-0.05*(CP10+CP11)</f>
        <v>-0</v>
      </c>
      <c r="CQ367" s="13" t="n">
        <f aca="false">-0.05*(CQ10+CQ11)</f>
        <v>-0</v>
      </c>
      <c r="CR367" s="13" t="n">
        <f aca="false">-0.05*(CR10+CR11)</f>
        <v>-0</v>
      </c>
      <c r="CS367" s="13" t="n">
        <f aca="false">-0.05*(CS10+CS11)</f>
        <v>-0</v>
      </c>
      <c r="CT367" s="13" t="n">
        <f aca="false">-0.05*(CT10+CT11)</f>
        <v>-0</v>
      </c>
      <c r="CU367" s="13" t="n">
        <f aca="false">-0.05*(CU10+CU11)</f>
        <v>-0</v>
      </c>
      <c r="CV367" s="13" t="n">
        <f aca="false">-0.05*(CV10+CV11)</f>
        <v>-0</v>
      </c>
      <c r="CW367" s="13" t="n">
        <f aca="false">-0.05*(CW10+CW11)</f>
        <v>-0</v>
      </c>
      <c r="CX367" s="13" t="n">
        <f aca="false">-0.05*(CX10+CX11)</f>
        <v>-0</v>
      </c>
      <c r="CY367" s="13" t="n">
        <f aca="false">-0.05*(CY10+CY11)</f>
        <v>-0</v>
      </c>
      <c r="CZ367" s="13" t="n">
        <f aca="false">-0.05*(CZ10+CZ11)</f>
        <v>-0</v>
      </c>
      <c r="DA367" s="13" t="n">
        <f aca="false">-0.05*(DA10+DA11)</f>
        <v>-0</v>
      </c>
      <c r="DB367" s="13" t="n">
        <f aca="false">-0.05*(DB10+DB11)</f>
        <v>-0</v>
      </c>
      <c r="DC367" s="13" t="n">
        <f aca="false">-0.05*(DC10+DC11)</f>
        <v>-0</v>
      </c>
      <c r="DD367" s="13" t="n">
        <f aca="false">-0.05*(DD10+DD11)</f>
        <v>-0</v>
      </c>
      <c r="DE367" s="13" t="n">
        <f aca="false">-0.05*(DE10+DE11)</f>
        <v>-0</v>
      </c>
    </row>
    <row r="368" customFormat="false" ht="15" hidden="false" customHeight="true" outlineLevel="0" collapsed="false">
      <c r="A368" s="22" t="s">
        <v>194</v>
      </c>
      <c r="B368" s="13"/>
      <c r="C368" s="13"/>
      <c r="D368" s="13"/>
      <c r="E368" s="13"/>
      <c r="F368" s="13"/>
      <c r="G368" s="13"/>
      <c r="H368" s="13"/>
      <c r="I368" s="13"/>
      <c r="J368" s="13"/>
      <c r="K368" s="13" t="n">
        <f aca="false">SUMIFS(Retention!$E$2:$E$44,Retention!$F$2:$F$44,K$3)</f>
        <v>0</v>
      </c>
      <c r="L368" s="13" t="n">
        <f aca="false">SUMIFS(Retention!$E$2:$E$44,Retention!$F$2:$F$44,L$3)</f>
        <v>77190.558</v>
      </c>
      <c r="M368" s="13" t="n">
        <f aca="false">SUMIFS(Retention!$E$2:$E$44,Retention!$F$2:$F$44,M$3)</f>
        <v>0</v>
      </c>
      <c r="N368" s="13" t="n">
        <f aca="false">SUMIFS(Retention!$E$2:$E$44,Retention!$F$2:$F$44,N$3)</f>
        <v>0</v>
      </c>
      <c r="O368" s="13" t="n">
        <f aca="false">SUMIFS(Retention!$E$2:$E$44,Retention!$F$2:$F$44,O$3)</f>
        <v>0</v>
      </c>
      <c r="P368" s="13" t="n">
        <f aca="false">SUMIFS(Retention!$E$2:$E$44,Retention!$F$2:$F$44,P$3)</f>
        <v>0</v>
      </c>
      <c r="Q368" s="13" t="n">
        <f aca="false">SUMIFS(Retention!$E$2:$E$44,Retention!$F$2:$F$44,Q$3)</f>
        <v>0</v>
      </c>
      <c r="R368" s="13" t="n">
        <f aca="false">SUMIFS(Retention!$E$2:$E$44,Retention!$F$2:$F$44,R$3)</f>
        <v>0</v>
      </c>
      <c r="S368" s="13" t="n">
        <f aca="false">SUMIFS(Retention!$E$2:$E$44,Retention!$F$2:$F$44,S$3)</f>
        <v>30427.4835</v>
      </c>
      <c r="T368" s="13" t="n">
        <f aca="false">SUMIFS(Retention!$E$2:$E$44,Retention!$F$2:$F$44,T$3)</f>
        <v>0</v>
      </c>
      <c r="U368" s="13" t="n">
        <f aca="false">SUMIFS(Retention!$E$2:$E$44,Retention!$F$2:$F$44,U$3)</f>
        <v>80815.528</v>
      </c>
      <c r="V368" s="13" t="n">
        <f aca="false">SUMIFS(Retention!$E$2:$E$44,Retention!$F$2:$F$44,V$3)</f>
        <v>137452.792</v>
      </c>
      <c r="W368" s="13" t="n">
        <f aca="false">SUMIFS(Retention!$E$2:$E$44,Retention!$F$2:$F$44,W$3)</f>
        <v>92237.867</v>
      </c>
      <c r="X368" s="13" t="n">
        <f aca="false">SUMIFS(Retention!$E$2:$E$44,Retention!$F$2:$F$44,X$3)</f>
        <v>0</v>
      </c>
      <c r="Y368" s="13" t="n">
        <f aca="false">SUMIFS(Retention!$E$2:$E$44,Retention!$F$2:$F$44,Y$3)</f>
        <v>0</v>
      </c>
      <c r="Z368" s="13" t="n">
        <f aca="false">SUMIFS(Retention!$E$2:$E$44,Retention!$F$2:$F$44,Z$3)</f>
        <v>0</v>
      </c>
      <c r="AA368" s="13" t="n">
        <f aca="false">SUMIFS(Retention!$E$2:$E$44,Retention!$F$2:$F$44,AA$3)</f>
        <v>86283.6925</v>
      </c>
      <c r="AB368" s="13" t="n">
        <f aca="false">SUMIFS(Retention!$E$2:$E$44,Retention!$F$2:$F$44,AB$3)</f>
        <v>78216.6846217775</v>
      </c>
      <c r="AC368" s="13" t="n">
        <f aca="false">SUMIFS(Retention!$E$2:$E$44,Retention!$F$2:$F$44,AC$3)</f>
        <v>0</v>
      </c>
      <c r="AD368" s="13" t="n">
        <f aca="false">SUMIFS(Retention!$E$2:$E$44,Retention!$F$2:$F$44,AD$3)</f>
        <v>0</v>
      </c>
      <c r="AE368" s="13" t="n">
        <f aca="false">SUMIFS(Retention!$E$2:$E$44,Retention!$F$2:$F$44,AE$3)</f>
        <v>0</v>
      </c>
      <c r="AF368" s="13" t="n">
        <f aca="false">SUMIFS(Retention!$E$2:$E$44,Retention!$F$2:$F$44,AF$3)</f>
        <v>126165.12671865</v>
      </c>
      <c r="AG368" s="13" t="n">
        <f aca="false">SUMIFS(Retention!$E$2:$E$44,Retention!$F$2:$F$44,AG$3)</f>
        <v>57649.88648095</v>
      </c>
      <c r="AH368" s="13" t="n">
        <f aca="false">SUMIFS(Retention!$E$2:$E$44,Retention!$F$2:$F$44,AH$3)</f>
        <v>112954.35763675</v>
      </c>
      <c r="AI368" s="13" t="n">
        <f aca="false">SUMIFS(Retention!$E$2:$E$44,Retention!$F$2:$F$44,AI$3)</f>
        <v>0</v>
      </c>
      <c r="AJ368" s="13" t="n">
        <f aca="false">SUMIFS(Retention!$E$2:$E$44,Retention!$F$2:$F$44,AJ$3)</f>
        <v>69450.94939575</v>
      </c>
      <c r="AK368" s="13" t="n">
        <f aca="false">SUMIFS(Retention!$E$2:$E$44,Retention!$F$2:$F$44,AK$3)</f>
        <v>0</v>
      </c>
      <c r="AL368" s="13" t="n">
        <f aca="false">SUMIFS(Retention!$E$2:$E$44,Retention!$F$2:$F$44,AL$3)</f>
        <v>0</v>
      </c>
      <c r="AM368" s="13" t="n">
        <f aca="false">SUMIFS(Retention!$E$2:$E$44,Retention!$F$2:$F$44,AM$3)</f>
        <v>0</v>
      </c>
      <c r="AN368" s="13" t="n">
        <f aca="false">SUMIFS(Retention!$E$2:$E$44,Retention!$F$2:$F$44,AN$3)</f>
        <v>342967.15810475</v>
      </c>
      <c r="AO368" s="13" t="n">
        <f aca="false">SUMIFS(Retention!$E$2:$E$44,Retention!$F$2:$F$44,AO$3)</f>
        <v>82503.9523</v>
      </c>
      <c r="AP368" s="13" t="n">
        <f aca="false">SUMIFS(Retention!$E$2:$E$44,Retention!$F$2:$F$44,AP$3)</f>
        <v>127996.12956775</v>
      </c>
      <c r="AQ368" s="13" t="n">
        <f aca="false">SUMIFS(Retention!$E$2:$E$44,Retention!$F$2:$F$44,AQ$3)</f>
        <v>0</v>
      </c>
      <c r="AR368" s="13" t="n">
        <f aca="false">SUMIFS(Retention!$E$2:$E$44,Retention!$F$2:$F$44,AR$3)</f>
        <v>0</v>
      </c>
      <c r="AS368" s="13" t="n">
        <f aca="false">SUMIFS(Retention!$E$2:$E$44,Retention!$F$2:$F$44,AS$3)</f>
        <v>0</v>
      </c>
      <c r="AT368" s="13" t="n">
        <f aca="false">SUMIFS(Retention!$E$2:$E$44,Retention!$F$2:$F$44,AT$3)</f>
        <v>150647.248242839</v>
      </c>
      <c r="AU368" s="13" t="n">
        <f aca="false">SUMIFS(Retention!$E$2:$E$44,Retention!$F$2:$F$44,AU$3)</f>
        <v>0</v>
      </c>
      <c r="AV368" s="13" t="n">
        <f aca="false">SUMIFS(Retention!$E$2:$E$44,Retention!$F$2:$F$44,AV$3)</f>
        <v>272485.5853535</v>
      </c>
      <c r="AW368" s="13" t="n">
        <f aca="false">SUMIFS(Retention!$E$2:$E$44,Retention!$F$2:$F$44,AW$3)</f>
        <v>0</v>
      </c>
      <c r="AX368" s="13" t="n">
        <f aca="false">SUMIFS(Retention!$E$2:$E$44,Retention!$F$2:$F$44,AX$3)</f>
        <v>0</v>
      </c>
      <c r="AY368" s="13" t="n">
        <f aca="false">SUMIFS(Retention!$E$2:$E$44,Retention!$F$2:$F$44,AY$3)</f>
        <v>0</v>
      </c>
      <c r="AZ368" s="13" t="n">
        <f aca="false">SUMIFS(Retention!$E$2:$E$44,Retention!$F$2:$F$44,AZ$3)</f>
        <v>0</v>
      </c>
      <c r="BA368" s="13" t="n">
        <f aca="false">SUMIFS(Retention!$E$2:$E$44,Retention!$F$2:$F$44,BA$3)</f>
        <v>0</v>
      </c>
      <c r="BB368" s="13" t="n">
        <f aca="false">SUMIFS(Retention!$E$2:$E$44,Retention!$F$2:$F$44,BB$3)</f>
        <v>0</v>
      </c>
      <c r="BC368" s="13" t="n">
        <f aca="false">SUMIFS(Retention!$E$2:$E$44,Retention!$F$2:$F$44,BC$3)</f>
        <v>0</v>
      </c>
      <c r="BD368" s="13" t="n">
        <f aca="false">SUMIFS(Retention!$E$2:$E$44,Retention!$F$2:$F$44,BD$3)</f>
        <v>0</v>
      </c>
      <c r="BE368" s="13" t="n">
        <f aca="false">SUMIFS(Retention!$E$2:$E$44,Retention!$F$2:$F$44,BE$3)</f>
        <v>0</v>
      </c>
      <c r="BF368" s="13" t="n">
        <f aca="false">SUMIFS(Retention!$E$2:$E$44,Retention!$F$2:$F$44,BF$3)</f>
        <v>0</v>
      </c>
      <c r="BG368" s="13" t="n">
        <f aca="false">SUMIFS(Retention!$E$2:$E$44,Retention!$F$2:$F$44,BG$3)</f>
        <v>0</v>
      </c>
      <c r="BH368" s="13" t="n">
        <f aca="false">SUMIFS(Retention!$E$2:$E$44,Retention!$F$2:$F$44,BH$3)</f>
        <v>248936.2750556</v>
      </c>
      <c r="BI368" s="13" t="n">
        <f aca="false">SUMIFS(Retention!$E$2:$E$44,Retention!$F$2:$F$44,BI$3)</f>
        <v>0</v>
      </c>
      <c r="BJ368" s="13" t="n">
        <f aca="false">SUMIFS(Retention!$E$2:$E$44,Retention!$F$2:$F$44,BJ$3)</f>
        <v>0</v>
      </c>
      <c r="BK368" s="13" t="n">
        <f aca="false">SUMIFS(Retention!$E$2:$E$44,Retention!$F$2:$F$44,BK$3)</f>
        <v>0</v>
      </c>
      <c r="BL368" s="13" t="n">
        <f aca="false">SUMIFS(Retention!$E$2:$E$44,Retention!$F$2:$F$44,BL$3)</f>
        <v>0</v>
      </c>
      <c r="BM368" s="13" t="n">
        <f aca="false">SUMIFS(Retention!$E$2:$E$44,Retention!$F$2:$F$44,BM$3)</f>
        <v>0</v>
      </c>
      <c r="BN368" s="13" t="n">
        <f aca="false">SUMIFS(Retention!$E$2:$E$44,Retention!$F$2:$F$44,BN$3)</f>
        <v>0</v>
      </c>
      <c r="BO368" s="13" t="n">
        <f aca="false">SUMIFS(Retention!$E$2:$E$44,Retention!$F$2:$F$44,BO$3)</f>
        <v>0</v>
      </c>
      <c r="BP368" s="13" t="n">
        <f aca="false">SUMIFS(Retention!$E$2:$E$44,Retention!$F$2:$F$44,BP$3)</f>
        <v>0</v>
      </c>
      <c r="BQ368" s="13" t="n">
        <f aca="false">SUMIFS(Retention!$E$2:$E$44,Retention!$F$2:$F$44,BQ$3)</f>
        <v>0</v>
      </c>
      <c r="BR368" s="13" t="n">
        <f aca="false">SUMIFS(Retention!$E$2:$E$44,Retention!$F$2:$F$44,BR$3)</f>
        <v>0</v>
      </c>
      <c r="BS368" s="13" t="n">
        <f aca="false">SUMIFS(Retention!$E$2:$E$44,Retention!$F$2:$F$44,BS$3)</f>
        <v>0</v>
      </c>
      <c r="BT368" s="13" t="n">
        <f aca="false">SUMIFS(Retention!$E$2:$E$44,Retention!$F$2:$F$44,BT$3)</f>
        <v>0</v>
      </c>
      <c r="BU368" s="13" t="n">
        <f aca="false">SUMIFS(Retention!$E$2:$E$44,Retention!$F$2:$F$44,BU$3)</f>
        <v>0</v>
      </c>
      <c r="BV368" s="13" t="n">
        <f aca="false">SUMIFS(Retention!$E$2:$E$44,Retention!$F$2:$F$44,BV$3)</f>
        <v>0</v>
      </c>
      <c r="BW368" s="13" t="n">
        <f aca="false">SUMIFS(Retention!$E$2:$E$44,Retention!$F$2:$F$44,BW$3)</f>
        <v>0</v>
      </c>
      <c r="BX368" s="13" t="n">
        <f aca="false">SUMIFS(Retention!$E$2:$E$44,Retention!$F$2:$F$44,BX$3)</f>
        <v>0</v>
      </c>
      <c r="BY368" s="13" t="n">
        <f aca="false">SUMIFS(Retention!$E$2:$E$44,Retention!$F$2:$F$44,BY$3)</f>
        <v>0</v>
      </c>
      <c r="BZ368" s="13" t="n">
        <f aca="false">SUMIFS(Retention!$E$2:$E$44,Retention!$F$2:$F$44,BZ$3)</f>
        <v>0</v>
      </c>
      <c r="CA368" s="13" t="n">
        <f aca="false">SUMIFS(Retention!$E$2:$E$44,Retention!$F$2:$F$44,CA$3)</f>
        <v>0</v>
      </c>
      <c r="CB368" s="13" t="n">
        <f aca="false">SUMIFS(Retention!$E$2:$E$44,Retention!$F$2:$F$44,CB$3)</f>
        <v>0</v>
      </c>
      <c r="CC368" s="13" t="n">
        <f aca="false">SUMIFS(Retention!$E$2:$E$44,Retention!$F$2:$F$44,CC$3)</f>
        <v>0</v>
      </c>
      <c r="CD368" s="13" t="n">
        <f aca="false">SUMIFS(Retention!$E$2:$E$44,Retention!$F$2:$F$44,CD$3)</f>
        <v>0</v>
      </c>
      <c r="CE368" s="13" t="n">
        <f aca="false">SUMIFS(Retention!$E$2:$E$44,Retention!$F$2:$F$44,CE$3)</f>
        <v>0</v>
      </c>
      <c r="CF368" s="13" t="n">
        <f aca="false">SUMIFS(Retention!$E$2:$E$44,Retention!$F$2:$F$44,CF$3)</f>
        <v>0</v>
      </c>
      <c r="CG368" s="13" t="n">
        <f aca="false">SUMIFS(Retention!$E$2:$E$44,Retention!$F$2:$F$44,CG$3)</f>
        <v>0</v>
      </c>
      <c r="CH368" s="13" t="n">
        <f aca="false">SUMIFS(Retention!$E$2:$E$44,Retention!$F$2:$F$44,CH$3)</f>
        <v>0</v>
      </c>
      <c r="CI368" s="13" t="n">
        <f aca="false">SUMIFS(Retention!$E$2:$E$44,Retention!$F$2:$F$44,CI$3)</f>
        <v>0</v>
      </c>
      <c r="CJ368" s="13" t="n">
        <f aca="false">SUMIFS(Retention!$E$2:$E$44,Retention!$F$2:$F$44,CJ$3)</f>
        <v>0</v>
      </c>
      <c r="CK368" s="13" t="n">
        <f aca="false">SUMIFS(Retention!$E$2:$E$44,Retention!$F$2:$F$44,CK$3)</f>
        <v>0</v>
      </c>
      <c r="CL368" s="13" t="n">
        <f aca="false">SUMIFS(Retention!$E$2:$E$44,Retention!$F$2:$F$44,CL$3)</f>
        <v>0</v>
      </c>
      <c r="CM368" s="13" t="n">
        <f aca="false">SUMIFS(Retention!$E$2:$E$44,Retention!$F$2:$F$44,CM$3)</f>
        <v>0</v>
      </c>
      <c r="CN368" s="13" t="n">
        <f aca="false">SUMIFS(Retention!$E$2:$E$44,Retention!$F$2:$F$44,CN$3)</f>
        <v>0</v>
      </c>
      <c r="CO368" s="13" t="n">
        <f aca="false">SUMIFS(Retention!$E$2:$E$44,Retention!$F$2:$F$44,CO$3)</f>
        <v>0</v>
      </c>
      <c r="CP368" s="13" t="n">
        <f aca="false">SUMIFS(Retention!$E$2:$E$44,Retention!$F$2:$F$44,CP$3)</f>
        <v>0</v>
      </c>
      <c r="CQ368" s="13" t="n">
        <f aca="false">SUMIFS(Retention!$E$2:$E$44,Retention!$F$2:$F$44,CQ$3)</f>
        <v>0</v>
      </c>
      <c r="CR368" s="13" t="n">
        <f aca="false">SUMIFS(Retention!$E$2:$E$44,Retention!$F$2:$F$44,CR$3)</f>
        <v>0</v>
      </c>
      <c r="CS368" s="13" t="n">
        <f aca="false">SUMIFS(Retention!$E$2:$E$44,Retention!$F$2:$F$44,CS$3)</f>
        <v>0</v>
      </c>
      <c r="CT368" s="13" t="n">
        <f aca="false">SUMIFS(Retention!$E$2:$E$44,Retention!$F$2:$F$44,CT$3)</f>
        <v>0</v>
      </c>
      <c r="CU368" s="13" t="n">
        <f aca="false">SUMIFS(Retention!$E$2:$E$44,Retention!$F$2:$F$44,CU$3)</f>
        <v>0</v>
      </c>
      <c r="CV368" s="13" t="n">
        <f aca="false">SUMIFS(Retention!$E$2:$E$44,Retention!$F$2:$F$44,CV$3)</f>
        <v>0</v>
      </c>
      <c r="CW368" s="13" t="n">
        <f aca="false">SUMIFS(Retention!$E$2:$E$44,Retention!$F$2:$F$44,CW$3)</f>
        <v>0</v>
      </c>
      <c r="CX368" s="13" t="n">
        <f aca="false">SUMIFS(Retention!$E$2:$E$44,Retention!$F$2:$F$44,CX$3)</f>
        <v>0</v>
      </c>
      <c r="CY368" s="13" t="n">
        <f aca="false">SUMIFS(Retention!$E$2:$E$44,Retention!$F$2:$F$44,CY$3)</f>
        <v>0</v>
      </c>
      <c r="CZ368" s="13" t="n">
        <f aca="false">SUMIFS(Retention!$E$2:$E$44,Retention!$F$2:$F$44,CZ$3)</f>
        <v>0</v>
      </c>
      <c r="DA368" s="13" t="n">
        <f aca="false">SUMIFS(Retention!$E$2:$E$44,Retention!$F$2:$F$44,DA$3)</f>
        <v>0</v>
      </c>
      <c r="DB368" s="13" t="n">
        <f aca="false">SUMIFS(Retention!$E$2:$E$44,Retention!$F$2:$F$44,DB$3)</f>
        <v>0</v>
      </c>
      <c r="DC368" s="13" t="n">
        <f aca="false">SUMIFS(Retention!$E$2:$E$44,Retention!$F$2:$F$44,DC$3)</f>
        <v>0</v>
      </c>
      <c r="DD368" s="13" t="n">
        <f aca="false">SUMIFS(Retention!$E$2:$E$44,Retention!$F$2:$F$44,DD$3)</f>
        <v>0</v>
      </c>
      <c r="DE368" s="13" t="n">
        <f aca="false">SUMIFS(Retention!$E$2:$E$44,Retention!$F$2:$F$44,DE$3)</f>
        <v>0</v>
      </c>
    </row>
    <row r="369" customFormat="false" ht="15" hidden="false" customHeight="true" outlineLevel="0" collapsed="false">
      <c r="A369" s="67" t="s">
        <v>195</v>
      </c>
      <c r="B369" s="68"/>
      <c r="C369" s="68"/>
      <c r="D369" s="68"/>
      <c r="E369" s="68"/>
      <c r="F369" s="68"/>
      <c r="G369" s="68"/>
      <c r="H369" s="68"/>
      <c r="I369" s="68"/>
      <c r="J369" s="68"/>
      <c r="K369" s="68" t="n">
        <f aca="false">SUM(K361:K368)</f>
        <v>1718793.99033333</v>
      </c>
      <c r="L369" s="68" t="n">
        <f aca="false">SUM(L361:L368)</f>
        <v>1878903.10516667</v>
      </c>
      <c r="M369" s="68" t="n">
        <f aca="false">SUM(M361:M368)</f>
        <v>2335079.76345215</v>
      </c>
      <c r="N369" s="68" t="n">
        <f aca="false">SUM(N361:N368)</f>
        <v>810348.55735434</v>
      </c>
      <c r="O369" s="68" t="n">
        <f aca="false">SUM(O361:O368)</f>
        <v>992897.77341301</v>
      </c>
      <c r="P369" s="68" t="n">
        <f aca="false">SUM(P361:P368)</f>
        <v>1236104.78095263</v>
      </c>
      <c r="Q369" s="68" t="n">
        <f aca="false">SUM(Q361:Q368)</f>
        <v>1466827.40600587</v>
      </c>
      <c r="R369" s="68" t="n">
        <f aca="false">SUM(R361:R368)</f>
        <v>1420762.11974803</v>
      </c>
      <c r="S369" s="68" t="n">
        <f aca="false">SUM(S361:S368)</f>
        <v>1500108.0089895</v>
      </c>
      <c r="T369" s="68" t="n">
        <f aca="false">SUM(T361:T368)</f>
        <v>1490268.00482001</v>
      </c>
      <c r="U369" s="68" t="n">
        <f aca="false">SUM(U361:U368)</f>
        <v>2233668.04066032</v>
      </c>
      <c r="V369" s="68" t="n">
        <f aca="false">SUM(V361:V368)</f>
        <v>2923007.2493954</v>
      </c>
      <c r="W369" s="68" t="n">
        <f aca="false">SUM(W361:W368)</f>
        <v>3392852.73699058</v>
      </c>
      <c r="X369" s="68" t="n">
        <f aca="false">SUM(X361:X368)</f>
        <v>3773954.1418193</v>
      </c>
      <c r="Y369" s="68" t="n">
        <f aca="false">SUM(Y361:Y368)</f>
        <v>4420752.5249601</v>
      </c>
      <c r="Z369" s="68" t="n">
        <f aca="false">SUM(Z361:Z368)</f>
        <v>5066452.62634089</v>
      </c>
      <c r="AA369" s="68" t="n">
        <f aca="false">SUM(AA361:AA368)</f>
        <v>5903116.80722169</v>
      </c>
      <c r="AB369" s="68" t="n">
        <f aca="false">SUM(AB361:AB368)</f>
        <v>6648272.56372426</v>
      </c>
      <c r="AC369" s="68" t="n">
        <f aca="false">SUM(AC361:AC368)</f>
        <v>7186127.11798967</v>
      </c>
      <c r="AD369" s="68" t="n">
        <f aca="false">SUM(AD361:AD368)</f>
        <v>7651102.22294738</v>
      </c>
      <c r="AE369" s="68" t="n">
        <f aca="false">SUM(AE361:AE368)</f>
        <v>8153179.74878475</v>
      </c>
      <c r="AF369" s="68" t="n">
        <f aca="false">SUM(AF361:AF368)</f>
        <v>8189353.23291772</v>
      </c>
      <c r="AG369" s="68" t="n">
        <f aca="false">SUM(AG361:AG368)</f>
        <v>9054853.77748896</v>
      </c>
      <c r="AH369" s="68" t="n">
        <f aca="false">SUM(AH361:AH368)</f>
        <v>9927180.01406438</v>
      </c>
      <c r="AI369" s="68" t="n">
        <f aca="false">SUM(AI361:AI368)</f>
        <v>10687343.8033538</v>
      </c>
      <c r="AJ369" s="68" t="n">
        <f aca="false">SUM(AJ361:AJ368)</f>
        <v>11281253.4637048</v>
      </c>
      <c r="AK369" s="68" t="n">
        <f aca="false">SUM(AK361:AK368)</f>
        <v>11562494.1244953</v>
      </c>
      <c r="AL369" s="68" t="n">
        <f aca="false">SUM(AL361:AL368)</f>
        <v>11870301.2425991</v>
      </c>
      <c r="AM369" s="68" t="n">
        <f aca="false">SUM(AM361:AM368)</f>
        <v>12197890.0760876</v>
      </c>
      <c r="AN369" s="68" t="n">
        <f aca="false">SUM(AN361:AN368)</f>
        <v>12908270.9875755</v>
      </c>
      <c r="AO369" s="68" t="n">
        <f aca="false">SUM(AO361:AO368)</f>
        <v>13358567.1222667</v>
      </c>
      <c r="AP369" s="68" t="n">
        <f aca="false">SUM(AP361:AP368)</f>
        <v>13750478.5933754</v>
      </c>
      <c r="AQ369" s="68" t="n">
        <f aca="false">SUM(AQ361:AQ368)</f>
        <v>13991295.2327091</v>
      </c>
      <c r="AR369" s="68" t="n">
        <f aca="false">SUM(AR361:AR368)</f>
        <v>14012400.8578493</v>
      </c>
      <c r="AS369" s="68" t="n">
        <f aca="false">SUM(AS361:AS368)</f>
        <v>14033506.4829896</v>
      </c>
      <c r="AT369" s="68" t="n">
        <f aca="false">SUM(AT361:AT368)</f>
        <v>14143835.861441</v>
      </c>
      <c r="AU369" s="68" t="n">
        <f aca="false">SUM(AU361:AU368)</f>
        <v>14323998.6079516</v>
      </c>
      <c r="AV369" s="68" t="n">
        <f aca="false">SUM(AV361:AV368)</f>
        <v>14502728.3920617</v>
      </c>
      <c r="AW369" s="68" t="n">
        <f aca="false">SUM(AW361:AW368)</f>
        <v>14503711.1656423</v>
      </c>
      <c r="AX369" s="68" t="n">
        <f aca="false">SUM(AX361:AX368)</f>
        <v>14252168.0763192</v>
      </c>
      <c r="AY369" s="68" t="n">
        <f aca="false">SUM(AY361:AY368)</f>
        <v>14000624.986996</v>
      </c>
      <c r="AZ369" s="68" t="n">
        <f aca="false">SUM(AZ361:AZ368)</f>
        <v>13749081.8976728</v>
      </c>
      <c r="BA369" s="68" t="n">
        <f aca="false">SUM(BA361:BA368)</f>
        <v>13497538.8083496</v>
      </c>
      <c r="BB369" s="68" t="n">
        <f aca="false">SUM(BB361:BB368)</f>
        <v>13245995.7190264</v>
      </c>
      <c r="BC369" s="68" t="n">
        <f aca="false">SUM(BC361:BC368)</f>
        <v>12994452.6297032</v>
      </c>
      <c r="BD369" s="68" t="n">
        <f aca="false">SUM(BD361:BD368)</f>
        <v>12742909.5403801</v>
      </c>
      <c r="BE369" s="68" t="n">
        <f aca="false">SUM(BE361:BE368)</f>
        <v>12491366.4510569</v>
      </c>
      <c r="BF369" s="68" t="n">
        <f aca="false">SUM(BF361:BF368)</f>
        <v>12239823.3617337</v>
      </c>
      <c r="BG369" s="68" t="n">
        <f aca="false">SUM(BG361:BG368)</f>
        <v>11988280.2724105</v>
      </c>
      <c r="BH369" s="68" t="n">
        <f aca="false">SUM(BH361:BH368)</f>
        <v>11973226.6443901</v>
      </c>
      <c r="BI369" s="68" t="n">
        <f aca="false">SUM(BI361:BI368)</f>
        <v>11778502.812166</v>
      </c>
      <c r="BJ369" s="68" t="n">
        <f aca="false">SUM(BJ361:BJ368)</f>
        <v>11369567.6690547</v>
      </c>
      <c r="BK369" s="68" t="n">
        <f aca="false">SUM(BK361:BK368)</f>
        <v>10960632.5259434</v>
      </c>
      <c r="BL369" s="68" t="n">
        <f aca="false">SUM(BL361:BL368)</f>
        <v>10551697.3828322</v>
      </c>
      <c r="BM369" s="68" t="n">
        <f aca="false">SUM(BM361:BM368)</f>
        <v>10142762.2397209</v>
      </c>
      <c r="BN369" s="68" t="n">
        <f aca="false">SUM(BN361:BN368)</f>
        <v>9733827.09660963</v>
      </c>
      <c r="BO369" s="68" t="n">
        <f aca="false">SUM(BO361:BO368)</f>
        <v>9324891.95349836</v>
      </c>
      <c r="BP369" s="68" t="n">
        <f aca="false">SUM(BP361:BP368)</f>
        <v>8915956.81038709</v>
      </c>
      <c r="BQ369" s="68" t="n">
        <f aca="false">SUM(BQ361:BQ368)</f>
        <v>8507021.66727582</v>
      </c>
      <c r="BR369" s="68" t="n">
        <f aca="false">SUM(BR361:BR368)</f>
        <v>8098086.52416455</v>
      </c>
      <c r="BS369" s="68" t="n">
        <f aca="false">SUM(BS361:BS368)</f>
        <v>7689151.38105328</v>
      </c>
      <c r="BT369" s="68" t="n">
        <f aca="false">SUM(BT361:BT368)</f>
        <v>7280216.23794201</v>
      </c>
      <c r="BU369" s="68" t="n">
        <f aca="false">SUM(BU361:BU368)</f>
        <v>6671281.09483074</v>
      </c>
      <c r="BV369" s="68" t="n">
        <f aca="false">SUM(BV361:BV368)</f>
        <v>6254578.24885725</v>
      </c>
      <c r="BW369" s="68" t="n">
        <f aca="false">SUM(BW361:BW368)</f>
        <v>5837875.40288375</v>
      </c>
      <c r="BX369" s="68" t="n">
        <f aca="false">SUM(BX361:BX368)</f>
        <v>5421172.55691026</v>
      </c>
      <c r="BY369" s="68" t="n">
        <f aca="false">SUM(BY361:BY368)</f>
        <v>5004469.71093676</v>
      </c>
      <c r="BZ369" s="68" t="n">
        <f aca="false">SUM(BZ361:BZ368)</f>
        <v>4587766.86496327</v>
      </c>
      <c r="CA369" s="68" t="n">
        <f aca="false">SUM(CA361:CA368)</f>
        <v>4171064.01898977</v>
      </c>
      <c r="CB369" s="68" t="n">
        <f aca="false">SUM(CB361:CB368)</f>
        <v>3754361.17301627</v>
      </c>
      <c r="CC369" s="68" t="n">
        <f aca="false">SUM(CC361:CC368)</f>
        <v>3337658.32704278</v>
      </c>
      <c r="CD369" s="68" t="n">
        <f aca="false">SUM(CD361:CD368)</f>
        <v>2920955.48106928</v>
      </c>
      <c r="CE369" s="68" t="n">
        <f aca="false">SUM(CE361:CE368)</f>
        <v>2504252.63509579</v>
      </c>
      <c r="CF369" s="68" t="n">
        <f aca="false">SUM(CF361:CF368)</f>
        <v>2087549.78912229</v>
      </c>
      <c r="CG369" s="68" t="n">
        <f aca="false">SUM(CG361:CG368)</f>
        <v>1470846.9431488</v>
      </c>
      <c r="CH369" s="68" t="n">
        <f aca="false">SUM(CH361:CH368)</f>
        <v>1046221.04025583</v>
      </c>
      <c r="CI369" s="68" t="n">
        <f aca="false">SUM(CI361:CI368)</f>
        <v>621595.137362867</v>
      </c>
      <c r="CJ369" s="68" t="n">
        <f aca="false">SUM(CJ361:CJ368)</f>
        <v>196969.234469901</v>
      </c>
      <c r="CK369" s="68" t="n">
        <f aca="false">SUM(CK361:CK368)</f>
        <v>-227656.668423064</v>
      </c>
      <c r="CL369" s="68" t="n">
        <f aca="false">SUM(CL361:CL368)</f>
        <v>-652282.57131603</v>
      </c>
      <c r="CM369" s="68" t="n">
        <f aca="false">SUM(CM361:CM368)</f>
        <v>-1076908.474209</v>
      </c>
      <c r="CN369" s="68" t="n">
        <f aca="false">SUM(CN361:CN368)</f>
        <v>-1501534.37710196</v>
      </c>
      <c r="CO369" s="68" t="n">
        <f aca="false">SUM(CO361:CO368)</f>
        <v>-1926160.27999493</v>
      </c>
      <c r="CP369" s="68" t="n">
        <f aca="false">SUM(CP361:CP368)</f>
        <v>-2350786.18288789</v>
      </c>
      <c r="CQ369" s="68" t="n">
        <f aca="false">SUM(CQ361:CQ368)</f>
        <v>-2775412.08578086</v>
      </c>
      <c r="CR369" s="68" t="n">
        <f aca="false">SUM(CR361:CR368)</f>
        <v>-3200037.98867382</v>
      </c>
      <c r="CS369" s="68" t="n">
        <f aca="false">SUM(CS361:CS368)</f>
        <v>-3824663.89156679</v>
      </c>
      <c r="CT369" s="68" t="n">
        <f aca="false">SUM(CT361:CT368)</f>
        <v>-4216829.20464994</v>
      </c>
      <c r="CU369" s="68" t="n">
        <f aca="false">SUM(CU361:CU368)</f>
        <v>-4608994.51773309</v>
      </c>
      <c r="CV369" s="68" t="n">
        <f aca="false">SUM(CV361:CV368)</f>
        <v>-5001159.83081624</v>
      </c>
      <c r="CW369" s="68" t="n">
        <f aca="false">SUM(CW361:CW368)</f>
        <v>-5393325.14389939</v>
      </c>
      <c r="CX369" s="68" t="n">
        <f aca="false">SUM(CX361:CX368)</f>
        <v>-5785490.45698254</v>
      </c>
      <c r="CY369" s="68" t="n">
        <f aca="false">SUM(CY361:CY368)</f>
        <v>-6177655.7700657</v>
      </c>
      <c r="CZ369" s="68" t="n">
        <f aca="false">SUM(CZ361:CZ368)</f>
        <v>-6569821.08314885</v>
      </c>
      <c r="DA369" s="68" t="n">
        <f aca="false">SUM(DA361:DA368)</f>
        <v>-6961986.396232</v>
      </c>
      <c r="DB369" s="68" t="n">
        <f aca="false">SUM(DB361:DB368)</f>
        <v>-7354151.70931515</v>
      </c>
      <c r="DC369" s="68" t="n">
        <f aca="false">SUM(DC361:DC368)</f>
        <v>-7746317.0223983</v>
      </c>
      <c r="DD369" s="68" t="n">
        <f aca="false">SUM(DD361:DD368)</f>
        <v>-8138482.33548145</v>
      </c>
      <c r="DE369" s="68" t="n">
        <f aca="false">SUM(DE361:DE368)</f>
        <v>-8730647.6485646</v>
      </c>
    </row>
    <row r="370" customFormat="false" ht="15" hidden="false" customHeight="true" outlineLevel="0" collapsed="false">
      <c r="A370" s="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c r="AJ370" s="13"/>
      <c r="AK370" s="13"/>
      <c r="AL370" s="13"/>
      <c r="AM370" s="13"/>
      <c r="AN370" s="13"/>
      <c r="AO370" s="13"/>
      <c r="AP370" s="13"/>
      <c r="AQ370" s="13"/>
      <c r="AR370" s="13"/>
      <c r="AS370" s="13"/>
      <c r="AT370" s="13"/>
      <c r="AU370" s="13"/>
      <c r="AV370" s="13"/>
      <c r="AW370" s="13"/>
      <c r="AX370" s="13"/>
      <c r="AY370" s="13"/>
      <c r="AZ370" s="13"/>
      <c r="BA370" s="13"/>
      <c r="BB370" s="13"/>
      <c r="BC370" s="13"/>
      <c r="BD370" s="13"/>
      <c r="BE370" s="13"/>
      <c r="BF370" s="13"/>
      <c r="BG370" s="13"/>
      <c r="BH370" s="13"/>
      <c r="BI370" s="13"/>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13"/>
      <c r="CJ370" s="13"/>
      <c r="CK370" s="13"/>
      <c r="CL370" s="13"/>
      <c r="CM370" s="13"/>
      <c r="CN370" s="13"/>
      <c r="CO370" s="13"/>
      <c r="CP370" s="13"/>
      <c r="CQ370" s="13"/>
      <c r="CR370" s="13"/>
      <c r="CS370" s="13"/>
      <c r="CT370" s="13"/>
      <c r="CU370" s="13"/>
      <c r="CV370" s="13"/>
      <c r="CW370" s="13"/>
      <c r="CX370" s="13"/>
      <c r="CY370" s="13"/>
      <c r="CZ370" s="13"/>
      <c r="DA370" s="13"/>
      <c r="DB370" s="13"/>
      <c r="DC370" s="13"/>
      <c r="DD370" s="13"/>
      <c r="DE370" s="13"/>
    </row>
    <row r="371" customFormat="false" ht="15" hidden="false" customHeight="true" outlineLevel="0" collapsed="false">
      <c r="A371" s="23" t="s">
        <v>196</v>
      </c>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4"/>
      <c r="AQ371" s="34"/>
      <c r="AR371" s="34"/>
      <c r="AS371" s="34"/>
      <c r="AT371" s="34"/>
      <c r="AU371" s="34"/>
      <c r="AV371" s="34"/>
      <c r="AW371" s="34"/>
      <c r="AX371" s="34"/>
      <c r="AY371" s="34"/>
      <c r="AZ371" s="34"/>
      <c r="BA371" s="34"/>
      <c r="BB371" s="34"/>
      <c r="BC371" s="34"/>
      <c r="BD371" s="34"/>
      <c r="BE371" s="34"/>
      <c r="BF371" s="34"/>
      <c r="BG371" s="34"/>
      <c r="BH371" s="34"/>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c r="CK371" s="34"/>
      <c r="CL371" s="34"/>
      <c r="CM371" s="34"/>
      <c r="CN371" s="34"/>
      <c r="CO371" s="34"/>
      <c r="CP371" s="34"/>
      <c r="CQ371" s="34"/>
      <c r="CR371" s="34"/>
      <c r="CS371" s="34"/>
      <c r="CT371" s="34"/>
      <c r="CU371" s="34"/>
      <c r="CV371" s="34"/>
      <c r="CW371" s="34"/>
      <c r="CX371" s="34"/>
      <c r="CY371" s="34"/>
      <c r="CZ371" s="34"/>
      <c r="DA371" s="34"/>
      <c r="DB371" s="34"/>
      <c r="DC371" s="34"/>
      <c r="DD371" s="34"/>
      <c r="DE371" s="34"/>
    </row>
    <row r="372" customFormat="false" ht="15" hidden="false" customHeight="true" outlineLevel="0" collapsed="false">
      <c r="A372" s="22" t="s">
        <v>197</v>
      </c>
      <c r="B372" s="13"/>
      <c r="C372" s="13"/>
      <c r="D372" s="13"/>
      <c r="E372" s="13"/>
      <c r="F372" s="13"/>
      <c r="G372" s="13"/>
      <c r="H372" s="13"/>
      <c r="I372" s="13"/>
      <c r="J372" s="13"/>
      <c r="K372" s="13" t="n">
        <f aca="false">Assumptions!B30</f>
        <v>298719</v>
      </c>
      <c r="L372" s="13" t="n">
        <f aca="false">K378</f>
        <v>145062.512883333</v>
      </c>
      <c r="M372" s="13" t="n">
        <f aca="false">L378</f>
        <v>-17968.9742333334</v>
      </c>
      <c r="N372" s="13" t="n">
        <f aca="false">M378</f>
        <v>-181000.46135</v>
      </c>
      <c r="O372" s="13" t="n">
        <f aca="false">N378</f>
        <v>-591100.851606316</v>
      </c>
      <c r="P372" s="13" t="n">
        <f aca="false">O378</f>
        <v>-749252.807132631</v>
      </c>
      <c r="Q372" s="13" t="n">
        <f aca="false">P378</f>
        <v>-906489.379625947</v>
      </c>
      <c r="R372" s="13" t="n">
        <f aca="false">Q378</f>
        <v>-1064641.33515226</v>
      </c>
      <c r="S372" s="13" t="n">
        <f aca="false">R378</f>
        <v>-1221043.29067858</v>
      </c>
      <c r="T372" s="13" t="n">
        <f aca="false">S378</f>
        <v>-1377445.24620489</v>
      </c>
      <c r="U372" s="13" t="n">
        <f aca="false">T378</f>
        <v>-1557753.45173121</v>
      </c>
      <c r="V372" s="13" t="n">
        <f aca="false">U378</f>
        <v>-1850061.65725753</v>
      </c>
      <c r="W372" s="13" t="n">
        <f aca="false">V378</f>
        <v>-2142369.86278384</v>
      </c>
      <c r="X372" s="13" t="n">
        <f aca="false">W378</f>
        <v>-2434678.06831016</v>
      </c>
      <c r="Y372" s="13" t="n">
        <f aca="false">X378</f>
        <v>-2726986.27383647</v>
      </c>
      <c r="Z372" s="13" t="n">
        <f aca="false">Y378</f>
        <v>-2961919.47936279</v>
      </c>
      <c r="AA372" s="13" t="n">
        <f aca="false">Z378</f>
        <v>-4648169.08941111</v>
      </c>
      <c r="AB372" s="13" t="n">
        <f aca="false">AA378</f>
        <v>-5194057.01483743</v>
      </c>
      <c r="AC372" s="13" t="n">
        <f aca="false">AB378</f>
        <v>-5432569.94026374</v>
      </c>
      <c r="AD372" s="13" t="n">
        <f aca="false">AC378</f>
        <v>-5728457.86569006</v>
      </c>
      <c r="AE372" s="13" t="n">
        <f aca="false">AD378</f>
        <v>-6024345.79111637</v>
      </c>
      <c r="AF372" s="13" t="n">
        <f aca="false">AE378</f>
        <v>-6262858.71654269</v>
      </c>
      <c r="AG372" s="13" t="n">
        <f aca="false">AF378</f>
        <v>-6558746.64196901</v>
      </c>
      <c r="AH372" s="13" t="n">
        <f aca="false">AG378</f>
        <v>-6857792.46213216</v>
      </c>
      <c r="AI372" s="13" t="n">
        <f aca="false">AH378</f>
        <v>-7159996.17703216</v>
      </c>
      <c r="AJ372" s="13" t="n">
        <f aca="false">AI378</f>
        <v>-7471699.89193216</v>
      </c>
      <c r="AK372" s="13" t="n">
        <f aca="false">AJ378</f>
        <v>-7783403.60683216</v>
      </c>
      <c r="AL372" s="13" t="n">
        <f aca="false">AK378</f>
        <v>-8095107.32173216</v>
      </c>
      <c r="AM372" s="13" t="n">
        <f aca="false">AL378</f>
        <v>-10784940.3456798</v>
      </c>
      <c r="AN372" s="13" t="n">
        <f aca="false">AM378</f>
        <v>-11350295.3748778</v>
      </c>
      <c r="AO372" s="13" t="n">
        <f aca="false">AN378</f>
        <v>-11623769.6121601</v>
      </c>
      <c r="AP372" s="13" t="n">
        <f aca="false">AO378</f>
        <v>-11827124.6413581</v>
      </c>
      <c r="AQ372" s="13" t="n">
        <f aca="false">AP378</f>
        <v>-12030479.6705561</v>
      </c>
      <c r="AR372" s="13" t="n">
        <f aca="false">AQ378</f>
        <v>-12233834.6997541</v>
      </c>
      <c r="AS372" s="13" t="n">
        <f aca="false">AR378</f>
        <v>-12437189.7289521</v>
      </c>
      <c r="AT372" s="13" t="n">
        <f aca="false">AS378</f>
        <v>-12640544.7581501</v>
      </c>
      <c r="AU372" s="13" t="n">
        <f aca="false">AT378</f>
        <v>-12843899.7873481</v>
      </c>
      <c r="AV372" s="13" t="n">
        <f aca="false">AU378</f>
        <v>-13047254.8165461</v>
      </c>
      <c r="AW372" s="13" t="n">
        <f aca="false">AV378</f>
        <v>-13250609.8457441</v>
      </c>
      <c r="AX372" s="13" t="n">
        <f aca="false">AW378</f>
        <v>-13453964.8749421</v>
      </c>
      <c r="AY372" s="13" t="n">
        <f aca="false">AX378</f>
        <v>-13661044.2447241</v>
      </c>
      <c r="AZ372" s="13" t="n">
        <f aca="false">AY378</f>
        <v>-13868123.614506</v>
      </c>
      <c r="BA372" s="13" t="n">
        <f aca="false">AZ378</f>
        <v>-14075202.984288</v>
      </c>
      <c r="BB372" s="13" t="n">
        <f aca="false">BA378</f>
        <v>-14282282.3540699</v>
      </c>
      <c r="BC372" s="13" t="n">
        <f aca="false">BB378</f>
        <v>-14489361.7238519</v>
      </c>
      <c r="BD372" s="13" t="n">
        <f aca="false">BC378</f>
        <v>-14696441.0936339</v>
      </c>
      <c r="BE372" s="13" t="n">
        <f aca="false">BD378</f>
        <v>-14903520.4634158</v>
      </c>
      <c r="BF372" s="13" t="n">
        <f aca="false">BE378</f>
        <v>-15110599.8331978</v>
      </c>
      <c r="BG372" s="13" t="n">
        <f aca="false">BF378</f>
        <v>-15317679.2029797</v>
      </c>
      <c r="BH372" s="13" t="n">
        <f aca="false">BG378</f>
        <v>-15524758.5727617</v>
      </c>
      <c r="BI372" s="13" t="n">
        <f aca="false">BH378</f>
        <v>-15731837.9425437</v>
      </c>
      <c r="BJ372" s="13" t="n">
        <f aca="false">BI378</f>
        <v>-15938917.3123256</v>
      </c>
      <c r="BK372" s="13" t="n">
        <f aca="false">BJ378</f>
        <v>-16149795.5095032</v>
      </c>
      <c r="BL372" s="13" t="n">
        <f aca="false">BK378</f>
        <v>-16360673.7066808</v>
      </c>
      <c r="BM372" s="13" t="n">
        <f aca="false">BL378</f>
        <v>-16571551.9038584</v>
      </c>
      <c r="BN372" s="13" t="n">
        <f aca="false">BM378</f>
        <v>-16782430.101036</v>
      </c>
      <c r="BO372" s="13" t="n">
        <f aca="false">BN378</f>
        <v>-16993308.2982136</v>
      </c>
      <c r="BP372" s="13" t="n">
        <f aca="false">BO378</f>
        <v>-17204186.4953912</v>
      </c>
      <c r="BQ372" s="13" t="n">
        <f aca="false">BP378</f>
        <v>-17415064.6925688</v>
      </c>
      <c r="BR372" s="13" t="n">
        <f aca="false">BQ378</f>
        <v>-17625942.8897464</v>
      </c>
      <c r="BS372" s="13" t="n">
        <f aca="false">BR378</f>
        <v>-17783570.736924</v>
      </c>
      <c r="BT372" s="13" t="n">
        <f aca="false">BS378</f>
        <v>-17994448.9341016</v>
      </c>
      <c r="BU372" s="13" t="n">
        <f aca="false">BT378</f>
        <v>-18205327.1312792</v>
      </c>
      <c r="BV372" s="13" t="n">
        <f aca="false">BU378</f>
        <v>-18348443.3284568</v>
      </c>
      <c r="BW372" s="13" t="n">
        <f aca="false">BV378</f>
        <v>-18563196.329578</v>
      </c>
      <c r="BX372" s="13" t="n">
        <f aca="false">BW378</f>
        <v>-18777949.3306991</v>
      </c>
      <c r="BY372" s="13" t="n">
        <f aca="false">BX378</f>
        <v>-18924940.3318203</v>
      </c>
      <c r="BZ372" s="13" t="n">
        <f aca="false">BY378</f>
        <v>-19139693.3329414</v>
      </c>
      <c r="CA372" s="13" t="n">
        <f aca="false">BZ378</f>
        <v>-19354446.3340626</v>
      </c>
      <c r="CB372" s="13" t="n">
        <f aca="false">CA378</f>
        <v>-19501437.3351837</v>
      </c>
      <c r="CC372" s="13" t="n">
        <f aca="false">CB378</f>
        <v>-19716190.3363049</v>
      </c>
      <c r="CD372" s="13" t="n">
        <f aca="false">CC378</f>
        <v>-19930943.337426</v>
      </c>
      <c r="CE372" s="13" t="n">
        <f aca="false">CD378</f>
        <v>-20069197.3385472</v>
      </c>
      <c r="CF372" s="13" t="n">
        <f aca="false">CE378</f>
        <v>-20283950.3396683</v>
      </c>
      <c r="CG372" s="13" t="n">
        <f aca="false">CF378</f>
        <v>-20498703.3407895</v>
      </c>
      <c r="CH372" s="13" t="n">
        <f aca="false">CG378</f>
        <v>-20636957.3419106</v>
      </c>
      <c r="CI372" s="13" t="n">
        <f aca="false">CH378</f>
        <v>-20855662.6430542</v>
      </c>
      <c r="CJ372" s="13" t="n">
        <f aca="false">CI378</f>
        <v>-21074367.9441978</v>
      </c>
      <c r="CK372" s="13" t="n">
        <f aca="false">CJ378</f>
        <v>-21209966.2187349</v>
      </c>
      <c r="CL372" s="13" t="n">
        <f aca="false">CK378</f>
        <v>-21270810.5198785</v>
      </c>
      <c r="CM372" s="13" t="n">
        <f aca="false">CL378</f>
        <v>-21331654.821022</v>
      </c>
      <c r="CN372" s="13" t="n">
        <f aca="false">CM378</f>
        <v>-21392499.1221656</v>
      </c>
      <c r="CO372" s="13" t="n">
        <f aca="false">CN378</f>
        <v>-21453343.4233092</v>
      </c>
      <c r="CP372" s="13" t="n">
        <f aca="false">CO378</f>
        <v>-21514187.7244528</v>
      </c>
      <c r="CQ372" s="13" t="n">
        <f aca="false">CP378</f>
        <v>-21575032.0255963</v>
      </c>
      <c r="CR372" s="13" t="n">
        <f aca="false">CQ378</f>
        <v>-21635876.3267399</v>
      </c>
      <c r="CS372" s="13" t="n">
        <f aca="false">CR378</f>
        <v>-21696720.6278835</v>
      </c>
      <c r="CT372" s="13" t="n">
        <f aca="false">CS378</f>
        <v>-21757564.9290271</v>
      </c>
      <c r="CU372" s="13" t="n">
        <f aca="false">CT378</f>
        <v>-21816461.4279839</v>
      </c>
      <c r="CV372" s="13" t="n">
        <f aca="false">CU378</f>
        <v>-21875357.9269407</v>
      </c>
      <c r="CW372" s="13" t="n">
        <f aca="false">CV378</f>
        <v>-21934254.4258975</v>
      </c>
      <c r="CX372" s="13" t="n">
        <f aca="false">CW378</f>
        <v>-21937442.7737907</v>
      </c>
      <c r="CY372" s="13" t="n">
        <f aca="false">CX378</f>
        <v>-21923184.2727476</v>
      </c>
      <c r="CZ372" s="13" t="n">
        <f aca="false">CY378</f>
        <v>-21908925.7717044</v>
      </c>
      <c r="DA372" s="13" t="n">
        <f aca="false">CZ378</f>
        <v>-21894667.2706612</v>
      </c>
      <c r="DB372" s="13" t="n">
        <f aca="false">DA378</f>
        <v>-21880408.769618</v>
      </c>
      <c r="DC372" s="13" t="n">
        <f aca="false">DB378</f>
        <v>-21866150.2685748</v>
      </c>
      <c r="DD372" s="13" t="n">
        <f aca="false">DC378</f>
        <v>-21851891.7675317</v>
      </c>
      <c r="DE372" s="13" t="n">
        <f aca="false">DD378</f>
        <v>-21837633.2664885</v>
      </c>
    </row>
    <row r="373" customFormat="false" ht="15" hidden="false" customHeight="true" outlineLevel="0" collapsed="false">
      <c r="A373" s="22" t="s">
        <v>198</v>
      </c>
      <c r="B373" s="13"/>
      <c r="C373" s="13"/>
      <c r="D373" s="13"/>
      <c r="E373" s="13"/>
      <c r="F373" s="13"/>
      <c r="G373" s="13"/>
      <c r="H373" s="13"/>
      <c r="I373" s="13"/>
      <c r="J373" s="13"/>
      <c r="K373" s="13" t="n">
        <f aca="false">K293-K258</f>
        <v>-154764.55</v>
      </c>
      <c r="L373" s="13" t="n">
        <f aca="false">L293-L258</f>
        <v>-164139.55</v>
      </c>
      <c r="M373" s="13" t="n">
        <f aca="false">M293-M258</f>
        <v>-164139.55</v>
      </c>
      <c r="N373" s="13" t="n">
        <f aca="false">N293-N258</f>
        <v>-163059.850263158</v>
      </c>
      <c r="O373" s="13" t="n">
        <f aca="false">O293-O258</f>
        <v>-158151.955526316</v>
      </c>
      <c r="P373" s="13" t="n">
        <f aca="false">P293-P258</f>
        <v>-158151.955526316</v>
      </c>
      <c r="Q373" s="13" t="n">
        <f aca="false">Q293-Q258</f>
        <v>-158151.955526316</v>
      </c>
      <c r="R373" s="13" t="n">
        <f aca="false">R293-R258</f>
        <v>-156401.955526316</v>
      </c>
      <c r="S373" s="13" t="n">
        <f aca="false">S293-S258</f>
        <v>-156401.955526316</v>
      </c>
      <c r="T373" s="13" t="n">
        <f aca="false">T293-T258</f>
        <v>-180308.205526316</v>
      </c>
      <c r="U373" s="13" t="n">
        <f aca="false">U293-U258</f>
        <v>-180308.205526316</v>
      </c>
      <c r="V373" s="13" t="n">
        <f aca="false">V293-V258</f>
        <v>-180308.205526316</v>
      </c>
      <c r="W373" s="13" t="n">
        <f aca="false">W293-W258</f>
        <v>-180308.205526316</v>
      </c>
      <c r="X373" s="13" t="n">
        <f aca="false">X293-X258</f>
        <v>-180308.205526316</v>
      </c>
      <c r="Y373" s="13" t="n">
        <f aca="false">Y293-Y258</f>
        <v>-122933.205526316</v>
      </c>
      <c r="Z373" s="13" t="n">
        <f aca="false">Z293-Z258</f>
        <v>-183887.925426316</v>
      </c>
      <c r="AA373" s="13" t="n">
        <f aca="false">AA293-AA258</f>
        <v>-183887.925426316</v>
      </c>
      <c r="AB373" s="13" t="n">
        <f aca="false">AB293-AB258</f>
        <v>-126512.925426316</v>
      </c>
      <c r="AC373" s="13" t="n">
        <f aca="false">AC293-AC258</f>
        <v>-183887.925426316</v>
      </c>
      <c r="AD373" s="13" t="n">
        <f aca="false">AD293-AD258</f>
        <v>-183887.925426316</v>
      </c>
      <c r="AE373" s="13" t="n">
        <f aca="false">AE293-AE258</f>
        <v>-126512.925426316</v>
      </c>
      <c r="AF373" s="13" t="n">
        <f aca="false">AF293-AF258</f>
        <v>-183887.925426316</v>
      </c>
      <c r="AG373" s="13" t="n">
        <f aca="false">AG293-AG258</f>
        <v>-187045.820163158</v>
      </c>
      <c r="AH373" s="13" t="n">
        <f aca="false">AH293-AH258</f>
        <v>-190203.7149</v>
      </c>
      <c r="AI373" s="13" t="n">
        <f aca="false">AI293-AI258</f>
        <v>-199703.7149</v>
      </c>
      <c r="AJ373" s="13" t="n">
        <f aca="false">AJ293-AJ258</f>
        <v>-199703.7149</v>
      </c>
      <c r="AK373" s="13" t="n">
        <f aca="false">AK293-AK258</f>
        <v>-199703.7149</v>
      </c>
      <c r="AL373" s="13" t="n">
        <f aca="false">AL293-AL258</f>
        <v>-203355.029198</v>
      </c>
      <c r="AM373" s="13" t="n">
        <f aca="false">AM293-AM258</f>
        <v>-203355.029198</v>
      </c>
      <c r="AN373" s="13" t="n">
        <f aca="false">AN293-AN258</f>
        <v>-203355.029198</v>
      </c>
      <c r="AO373" s="13" t="n">
        <f aca="false">AO293-AO258</f>
        <v>-203355.029198</v>
      </c>
      <c r="AP373" s="13" t="n">
        <f aca="false">AP293-AP258</f>
        <v>-203355.029198</v>
      </c>
      <c r="AQ373" s="13" t="n">
        <f aca="false">AQ293-AQ258</f>
        <v>-203355.029198</v>
      </c>
      <c r="AR373" s="13" t="n">
        <f aca="false">AR293-AR258</f>
        <v>-203355.029198</v>
      </c>
      <c r="AS373" s="13" t="n">
        <f aca="false">AS293-AS258</f>
        <v>-203355.029198</v>
      </c>
      <c r="AT373" s="13" t="n">
        <f aca="false">AT293-AT258</f>
        <v>-203355.029198</v>
      </c>
      <c r="AU373" s="13" t="n">
        <f aca="false">AU293-AU258</f>
        <v>-203355.029198</v>
      </c>
      <c r="AV373" s="13" t="n">
        <f aca="false">AV293-AV258</f>
        <v>-203355.029198</v>
      </c>
      <c r="AW373" s="13" t="n">
        <f aca="false">AW293-AW258</f>
        <v>-203355.029198</v>
      </c>
      <c r="AX373" s="13" t="n">
        <f aca="false">AX293-AX258</f>
        <v>-207079.36978196</v>
      </c>
      <c r="AY373" s="13" t="n">
        <f aca="false">AY293-AY258</f>
        <v>-207079.36978196</v>
      </c>
      <c r="AZ373" s="13" t="n">
        <f aca="false">AZ293-AZ258</f>
        <v>-207079.36978196</v>
      </c>
      <c r="BA373" s="13" t="n">
        <f aca="false">BA293-BA258</f>
        <v>-207079.36978196</v>
      </c>
      <c r="BB373" s="13" t="n">
        <f aca="false">BB293-BB258</f>
        <v>-207079.36978196</v>
      </c>
      <c r="BC373" s="13" t="n">
        <f aca="false">BC293-BC258</f>
        <v>-207079.36978196</v>
      </c>
      <c r="BD373" s="13" t="n">
        <f aca="false">BD293-BD258</f>
        <v>-207079.36978196</v>
      </c>
      <c r="BE373" s="13" t="n">
        <f aca="false">BE293-BE258</f>
        <v>-207079.36978196</v>
      </c>
      <c r="BF373" s="13" t="n">
        <f aca="false">BF293-BF258</f>
        <v>-207079.36978196</v>
      </c>
      <c r="BG373" s="13" t="n">
        <f aca="false">BG293-BG258</f>
        <v>-207079.36978196</v>
      </c>
      <c r="BH373" s="13" t="n">
        <f aca="false">BH293-BH258</f>
        <v>-207079.36978196</v>
      </c>
      <c r="BI373" s="13" t="n">
        <f aca="false">BI293-BI258</f>
        <v>-207079.36978196</v>
      </c>
      <c r="BJ373" s="13" t="n">
        <f aca="false">BJ293-BJ258</f>
        <v>-210878.197177599</v>
      </c>
      <c r="BK373" s="13" t="n">
        <f aca="false">BK293-BK258</f>
        <v>-210878.197177599</v>
      </c>
      <c r="BL373" s="13" t="n">
        <f aca="false">BL293-BL258</f>
        <v>-210878.197177599</v>
      </c>
      <c r="BM373" s="13" t="n">
        <f aca="false">BM293-BM258</f>
        <v>-210878.197177599</v>
      </c>
      <c r="BN373" s="13" t="n">
        <f aca="false">BN293-BN258</f>
        <v>-210878.197177599</v>
      </c>
      <c r="BO373" s="13" t="n">
        <f aca="false">BO293-BO258</f>
        <v>-210878.197177599</v>
      </c>
      <c r="BP373" s="13" t="n">
        <f aca="false">BP293-BP258</f>
        <v>-210878.197177599</v>
      </c>
      <c r="BQ373" s="13" t="n">
        <f aca="false">BQ293-BQ258</f>
        <v>-210878.197177599</v>
      </c>
      <c r="BR373" s="13" t="n">
        <f aca="false">BR293-BR258</f>
        <v>-157627.847177599</v>
      </c>
      <c r="BS373" s="13" t="n">
        <f aca="false">BS293-BS258</f>
        <v>-210878.197177599</v>
      </c>
      <c r="BT373" s="13" t="n">
        <f aca="false">BT293-BT258</f>
        <v>-210878.197177599</v>
      </c>
      <c r="BU373" s="13" t="n">
        <f aca="false">BU293-BU258</f>
        <v>-143116.197177599</v>
      </c>
      <c r="BV373" s="13" t="n">
        <f aca="false">BV293-BV258</f>
        <v>-214753.001121151</v>
      </c>
      <c r="BW373" s="13" t="n">
        <f aca="false">BW293-BW258</f>
        <v>-214753.001121151</v>
      </c>
      <c r="BX373" s="13" t="n">
        <f aca="false">BX293-BX258</f>
        <v>-146991.001121151</v>
      </c>
      <c r="BY373" s="13" t="n">
        <f aca="false">BY293-BY258</f>
        <v>-214753.001121151</v>
      </c>
      <c r="BZ373" s="13" t="n">
        <f aca="false">BZ293-BZ258</f>
        <v>-214753.001121151</v>
      </c>
      <c r="CA373" s="13" t="n">
        <f aca="false">CA293-CA258</f>
        <v>-146991.001121151</v>
      </c>
      <c r="CB373" s="13" t="n">
        <f aca="false">CB293-CB258</f>
        <v>-214753.001121151</v>
      </c>
      <c r="CC373" s="13" t="n">
        <f aca="false">CC293-CC258</f>
        <v>-214753.001121151</v>
      </c>
      <c r="CD373" s="13" t="n">
        <f aca="false">CD293-CD258</f>
        <v>-138254.001121151</v>
      </c>
      <c r="CE373" s="13" t="n">
        <f aca="false">CE293-CE258</f>
        <v>-214753.001121151</v>
      </c>
      <c r="CF373" s="13" t="n">
        <f aca="false">CF293-CF258</f>
        <v>-214753.001121151</v>
      </c>
      <c r="CG373" s="13" t="n">
        <f aca="false">CG293-CG258</f>
        <v>-138254.001121151</v>
      </c>
      <c r="CH373" s="13" t="n">
        <f aca="false">CH293-CH258</f>
        <v>-218705.301143574</v>
      </c>
      <c r="CI373" s="13" t="n">
        <f aca="false">CI293-CI258</f>
        <v>-218705.301143574</v>
      </c>
      <c r="CJ373" s="13" t="n">
        <f aca="false">CJ293-CJ258</f>
        <v>-135598.274537095</v>
      </c>
      <c r="CK373" s="13" t="n">
        <f aca="false">CK293-CK258</f>
        <v>-60844.3011435742</v>
      </c>
      <c r="CL373" s="13" t="n">
        <f aca="false">CL293-CL258</f>
        <v>-60844.3011435742</v>
      </c>
      <c r="CM373" s="13" t="n">
        <f aca="false">CM293-CM258</f>
        <v>-60844.3011435742</v>
      </c>
      <c r="CN373" s="13" t="n">
        <f aca="false">CN293-CN258</f>
        <v>-60844.3011435742</v>
      </c>
      <c r="CO373" s="13" t="n">
        <f aca="false">CO293-CO258</f>
        <v>-60844.3011435742</v>
      </c>
      <c r="CP373" s="13" t="n">
        <f aca="false">CP293-CP258</f>
        <v>-60844.3011435742</v>
      </c>
      <c r="CQ373" s="13" t="n">
        <f aca="false">CQ293-CQ258</f>
        <v>-60844.3011435742</v>
      </c>
      <c r="CR373" s="13" t="n">
        <f aca="false">CR293-CR258</f>
        <v>-60844.3011435742</v>
      </c>
      <c r="CS373" s="13" t="n">
        <f aca="false">CS293-CS258</f>
        <v>-60844.3011435742</v>
      </c>
      <c r="CT373" s="13" t="n">
        <f aca="false">CT293-CT258</f>
        <v>-58896.4989568171</v>
      </c>
      <c r="CU373" s="13" t="n">
        <f aca="false">CU293-CU258</f>
        <v>-58896.4989568171</v>
      </c>
      <c r="CV373" s="13" t="n">
        <f aca="false">CV293-CV258</f>
        <v>-58896.4989568171</v>
      </c>
      <c r="CW373" s="13" t="n">
        <f aca="false">CW293-CW258</f>
        <v>-3188.34789322427</v>
      </c>
      <c r="CX373" s="13" t="n">
        <f aca="false">CX293-CX258</f>
        <v>14258.5010431829</v>
      </c>
      <c r="CY373" s="13" t="n">
        <f aca="false">CY293-CY258</f>
        <v>14258.5010431829</v>
      </c>
      <c r="CZ373" s="13" t="n">
        <f aca="false">CZ293-CZ258</f>
        <v>14258.5010431829</v>
      </c>
      <c r="DA373" s="13" t="n">
        <f aca="false">DA293-DA258</f>
        <v>14258.5010431829</v>
      </c>
      <c r="DB373" s="13" t="n">
        <f aca="false">DB293-DB258</f>
        <v>14258.5010431829</v>
      </c>
      <c r="DC373" s="13" t="n">
        <f aca="false">DC293-DC258</f>
        <v>14258.5010431829</v>
      </c>
      <c r="DD373" s="13" t="n">
        <f aca="false">DD293-DD258</f>
        <v>14258.5010431829</v>
      </c>
      <c r="DE373" s="13" t="n">
        <f aca="false">DE293-DE258</f>
        <v>14258.5010431829</v>
      </c>
    </row>
    <row r="374" customFormat="false" ht="15" hidden="false" customHeight="true" outlineLevel="0" collapsed="false">
      <c r="A374" s="22" t="s">
        <v>199</v>
      </c>
      <c r="B374" s="13"/>
      <c r="C374" s="13"/>
      <c r="D374" s="13"/>
      <c r="E374" s="13"/>
      <c r="F374" s="13"/>
      <c r="G374" s="13"/>
      <c r="H374" s="13"/>
      <c r="I374" s="13"/>
      <c r="J374" s="13"/>
      <c r="K374" s="13" t="n">
        <f aca="false">K298</f>
        <v>1108.06288333333</v>
      </c>
      <c r="L374" s="13" t="n">
        <f aca="false">L298</f>
        <v>1108.06288333333</v>
      </c>
      <c r="M374" s="13" t="n">
        <f aca="false">M298</f>
        <v>1108.06288333333</v>
      </c>
      <c r="N374" s="13" t="n">
        <f aca="false">N298</f>
        <v>0</v>
      </c>
      <c r="O374" s="13" t="n">
        <f aca="false">O298</f>
        <v>0</v>
      </c>
      <c r="P374" s="13" t="n">
        <f aca="false">P298</f>
        <v>915.383032999997</v>
      </c>
      <c r="Q374" s="13" t="n">
        <f aca="false">Q298</f>
        <v>0</v>
      </c>
      <c r="R374" s="13" t="n">
        <f aca="false">R298</f>
        <v>0</v>
      </c>
      <c r="S374" s="13" t="n">
        <f aca="false">S298</f>
        <v>0</v>
      </c>
      <c r="T374" s="13" t="n">
        <f aca="false">T298</f>
        <v>0</v>
      </c>
      <c r="U374" s="13" t="n">
        <f aca="false">U298</f>
        <v>0</v>
      </c>
      <c r="V374" s="13" t="n">
        <f aca="false">V298</f>
        <v>0</v>
      </c>
      <c r="W374" s="13" t="n">
        <f aca="false">W298</f>
        <v>0</v>
      </c>
      <c r="X374" s="13" t="n">
        <f aca="false">X298</f>
        <v>0</v>
      </c>
      <c r="Y374" s="13" t="n">
        <f aca="false">Y298</f>
        <v>0</v>
      </c>
      <c r="Z374" s="13" t="n">
        <f aca="false">Z298</f>
        <v>0</v>
      </c>
      <c r="AA374" s="13" t="n">
        <f aca="false">AA298</f>
        <v>0</v>
      </c>
      <c r="AB374" s="13" t="n">
        <f aca="false">AB298</f>
        <v>0</v>
      </c>
      <c r="AC374" s="13" t="n">
        <f aca="false">AC298</f>
        <v>0</v>
      </c>
      <c r="AD374" s="13" t="n">
        <f aca="false">AD298</f>
        <v>0</v>
      </c>
      <c r="AE374" s="13" t="n">
        <f aca="false">AE298</f>
        <v>0</v>
      </c>
      <c r="AF374" s="13" t="n">
        <f aca="false">AF298</f>
        <v>0</v>
      </c>
      <c r="AG374" s="13" t="n">
        <f aca="false">AG298</f>
        <v>0</v>
      </c>
      <c r="AH374" s="13" t="n">
        <f aca="false">AH298</f>
        <v>0</v>
      </c>
      <c r="AI374" s="13" t="n">
        <f aca="false">AI298</f>
        <v>0</v>
      </c>
      <c r="AJ374" s="13" t="n">
        <f aca="false">AJ298</f>
        <v>0</v>
      </c>
      <c r="AK374" s="13" t="n">
        <f aca="false">AK298</f>
        <v>0</v>
      </c>
      <c r="AL374" s="13" t="n">
        <f aca="false">AL298</f>
        <v>0</v>
      </c>
      <c r="AM374" s="13" t="n">
        <f aca="false">AM298</f>
        <v>0</v>
      </c>
      <c r="AN374" s="13" t="n">
        <f aca="false">AN298</f>
        <v>0</v>
      </c>
      <c r="AO374" s="13" t="n">
        <f aca="false">AO298</f>
        <v>0</v>
      </c>
      <c r="AP374" s="13" t="n">
        <f aca="false">AP298</f>
        <v>0</v>
      </c>
      <c r="AQ374" s="13" t="n">
        <f aca="false">AQ298</f>
        <v>0</v>
      </c>
      <c r="AR374" s="13" t="n">
        <f aca="false">AR298</f>
        <v>0</v>
      </c>
      <c r="AS374" s="13" t="n">
        <f aca="false">AS298</f>
        <v>0</v>
      </c>
      <c r="AT374" s="13" t="n">
        <f aca="false">AT298</f>
        <v>0</v>
      </c>
      <c r="AU374" s="13" t="n">
        <f aca="false">AU298</f>
        <v>0</v>
      </c>
      <c r="AV374" s="13" t="n">
        <f aca="false">AV298</f>
        <v>0</v>
      </c>
      <c r="AW374" s="13" t="n">
        <f aca="false">AW298</f>
        <v>0</v>
      </c>
      <c r="AX374" s="13" t="n">
        <f aca="false">AX298</f>
        <v>0</v>
      </c>
      <c r="AY374" s="13" t="n">
        <f aca="false">AY298</f>
        <v>0</v>
      </c>
      <c r="AZ374" s="13" t="n">
        <f aca="false">AZ298</f>
        <v>0</v>
      </c>
      <c r="BA374" s="13" t="n">
        <f aca="false">BA298</f>
        <v>0</v>
      </c>
      <c r="BB374" s="13" t="n">
        <f aca="false">BB298</f>
        <v>0</v>
      </c>
      <c r="BC374" s="13" t="n">
        <f aca="false">BC298</f>
        <v>0</v>
      </c>
      <c r="BD374" s="13" t="n">
        <f aca="false">BD298</f>
        <v>0</v>
      </c>
      <c r="BE374" s="13" t="n">
        <f aca="false">BE298</f>
        <v>0</v>
      </c>
      <c r="BF374" s="13" t="n">
        <f aca="false">BF298</f>
        <v>0</v>
      </c>
      <c r="BG374" s="13" t="n">
        <f aca="false">BG298</f>
        <v>0</v>
      </c>
      <c r="BH374" s="13" t="n">
        <f aca="false">BH298</f>
        <v>0</v>
      </c>
      <c r="BI374" s="13" t="n">
        <f aca="false">BI298</f>
        <v>0</v>
      </c>
      <c r="BJ374" s="13" t="n">
        <f aca="false">BJ298</f>
        <v>0</v>
      </c>
      <c r="BK374" s="13" t="n">
        <f aca="false">BK298</f>
        <v>0</v>
      </c>
      <c r="BL374" s="13" t="n">
        <f aca="false">BL298</f>
        <v>0</v>
      </c>
      <c r="BM374" s="13" t="n">
        <f aca="false">BM298</f>
        <v>0</v>
      </c>
      <c r="BN374" s="13" t="n">
        <f aca="false">BN298</f>
        <v>0</v>
      </c>
      <c r="BO374" s="13" t="n">
        <f aca="false">BO298</f>
        <v>0</v>
      </c>
      <c r="BP374" s="13" t="n">
        <f aca="false">BP298</f>
        <v>0</v>
      </c>
      <c r="BQ374" s="13" t="n">
        <f aca="false">BQ298</f>
        <v>0</v>
      </c>
      <c r="BR374" s="13" t="n">
        <f aca="false">BR298</f>
        <v>0</v>
      </c>
      <c r="BS374" s="13" t="n">
        <f aca="false">BS298</f>
        <v>0</v>
      </c>
      <c r="BT374" s="13" t="n">
        <f aca="false">BT298</f>
        <v>0</v>
      </c>
      <c r="BU374" s="13" t="n">
        <f aca="false">BU298</f>
        <v>0</v>
      </c>
      <c r="BV374" s="13" t="n">
        <f aca="false">BV298</f>
        <v>0</v>
      </c>
      <c r="BW374" s="13" t="n">
        <f aca="false">BW298</f>
        <v>0</v>
      </c>
      <c r="BX374" s="13" t="n">
        <f aca="false">BX298</f>
        <v>0</v>
      </c>
      <c r="BY374" s="13" t="n">
        <f aca="false">BY298</f>
        <v>0</v>
      </c>
      <c r="BZ374" s="13" t="n">
        <f aca="false">BZ298</f>
        <v>0</v>
      </c>
      <c r="CA374" s="13" t="n">
        <f aca="false">CA298</f>
        <v>0</v>
      </c>
      <c r="CB374" s="13" t="n">
        <f aca="false">CB298</f>
        <v>0</v>
      </c>
      <c r="CC374" s="13" t="n">
        <f aca="false">CC298</f>
        <v>0</v>
      </c>
      <c r="CD374" s="13" t="n">
        <f aca="false">CD298</f>
        <v>0</v>
      </c>
      <c r="CE374" s="13" t="n">
        <f aca="false">CE298</f>
        <v>0</v>
      </c>
      <c r="CF374" s="13" t="n">
        <f aca="false">CF298</f>
        <v>0</v>
      </c>
      <c r="CG374" s="13" t="n">
        <f aca="false">CG298</f>
        <v>0</v>
      </c>
      <c r="CH374" s="13" t="n">
        <f aca="false">CH298</f>
        <v>0</v>
      </c>
      <c r="CI374" s="13" t="n">
        <f aca="false">CI298</f>
        <v>0</v>
      </c>
      <c r="CJ374" s="13" t="n">
        <f aca="false">CJ298</f>
        <v>0</v>
      </c>
      <c r="CK374" s="13" t="n">
        <f aca="false">CK298</f>
        <v>0</v>
      </c>
      <c r="CL374" s="13" t="n">
        <f aca="false">CL298</f>
        <v>0</v>
      </c>
      <c r="CM374" s="13" t="n">
        <f aca="false">CM298</f>
        <v>0</v>
      </c>
      <c r="CN374" s="13" t="n">
        <f aca="false">CN298</f>
        <v>0</v>
      </c>
      <c r="CO374" s="13" t="n">
        <f aca="false">CO298</f>
        <v>0</v>
      </c>
      <c r="CP374" s="13" t="n">
        <f aca="false">CP298</f>
        <v>0</v>
      </c>
      <c r="CQ374" s="13" t="n">
        <f aca="false">CQ298</f>
        <v>0</v>
      </c>
      <c r="CR374" s="13" t="n">
        <f aca="false">CR298</f>
        <v>0</v>
      </c>
      <c r="CS374" s="13" t="n">
        <f aca="false">CS298</f>
        <v>0</v>
      </c>
      <c r="CT374" s="13" t="n">
        <f aca="false">CT298</f>
        <v>0</v>
      </c>
      <c r="CU374" s="13" t="n">
        <f aca="false">CU298</f>
        <v>0</v>
      </c>
      <c r="CV374" s="13" t="n">
        <f aca="false">CV298</f>
        <v>0</v>
      </c>
      <c r="CW374" s="13" t="n">
        <f aca="false">CW298</f>
        <v>0</v>
      </c>
      <c r="CX374" s="13" t="n">
        <f aca="false">CX298</f>
        <v>0</v>
      </c>
      <c r="CY374" s="13" t="n">
        <f aca="false">CY298</f>
        <v>0</v>
      </c>
      <c r="CZ374" s="13" t="n">
        <f aca="false">CZ298</f>
        <v>0</v>
      </c>
      <c r="DA374" s="13" t="n">
        <f aca="false">DA298</f>
        <v>0</v>
      </c>
      <c r="DB374" s="13" t="n">
        <f aca="false">DB298</f>
        <v>0</v>
      </c>
      <c r="DC374" s="13" t="n">
        <f aca="false">DC298</f>
        <v>0</v>
      </c>
      <c r="DD374" s="13" t="n">
        <f aca="false">DD298</f>
        <v>0</v>
      </c>
      <c r="DE374" s="13" t="n">
        <f aca="false">DE298</f>
        <v>0</v>
      </c>
    </row>
    <row r="375" customFormat="false" ht="15" hidden="false" customHeight="true" outlineLevel="0" collapsed="false">
      <c r="A375" s="22" t="s">
        <v>200</v>
      </c>
      <c r="B375" s="13"/>
      <c r="C375" s="13"/>
      <c r="D375" s="13"/>
      <c r="E375" s="13"/>
      <c r="F375" s="13"/>
      <c r="G375" s="13"/>
      <c r="H375" s="13"/>
      <c r="I375" s="13"/>
      <c r="J375" s="13"/>
      <c r="K375" s="13" t="n">
        <f aca="false">K316</f>
        <v>0</v>
      </c>
      <c r="L375" s="13" t="n">
        <f aca="false">L316</f>
        <v>0</v>
      </c>
      <c r="M375" s="13" t="n">
        <f aca="false">M316</f>
        <v>0</v>
      </c>
      <c r="N375" s="13" t="n">
        <f aca="false">N316</f>
        <v>0</v>
      </c>
      <c r="O375" s="13" t="n">
        <f aca="false">O316</f>
        <v>0</v>
      </c>
      <c r="P375" s="13" t="n">
        <f aca="false">P316</f>
        <v>0</v>
      </c>
      <c r="Q375" s="13" t="n">
        <f aca="false">Q316</f>
        <v>0</v>
      </c>
      <c r="R375" s="13" t="n">
        <f aca="false">R316</f>
        <v>0</v>
      </c>
      <c r="S375" s="13" t="n">
        <f aca="false">S316</f>
        <v>0</v>
      </c>
      <c r="T375" s="13" t="n">
        <f aca="false">T316</f>
        <v>0</v>
      </c>
      <c r="U375" s="13" t="n">
        <f aca="false">U316</f>
        <v>-112000</v>
      </c>
      <c r="V375" s="13" t="n">
        <f aca="false">V316</f>
        <v>-112000</v>
      </c>
      <c r="W375" s="13" t="n">
        <f aca="false">W316</f>
        <v>-112000</v>
      </c>
      <c r="X375" s="13" t="n">
        <f aca="false">X316</f>
        <v>-112000</v>
      </c>
      <c r="Y375" s="13" t="n">
        <f aca="false">Y316</f>
        <v>-112000</v>
      </c>
      <c r="Z375" s="13" t="n">
        <f aca="false">Z316</f>
        <v>-112000</v>
      </c>
      <c r="AA375" s="13" t="n">
        <f aca="false">AA316</f>
        <v>-112000</v>
      </c>
      <c r="AB375" s="13" t="n">
        <f aca="false">AB316</f>
        <v>-112000</v>
      </c>
      <c r="AC375" s="13" t="n">
        <f aca="false">AC316</f>
        <v>-112000</v>
      </c>
      <c r="AD375" s="13" t="n">
        <f aca="false">AD316</f>
        <v>-112000</v>
      </c>
      <c r="AE375" s="13" t="n">
        <f aca="false">AE316</f>
        <v>-112000</v>
      </c>
      <c r="AF375" s="13" t="n">
        <f aca="false">AF316</f>
        <v>-112000</v>
      </c>
      <c r="AG375" s="13" t="n">
        <f aca="false">AG316</f>
        <v>-112000</v>
      </c>
      <c r="AH375" s="13" t="n">
        <f aca="false">AH316</f>
        <v>-112000</v>
      </c>
      <c r="AI375" s="13" t="n">
        <f aca="false">AI316</f>
        <v>-112000</v>
      </c>
      <c r="AJ375" s="13" t="n">
        <f aca="false">AJ316</f>
        <v>-112000</v>
      </c>
      <c r="AK375" s="13" t="n">
        <f aca="false">AK316</f>
        <v>-112000</v>
      </c>
      <c r="AL375" s="13" t="n">
        <f aca="false">AL316</f>
        <v>-112000</v>
      </c>
      <c r="AM375" s="13" t="n">
        <f aca="false">AM316</f>
        <v>-112000</v>
      </c>
      <c r="AN375" s="13" t="n">
        <f aca="false">AN316</f>
        <v>-70119.208084316</v>
      </c>
      <c r="AO375" s="13" t="n">
        <f aca="false">AO316</f>
        <v>0</v>
      </c>
      <c r="AP375" s="13" t="n">
        <f aca="false">AP316</f>
        <v>0</v>
      </c>
      <c r="AQ375" s="13" t="n">
        <f aca="false">AQ316</f>
        <v>0</v>
      </c>
      <c r="AR375" s="13" t="n">
        <f aca="false">AR316</f>
        <v>0</v>
      </c>
      <c r="AS375" s="13" t="n">
        <f aca="false">AS316</f>
        <v>0</v>
      </c>
      <c r="AT375" s="13" t="n">
        <f aca="false">AT316</f>
        <v>0</v>
      </c>
      <c r="AU375" s="13" t="n">
        <f aca="false">AU316</f>
        <v>0</v>
      </c>
      <c r="AV375" s="13" t="n">
        <f aca="false">AV316</f>
        <v>0</v>
      </c>
      <c r="AW375" s="13" t="n">
        <f aca="false">AW316</f>
        <v>0</v>
      </c>
      <c r="AX375" s="13" t="n">
        <f aca="false">AX316</f>
        <v>0</v>
      </c>
      <c r="AY375" s="13" t="n">
        <f aca="false">AY316</f>
        <v>0</v>
      </c>
      <c r="AZ375" s="13" t="n">
        <f aca="false">AZ316</f>
        <v>0</v>
      </c>
      <c r="BA375" s="13" t="n">
        <f aca="false">BA316</f>
        <v>0</v>
      </c>
      <c r="BB375" s="13" t="n">
        <f aca="false">BB316</f>
        <v>0</v>
      </c>
      <c r="BC375" s="13" t="n">
        <f aca="false">BC316</f>
        <v>0</v>
      </c>
      <c r="BD375" s="13" t="n">
        <f aca="false">BD316</f>
        <v>0</v>
      </c>
      <c r="BE375" s="13" t="n">
        <f aca="false">BE316</f>
        <v>0</v>
      </c>
      <c r="BF375" s="13" t="n">
        <f aca="false">BF316</f>
        <v>0</v>
      </c>
      <c r="BG375" s="13" t="n">
        <f aca="false">BG316</f>
        <v>0</v>
      </c>
      <c r="BH375" s="13" t="n">
        <f aca="false">BH316</f>
        <v>0</v>
      </c>
      <c r="BI375" s="13" t="n">
        <f aca="false">BI316</f>
        <v>0</v>
      </c>
      <c r="BJ375" s="13" t="n">
        <f aca="false">BJ316</f>
        <v>0</v>
      </c>
      <c r="BK375" s="13" t="n">
        <f aca="false">BK316</f>
        <v>0</v>
      </c>
      <c r="BL375" s="13" t="n">
        <f aca="false">BL316</f>
        <v>0</v>
      </c>
      <c r="BM375" s="13" t="n">
        <f aca="false">BM316</f>
        <v>0</v>
      </c>
      <c r="BN375" s="13" t="n">
        <f aca="false">BN316</f>
        <v>0</v>
      </c>
      <c r="BO375" s="13" t="n">
        <f aca="false">BO316</f>
        <v>0</v>
      </c>
      <c r="BP375" s="13" t="n">
        <f aca="false">BP316</f>
        <v>0</v>
      </c>
      <c r="BQ375" s="13" t="n">
        <f aca="false">BQ316</f>
        <v>0</v>
      </c>
      <c r="BR375" s="13" t="n">
        <f aca="false">BR316</f>
        <v>0</v>
      </c>
      <c r="BS375" s="13" t="n">
        <f aca="false">BS316</f>
        <v>0</v>
      </c>
      <c r="BT375" s="13" t="n">
        <f aca="false">BT316</f>
        <v>0</v>
      </c>
      <c r="BU375" s="13" t="n">
        <f aca="false">BU316</f>
        <v>0</v>
      </c>
      <c r="BV375" s="13" t="n">
        <f aca="false">BV316</f>
        <v>0</v>
      </c>
      <c r="BW375" s="13" t="n">
        <f aca="false">BW316</f>
        <v>0</v>
      </c>
      <c r="BX375" s="13" t="n">
        <f aca="false">BX316</f>
        <v>0</v>
      </c>
      <c r="BY375" s="13" t="n">
        <f aca="false">BY316</f>
        <v>0</v>
      </c>
      <c r="BZ375" s="13" t="n">
        <f aca="false">BZ316</f>
        <v>0</v>
      </c>
      <c r="CA375" s="13" t="n">
        <f aca="false">CA316</f>
        <v>0</v>
      </c>
      <c r="CB375" s="13" t="n">
        <f aca="false">CB316</f>
        <v>0</v>
      </c>
      <c r="CC375" s="13" t="n">
        <f aca="false">CC316</f>
        <v>0</v>
      </c>
      <c r="CD375" s="13" t="n">
        <f aca="false">CD316</f>
        <v>0</v>
      </c>
      <c r="CE375" s="13" t="n">
        <f aca="false">CE316</f>
        <v>0</v>
      </c>
      <c r="CF375" s="13" t="n">
        <f aca="false">CF316</f>
        <v>0</v>
      </c>
      <c r="CG375" s="13" t="n">
        <f aca="false">CG316</f>
        <v>0</v>
      </c>
      <c r="CH375" s="13" t="n">
        <f aca="false">CH316</f>
        <v>0</v>
      </c>
      <c r="CI375" s="13" t="n">
        <f aca="false">CI316</f>
        <v>0</v>
      </c>
      <c r="CJ375" s="13" t="n">
        <f aca="false">CJ316</f>
        <v>0</v>
      </c>
      <c r="CK375" s="13" t="n">
        <f aca="false">CK316</f>
        <v>0</v>
      </c>
      <c r="CL375" s="13" t="n">
        <f aca="false">CL316</f>
        <v>0</v>
      </c>
      <c r="CM375" s="13" t="n">
        <f aca="false">CM316</f>
        <v>0</v>
      </c>
      <c r="CN375" s="13" t="n">
        <f aca="false">CN316</f>
        <v>0</v>
      </c>
      <c r="CO375" s="13" t="n">
        <f aca="false">CO316</f>
        <v>0</v>
      </c>
      <c r="CP375" s="13" t="n">
        <f aca="false">CP316</f>
        <v>0</v>
      </c>
      <c r="CQ375" s="13" t="n">
        <f aca="false">CQ316</f>
        <v>0</v>
      </c>
      <c r="CR375" s="13" t="n">
        <f aca="false">CR316</f>
        <v>0</v>
      </c>
      <c r="CS375" s="13" t="n">
        <f aca="false">CS316</f>
        <v>0</v>
      </c>
      <c r="CT375" s="13" t="n">
        <f aca="false">CT316</f>
        <v>0</v>
      </c>
      <c r="CU375" s="13" t="n">
        <f aca="false">CU316</f>
        <v>0</v>
      </c>
      <c r="CV375" s="13" t="n">
        <f aca="false">CV316</f>
        <v>0</v>
      </c>
      <c r="CW375" s="13" t="n">
        <f aca="false">CW316</f>
        <v>0</v>
      </c>
      <c r="CX375" s="13" t="n">
        <f aca="false">CX316</f>
        <v>0</v>
      </c>
      <c r="CY375" s="13" t="n">
        <f aca="false">CY316</f>
        <v>0</v>
      </c>
      <c r="CZ375" s="13" t="n">
        <f aca="false">CZ316</f>
        <v>0</v>
      </c>
      <c r="DA375" s="13" t="n">
        <f aca="false">DA316</f>
        <v>0</v>
      </c>
      <c r="DB375" s="13" t="n">
        <f aca="false">DB316</f>
        <v>0</v>
      </c>
      <c r="DC375" s="13" t="n">
        <f aca="false">DC316</f>
        <v>0</v>
      </c>
      <c r="DD375" s="13" t="n">
        <f aca="false">DD316</f>
        <v>0</v>
      </c>
      <c r="DE375" s="13" t="n">
        <f aca="false">DE316</f>
        <v>0</v>
      </c>
    </row>
    <row r="376" customFormat="false" ht="15" hidden="false" customHeight="true" outlineLevel="0" collapsed="false">
      <c r="A376" s="22" t="s">
        <v>201</v>
      </c>
      <c r="B376" s="13"/>
      <c r="C376" s="13"/>
      <c r="D376" s="13"/>
      <c r="E376" s="13"/>
      <c r="F376" s="13"/>
      <c r="G376" s="13"/>
      <c r="H376" s="13"/>
      <c r="I376" s="13"/>
      <c r="J376" s="13"/>
      <c r="K376" s="13" t="n">
        <f aca="false">K322</f>
        <v>0</v>
      </c>
      <c r="L376" s="13" t="n">
        <f aca="false">L322</f>
        <v>0</v>
      </c>
      <c r="M376" s="13" t="n">
        <f aca="false">M322</f>
        <v>0</v>
      </c>
      <c r="N376" s="13" t="n">
        <f aca="false">N322</f>
        <v>0</v>
      </c>
      <c r="O376" s="13" t="n">
        <f aca="false">O322</f>
        <v>0</v>
      </c>
      <c r="P376" s="13" t="n">
        <f aca="false">P322</f>
        <v>0</v>
      </c>
      <c r="Q376" s="13" t="n">
        <f aca="false">Q322</f>
        <v>0</v>
      </c>
      <c r="R376" s="13" t="n">
        <f aca="false">R322</f>
        <v>0</v>
      </c>
      <c r="S376" s="13" t="n">
        <f aca="false">S322</f>
        <v>0</v>
      </c>
      <c r="T376" s="13" t="n">
        <f aca="false">T322</f>
        <v>0</v>
      </c>
      <c r="U376" s="13" t="n">
        <f aca="false">U322</f>
        <v>0</v>
      </c>
      <c r="V376" s="13" t="n">
        <f aca="false">V322</f>
        <v>0</v>
      </c>
      <c r="W376" s="13" t="n">
        <f aca="false">W322</f>
        <v>0</v>
      </c>
      <c r="X376" s="13" t="n">
        <f aca="false">X322</f>
        <v>0</v>
      </c>
      <c r="Y376" s="13" t="n">
        <f aca="false">Y322</f>
        <v>0</v>
      </c>
      <c r="Z376" s="13" t="n">
        <f aca="false">Z322</f>
        <v>0</v>
      </c>
      <c r="AA376" s="13" t="n">
        <f aca="false">AA322</f>
        <v>-250000</v>
      </c>
      <c r="AB376" s="13" t="n">
        <f aca="false">AB322</f>
        <v>0</v>
      </c>
      <c r="AC376" s="13" t="n">
        <f aca="false">AC322</f>
        <v>0</v>
      </c>
      <c r="AD376" s="13" t="n">
        <f aca="false">AD322</f>
        <v>0</v>
      </c>
      <c r="AE376" s="13" t="n">
        <f aca="false">AE322</f>
        <v>0</v>
      </c>
      <c r="AF376" s="13" t="n">
        <f aca="false">AF322</f>
        <v>0</v>
      </c>
      <c r="AG376" s="13" t="n">
        <f aca="false">AG322</f>
        <v>0</v>
      </c>
      <c r="AH376" s="13" t="n">
        <f aca="false">AH322</f>
        <v>0</v>
      </c>
      <c r="AI376" s="13" t="n">
        <f aca="false">AI322</f>
        <v>0</v>
      </c>
      <c r="AJ376" s="13" t="n">
        <f aca="false">AJ322</f>
        <v>0</v>
      </c>
      <c r="AK376" s="13" t="n">
        <f aca="false">AK322</f>
        <v>0</v>
      </c>
      <c r="AL376" s="13" t="n">
        <f aca="false">AL322</f>
        <v>0</v>
      </c>
      <c r="AM376" s="13" t="n">
        <f aca="false">AM322</f>
        <v>-250000</v>
      </c>
      <c r="AN376" s="13" t="n">
        <f aca="false">AN322</f>
        <v>0</v>
      </c>
      <c r="AO376" s="13" t="n">
        <f aca="false">AO322</f>
        <v>0</v>
      </c>
      <c r="AP376" s="13" t="n">
        <f aca="false">AP322</f>
        <v>0</v>
      </c>
      <c r="AQ376" s="13" t="n">
        <f aca="false">AQ322</f>
        <v>0</v>
      </c>
      <c r="AR376" s="13" t="n">
        <f aca="false">AR322</f>
        <v>0</v>
      </c>
      <c r="AS376" s="13" t="n">
        <f aca="false">AS322</f>
        <v>0</v>
      </c>
      <c r="AT376" s="13" t="n">
        <f aca="false">AT322</f>
        <v>0</v>
      </c>
      <c r="AU376" s="13" t="n">
        <f aca="false">AU322</f>
        <v>0</v>
      </c>
      <c r="AV376" s="13" t="n">
        <f aca="false">AV322</f>
        <v>0</v>
      </c>
      <c r="AW376" s="13" t="n">
        <f aca="false">AW322</f>
        <v>0</v>
      </c>
      <c r="AX376" s="13" t="n">
        <f aca="false">AX322</f>
        <v>0</v>
      </c>
      <c r="AY376" s="13" t="n">
        <f aca="false">AY322</f>
        <v>0</v>
      </c>
      <c r="AZ376" s="13" t="n">
        <f aca="false">AZ322</f>
        <v>0</v>
      </c>
      <c r="BA376" s="13" t="n">
        <f aca="false">BA322</f>
        <v>0</v>
      </c>
      <c r="BB376" s="13" t="n">
        <f aca="false">BB322</f>
        <v>0</v>
      </c>
      <c r="BC376" s="13" t="n">
        <f aca="false">BC322</f>
        <v>0</v>
      </c>
      <c r="BD376" s="13" t="n">
        <f aca="false">BD322</f>
        <v>0</v>
      </c>
      <c r="BE376" s="13" t="n">
        <f aca="false">BE322</f>
        <v>0</v>
      </c>
      <c r="BF376" s="13" t="n">
        <f aca="false">BF322</f>
        <v>0</v>
      </c>
      <c r="BG376" s="13" t="n">
        <f aca="false">BG322</f>
        <v>0</v>
      </c>
      <c r="BH376" s="13" t="n">
        <f aca="false">BH322</f>
        <v>0</v>
      </c>
      <c r="BI376" s="13" t="n">
        <f aca="false">BI322</f>
        <v>0</v>
      </c>
      <c r="BJ376" s="13" t="n">
        <f aca="false">BJ322</f>
        <v>0</v>
      </c>
      <c r="BK376" s="13" t="n">
        <f aca="false">BK322</f>
        <v>0</v>
      </c>
      <c r="BL376" s="13" t="n">
        <f aca="false">BL322</f>
        <v>0</v>
      </c>
      <c r="BM376" s="13" t="n">
        <f aca="false">BM322</f>
        <v>0</v>
      </c>
      <c r="BN376" s="13" t="n">
        <f aca="false">BN322</f>
        <v>0</v>
      </c>
      <c r="BO376" s="13" t="n">
        <f aca="false">BO322</f>
        <v>0</v>
      </c>
      <c r="BP376" s="13" t="n">
        <f aca="false">BP322</f>
        <v>0</v>
      </c>
      <c r="BQ376" s="13" t="n">
        <f aca="false">BQ322</f>
        <v>0</v>
      </c>
      <c r="BR376" s="13" t="n">
        <f aca="false">BR322</f>
        <v>0</v>
      </c>
      <c r="BS376" s="13" t="n">
        <f aca="false">BS322</f>
        <v>0</v>
      </c>
      <c r="BT376" s="13" t="n">
        <f aca="false">BT322</f>
        <v>0</v>
      </c>
      <c r="BU376" s="13" t="n">
        <f aca="false">BU322</f>
        <v>0</v>
      </c>
      <c r="BV376" s="13" t="n">
        <f aca="false">BV322</f>
        <v>0</v>
      </c>
      <c r="BW376" s="13" t="n">
        <f aca="false">BW322</f>
        <v>0</v>
      </c>
      <c r="BX376" s="13" t="n">
        <f aca="false">BX322</f>
        <v>0</v>
      </c>
      <c r="BY376" s="13" t="n">
        <f aca="false">BY322</f>
        <v>0</v>
      </c>
      <c r="BZ376" s="13" t="n">
        <f aca="false">BZ322</f>
        <v>0</v>
      </c>
      <c r="CA376" s="13" t="n">
        <f aca="false">CA322</f>
        <v>0</v>
      </c>
      <c r="CB376" s="13" t="n">
        <f aca="false">CB322</f>
        <v>0</v>
      </c>
      <c r="CC376" s="13" t="n">
        <f aca="false">CC322</f>
        <v>0</v>
      </c>
      <c r="CD376" s="13" t="n">
        <f aca="false">CD322</f>
        <v>0</v>
      </c>
      <c r="CE376" s="13" t="n">
        <f aca="false">CE322</f>
        <v>0</v>
      </c>
      <c r="CF376" s="13" t="n">
        <f aca="false">CF322</f>
        <v>0</v>
      </c>
      <c r="CG376" s="13" t="n">
        <f aca="false">CG322</f>
        <v>0</v>
      </c>
      <c r="CH376" s="13" t="n">
        <f aca="false">CH322</f>
        <v>0</v>
      </c>
      <c r="CI376" s="13" t="n">
        <f aca="false">CI322</f>
        <v>0</v>
      </c>
      <c r="CJ376" s="13" t="n">
        <f aca="false">CJ322</f>
        <v>0</v>
      </c>
      <c r="CK376" s="13" t="n">
        <f aca="false">CK322</f>
        <v>0</v>
      </c>
      <c r="CL376" s="13" t="n">
        <f aca="false">CL322</f>
        <v>0</v>
      </c>
      <c r="CM376" s="13" t="n">
        <f aca="false">CM322</f>
        <v>0</v>
      </c>
      <c r="CN376" s="13" t="n">
        <f aca="false">CN322</f>
        <v>0</v>
      </c>
      <c r="CO376" s="13" t="n">
        <f aca="false">CO322</f>
        <v>0</v>
      </c>
      <c r="CP376" s="13" t="n">
        <f aca="false">CP322</f>
        <v>0</v>
      </c>
      <c r="CQ376" s="13" t="n">
        <f aca="false">CQ322</f>
        <v>0</v>
      </c>
      <c r="CR376" s="13" t="n">
        <f aca="false">CR322</f>
        <v>0</v>
      </c>
      <c r="CS376" s="13" t="n">
        <f aca="false">CS322</f>
        <v>0</v>
      </c>
      <c r="CT376" s="13" t="n">
        <f aca="false">CT322</f>
        <v>0</v>
      </c>
      <c r="CU376" s="13" t="n">
        <f aca="false">CU322</f>
        <v>0</v>
      </c>
      <c r="CV376" s="13" t="n">
        <f aca="false">CV322</f>
        <v>0</v>
      </c>
      <c r="CW376" s="13" t="n">
        <f aca="false">CW322</f>
        <v>0</v>
      </c>
      <c r="CX376" s="13" t="n">
        <f aca="false">CX322</f>
        <v>0</v>
      </c>
      <c r="CY376" s="13" t="n">
        <f aca="false">CY322</f>
        <v>0</v>
      </c>
      <c r="CZ376" s="13" t="n">
        <f aca="false">CZ322</f>
        <v>0</v>
      </c>
      <c r="DA376" s="13" t="n">
        <f aca="false">DA322</f>
        <v>0</v>
      </c>
      <c r="DB376" s="13" t="n">
        <f aca="false">DB322</f>
        <v>0</v>
      </c>
      <c r="DC376" s="13" t="n">
        <f aca="false">DC322</f>
        <v>0</v>
      </c>
      <c r="DD376" s="13" t="n">
        <f aca="false">DD322</f>
        <v>0</v>
      </c>
      <c r="DE376" s="13" t="n">
        <f aca="false">DE322</f>
        <v>0</v>
      </c>
    </row>
    <row r="377" customFormat="false" ht="15" hidden="false" customHeight="true" outlineLevel="0" collapsed="false">
      <c r="A377" s="22" t="s">
        <v>202</v>
      </c>
      <c r="B377" s="13"/>
      <c r="C377" s="13"/>
      <c r="D377" s="13"/>
      <c r="E377" s="13"/>
      <c r="F377" s="13"/>
      <c r="G377" s="13"/>
      <c r="H377" s="13"/>
      <c r="I377" s="13"/>
      <c r="J377" s="13"/>
      <c r="K377" s="13" t="n">
        <v>0</v>
      </c>
      <c r="L377" s="13" t="n">
        <v>0</v>
      </c>
      <c r="M377" s="13" t="n">
        <v>0</v>
      </c>
      <c r="N377" s="13" t="n">
        <v>0</v>
      </c>
      <c r="O377" s="13" t="n">
        <v>0</v>
      </c>
      <c r="P377" s="13" t="n">
        <v>0</v>
      </c>
      <c r="Q377" s="13" t="n">
        <v>0</v>
      </c>
      <c r="R377" s="13" t="n">
        <v>0</v>
      </c>
      <c r="S377" s="13" t="n">
        <v>0</v>
      </c>
      <c r="T377" s="13" t="n">
        <v>0</v>
      </c>
      <c r="U377" s="13" t="n">
        <v>0</v>
      </c>
      <c r="V377" s="13" t="n">
        <v>0</v>
      </c>
      <c r="W377" s="13" t="n">
        <v>0</v>
      </c>
      <c r="X377" s="13" t="n">
        <v>0</v>
      </c>
      <c r="Y377" s="13" t="n">
        <v>0</v>
      </c>
      <c r="Z377" s="13" t="n">
        <v>0</v>
      </c>
      <c r="AA377" s="13" t="n">
        <v>0</v>
      </c>
      <c r="AB377" s="13" t="n">
        <v>0</v>
      </c>
      <c r="AC377" s="13" t="n">
        <v>0</v>
      </c>
      <c r="AD377" s="13" t="n">
        <v>0</v>
      </c>
      <c r="AE377" s="13" t="n">
        <v>0</v>
      </c>
      <c r="AF377" s="13" t="n">
        <v>0</v>
      </c>
      <c r="AG377" s="13" t="n">
        <v>0</v>
      </c>
      <c r="AH377" s="13" t="n">
        <v>0</v>
      </c>
      <c r="AI377" s="13" t="n">
        <v>0</v>
      </c>
      <c r="AJ377" s="13" t="n">
        <v>0</v>
      </c>
      <c r="AK377" s="13" t="n">
        <v>0</v>
      </c>
      <c r="AL377" s="13" t="n">
        <v>0</v>
      </c>
      <c r="AM377" s="13" t="n">
        <v>0</v>
      </c>
      <c r="AN377" s="13" t="n">
        <v>0</v>
      </c>
      <c r="AO377" s="13" t="n">
        <v>0</v>
      </c>
      <c r="AP377" s="13" t="n">
        <v>0</v>
      </c>
      <c r="AQ377" s="13" t="n">
        <v>0</v>
      </c>
      <c r="AR377" s="13" t="n">
        <v>0</v>
      </c>
      <c r="AS377" s="13" t="n">
        <v>0</v>
      </c>
      <c r="AT377" s="13" t="n">
        <v>0</v>
      </c>
      <c r="AU377" s="13" t="n">
        <v>0</v>
      </c>
      <c r="AV377" s="13" t="n">
        <v>0</v>
      </c>
      <c r="AW377" s="13" t="n">
        <v>0</v>
      </c>
      <c r="AX377" s="13" t="n">
        <v>0</v>
      </c>
      <c r="AY377" s="13" t="n">
        <v>0</v>
      </c>
      <c r="AZ377" s="13" t="n">
        <v>0</v>
      </c>
      <c r="BA377" s="13" t="n">
        <v>0</v>
      </c>
      <c r="BB377" s="13" t="n">
        <v>0</v>
      </c>
      <c r="BC377" s="13" t="n">
        <v>0</v>
      </c>
      <c r="BD377" s="13" t="n">
        <v>0</v>
      </c>
      <c r="BE377" s="13" t="n">
        <v>0</v>
      </c>
      <c r="BF377" s="13" t="n">
        <v>0</v>
      </c>
      <c r="BG377" s="13" t="n">
        <v>0</v>
      </c>
      <c r="BH377" s="13" t="n">
        <v>0</v>
      </c>
      <c r="BI377" s="13" t="n">
        <v>0</v>
      </c>
      <c r="BJ377" s="13" t="n">
        <v>0</v>
      </c>
      <c r="BK377" s="13" t="n">
        <v>0</v>
      </c>
      <c r="BL377" s="13" t="n">
        <v>0</v>
      </c>
      <c r="BM377" s="13" t="n">
        <v>0</v>
      </c>
      <c r="BN377" s="13" t="n">
        <v>0</v>
      </c>
      <c r="BO377" s="13" t="n">
        <v>0</v>
      </c>
      <c r="BP377" s="13" t="n">
        <v>0</v>
      </c>
      <c r="BQ377" s="13" t="n">
        <v>0</v>
      </c>
      <c r="BR377" s="13" t="n">
        <v>0</v>
      </c>
      <c r="BS377" s="13" t="n">
        <v>0</v>
      </c>
      <c r="BT377" s="13" t="n">
        <v>0</v>
      </c>
      <c r="BU377" s="13" t="n">
        <v>0</v>
      </c>
      <c r="BV377" s="13" t="n">
        <v>0</v>
      </c>
      <c r="BW377" s="13" t="n">
        <v>0</v>
      </c>
      <c r="BX377" s="13" t="n">
        <v>0</v>
      </c>
      <c r="BY377" s="13" t="n">
        <v>0</v>
      </c>
      <c r="BZ377" s="13" t="n">
        <v>0</v>
      </c>
      <c r="CA377" s="13" t="n">
        <v>0</v>
      </c>
      <c r="CB377" s="13" t="n">
        <v>0</v>
      </c>
      <c r="CC377" s="13" t="n">
        <v>0</v>
      </c>
      <c r="CD377" s="13" t="n">
        <v>0</v>
      </c>
      <c r="CE377" s="13" t="n">
        <v>0</v>
      </c>
      <c r="CF377" s="13" t="n">
        <v>0</v>
      </c>
      <c r="CG377" s="13" t="n">
        <v>0</v>
      </c>
      <c r="CH377" s="13" t="n">
        <v>0</v>
      </c>
      <c r="CI377" s="13" t="n">
        <v>0</v>
      </c>
      <c r="CJ377" s="13" t="n">
        <v>0</v>
      </c>
      <c r="CK377" s="13" t="n">
        <v>0</v>
      </c>
      <c r="CL377" s="13" t="n">
        <v>0</v>
      </c>
      <c r="CM377" s="13" t="n">
        <v>0</v>
      </c>
      <c r="CN377" s="13" t="n">
        <v>0</v>
      </c>
      <c r="CO377" s="13" t="n">
        <v>0</v>
      </c>
      <c r="CP377" s="13" t="n">
        <v>0</v>
      </c>
      <c r="CQ377" s="13" t="n">
        <v>0</v>
      </c>
      <c r="CR377" s="13" t="n">
        <v>0</v>
      </c>
      <c r="CS377" s="13" t="n">
        <v>0</v>
      </c>
      <c r="CT377" s="13"/>
      <c r="CU377" s="13"/>
      <c r="CV377" s="13"/>
      <c r="CW377" s="13"/>
      <c r="CX377" s="13"/>
      <c r="CY377" s="13"/>
      <c r="CZ377" s="13"/>
      <c r="DA377" s="13"/>
      <c r="DB377" s="13"/>
      <c r="DC377" s="13"/>
      <c r="DD377" s="13"/>
      <c r="DE377" s="13"/>
    </row>
    <row r="378" customFormat="false" ht="15" hidden="false" customHeight="true" outlineLevel="0" collapsed="false">
      <c r="A378" s="67" t="s">
        <v>203</v>
      </c>
      <c r="B378" s="68"/>
      <c r="C378" s="68"/>
      <c r="D378" s="68"/>
      <c r="E378" s="68"/>
      <c r="F378" s="68"/>
      <c r="G378" s="68"/>
      <c r="H378" s="68"/>
      <c r="I378" s="68"/>
      <c r="J378" s="68"/>
      <c r="K378" s="68" t="n">
        <f aca="false">K372+K373+K375+K376+K377+K374+K382</f>
        <v>145062.512883333</v>
      </c>
      <c r="L378" s="68" t="n">
        <f aca="false">L372+L373+L375+L376+L377+L374+L382</f>
        <v>-17968.9742333334</v>
      </c>
      <c r="M378" s="68" t="n">
        <f aca="false">M372+M373+M375+M376+M377+M374+M382</f>
        <v>-181000.46135</v>
      </c>
      <c r="N378" s="68" t="n">
        <f aca="false">N372+N373+N375+N376+N377+N374+N382</f>
        <v>-591100.851606316</v>
      </c>
      <c r="O378" s="68" t="n">
        <f aca="false">O372+O373+O375+O376+O377+O374+O382</f>
        <v>-749252.807132631</v>
      </c>
      <c r="P378" s="68" t="n">
        <f aca="false">P372+P373+P375+P376+P377+P374+P382</f>
        <v>-906489.379625947</v>
      </c>
      <c r="Q378" s="68" t="n">
        <f aca="false">Q372+Q373+Q375+Q376+Q377+Q374+Q382</f>
        <v>-1064641.33515226</v>
      </c>
      <c r="R378" s="68" t="n">
        <f aca="false">R372+R373+R375+R376+R377+R374+R382</f>
        <v>-1221043.29067858</v>
      </c>
      <c r="S378" s="68" t="n">
        <f aca="false">S372+S373+S375+S376+S377+S374+S382</f>
        <v>-1377445.24620489</v>
      </c>
      <c r="T378" s="68" t="n">
        <f aca="false">T372+T373+T375+T376+T377+T374+T382</f>
        <v>-1557753.45173121</v>
      </c>
      <c r="U378" s="68" t="n">
        <f aca="false">U372+U373+U375+U376+U377+U374+U382</f>
        <v>-1850061.65725753</v>
      </c>
      <c r="V378" s="68" t="n">
        <f aca="false">V372+V373+V375+V376+V377+V374+V382</f>
        <v>-2142369.86278384</v>
      </c>
      <c r="W378" s="68" t="n">
        <f aca="false">W372+W373+W375+W376+W377+W374+W382</f>
        <v>-2434678.06831016</v>
      </c>
      <c r="X378" s="68" t="n">
        <f aca="false">X372+X373+X375+X376+X377+X374+X382</f>
        <v>-2726986.27383647</v>
      </c>
      <c r="Y378" s="68" t="n">
        <f aca="false">Y372+Y373+Y375+Y376+Y377+Y374+Y382</f>
        <v>-2961919.47936279</v>
      </c>
      <c r="Z378" s="68" t="n">
        <f aca="false">Z372+Z373+Z375+Z376+Z377+Z374+Z382</f>
        <v>-4648169.08941111</v>
      </c>
      <c r="AA378" s="68" t="n">
        <f aca="false">AA372+AA373+AA375+AA376+AA377+AA374+AA382</f>
        <v>-5194057.01483743</v>
      </c>
      <c r="AB378" s="68" t="n">
        <f aca="false">AB372+AB373+AB375+AB376+AB377+AB374+AB382</f>
        <v>-5432569.94026374</v>
      </c>
      <c r="AC378" s="68" t="n">
        <f aca="false">AC372+AC373+AC375+AC376+AC377+AC374+AC382</f>
        <v>-5728457.86569006</v>
      </c>
      <c r="AD378" s="68" t="n">
        <f aca="false">AD372+AD373+AD375+AD376+AD377+AD374+AD382</f>
        <v>-6024345.79111637</v>
      </c>
      <c r="AE378" s="68" t="n">
        <f aca="false">AE372+AE373+AE375+AE376+AE377+AE374+AE382</f>
        <v>-6262858.71654269</v>
      </c>
      <c r="AF378" s="68" t="n">
        <f aca="false">AF372+AF373+AF375+AF376+AF377+AF374+AF382</f>
        <v>-6558746.64196901</v>
      </c>
      <c r="AG378" s="68" t="n">
        <f aca="false">AG372+AG373+AG375+AG376+AG377+AG374+AG382</f>
        <v>-6857792.46213216</v>
      </c>
      <c r="AH378" s="68" t="n">
        <f aca="false">AH372+AH373+AH375+AH376+AH377+AH374+AH382</f>
        <v>-7159996.17703216</v>
      </c>
      <c r="AI378" s="68" t="n">
        <f aca="false">AI372+AI373+AI375+AI376+AI377+AI374+AI382</f>
        <v>-7471699.89193216</v>
      </c>
      <c r="AJ378" s="68" t="n">
        <f aca="false">AJ372+AJ373+AJ375+AJ376+AJ377+AJ374+AJ382</f>
        <v>-7783403.60683216</v>
      </c>
      <c r="AK378" s="68" t="n">
        <f aca="false">AK372+AK373+AK375+AK376+AK377+AK374+AK382</f>
        <v>-8095107.32173216</v>
      </c>
      <c r="AL378" s="68" t="n">
        <f aca="false">AL372+AL373+AL375+AL376+AL377+AL374+AL382</f>
        <v>-10784940.3456798</v>
      </c>
      <c r="AM378" s="68" t="n">
        <f aca="false">AM372+AM373+AM375+AM376+AM377+AM374+AM382</f>
        <v>-11350295.3748778</v>
      </c>
      <c r="AN378" s="68" t="n">
        <f aca="false">AN372+AN373+AN375+AN376+AN377+AN374+AN382</f>
        <v>-11623769.6121601</v>
      </c>
      <c r="AO378" s="68" t="n">
        <f aca="false">AO372+AO373+AO375+AO376+AO377+AO374+AO382</f>
        <v>-11827124.6413581</v>
      </c>
      <c r="AP378" s="68" t="n">
        <f aca="false">AP372+AP373+AP375+AP376+AP377+AP374+AP382</f>
        <v>-12030479.6705561</v>
      </c>
      <c r="AQ378" s="68" t="n">
        <f aca="false">AQ372+AQ373+AQ375+AQ376+AQ377+AQ374+AQ382</f>
        <v>-12233834.6997541</v>
      </c>
      <c r="AR378" s="68" t="n">
        <f aca="false">AR372+AR373+AR375+AR376+AR377+AR374+AR382</f>
        <v>-12437189.7289521</v>
      </c>
      <c r="AS378" s="68" t="n">
        <f aca="false">AS372+AS373+AS375+AS376+AS377+AS374+AS382</f>
        <v>-12640544.7581501</v>
      </c>
      <c r="AT378" s="68" t="n">
        <f aca="false">AT372+AT373+AT375+AT376+AT377+AT374+AT382</f>
        <v>-12843899.7873481</v>
      </c>
      <c r="AU378" s="68" t="n">
        <f aca="false">AU372+AU373+AU375+AU376+AU377+AU374+AU382</f>
        <v>-13047254.8165461</v>
      </c>
      <c r="AV378" s="68" t="n">
        <f aca="false">AV372+AV373+AV375+AV376+AV377+AV374+AV382</f>
        <v>-13250609.8457441</v>
      </c>
      <c r="AW378" s="68" t="n">
        <f aca="false">AW372+AW373+AW375+AW376+AW377+AW374+AW382</f>
        <v>-13453964.8749421</v>
      </c>
      <c r="AX378" s="68" t="n">
        <f aca="false">AX372+AX373+AX375+AX376+AX377+AX374+AX382</f>
        <v>-13661044.2447241</v>
      </c>
      <c r="AY378" s="68" t="n">
        <f aca="false">AY372+AY373+AY375+AY376+AY377+AY374+AY382</f>
        <v>-13868123.614506</v>
      </c>
      <c r="AZ378" s="68" t="n">
        <f aca="false">AZ372+AZ373+AZ375+AZ376+AZ377+AZ374+AZ382</f>
        <v>-14075202.984288</v>
      </c>
      <c r="BA378" s="68" t="n">
        <f aca="false">BA372+BA373+BA375+BA376+BA377+BA374+BA382</f>
        <v>-14282282.3540699</v>
      </c>
      <c r="BB378" s="68" t="n">
        <f aca="false">BB372+BB373+BB375+BB376+BB377+BB374+BB382</f>
        <v>-14489361.7238519</v>
      </c>
      <c r="BC378" s="68" t="n">
        <f aca="false">BC372+BC373+BC375+BC376+BC377+BC374+BC382</f>
        <v>-14696441.0936339</v>
      </c>
      <c r="BD378" s="68" t="n">
        <f aca="false">BD372+BD373+BD375+BD376+BD377+BD374+BD382</f>
        <v>-14903520.4634158</v>
      </c>
      <c r="BE378" s="68" t="n">
        <f aca="false">BE372+BE373+BE375+BE376+BE377+BE374+BE382</f>
        <v>-15110599.8331978</v>
      </c>
      <c r="BF378" s="68" t="n">
        <f aca="false">BF372+BF373+BF375+BF376+BF377+BF374+BF382</f>
        <v>-15317679.2029797</v>
      </c>
      <c r="BG378" s="68" t="n">
        <f aca="false">BG372+BG373+BG375+BG376+BG377+BG374+BG382</f>
        <v>-15524758.5727617</v>
      </c>
      <c r="BH378" s="68" t="n">
        <f aca="false">BH372+BH373+BH375+BH376+BH377+BH374+BH382</f>
        <v>-15731837.9425437</v>
      </c>
      <c r="BI378" s="68" t="n">
        <f aca="false">BI372+BI373+BI375+BI376+BI377+BI374+BI382</f>
        <v>-15938917.3123256</v>
      </c>
      <c r="BJ378" s="68" t="n">
        <f aca="false">BJ372+BJ373+BJ375+BJ376+BJ377+BJ374+BJ382</f>
        <v>-16149795.5095032</v>
      </c>
      <c r="BK378" s="68" t="n">
        <f aca="false">BK372+BK373+BK375+BK376+BK377+BK374+BK382</f>
        <v>-16360673.7066808</v>
      </c>
      <c r="BL378" s="68" t="n">
        <f aca="false">BL372+BL373+BL375+BL376+BL377+BL374+BL382</f>
        <v>-16571551.9038584</v>
      </c>
      <c r="BM378" s="68" t="n">
        <f aca="false">BM372+BM373+BM375+BM376+BM377+BM374+BM382</f>
        <v>-16782430.101036</v>
      </c>
      <c r="BN378" s="68" t="n">
        <f aca="false">BN372+BN373+BN375+BN376+BN377+BN374+BN382</f>
        <v>-16993308.2982136</v>
      </c>
      <c r="BO378" s="68" t="n">
        <f aca="false">BO372+BO373+BO375+BO376+BO377+BO374+BO382</f>
        <v>-17204186.4953912</v>
      </c>
      <c r="BP378" s="68" t="n">
        <f aca="false">BP372+BP373+BP375+BP376+BP377+BP374+BP382</f>
        <v>-17415064.6925688</v>
      </c>
      <c r="BQ378" s="68" t="n">
        <f aca="false">BQ372+BQ373+BQ375+BQ376+BQ377+BQ374+BQ382</f>
        <v>-17625942.8897464</v>
      </c>
      <c r="BR378" s="68" t="n">
        <f aca="false">BR372+BR373+BR375+BR376+BR377+BR374+BR382</f>
        <v>-17783570.736924</v>
      </c>
      <c r="BS378" s="68" t="n">
        <f aca="false">BS372+BS373+BS375+BS376+BS377+BS374+BS382</f>
        <v>-17994448.9341016</v>
      </c>
      <c r="BT378" s="68" t="n">
        <f aca="false">BT372+BT373+BT375+BT376+BT377+BT374+BT382</f>
        <v>-18205327.1312792</v>
      </c>
      <c r="BU378" s="68" t="n">
        <f aca="false">BU372+BU373+BU375+BU376+BU377+BU374+BU382</f>
        <v>-18348443.3284568</v>
      </c>
      <c r="BV378" s="68" t="n">
        <f aca="false">BV372+BV373+BV375+BV376+BV377+BV374+BV382</f>
        <v>-18563196.329578</v>
      </c>
      <c r="BW378" s="68" t="n">
        <f aca="false">BW372+BW373+BW375+BW376+BW377+BW374+BW382</f>
        <v>-18777949.3306991</v>
      </c>
      <c r="BX378" s="68" t="n">
        <f aca="false">BX372+BX373+BX375+BX376+BX377+BX374+BX382</f>
        <v>-18924940.3318203</v>
      </c>
      <c r="BY378" s="68" t="n">
        <f aca="false">BY372+BY373+BY375+BY376+BY377+BY374+BY382</f>
        <v>-19139693.3329414</v>
      </c>
      <c r="BZ378" s="68" t="n">
        <f aca="false">BZ372+BZ373+BZ375+BZ376+BZ377+BZ374+BZ382</f>
        <v>-19354446.3340626</v>
      </c>
      <c r="CA378" s="68" t="n">
        <f aca="false">CA372+CA373+CA375+CA376+CA377+CA374+CA382</f>
        <v>-19501437.3351837</v>
      </c>
      <c r="CB378" s="68" t="n">
        <f aca="false">CB372+CB373+CB375+CB376+CB377+CB374+CB382</f>
        <v>-19716190.3363049</v>
      </c>
      <c r="CC378" s="68" t="n">
        <f aca="false">CC372+CC373+CC375+CC376+CC377+CC374+CC382</f>
        <v>-19930943.337426</v>
      </c>
      <c r="CD378" s="68" t="n">
        <f aca="false">CD372+CD373+CD375+CD376+CD377+CD374+CD382</f>
        <v>-20069197.3385472</v>
      </c>
      <c r="CE378" s="68" t="n">
        <f aca="false">CE372+CE373+CE375+CE376+CE377+CE374+CE382</f>
        <v>-20283950.3396683</v>
      </c>
      <c r="CF378" s="68" t="n">
        <f aca="false">CF372+CF373+CF375+CF376+CF377+CF374+CF382</f>
        <v>-20498703.3407895</v>
      </c>
      <c r="CG378" s="68" t="n">
        <f aca="false">CG372+CG373+CG375+CG376+CG377+CG374+CG382</f>
        <v>-20636957.3419106</v>
      </c>
      <c r="CH378" s="68" t="n">
        <f aca="false">CH372+CH373+CH375+CH376+CH377+CH374+CH382</f>
        <v>-20855662.6430542</v>
      </c>
      <c r="CI378" s="68" t="n">
        <f aca="false">CI372+CI373+CI375+CI376+CI377+CI374+CI382</f>
        <v>-21074367.9441978</v>
      </c>
      <c r="CJ378" s="68" t="n">
        <f aca="false">CJ372+CJ373+CJ375+CJ376+CJ377+CJ374+CJ382</f>
        <v>-21209966.2187349</v>
      </c>
      <c r="CK378" s="68" t="n">
        <f aca="false">CK372+CK373+CK375+CK376+CK377+CK374+CK382</f>
        <v>-21270810.5198785</v>
      </c>
      <c r="CL378" s="68" t="n">
        <f aca="false">CL372+CL373+CL375+CL376+CL377+CL374+CL382</f>
        <v>-21331654.821022</v>
      </c>
      <c r="CM378" s="68" t="n">
        <f aca="false">CM372+CM373+CM375+CM376+CM377+CM374+CM382</f>
        <v>-21392499.1221656</v>
      </c>
      <c r="CN378" s="68" t="n">
        <f aca="false">CN372+CN373+CN375+CN376+CN377+CN374+CN382</f>
        <v>-21453343.4233092</v>
      </c>
      <c r="CO378" s="68" t="n">
        <f aca="false">CO372+CO373+CO375+CO376+CO377+CO374+CO382</f>
        <v>-21514187.7244528</v>
      </c>
      <c r="CP378" s="68" t="n">
        <f aca="false">CP372+CP373+CP375+CP376+CP377+CP374+CP382</f>
        <v>-21575032.0255963</v>
      </c>
      <c r="CQ378" s="68" t="n">
        <f aca="false">CQ372+CQ373+CQ375+CQ376+CQ377+CQ374+CQ382</f>
        <v>-21635876.3267399</v>
      </c>
      <c r="CR378" s="68" t="n">
        <f aca="false">CR372+CR373+CR375+CR376+CR377+CR374+CR382</f>
        <v>-21696720.6278835</v>
      </c>
      <c r="CS378" s="68" t="n">
        <f aca="false">CS372+CS373+CS375+CS376+CS377+CS374+CS382</f>
        <v>-21757564.9290271</v>
      </c>
      <c r="CT378" s="68" t="n">
        <f aca="false">CT372+CT373+CT375+CT376+CT377+CT374+CT382</f>
        <v>-21816461.4279839</v>
      </c>
      <c r="CU378" s="68" t="n">
        <f aca="false">CU372+CU373+CU375+CU376+CU377+CU374+CU382</f>
        <v>-21875357.9269407</v>
      </c>
      <c r="CV378" s="68" t="n">
        <f aca="false">CV372+CV373+CV375+CV376+CV377+CV374+CV382</f>
        <v>-21934254.4258975</v>
      </c>
      <c r="CW378" s="68" t="n">
        <f aca="false">CW372+CW373+CW375+CW376+CW377+CW374+CW382</f>
        <v>-21937442.7737907</v>
      </c>
      <c r="CX378" s="68" t="n">
        <f aca="false">CX372+CX373+CX375+CX376+CX377+CX374+CX382</f>
        <v>-21923184.2727476</v>
      </c>
      <c r="CY378" s="68" t="n">
        <f aca="false">CY372+CY373+CY375+CY376+CY377+CY374+CY382</f>
        <v>-21908925.7717044</v>
      </c>
      <c r="CZ378" s="68" t="n">
        <f aca="false">CZ372+CZ373+CZ375+CZ376+CZ377+CZ374+CZ382</f>
        <v>-21894667.2706612</v>
      </c>
      <c r="DA378" s="68" t="n">
        <f aca="false">DA372+DA373+DA375+DA376+DA377+DA374+DA382</f>
        <v>-21880408.769618</v>
      </c>
      <c r="DB378" s="68" t="n">
        <f aca="false">DB372+DB373+DB375+DB376+DB377+DB374+DB382</f>
        <v>-21866150.2685748</v>
      </c>
      <c r="DC378" s="68" t="n">
        <f aca="false">DC372+DC373+DC375+DC376+DC377+DC374+DC382</f>
        <v>-21851891.7675317</v>
      </c>
      <c r="DD378" s="68" t="n">
        <f aca="false">DD372+DD373+DD375+DD376+DD377+DD374+DD382</f>
        <v>-21837633.2664885</v>
      </c>
      <c r="DE378" s="68" t="n">
        <f aca="false">DE372+DE373+DE375+DE376+DE377+DE374+DE382</f>
        <v>-21823374.7654453</v>
      </c>
    </row>
    <row r="379" customFormat="false" ht="15" hidden="false" customHeight="true" outlineLevel="0" collapsed="false">
      <c r="A379" s="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23" t="s">
        <v>204</v>
      </c>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4"/>
      <c r="AQ380" s="34"/>
      <c r="AR380" s="34"/>
      <c r="AS380" s="34"/>
      <c r="AT380" s="34"/>
      <c r="AU380" s="34"/>
      <c r="AV380" s="34"/>
      <c r="AW380" s="34"/>
      <c r="AX380" s="34"/>
      <c r="AY380" s="34"/>
      <c r="AZ380" s="34"/>
      <c r="BA380" s="34"/>
      <c r="BB380" s="34"/>
      <c r="BC380" s="34"/>
      <c r="BD380" s="34"/>
      <c r="BE380" s="34"/>
      <c r="BF380" s="34"/>
      <c r="BG380" s="34"/>
      <c r="BH380" s="34"/>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c r="CK380" s="34"/>
      <c r="CL380" s="34"/>
      <c r="CM380" s="34"/>
      <c r="CN380" s="34"/>
      <c r="CO380" s="34"/>
      <c r="CP380" s="34"/>
      <c r="CQ380" s="34"/>
      <c r="CR380" s="34"/>
      <c r="CS380" s="34"/>
      <c r="CT380" s="34"/>
      <c r="CU380" s="34"/>
      <c r="CV380" s="34"/>
      <c r="CW380" s="34"/>
      <c r="CX380" s="34"/>
      <c r="CY380" s="34"/>
      <c r="CZ380" s="34"/>
      <c r="DA380" s="34"/>
      <c r="DB380" s="34"/>
      <c r="DC380" s="34"/>
      <c r="DD380" s="34"/>
      <c r="DE380" s="34"/>
    </row>
    <row r="381" customFormat="false" ht="15" hidden="false" customHeight="true" outlineLevel="0" collapsed="false">
      <c r="A381" s="22" t="s">
        <v>205</v>
      </c>
      <c r="B381" s="13"/>
      <c r="C381" s="13"/>
      <c r="D381" s="13"/>
      <c r="E381" s="13"/>
      <c r="F381" s="13"/>
      <c r="G381" s="13"/>
      <c r="H381" s="13"/>
      <c r="I381" s="13"/>
      <c r="J381" s="13"/>
      <c r="K381" s="13" t="n">
        <f aca="false">K361+K372</f>
        <v>1714690</v>
      </c>
      <c r="L381" s="13" t="n">
        <f aca="false">L361+L372</f>
        <v>1863856.50321667</v>
      </c>
      <c r="M381" s="13" t="n">
        <f aca="false">M361+M372</f>
        <v>1860934.13093333</v>
      </c>
      <c r="N381" s="13" t="n">
        <f aca="false">N361+N372</f>
        <v>2154079.30210215</v>
      </c>
      <c r="O381" s="13" t="n">
        <f aca="false">O361+O372</f>
        <v>219247.705748025</v>
      </c>
      <c r="P381" s="13" t="n">
        <f aca="false">P361+P372</f>
        <v>243644.966280379</v>
      </c>
      <c r="Q381" s="13" t="n">
        <f aca="false">Q361+Q372</f>
        <v>329615.401326683</v>
      </c>
      <c r="R381" s="13" t="n">
        <f aca="false">R361+R372</f>
        <v>402186.070853603</v>
      </c>
      <c r="S381" s="13" t="n">
        <f aca="false">S361+S372</f>
        <v>199718.829069451</v>
      </c>
      <c r="T381" s="13" t="n">
        <f aca="false">T361+T372</f>
        <v>122662.762784604</v>
      </c>
      <c r="U381" s="13" t="n">
        <f aca="false">U361+U372</f>
        <v>-67485.4469112023</v>
      </c>
      <c r="V381" s="13" t="n">
        <f aca="false">V361+V372</f>
        <v>383606.383402795</v>
      </c>
      <c r="W381" s="13" t="n">
        <f aca="false">W361+W372</f>
        <v>780637.386611556</v>
      </c>
      <c r="X381" s="13" t="n">
        <f aca="false">X361+X372</f>
        <v>958174.668680422</v>
      </c>
      <c r="Y381" s="13" t="n">
        <f aca="false">Y361+Y372</f>
        <v>1046967.86798283</v>
      </c>
      <c r="Z381" s="13" t="n">
        <f aca="false">Z361+Z372</f>
        <v>1458833.04559731</v>
      </c>
      <c r="AA381" s="13" t="n">
        <f aca="false">AA361+AA372</f>
        <v>418283.53692978</v>
      </c>
      <c r="AB381" s="13" t="n">
        <f aca="false">AB361+AB372</f>
        <v>709059.792384259</v>
      </c>
      <c r="AC381" s="13" t="n">
        <f aca="false">AC361+AC372</f>
        <v>1215702.62346052</v>
      </c>
      <c r="AD381" s="13" t="n">
        <f aca="false">AD361+AD372</f>
        <v>1457669.25229961</v>
      </c>
      <c r="AE381" s="13" t="n">
        <f aca="false">AE361+AE372</f>
        <v>1626756.43183101</v>
      </c>
      <c r="AF381" s="13" t="n">
        <f aca="false">AF361+AF372</f>
        <v>1890321.03224206</v>
      </c>
      <c r="AG381" s="13" t="n">
        <f aca="false">AG361+AG372</f>
        <v>1630606.59094871</v>
      </c>
      <c r="AH381" s="13" t="n">
        <f aca="false">AH361+AH372</f>
        <v>2197061.3153568</v>
      </c>
      <c r="AI381" s="13" t="n">
        <f aca="false">AI361+AI372</f>
        <v>2767183.83703221</v>
      </c>
      <c r="AJ381" s="13" t="n">
        <f aca="false">AJ361+AJ372</f>
        <v>3215643.91142164</v>
      </c>
      <c r="AK381" s="13" t="n">
        <f aca="false">AK361+AK372</f>
        <v>3497849.8568726</v>
      </c>
      <c r="AL381" s="13" t="n">
        <f aca="false">AL361+AL372</f>
        <v>3467386.80276313</v>
      </c>
      <c r="AM381" s="13" t="n">
        <f aca="false">AM361+AM372</f>
        <v>1085360.89691935</v>
      </c>
      <c r="AN381" s="13" t="n">
        <f aca="false">AN361+AN372</f>
        <v>847594.701209802</v>
      </c>
      <c r="AO381" s="13" t="n">
        <f aca="false">AO361+AO372</f>
        <v>1284501.37541545</v>
      </c>
      <c r="AP381" s="13" t="n">
        <f aca="false">AP361+AP372</f>
        <v>1531442.48090858</v>
      </c>
      <c r="AQ381" s="13" t="n">
        <f aca="false">AQ361+AQ372</f>
        <v>1719998.92281926</v>
      </c>
      <c r="AR381" s="13" t="n">
        <f aca="false">AR361+AR372</f>
        <v>1757460.53295501</v>
      </c>
      <c r="AS381" s="13" t="n">
        <f aca="false">AS361+AS372</f>
        <v>1575211.12889725</v>
      </c>
      <c r="AT381" s="13" t="n">
        <f aca="false">AT361+AT372</f>
        <v>1392961.72483949</v>
      </c>
      <c r="AU381" s="13" t="n">
        <f aca="false">AU361+AU372</f>
        <v>1299936.07409286</v>
      </c>
      <c r="AV381" s="13" t="n">
        <f aca="false">AV361+AV372</f>
        <v>1276743.79140551</v>
      </c>
      <c r="AW381" s="13" t="n">
        <f aca="false">AW361+AW372</f>
        <v>1252118.54631761</v>
      </c>
      <c r="AX381" s="13" t="n">
        <f aca="false">AX361+AX372</f>
        <v>1049746.29070024</v>
      </c>
      <c r="AY381" s="13" t="n">
        <f aca="false">AY361+AY372</f>
        <v>591123.831595099</v>
      </c>
      <c r="AZ381" s="13" t="n">
        <f aca="false">AZ361+AZ372</f>
        <v>132501.372489955</v>
      </c>
      <c r="BA381" s="13" t="n">
        <f aca="false">BA361+BA372</f>
        <v>-326121.086615188</v>
      </c>
      <c r="BB381" s="13" t="n">
        <f aca="false">BB361+BB372</f>
        <v>-784743.545720331</v>
      </c>
      <c r="BC381" s="13" t="n">
        <f aca="false">BC361+BC372</f>
        <v>-1243366.00482547</v>
      </c>
      <c r="BD381" s="13" t="n">
        <f aca="false">BD361+BD372</f>
        <v>-1701988.46393062</v>
      </c>
      <c r="BE381" s="13" t="n">
        <f aca="false">BE361+BE372</f>
        <v>-2160610.92303576</v>
      </c>
      <c r="BF381" s="13" t="n">
        <f aca="false">BF361+BF372</f>
        <v>-2619233.3821409</v>
      </c>
      <c r="BG381" s="13" t="n">
        <f aca="false">BG361+BG372</f>
        <v>-3077855.84124605</v>
      </c>
      <c r="BH381" s="13" t="n">
        <f aca="false">BH361+BH372</f>
        <v>-3536478.30035119</v>
      </c>
      <c r="BI381" s="13" t="n">
        <f aca="false">BI361+BI372</f>
        <v>-3758611.29815352</v>
      </c>
      <c r="BJ381" s="13" t="n">
        <f aca="false">BJ361+BJ372</f>
        <v>-4160414.50015963</v>
      </c>
      <c r="BK381" s="13" t="n">
        <f aca="false">BK361+BK372</f>
        <v>-4780227.8404485</v>
      </c>
      <c r="BL381" s="13" t="n">
        <f aca="false">BL361+BL372</f>
        <v>-5400041.18073737</v>
      </c>
      <c r="BM381" s="13" t="n">
        <f aca="false">BM361+BM372</f>
        <v>-6019854.52102624</v>
      </c>
      <c r="BN381" s="13" t="n">
        <f aca="false">BN361+BN372</f>
        <v>-6639667.86131511</v>
      </c>
      <c r="BO381" s="13" t="n">
        <f aca="false">BO361+BO372</f>
        <v>-7259481.20160398</v>
      </c>
      <c r="BP381" s="13" t="n">
        <f aca="false">BP361+BP372</f>
        <v>-7879294.54189285</v>
      </c>
      <c r="BQ381" s="13" t="n">
        <f aca="false">BQ361+BQ372</f>
        <v>-8499107.88218172</v>
      </c>
      <c r="BR381" s="13" t="n">
        <f aca="false">BR361+BR372</f>
        <v>-9118921.22247059</v>
      </c>
      <c r="BS381" s="13" t="n">
        <f aca="false">BS361+BS372</f>
        <v>-9685484.21275946</v>
      </c>
      <c r="BT381" s="13" t="n">
        <f aca="false">BT361+BT372</f>
        <v>-10305297.5530483</v>
      </c>
      <c r="BU381" s="13" t="n">
        <f aca="false">BU361+BU372</f>
        <v>-10925110.8933372</v>
      </c>
      <c r="BV381" s="13" t="n">
        <f aca="false">BV361+BV372</f>
        <v>-11677162.2336261</v>
      </c>
      <c r="BW381" s="13" t="n">
        <f aca="false">BW361+BW372</f>
        <v>-12308618.0807207</v>
      </c>
      <c r="BX381" s="13" t="n">
        <f aca="false">BX361+BX372</f>
        <v>-12940073.9278154</v>
      </c>
      <c r="BY381" s="13" t="n">
        <f aca="false">BY361+BY372</f>
        <v>-13503767.77491</v>
      </c>
      <c r="BZ381" s="13" t="n">
        <f aca="false">BZ361+BZ372</f>
        <v>-14135223.6220047</v>
      </c>
      <c r="CA381" s="13" t="n">
        <f aca="false">CA361+CA372</f>
        <v>-14766679.4690993</v>
      </c>
      <c r="CB381" s="13" t="n">
        <f aca="false">CB361+CB372</f>
        <v>-15330373.316194</v>
      </c>
      <c r="CC381" s="13" t="n">
        <f aca="false">CC361+CC372</f>
        <v>-15961829.1632886</v>
      </c>
      <c r="CD381" s="13" t="n">
        <f aca="false">CD361+CD372</f>
        <v>-16593285.0103833</v>
      </c>
      <c r="CE381" s="13" t="n">
        <f aca="false">CE361+CE372</f>
        <v>-17148241.8574779</v>
      </c>
      <c r="CF381" s="13" t="n">
        <f aca="false">CF361+CF372</f>
        <v>-17779697.7045725</v>
      </c>
      <c r="CG381" s="13" t="n">
        <f aca="false">CG361+CG372</f>
        <v>-18411153.5516672</v>
      </c>
      <c r="CH381" s="13" t="n">
        <f aca="false">CH361+CH372</f>
        <v>-19166110.3987618</v>
      </c>
      <c r="CI381" s="13" t="n">
        <f aca="false">CI361+CI372</f>
        <v>-19809441.6027984</v>
      </c>
      <c r="CJ381" s="13" t="n">
        <f aca="false">CJ361+CJ372</f>
        <v>-20452772.8068349</v>
      </c>
      <c r="CK381" s="13" t="n">
        <f aca="false">CK361+CK372</f>
        <v>-21012996.984265</v>
      </c>
      <c r="CL381" s="13" t="n">
        <f aca="false">CL361+CL372</f>
        <v>-21498467.1883015</v>
      </c>
      <c r="CM381" s="13" t="n">
        <f aca="false">CM361+CM372</f>
        <v>-21983937.3923381</v>
      </c>
      <c r="CN381" s="13" t="n">
        <f aca="false">CN361+CN372</f>
        <v>-22469407.5963746</v>
      </c>
      <c r="CO381" s="13" t="n">
        <f aca="false">CO361+CO372</f>
        <v>-22954877.8004111</v>
      </c>
      <c r="CP381" s="13" t="n">
        <f aca="false">CP361+CP372</f>
        <v>-23440348.0044477</v>
      </c>
      <c r="CQ381" s="13" t="n">
        <f aca="false">CQ361+CQ372</f>
        <v>-23925818.2084842</v>
      </c>
      <c r="CR381" s="13" t="n">
        <f aca="false">CR361+CR372</f>
        <v>-24411288.4125208</v>
      </c>
      <c r="CS381" s="13" t="n">
        <f aca="false">CS361+CS372</f>
        <v>-24896758.6165573</v>
      </c>
      <c r="CT381" s="13" t="n">
        <f aca="false">CT361+CT372</f>
        <v>-25582228.8205939</v>
      </c>
      <c r="CU381" s="13" t="n">
        <f aca="false">CU361+CU372</f>
        <v>-26033290.6326338</v>
      </c>
      <c r="CV381" s="13" t="n">
        <f aca="false">CV361+CV372</f>
        <v>-26484352.4446738</v>
      </c>
      <c r="CW381" s="13" t="n">
        <f aca="false">CW361+CW372</f>
        <v>-26935414.2567138</v>
      </c>
      <c r="CX381" s="13" t="n">
        <f aca="false">CX361+CX372</f>
        <v>-27330767.9176901</v>
      </c>
      <c r="CY381" s="13" t="n">
        <f aca="false">CY361+CY372</f>
        <v>-27708674.7297301</v>
      </c>
      <c r="CZ381" s="13" t="n">
        <f aca="false">CZ361+CZ372</f>
        <v>-28086581.5417701</v>
      </c>
      <c r="DA381" s="13" t="n">
        <f aca="false">DA361+DA372</f>
        <v>-28464488.35381</v>
      </c>
      <c r="DB381" s="13" t="n">
        <f aca="false">DB361+DB372</f>
        <v>-28842395.16585</v>
      </c>
      <c r="DC381" s="13" t="n">
        <f aca="false">DC361+DC372</f>
        <v>-29220301.97789</v>
      </c>
      <c r="DD381" s="13" t="n">
        <f aca="false">DD361+DD372</f>
        <v>-29598208.78993</v>
      </c>
      <c r="DE381" s="13" t="n">
        <f aca="false">DE361+DE372</f>
        <v>-29976115.6019699</v>
      </c>
    </row>
    <row r="382" customFormat="false" ht="15" hidden="false" customHeight="true" outlineLevel="0" collapsed="false">
      <c r="A382" s="22" t="s">
        <v>206</v>
      </c>
      <c r="B382" s="13"/>
      <c r="C382" s="13"/>
      <c r="D382" s="13"/>
      <c r="E382" s="13"/>
      <c r="F382" s="13"/>
      <c r="G382" s="13"/>
      <c r="H382" s="13"/>
      <c r="I382" s="13"/>
      <c r="J382" s="13"/>
      <c r="K382" s="13" t="n">
        <v>0</v>
      </c>
      <c r="L382" s="13" t="n">
        <v>0</v>
      </c>
      <c r="M382" s="13" t="n">
        <v>0</v>
      </c>
      <c r="N382" s="13" t="n">
        <f aca="false">IF((B308+C308+D308+E308+F308+G308+H308+I308+J308+K308+L308+M308)&gt;0,-(B308+C308+D308+E308+F308+G308+H308+I308+J308+K308+L308+M308)*0.503,0)</f>
        <v>-247040.539993158</v>
      </c>
      <c r="O382" s="13" t="n">
        <v>0</v>
      </c>
      <c r="P382" s="13" t="n">
        <v>0</v>
      </c>
      <c r="Q382" s="13" t="n">
        <v>0</v>
      </c>
      <c r="R382" s="13" t="n">
        <v>0</v>
      </c>
      <c r="S382" s="13" t="n">
        <v>0</v>
      </c>
      <c r="T382" s="13" t="n">
        <v>0</v>
      </c>
      <c r="U382" s="13" t="n">
        <v>0</v>
      </c>
      <c r="V382" s="13" t="n">
        <v>0</v>
      </c>
      <c r="W382" s="13" t="n">
        <v>0</v>
      </c>
      <c r="X382" s="13" t="n">
        <v>0</v>
      </c>
      <c r="Y382" s="13" t="n">
        <v>0</v>
      </c>
      <c r="Z382" s="13" t="n">
        <f aca="false">IF((N308+O308+P308+Q308+R308+S308+T308+U308+V308+W308+X308+Y308)&gt;0,-(N308+O308+P308+Q308+R308+S308+T308+U308+V308+W308+X308+Y308)*0.503,0)</f>
        <v>-1390361.68462201</v>
      </c>
      <c r="AA382" s="13" t="n">
        <v>0</v>
      </c>
      <c r="AB382" s="13" t="n">
        <v>0</v>
      </c>
      <c r="AC382" s="13" t="n">
        <v>0</v>
      </c>
      <c r="AD382" s="13" t="n">
        <v>0</v>
      </c>
      <c r="AE382" s="13" t="n">
        <v>0</v>
      </c>
      <c r="AF382" s="13" t="n">
        <v>0</v>
      </c>
      <c r="AG382" s="13" t="n">
        <v>0</v>
      </c>
      <c r="AH382" s="13" t="n">
        <v>0</v>
      </c>
      <c r="AI382" s="13" t="n">
        <v>0</v>
      </c>
      <c r="AJ382" s="13" t="n">
        <v>0</v>
      </c>
      <c r="AK382" s="13" t="n">
        <v>0</v>
      </c>
      <c r="AL382" s="13" t="n">
        <f aca="false">IF((Z308+AA308+AB308+AC308+AD308+AE308+AF308+AG308+AH308+AI308+AJ308+AK308)&gt;0,-(Z308+AA308+AB308+AC308+AD308+AE308+AF308+AG308+AH308+AI308+AJ308+AK308)*0.503,0)</f>
        <v>-2374477.99474961</v>
      </c>
      <c r="AM382" s="13" t="n">
        <v>0</v>
      </c>
      <c r="AN382" s="13" t="n">
        <v>0</v>
      </c>
      <c r="AO382" s="13" t="n">
        <v>0</v>
      </c>
      <c r="AP382" s="13" t="n">
        <v>0</v>
      </c>
      <c r="AQ382" s="13" t="n">
        <v>0</v>
      </c>
      <c r="AR382" s="13" t="n">
        <v>0</v>
      </c>
      <c r="AS382" s="13" t="n">
        <v>0</v>
      </c>
      <c r="AT382" s="13" t="n">
        <v>0</v>
      </c>
      <c r="AU382" s="13" t="n">
        <v>0</v>
      </c>
      <c r="AV382" s="13" t="n">
        <v>0</v>
      </c>
      <c r="AW382" s="13" t="n">
        <v>0</v>
      </c>
      <c r="AX382" s="13" t="n">
        <f aca="false">IF((AL308+AM308+AN308+AO308+AP308+AQ308+AR308+AS308+AT308+AU308+AV308+AW308)&gt;0,-(AL308+AM308+AN308+AO308+AP308+AQ308+AR308+AS308+AT308+AU308+AV308+AW308)*0.503,0)</f>
        <v>0</v>
      </c>
      <c r="AY382" s="13" t="n">
        <v>0</v>
      </c>
      <c r="AZ382" s="13" t="n">
        <v>0</v>
      </c>
      <c r="BA382" s="13" t="n">
        <v>0</v>
      </c>
      <c r="BB382" s="13" t="n">
        <v>0</v>
      </c>
      <c r="BC382" s="13" t="n">
        <v>0</v>
      </c>
      <c r="BD382" s="13" t="n">
        <v>0</v>
      </c>
      <c r="BE382" s="13" t="n">
        <v>0</v>
      </c>
      <c r="BF382" s="13" t="n">
        <v>0</v>
      </c>
      <c r="BG382" s="13" t="n">
        <v>0</v>
      </c>
      <c r="BH382" s="13" t="n">
        <v>0</v>
      </c>
      <c r="BI382" s="13" t="n">
        <v>0</v>
      </c>
      <c r="BJ382" s="13" t="n">
        <f aca="false">IF((AX308+AY308+AZ308+BA308+BB308+BC308+BD308+BE308+BF308+BG308+BH308+BI308)&gt;0,-(AX308+AY308+AZ308+BA308+BB308+BC308+BD308+BE308+BF308+BG308+BH308+BI308)*0.503,0)</f>
        <v>0</v>
      </c>
      <c r="BK382" s="13" t="n">
        <v>0</v>
      </c>
      <c r="BL382" s="13" t="n">
        <v>0</v>
      </c>
      <c r="BM382" s="13" t="n">
        <v>0</v>
      </c>
      <c r="BN382" s="13" t="n">
        <v>0</v>
      </c>
      <c r="BO382" s="13" t="n">
        <v>0</v>
      </c>
      <c r="BP382" s="13" t="n">
        <v>0</v>
      </c>
      <c r="BQ382" s="13" t="n">
        <v>0</v>
      </c>
      <c r="BR382" s="13" t="n">
        <v>0</v>
      </c>
      <c r="BS382" s="13" t="n">
        <v>0</v>
      </c>
      <c r="BT382" s="13" t="n">
        <v>0</v>
      </c>
      <c r="BU382" s="13" t="n">
        <v>0</v>
      </c>
      <c r="BV382" s="13" t="n">
        <f aca="false">IF((BJ308+BK308+BL308+BM308+BN308+BO308+BP308+BQ308+BR308+BS308+BT308+BU308)&gt;0,-(BJ308+BK308+BL308+BM308+BN308+BO308+BP308+BQ308+BR308+BS308+BT308+BU308)*0.503,0)</f>
        <v>0</v>
      </c>
      <c r="BW382" s="13" t="n">
        <v>0</v>
      </c>
      <c r="BX382" s="13" t="n">
        <v>0</v>
      </c>
      <c r="BY382" s="13" t="n">
        <v>0</v>
      </c>
      <c r="BZ382" s="13" t="n">
        <v>0</v>
      </c>
      <c r="CA382" s="13" t="n">
        <v>0</v>
      </c>
      <c r="CB382" s="13" t="n">
        <v>0</v>
      </c>
      <c r="CC382" s="13" t="n">
        <v>0</v>
      </c>
      <c r="CD382" s="13" t="n">
        <v>0</v>
      </c>
      <c r="CE382" s="13" t="n">
        <v>0</v>
      </c>
      <c r="CF382" s="13" t="n">
        <v>0</v>
      </c>
      <c r="CG382" s="13" t="n">
        <v>0</v>
      </c>
      <c r="CH382" s="13" t="n">
        <f aca="false">IF((BV308+BW308+BX308+BY308+BZ308+CA308+CB308+CC308+CD308+CE308+CF308+CG308)&gt;0,-(BV308+BW308+BX308+BY308+BZ308+CA308+CB308+CC308+CD308+CE308+CF308+CG308)*0.503,0)</f>
        <v>0</v>
      </c>
      <c r="CI382" s="13" t="n">
        <v>0</v>
      </c>
      <c r="CJ382" s="13" t="n">
        <v>0</v>
      </c>
      <c r="CK382" s="13" t="n">
        <v>0</v>
      </c>
      <c r="CL382" s="13" t="n">
        <v>0</v>
      </c>
      <c r="CM382" s="13" t="n">
        <v>0</v>
      </c>
      <c r="CN382" s="13" t="n">
        <v>0</v>
      </c>
      <c r="CO382" s="13" t="n">
        <v>0</v>
      </c>
      <c r="CP382" s="13" t="n">
        <v>0</v>
      </c>
      <c r="CQ382" s="13" t="n">
        <v>0</v>
      </c>
      <c r="CR382" s="13" t="n">
        <v>0</v>
      </c>
      <c r="CS382" s="13" t="n">
        <v>0</v>
      </c>
      <c r="CT382" s="13" t="n">
        <v>0</v>
      </c>
      <c r="CU382" s="13" t="n">
        <v>0</v>
      </c>
      <c r="CV382" s="13" t="n">
        <v>0</v>
      </c>
      <c r="CW382" s="13" t="n">
        <v>0</v>
      </c>
      <c r="CX382" s="13" t="n">
        <v>0</v>
      </c>
      <c r="CY382" s="13" t="n">
        <v>0</v>
      </c>
      <c r="CZ382" s="13" t="n">
        <v>0</v>
      </c>
      <c r="DA382" s="13" t="n">
        <v>0</v>
      </c>
      <c r="DB382" s="13" t="n">
        <v>0</v>
      </c>
      <c r="DC382" s="13" t="n">
        <v>0</v>
      </c>
      <c r="DD382" s="13" t="n">
        <v>0</v>
      </c>
      <c r="DE382" s="13" t="n">
        <v>0</v>
      </c>
    </row>
    <row r="383" customFormat="false" ht="15" hidden="false" customHeight="true" outlineLevel="0" collapsed="false">
      <c r="A383" s="67" t="s">
        <v>207</v>
      </c>
      <c r="B383" s="68"/>
      <c r="C383" s="68"/>
      <c r="D383" s="68"/>
      <c r="E383" s="68"/>
      <c r="F383" s="68"/>
      <c r="G383" s="68"/>
      <c r="H383" s="68"/>
      <c r="I383" s="68"/>
      <c r="J383" s="68"/>
      <c r="K383" s="68" t="n">
        <f aca="false">K369+K378</f>
        <v>1863856.50321667</v>
      </c>
      <c r="L383" s="68" t="n">
        <f aca="false">L369+L378</f>
        <v>1860934.13093333</v>
      </c>
      <c r="M383" s="68" t="n">
        <f aca="false">M369+M378</f>
        <v>2154079.30210215</v>
      </c>
      <c r="N383" s="68" t="n">
        <f aca="false">N369+N378</f>
        <v>219247.705748025</v>
      </c>
      <c r="O383" s="68" t="n">
        <f aca="false">O369+O378</f>
        <v>243644.966280379</v>
      </c>
      <c r="P383" s="68" t="n">
        <f aca="false">P369+P378</f>
        <v>329615.401326683</v>
      </c>
      <c r="Q383" s="68" t="n">
        <f aca="false">Q369+Q378</f>
        <v>402186.070853603</v>
      </c>
      <c r="R383" s="68" t="n">
        <f aca="false">R369+R378</f>
        <v>199718.829069451</v>
      </c>
      <c r="S383" s="68" t="n">
        <f aca="false">S369+S378</f>
        <v>122662.762784604</v>
      </c>
      <c r="T383" s="68" t="n">
        <f aca="false">T369+T378</f>
        <v>-67485.4469112023</v>
      </c>
      <c r="U383" s="68" t="n">
        <f aca="false">U369+U378</f>
        <v>383606.383402795</v>
      </c>
      <c r="V383" s="68" t="n">
        <f aca="false">V369+V378</f>
        <v>780637.386611556</v>
      </c>
      <c r="W383" s="68" t="n">
        <f aca="false">W369+W378</f>
        <v>958174.668680422</v>
      </c>
      <c r="X383" s="68" t="n">
        <f aca="false">X369+X378</f>
        <v>1046967.86798283</v>
      </c>
      <c r="Y383" s="68" t="n">
        <f aca="false">Y369+Y378</f>
        <v>1458833.04559731</v>
      </c>
      <c r="Z383" s="68" t="n">
        <f aca="false">Z369+Z378</f>
        <v>418283.53692978</v>
      </c>
      <c r="AA383" s="68" t="n">
        <f aca="false">AA369+AA378</f>
        <v>709059.792384259</v>
      </c>
      <c r="AB383" s="68" t="n">
        <f aca="false">AB369+AB378</f>
        <v>1215702.62346052</v>
      </c>
      <c r="AC383" s="68" t="n">
        <f aca="false">AC369+AC378</f>
        <v>1457669.25229961</v>
      </c>
      <c r="AD383" s="68" t="n">
        <f aca="false">AD369+AD378</f>
        <v>1626756.43183101</v>
      </c>
      <c r="AE383" s="68" t="n">
        <f aca="false">AE369+AE378</f>
        <v>1890321.03224206</v>
      </c>
      <c r="AF383" s="68" t="n">
        <f aca="false">AF369+AF378</f>
        <v>1630606.59094871</v>
      </c>
      <c r="AG383" s="68" t="n">
        <f aca="false">AG369+AG378</f>
        <v>2197061.3153568</v>
      </c>
      <c r="AH383" s="68" t="n">
        <f aca="false">AH369+AH378</f>
        <v>2767183.83703221</v>
      </c>
      <c r="AI383" s="68" t="n">
        <f aca="false">AI369+AI378</f>
        <v>3215643.91142164</v>
      </c>
      <c r="AJ383" s="68" t="n">
        <f aca="false">AJ369+AJ378</f>
        <v>3497849.8568726</v>
      </c>
      <c r="AK383" s="68" t="n">
        <f aca="false">AK369+AK378</f>
        <v>3467386.80276313</v>
      </c>
      <c r="AL383" s="68" t="n">
        <f aca="false">AL369+AL378</f>
        <v>1085360.89691935</v>
      </c>
      <c r="AM383" s="68" t="n">
        <f aca="false">AM369+AM378</f>
        <v>847594.701209802</v>
      </c>
      <c r="AN383" s="68" t="n">
        <f aca="false">AN369+AN378</f>
        <v>1284501.37541545</v>
      </c>
      <c r="AO383" s="68" t="n">
        <f aca="false">AO369+AO378</f>
        <v>1531442.48090858</v>
      </c>
      <c r="AP383" s="68" t="n">
        <f aca="false">AP369+AP378</f>
        <v>1719998.92281926</v>
      </c>
      <c r="AQ383" s="68" t="n">
        <f aca="false">AQ369+AQ378</f>
        <v>1757460.53295501</v>
      </c>
      <c r="AR383" s="68" t="n">
        <f aca="false">AR369+AR378</f>
        <v>1575211.12889725</v>
      </c>
      <c r="AS383" s="68" t="n">
        <f aca="false">AS369+AS378</f>
        <v>1392961.72483949</v>
      </c>
      <c r="AT383" s="68" t="n">
        <f aca="false">AT369+AT378</f>
        <v>1299936.07409286</v>
      </c>
      <c r="AU383" s="68" t="n">
        <f aca="false">AU369+AU378</f>
        <v>1276743.79140551</v>
      </c>
      <c r="AV383" s="68" t="n">
        <f aca="false">AV369+AV378</f>
        <v>1252118.54631761</v>
      </c>
      <c r="AW383" s="68" t="n">
        <f aca="false">AW369+AW378</f>
        <v>1049746.29070024</v>
      </c>
      <c r="AX383" s="68" t="n">
        <f aca="false">AX369+AX378</f>
        <v>591123.831595099</v>
      </c>
      <c r="AY383" s="68" t="n">
        <f aca="false">AY369+AY378</f>
        <v>132501.372489955</v>
      </c>
      <c r="AZ383" s="68" t="n">
        <f aca="false">AZ369+AZ378</f>
        <v>-326121.086615188</v>
      </c>
      <c r="BA383" s="68" t="n">
        <f aca="false">BA369+BA378</f>
        <v>-784743.545720331</v>
      </c>
      <c r="BB383" s="68" t="n">
        <f aca="false">BB369+BB378</f>
        <v>-1243366.00482547</v>
      </c>
      <c r="BC383" s="68" t="n">
        <f aca="false">BC369+BC378</f>
        <v>-1701988.46393062</v>
      </c>
      <c r="BD383" s="68" t="n">
        <f aca="false">BD369+BD378</f>
        <v>-2160610.92303576</v>
      </c>
      <c r="BE383" s="68" t="n">
        <f aca="false">BE369+BE378</f>
        <v>-2619233.3821409</v>
      </c>
      <c r="BF383" s="68" t="n">
        <f aca="false">BF369+BF378</f>
        <v>-3077855.84124605</v>
      </c>
      <c r="BG383" s="68" t="n">
        <f aca="false">BG369+BG378</f>
        <v>-3536478.30035119</v>
      </c>
      <c r="BH383" s="68" t="n">
        <f aca="false">BH369+BH378</f>
        <v>-3758611.29815352</v>
      </c>
      <c r="BI383" s="68" t="n">
        <f aca="false">BI369+BI378</f>
        <v>-4160414.50015963</v>
      </c>
      <c r="BJ383" s="68" t="n">
        <f aca="false">BJ369+BJ378</f>
        <v>-4780227.8404485</v>
      </c>
      <c r="BK383" s="68" t="n">
        <f aca="false">BK369+BK378</f>
        <v>-5400041.18073737</v>
      </c>
      <c r="BL383" s="68" t="n">
        <f aca="false">BL369+BL378</f>
        <v>-6019854.52102624</v>
      </c>
      <c r="BM383" s="68" t="n">
        <f aca="false">BM369+BM378</f>
        <v>-6639667.86131511</v>
      </c>
      <c r="BN383" s="68" t="n">
        <f aca="false">BN369+BN378</f>
        <v>-7259481.20160398</v>
      </c>
      <c r="BO383" s="68" t="n">
        <f aca="false">BO369+BO378</f>
        <v>-7879294.54189285</v>
      </c>
      <c r="BP383" s="68" t="n">
        <f aca="false">BP369+BP378</f>
        <v>-8499107.88218172</v>
      </c>
      <c r="BQ383" s="68" t="n">
        <f aca="false">BQ369+BQ378</f>
        <v>-9118921.22247059</v>
      </c>
      <c r="BR383" s="68" t="n">
        <f aca="false">BR369+BR378</f>
        <v>-9685484.21275946</v>
      </c>
      <c r="BS383" s="68" t="n">
        <f aca="false">BS369+BS378</f>
        <v>-10305297.5530483</v>
      </c>
      <c r="BT383" s="68" t="n">
        <f aca="false">BT369+BT378</f>
        <v>-10925110.8933372</v>
      </c>
      <c r="BU383" s="68" t="n">
        <f aca="false">BU369+BU378</f>
        <v>-11677162.2336261</v>
      </c>
      <c r="BV383" s="68" t="n">
        <f aca="false">BV369+BV378</f>
        <v>-12308618.0807207</v>
      </c>
      <c r="BW383" s="68" t="n">
        <f aca="false">BW369+BW378</f>
        <v>-12940073.9278154</v>
      </c>
      <c r="BX383" s="68" t="n">
        <f aca="false">BX369+BX378</f>
        <v>-13503767.77491</v>
      </c>
      <c r="BY383" s="68" t="n">
        <f aca="false">BY369+BY378</f>
        <v>-14135223.6220047</v>
      </c>
      <c r="BZ383" s="68" t="n">
        <f aca="false">BZ369+BZ378</f>
        <v>-14766679.4690993</v>
      </c>
      <c r="CA383" s="68" t="n">
        <f aca="false">CA369+CA378</f>
        <v>-15330373.316194</v>
      </c>
      <c r="CB383" s="68" t="n">
        <f aca="false">CB369+CB378</f>
        <v>-15961829.1632886</v>
      </c>
      <c r="CC383" s="68" t="n">
        <f aca="false">CC369+CC378</f>
        <v>-16593285.0103833</v>
      </c>
      <c r="CD383" s="68" t="n">
        <f aca="false">CD369+CD378</f>
        <v>-17148241.8574779</v>
      </c>
      <c r="CE383" s="68" t="n">
        <f aca="false">CE369+CE378</f>
        <v>-17779697.7045725</v>
      </c>
      <c r="CF383" s="68" t="n">
        <f aca="false">CF369+CF378</f>
        <v>-18411153.5516672</v>
      </c>
      <c r="CG383" s="68" t="n">
        <f aca="false">CG369+CG378</f>
        <v>-19166110.3987618</v>
      </c>
      <c r="CH383" s="68" t="n">
        <f aca="false">CH369+CH378</f>
        <v>-19809441.6027984</v>
      </c>
      <c r="CI383" s="68" t="n">
        <f aca="false">CI369+CI378</f>
        <v>-20452772.8068349</v>
      </c>
      <c r="CJ383" s="68" t="n">
        <f aca="false">CJ369+CJ378</f>
        <v>-21012996.984265</v>
      </c>
      <c r="CK383" s="68" t="n">
        <f aca="false">CK369+CK378</f>
        <v>-21498467.1883015</v>
      </c>
      <c r="CL383" s="68" t="n">
        <f aca="false">CL369+CL378</f>
        <v>-21983937.3923381</v>
      </c>
      <c r="CM383" s="68" t="n">
        <f aca="false">CM369+CM378</f>
        <v>-22469407.5963746</v>
      </c>
      <c r="CN383" s="68" t="n">
        <f aca="false">CN369+CN378</f>
        <v>-22954877.8004111</v>
      </c>
      <c r="CO383" s="68" t="n">
        <f aca="false">CO369+CO378</f>
        <v>-23440348.0044477</v>
      </c>
      <c r="CP383" s="68" t="n">
        <f aca="false">CP369+CP378</f>
        <v>-23925818.2084842</v>
      </c>
      <c r="CQ383" s="68" t="n">
        <f aca="false">CQ369+CQ378</f>
        <v>-24411288.4125208</v>
      </c>
      <c r="CR383" s="68" t="n">
        <f aca="false">CR369+CR378</f>
        <v>-24896758.6165573</v>
      </c>
      <c r="CS383" s="68" t="n">
        <f aca="false">CS369+CS378</f>
        <v>-25582228.8205939</v>
      </c>
      <c r="CT383" s="68" t="n">
        <f aca="false">CT369+CT378</f>
        <v>-26033290.6326338</v>
      </c>
      <c r="CU383" s="68" t="n">
        <f aca="false">CU369+CU378</f>
        <v>-26484352.4446738</v>
      </c>
      <c r="CV383" s="68" t="n">
        <f aca="false">CV369+CV378</f>
        <v>-26935414.2567138</v>
      </c>
      <c r="CW383" s="68" t="n">
        <f aca="false">CW369+CW378</f>
        <v>-27330767.9176901</v>
      </c>
      <c r="CX383" s="68" t="n">
        <f aca="false">CX369+CX378</f>
        <v>-27708674.7297301</v>
      </c>
      <c r="CY383" s="68" t="n">
        <f aca="false">CY369+CY378</f>
        <v>-28086581.5417701</v>
      </c>
      <c r="CZ383" s="68" t="n">
        <f aca="false">CZ369+CZ378</f>
        <v>-28464488.35381</v>
      </c>
      <c r="DA383" s="68" t="n">
        <f aca="false">DA369+DA378</f>
        <v>-28842395.16585</v>
      </c>
      <c r="DB383" s="68" t="n">
        <f aca="false">DB369+DB378</f>
        <v>-29220301.97789</v>
      </c>
      <c r="DC383" s="68" t="n">
        <f aca="false">DC369+DC378</f>
        <v>-29598208.78993</v>
      </c>
      <c r="DD383" s="68" t="n">
        <f aca="false">DD369+DD378</f>
        <v>-29976115.6019699</v>
      </c>
      <c r="DE383" s="68" t="n">
        <f aca="false">DE369+DE378</f>
        <v>-30554022.4140099</v>
      </c>
    </row>
    <row r="384" customFormat="false" ht="15" hidden="false" customHeight="true" outlineLevel="0" collapsed="false">
      <c r="A384" s="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c r="AJ384" s="13"/>
      <c r="AK384" s="13"/>
      <c r="AL384" s="13"/>
      <c r="AM384" s="13"/>
      <c r="AN384" s="13"/>
      <c r="AO384" s="13"/>
      <c r="AP384" s="13"/>
      <c r="AQ384" s="13"/>
      <c r="AR384" s="13"/>
      <c r="AS384" s="13"/>
      <c r="AT384" s="13"/>
      <c r="AU384" s="13"/>
      <c r="AV384" s="13"/>
      <c r="AW384" s="13"/>
      <c r="AX384" s="13"/>
      <c r="AY384" s="13"/>
      <c r="AZ384" s="13"/>
      <c r="BA384" s="13"/>
      <c r="BB384" s="13"/>
      <c r="BC384" s="13"/>
      <c r="BD384" s="13"/>
      <c r="BE384" s="13"/>
      <c r="BF384" s="13"/>
      <c r="BG384" s="13"/>
      <c r="BH384" s="13"/>
      <c r="BI384" s="13"/>
      <c r="BJ384" s="13"/>
      <c r="BK384" s="13"/>
      <c r="BL384" s="13"/>
      <c r="BM384" s="13"/>
      <c r="BN384" s="13"/>
      <c r="BO384" s="13"/>
      <c r="BP384" s="13"/>
      <c r="BQ384" s="13"/>
      <c r="BR384" s="13"/>
      <c r="BS384" s="13"/>
      <c r="BT384" s="13"/>
      <c r="BU384" s="13"/>
      <c r="BV384" s="13"/>
      <c r="BW384" s="13"/>
      <c r="BX384" s="13"/>
      <c r="BY384" s="13"/>
      <c r="BZ384" s="13"/>
      <c r="CA384" s="13"/>
      <c r="CB384" s="13"/>
      <c r="CC384" s="13"/>
      <c r="CD384" s="13"/>
      <c r="CE384" s="13"/>
      <c r="CF384" s="13"/>
      <c r="CG384" s="13"/>
      <c r="CH384" s="13"/>
      <c r="CI384" s="13"/>
      <c r="CJ384" s="13"/>
      <c r="CK384" s="13"/>
      <c r="CL384" s="13"/>
      <c r="CM384" s="13"/>
      <c r="CN384" s="13"/>
      <c r="CO384" s="13"/>
      <c r="CP384" s="13"/>
      <c r="CQ384" s="13"/>
      <c r="CR384" s="13"/>
      <c r="CS384" s="13"/>
      <c r="CT384" s="13"/>
      <c r="CU384" s="13"/>
      <c r="CV384" s="13"/>
      <c r="CW384" s="13"/>
      <c r="CX384" s="13"/>
      <c r="CY384" s="13"/>
      <c r="CZ384" s="13"/>
      <c r="DA384" s="13"/>
      <c r="DB384" s="13"/>
      <c r="DC384" s="13"/>
      <c r="DD384" s="13"/>
      <c r="DE384" s="13"/>
    </row>
    <row r="385" customFormat="false" ht="15" hidden="false" customHeight="true" outlineLevel="0" collapsed="false">
      <c r="A385" s="2" t="s">
        <v>208</v>
      </c>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c r="AJ385" s="13"/>
      <c r="AK385" s="13"/>
      <c r="AL385" s="13"/>
      <c r="AM385" s="13"/>
      <c r="AN385" s="13"/>
      <c r="AO385" s="13"/>
      <c r="AP385" s="13"/>
      <c r="AQ385" s="13"/>
      <c r="AR385" s="13"/>
      <c r="AS385" s="13"/>
      <c r="AT385" s="13"/>
      <c r="AU385" s="13"/>
      <c r="AV385" s="13"/>
      <c r="AW385" s="13"/>
      <c r="AX385" s="13"/>
      <c r="AY385" s="13"/>
      <c r="AZ385" s="13"/>
      <c r="BA385" s="13"/>
      <c r="BB385" s="13"/>
      <c r="BC385" s="13"/>
      <c r="BD385" s="13"/>
      <c r="BE385" s="13"/>
      <c r="BF385" s="13"/>
      <c r="BG385" s="13"/>
      <c r="BH385" s="13"/>
      <c r="BI385" s="13"/>
      <c r="BJ385" s="13"/>
      <c r="BK385" s="13"/>
      <c r="BL385" s="13"/>
      <c r="BM385" s="13"/>
      <c r="BN385" s="13"/>
      <c r="BO385" s="13"/>
      <c r="BP385" s="13"/>
      <c r="BQ385" s="13"/>
      <c r="BR385" s="13"/>
      <c r="BS385" s="13"/>
      <c r="BT385" s="13"/>
      <c r="BU385" s="13"/>
      <c r="BV385" s="13"/>
      <c r="BW385" s="13"/>
      <c r="BX385" s="13"/>
      <c r="BY385" s="13"/>
      <c r="BZ385" s="13"/>
      <c r="CA385" s="13"/>
      <c r="CB385" s="13"/>
      <c r="CC385" s="13"/>
      <c r="CD385" s="13"/>
      <c r="CE385" s="13"/>
      <c r="CF385" s="13"/>
      <c r="CG385" s="13"/>
      <c r="CH385" s="13"/>
      <c r="CI385" s="13"/>
      <c r="CJ385" s="13"/>
      <c r="CK385" s="13"/>
      <c r="CL385" s="13"/>
      <c r="CM385" s="13"/>
      <c r="CN385" s="13"/>
      <c r="CO385" s="13"/>
      <c r="CP385" s="13"/>
      <c r="CQ385" s="13"/>
      <c r="CR385" s="13"/>
      <c r="CS385" s="13"/>
      <c r="CT385" s="13"/>
      <c r="CU385" s="13"/>
      <c r="CV385" s="13"/>
      <c r="CW385" s="13"/>
      <c r="CX385" s="13"/>
      <c r="CY385" s="13"/>
      <c r="CZ385" s="13"/>
      <c r="DA385" s="13"/>
      <c r="DB385" s="13"/>
      <c r="DC385" s="13"/>
      <c r="DD385" s="13"/>
      <c r="DE385" s="13"/>
    </row>
    <row r="386" customFormat="false" ht="15" hidden="false" customHeight="true" outlineLevel="0" collapsed="false">
      <c r="A386" s="69" t="s">
        <v>209</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210</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0" t="s">
        <v>211</v>
      </c>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c r="AJ388" s="13"/>
      <c r="AK388" s="13"/>
      <c r="AL388" s="13"/>
      <c r="AM388" s="13"/>
      <c r="AN388" s="13"/>
      <c r="AO388" s="13"/>
      <c r="AP388" s="13"/>
      <c r="AQ388" s="13"/>
      <c r="AR388" s="13"/>
      <c r="AS388" s="13"/>
      <c r="AT388" s="13"/>
      <c r="AU388" s="13"/>
      <c r="AV388" s="13"/>
      <c r="AW388" s="13"/>
      <c r="AX388" s="13"/>
      <c r="AY388" s="13"/>
      <c r="AZ388" s="13"/>
      <c r="BA388" s="13"/>
      <c r="BB388" s="13"/>
      <c r="BC388" s="13"/>
      <c r="BD388" s="13"/>
      <c r="BE388" s="13"/>
      <c r="BF388" s="13"/>
      <c r="BG388" s="13"/>
      <c r="BH388" s="13"/>
      <c r="BI388" s="13"/>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13"/>
      <c r="CJ388" s="13"/>
      <c r="CK388" s="13"/>
      <c r="CL388" s="13"/>
      <c r="CM388" s="13"/>
      <c r="CN388" s="13"/>
      <c r="CO388" s="13"/>
      <c r="CP388" s="13"/>
      <c r="CQ388" s="13"/>
      <c r="CR388" s="13"/>
      <c r="CS388" s="13"/>
      <c r="CT388" s="13"/>
      <c r="CU388" s="13"/>
      <c r="CV388" s="13"/>
      <c r="CW388" s="13"/>
      <c r="CX388" s="13"/>
      <c r="CY388" s="13"/>
      <c r="CZ388" s="13"/>
      <c r="DA388" s="13"/>
      <c r="DB388" s="13"/>
      <c r="DC388" s="13"/>
      <c r="DD388" s="13"/>
      <c r="DE388" s="13"/>
    </row>
    <row r="389" customFormat="false" ht="15" hidden="false" customHeight="true" outlineLevel="0" collapsed="false">
      <c r="A389" s="70" t="s">
        <v>212</v>
      </c>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c r="AJ389" s="13"/>
      <c r="AK389" s="13"/>
      <c r="AL389" s="13"/>
      <c r="AM389" s="13"/>
      <c r="AN389" s="13"/>
      <c r="AO389" s="13"/>
      <c r="AP389" s="13"/>
      <c r="AQ389" s="13"/>
      <c r="AR389" s="13"/>
      <c r="AS389" s="13"/>
      <c r="AT389" s="13"/>
      <c r="AU389" s="13"/>
      <c r="AV389" s="13"/>
      <c r="AW389" s="13"/>
      <c r="AX389" s="13"/>
      <c r="AY389" s="13"/>
      <c r="AZ389" s="13"/>
      <c r="BA389" s="13"/>
      <c r="BB389" s="13"/>
      <c r="BC389" s="13"/>
      <c r="BD389" s="13"/>
      <c r="BE389" s="13"/>
      <c r="BF389" s="13"/>
      <c r="BG389" s="13"/>
      <c r="BH389" s="13"/>
      <c r="BI389" s="13"/>
      <c r="BJ389" s="13"/>
      <c r="BK389" s="13"/>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13"/>
      <c r="CJ389" s="13"/>
      <c r="CK389" s="13"/>
      <c r="CL389" s="13"/>
      <c r="CM389" s="13"/>
      <c r="CN389" s="13"/>
      <c r="CO389" s="13"/>
      <c r="CP389" s="13"/>
      <c r="CQ389" s="13"/>
      <c r="CR389" s="13"/>
      <c r="CS389" s="13"/>
      <c r="CT389" s="13"/>
      <c r="CU389" s="13"/>
      <c r="CV389" s="13"/>
      <c r="CW389" s="13"/>
      <c r="CX389" s="13"/>
      <c r="CY389" s="13"/>
      <c r="CZ389" s="13"/>
      <c r="DA389" s="13"/>
      <c r="DB389" s="13"/>
      <c r="DC389" s="13"/>
      <c r="DD389" s="13"/>
      <c r="DE389" s="13"/>
    </row>
    <row r="390" customFormat="false" ht="15" hidden="false" customHeight="true" outlineLevel="0" collapsed="false">
      <c r="B390" s="71"/>
      <c r="C390" s="71"/>
      <c r="D390" s="71"/>
      <c r="E390" s="71"/>
      <c r="F390" s="71"/>
      <c r="G390" s="71"/>
      <c r="H390" s="71"/>
      <c r="I390" s="71"/>
      <c r="J390" s="71"/>
      <c r="K390" s="71"/>
      <c r="L390" s="71"/>
      <c r="M390" s="71"/>
      <c r="N390" s="71"/>
      <c r="O390" s="71"/>
      <c r="P390" s="71"/>
      <c r="Q390" s="71"/>
      <c r="R390" s="71"/>
      <c r="S390" s="71"/>
      <c r="T390" s="71"/>
      <c r="U390" s="71"/>
      <c r="V390" s="71"/>
      <c r="W390" s="71"/>
      <c r="X390" s="71"/>
      <c r="Y390" s="71"/>
      <c r="Z390" s="71"/>
      <c r="AA390" s="71"/>
      <c r="AB390" s="71"/>
      <c r="AC390" s="71"/>
      <c r="AD390" s="71"/>
      <c r="AE390" s="71"/>
      <c r="AF390" s="71"/>
      <c r="AG390" s="71"/>
      <c r="AH390" s="71"/>
      <c r="AI390" s="71"/>
      <c r="AJ390" s="71"/>
      <c r="AK390" s="71"/>
      <c r="AL390" s="71"/>
      <c r="AM390" s="71"/>
      <c r="AN390" s="71"/>
      <c r="AO390" s="71"/>
      <c r="AP390" s="71"/>
      <c r="AQ390" s="71"/>
      <c r="AR390" s="71"/>
      <c r="AS390" s="71"/>
      <c r="AT390" s="71"/>
      <c r="AU390" s="71"/>
      <c r="AV390" s="71"/>
      <c r="AW390" s="71"/>
      <c r="AX390" s="71"/>
      <c r="AY390" s="71"/>
      <c r="AZ390" s="71"/>
      <c r="BA390" s="71"/>
      <c r="BB390" s="71"/>
      <c r="BC390" s="71"/>
      <c r="BD390" s="71"/>
      <c r="BE390" s="71"/>
      <c r="BF390" s="71"/>
      <c r="BG390" s="71"/>
      <c r="BH390" s="71"/>
      <c r="BI390" s="71"/>
      <c r="BJ390" s="71"/>
      <c r="BK390" s="71"/>
      <c r="BL390" s="71"/>
      <c r="BM390" s="71"/>
      <c r="BN390" s="71"/>
      <c r="BO390" s="71"/>
      <c r="BP390" s="71"/>
      <c r="BQ390" s="71"/>
      <c r="BR390" s="71"/>
      <c r="BS390" s="71"/>
      <c r="BT390" s="71"/>
      <c r="BU390" s="71"/>
      <c r="BV390" s="71"/>
      <c r="BW390" s="71"/>
      <c r="BX390" s="71"/>
      <c r="BY390" s="71"/>
      <c r="BZ390" s="71"/>
      <c r="CA390" s="71"/>
      <c r="CB390" s="71"/>
      <c r="CC390" s="71"/>
      <c r="CD390" s="71"/>
      <c r="CE390" s="71"/>
      <c r="CF390" s="71"/>
      <c r="CG390" s="71"/>
      <c r="CH390" s="71"/>
      <c r="CI390" s="71"/>
      <c r="CJ390" s="71"/>
      <c r="CK390" s="71"/>
      <c r="CL390" s="71"/>
      <c r="CM390" s="71"/>
      <c r="CN390" s="71"/>
      <c r="CO390" s="71"/>
      <c r="CP390" s="71"/>
      <c r="CQ390" s="71"/>
      <c r="CR390" s="71"/>
      <c r="CS390" s="71"/>
      <c r="CT390" s="71"/>
      <c r="CU390" s="71"/>
      <c r="CV390" s="71"/>
      <c r="CW390" s="71"/>
      <c r="CX390" s="71"/>
      <c r="CY390" s="71"/>
      <c r="CZ390" s="71"/>
      <c r="DA390" s="71"/>
      <c r="DB390" s="71"/>
      <c r="DC390" s="71"/>
      <c r="DD390" s="71"/>
      <c r="DE390" s="71"/>
    </row>
    <row r="391" customFormat="false" ht="15" hidden="false" customHeight="true" outlineLevel="0" collapsed="false">
      <c r="B391" s="71"/>
      <c r="C391" s="71"/>
      <c r="D391" s="71"/>
      <c r="E391" s="71"/>
      <c r="F391" s="71"/>
      <c r="G391" s="71"/>
      <c r="H391" s="71"/>
      <c r="I391" s="71"/>
      <c r="J391" s="71"/>
      <c r="K391" s="71"/>
      <c r="L391" s="71"/>
      <c r="M391" s="71"/>
      <c r="N391" s="71"/>
      <c r="O391" s="71"/>
      <c r="P391" s="71"/>
      <c r="Q391" s="71"/>
      <c r="R391" s="71"/>
      <c r="S391" s="71"/>
      <c r="T391" s="71"/>
      <c r="U391" s="71"/>
      <c r="V391" s="71"/>
      <c r="W391" s="71"/>
      <c r="X391" s="71"/>
      <c r="Y391" s="71"/>
      <c r="Z391" s="71"/>
      <c r="AA391" s="71"/>
      <c r="AB391" s="71"/>
      <c r="AC391" s="71"/>
      <c r="AD391" s="71"/>
      <c r="AE391" s="71"/>
      <c r="AF391" s="71"/>
      <c r="AG391" s="71"/>
      <c r="AH391" s="71"/>
      <c r="AI391" s="71"/>
      <c r="AJ391" s="71"/>
      <c r="AK391" s="71"/>
      <c r="AL391" s="71"/>
      <c r="AM391" s="71"/>
      <c r="AN391" s="71"/>
      <c r="AO391" s="71"/>
      <c r="AP391" s="71"/>
      <c r="AQ391" s="71"/>
      <c r="AR391" s="71"/>
      <c r="AS391" s="71"/>
      <c r="AT391" s="71"/>
      <c r="AU391" s="71"/>
      <c r="AV391" s="71"/>
      <c r="AW391" s="71"/>
      <c r="AX391" s="71"/>
      <c r="AY391" s="71"/>
      <c r="AZ391" s="71"/>
      <c r="BA391" s="71"/>
      <c r="BB391" s="71"/>
      <c r="BC391" s="71"/>
      <c r="BD391" s="71"/>
      <c r="BE391" s="71"/>
      <c r="BF391" s="71"/>
      <c r="BG391" s="71"/>
      <c r="BH391" s="71"/>
      <c r="BI391" s="71"/>
      <c r="BJ391" s="71"/>
      <c r="BK391" s="71"/>
      <c r="BL391" s="71"/>
      <c r="BM391" s="71"/>
      <c r="BN391" s="71"/>
      <c r="BO391" s="71"/>
      <c r="BP391" s="71"/>
      <c r="BQ391" s="71"/>
      <c r="BR391" s="71"/>
      <c r="BS391" s="71"/>
      <c r="BT391" s="71"/>
      <c r="BU391" s="71"/>
      <c r="BV391" s="71"/>
      <c r="BW391" s="71"/>
      <c r="BX391" s="71"/>
      <c r="BY391" s="71"/>
      <c r="BZ391" s="71"/>
      <c r="CA391" s="71"/>
      <c r="CB391" s="71"/>
      <c r="CC391" s="71"/>
      <c r="CD391" s="71"/>
      <c r="CE391" s="71"/>
      <c r="CF391" s="71"/>
      <c r="CG391" s="71"/>
      <c r="CH391" s="71"/>
      <c r="CI391" s="71"/>
      <c r="CJ391" s="71"/>
      <c r="CK391" s="71"/>
      <c r="CL391" s="71"/>
      <c r="CM391" s="71"/>
      <c r="CN391" s="71"/>
      <c r="CO391" s="71"/>
      <c r="CP391" s="71"/>
      <c r="CQ391" s="71"/>
      <c r="CR391" s="71"/>
      <c r="CS391" s="71"/>
      <c r="CT391" s="71"/>
      <c r="CU391" s="71"/>
      <c r="CV391" s="71"/>
      <c r="CW391" s="71"/>
      <c r="CX391" s="71"/>
      <c r="CY391" s="71"/>
      <c r="CZ391" s="71"/>
      <c r="DA391" s="71"/>
      <c r="DB391" s="71"/>
      <c r="DC391" s="71"/>
      <c r="DD391" s="71"/>
      <c r="DE391" s="71"/>
    </row>
    <row r="392" customFormat="false" ht="15" hidden="false" customHeight="true" outlineLevel="0" collapsed="false">
      <c r="A392" s="44" t="s">
        <v>213</v>
      </c>
      <c r="B392" s="39"/>
      <c r="C392" s="39"/>
      <c r="D392" s="39"/>
      <c r="E392" s="39"/>
      <c r="F392" s="39"/>
      <c r="G392" s="39"/>
      <c r="H392" s="39"/>
      <c r="I392" s="39"/>
      <c r="J392" s="39"/>
      <c r="K392" s="39"/>
      <c r="L392" s="39"/>
      <c r="M392" s="39"/>
      <c r="N392" s="39"/>
      <c r="O392" s="39"/>
      <c r="P392" s="39"/>
      <c r="Q392" s="39"/>
      <c r="R392" s="39"/>
      <c r="S392" s="39"/>
      <c r="T392" s="39"/>
      <c r="U392" s="39"/>
      <c r="V392" s="39"/>
      <c r="W392" s="39"/>
      <c r="X392" s="39"/>
      <c r="Y392" s="39"/>
      <c r="Z392" s="39"/>
      <c r="AA392" s="39"/>
      <c r="AB392" s="39"/>
      <c r="AC392" s="39"/>
      <c r="AD392" s="39"/>
      <c r="AE392" s="39"/>
      <c r="AF392" s="39"/>
      <c r="AG392" s="39"/>
      <c r="AH392" s="39"/>
      <c r="AI392" s="39"/>
      <c r="AJ392" s="39"/>
      <c r="AK392" s="39"/>
      <c r="AL392" s="39"/>
      <c r="AM392" s="39"/>
      <c r="AN392" s="39"/>
      <c r="AO392" s="39"/>
      <c r="AP392" s="39"/>
      <c r="AQ392" s="39"/>
      <c r="AR392" s="39"/>
      <c r="AS392" s="39"/>
      <c r="AT392" s="39"/>
      <c r="AU392" s="39"/>
      <c r="AV392" s="39"/>
      <c r="AW392" s="39"/>
      <c r="AX392" s="39"/>
      <c r="AY392" s="39"/>
      <c r="AZ392" s="39"/>
      <c r="BA392" s="39"/>
      <c r="BB392" s="39"/>
      <c r="BC392" s="39"/>
      <c r="BD392" s="39"/>
      <c r="BE392" s="39"/>
      <c r="BF392" s="39"/>
      <c r="BG392" s="39"/>
      <c r="BH392" s="39"/>
      <c r="BI392" s="39"/>
      <c r="BJ392" s="39"/>
      <c r="BK392" s="39"/>
      <c r="BL392" s="39"/>
      <c r="BM392" s="39"/>
      <c r="BN392" s="39"/>
      <c r="BO392" s="39"/>
      <c r="BP392" s="39"/>
      <c r="BQ392" s="39"/>
      <c r="BR392" s="39"/>
      <c r="BS392" s="39"/>
      <c r="BT392" s="39"/>
      <c r="BU392" s="39"/>
      <c r="BV392" s="39"/>
      <c r="BW392" s="39"/>
      <c r="BX392" s="39"/>
      <c r="BY392" s="39"/>
      <c r="BZ392" s="39"/>
      <c r="CA392" s="39"/>
      <c r="CB392" s="39"/>
      <c r="CC392" s="39"/>
      <c r="CD392" s="39"/>
      <c r="CE392" s="39"/>
      <c r="CF392" s="39"/>
      <c r="CG392" s="39"/>
      <c r="CH392" s="39"/>
      <c r="CI392" s="39"/>
      <c r="CJ392" s="39"/>
      <c r="CK392" s="39"/>
      <c r="CL392" s="39"/>
      <c r="CM392" s="39"/>
      <c r="CN392" s="39"/>
      <c r="CO392" s="39"/>
      <c r="CP392" s="39"/>
      <c r="CQ392" s="39"/>
      <c r="CR392" s="39"/>
      <c r="CS392" s="39"/>
      <c r="CT392" s="39"/>
      <c r="CU392" s="39"/>
      <c r="CV392" s="39"/>
      <c r="CW392" s="39"/>
      <c r="CX392" s="39"/>
      <c r="CY392" s="39"/>
      <c r="CZ392" s="39"/>
      <c r="DA392" s="39"/>
      <c r="DB392" s="39"/>
      <c r="DC392" s="39"/>
      <c r="DD392" s="39"/>
      <c r="DE392" s="39"/>
    </row>
    <row r="393" customFormat="false" ht="15" hidden="false" customHeight="true" outlineLevel="0" collapsed="false">
      <c r="A393" s="70" t="s">
        <v>214</v>
      </c>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70" t="s">
        <v>215</v>
      </c>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72"/>
      <c r="B395" s="71"/>
      <c r="C395" s="71"/>
      <c r="D395" s="71"/>
      <c r="E395" s="71"/>
      <c r="F395" s="71"/>
      <c r="G395" s="71"/>
      <c r="H395" s="71"/>
      <c r="I395" s="71"/>
      <c r="J395" s="71"/>
      <c r="K395" s="71"/>
      <c r="L395" s="71"/>
      <c r="M395" s="71"/>
      <c r="N395" s="71"/>
      <c r="O395" s="71"/>
      <c r="P395" s="71"/>
      <c r="Q395" s="71"/>
      <c r="R395" s="71"/>
      <c r="S395" s="71"/>
      <c r="T395" s="71"/>
      <c r="U395" s="71"/>
      <c r="V395" s="71"/>
      <c r="W395" s="71"/>
      <c r="X395" s="71"/>
      <c r="Y395" s="71"/>
      <c r="Z395" s="71"/>
      <c r="AA395" s="71"/>
      <c r="AB395" s="71"/>
      <c r="AC395" s="71"/>
      <c r="AD395" s="71"/>
      <c r="AE395" s="71"/>
      <c r="AF395" s="71"/>
      <c r="AG395" s="71"/>
      <c r="AH395" s="71"/>
      <c r="AI395" s="71"/>
      <c r="AJ395" s="71"/>
      <c r="AK395" s="71"/>
      <c r="AL395" s="71"/>
      <c r="AM395" s="71"/>
      <c r="AN395" s="71"/>
      <c r="AO395" s="71"/>
      <c r="AP395" s="71"/>
      <c r="AQ395" s="71"/>
      <c r="AR395" s="71"/>
      <c r="AS395" s="71"/>
      <c r="AT395" s="71"/>
      <c r="AU395" s="71"/>
      <c r="AV395" s="71"/>
      <c r="AW395" s="71"/>
      <c r="AX395" s="71"/>
      <c r="AY395" s="71"/>
      <c r="AZ395" s="71"/>
      <c r="BA395" s="71"/>
      <c r="BB395" s="71"/>
      <c r="BC395" s="71"/>
      <c r="BD395" s="71"/>
      <c r="BE395" s="71"/>
      <c r="BF395" s="71"/>
      <c r="BG395" s="71"/>
      <c r="BH395" s="71"/>
      <c r="BI395" s="71"/>
      <c r="BJ395" s="71"/>
      <c r="BK395" s="71"/>
      <c r="BL395" s="71"/>
      <c r="BM395" s="71"/>
      <c r="BN395" s="71"/>
      <c r="BO395" s="71"/>
      <c r="BP395" s="71"/>
      <c r="BQ395" s="71"/>
      <c r="BR395" s="71"/>
      <c r="BS395" s="71"/>
      <c r="BT395" s="71"/>
      <c r="BU395" s="71"/>
      <c r="BV395" s="71"/>
      <c r="BW395" s="71"/>
      <c r="BX395" s="71"/>
      <c r="BY395" s="71"/>
      <c r="BZ395" s="71"/>
      <c r="CA395" s="71"/>
      <c r="CB395" s="71"/>
      <c r="CC395" s="71"/>
      <c r="CD395" s="71"/>
      <c r="CE395" s="71"/>
      <c r="CF395" s="71"/>
      <c r="CG395" s="71"/>
      <c r="CH395" s="71"/>
      <c r="CI395" s="71"/>
      <c r="CJ395" s="71"/>
      <c r="CK395" s="71"/>
      <c r="CL395" s="71"/>
      <c r="CM395" s="71"/>
      <c r="CN395" s="71"/>
      <c r="CO395" s="71"/>
      <c r="CP395" s="71"/>
      <c r="CQ395" s="71"/>
      <c r="CR395" s="71"/>
      <c r="CS395" s="71"/>
      <c r="CT395" s="71"/>
      <c r="CU395" s="71"/>
      <c r="CV395" s="71"/>
      <c r="CW395" s="71"/>
      <c r="CX395" s="71"/>
      <c r="CY395" s="71"/>
      <c r="CZ395" s="71"/>
      <c r="DA395" s="71"/>
      <c r="DB395" s="71"/>
      <c r="DC395" s="71"/>
      <c r="DD395" s="71"/>
      <c r="DE395" s="71"/>
    </row>
    <row r="396" customFormat="false" ht="15" hidden="false" customHeight="true" outlineLevel="0" collapsed="false">
      <c r="A396" s="23" t="s">
        <v>216</v>
      </c>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c r="AF396" s="34"/>
      <c r="AG396" s="34"/>
      <c r="AH396" s="34"/>
      <c r="AI396" s="34"/>
      <c r="AJ396" s="34"/>
      <c r="AK396" s="34"/>
      <c r="AL396" s="34"/>
      <c r="AM396" s="34"/>
      <c r="AN396" s="34"/>
      <c r="AO396" s="34"/>
      <c r="AP396" s="34"/>
      <c r="AQ396" s="34"/>
      <c r="AR396" s="34"/>
      <c r="AS396" s="34"/>
      <c r="AT396" s="34"/>
      <c r="AU396" s="34"/>
      <c r="AV396" s="34"/>
      <c r="AW396" s="34"/>
      <c r="AX396" s="34"/>
      <c r="AY396" s="34"/>
      <c r="AZ396" s="34"/>
      <c r="BA396" s="34"/>
      <c r="BB396" s="34"/>
      <c r="BC396" s="34"/>
      <c r="BD396" s="34"/>
      <c r="BE396" s="34"/>
      <c r="BF396" s="34"/>
      <c r="BG396" s="34"/>
      <c r="BH396" s="34"/>
      <c r="BI396" s="34"/>
      <c r="BJ396" s="34"/>
      <c r="BK396" s="34"/>
      <c r="BL396" s="34"/>
      <c r="BM396" s="34"/>
      <c r="BN396" s="34"/>
      <c r="BO396" s="34"/>
      <c r="BP396" s="34"/>
      <c r="BQ396" s="34"/>
      <c r="BR396" s="34"/>
      <c r="BS396" s="34"/>
      <c r="BT396" s="34"/>
      <c r="BU396" s="34"/>
      <c r="BV396" s="34"/>
      <c r="BW396" s="34"/>
      <c r="BX396" s="34"/>
      <c r="BY396" s="34"/>
      <c r="BZ396" s="34"/>
      <c r="CA396" s="34"/>
      <c r="CB396" s="34"/>
      <c r="CC396" s="34"/>
      <c r="CD396" s="34"/>
      <c r="CE396" s="34"/>
      <c r="CF396" s="34"/>
      <c r="CG396" s="34"/>
      <c r="CH396" s="34"/>
      <c r="CI396" s="34"/>
      <c r="CJ396" s="34"/>
      <c r="CK396" s="34"/>
      <c r="CL396" s="34"/>
      <c r="CM396" s="34"/>
      <c r="CN396" s="34"/>
      <c r="CO396" s="34"/>
      <c r="CP396" s="34"/>
      <c r="CQ396" s="34"/>
      <c r="CR396" s="34"/>
      <c r="CS396" s="34"/>
      <c r="CT396" s="34"/>
      <c r="CU396" s="34"/>
      <c r="CV396" s="34"/>
      <c r="CW396" s="34"/>
      <c r="CX396" s="34"/>
      <c r="CY396" s="34"/>
      <c r="CZ396" s="34"/>
      <c r="DA396" s="34"/>
      <c r="DB396" s="34"/>
      <c r="DC396" s="34"/>
      <c r="DD396" s="34"/>
      <c r="DE396" s="34"/>
    </row>
    <row r="397" customFormat="false" ht="15" hidden="false" customHeight="true" outlineLevel="0" collapsed="false">
      <c r="A397" s="22" t="s">
        <v>217</v>
      </c>
      <c r="B397" s="73" t="n">
        <v>680024</v>
      </c>
      <c r="C397" s="73" t="n">
        <v>115848</v>
      </c>
      <c r="D397" s="73" t="n">
        <v>633520</v>
      </c>
      <c r="E397" s="73" t="n">
        <v>394004</v>
      </c>
      <c r="F397" s="73" t="n">
        <v>501967</v>
      </c>
      <c r="G397" s="73" t="n">
        <v>306139</v>
      </c>
      <c r="H397" s="73" t="n">
        <v>283340</v>
      </c>
      <c r="I397" s="73" t="n">
        <v>1287106</v>
      </c>
      <c r="J397" s="73" t="n">
        <v>1415971</v>
      </c>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218</v>
      </c>
      <c r="B398" s="73" t="n">
        <v>340025.08</v>
      </c>
      <c r="C398" s="73" t="n">
        <v>-261834.01</v>
      </c>
      <c r="D398" s="73" t="n">
        <v>193556.06</v>
      </c>
      <c r="E398" s="73" t="n">
        <v>189693.03</v>
      </c>
      <c r="F398" s="73" t="n">
        <v>158202.61</v>
      </c>
      <c r="G398" s="73" t="n">
        <v>93567.49</v>
      </c>
      <c r="H398" s="73" t="n">
        <v>-24341.08</v>
      </c>
      <c r="I398" s="73" t="n">
        <v>539859.24</v>
      </c>
      <c r="J398" s="73" t="n">
        <v>556321.25</v>
      </c>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219</v>
      </c>
      <c r="B399" s="73" t="n">
        <v>250140</v>
      </c>
      <c r="C399" s="73" t="n">
        <v>142.7</v>
      </c>
      <c r="D399" s="73" t="n">
        <v>142.7</v>
      </c>
      <c r="E399" s="73" t="n">
        <v>142.7</v>
      </c>
      <c r="F399" s="73" t="n">
        <v>142.7</v>
      </c>
      <c r="G399" s="73" t="n">
        <v>142.7</v>
      </c>
      <c r="H399" s="73" t="n">
        <v>142.7</v>
      </c>
      <c r="I399" s="73" t="n">
        <v>142.7</v>
      </c>
      <c r="J399" s="73" t="n">
        <v>142.7</v>
      </c>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220</v>
      </c>
      <c r="B400" s="73" t="n">
        <v>89759.22</v>
      </c>
      <c r="C400" s="73" t="n">
        <v>377339.45</v>
      </c>
      <c r="D400" s="73" t="n">
        <v>439621.63</v>
      </c>
      <c r="E400" s="73" t="n">
        <v>203968.72</v>
      </c>
      <c r="F400" s="73" t="n">
        <v>343421.93</v>
      </c>
      <c r="G400" s="73" t="n">
        <v>212228.57</v>
      </c>
      <c r="H400" s="73" t="n">
        <v>307338.39</v>
      </c>
      <c r="I400" s="73" t="n">
        <v>746904.15</v>
      </c>
      <c r="J400" s="73" t="n">
        <v>493694.42</v>
      </c>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c r="AJ400" s="13"/>
      <c r="AK400" s="13"/>
      <c r="AL400" s="13"/>
      <c r="AM400" s="13"/>
      <c r="AN400" s="13"/>
      <c r="AO400" s="13"/>
      <c r="AP400" s="13"/>
      <c r="AQ400" s="13"/>
      <c r="AR400" s="13"/>
      <c r="AS400" s="13"/>
      <c r="AT400" s="13"/>
      <c r="AU400" s="13"/>
      <c r="AV400" s="13"/>
      <c r="AW400" s="13"/>
      <c r="AX400" s="13"/>
      <c r="AY400" s="13"/>
      <c r="AZ400" s="13"/>
      <c r="BA400" s="13"/>
      <c r="BB400" s="13"/>
      <c r="BC400" s="13"/>
      <c r="BD400" s="13"/>
      <c r="BE400" s="13"/>
      <c r="BF400" s="13"/>
      <c r="BG400" s="13"/>
      <c r="BH400" s="13"/>
      <c r="BI400" s="13"/>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13"/>
      <c r="CJ400" s="13"/>
      <c r="CK400" s="13"/>
      <c r="CL400" s="13"/>
      <c r="CM400" s="13"/>
      <c r="CN400" s="13"/>
      <c r="CO400" s="13"/>
      <c r="CP400" s="13"/>
      <c r="CQ400" s="13"/>
      <c r="CR400" s="13"/>
      <c r="CS400" s="13"/>
      <c r="CT400" s="13"/>
      <c r="CU400" s="13"/>
      <c r="CV400" s="13"/>
      <c r="CW400" s="13"/>
      <c r="CX400" s="13"/>
      <c r="CY400" s="13"/>
      <c r="CZ400" s="13"/>
      <c r="DA400" s="13"/>
      <c r="DB400" s="13"/>
      <c r="DC400" s="13"/>
      <c r="DD400" s="13"/>
      <c r="DE400" s="13"/>
    </row>
    <row r="401" customFormat="false" ht="15" hidden="false" customHeight="true" outlineLevel="0" collapsed="false">
      <c r="A401" s="22" t="s">
        <v>221</v>
      </c>
      <c r="B401" s="73" t="n">
        <v>100</v>
      </c>
      <c r="C401" s="73" t="n">
        <v>200</v>
      </c>
      <c r="D401" s="73" t="n">
        <v>200</v>
      </c>
      <c r="E401" s="73" t="n">
        <v>200</v>
      </c>
      <c r="F401" s="73" t="n">
        <v>200</v>
      </c>
      <c r="G401" s="73" t="n">
        <v>200</v>
      </c>
      <c r="H401" s="73" t="n">
        <v>200</v>
      </c>
      <c r="I401" s="73" t="n">
        <v>200</v>
      </c>
      <c r="J401" s="73" t="n">
        <v>365813</v>
      </c>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c r="AJ401" s="13"/>
      <c r="AK401" s="13"/>
      <c r="AL401" s="13"/>
      <c r="AM401" s="13"/>
      <c r="AN401" s="13"/>
      <c r="AO401" s="13"/>
      <c r="AP401" s="13"/>
      <c r="AQ401" s="13"/>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13"/>
      <c r="CJ401" s="13"/>
      <c r="CK401" s="13"/>
      <c r="CL401" s="13"/>
      <c r="CM401" s="13"/>
      <c r="CN401" s="13"/>
      <c r="CO401" s="13"/>
      <c r="CP401" s="13"/>
      <c r="CQ401" s="13"/>
      <c r="CR401" s="13"/>
      <c r="CS401" s="13"/>
      <c r="CT401" s="13"/>
      <c r="CU401" s="13"/>
      <c r="CV401" s="13"/>
      <c r="CW401" s="13"/>
      <c r="CX401" s="13"/>
      <c r="CY401" s="13"/>
      <c r="CZ401" s="13"/>
      <c r="DA401" s="13"/>
      <c r="DB401" s="13"/>
      <c r="DC401" s="13"/>
      <c r="DD401" s="13"/>
      <c r="DE401" s="13"/>
    </row>
    <row r="402" customFormat="false" ht="15" hidden="false" customHeight="true" outlineLevel="0" collapsed="false">
      <c r="A402" s="22" t="s">
        <v>222</v>
      </c>
      <c r="B402" s="74" t="n">
        <f aca="false">IF(B397="","",ROUND(SUM(B398:B401)-B397,0))</f>
        <v>0</v>
      </c>
      <c r="C402" s="74" t="n">
        <f aca="false">IF(C397="","",ROUND(SUM(C398:C401)-C397,0))</f>
        <v>0</v>
      </c>
      <c r="D402" s="74" t="n">
        <f aca="false">IF(D397="","",ROUND(SUM(D398:D401)-D397,0))</f>
        <v>0</v>
      </c>
      <c r="E402" s="74" t="n">
        <f aca="false">IF(E397="","",ROUND(SUM(E398:E401)-E397,0))</f>
        <v>0</v>
      </c>
      <c r="F402" s="74" t="n">
        <f aca="false">IF(F397="","",ROUND(SUM(F398:F401)-F397,0))</f>
        <v>0</v>
      </c>
      <c r="G402" s="74" t="n">
        <f aca="false">IF(G397="","",ROUND(SUM(G398:G401)-G397,0))</f>
        <v>-0</v>
      </c>
      <c r="H402" s="74" t="n">
        <f aca="false">IF(H397="","",ROUND(SUM(H398:H401)-H397,0))</f>
        <v>0</v>
      </c>
      <c r="I402" s="74" t="n">
        <f aca="false">IF(I397="","",ROUND(SUM(I398:I401)-I397,0))</f>
        <v>0</v>
      </c>
      <c r="J402" s="74" t="n">
        <f aca="false">IF(J397="","",ROUND(SUM(J398:J401)-J397,0))</f>
        <v>0</v>
      </c>
      <c r="K402" s="74" t="str">
        <f aca="false">IF(K397="","",ROUND(SUM(K398:K401)-K397,0))</f>
        <v/>
      </c>
      <c r="L402" s="74" t="str">
        <f aca="false">IF(L397="","",ROUND(SUM(L398:L401)-L397,0))</f>
        <v/>
      </c>
      <c r="M402" s="74" t="str">
        <f aca="false">IF(M397="","",ROUND(SUM(M398:M401)-M397,0))</f>
        <v/>
      </c>
      <c r="N402" s="74" t="str">
        <f aca="false">IF(N397="","",ROUND(SUM(N398:N401)-N397,0))</f>
        <v/>
      </c>
      <c r="O402" s="74" t="str">
        <f aca="false">IF(O397="","",ROUND(SUM(O398:O401)-O397,0))</f>
        <v/>
      </c>
      <c r="P402" s="74" t="str">
        <f aca="false">IF(P397="","",ROUND(SUM(P398:P401)-P397,0))</f>
        <v/>
      </c>
      <c r="Q402" s="74" t="str">
        <f aca="false">IF(Q397="","",ROUND(SUM(Q398:Q401)-Q397,0))</f>
        <v/>
      </c>
      <c r="R402" s="74" t="str">
        <f aca="false">IF(R397="","",ROUND(SUM(R398:R401)-R397,0))</f>
        <v/>
      </c>
      <c r="S402" s="74" t="str">
        <f aca="false">IF(S397="","",ROUND(SUM(S398:S401)-S397,0))</f>
        <v/>
      </c>
      <c r="T402" s="74" t="str">
        <f aca="false">IF(T397="","",ROUND(SUM(T398:T401)-T397,0))</f>
        <v/>
      </c>
      <c r="U402" s="74" t="str">
        <f aca="false">IF(U397="","",ROUND(SUM(U398:U401)-U397,0))</f>
        <v/>
      </c>
      <c r="V402" s="74" t="str">
        <f aca="false">IF(V397="","",ROUND(SUM(V398:V401)-V397,0))</f>
        <v/>
      </c>
      <c r="W402" s="74" t="str">
        <f aca="false">IF(W397="","",ROUND(SUM(W398:W401)-W397,0))</f>
        <v/>
      </c>
      <c r="X402" s="74" t="str">
        <f aca="false">IF(X397="","",ROUND(SUM(X398:X401)-X397,0))</f>
        <v/>
      </c>
      <c r="Y402" s="74" t="str">
        <f aca="false">IF(Y397="","",ROUND(SUM(Y398:Y401)-Y397,0))</f>
        <v/>
      </c>
      <c r="Z402" s="74" t="str">
        <f aca="false">IF(Z397="","",ROUND(SUM(Z398:Z401)-Z397,0))</f>
        <v/>
      </c>
      <c r="AA402" s="74" t="str">
        <f aca="false">IF(AA397="","",ROUND(SUM(AA398:AA401)-AA397,0))</f>
        <v/>
      </c>
      <c r="AB402" s="74" t="str">
        <f aca="false">IF(AB397="","",ROUND(SUM(AB398:AB401)-AB397,0))</f>
        <v/>
      </c>
      <c r="AC402" s="74" t="str">
        <f aca="false">IF(AC397="","",ROUND(SUM(AC398:AC401)-AC397,0))</f>
        <v/>
      </c>
      <c r="AD402" s="74" t="str">
        <f aca="false">IF(AD397="","",ROUND(SUM(AD398:AD401)-AD397,0))</f>
        <v/>
      </c>
      <c r="AE402" s="74" t="str">
        <f aca="false">IF(AE397="","",ROUND(SUM(AE398:AE401)-AE397,0))</f>
        <v/>
      </c>
      <c r="AF402" s="74" t="str">
        <f aca="false">IF(AF397="","",ROUND(SUM(AF398:AF401)-AF397,0))</f>
        <v/>
      </c>
      <c r="AG402" s="74" t="str">
        <f aca="false">IF(AG397="","",ROUND(SUM(AG398:AG401)-AG397,0))</f>
        <v/>
      </c>
      <c r="AH402" s="74" t="str">
        <f aca="false">IF(AH397="","",ROUND(SUM(AH398:AH401)-AH397,0))</f>
        <v/>
      </c>
      <c r="AI402" s="74" t="str">
        <f aca="false">IF(AI397="","",ROUND(SUM(AI398:AI401)-AI397,0))</f>
        <v/>
      </c>
      <c r="AJ402" s="74" t="str">
        <f aca="false">IF(AJ397="","",ROUND(SUM(AJ398:AJ401)-AJ397,0))</f>
        <v/>
      </c>
      <c r="AK402" s="74" t="str">
        <f aca="false">IF(AK397="","",ROUND(SUM(AK398:AK401)-AK397,0))</f>
        <v/>
      </c>
      <c r="AL402" s="74" t="str">
        <f aca="false">IF(AL397="","",ROUND(SUM(AL398:AL401)-AL397,0))</f>
        <v/>
      </c>
      <c r="AM402" s="74" t="str">
        <f aca="false">IF(AM397="","",ROUND(SUM(AM398:AM401)-AM397,0))</f>
        <v/>
      </c>
      <c r="AN402" s="74" t="str">
        <f aca="false">IF(AN397="","",ROUND(SUM(AN398:AN401)-AN397,0))</f>
        <v/>
      </c>
      <c r="AO402" s="74" t="str">
        <f aca="false">IF(AO397="","",ROUND(SUM(AO398:AO401)-AO397,0))</f>
        <v/>
      </c>
      <c r="AP402" s="74" t="str">
        <f aca="false">IF(AP397="","",ROUND(SUM(AP398:AP401)-AP397,0))</f>
        <v/>
      </c>
      <c r="AQ402" s="74" t="str">
        <f aca="false">IF(AQ397="","",ROUND(SUM(AQ398:AQ401)-AQ397,0))</f>
        <v/>
      </c>
      <c r="AR402" s="74" t="str">
        <f aca="false">IF(AR397="","",ROUND(SUM(AR398:AR401)-AR397,0))</f>
        <v/>
      </c>
      <c r="AS402" s="74" t="str">
        <f aca="false">IF(AS397="","",ROUND(SUM(AS398:AS401)-AS397,0))</f>
        <v/>
      </c>
      <c r="AT402" s="74" t="str">
        <f aca="false">IF(AT397="","",ROUND(SUM(AT398:AT401)-AT397,0))</f>
        <v/>
      </c>
      <c r="AU402" s="74" t="str">
        <f aca="false">IF(AU397="","",ROUND(SUM(AU398:AU401)-AU397,0))</f>
        <v/>
      </c>
      <c r="AV402" s="74" t="str">
        <f aca="false">IF(AV397="","",ROUND(SUM(AV398:AV401)-AV397,0))</f>
        <v/>
      </c>
      <c r="AW402" s="74" t="str">
        <f aca="false">IF(AW397="","",ROUND(SUM(AW398:AW401)-AW397,0))</f>
        <v/>
      </c>
      <c r="AX402" s="74" t="str">
        <f aca="false">IF(AX397="","",ROUND(SUM(AX398:AX401)-AX397,0))</f>
        <v/>
      </c>
      <c r="AY402" s="74" t="str">
        <f aca="false">IF(AY397="","",ROUND(SUM(AY398:AY401)-AY397,0))</f>
        <v/>
      </c>
      <c r="AZ402" s="74" t="str">
        <f aca="false">IF(AZ397="","",ROUND(SUM(AZ398:AZ401)-AZ397,0))</f>
        <v/>
      </c>
      <c r="BA402" s="74" t="str">
        <f aca="false">IF(BA397="","",ROUND(SUM(BA398:BA401)-BA397,0))</f>
        <v/>
      </c>
      <c r="BB402" s="74" t="str">
        <f aca="false">IF(BB397="","",ROUND(SUM(BB398:BB401)-BB397,0))</f>
        <v/>
      </c>
      <c r="BC402" s="74" t="str">
        <f aca="false">IF(BC397="","",ROUND(SUM(BC398:BC401)-BC397,0))</f>
        <v/>
      </c>
      <c r="BD402" s="74" t="str">
        <f aca="false">IF(BD397="","",ROUND(SUM(BD398:BD401)-BD397,0))</f>
        <v/>
      </c>
      <c r="BE402" s="74" t="str">
        <f aca="false">IF(BE397="","",ROUND(SUM(BE398:BE401)-BE397,0))</f>
        <v/>
      </c>
      <c r="BF402" s="74" t="str">
        <f aca="false">IF(BF397="","",ROUND(SUM(BF398:BF401)-BF397,0))</f>
        <v/>
      </c>
      <c r="BG402" s="74" t="str">
        <f aca="false">IF(BG397="","",ROUND(SUM(BG398:BG401)-BG397,0))</f>
        <v/>
      </c>
      <c r="BH402" s="74" t="str">
        <f aca="false">IF(BH397="","",ROUND(SUM(BH398:BH401)-BH397,0))</f>
        <v/>
      </c>
      <c r="BI402" s="74" t="str">
        <f aca="false">IF(BI397="","",ROUND(SUM(BI398:BI401)-BI397,0))</f>
        <v/>
      </c>
      <c r="BJ402" s="74" t="str">
        <f aca="false">IF(BJ397="","",ROUND(SUM(BJ398:BJ401)-BJ397,0))</f>
        <v/>
      </c>
      <c r="BK402" s="74" t="str">
        <f aca="false">IF(BK397="","",ROUND(SUM(BK398:BK401)-BK397,0))</f>
        <v/>
      </c>
      <c r="BL402" s="74" t="str">
        <f aca="false">IF(BL397="","",ROUND(SUM(BL398:BL401)-BL397,0))</f>
        <v/>
      </c>
      <c r="BM402" s="74" t="str">
        <f aca="false">IF(BM397="","",ROUND(SUM(BM398:BM401)-BM397,0))</f>
        <v/>
      </c>
      <c r="BN402" s="74" t="str">
        <f aca="false">IF(BN397="","",ROUND(SUM(BN398:BN401)-BN397,0))</f>
        <v/>
      </c>
      <c r="BO402" s="74" t="str">
        <f aca="false">IF(BO397="","",ROUND(SUM(BO398:BO401)-BO397,0))</f>
        <v/>
      </c>
      <c r="BP402" s="74" t="str">
        <f aca="false">IF(BP397="","",ROUND(SUM(BP398:BP401)-BP397,0))</f>
        <v/>
      </c>
      <c r="BQ402" s="74" t="str">
        <f aca="false">IF(BQ397="","",ROUND(SUM(BQ398:BQ401)-BQ397,0))</f>
        <v/>
      </c>
      <c r="BR402" s="74" t="str">
        <f aca="false">IF(BR397="","",ROUND(SUM(BR398:BR401)-BR397,0))</f>
        <v/>
      </c>
      <c r="BS402" s="74" t="str">
        <f aca="false">IF(BS397="","",ROUND(SUM(BS398:BS401)-BS397,0))</f>
        <v/>
      </c>
      <c r="BT402" s="74" t="str">
        <f aca="false">IF(BT397="","",ROUND(SUM(BT398:BT401)-BT397,0))</f>
        <v/>
      </c>
      <c r="BU402" s="74" t="str">
        <f aca="false">IF(BU397="","",ROUND(SUM(BU398:BU401)-BU397,0))</f>
        <v/>
      </c>
      <c r="BV402" s="74" t="str">
        <f aca="false">IF(BV397="","",ROUND(SUM(BV398:BV401)-BV397,0))</f>
        <v/>
      </c>
      <c r="BW402" s="74" t="str">
        <f aca="false">IF(BW397="","",ROUND(SUM(BW398:BW401)-BW397,0))</f>
        <v/>
      </c>
      <c r="BX402" s="74" t="str">
        <f aca="false">IF(BX397="","",ROUND(SUM(BX398:BX401)-BX397,0))</f>
        <v/>
      </c>
      <c r="BY402" s="74" t="str">
        <f aca="false">IF(BY397="","",ROUND(SUM(BY398:BY401)-BY397,0))</f>
        <v/>
      </c>
      <c r="BZ402" s="74" t="str">
        <f aca="false">IF(BZ397="","",ROUND(SUM(BZ398:BZ401)-BZ397,0))</f>
        <v/>
      </c>
      <c r="CA402" s="74" t="str">
        <f aca="false">IF(CA397="","",ROUND(SUM(CA398:CA401)-CA397,0))</f>
        <v/>
      </c>
      <c r="CB402" s="74" t="str">
        <f aca="false">IF(CB397="","",ROUND(SUM(CB398:CB401)-CB397,0))</f>
        <v/>
      </c>
      <c r="CC402" s="74" t="str">
        <f aca="false">IF(CC397="","",ROUND(SUM(CC398:CC401)-CC397,0))</f>
        <v/>
      </c>
      <c r="CD402" s="74" t="str">
        <f aca="false">IF(CD397="","",ROUND(SUM(CD398:CD401)-CD397,0))</f>
        <v/>
      </c>
      <c r="CE402" s="74" t="str">
        <f aca="false">IF(CE397="","",ROUND(SUM(CE398:CE401)-CE397,0))</f>
        <v/>
      </c>
      <c r="CF402" s="74" t="str">
        <f aca="false">IF(CF397="","",ROUND(SUM(CF398:CF401)-CF397,0))</f>
        <v/>
      </c>
      <c r="CG402" s="74" t="str">
        <f aca="false">IF(CG397="","",ROUND(SUM(CG398:CG401)-CG397,0))</f>
        <v/>
      </c>
      <c r="CH402" s="74" t="str">
        <f aca="false">IF(CH397="","",ROUND(SUM(CH398:CH401)-CH397,0))</f>
        <v/>
      </c>
      <c r="CI402" s="74" t="str">
        <f aca="false">IF(CI397="","",ROUND(SUM(CI398:CI401)-CI397,0))</f>
        <v/>
      </c>
      <c r="CJ402" s="74" t="str">
        <f aca="false">IF(CJ397="","",ROUND(SUM(CJ398:CJ401)-CJ397,0))</f>
        <v/>
      </c>
      <c r="CK402" s="74" t="str">
        <f aca="false">IF(CK397="","",ROUND(SUM(CK398:CK401)-CK397,0))</f>
        <v/>
      </c>
      <c r="CL402" s="74" t="str">
        <f aca="false">IF(CL397="","",ROUND(SUM(CL398:CL401)-CL397,0))</f>
        <v/>
      </c>
      <c r="CM402" s="74" t="str">
        <f aca="false">IF(CM397="","",ROUND(SUM(CM398:CM401)-CM397,0))</f>
        <v/>
      </c>
      <c r="CN402" s="74" t="str">
        <f aca="false">IF(CN397="","",ROUND(SUM(CN398:CN401)-CN397,0))</f>
        <v/>
      </c>
      <c r="CO402" s="74" t="str">
        <f aca="false">IF(CO397="","",ROUND(SUM(CO398:CO401)-CO397,0))</f>
        <v/>
      </c>
      <c r="CP402" s="74" t="str">
        <f aca="false">IF(CP397="","",ROUND(SUM(CP398:CP401)-CP397,0))</f>
        <v/>
      </c>
      <c r="CQ402" s="74" t="str">
        <f aca="false">IF(CQ397="","",ROUND(SUM(CQ398:CQ401)-CQ397,0))</f>
        <v/>
      </c>
      <c r="CR402" s="74" t="str">
        <f aca="false">IF(CR397="","",ROUND(SUM(CR398:CR401)-CR397,0))</f>
        <v/>
      </c>
      <c r="CS402" s="74" t="str">
        <f aca="false">IF(CS397="","",ROUND(SUM(CS398:CS401)-CS397,0))</f>
        <v/>
      </c>
      <c r="CT402" s="74" t="str">
        <f aca="false">IF(CT397="","",ROUND(SUM(CT398:CT401)-CT397,0))</f>
        <v/>
      </c>
      <c r="CU402" s="74" t="str">
        <f aca="false">IF(CU397="","",ROUND(SUM(CU398:CU401)-CU397,0))</f>
        <v/>
      </c>
      <c r="CV402" s="74" t="str">
        <f aca="false">IF(CV397="","",ROUND(SUM(CV398:CV401)-CV397,0))</f>
        <v/>
      </c>
      <c r="CW402" s="74" t="str">
        <f aca="false">IF(CW397="","",ROUND(SUM(CW398:CW401)-CW397,0))</f>
        <v/>
      </c>
      <c r="CX402" s="74" t="str">
        <f aca="false">IF(CX397="","",ROUND(SUM(CX398:CX401)-CX397,0))</f>
        <v/>
      </c>
      <c r="CY402" s="74" t="str">
        <f aca="false">IF(CY397="","",ROUND(SUM(CY398:CY401)-CY397,0))</f>
        <v/>
      </c>
      <c r="CZ402" s="74" t="str">
        <f aca="false">IF(CZ397="","",ROUND(SUM(CZ398:CZ401)-CZ397,0))</f>
        <v/>
      </c>
      <c r="DA402" s="74" t="str">
        <f aca="false">IF(DA397="","",ROUND(SUM(DA398:DA401)-DA397,0))</f>
        <v/>
      </c>
      <c r="DB402" s="74" t="str">
        <f aca="false">IF(DB397="","",ROUND(SUM(DB398:DB401)-DB397,0))</f>
        <v/>
      </c>
      <c r="DC402" s="74" t="str">
        <f aca="false">IF(DC397="","",ROUND(SUM(DC398:DC401)-DC397,0))</f>
        <v/>
      </c>
      <c r="DD402" s="74" t="str">
        <f aca="false">IF(DD397="","",ROUND(SUM(DD398:DD401)-DD397,0))</f>
        <v/>
      </c>
      <c r="DE402" s="74" t="str">
        <f aca="false">IF(DE397="","",ROUND(SUM(DE398:DE401)-DE397,0))</f>
        <v/>
      </c>
    </row>
    <row r="403" customFormat="false" ht="15" hidden="false" customHeight="true" outlineLevel="0" collapsed="false">
      <c r="A403" s="22" t="s">
        <v>223</v>
      </c>
      <c r="B403" s="73" t="n">
        <v>378187</v>
      </c>
      <c r="C403" s="73" t="n">
        <v>110882</v>
      </c>
      <c r="D403" s="73" t="n">
        <v>171148</v>
      </c>
      <c r="E403" s="73" t="n">
        <v>368691</v>
      </c>
      <c r="F403" s="73" t="n">
        <v>343251</v>
      </c>
      <c r="G403" s="73" t="n">
        <v>665368</v>
      </c>
      <c r="H403" s="73" t="n">
        <v>122223</v>
      </c>
      <c r="I403" s="73" t="n">
        <v>658190</v>
      </c>
      <c r="J403" s="73" t="n">
        <v>298719</v>
      </c>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c r="AJ403" s="13"/>
      <c r="AK403" s="13"/>
      <c r="AL403" s="13"/>
      <c r="AM403" s="13"/>
      <c r="AN403" s="13"/>
      <c r="AO403" s="13"/>
      <c r="AP403" s="13"/>
      <c r="AQ403" s="13"/>
      <c r="AR403" s="13"/>
      <c r="AS403" s="13"/>
      <c r="AT403" s="13"/>
      <c r="AU403" s="13"/>
      <c r="AV403" s="13"/>
      <c r="AW403" s="13"/>
      <c r="AX403" s="13"/>
      <c r="AY403" s="13"/>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13"/>
      <c r="CJ403" s="13"/>
      <c r="CK403" s="13"/>
      <c r="CL403" s="13"/>
      <c r="CM403" s="13"/>
      <c r="CN403" s="13"/>
      <c r="CO403" s="13"/>
      <c r="CP403" s="13"/>
      <c r="CQ403" s="13"/>
      <c r="CR403" s="13"/>
      <c r="CS403" s="13"/>
      <c r="CT403" s="13"/>
      <c r="CU403" s="13"/>
      <c r="CV403" s="13"/>
      <c r="CW403" s="13"/>
      <c r="CX403" s="13"/>
      <c r="CY403" s="13"/>
      <c r="CZ403" s="13"/>
      <c r="DA403" s="13"/>
      <c r="DB403" s="13"/>
      <c r="DC403" s="13"/>
      <c r="DD403" s="13"/>
      <c r="DE403" s="13"/>
    </row>
    <row r="404" customFormat="false" ht="15" hidden="false" customHeight="true" outlineLevel="0" collapsed="false">
      <c r="A404" s="22" t="s">
        <v>224</v>
      </c>
      <c r="B404" s="73" t="n">
        <v>369156.23</v>
      </c>
      <c r="C404" s="73" t="n">
        <v>110746.48</v>
      </c>
      <c r="D404" s="73" t="n">
        <v>171012.63</v>
      </c>
      <c r="E404" s="73" t="n">
        <v>368555.41</v>
      </c>
      <c r="F404" s="73" t="n">
        <v>343114.99</v>
      </c>
      <c r="G404" s="73" t="n">
        <v>665232.34</v>
      </c>
      <c r="H404" s="73" t="n">
        <v>122087.33</v>
      </c>
      <c r="I404" s="73" t="n">
        <v>658065.75</v>
      </c>
      <c r="J404" s="73" t="n">
        <v>298718.72</v>
      </c>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c r="AJ404" s="13"/>
      <c r="AK404" s="13"/>
      <c r="AL404" s="13"/>
      <c r="AM404" s="13"/>
      <c r="AN404" s="13"/>
      <c r="AO404" s="13"/>
      <c r="AP404" s="13"/>
      <c r="AQ404" s="13"/>
      <c r="AR404" s="13"/>
      <c r="AS404" s="13"/>
      <c r="AT404" s="13"/>
      <c r="AU404" s="13"/>
      <c r="AV404" s="13"/>
      <c r="AW404" s="13"/>
      <c r="AX404" s="13"/>
      <c r="AY404" s="13"/>
      <c r="AZ404" s="13"/>
      <c r="BA404" s="13"/>
      <c r="BB404" s="13"/>
      <c r="BC404" s="13"/>
      <c r="BD404" s="13"/>
      <c r="BE404" s="13"/>
      <c r="BF404" s="13"/>
      <c r="BG404" s="13"/>
      <c r="BH404" s="13"/>
      <c r="BI404" s="13"/>
      <c r="BJ404" s="13"/>
      <c r="BK404" s="13"/>
      <c r="BL404" s="13"/>
      <c r="BM404" s="13"/>
      <c r="BN404" s="13"/>
      <c r="BO404" s="13"/>
      <c r="BP404" s="13"/>
      <c r="BQ404" s="13"/>
      <c r="BR404" s="13"/>
      <c r="BS404" s="13"/>
      <c r="BT404" s="13"/>
      <c r="BU404" s="13"/>
      <c r="BV404" s="13"/>
      <c r="BW404" s="13"/>
      <c r="BX404" s="13"/>
      <c r="BY404" s="13"/>
      <c r="BZ404" s="13"/>
      <c r="CA404" s="13"/>
      <c r="CB404" s="13"/>
      <c r="CC404" s="13"/>
      <c r="CD404" s="13"/>
      <c r="CE404" s="13"/>
      <c r="CF404" s="13"/>
      <c r="CG404" s="13"/>
      <c r="CH404" s="13"/>
      <c r="CI404" s="13"/>
      <c r="CJ404" s="13"/>
      <c r="CK404" s="13"/>
      <c r="CL404" s="13"/>
      <c r="CM404" s="13"/>
      <c r="CN404" s="13"/>
      <c r="CO404" s="13"/>
      <c r="CP404" s="13"/>
      <c r="CQ404" s="13"/>
      <c r="CR404" s="13"/>
      <c r="CS404" s="13"/>
      <c r="CT404" s="13"/>
      <c r="CU404" s="13"/>
      <c r="CV404" s="13"/>
      <c r="CW404" s="13"/>
      <c r="CX404" s="13"/>
      <c r="CY404" s="13"/>
      <c r="CZ404" s="13"/>
      <c r="DA404" s="13"/>
      <c r="DB404" s="13"/>
      <c r="DC404" s="13"/>
      <c r="DD404" s="13"/>
      <c r="DE404" s="13"/>
    </row>
    <row r="405" customFormat="false" ht="15" hidden="false" customHeight="true" outlineLevel="0" collapsed="false">
      <c r="A405" s="22" t="s">
        <v>225</v>
      </c>
      <c r="B405" s="73" t="n">
        <v>23.76</v>
      </c>
      <c r="C405" s="73" t="n">
        <v>23.76</v>
      </c>
      <c r="D405" s="73" t="n">
        <v>23.76</v>
      </c>
      <c r="E405" s="73" t="n">
        <v>23.76</v>
      </c>
      <c r="F405" s="73" t="n">
        <v>23.76</v>
      </c>
      <c r="G405" s="73" t="n">
        <v>23.76</v>
      </c>
      <c r="H405" s="73" t="n">
        <v>23.76</v>
      </c>
      <c r="I405" s="73" t="n">
        <v>23.76</v>
      </c>
      <c r="J405" s="73" t="n">
        <v>0</v>
      </c>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c r="AJ405" s="13"/>
      <c r="AK405" s="13"/>
      <c r="AL405" s="13"/>
      <c r="AM405" s="13"/>
      <c r="AN405" s="13"/>
      <c r="AO405" s="13"/>
      <c r="AP405" s="13"/>
      <c r="AQ405" s="13"/>
      <c r="AR405" s="13"/>
      <c r="AS405" s="13"/>
      <c r="AT405" s="13"/>
      <c r="AU405" s="13"/>
      <c r="AV405" s="13"/>
      <c r="AW405" s="13"/>
      <c r="AX405" s="13"/>
      <c r="AY405" s="13"/>
      <c r="AZ405" s="13"/>
      <c r="BA405" s="13"/>
      <c r="BB405" s="13"/>
      <c r="BC405" s="13"/>
      <c r="BD405" s="13"/>
      <c r="BE405" s="13"/>
      <c r="BF405" s="13"/>
      <c r="BG405" s="13"/>
      <c r="BH405" s="13"/>
      <c r="BI405" s="13"/>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13"/>
      <c r="CJ405" s="13"/>
      <c r="CK405" s="13"/>
      <c r="CL405" s="13"/>
      <c r="CM405" s="13"/>
      <c r="CN405" s="13"/>
      <c r="CO405" s="13"/>
      <c r="CP405" s="13"/>
      <c r="CQ405" s="13"/>
      <c r="CR405" s="13"/>
      <c r="CS405" s="13"/>
      <c r="CT405" s="13"/>
      <c r="CU405" s="13"/>
      <c r="CV405" s="13"/>
      <c r="CW405" s="13"/>
      <c r="CX405" s="13"/>
      <c r="CY405" s="13"/>
      <c r="CZ405" s="13"/>
      <c r="DA405" s="13"/>
      <c r="DB405" s="13"/>
      <c r="DC405" s="13"/>
      <c r="DD405" s="13"/>
      <c r="DE405" s="13"/>
    </row>
    <row r="406" customFormat="false" ht="15" hidden="false" customHeight="true" outlineLevel="0" collapsed="false">
      <c r="A406" s="22" t="s">
        <v>226</v>
      </c>
      <c r="B406" s="73" t="n">
        <v>9006.61</v>
      </c>
      <c r="C406" s="73" t="n">
        <v>112</v>
      </c>
      <c r="D406" s="73" t="n">
        <v>112</v>
      </c>
      <c r="E406" s="73" t="n">
        <v>112</v>
      </c>
      <c r="F406" s="73" t="n">
        <v>112</v>
      </c>
      <c r="G406" s="73" t="n">
        <v>112</v>
      </c>
      <c r="H406" s="73" t="n">
        <v>112</v>
      </c>
      <c r="I406" s="73" t="n">
        <v>100.49</v>
      </c>
      <c r="J406" s="73" t="n">
        <v>0</v>
      </c>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c r="AJ406" s="13"/>
      <c r="AK406" s="13"/>
      <c r="AL406" s="13"/>
      <c r="AM406" s="13"/>
      <c r="AN406" s="13"/>
      <c r="AO406" s="13"/>
      <c r="AP406" s="13"/>
      <c r="AQ406" s="13"/>
      <c r="AR406" s="13"/>
      <c r="AS406" s="13"/>
      <c r="AT406" s="13"/>
      <c r="AU406" s="13"/>
      <c r="AV406" s="13"/>
      <c r="AW406" s="13"/>
      <c r="AX406" s="13"/>
      <c r="AY406" s="13"/>
      <c r="AZ406" s="13"/>
      <c r="BA406" s="13"/>
      <c r="BB406" s="13"/>
      <c r="BC406" s="13"/>
      <c r="BD406" s="13"/>
      <c r="BE406" s="13"/>
      <c r="BF406" s="13"/>
      <c r="BG406" s="13"/>
      <c r="BH406" s="13"/>
      <c r="BI406" s="13"/>
      <c r="BJ406" s="13"/>
      <c r="BK406" s="13"/>
      <c r="BL406" s="13"/>
      <c r="BM406" s="13"/>
      <c r="BN406" s="13"/>
      <c r="BO406" s="13"/>
      <c r="BP406" s="13"/>
      <c r="BQ406" s="13"/>
      <c r="BR406" s="13"/>
      <c r="BS406" s="13"/>
      <c r="BT406" s="13"/>
      <c r="BU406" s="13"/>
      <c r="BV406" s="13"/>
      <c r="BW406" s="13"/>
      <c r="BX406" s="13"/>
      <c r="BY406" s="13"/>
      <c r="BZ406" s="13"/>
      <c r="CA406" s="13"/>
      <c r="CB406" s="13"/>
      <c r="CC406" s="13"/>
      <c r="CD406" s="13"/>
      <c r="CE406" s="13"/>
      <c r="CF406" s="13"/>
      <c r="CG406" s="13"/>
      <c r="CH406" s="13"/>
      <c r="CI406" s="13"/>
      <c r="CJ406" s="13"/>
      <c r="CK406" s="13"/>
      <c r="CL406" s="13"/>
      <c r="CM406" s="13"/>
      <c r="CN406" s="13"/>
      <c r="CO406" s="13"/>
      <c r="CP406" s="13"/>
      <c r="CQ406" s="13"/>
      <c r="CR406" s="13"/>
      <c r="CS406" s="13"/>
      <c r="CT406" s="13"/>
      <c r="CU406" s="13"/>
      <c r="CV406" s="13"/>
      <c r="CW406" s="13"/>
      <c r="CX406" s="13"/>
      <c r="CY406" s="13"/>
      <c r="CZ406" s="13"/>
      <c r="DA406" s="13"/>
      <c r="DB406" s="13"/>
      <c r="DC406" s="13"/>
      <c r="DD406" s="13"/>
      <c r="DE406" s="13"/>
    </row>
    <row r="407" customFormat="false" ht="15" hidden="false" customHeight="true" outlineLevel="0" collapsed="false">
      <c r="A407" s="22" t="s">
        <v>227</v>
      </c>
      <c r="B407" s="74" t="n">
        <f aca="false">IF(B403="","",ROUND(SUM(B404:B406)-B403,0))</f>
        <v>-0</v>
      </c>
      <c r="C407" s="74" t="n">
        <f aca="false">IF(C403="","",ROUND(SUM(C404:C406)-C403,0))</f>
        <v>0</v>
      </c>
      <c r="D407" s="74" t="n">
        <f aca="false">IF(D403="","",ROUND(SUM(D404:D406)-D403,0))</f>
        <v>0</v>
      </c>
      <c r="E407" s="74" t="n">
        <f aca="false">IF(E403="","",ROUND(SUM(E404:E406)-E403,0))</f>
        <v>0</v>
      </c>
      <c r="F407" s="74" t="n">
        <f aca="false">IF(F403="","",ROUND(SUM(F404:F406)-F403,0))</f>
        <v>-0</v>
      </c>
      <c r="G407" s="74" t="n">
        <f aca="false">IF(G403="","",ROUND(SUM(G404:G406)-G403,0))</f>
        <v>0</v>
      </c>
      <c r="H407" s="74" t="n">
        <f aca="false">IF(H403="","",ROUND(SUM(H404:H406)-H403,0))</f>
        <v>0</v>
      </c>
      <c r="I407" s="74" t="n">
        <f aca="false">IF(I403="","",ROUND(SUM(I404:I406)-I403,0))</f>
        <v>0</v>
      </c>
      <c r="J407" s="74" t="n">
        <f aca="false">IF(J403="","",ROUND(SUM(J404:J406)-J403,0))</f>
        <v>-0</v>
      </c>
      <c r="K407" s="74" t="str">
        <f aca="false">IF(K403="","",ROUND(SUM(K404:K406)-K403,0))</f>
        <v/>
      </c>
      <c r="L407" s="74" t="str">
        <f aca="false">IF(L403="","",ROUND(SUM(L404:L406)-L403,0))</f>
        <v/>
      </c>
      <c r="M407" s="74" t="str">
        <f aca="false">IF(M403="","",ROUND(SUM(M404:M406)-M403,0))</f>
        <v/>
      </c>
      <c r="N407" s="74" t="str">
        <f aca="false">IF(N403="","",ROUND(SUM(N404:N406)-N403,0))</f>
        <v/>
      </c>
      <c r="O407" s="74" t="str">
        <f aca="false">IF(O403="","",ROUND(SUM(O404:O406)-O403,0))</f>
        <v/>
      </c>
      <c r="P407" s="74" t="str">
        <f aca="false">IF(P403="","",ROUND(SUM(P404:P406)-P403,0))</f>
        <v/>
      </c>
      <c r="Q407" s="74" t="str">
        <f aca="false">IF(Q403="","",ROUND(SUM(Q404:Q406)-Q403,0))</f>
        <v/>
      </c>
      <c r="R407" s="74" t="str">
        <f aca="false">IF(R403="","",ROUND(SUM(R404:R406)-R403,0))</f>
        <v/>
      </c>
      <c r="S407" s="74" t="str">
        <f aca="false">IF(S403="","",ROUND(SUM(S404:S406)-S403,0))</f>
        <v/>
      </c>
      <c r="T407" s="74" t="str">
        <f aca="false">IF(T403="","",ROUND(SUM(T404:T406)-T403,0))</f>
        <v/>
      </c>
      <c r="U407" s="74" t="str">
        <f aca="false">IF(U403="","",ROUND(SUM(U404:U406)-U403,0))</f>
        <v/>
      </c>
      <c r="V407" s="74" t="str">
        <f aca="false">IF(V403="","",ROUND(SUM(V404:V406)-V403,0))</f>
        <v/>
      </c>
      <c r="W407" s="74" t="str">
        <f aca="false">IF(W403="","",ROUND(SUM(W404:W406)-W403,0))</f>
        <v/>
      </c>
      <c r="X407" s="74" t="str">
        <f aca="false">IF(X403="","",ROUND(SUM(X404:X406)-X403,0))</f>
        <v/>
      </c>
      <c r="Y407" s="74" t="str">
        <f aca="false">IF(Y403="","",ROUND(SUM(Y404:Y406)-Y403,0))</f>
        <v/>
      </c>
      <c r="Z407" s="74" t="str">
        <f aca="false">IF(Z403="","",ROUND(SUM(Z404:Z406)-Z403,0))</f>
        <v/>
      </c>
      <c r="AA407" s="74" t="str">
        <f aca="false">IF(AA403="","",ROUND(SUM(AA404:AA406)-AA403,0))</f>
        <v/>
      </c>
      <c r="AB407" s="74" t="str">
        <f aca="false">IF(AB403="","",ROUND(SUM(AB404:AB406)-AB403,0))</f>
        <v/>
      </c>
      <c r="AC407" s="74" t="str">
        <f aca="false">IF(AC403="","",ROUND(SUM(AC404:AC406)-AC403,0))</f>
        <v/>
      </c>
      <c r="AD407" s="74" t="str">
        <f aca="false">IF(AD403="","",ROUND(SUM(AD404:AD406)-AD403,0))</f>
        <v/>
      </c>
      <c r="AE407" s="74" t="str">
        <f aca="false">IF(AE403="","",ROUND(SUM(AE404:AE406)-AE403,0))</f>
        <v/>
      </c>
      <c r="AF407" s="74" t="str">
        <f aca="false">IF(AF403="","",ROUND(SUM(AF404:AF406)-AF403,0))</f>
        <v/>
      </c>
      <c r="AG407" s="74" t="str">
        <f aca="false">IF(AG403="","",ROUND(SUM(AG404:AG406)-AG403,0))</f>
        <v/>
      </c>
      <c r="AH407" s="74" t="str">
        <f aca="false">IF(AH403="","",ROUND(SUM(AH404:AH406)-AH403,0))</f>
        <v/>
      </c>
      <c r="AI407" s="74" t="str">
        <f aca="false">IF(AI403="","",ROUND(SUM(AI404:AI406)-AI403,0))</f>
        <v/>
      </c>
      <c r="AJ407" s="74" t="str">
        <f aca="false">IF(AJ403="","",ROUND(SUM(AJ404:AJ406)-AJ403,0))</f>
        <v/>
      </c>
      <c r="AK407" s="74" t="str">
        <f aca="false">IF(AK403="","",ROUND(SUM(AK404:AK406)-AK403,0))</f>
        <v/>
      </c>
      <c r="AL407" s="74" t="str">
        <f aca="false">IF(AL403="","",ROUND(SUM(AL404:AL406)-AL403,0))</f>
        <v/>
      </c>
      <c r="AM407" s="74" t="str">
        <f aca="false">IF(AM403="","",ROUND(SUM(AM404:AM406)-AM403,0))</f>
        <v/>
      </c>
      <c r="AN407" s="74" t="str">
        <f aca="false">IF(AN403="","",ROUND(SUM(AN404:AN406)-AN403,0))</f>
        <v/>
      </c>
      <c r="AO407" s="74" t="str">
        <f aca="false">IF(AO403="","",ROUND(SUM(AO404:AO406)-AO403,0))</f>
        <v/>
      </c>
      <c r="AP407" s="74" t="str">
        <f aca="false">IF(AP403="","",ROUND(SUM(AP404:AP406)-AP403,0))</f>
        <v/>
      </c>
      <c r="AQ407" s="74" t="str">
        <f aca="false">IF(AQ403="","",ROUND(SUM(AQ404:AQ406)-AQ403,0))</f>
        <v/>
      </c>
      <c r="AR407" s="74" t="str">
        <f aca="false">IF(AR403="","",ROUND(SUM(AR404:AR406)-AR403,0))</f>
        <v/>
      </c>
      <c r="AS407" s="74" t="str">
        <f aca="false">IF(AS403="","",ROUND(SUM(AS404:AS406)-AS403,0))</f>
        <v/>
      </c>
      <c r="AT407" s="74" t="str">
        <f aca="false">IF(AT403="","",ROUND(SUM(AT404:AT406)-AT403,0))</f>
        <v/>
      </c>
      <c r="AU407" s="74" t="str">
        <f aca="false">IF(AU403="","",ROUND(SUM(AU404:AU406)-AU403,0))</f>
        <v/>
      </c>
      <c r="AV407" s="74" t="str">
        <f aca="false">IF(AV403="","",ROUND(SUM(AV404:AV406)-AV403,0))</f>
        <v/>
      </c>
      <c r="AW407" s="74" t="str">
        <f aca="false">IF(AW403="","",ROUND(SUM(AW404:AW406)-AW403,0))</f>
        <v/>
      </c>
      <c r="AX407" s="74" t="str">
        <f aca="false">IF(AX403="","",ROUND(SUM(AX404:AX406)-AX403,0))</f>
        <v/>
      </c>
      <c r="AY407" s="74" t="str">
        <f aca="false">IF(AY403="","",ROUND(SUM(AY404:AY406)-AY403,0))</f>
        <v/>
      </c>
      <c r="AZ407" s="74" t="str">
        <f aca="false">IF(AZ403="","",ROUND(SUM(AZ404:AZ406)-AZ403,0))</f>
        <v/>
      </c>
      <c r="BA407" s="74" t="str">
        <f aca="false">IF(BA403="","",ROUND(SUM(BA404:BA406)-BA403,0))</f>
        <v/>
      </c>
      <c r="BB407" s="74" t="str">
        <f aca="false">IF(BB403="","",ROUND(SUM(BB404:BB406)-BB403,0))</f>
        <v/>
      </c>
      <c r="BC407" s="74" t="str">
        <f aca="false">IF(BC403="","",ROUND(SUM(BC404:BC406)-BC403,0))</f>
        <v/>
      </c>
      <c r="BD407" s="74" t="str">
        <f aca="false">IF(BD403="","",ROUND(SUM(BD404:BD406)-BD403,0))</f>
        <v/>
      </c>
      <c r="BE407" s="74" t="str">
        <f aca="false">IF(BE403="","",ROUND(SUM(BE404:BE406)-BE403,0))</f>
        <v/>
      </c>
      <c r="BF407" s="74" t="str">
        <f aca="false">IF(BF403="","",ROUND(SUM(BF404:BF406)-BF403,0))</f>
        <v/>
      </c>
      <c r="BG407" s="74" t="str">
        <f aca="false">IF(BG403="","",ROUND(SUM(BG404:BG406)-BG403,0))</f>
        <v/>
      </c>
      <c r="BH407" s="74" t="str">
        <f aca="false">IF(BH403="","",ROUND(SUM(BH404:BH406)-BH403,0))</f>
        <v/>
      </c>
      <c r="BI407" s="74" t="str">
        <f aca="false">IF(BI403="","",ROUND(SUM(BI404:BI406)-BI403,0))</f>
        <v/>
      </c>
      <c r="BJ407" s="74" t="str">
        <f aca="false">IF(BJ403="","",ROUND(SUM(BJ404:BJ406)-BJ403,0))</f>
        <v/>
      </c>
      <c r="BK407" s="74" t="str">
        <f aca="false">IF(BK403="","",ROUND(SUM(BK404:BK406)-BK403,0))</f>
        <v/>
      </c>
      <c r="BL407" s="74" t="str">
        <f aca="false">IF(BL403="","",ROUND(SUM(BL404:BL406)-BL403,0))</f>
        <v/>
      </c>
      <c r="BM407" s="74" t="str">
        <f aca="false">IF(BM403="","",ROUND(SUM(BM404:BM406)-BM403,0))</f>
        <v/>
      </c>
      <c r="BN407" s="74" t="str">
        <f aca="false">IF(BN403="","",ROUND(SUM(BN404:BN406)-BN403,0))</f>
        <v/>
      </c>
      <c r="BO407" s="74" t="str">
        <f aca="false">IF(BO403="","",ROUND(SUM(BO404:BO406)-BO403,0))</f>
        <v/>
      </c>
      <c r="BP407" s="74" t="str">
        <f aca="false">IF(BP403="","",ROUND(SUM(BP404:BP406)-BP403,0))</f>
        <v/>
      </c>
      <c r="BQ407" s="74" t="str">
        <f aca="false">IF(BQ403="","",ROUND(SUM(BQ404:BQ406)-BQ403,0))</f>
        <v/>
      </c>
      <c r="BR407" s="74" t="str">
        <f aca="false">IF(BR403="","",ROUND(SUM(BR404:BR406)-BR403,0))</f>
        <v/>
      </c>
      <c r="BS407" s="74" t="str">
        <f aca="false">IF(BS403="","",ROUND(SUM(BS404:BS406)-BS403,0))</f>
        <v/>
      </c>
      <c r="BT407" s="74" t="str">
        <f aca="false">IF(BT403="","",ROUND(SUM(BT404:BT406)-BT403,0))</f>
        <v/>
      </c>
      <c r="BU407" s="74" t="str">
        <f aca="false">IF(BU403="","",ROUND(SUM(BU404:BU406)-BU403,0))</f>
        <v/>
      </c>
      <c r="BV407" s="74" t="str">
        <f aca="false">IF(BV403="","",ROUND(SUM(BV404:BV406)-BV403,0))</f>
        <v/>
      </c>
      <c r="BW407" s="74" t="str">
        <f aca="false">IF(BW403="","",ROUND(SUM(BW404:BW406)-BW403,0))</f>
        <v/>
      </c>
      <c r="BX407" s="74" t="str">
        <f aca="false">IF(BX403="","",ROUND(SUM(BX404:BX406)-BX403,0))</f>
        <v/>
      </c>
      <c r="BY407" s="74" t="str">
        <f aca="false">IF(BY403="","",ROUND(SUM(BY404:BY406)-BY403,0))</f>
        <v/>
      </c>
      <c r="BZ407" s="74" t="str">
        <f aca="false">IF(BZ403="","",ROUND(SUM(BZ404:BZ406)-BZ403,0))</f>
        <v/>
      </c>
      <c r="CA407" s="74" t="str">
        <f aca="false">IF(CA403="","",ROUND(SUM(CA404:CA406)-CA403,0))</f>
        <v/>
      </c>
      <c r="CB407" s="74" t="str">
        <f aca="false">IF(CB403="","",ROUND(SUM(CB404:CB406)-CB403,0))</f>
        <v/>
      </c>
      <c r="CC407" s="74" t="str">
        <f aca="false">IF(CC403="","",ROUND(SUM(CC404:CC406)-CC403,0))</f>
        <v/>
      </c>
      <c r="CD407" s="74" t="str">
        <f aca="false">IF(CD403="","",ROUND(SUM(CD404:CD406)-CD403,0))</f>
        <v/>
      </c>
      <c r="CE407" s="74" t="str">
        <f aca="false">IF(CE403="","",ROUND(SUM(CE404:CE406)-CE403,0))</f>
        <v/>
      </c>
      <c r="CF407" s="74" t="str">
        <f aca="false">IF(CF403="","",ROUND(SUM(CF404:CF406)-CF403,0))</f>
        <v/>
      </c>
      <c r="CG407" s="74" t="str">
        <f aca="false">IF(CG403="","",ROUND(SUM(CG404:CG406)-CG403,0))</f>
        <v/>
      </c>
      <c r="CH407" s="74" t="str">
        <f aca="false">IF(CH403="","",ROUND(SUM(CH404:CH406)-CH403,0))</f>
        <v/>
      </c>
      <c r="CI407" s="74" t="str">
        <f aca="false">IF(CI403="","",ROUND(SUM(CI404:CI406)-CI403,0))</f>
        <v/>
      </c>
      <c r="CJ407" s="74" t="str">
        <f aca="false">IF(CJ403="","",ROUND(SUM(CJ404:CJ406)-CJ403,0))</f>
        <v/>
      </c>
      <c r="CK407" s="74" t="str">
        <f aca="false">IF(CK403="","",ROUND(SUM(CK404:CK406)-CK403,0))</f>
        <v/>
      </c>
      <c r="CL407" s="74" t="str">
        <f aca="false">IF(CL403="","",ROUND(SUM(CL404:CL406)-CL403,0))</f>
        <v/>
      </c>
      <c r="CM407" s="74" t="str">
        <f aca="false">IF(CM403="","",ROUND(SUM(CM404:CM406)-CM403,0))</f>
        <v/>
      </c>
      <c r="CN407" s="74" t="str">
        <f aca="false">IF(CN403="","",ROUND(SUM(CN404:CN406)-CN403,0))</f>
        <v/>
      </c>
      <c r="CO407" s="74" t="str">
        <f aca="false">IF(CO403="","",ROUND(SUM(CO404:CO406)-CO403,0))</f>
        <v/>
      </c>
      <c r="CP407" s="74" t="str">
        <f aca="false">IF(CP403="","",ROUND(SUM(CP404:CP406)-CP403,0))</f>
        <v/>
      </c>
      <c r="CQ407" s="74" t="str">
        <f aca="false">IF(CQ403="","",ROUND(SUM(CQ404:CQ406)-CQ403,0))</f>
        <v/>
      </c>
      <c r="CR407" s="74" t="str">
        <f aca="false">IF(CR403="","",ROUND(SUM(CR404:CR406)-CR403,0))</f>
        <v/>
      </c>
      <c r="CS407" s="74" t="str">
        <f aca="false">IF(CS403="","",ROUND(SUM(CS404:CS406)-CS403,0))</f>
        <v/>
      </c>
      <c r="CT407" s="74" t="str">
        <f aca="false">IF(CT403="","",ROUND(SUM(CT404:CT406)-CT403,0))</f>
        <v/>
      </c>
      <c r="CU407" s="74" t="str">
        <f aca="false">IF(CU403="","",ROUND(SUM(CU404:CU406)-CU403,0))</f>
        <v/>
      </c>
      <c r="CV407" s="74" t="str">
        <f aca="false">IF(CV403="","",ROUND(SUM(CV404:CV406)-CV403,0))</f>
        <v/>
      </c>
      <c r="CW407" s="74" t="str">
        <f aca="false">IF(CW403="","",ROUND(SUM(CW404:CW406)-CW403,0))</f>
        <v/>
      </c>
      <c r="CX407" s="74" t="str">
        <f aca="false">IF(CX403="","",ROUND(SUM(CX404:CX406)-CX403,0))</f>
        <v/>
      </c>
      <c r="CY407" s="74" t="str">
        <f aca="false">IF(CY403="","",ROUND(SUM(CY404:CY406)-CY403,0))</f>
        <v/>
      </c>
      <c r="CZ407" s="74" t="str">
        <f aca="false">IF(CZ403="","",ROUND(SUM(CZ404:CZ406)-CZ403,0))</f>
        <v/>
      </c>
      <c r="DA407" s="74" t="str">
        <f aca="false">IF(DA403="","",ROUND(SUM(DA404:DA406)-DA403,0))</f>
        <v/>
      </c>
      <c r="DB407" s="74" t="str">
        <f aca="false">IF(DB403="","",ROUND(SUM(DB404:DB406)-DB403,0))</f>
        <v/>
      </c>
      <c r="DC407" s="74" t="str">
        <f aca="false">IF(DC403="","",ROUND(SUM(DC404:DC406)-DC403,0))</f>
        <v/>
      </c>
      <c r="DD407" s="74" t="str">
        <f aca="false">IF(DD403="","",ROUND(SUM(DD404:DD406)-DD403,0))</f>
        <v/>
      </c>
      <c r="DE407" s="74" t="str">
        <f aca="false">IF(DE403="","",ROUND(SUM(DE404:DE406)-DE403,0))</f>
        <v/>
      </c>
    </row>
    <row r="408" customFormat="false" ht="15" hidden="false" customHeight="true" outlineLevel="0" collapsed="false">
      <c r="A408" s="67" t="s">
        <v>228</v>
      </c>
      <c r="B408" s="68" t="n">
        <f aca="false">IF(B397="","",B397+B403)</f>
        <v>1058211</v>
      </c>
      <c r="C408" s="68" t="n">
        <f aca="false">IF(C397="","",C397+C403)</f>
        <v>226730</v>
      </c>
      <c r="D408" s="68" t="n">
        <f aca="false">IF(D397="","",D397+D403)</f>
        <v>804668</v>
      </c>
      <c r="E408" s="68" t="n">
        <f aca="false">IF(E397="","",E397+E403)</f>
        <v>762695</v>
      </c>
      <c r="F408" s="68" t="n">
        <f aca="false">IF(F397="","",F397+F403)</f>
        <v>845218</v>
      </c>
      <c r="G408" s="68" t="n">
        <f aca="false">IF(G397="","",G397+G403)</f>
        <v>971507</v>
      </c>
      <c r="H408" s="68" t="n">
        <f aca="false">IF(H397="","",H397+H403)</f>
        <v>405563</v>
      </c>
      <c r="I408" s="68" t="n">
        <f aca="false">IF(I397="","",I397+I403)</f>
        <v>1945296</v>
      </c>
      <c r="J408" s="68" t="n">
        <f aca="false">IF(J397="","",J397+J403)</f>
        <v>1714690</v>
      </c>
      <c r="K408" s="68" t="str">
        <f aca="false">IF(K397="","",K397+K403)</f>
        <v/>
      </c>
      <c r="L408" s="68" t="str">
        <f aca="false">IF(L397="","",L397+L403)</f>
        <v/>
      </c>
      <c r="M408" s="68" t="str">
        <f aca="false">IF(M397="","",M397+M403)</f>
        <v/>
      </c>
      <c r="N408" s="68" t="str">
        <f aca="false">IF(N397="","",N397+N403)</f>
        <v/>
      </c>
      <c r="O408" s="68" t="str">
        <f aca="false">IF(O397="","",O397+O403)</f>
        <v/>
      </c>
      <c r="P408" s="68" t="str">
        <f aca="false">IF(P397="","",P397+P403)</f>
        <v/>
      </c>
      <c r="Q408" s="68" t="str">
        <f aca="false">IF(Q397="","",Q397+Q403)</f>
        <v/>
      </c>
      <c r="R408" s="68" t="str">
        <f aca="false">IF(R397="","",R397+R403)</f>
        <v/>
      </c>
      <c r="S408" s="68" t="str">
        <f aca="false">IF(S397="","",S397+S403)</f>
        <v/>
      </c>
      <c r="T408" s="68" t="str">
        <f aca="false">IF(T397="","",T397+T403)</f>
        <v/>
      </c>
      <c r="U408" s="68" t="str">
        <f aca="false">IF(U397="","",U397+U403)</f>
        <v/>
      </c>
      <c r="V408" s="68" t="str">
        <f aca="false">IF(V397="","",V397+V403)</f>
        <v/>
      </c>
      <c r="W408" s="68" t="str">
        <f aca="false">IF(W397="","",W397+W403)</f>
        <v/>
      </c>
      <c r="X408" s="68" t="str">
        <f aca="false">IF(X397="","",X397+X403)</f>
        <v/>
      </c>
      <c r="Y408" s="68" t="str">
        <f aca="false">IF(Y397="","",Y397+Y403)</f>
        <v/>
      </c>
      <c r="Z408" s="68" t="str">
        <f aca="false">IF(Z397="","",Z397+Z403)</f>
        <v/>
      </c>
      <c r="AA408" s="68" t="str">
        <f aca="false">IF(AA397="","",AA397+AA403)</f>
        <v/>
      </c>
      <c r="AB408" s="68" t="str">
        <f aca="false">IF(AB397="","",AB397+AB403)</f>
        <v/>
      </c>
      <c r="AC408" s="68" t="str">
        <f aca="false">IF(AC397="","",AC397+AC403)</f>
        <v/>
      </c>
      <c r="AD408" s="68" t="str">
        <f aca="false">IF(AD397="","",AD397+AD403)</f>
        <v/>
      </c>
      <c r="AE408" s="68" t="str">
        <f aca="false">IF(AE397="","",AE397+AE403)</f>
        <v/>
      </c>
      <c r="AF408" s="68" t="str">
        <f aca="false">IF(AF397="","",AF397+AF403)</f>
        <v/>
      </c>
      <c r="AG408" s="68" t="str">
        <f aca="false">IF(AG397="","",AG397+AG403)</f>
        <v/>
      </c>
      <c r="AH408" s="68" t="str">
        <f aca="false">IF(AH397="","",AH397+AH403)</f>
        <v/>
      </c>
      <c r="AI408" s="68" t="str">
        <f aca="false">IF(AI397="","",AI397+AI403)</f>
        <v/>
      </c>
      <c r="AJ408" s="68" t="str">
        <f aca="false">IF(AJ397="","",AJ397+AJ403)</f>
        <v/>
      </c>
      <c r="AK408" s="68" t="str">
        <f aca="false">IF(AK397="","",AK397+AK403)</f>
        <v/>
      </c>
      <c r="AL408" s="68" t="str">
        <f aca="false">IF(AL397="","",AL397+AL403)</f>
        <v/>
      </c>
      <c r="AM408" s="68" t="str">
        <f aca="false">IF(AM397="","",AM397+AM403)</f>
        <v/>
      </c>
      <c r="AN408" s="68" t="str">
        <f aca="false">IF(AN397="","",AN397+AN403)</f>
        <v/>
      </c>
      <c r="AO408" s="68" t="str">
        <f aca="false">IF(AO397="","",AO397+AO403)</f>
        <v/>
      </c>
      <c r="AP408" s="68" t="str">
        <f aca="false">IF(AP397="","",AP397+AP403)</f>
        <v/>
      </c>
      <c r="AQ408" s="68" t="str">
        <f aca="false">IF(AQ397="","",AQ397+AQ403)</f>
        <v/>
      </c>
      <c r="AR408" s="68" t="str">
        <f aca="false">IF(AR397="","",AR397+AR403)</f>
        <v/>
      </c>
      <c r="AS408" s="68" t="str">
        <f aca="false">IF(AS397="","",AS397+AS403)</f>
        <v/>
      </c>
      <c r="AT408" s="68" t="str">
        <f aca="false">IF(AT397="","",AT397+AT403)</f>
        <v/>
      </c>
      <c r="AU408" s="68" t="str">
        <f aca="false">IF(AU397="","",AU397+AU403)</f>
        <v/>
      </c>
      <c r="AV408" s="68" t="str">
        <f aca="false">IF(AV397="","",AV397+AV403)</f>
        <v/>
      </c>
      <c r="AW408" s="68" t="str">
        <f aca="false">IF(AW397="","",AW397+AW403)</f>
        <v/>
      </c>
      <c r="AX408" s="68" t="str">
        <f aca="false">IF(AX397="","",AX397+AX403)</f>
        <v/>
      </c>
      <c r="AY408" s="68" t="str">
        <f aca="false">IF(AY397="","",AY397+AY403)</f>
        <v/>
      </c>
      <c r="AZ408" s="68" t="str">
        <f aca="false">IF(AZ397="","",AZ397+AZ403)</f>
        <v/>
      </c>
      <c r="BA408" s="68" t="str">
        <f aca="false">IF(BA397="","",BA397+BA403)</f>
        <v/>
      </c>
      <c r="BB408" s="68" t="str">
        <f aca="false">IF(BB397="","",BB397+BB403)</f>
        <v/>
      </c>
      <c r="BC408" s="68" t="str">
        <f aca="false">IF(BC397="","",BC397+BC403)</f>
        <v/>
      </c>
      <c r="BD408" s="68" t="str">
        <f aca="false">IF(BD397="","",BD397+BD403)</f>
        <v/>
      </c>
      <c r="BE408" s="68" t="str">
        <f aca="false">IF(BE397="","",BE397+BE403)</f>
        <v/>
      </c>
      <c r="BF408" s="68" t="str">
        <f aca="false">IF(BF397="","",BF397+BF403)</f>
        <v/>
      </c>
      <c r="BG408" s="68" t="str">
        <f aca="false">IF(BG397="","",BG397+BG403)</f>
        <v/>
      </c>
      <c r="BH408" s="68" t="str">
        <f aca="false">IF(BH397="","",BH397+BH403)</f>
        <v/>
      </c>
      <c r="BI408" s="68" t="str">
        <f aca="false">IF(BI397="","",BI397+BI403)</f>
        <v/>
      </c>
      <c r="BJ408" s="68" t="str">
        <f aca="false">IF(BJ397="","",BJ397+BJ403)</f>
        <v/>
      </c>
      <c r="BK408" s="68" t="str">
        <f aca="false">IF(BK397="","",BK397+BK403)</f>
        <v/>
      </c>
      <c r="BL408" s="68" t="str">
        <f aca="false">IF(BL397="","",BL397+BL403)</f>
        <v/>
      </c>
      <c r="BM408" s="68" t="str">
        <f aca="false">IF(BM397="","",BM397+BM403)</f>
        <v/>
      </c>
      <c r="BN408" s="68" t="str">
        <f aca="false">IF(BN397="","",BN397+BN403)</f>
        <v/>
      </c>
      <c r="BO408" s="68" t="str">
        <f aca="false">IF(BO397="","",BO397+BO403)</f>
        <v/>
      </c>
      <c r="BP408" s="68" t="str">
        <f aca="false">IF(BP397="","",BP397+BP403)</f>
        <v/>
      </c>
      <c r="BQ408" s="68" t="str">
        <f aca="false">IF(BQ397="","",BQ397+BQ403)</f>
        <v/>
      </c>
      <c r="BR408" s="68" t="str">
        <f aca="false">IF(BR397="","",BR397+BR403)</f>
        <v/>
      </c>
      <c r="BS408" s="68" t="str">
        <f aca="false">IF(BS397="","",BS397+BS403)</f>
        <v/>
      </c>
      <c r="BT408" s="68" t="str">
        <f aca="false">IF(BT397="","",BT397+BT403)</f>
        <v/>
      </c>
      <c r="BU408" s="68" t="str">
        <f aca="false">IF(BU397="","",BU397+BU403)</f>
        <v/>
      </c>
      <c r="BV408" s="68" t="str">
        <f aca="false">IF(BV397="","",BV397+BV403)</f>
        <v/>
      </c>
      <c r="BW408" s="68" t="str">
        <f aca="false">IF(BW397="","",BW397+BW403)</f>
        <v/>
      </c>
      <c r="BX408" s="68" t="str">
        <f aca="false">IF(BX397="","",BX397+BX403)</f>
        <v/>
      </c>
      <c r="BY408" s="68" t="str">
        <f aca="false">IF(BY397="","",BY397+BY403)</f>
        <v/>
      </c>
      <c r="BZ408" s="68" t="str">
        <f aca="false">IF(BZ397="","",BZ397+BZ403)</f>
        <v/>
      </c>
      <c r="CA408" s="68" t="str">
        <f aca="false">IF(CA397="","",CA397+CA403)</f>
        <v/>
      </c>
      <c r="CB408" s="68" t="str">
        <f aca="false">IF(CB397="","",CB397+CB403)</f>
        <v/>
      </c>
      <c r="CC408" s="68" t="str">
        <f aca="false">IF(CC397="","",CC397+CC403)</f>
        <v/>
      </c>
      <c r="CD408" s="68" t="str">
        <f aca="false">IF(CD397="","",CD397+CD403)</f>
        <v/>
      </c>
      <c r="CE408" s="68" t="str">
        <f aca="false">IF(CE397="","",CE397+CE403)</f>
        <v/>
      </c>
      <c r="CF408" s="68" t="str">
        <f aca="false">IF(CF397="","",CF397+CF403)</f>
        <v/>
      </c>
      <c r="CG408" s="68" t="str">
        <f aca="false">IF(CG397="","",CG397+CG403)</f>
        <v/>
      </c>
      <c r="CH408" s="68" t="str">
        <f aca="false">IF(CH397="","",CH397+CH403)</f>
        <v/>
      </c>
      <c r="CI408" s="68" t="str">
        <f aca="false">IF(CI397="","",CI397+CI403)</f>
        <v/>
      </c>
      <c r="CJ408" s="68" t="str">
        <f aca="false">IF(CJ397="","",CJ397+CJ403)</f>
        <v/>
      </c>
      <c r="CK408" s="68" t="str">
        <f aca="false">IF(CK397="","",CK397+CK403)</f>
        <v/>
      </c>
      <c r="CL408" s="68" t="str">
        <f aca="false">IF(CL397="","",CL397+CL403)</f>
        <v/>
      </c>
      <c r="CM408" s="68" t="str">
        <f aca="false">IF(CM397="","",CM397+CM403)</f>
        <v/>
      </c>
      <c r="CN408" s="68" t="str">
        <f aca="false">IF(CN397="","",CN397+CN403)</f>
        <v/>
      </c>
      <c r="CO408" s="68" t="str">
        <f aca="false">IF(CO397="","",CO397+CO403)</f>
        <v/>
      </c>
      <c r="CP408" s="68" t="str">
        <f aca="false">IF(CP397="","",CP397+CP403)</f>
        <v/>
      </c>
      <c r="CQ408" s="68" t="str">
        <f aca="false">IF(CQ397="","",CQ397+CQ403)</f>
        <v/>
      </c>
      <c r="CR408" s="68" t="str">
        <f aca="false">IF(CR397="","",CR397+CR403)</f>
        <v/>
      </c>
      <c r="CS408" s="68" t="str">
        <f aca="false">IF(CS397="","",CS397+CS403)</f>
        <v/>
      </c>
      <c r="CT408" s="68" t="str">
        <f aca="false">IF(CT397="","",CT397+CT403)</f>
        <v/>
      </c>
      <c r="CU408" s="68" t="str">
        <f aca="false">IF(CU397="","",CU397+CU403)</f>
        <v/>
      </c>
      <c r="CV408" s="68" t="str">
        <f aca="false">IF(CV397="","",CV397+CV403)</f>
        <v/>
      </c>
      <c r="CW408" s="68" t="str">
        <f aca="false">IF(CW397="","",CW397+CW403)</f>
        <v/>
      </c>
      <c r="CX408" s="68" t="str">
        <f aca="false">IF(CX397="","",CX397+CX403)</f>
        <v/>
      </c>
      <c r="CY408" s="68" t="str">
        <f aca="false">IF(CY397="","",CY397+CY403)</f>
        <v/>
      </c>
      <c r="CZ408" s="68" t="str">
        <f aca="false">IF(CZ397="","",CZ397+CZ403)</f>
        <v/>
      </c>
      <c r="DA408" s="68" t="str">
        <f aca="false">IF(DA397="","",DA397+DA403)</f>
        <v/>
      </c>
      <c r="DB408" s="68" t="str">
        <f aca="false">IF(DB397="","",DB397+DB403)</f>
        <v/>
      </c>
      <c r="DC408" s="68" t="str">
        <f aca="false">IF(DC397="","",DC397+DC403)</f>
        <v/>
      </c>
      <c r="DD408" s="68" t="str">
        <f aca="false">IF(DD397="","",DD397+DD403)</f>
        <v/>
      </c>
      <c r="DE408" s="68" t="str">
        <f aca="false">IF(DE397="","",DE397+DE403)</f>
        <v/>
      </c>
    </row>
    <row r="409" customFormat="false" ht="15" hidden="false" customHeight="true" outlineLevel="0" collapsed="false">
      <c r="A409" s="72"/>
      <c r="B409" s="71"/>
      <c r="C409" s="71"/>
      <c r="D409" s="71"/>
      <c r="E409" s="71"/>
      <c r="F409" s="71"/>
      <c r="G409" s="71"/>
      <c r="H409" s="71"/>
      <c r="I409" s="71"/>
      <c r="J409" s="71"/>
      <c r="K409" s="71"/>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c r="AP409" s="71"/>
      <c r="AQ409" s="71"/>
      <c r="AR409" s="71"/>
      <c r="AS409" s="71"/>
      <c r="AT409" s="71"/>
      <c r="AU409" s="71"/>
      <c r="AV409" s="71"/>
      <c r="AW409" s="71"/>
      <c r="AX409" s="71"/>
      <c r="AY409" s="71"/>
      <c r="AZ409" s="71"/>
      <c r="BA409" s="71"/>
      <c r="BB409" s="71"/>
      <c r="BC409" s="71"/>
      <c r="BD409" s="71"/>
      <c r="BE409" s="71"/>
      <c r="BF409" s="71"/>
      <c r="BG409" s="71"/>
      <c r="BH409" s="71"/>
      <c r="BI409" s="71"/>
      <c r="BJ409" s="71"/>
      <c r="BK409" s="71"/>
      <c r="BL409" s="71"/>
      <c r="BM409" s="71"/>
      <c r="BN409" s="71"/>
      <c r="BO409" s="71"/>
      <c r="BP409" s="71"/>
      <c r="BQ409" s="71"/>
      <c r="BR409" s="71"/>
      <c r="BS409" s="71"/>
      <c r="BT409" s="71"/>
      <c r="BU409" s="71"/>
      <c r="BV409" s="71"/>
      <c r="BW409" s="71"/>
      <c r="BX409" s="71"/>
      <c r="BY409" s="71"/>
      <c r="BZ409" s="71"/>
      <c r="CA409" s="71"/>
      <c r="CB409" s="71"/>
      <c r="CC409" s="71"/>
      <c r="CD409" s="71"/>
      <c r="CE409" s="71"/>
      <c r="CF409" s="71"/>
      <c r="CG409" s="71"/>
      <c r="CH409" s="71"/>
      <c r="CI409" s="71"/>
      <c r="CJ409" s="71"/>
      <c r="CK409" s="71"/>
      <c r="CL409" s="71"/>
      <c r="CM409" s="71"/>
      <c r="CN409" s="71"/>
      <c r="CO409" s="71"/>
      <c r="CP409" s="71"/>
      <c r="CQ409" s="71"/>
      <c r="CR409" s="71"/>
      <c r="CS409" s="71"/>
      <c r="CT409" s="71"/>
      <c r="CU409" s="71"/>
      <c r="CV409" s="71"/>
      <c r="CW409" s="71"/>
      <c r="CX409" s="71"/>
      <c r="CY409" s="71"/>
      <c r="CZ409" s="71"/>
      <c r="DA409" s="71"/>
      <c r="DB409" s="71"/>
      <c r="DC409" s="71"/>
      <c r="DD409" s="71"/>
      <c r="DE409" s="71"/>
    </row>
    <row r="410" customFormat="false" ht="15" hidden="false" customHeight="true" outlineLevel="0" collapsed="false">
      <c r="A410" s="23" t="s">
        <v>229</v>
      </c>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c r="BM410" s="34"/>
      <c r="BN410" s="34"/>
      <c r="BO410" s="34"/>
      <c r="BP410" s="34"/>
      <c r="BQ410" s="34"/>
      <c r="BR410" s="34"/>
      <c r="BS410" s="34"/>
      <c r="BT410" s="34"/>
      <c r="BU410" s="34"/>
      <c r="BV410" s="34"/>
      <c r="BW410" s="34"/>
      <c r="BX410" s="34"/>
      <c r="BY410" s="34"/>
      <c r="BZ410" s="34"/>
      <c r="CA410" s="34"/>
      <c r="CB410" s="34"/>
      <c r="CC410" s="34"/>
      <c r="CD410" s="34"/>
      <c r="CE410" s="34"/>
      <c r="CF410" s="34"/>
      <c r="CG410" s="34"/>
      <c r="CH410" s="34"/>
      <c r="CI410" s="34"/>
      <c r="CJ410" s="34"/>
      <c r="CK410" s="34"/>
      <c r="CL410" s="34"/>
      <c r="CM410" s="34"/>
      <c r="CN410" s="34"/>
      <c r="CO410" s="34"/>
      <c r="CP410" s="34"/>
      <c r="CQ410" s="34"/>
      <c r="CR410" s="34"/>
      <c r="CS410" s="34"/>
      <c r="CT410" s="34"/>
      <c r="CU410" s="34"/>
      <c r="CV410" s="34"/>
      <c r="CW410" s="34"/>
      <c r="CX410" s="34"/>
      <c r="CY410" s="34"/>
      <c r="CZ410" s="34"/>
      <c r="DA410" s="34"/>
      <c r="DB410" s="34"/>
      <c r="DC410" s="34"/>
      <c r="DD410" s="34"/>
      <c r="DE410" s="34"/>
    </row>
    <row r="411" customFormat="false" ht="15" hidden="false" customHeight="true" outlineLevel="0" collapsed="false">
      <c r="A411" s="22" t="s">
        <v>230</v>
      </c>
      <c r="B411" s="13" t="n">
        <f aca="false">IF(B397="","",B397)</f>
        <v>680024</v>
      </c>
      <c r="C411" s="13" t="n">
        <f aca="false">IF(C397="","",C397)</f>
        <v>115848</v>
      </c>
      <c r="D411" s="13" t="n">
        <f aca="false">IF(D397="","",D397)</f>
        <v>633520</v>
      </c>
      <c r="E411" s="13" t="n">
        <f aca="false">IF(E397="","",E397)</f>
        <v>394004</v>
      </c>
      <c r="F411" s="13" t="n">
        <f aca="false">IF(F397="","",F397)</f>
        <v>501967</v>
      </c>
      <c r="G411" s="13" t="n">
        <f aca="false">IF(G397="","",G397)</f>
        <v>306139</v>
      </c>
      <c r="H411" s="13" t="n">
        <f aca="false">IF(H397="","",H397)</f>
        <v>283340</v>
      </c>
      <c r="I411" s="13" t="n">
        <f aca="false">IF(I397="","",I397)</f>
        <v>1287106</v>
      </c>
      <c r="J411" s="13" t="n">
        <f aca="false">IF(J397="","",J397)</f>
        <v>1415971</v>
      </c>
      <c r="K411" s="13" t="str">
        <f aca="false">IF(K397="","",K397)</f>
        <v/>
      </c>
      <c r="L411" s="13" t="str">
        <f aca="false">IF(L397="","",L397)</f>
        <v/>
      </c>
      <c r="M411" s="13" t="str">
        <f aca="false">IF(M397="","",M397)</f>
        <v/>
      </c>
      <c r="N411" s="13" t="str">
        <f aca="false">IF(N397="","",N397)</f>
        <v/>
      </c>
      <c r="O411" s="13" t="str">
        <f aca="false">IF(O397="","",O397)</f>
        <v/>
      </c>
      <c r="P411" s="13" t="str">
        <f aca="false">IF(P397="","",P397)</f>
        <v/>
      </c>
      <c r="Q411" s="13" t="str">
        <f aca="false">IF(Q397="","",Q397)</f>
        <v/>
      </c>
      <c r="R411" s="13" t="str">
        <f aca="false">IF(R397="","",R397)</f>
        <v/>
      </c>
      <c r="S411" s="13" t="str">
        <f aca="false">IF(S397="","",S397)</f>
        <v/>
      </c>
      <c r="T411" s="13" t="str">
        <f aca="false">IF(T397="","",T397)</f>
        <v/>
      </c>
      <c r="U411" s="13" t="str">
        <f aca="false">IF(U397="","",U397)</f>
        <v/>
      </c>
      <c r="V411" s="13" t="str">
        <f aca="false">IF(V397="","",V397)</f>
        <v/>
      </c>
      <c r="W411" s="13" t="str">
        <f aca="false">IF(W397="","",W397)</f>
        <v/>
      </c>
      <c r="X411" s="13" t="str">
        <f aca="false">IF(X397="","",X397)</f>
        <v/>
      </c>
      <c r="Y411" s="13" t="str">
        <f aca="false">IF(Y397="","",Y397)</f>
        <v/>
      </c>
      <c r="Z411" s="13" t="str">
        <f aca="false">IF(Z397="","",Z397)</f>
        <v/>
      </c>
      <c r="AA411" s="13" t="str">
        <f aca="false">IF(AA397="","",AA397)</f>
        <v/>
      </c>
      <c r="AB411" s="13" t="str">
        <f aca="false">IF(AB397="","",AB397)</f>
        <v/>
      </c>
      <c r="AC411" s="13" t="str">
        <f aca="false">IF(AC397="","",AC397)</f>
        <v/>
      </c>
      <c r="AD411" s="13" t="str">
        <f aca="false">IF(AD397="","",AD397)</f>
        <v/>
      </c>
      <c r="AE411" s="13" t="str">
        <f aca="false">IF(AE397="","",AE397)</f>
        <v/>
      </c>
      <c r="AF411" s="13" t="str">
        <f aca="false">IF(AF397="","",AF397)</f>
        <v/>
      </c>
      <c r="AG411" s="13" t="str">
        <f aca="false">IF(AG397="","",AG397)</f>
        <v/>
      </c>
      <c r="AH411" s="13" t="str">
        <f aca="false">IF(AH397="","",AH397)</f>
        <v/>
      </c>
      <c r="AI411" s="13" t="str">
        <f aca="false">IF(AI397="","",AI397)</f>
        <v/>
      </c>
      <c r="AJ411" s="13" t="str">
        <f aca="false">IF(AJ397="","",AJ397)</f>
        <v/>
      </c>
      <c r="AK411" s="13" t="str">
        <f aca="false">IF(AK397="","",AK397)</f>
        <v/>
      </c>
      <c r="AL411" s="13" t="str">
        <f aca="false">IF(AL397="","",AL397)</f>
        <v/>
      </c>
      <c r="AM411" s="13" t="str">
        <f aca="false">IF(AM397="","",AM397)</f>
        <v/>
      </c>
      <c r="AN411" s="13" t="str">
        <f aca="false">IF(AN397="","",AN397)</f>
        <v/>
      </c>
      <c r="AO411" s="13" t="str">
        <f aca="false">IF(AO397="","",AO397)</f>
        <v/>
      </c>
      <c r="AP411" s="13" t="str">
        <f aca="false">IF(AP397="","",AP397)</f>
        <v/>
      </c>
      <c r="AQ411" s="13" t="str">
        <f aca="false">IF(AQ397="","",AQ397)</f>
        <v/>
      </c>
      <c r="AR411" s="13" t="str">
        <f aca="false">IF(AR397="","",AR397)</f>
        <v/>
      </c>
      <c r="AS411" s="13" t="str">
        <f aca="false">IF(AS397="","",AS397)</f>
        <v/>
      </c>
      <c r="AT411" s="13" t="str">
        <f aca="false">IF(AT397="","",AT397)</f>
        <v/>
      </c>
      <c r="AU411" s="13" t="str">
        <f aca="false">IF(AU397="","",AU397)</f>
        <v/>
      </c>
      <c r="AV411" s="13" t="str">
        <f aca="false">IF(AV397="","",AV397)</f>
        <v/>
      </c>
      <c r="AW411" s="13" t="str">
        <f aca="false">IF(AW397="","",AW397)</f>
        <v/>
      </c>
      <c r="AX411" s="13" t="str">
        <f aca="false">IF(AX397="","",AX397)</f>
        <v/>
      </c>
      <c r="AY411" s="13" t="str">
        <f aca="false">IF(AY397="","",AY397)</f>
        <v/>
      </c>
      <c r="AZ411" s="13" t="str">
        <f aca="false">IF(AZ397="","",AZ397)</f>
        <v/>
      </c>
      <c r="BA411" s="13" t="str">
        <f aca="false">IF(BA397="","",BA397)</f>
        <v/>
      </c>
      <c r="BB411" s="13" t="str">
        <f aca="false">IF(BB397="","",BB397)</f>
        <v/>
      </c>
      <c r="BC411" s="13" t="str">
        <f aca="false">IF(BC397="","",BC397)</f>
        <v/>
      </c>
      <c r="BD411" s="13" t="str">
        <f aca="false">IF(BD397="","",BD397)</f>
        <v/>
      </c>
      <c r="BE411" s="13" t="str">
        <f aca="false">IF(BE397="","",BE397)</f>
        <v/>
      </c>
      <c r="BF411" s="13" t="str">
        <f aca="false">IF(BF397="","",BF397)</f>
        <v/>
      </c>
      <c r="BG411" s="13" t="str">
        <f aca="false">IF(BG397="","",BG397)</f>
        <v/>
      </c>
      <c r="BH411" s="13" t="str">
        <f aca="false">IF(BH397="","",BH397)</f>
        <v/>
      </c>
      <c r="BI411" s="13" t="str">
        <f aca="false">IF(BI397="","",BI397)</f>
        <v/>
      </c>
      <c r="BJ411" s="13" t="str">
        <f aca="false">IF(BJ397="","",BJ397)</f>
        <v/>
      </c>
      <c r="BK411" s="13" t="str">
        <f aca="false">IF(BK397="","",BK397)</f>
        <v/>
      </c>
      <c r="BL411" s="13" t="str">
        <f aca="false">IF(BL397="","",BL397)</f>
        <v/>
      </c>
      <c r="BM411" s="13" t="str">
        <f aca="false">IF(BM397="","",BM397)</f>
        <v/>
      </c>
      <c r="BN411" s="13" t="str">
        <f aca="false">IF(BN397="","",BN397)</f>
        <v/>
      </c>
      <c r="BO411" s="13" t="str">
        <f aca="false">IF(BO397="","",BO397)</f>
        <v/>
      </c>
      <c r="BP411" s="13" t="str">
        <f aca="false">IF(BP397="","",BP397)</f>
        <v/>
      </c>
      <c r="BQ411" s="13" t="str">
        <f aca="false">IF(BQ397="","",BQ397)</f>
        <v/>
      </c>
      <c r="BR411" s="13" t="str">
        <f aca="false">IF(BR397="","",BR397)</f>
        <v/>
      </c>
      <c r="BS411" s="13" t="str">
        <f aca="false">IF(BS397="","",BS397)</f>
        <v/>
      </c>
      <c r="BT411" s="13" t="str">
        <f aca="false">IF(BT397="","",BT397)</f>
        <v/>
      </c>
      <c r="BU411" s="13" t="str">
        <f aca="false">IF(BU397="","",BU397)</f>
        <v/>
      </c>
      <c r="BV411" s="13" t="str">
        <f aca="false">IF(BV397="","",BV397)</f>
        <v/>
      </c>
      <c r="BW411" s="13" t="str">
        <f aca="false">IF(BW397="","",BW397)</f>
        <v/>
      </c>
      <c r="BX411" s="13" t="str">
        <f aca="false">IF(BX397="","",BX397)</f>
        <v/>
      </c>
      <c r="BY411" s="13" t="str">
        <f aca="false">IF(BY397="","",BY397)</f>
        <v/>
      </c>
      <c r="BZ411" s="13" t="str">
        <f aca="false">IF(BZ397="","",BZ397)</f>
        <v/>
      </c>
      <c r="CA411" s="13" t="str">
        <f aca="false">IF(CA397="","",CA397)</f>
        <v/>
      </c>
      <c r="CB411" s="13" t="str">
        <f aca="false">IF(CB397="","",CB397)</f>
        <v/>
      </c>
      <c r="CC411" s="13" t="str">
        <f aca="false">IF(CC397="","",CC397)</f>
        <v/>
      </c>
      <c r="CD411" s="13" t="str">
        <f aca="false">IF(CD397="","",CD397)</f>
        <v/>
      </c>
      <c r="CE411" s="13" t="str">
        <f aca="false">IF(CE397="","",CE397)</f>
        <v/>
      </c>
      <c r="CF411" s="13" t="str">
        <f aca="false">IF(CF397="","",CF397)</f>
        <v/>
      </c>
      <c r="CG411" s="13" t="str">
        <f aca="false">IF(CG397="","",CG397)</f>
        <v/>
      </c>
      <c r="CH411" s="13" t="str">
        <f aca="false">IF(CH397="","",CH397)</f>
        <v/>
      </c>
      <c r="CI411" s="13" t="str">
        <f aca="false">IF(CI397="","",CI397)</f>
        <v/>
      </c>
      <c r="CJ411" s="13" t="str">
        <f aca="false">IF(CJ397="","",CJ397)</f>
        <v/>
      </c>
      <c r="CK411" s="13" t="str">
        <f aca="false">IF(CK397="","",CK397)</f>
        <v/>
      </c>
      <c r="CL411" s="13" t="str">
        <f aca="false">IF(CL397="","",CL397)</f>
        <v/>
      </c>
      <c r="CM411" s="13" t="str">
        <f aca="false">IF(CM397="","",CM397)</f>
        <v/>
      </c>
      <c r="CN411" s="13" t="str">
        <f aca="false">IF(CN397="","",CN397)</f>
        <v/>
      </c>
      <c r="CO411" s="13" t="str">
        <f aca="false">IF(CO397="","",CO397)</f>
        <v/>
      </c>
      <c r="CP411" s="13" t="str">
        <f aca="false">IF(CP397="","",CP397)</f>
        <v/>
      </c>
      <c r="CQ411" s="13" t="str">
        <f aca="false">IF(CQ397="","",CQ397)</f>
        <v/>
      </c>
      <c r="CR411" s="13" t="str">
        <f aca="false">IF(CR397="","",CR397)</f>
        <v/>
      </c>
      <c r="CS411" s="13" t="str">
        <f aca="false">IF(CS397="","",CS397)</f>
        <v/>
      </c>
      <c r="CT411" s="13" t="str">
        <f aca="false">IF(CT397="","",CT397)</f>
        <v/>
      </c>
      <c r="CU411" s="13" t="str">
        <f aca="false">IF(CU397="","",CU397)</f>
        <v/>
      </c>
      <c r="CV411" s="13" t="str">
        <f aca="false">IF(CV397="","",CV397)</f>
        <v/>
      </c>
      <c r="CW411" s="13" t="str">
        <f aca="false">IF(CW397="","",CW397)</f>
        <v/>
      </c>
      <c r="CX411" s="13" t="str">
        <f aca="false">IF(CX397="","",CX397)</f>
        <v/>
      </c>
      <c r="CY411" s="13" t="str">
        <f aca="false">IF(CY397="","",CY397)</f>
        <v/>
      </c>
      <c r="CZ411" s="13" t="str">
        <f aca="false">IF(CZ397="","",CZ397)</f>
        <v/>
      </c>
      <c r="DA411" s="13" t="str">
        <f aca="false">IF(DA397="","",DA397)</f>
        <v/>
      </c>
      <c r="DB411" s="13" t="str">
        <f aca="false">IF(DB397="","",DB397)</f>
        <v/>
      </c>
      <c r="DC411" s="13" t="str">
        <f aca="false">IF(DC397="","",DC397)</f>
        <v/>
      </c>
      <c r="DD411" s="13" t="str">
        <f aca="false">IF(DD397="","",DD397)</f>
        <v/>
      </c>
      <c r="DE411" s="13" t="str">
        <f aca="false">IF(DE397="","",DE397)</f>
        <v/>
      </c>
    </row>
    <row r="412" customFormat="false" ht="13.5" hidden="false" customHeight="true" outlineLevel="0" collapsed="false">
      <c r="A412" s="22" t="s">
        <v>231</v>
      </c>
      <c r="B412" s="13" t="str">
        <f aca="false">IF(B$4="Actuals",IF(C$4="Actuals","",C361),B369)</f>
        <v/>
      </c>
      <c r="C412" s="13" t="str">
        <f aca="false">IF(C$4="Actuals",IF(D$4="Actuals","",D361),C369)</f>
        <v/>
      </c>
      <c r="D412" s="13" t="str">
        <f aca="false">IF(D$4="Actuals",IF(E$4="Actuals","",E361),D369)</f>
        <v/>
      </c>
      <c r="E412" s="13" t="str">
        <f aca="false">IF(E$4="Actuals",IF(F$4="Actuals","",F361),E369)</f>
        <v/>
      </c>
      <c r="F412" s="13" t="str">
        <f aca="false">IF(F$4="Actuals",IF(G$4="Actuals","",G361),F369)</f>
        <v/>
      </c>
      <c r="G412" s="13" t="str">
        <f aca="false">IF(G$4="Actuals",IF(H$4="Actuals","",H361),G369)</f>
        <v/>
      </c>
      <c r="H412" s="13" t="str">
        <f aca="false">IF(H$4="Actuals",IF(I$4="Actuals","",I361),H369)</f>
        <v/>
      </c>
      <c r="I412" s="13" t="str">
        <f aca="false">IF(I$4="Actuals",IF(J$4="Actuals","",J361),I369)</f>
        <v/>
      </c>
      <c r="J412" s="13" t="n">
        <f aca="false">IF(J$4="Actuals",IF(K$4="Actuals","",K361),J369)</f>
        <v>1415971</v>
      </c>
      <c r="K412" s="13" t="n">
        <f aca="false">IF(K$4="Actuals",IF(L$4="Actuals","",L361),K369)</f>
        <v>1718793.99033333</v>
      </c>
      <c r="L412" s="13" t="n">
        <f aca="false">IF(L$4="Actuals",IF(M$4="Actuals","",M361),L369)</f>
        <v>1878903.10516667</v>
      </c>
      <c r="M412" s="13" t="n">
        <f aca="false">IF(M$4="Actuals",IF(N$4="Actuals","",N361),M369)</f>
        <v>2335079.76345215</v>
      </c>
      <c r="N412" s="13" t="n">
        <f aca="false">IF(N$4="Actuals",IF(O$4="Actuals","",O361),N369)</f>
        <v>810348.55735434</v>
      </c>
      <c r="O412" s="13" t="n">
        <f aca="false">IF(O$4="Actuals",IF(P$4="Actuals","",P361),O369)</f>
        <v>992897.77341301</v>
      </c>
      <c r="P412" s="13" t="n">
        <f aca="false">IF(P$4="Actuals",IF(Q$4="Actuals","",Q361),P369)</f>
        <v>1236104.78095263</v>
      </c>
      <c r="Q412" s="13" t="n">
        <f aca="false">IF(Q$4="Actuals",IF(R$4="Actuals","",R361),Q369)</f>
        <v>1466827.40600587</v>
      </c>
      <c r="R412" s="13" t="n">
        <f aca="false">IF(R$4="Actuals",IF(S$4="Actuals","",S361),R369)</f>
        <v>1420762.11974803</v>
      </c>
      <c r="S412" s="13" t="n">
        <f aca="false">IF(S$4="Actuals",IF(T$4="Actuals","",T361),S369)</f>
        <v>1500108.0089895</v>
      </c>
      <c r="T412" s="13" t="n">
        <f aca="false">IF(T$4="Actuals",IF(U$4="Actuals","",U361),T369)</f>
        <v>1490268.00482001</v>
      </c>
      <c r="U412" s="13" t="n">
        <f aca="false">IF(U$4="Actuals",IF(V$4="Actuals","",V361),U369)</f>
        <v>2233668.04066032</v>
      </c>
      <c r="V412" s="13" t="n">
        <f aca="false">IF(V$4="Actuals",IF(W$4="Actuals","",W361),V369)</f>
        <v>2923007.2493954</v>
      </c>
      <c r="W412" s="13" t="n">
        <f aca="false">IF(W$4="Actuals",IF(X$4="Actuals","",X361),W369)</f>
        <v>3392852.73699058</v>
      </c>
      <c r="X412" s="13" t="n">
        <f aca="false">IF(X$4="Actuals",IF(Y$4="Actuals","",Y361),X369)</f>
        <v>3773954.1418193</v>
      </c>
      <c r="Y412" s="13" t="n">
        <f aca="false">IF(Y$4="Actuals",IF(Z$4="Actuals","",Z361),Y369)</f>
        <v>4420752.5249601</v>
      </c>
      <c r="Z412" s="13" t="n">
        <f aca="false">IF(Z$4="Actuals",IF(AA$4="Actuals","",AA361),Z369)</f>
        <v>5066452.62634089</v>
      </c>
      <c r="AA412" s="13" t="n">
        <f aca="false">IF(AA$4="Actuals",IF(AB$4="Actuals","",AB361),AA369)</f>
        <v>5903116.80722169</v>
      </c>
      <c r="AB412" s="13" t="n">
        <f aca="false">IF(AB$4="Actuals",IF(AC$4="Actuals","",AC361),AB369)</f>
        <v>6648272.56372426</v>
      </c>
      <c r="AC412" s="13" t="n">
        <f aca="false">IF(AC$4="Actuals",IF(AD$4="Actuals","",AD361),AC369)</f>
        <v>7186127.11798967</v>
      </c>
      <c r="AD412" s="13" t="n">
        <f aca="false">IF(AD$4="Actuals",IF(AE$4="Actuals","",AE361),AD369)</f>
        <v>7651102.22294738</v>
      </c>
      <c r="AE412" s="13" t="n">
        <f aca="false">IF(AE$4="Actuals",IF(AF$4="Actuals","",AF361),AE369)</f>
        <v>8153179.74878475</v>
      </c>
      <c r="AF412" s="13" t="n">
        <f aca="false">IF(AF$4="Actuals",IF(AG$4="Actuals","",AG361),AF369)</f>
        <v>8189353.23291772</v>
      </c>
      <c r="AG412" s="13" t="n">
        <f aca="false">IF(AG$4="Actuals",IF(AH$4="Actuals","",AH361),AG369)</f>
        <v>9054853.77748896</v>
      </c>
      <c r="AH412" s="13" t="n">
        <f aca="false">IF(AH$4="Actuals",IF(AI$4="Actuals","",AI361),AH369)</f>
        <v>9927180.01406438</v>
      </c>
      <c r="AI412" s="13" t="n">
        <f aca="false">IF(AI$4="Actuals",IF(AJ$4="Actuals","",AJ361),AI369)</f>
        <v>10687343.8033538</v>
      </c>
      <c r="AJ412" s="13" t="n">
        <f aca="false">IF(AJ$4="Actuals",IF(AK$4="Actuals","",AK361),AJ369)</f>
        <v>11281253.4637048</v>
      </c>
      <c r="AK412" s="13" t="n">
        <f aca="false">IF(AK$4="Actuals",IF(AL$4="Actuals","",AL361),AK369)</f>
        <v>11562494.1244953</v>
      </c>
      <c r="AL412" s="13" t="n">
        <f aca="false">IF(AL$4="Actuals",IF(AM$4="Actuals","",AM361),AL369)</f>
        <v>11870301.2425991</v>
      </c>
      <c r="AM412" s="13" t="n">
        <f aca="false">IF(AM$4="Actuals",IF(AN$4="Actuals","",AN361),AM369)</f>
        <v>12197890.0760876</v>
      </c>
      <c r="AN412" s="13" t="n">
        <f aca="false">IF(AN$4="Actuals",IF(AO$4="Actuals","",AO361),AN369)</f>
        <v>12908270.9875755</v>
      </c>
      <c r="AO412" s="13" t="n">
        <f aca="false">IF(AO$4="Actuals",IF(AP$4="Actuals","",AP361),AO369)</f>
        <v>13358567.1222667</v>
      </c>
      <c r="AP412" s="13" t="n">
        <f aca="false">IF(AP$4="Actuals",IF(AQ$4="Actuals","",AQ361),AP369)</f>
        <v>13750478.5933754</v>
      </c>
      <c r="AQ412" s="13" t="n">
        <f aca="false">IF(AQ$4="Actuals",IF(AR$4="Actuals","",AR361),AQ369)</f>
        <v>13991295.2327091</v>
      </c>
      <c r="AR412" s="13" t="n">
        <f aca="false">IF(AR$4="Actuals",IF(AS$4="Actuals","",AS361),AR369)</f>
        <v>14012400.8578493</v>
      </c>
      <c r="AS412" s="13" t="n">
        <f aca="false">IF(AS$4="Actuals",IF(AT$4="Actuals","",AT361),AS369)</f>
        <v>14033506.4829896</v>
      </c>
      <c r="AT412" s="13" t="n">
        <f aca="false">IF(AT$4="Actuals",IF(AU$4="Actuals","",AU361),AT369)</f>
        <v>14143835.861441</v>
      </c>
      <c r="AU412" s="13" t="n">
        <f aca="false">IF(AU$4="Actuals",IF(AV$4="Actuals","",AV361),AU369)</f>
        <v>14323998.6079516</v>
      </c>
      <c r="AV412" s="13" t="n">
        <f aca="false">IF(AV$4="Actuals",IF(AW$4="Actuals","",AW361),AV369)</f>
        <v>14502728.3920617</v>
      </c>
      <c r="AW412" s="13" t="n">
        <f aca="false">IF(AW$4="Actuals",IF(AX$4="Actuals","",AX361),AW369)</f>
        <v>14503711.1656423</v>
      </c>
      <c r="AX412" s="13" t="n">
        <f aca="false">IF(AX$4="Actuals",IF(AY$4="Actuals","",AY361),AX369)</f>
        <v>14252168.0763192</v>
      </c>
      <c r="AY412" s="13" t="n">
        <f aca="false">IF(AY$4="Actuals",IF(AZ$4="Actuals","",AZ361),AY369)</f>
        <v>14000624.986996</v>
      </c>
      <c r="AZ412" s="13" t="n">
        <f aca="false">IF(AZ$4="Actuals",IF(BA$4="Actuals","",BA361),AZ369)</f>
        <v>13749081.8976728</v>
      </c>
      <c r="BA412" s="13" t="n">
        <f aca="false">IF(BA$4="Actuals",IF(BB$4="Actuals","",BB361),BA369)</f>
        <v>13497538.8083496</v>
      </c>
      <c r="BB412" s="13" t="n">
        <f aca="false">IF(BB$4="Actuals",IF(BC$4="Actuals","",BC361),BB369)</f>
        <v>13245995.7190264</v>
      </c>
      <c r="BC412" s="13" t="n">
        <f aca="false">IF(BC$4="Actuals",IF(BD$4="Actuals","",BD361),BC369)</f>
        <v>12994452.6297032</v>
      </c>
      <c r="BD412" s="13" t="n">
        <f aca="false">IF(BD$4="Actuals",IF(BE$4="Actuals","",BE361),BD369)</f>
        <v>12742909.5403801</v>
      </c>
      <c r="BE412" s="13" t="n">
        <f aca="false">IF(BE$4="Actuals",IF(BF$4="Actuals","",BF361),BE369)</f>
        <v>12491366.4510569</v>
      </c>
      <c r="BF412" s="13" t="n">
        <f aca="false">IF(BF$4="Actuals",IF(BG$4="Actuals","",BG361),BF369)</f>
        <v>12239823.3617337</v>
      </c>
      <c r="BG412" s="13" t="n">
        <f aca="false">IF(BG$4="Actuals",IF(BH$4="Actuals","",BH361),BG369)</f>
        <v>11988280.2724105</v>
      </c>
      <c r="BH412" s="13" t="n">
        <f aca="false">IF(BH$4="Actuals",IF(BI$4="Actuals","",BI361),BH369)</f>
        <v>11973226.6443901</v>
      </c>
      <c r="BI412" s="13" t="n">
        <f aca="false">IF(BI$4="Actuals",IF(BJ$4="Actuals","",BJ361),BI369)</f>
        <v>11778502.812166</v>
      </c>
      <c r="BJ412" s="13" t="n">
        <f aca="false">IF(BJ$4="Actuals",IF(BK$4="Actuals","",BK361),BJ369)</f>
        <v>11369567.6690547</v>
      </c>
      <c r="BK412" s="13" t="n">
        <f aca="false">IF(BK$4="Actuals",IF(BL$4="Actuals","",BL361),BK369)</f>
        <v>10960632.5259434</v>
      </c>
      <c r="BL412" s="13" t="n">
        <f aca="false">IF(BL$4="Actuals",IF(BM$4="Actuals","",BM361),BL369)</f>
        <v>10551697.3828322</v>
      </c>
      <c r="BM412" s="13" t="n">
        <f aca="false">IF(BM$4="Actuals",IF(BN$4="Actuals","",BN361),BM369)</f>
        <v>10142762.2397209</v>
      </c>
      <c r="BN412" s="13" t="n">
        <f aca="false">IF(BN$4="Actuals",IF(BO$4="Actuals","",BO361),BN369)</f>
        <v>9733827.09660963</v>
      </c>
      <c r="BO412" s="13" t="n">
        <f aca="false">IF(BO$4="Actuals",IF(BP$4="Actuals","",BP361),BO369)</f>
        <v>9324891.95349836</v>
      </c>
      <c r="BP412" s="13" t="n">
        <f aca="false">IF(BP$4="Actuals",IF(BQ$4="Actuals","",BQ361),BP369)</f>
        <v>8915956.81038709</v>
      </c>
      <c r="BQ412" s="13" t="n">
        <f aca="false">IF(BQ$4="Actuals",IF(BR$4="Actuals","",BR361),BQ369)</f>
        <v>8507021.66727582</v>
      </c>
      <c r="BR412" s="13" t="n">
        <f aca="false">IF(BR$4="Actuals",IF(BS$4="Actuals","",BS361),BR369)</f>
        <v>8098086.52416455</v>
      </c>
      <c r="BS412" s="13" t="n">
        <f aca="false">IF(BS$4="Actuals",IF(BT$4="Actuals","",BT361),BS369)</f>
        <v>7689151.38105328</v>
      </c>
      <c r="BT412" s="13" t="n">
        <f aca="false">IF(BT$4="Actuals",IF(BU$4="Actuals","",BU361),BT369)</f>
        <v>7280216.23794201</v>
      </c>
      <c r="BU412" s="13" t="n">
        <f aca="false">IF(BU$4="Actuals",IF(BV$4="Actuals","",BV361),BU369)</f>
        <v>6671281.09483074</v>
      </c>
      <c r="BV412" s="13" t="n">
        <f aca="false">IF(BV$4="Actuals",IF(BW$4="Actuals","",BW361),BV369)</f>
        <v>6254578.24885725</v>
      </c>
      <c r="BW412" s="13" t="n">
        <f aca="false">IF(BW$4="Actuals",IF(BX$4="Actuals","",BX361),BW369)</f>
        <v>5837875.40288375</v>
      </c>
      <c r="BX412" s="13" t="n">
        <f aca="false">IF(BX$4="Actuals",IF(BY$4="Actuals","",BY361),BX369)</f>
        <v>5421172.55691026</v>
      </c>
      <c r="BY412" s="13" t="n">
        <f aca="false">IF(BY$4="Actuals",IF(BZ$4="Actuals","",BZ361),BY369)</f>
        <v>5004469.71093676</v>
      </c>
      <c r="BZ412" s="13" t="n">
        <f aca="false">IF(BZ$4="Actuals",IF(CA$4="Actuals","",CA361),BZ369)</f>
        <v>4587766.86496327</v>
      </c>
      <c r="CA412" s="13" t="n">
        <f aca="false">IF(CA$4="Actuals",IF(CB$4="Actuals","",CB361),CA369)</f>
        <v>4171064.01898977</v>
      </c>
      <c r="CB412" s="13" t="n">
        <f aca="false">IF(CB$4="Actuals",IF(CC$4="Actuals","",CC361),CB369)</f>
        <v>3754361.17301627</v>
      </c>
      <c r="CC412" s="13" t="n">
        <f aca="false">IF(CC$4="Actuals",IF(CD$4="Actuals","",CD361),CC369)</f>
        <v>3337658.32704278</v>
      </c>
      <c r="CD412" s="13" t="n">
        <f aca="false">IF(CD$4="Actuals",IF(CE$4="Actuals","",CE361),CD369)</f>
        <v>2920955.48106928</v>
      </c>
      <c r="CE412" s="13" t="n">
        <f aca="false">IF(CE$4="Actuals",IF(CF$4="Actuals","",CF361),CE369)</f>
        <v>2504252.63509579</v>
      </c>
      <c r="CF412" s="13" t="n">
        <f aca="false">IF(CF$4="Actuals",IF(CG$4="Actuals","",CG361),CF369)</f>
        <v>2087549.78912229</v>
      </c>
      <c r="CG412" s="13" t="n">
        <f aca="false">IF(CG$4="Actuals",IF(CH$4="Actuals","",CH361),CG369)</f>
        <v>1470846.9431488</v>
      </c>
      <c r="CH412" s="13" t="n">
        <f aca="false">IF(CH$4="Actuals",IF(CI$4="Actuals","",CI361),CH369)</f>
        <v>1046221.04025583</v>
      </c>
      <c r="CI412" s="13" t="n">
        <f aca="false">IF(CI$4="Actuals",IF(CJ$4="Actuals","",CJ361),CI369)</f>
        <v>621595.137362867</v>
      </c>
      <c r="CJ412" s="13" t="n">
        <f aca="false">IF(CJ$4="Actuals",IF(CK$4="Actuals","",CK361),CJ369)</f>
        <v>196969.234469901</v>
      </c>
      <c r="CK412" s="13" t="n">
        <f aca="false">IF(CK$4="Actuals",IF(CL$4="Actuals","",CL361),CK369)</f>
        <v>-227656.668423064</v>
      </c>
      <c r="CL412" s="13" t="n">
        <f aca="false">IF(CL$4="Actuals",IF(CM$4="Actuals","",CM361),CL369)</f>
        <v>-652282.57131603</v>
      </c>
      <c r="CM412" s="13" t="n">
        <f aca="false">IF(CM$4="Actuals",IF(CN$4="Actuals","",CN361),CM369)</f>
        <v>-1076908.474209</v>
      </c>
      <c r="CN412" s="13" t="n">
        <f aca="false">IF(CN$4="Actuals",IF(CO$4="Actuals","",CO361),CN369)</f>
        <v>-1501534.37710196</v>
      </c>
      <c r="CO412" s="13" t="n">
        <f aca="false">IF(CO$4="Actuals",IF(CP$4="Actuals","",CP361),CO369)</f>
        <v>-1926160.27999493</v>
      </c>
      <c r="CP412" s="13" t="n">
        <f aca="false">IF(CP$4="Actuals",IF(CQ$4="Actuals","",CQ361),CP369)</f>
        <v>-2350786.18288789</v>
      </c>
      <c r="CQ412" s="13" t="n">
        <f aca="false">IF(CQ$4="Actuals",IF(CR$4="Actuals","",CR361),CQ369)</f>
        <v>-2775412.08578086</v>
      </c>
      <c r="CR412" s="13" t="n">
        <f aca="false">IF(CR$4="Actuals",IF(CS$4="Actuals","",CS361),CR369)</f>
        <v>-3200037.98867382</v>
      </c>
      <c r="CS412" s="13" t="n">
        <f aca="false">IF(CS$4="Actuals",IF(CT$4="Actuals","",CT361),CS369)</f>
        <v>-3824663.89156679</v>
      </c>
      <c r="CT412" s="13" t="n">
        <f aca="false">IF(CT$4="Actuals",IF(CU$4="Actuals","",CU361),CT369)</f>
        <v>-4216829.20464994</v>
      </c>
      <c r="CU412" s="13" t="n">
        <f aca="false">IF(CU$4="Actuals",IF(CV$4="Actuals","",CV361),CU369)</f>
        <v>-4608994.51773309</v>
      </c>
      <c r="CV412" s="13" t="n">
        <f aca="false">IF(CV$4="Actuals",IF(CW$4="Actuals","",CW361),CV369)</f>
        <v>-5001159.83081624</v>
      </c>
      <c r="CW412" s="13" t="n">
        <f aca="false">IF(CW$4="Actuals",IF(CX$4="Actuals","",CX361),CW369)</f>
        <v>-5393325.14389939</v>
      </c>
      <c r="CX412" s="13" t="n">
        <f aca="false">IF(CX$4="Actuals",IF(CY$4="Actuals","",CY361),CX369)</f>
        <v>-5785490.45698254</v>
      </c>
      <c r="CY412" s="13" t="n">
        <f aca="false">IF(CY$4="Actuals",IF(CZ$4="Actuals","",CZ361),CY369)</f>
        <v>-6177655.7700657</v>
      </c>
      <c r="CZ412" s="13" t="n">
        <f aca="false">IF(CZ$4="Actuals",IF(DA$4="Actuals","",DA361),CZ369)</f>
        <v>-6569821.08314885</v>
      </c>
      <c r="DA412" s="13" t="n">
        <f aca="false">IF(DA$4="Actuals",IF(DB$4="Actuals","",DB361),DA369)</f>
        <v>-6961986.396232</v>
      </c>
      <c r="DB412" s="13" t="n">
        <f aca="false">IF(DB$4="Actuals",IF(DC$4="Actuals","",DC361),DB369)</f>
        <v>-7354151.70931515</v>
      </c>
      <c r="DC412" s="13" t="n">
        <f aca="false">IF(DC$4="Actuals",IF(DD$4="Actuals","",DD361),DC369)</f>
        <v>-7746317.0223983</v>
      </c>
      <c r="DD412" s="13" t="n">
        <f aca="false">IF(DD$4="Actuals",IF(DE$4="Actuals","",DE361),DD369)</f>
        <v>-8138482.33548145</v>
      </c>
      <c r="DE412" s="13" t="n">
        <f aca="false">IF(DE$4="Actuals",IF(DF$4="Actuals","",DF361),DE369)</f>
        <v>-8730647.6485646</v>
      </c>
    </row>
    <row r="413" customFormat="false" ht="13.5" hidden="false" customHeight="true" outlineLevel="0" collapsed="false">
      <c r="A413" s="22" t="s">
        <v>232</v>
      </c>
      <c r="B413" s="13" t="str">
        <f aca="false">IF(OR(B411="",B412=""),"",B412-B411)</f>
        <v/>
      </c>
      <c r="C413" s="13" t="str">
        <f aca="false">IF(OR(C411="",C412=""),"",C412-C411)</f>
        <v/>
      </c>
      <c r="D413" s="13" t="str">
        <f aca="false">IF(OR(D411="",D412=""),"",D412-D411)</f>
        <v/>
      </c>
      <c r="E413" s="13" t="str">
        <f aca="false">IF(OR(E411="",E412=""),"",E412-E411)</f>
        <v/>
      </c>
      <c r="F413" s="13" t="str">
        <f aca="false">IF(OR(F411="",F412=""),"",F412-F411)</f>
        <v/>
      </c>
      <c r="G413" s="13" t="str">
        <f aca="false">IF(OR(G411="",G412=""),"",G412-G411)</f>
        <v/>
      </c>
      <c r="H413" s="13" t="str">
        <f aca="false">IF(OR(H411="",H412=""),"",H412-H411)</f>
        <v/>
      </c>
      <c r="I413" s="13" t="str">
        <f aca="false">IF(OR(I411="",I412=""),"",I412-I411)</f>
        <v/>
      </c>
      <c r="J413" s="13" t="n">
        <f aca="false">IF(OR(J411="",J412=""),"",J412-J411)</f>
        <v>0</v>
      </c>
      <c r="K413" s="13" t="str">
        <f aca="false">IF(OR(K411="",K412=""),"",K412-K411)</f>
        <v/>
      </c>
      <c r="L413" s="13" t="str">
        <f aca="false">IF(OR(L411="",L412=""),"",L412-L411)</f>
        <v/>
      </c>
      <c r="M413" s="13" t="str">
        <f aca="false">IF(OR(M411="",M412=""),"",M412-M411)</f>
        <v/>
      </c>
      <c r="N413" s="13" t="str">
        <f aca="false">IF(OR(N411="",N412=""),"",N412-N411)</f>
        <v/>
      </c>
      <c r="O413" s="13" t="str">
        <f aca="false">IF(OR(O411="",O412=""),"",O412-O411)</f>
        <v/>
      </c>
      <c r="P413" s="13" t="str">
        <f aca="false">IF(OR(P411="",P412=""),"",P412-P411)</f>
        <v/>
      </c>
      <c r="Q413" s="13" t="str">
        <f aca="false">IF(OR(Q411="",Q412=""),"",Q412-Q411)</f>
        <v/>
      </c>
      <c r="R413" s="13" t="str">
        <f aca="false">IF(OR(R411="",R412=""),"",R412-R411)</f>
        <v/>
      </c>
      <c r="S413" s="13" t="str">
        <f aca="false">IF(OR(S411="",S412=""),"",S412-S411)</f>
        <v/>
      </c>
      <c r="T413" s="13" t="str">
        <f aca="false">IF(OR(T411="",T412=""),"",T412-T411)</f>
        <v/>
      </c>
      <c r="U413" s="13" t="str">
        <f aca="false">IF(OR(U411="",U412=""),"",U412-U411)</f>
        <v/>
      </c>
      <c r="V413" s="13" t="str">
        <f aca="false">IF(OR(V411="",V412=""),"",V412-V411)</f>
        <v/>
      </c>
      <c r="W413" s="13" t="str">
        <f aca="false">IF(OR(W411="",W412=""),"",W412-W411)</f>
        <v/>
      </c>
      <c r="X413" s="13" t="str">
        <f aca="false">IF(OR(X411="",X412=""),"",X412-X411)</f>
        <v/>
      </c>
      <c r="Y413" s="13" t="str">
        <f aca="false">IF(OR(Y411="",Y412=""),"",Y412-Y411)</f>
        <v/>
      </c>
      <c r="Z413" s="13" t="str">
        <f aca="false">IF(OR(Z411="",Z412=""),"",Z412-Z411)</f>
        <v/>
      </c>
      <c r="AA413" s="13" t="str">
        <f aca="false">IF(OR(AA411="",AA412=""),"",AA412-AA411)</f>
        <v/>
      </c>
      <c r="AB413" s="13" t="str">
        <f aca="false">IF(OR(AB411="",AB412=""),"",AB412-AB411)</f>
        <v/>
      </c>
      <c r="AC413" s="13" t="str">
        <f aca="false">IF(OR(AC411="",AC412=""),"",AC412-AC411)</f>
        <v/>
      </c>
      <c r="AD413" s="13" t="str">
        <f aca="false">IF(OR(AD411="",AD412=""),"",AD412-AD411)</f>
        <v/>
      </c>
      <c r="AE413" s="13" t="str">
        <f aca="false">IF(OR(AE411="",AE412=""),"",AE412-AE411)</f>
        <v/>
      </c>
      <c r="AF413" s="13" t="str">
        <f aca="false">IF(OR(AF411="",AF412=""),"",AF412-AF411)</f>
        <v/>
      </c>
      <c r="AG413" s="13" t="str">
        <f aca="false">IF(OR(AG411="",AG412=""),"",AG412-AG411)</f>
        <v/>
      </c>
      <c r="AH413" s="13" t="str">
        <f aca="false">IF(OR(AH411="",AH412=""),"",AH412-AH411)</f>
        <v/>
      </c>
      <c r="AI413" s="13" t="str">
        <f aca="false">IF(OR(AI411="",AI412=""),"",AI412-AI411)</f>
        <v/>
      </c>
      <c r="AJ413" s="13" t="str">
        <f aca="false">IF(OR(AJ411="",AJ412=""),"",AJ412-AJ411)</f>
        <v/>
      </c>
      <c r="AK413" s="13" t="str">
        <f aca="false">IF(OR(AK411="",AK412=""),"",AK412-AK411)</f>
        <v/>
      </c>
      <c r="AL413" s="13" t="str">
        <f aca="false">IF(OR(AL411="",AL412=""),"",AL412-AL411)</f>
        <v/>
      </c>
      <c r="AM413" s="13" t="str">
        <f aca="false">IF(OR(AM411="",AM412=""),"",AM412-AM411)</f>
        <v/>
      </c>
      <c r="AN413" s="13" t="str">
        <f aca="false">IF(OR(AN411="",AN412=""),"",AN412-AN411)</f>
        <v/>
      </c>
      <c r="AO413" s="13" t="str">
        <f aca="false">IF(OR(AO411="",AO412=""),"",AO412-AO411)</f>
        <v/>
      </c>
      <c r="AP413" s="13" t="str">
        <f aca="false">IF(OR(AP411="",AP412=""),"",AP412-AP411)</f>
        <v/>
      </c>
      <c r="AQ413" s="13" t="str">
        <f aca="false">IF(OR(AQ411="",AQ412=""),"",AQ412-AQ411)</f>
        <v/>
      </c>
      <c r="AR413" s="13" t="str">
        <f aca="false">IF(OR(AR411="",AR412=""),"",AR412-AR411)</f>
        <v/>
      </c>
      <c r="AS413" s="13" t="str">
        <f aca="false">IF(OR(AS411="",AS412=""),"",AS412-AS411)</f>
        <v/>
      </c>
      <c r="AT413" s="13" t="str">
        <f aca="false">IF(OR(AT411="",AT412=""),"",AT412-AT411)</f>
        <v/>
      </c>
      <c r="AU413" s="13" t="str">
        <f aca="false">IF(OR(AU411="",AU412=""),"",AU412-AU411)</f>
        <v/>
      </c>
      <c r="AV413" s="13" t="str">
        <f aca="false">IF(OR(AV411="",AV412=""),"",AV412-AV411)</f>
        <v/>
      </c>
      <c r="AW413" s="13" t="str">
        <f aca="false">IF(OR(AW411="",AW412=""),"",AW412-AW411)</f>
        <v/>
      </c>
      <c r="AX413" s="13" t="str">
        <f aca="false">IF(OR(AX411="",AX412=""),"",AX412-AX411)</f>
        <v/>
      </c>
      <c r="AY413" s="13" t="str">
        <f aca="false">IF(OR(AY411="",AY412=""),"",AY412-AY411)</f>
        <v/>
      </c>
      <c r="AZ413" s="13" t="str">
        <f aca="false">IF(OR(AZ411="",AZ412=""),"",AZ412-AZ411)</f>
        <v/>
      </c>
      <c r="BA413" s="13" t="str">
        <f aca="false">IF(OR(BA411="",BA412=""),"",BA412-BA411)</f>
        <v/>
      </c>
      <c r="BB413" s="13" t="str">
        <f aca="false">IF(OR(BB411="",BB412=""),"",BB412-BB411)</f>
        <v/>
      </c>
      <c r="BC413" s="13" t="str">
        <f aca="false">IF(OR(BC411="",BC412=""),"",BC412-BC411)</f>
        <v/>
      </c>
      <c r="BD413" s="13" t="str">
        <f aca="false">IF(OR(BD411="",BD412=""),"",BD412-BD411)</f>
        <v/>
      </c>
      <c r="BE413" s="13" t="str">
        <f aca="false">IF(OR(BE411="",BE412=""),"",BE412-BE411)</f>
        <v/>
      </c>
      <c r="BF413" s="13" t="str">
        <f aca="false">IF(OR(BF411="",BF412=""),"",BF412-BF411)</f>
        <v/>
      </c>
      <c r="BG413" s="13" t="str">
        <f aca="false">IF(OR(BG411="",BG412=""),"",BG412-BG411)</f>
        <v/>
      </c>
      <c r="BH413" s="13" t="str">
        <f aca="false">IF(OR(BH411="",BH412=""),"",BH412-BH411)</f>
        <v/>
      </c>
      <c r="BI413" s="13" t="str">
        <f aca="false">IF(OR(BI411="",BI412=""),"",BI412-BI411)</f>
        <v/>
      </c>
      <c r="BJ413" s="13" t="str">
        <f aca="false">IF(OR(BJ411="",BJ412=""),"",BJ412-BJ411)</f>
        <v/>
      </c>
      <c r="BK413" s="13" t="str">
        <f aca="false">IF(OR(BK411="",BK412=""),"",BK412-BK411)</f>
        <v/>
      </c>
      <c r="BL413" s="13" t="str">
        <f aca="false">IF(OR(BL411="",BL412=""),"",BL412-BL411)</f>
        <v/>
      </c>
      <c r="BM413" s="13" t="str">
        <f aca="false">IF(OR(BM411="",BM412=""),"",BM412-BM411)</f>
        <v/>
      </c>
      <c r="BN413" s="13" t="str">
        <f aca="false">IF(OR(BN411="",BN412=""),"",BN412-BN411)</f>
        <v/>
      </c>
      <c r="BO413" s="13" t="str">
        <f aca="false">IF(OR(BO411="",BO412=""),"",BO412-BO411)</f>
        <v/>
      </c>
      <c r="BP413" s="13" t="str">
        <f aca="false">IF(OR(BP411="",BP412=""),"",BP412-BP411)</f>
        <v/>
      </c>
      <c r="BQ413" s="13" t="str">
        <f aca="false">IF(OR(BQ411="",BQ412=""),"",BQ412-BQ411)</f>
        <v/>
      </c>
      <c r="BR413" s="13" t="str">
        <f aca="false">IF(OR(BR411="",BR412=""),"",BR412-BR411)</f>
        <v/>
      </c>
      <c r="BS413" s="13" t="str">
        <f aca="false">IF(OR(BS411="",BS412=""),"",BS412-BS411)</f>
        <v/>
      </c>
      <c r="BT413" s="13" t="str">
        <f aca="false">IF(OR(BT411="",BT412=""),"",BT412-BT411)</f>
        <v/>
      </c>
      <c r="BU413" s="13" t="str">
        <f aca="false">IF(OR(BU411="",BU412=""),"",BU412-BU411)</f>
        <v/>
      </c>
      <c r="BV413" s="13" t="str">
        <f aca="false">IF(OR(BV411="",BV412=""),"",BV412-BV411)</f>
        <v/>
      </c>
      <c r="BW413" s="13" t="str">
        <f aca="false">IF(OR(BW411="",BW412=""),"",BW412-BW411)</f>
        <v/>
      </c>
      <c r="BX413" s="13" t="str">
        <f aca="false">IF(OR(BX411="",BX412=""),"",BX412-BX411)</f>
        <v/>
      </c>
      <c r="BY413" s="13" t="str">
        <f aca="false">IF(OR(BY411="",BY412=""),"",BY412-BY411)</f>
        <v/>
      </c>
      <c r="BZ413" s="13" t="str">
        <f aca="false">IF(OR(BZ411="",BZ412=""),"",BZ412-BZ411)</f>
        <v/>
      </c>
      <c r="CA413" s="13" t="str">
        <f aca="false">IF(OR(CA411="",CA412=""),"",CA412-CA411)</f>
        <v/>
      </c>
      <c r="CB413" s="13" t="str">
        <f aca="false">IF(OR(CB411="",CB412=""),"",CB412-CB411)</f>
        <v/>
      </c>
      <c r="CC413" s="13" t="str">
        <f aca="false">IF(OR(CC411="",CC412=""),"",CC412-CC411)</f>
        <v/>
      </c>
      <c r="CD413" s="13" t="str">
        <f aca="false">IF(OR(CD411="",CD412=""),"",CD412-CD411)</f>
        <v/>
      </c>
      <c r="CE413" s="13" t="str">
        <f aca="false">IF(OR(CE411="",CE412=""),"",CE412-CE411)</f>
        <v/>
      </c>
      <c r="CF413" s="13" t="str">
        <f aca="false">IF(OR(CF411="",CF412=""),"",CF412-CF411)</f>
        <v/>
      </c>
      <c r="CG413" s="13" t="str">
        <f aca="false">IF(OR(CG411="",CG412=""),"",CG412-CG411)</f>
        <v/>
      </c>
      <c r="CH413" s="13" t="str">
        <f aca="false">IF(OR(CH411="",CH412=""),"",CH412-CH411)</f>
        <v/>
      </c>
      <c r="CI413" s="13" t="str">
        <f aca="false">IF(OR(CI411="",CI412=""),"",CI412-CI411)</f>
        <v/>
      </c>
      <c r="CJ413" s="13" t="str">
        <f aca="false">IF(OR(CJ411="",CJ412=""),"",CJ412-CJ411)</f>
        <v/>
      </c>
      <c r="CK413" s="13" t="str">
        <f aca="false">IF(OR(CK411="",CK412=""),"",CK412-CK411)</f>
        <v/>
      </c>
      <c r="CL413" s="13" t="str">
        <f aca="false">IF(OR(CL411="",CL412=""),"",CL412-CL411)</f>
        <v/>
      </c>
      <c r="CM413" s="13" t="str">
        <f aca="false">IF(OR(CM411="",CM412=""),"",CM412-CM411)</f>
        <v/>
      </c>
      <c r="CN413" s="13" t="str">
        <f aca="false">IF(OR(CN411="",CN412=""),"",CN412-CN411)</f>
        <v/>
      </c>
      <c r="CO413" s="13" t="str">
        <f aca="false">IF(OR(CO411="",CO412=""),"",CO412-CO411)</f>
        <v/>
      </c>
      <c r="CP413" s="13" t="str">
        <f aca="false">IF(OR(CP411="",CP412=""),"",CP412-CP411)</f>
        <v/>
      </c>
      <c r="CQ413" s="13" t="str">
        <f aca="false">IF(OR(CQ411="",CQ412=""),"",CQ412-CQ411)</f>
        <v/>
      </c>
      <c r="CR413" s="13" t="str">
        <f aca="false">IF(OR(CR411="",CR412=""),"",CR412-CR411)</f>
        <v/>
      </c>
      <c r="CS413" s="13" t="str">
        <f aca="false">IF(OR(CS411="",CS412=""),"",CS412-CS411)</f>
        <v/>
      </c>
      <c r="CT413" s="13" t="str">
        <f aca="false">IF(OR(CT411="",CT412=""),"",CT412-CT411)</f>
        <v/>
      </c>
      <c r="CU413" s="13" t="str">
        <f aca="false">IF(OR(CU411="",CU412=""),"",CU412-CU411)</f>
        <v/>
      </c>
      <c r="CV413" s="13" t="str">
        <f aca="false">IF(OR(CV411="",CV412=""),"",CV412-CV411)</f>
        <v/>
      </c>
      <c r="CW413" s="13" t="str">
        <f aca="false">IF(OR(CW411="",CW412=""),"",CW412-CW411)</f>
        <v/>
      </c>
      <c r="CX413" s="13" t="str">
        <f aca="false">IF(OR(CX411="",CX412=""),"",CX412-CX411)</f>
        <v/>
      </c>
      <c r="CY413" s="13" t="str">
        <f aca="false">IF(OR(CY411="",CY412=""),"",CY412-CY411)</f>
        <v/>
      </c>
      <c r="CZ413" s="13" t="str">
        <f aca="false">IF(OR(CZ411="",CZ412=""),"",CZ412-CZ411)</f>
        <v/>
      </c>
      <c r="DA413" s="13" t="str">
        <f aca="false">IF(OR(DA411="",DA412=""),"",DA412-DA411)</f>
        <v/>
      </c>
      <c r="DB413" s="13" t="str">
        <f aca="false">IF(OR(DB411="",DB412=""),"",DB412-DB411)</f>
        <v/>
      </c>
      <c r="DC413" s="13" t="str">
        <f aca="false">IF(OR(DC411="",DC412=""),"",DC412-DC411)</f>
        <v/>
      </c>
      <c r="DD413" s="13" t="str">
        <f aca="false">IF(OR(DD411="",DD412=""),"",DD412-DD411)</f>
        <v/>
      </c>
      <c r="DE413" s="13" t="str">
        <f aca="false">IF(OR(DE411="",DE412=""),"",DE412-DE411)</f>
        <v/>
      </c>
    </row>
    <row r="414" customFormat="false" ht="13.5" hidden="false" customHeight="true" outlineLevel="0" collapsed="false">
      <c r="A414" s="22" t="s">
        <v>233</v>
      </c>
      <c r="B414" s="21" t="str">
        <f aca="false">IF(B413="","",IF(ABS(B413)&lt;1,"OK","CHECK"))</f>
        <v/>
      </c>
      <c r="C414" s="21" t="str">
        <f aca="false">IF(C413="","",IF(ABS(C413)&lt;1,"OK","CHECK"))</f>
        <v/>
      </c>
      <c r="D414" s="21" t="str">
        <f aca="false">IF(D413="","",IF(ABS(D413)&lt;1,"OK","CHECK"))</f>
        <v/>
      </c>
      <c r="E414" s="21" t="str">
        <f aca="false">IF(E413="","",IF(ABS(E413)&lt;1,"OK","CHECK"))</f>
        <v/>
      </c>
      <c r="F414" s="21" t="str">
        <f aca="false">IF(F413="","",IF(ABS(F413)&lt;1,"OK","CHECK"))</f>
        <v/>
      </c>
      <c r="G414" s="21" t="str">
        <f aca="false">IF(G413="","",IF(ABS(G413)&lt;1,"OK","CHECK"))</f>
        <v/>
      </c>
      <c r="H414" s="21" t="str">
        <f aca="false">IF(H413="","",IF(ABS(H413)&lt;1,"OK","CHECK"))</f>
        <v/>
      </c>
      <c r="I414" s="21" t="str">
        <f aca="false">IF(I413="","",IF(ABS(I413)&lt;1,"OK","CHECK"))</f>
        <v/>
      </c>
      <c r="J414" s="21" t="str">
        <f aca="false">IF(J413="","",IF(ABS(J413)&lt;1,"OK","CHECK"))</f>
        <v>OK</v>
      </c>
      <c r="K414" s="21" t="str">
        <f aca="false">IF(K413="","",IF(ABS(K413)&lt;1,"OK","CHECK"))</f>
        <v/>
      </c>
      <c r="L414" s="21" t="str">
        <f aca="false">IF(L413="","",IF(ABS(L413)&lt;1,"OK","CHECK"))</f>
        <v/>
      </c>
      <c r="M414" s="21" t="str">
        <f aca="false">IF(M413="","",IF(ABS(M413)&lt;1,"OK","CHECK"))</f>
        <v/>
      </c>
      <c r="N414" s="21" t="str">
        <f aca="false">IF(N413="","",IF(ABS(N413)&lt;1,"OK","CHECK"))</f>
        <v/>
      </c>
      <c r="O414" s="21" t="str">
        <f aca="false">IF(O413="","",IF(ABS(O413)&lt;1,"OK","CHECK"))</f>
        <v/>
      </c>
      <c r="P414" s="21" t="str">
        <f aca="false">IF(P413="","",IF(ABS(P413)&lt;1,"OK","CHECK"))</f>
        <v/>
      </c>
      <c r="Q414" s="21" t="str">
        <f aca="false">IF(Q413="","",IF(ABS(Q413)&lt;1,"OK","CHECK"))</f>
        <v/>
      </c>
      <c r="R414" s="21" t="str">
        <f aca="false">IF(R413="","",IF(ABS(R413)&lt;1,"OK","CHECK"))</f>
        <v/>
      </c>
      <c r="S414" s="21" t="str">
        <f aca="false">IF(S413="","",IF(ABS(S413)&lt;1,"OK","CHECK"))</f>
        <v/>
      </c>
      <c r="T414" s="21" t="str">
        <f aca="false">IF(T413="","",IF(ABS(T413)&lt;1,"OK","CHECK"))</f>
        <v/>
      </c>
      <c r="U414" s="21" t="str">
        <f aca="false">IF(U413="","",IF(ABS(U413)&lt;1,"OK","CHECK"))</f>
        <v/>
      </c>
      <c r="V414" s="21" t="str">
        <f aca="false">IF(V413="","",IF(ABS(V413)&lt;1,"OK","CHECK"))</f>
        <v/>
      </c>
      <c r="W414" s="21" t="str">
        <f aca="false">IF(W413="","",IF(ABS(W413)&lt;1,"OK","CHECK"))</f>
        <v/>
      </c>
      <c r="X414" s="21" t="str">
        <f aca="false">IF(X413="","",IF(ABS(X413)&lt;1,"OK","CHECK"))</f>
        <v/>
      </c>
      <c r="Y414" s="21" t="str">
        <f aca="false">IF(Y413="","",IF(ABS(Y413)&lt;1,"OK","CHECK"))</f>
        <v/>
      </c>
      <c r="Z414" s="21" t="str">
        <f aca="false">IF(Z413="","",IF(ABS(Z413)&lt;1,"OK","CHECK"))</f>
        <v/>
      </c>
      <c r="AA414" s="21" t="str">
        <f aca="false">IF(AA413="","",IF(ABS(AA413)&lt;1,"OK","CHECK"))</f>
        <v/>
      </c>
      <c r="AB414" s="21" t="str">
        <f aca="false">IF(AB413="","",IF(ABS(AB413)&lt;1,"OK","CHECK"))</f>
        <v/>
      </c>
      <c r="AC414" s="21" t="str">
        <f aca="false">IF(AC413="","",IF(ABS(AC413)&lt;1,"OK","CHECK"))</f>
        <v/>
      </c>
      <c r="AD414" s="21" t="str">
        <f aca="false">IF(AD413="","",IF(ABS(AD413)&lt;1,"OK","CHECK"))</f>
        <v/>
      </c>
      <c r="AE414" s="21" t="str">
        <f aca="false">IF(AE413="","",IF(ABS(AE413)&lt;1,"OK","CHECK"))</f>
        <v/>
      </c>
      <c r="AF414" s="21" t="str">
        <f aca="false">IF(AF413="","",IF(ABS(AF413)&lt;1,"OK","CHECK"))</f>
        <v/>
      </c>
      <c r="AG414" s="21" t="str">
        <f aca="false">IF(AG413="","",IF(ABS(AG413)&lt;1,"OK","CHECK"))</f>
        <v/>
      </c>
      <c r="AH414" s="21" t="str">
        <f aca="false">IF(AH413="","",IF(ABS(AH413)&lt;1,"OK","CHECK"))</f>
        <v/>
      </c>
      <c r="AI414" s="21" t="str">
        <f aca="false">IF(AI413="","",IF(ABS(AI413)&lt;1,"OK","CHECK"))</f>
        <v/>
      </c>
      <c r="AJ414" s="21" t="str">
        <f aca="false">IF(AJ413="","",IF(ABS(AJ413)&lt;1,"OK","CHECK"))</f>
        <v/>
      </c>
      <c r="AK414" s="21" t="str">
        <f aca="false">IF(AK413="","",IF(ABS(AK413)&lt;1,"OK","CHECK"))</f>
        <v/>
      </c>
      <c r="AL414" s="21" t="str">
        <f aca="false">IF(AL413="","",IF(ABS(AL413)&lt;1,"OK","CHECK"))</f>
        <v/>
      </c>
      <c r="AM414" s="21" t="str">
        <f aca="false">IF(AM413="","",IF(ABS(AM413)&lt;1,"OK","CHECK"))</f>
        <v/>
      </c>
      <c r="AN414" s="21" t="str">
        <f aca="false">IF(AN413="","",IF(ABS(AN413)&lt;1,"OK","CHECK"))</f>
        <v/>
      </c>
      <c r="AO414" s="21" t="str">
        <f aca="false">IF(AO413="","",IF(ABS(AO413)&lt;1,"OK","CHECK"))</f>
        <v/>
      </c>
      <c r="AP414" s="21" t="str">
        <f aca="false">IF(AP413="","",IF(ABS(AP413)&lt;1,"OK","CHECK"))</f>
        <v/>
      </c>
      <c r="AQ414" s="21" t="str">
        <f aca="false">IF(AQ413="","",IF(ABS(AQ413)&lt;1,"OK","CHECK"))</f>
        <v/>
      </c>
      <c r="AR414" s="21" t="str">
        <f aca="false">IF(AR413="","",IF(ABS(AR413)&lt;1,"OK","CHECK"))</f>
        <v/>
      </c>
      <c r="AS414" s="21" t="str">
        <f aca="false">IF(AS413="","",IF(ABS(AS413)&lt;1,"OK","CHECK"))</f>
        <v/>
      </c>
      <c r="AT414" s="21" t="str">
        <f aca="false">IF(AT413="","",IF(ABS(AT413)&lt;1,"OK","CHECK"))</f>
        <v/>
      </c>
      <c r="AU414" s="21" t="str">
        <f aca="false">IF(AU413="","",IF(ABS(AU413)&lt;1,"OK","CHECK"))</f>
        <v/>
      </c>
      <c r="AV414" s="21" t="str">
        <f aca="false">IF(AV413="","",IF(ABS(AV413)&lt;1,"OK","CHECK"))</f>
        <v/>
      </c>
      <c r="AW414" s="21" t="str">
        <f aca="false">IF(AW413="","",IF(ABS(AW413)&lt;1,"OK","CHECK"))</f>
        <v/>
      </c>
      <c r="AX414" s="21" t="str">
        <f aca="false">IF(AX413="","",IF(ABS(AX413)&lt;1,"OK","CHECK"))</f>
        <v/>
      </c>
      <c r="AY414" s="21" t="str">
        <f aca="false">IF(AY413="","",IF(ABS(AY413)&lt;1,"OK","CHECK"))</f>
        <v/>
      </c>
      <c r="AZ414" s="21" t="str">
        <f aca="false">IF(AZ413="","",IF(ABS(AZ413)&lt;1,"OK","CHECK"))</f>
        <v/>
      </c>
      <c r="BA414" s="21" t="str">
        <f aca="false">IF(BA413="","",IF(ABS(BA413)&lt;1,"OK","CHECK"))</f>
        <v/>
      </c>
      <c r="BB414" s="21" t="str">
        <f aca="false">IF(BB413="","",IF(ABS(BB413)&lt;1,"OK","CHECK"))</f>
        <v/>
      </c>
      <c r="BC414" s="21" t="str">
        <f aca="false">IF(BC413="","",IF(ABS(BC413)&lt;1,"OK","CHECK"))</f>
        <v/>
      </c>
      <c r="BD414" s="21" t="str">
        <f aca="false">IF(BD413="","",IF(ABS(BD413)&lt;1,"OK","CHECK"))</f>
        <v/>
      </c>
      <c r="BE414" s="21" t="str">
        <f aca="false">IF(BE413="","",IF(ABS(BE413)&lt;1,"OK","CHECK"))</f>
        <v/>
      </c>
      <c r="BF414" s="21" t="str">
        <f aca="false">IF(BF413="","",IF(ABS(BF413)&lt;1,"OK","CHECK"))</f>
        <v/>
      </c>
      <c r="BG414" s="21" t="str">
        <f aca="false">IF(BG413="","",IF(ABS(BG413)&lt;1,"OK","CHECK"))</f>
        <v/>
      </c>
      <c r="BH414" s="21" t="str">
        <f aca="false">IF(BH413="","",IF(ABS(BH413)&lt;1,"OK","CHECK"))</f>
        <v/>
      </c>
      <c r="BI414" s="21" t="str">
        <f aca="false">IF(BI413="","",IF(ABS(BI413)&lt;1,"OK","CHECK"))</f>
        <v/>
      </c>
      <c r="BJ414" s="21" t="str">
        <f aca="false">IF(BJ413="","",IF(ABS(BJ413)&lt;1,"OK","CHECK"))</f>
        <v/>
      </c>
      <c r="BK414" s="21" t="str">
        <f aca="false">IF(BK413="","",IF(ABS(BK413)&lt;1,"OK","CHECK"))</f>
        <v/>
      </c>
      <c r="BL414" s="21" t="str">
        <f aca="false">IF(BL413="","",IF(ABS(BL413)&lt;1,"OK","CHECK"))</f>
        <v/>
      </c>
      <c r="BM414" s="21" t="str">
        <f aca="false">IF(BM413="","",IF(ABS(BM413)&lt;1,"OK","CHECK"))</f>
        <v/>
      </c>
      <c r="BN414" s="21" t="str">
        <f aca="false">IF(BN413="","",IF(ABS(BN413)&lt;1,"OK","CHECK"))</f>
        <v/>
      </c>
      <c r="BO414" s="21" t="str">
        <f aca="false">IF(BO413="","",IF(ABS(BO413)&lt;1,"OK","CHECK"))</f>
        <v/>
      </c>
      <c r="BP414" s="21" t="str">
        <f aca="false">IF(BP413="","",IF(ABS(BP413)&lt;1,"OK","CHECK"))</f>
        <v/>
      </c>
      <c r="BQ414" s="21" t="str">
        <f aca="false">IF(BQ413="","",IF(ABS(BQ413)&lt;1,"OK","CHECK"))</f>
        <v/>
      </c>
      <c r="BR414" s="21" t="str">
        <f aca="false">IF(BR413="","",IF(ABS(BR413)&lt;1,"OK","CHECK"))</f>
        <v/>
      </c>
      <c r="BS414" s="21" t="str">
        <f aca="false">IF(BS413="","",IF(ABS(BS413)&lt;1,"OK","CHECK"))</f>
        <v/>
      </c>
      <c r="BT414" s="21" t="str">
        <f aca="false">IF(BT413="","",IF(ABS(BT413)&lt;1,"OK","CHECK"))</f>
        <v/>
      </c>
      <c r="BU414" s="21" t="str">
        <f aca="false">IF(BU413="","",IF(ABS(BU413)&lt;1,"OK","CHECK"))</f>
        <v/>
      </c>
      <c r="BV414" s="21" t="str">
        <f aca="false">IF(BV413="","",IF(ABS(BV413)&lt;1,"OK","CHECK"))</f>
        <v/>
      </c>
      <c r="BW414" s="21" t="str">
        <f aca="false">IF(BW413="","",IF(ABS(BW413)&lt;1,"OK","CHECK"))</f>
        <v/>
      </c>
      <c r="BX414" s="21" t="str">
        <f aca="false">IF(BX413="","",IF(ABS(BX413)&lt;1,"OK","CHECK"))</f>
        <v/>
      </c>
      <c r="BY414" s="21" t="str">
        <f aca="false">IF(BY413="","",IF(ABS(BY413)&lt;1,"OK","CHECK"))</f>
        <v/>
      </c>
      <c r="BZ414" s="21" t="str">
        <f aca="false">IF(BZ413="","",IF(ABS(BZ413)&lt;1,"OK","CHECK"))</f>
        <v/>
      </c>
      <c r="CA414" s="21" t="str">
        <f aca="false">IF(CA413="","",IF(ABS(CA413)&lt;1,"OK","CHECK"))</f>
        <v/>
      </c>
      <c r="CB414" s="21" t="str">
        <f aca="false">IF(CB413="","",IF(ABS(CB413)&lt;1,"OK","CHECK"))</f>
        <v/>
      </c>
      <c r="CC414" s="21" t="str">
        <f aca="false">IF(CC413="","",IF(ABS(CC413)&lt;1,"OK","CHECK"))</f>
        <v/>
      </c>
      <c r="CD414" s="21" t="str">
        <f aca="false">IF(CD413="","",IF(ABS(CD413)&lt;1,"OK","CHECK"))</f>
        <v/>
      </c>
      <c r="CE414" s="21" t="str">
        <f aca="false">IF(CE413="","",IF(ABS(CE413)&lt;1,"OK","CHECK"))</f>
        <v/>
      </c>
      <c r="CF414" s="21" t="str">
        <f aca="false">IF(CF413="","",IF(ABS(CF413)&lt;1,"OK","CHECK"))</f>
        <v/>
      </c>
      <c r="CG414" s="21" t="str">
        <f aca="false">IF(CG413="","",IF(ABS(CG413)&lt;1,"OK","CHECK"))</f>
        <v/>
      </c>
      <c r="CH414" s="21" t="str">
        <f aca="false">IF(CH413="","",IF(ABS(CH413)&lt;1,"OK","CHECK"))</f>
        <v/>
      </c>
      <c r="CI414" s="21" t="str">
        <f aca="false">IF(CI413="","",IF(ABS(CI413)&lt;1,"OK","CHECK"))</f>
        <v/>
      </c>
      <c r="CJ414" s="21" t="str">
        <f aca="false">IF(CJ413="","",IF(ABS(CJ413)&lt;1,"OK","CHECK"))</f>
        <v/>
      </c>
      <c r="CK414" s="21" t="str">
        <f aca="false">IF(CK413="","",IF(ABS(CK413)&lt;1,"OK","CHECK"))</f>
        <v/>
      </c>
      <c r="CL414" s="21" t="str">
        <f aca="false">IF(CL413="","",IF(ABS(CL413)&lt;1,"OK","CHECK"))</f>
        <v/>
      </c>
      <c r="CM414" s="21" t="str">
        <f aca="false">IF(CM413="","",IF(ABS(CM413)&lt;1,"OK","CHECK"))</f>
        <v/>
      </c>
      <c r="CN414" s="21" t="str">
        <f aca="false">IF(CN413="","",IF(ABS(CN413)&lt;1,"OK","CHECK"))</f>
        <v/>
      </c>
      <c r="CO414" s="21" t="str">
        <f aca="false">IF(CO413="","",IF(ABS(CO413)&lt;1,"OK","CHECK"))</f>
        <v/>
      </c>
      <c r="CP414" s="21" t="str">
        <f aca="false">IF(CP413="","",IF(ABS(CP413)&lt;1,"OK","CHECK"))</f>
        <v/>
      </c>
      <c r="CQ414" s="21" t="str">
        <f aca="false">IF(CQ413="","",IF(ABS(CQ413)&lt;1,"OK","CHECK"))</f>
        <v/>
      </c>
      <c r="CR414" s="21" t="str">
        <f aca="false">IF(CR413="","",IF(ABS(CR413)&lt;1,"OK","CHECK"))</f>
        <v/>
      </c>
      <c r="CS414" s="21" t="str">
        <f aca="false">IF(CS413="","",IF(ABS(CS413)&lt;1,"OK","CHECK"))</f>
        <v/>
      </c>
      <c r="CT414" s="21" t="str">
        <f aca="false">IF(CT413="","",IF(ABS(CT413)&lt;1,"OK","CHECK"))</f>
        <v/>
      </c>
      <c r="CU414" s="21" t="str">
        <f aca="false">IF(CU413="","",IF(ABS(CU413)&lt;1,"OK","CHECK"))</f>
        <v/>
      </c>
      <c r="CV414" s="21" t="str">
        <f aca="false">IF(CV413="","",IF(ABS(CV413)&lt;1,"OK","CHECK"))</f>
        <v/>
      </c>
      <c r="CW414" s="21" t="str">
        <f aca="false">IF(CW413="","",IF(ABS(CW413)&lt;1,"OK","CHECK"))</f>
        <v/>
      </c>
      <c r="CX414" s="21" t="str">
        <f aca="false">IF(CX413="","",IF(ABS(CX413)&lt;1,"OK","CHECK"))</f>
        <v/>
      </c>
      <c r="CY414" s="21" t="str">
        <f aca="false">IF(CY413="","",IF(ABS(CY413)&lt;1,"OK","CHECK"))</f>
        <v/>
      </c>
      <c r="CZ414" s="21" t="str">
        <f aca="false">IF(CZ413="","",IF(ABS(CZ413)&lt;1,"OK","CHECK"))</f>
        <v/>
      </c>
      <c r="DA414" s="21" t="str">
        <f aca="false">IF(DA413="","",IF(ABS(DA413)&lt;1,"OK","CHECK"))</f>
        <v/>
      </c>
      <c r="DB414" s="21" t="str">
        <f aca="false">IF(DB413="","",IF(ABS(DB413)&lt;1,"OK","CHECK"))</f>
        <v/>
      </c>
      <c r="DC414" s="21" t="str">
        <f aca="false">IF(DC413="","",IF(ABS(DC413)&lt;1,"OK","CHECK"))</f>
        <v/>
      </c>
      <c r="DD414" s="21" t="str">
        <f aca="false">IF(DD413="","",IF(ABS(DD413)&lt;1,"OK","CHECK"))</f>
        <v/>
      </c>
      <c r="DE414" s="21" t="str">
        <f aca="false">IF(DE413="","",IF(ABS(DE413)&lt;1,"OK","CHECK"))</f>
        <v/>
      </c>
    </row>
    <row r="415" customFormat="false" ht="13.5" hidden="false" customHeight="true" outlineLevel="0" collapsed="false">
      <c r="A415" s="22" t="s">
        <v>234</v>
      </c>
      <c r="B415" s="13"/>
      <c r="C415" s="13"/>
      <c r="D415" s="13"/>
      <c r="E415" s="13"/>
      <c r="F415" s="13"/>
      <c r="G415" s="13"/>
      <c r="H415" s="73" t="n">
        <v>778701</v>
      </c>
      <c r="I415" s="73" t="n">
        <v>2671750</v>
      </c>
      <c r="J415" s="73" t="n">
        <v>1113428</v>
      </c>
      <c r="K415" s="73" t="n">
        <v>1624723</v>
      </c>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c r="AJ415" s="13"/>
      <c r="AK415" s="13"/>
      <c r="AL415" s="13"/>
      <c r="AM415" s="13"/>
      <c r="AN415" s="13"/>
      <c r="AO415" s="13"/>
      <c r="AP415" s="13"/>
      <c r="AQ415" s="13"/>
      <c r="AR415" s="13"/>
      <c r="AS415" s="13"/>
      <c r="AT415" s="13"/>
      <c r="AU415" s="13"/>
      <c r="AV415" s="13"/>
      <c r="AW415" s="13"/>
      <c r="AX415" s="13"/>
      <c r="AY415" s="13"/>
      <c r="AZ415" s="13"/>
      <c r="BA415" s="13"/>
      <c r="BB415" s="13"/>
      <c r="BC415" s="13"/>
      <c r="BD415" s="13"/>
      <c r="BE415" s="13"/>
      <c r="BF415" s="13"/>
      <c r="BG415" s="13"/>
      <c r="BH415" s="13"/>
      <c r="BI415" s="13"/>
      <c r="BJ415" s="13"/>
      <c r="BK415" s="13"/>
      <c r="BL415" s="13"/>
      <c r="BM415" s="13"/>
      <c r="BN415" s="13"/>
      <c r="BO415" s="13"/>
      <c r="BP415" s="13"/>
      <c r="BQ415" s="13"/>
      <c r="BR415" s="13"/>
      <c r="BS415" s="13"/>
      <c r="BT415" s="13"/>
      <c r="BU415" s="13"/>
      <c r="BV415" s="13"/>
      <c r="BW415" s="13"/>
      <c r="BX415" s="13"/>
      <c r="BY415" s="13"/>
      <c r="BZ415" s="13"/>
      <c r="CA415" s="13"/>
      <c r="CB415" s="13"/>
      <c r="CC415" s="13"/>
      <c r="CD415" s="13"/>
      <c r="CE415" s="13"/>
      <c r="CF415" s="13"/>
      <c r="CG415" s="13"/>
      <c r="CH415" s="13"/>
      <c r="CI415" s="13"/>
      <c r="CJ415" s="13"/>
      <c r="CK415" s="13"/>
      <c r="CL415" s="13"/>
      <c r="CM415" s="13"/>
      <c r="CN415" s="13"/>
      <c r="CO415" s="13"/>
      <c r="CP415" s="13"/>
      <c r="CQ415" s="13"/>
      <c r="CR415" s="13"/>
      <c r="CS415" s="13"/>
      <c r="CT415" s="13"/>
      <c r="CU415" s="13"/>
      <c r="CV415" s="13"/>
      <c r="CW415" s="13"/>
      <c r="CX415" s="13"/>
      <c r="CY415" s="13"/>
      <c r="CZ415" s="13"/>
      <c r="DA415" s="13"/>
      <c r="DB415" s="13"/>
      <c r="DC415" s="13"/>
      <c r="DD415" s="13"/>
      <c r="DE415" s="13"/>
    </row>
    <row r="416" customFormat="false" ht="13.5" hidden="false" customHeight="true" outlineLevel="0" collapsed="false">
      <c r="A416" s="22" t="s">
        <v>235</v>
      </c>
      <c r="B416" s="13" t="str">
        <f aca="false">IF(OR(B411="",B415=""),"",B415-B411)</f>
        <v/>
      </c>
      <c r="C416" s="13" t="str">
        <f aca="false">IF(OR(C411="",C415=""),"",C415-C411)</f>
        <v/>
      </c>
      <c r="D416" s="13" t="str">
        <f aca="false">IF(OR(D411="",D415=""),"",D415-D411)</f>
        <v/>
      </c>
      <c r="E416" s="13" t="str">
        <f aca="false">IF(OR(E411="",E415=""),"",E415-E411)</f>
        <v/>
      </c>
      <c r="F416" s="13" t="str">
        <f aca="false">IF(OR(F411="",F415=""),"",F415-F411)</f>
        <v/>
      </c>
      <c r="G416" s="13" t="str">
        <f aca="false">IF(OR(G411="",G415=""),"",G415-G411)</f>
        <v/>
      </c>
      <c r="H416" s="13" t="n">
        <f aca="false">IF(OR(H411="",H415=""),"",H415-H411)</f>
        <v>495361</v>
      </c>
      <c r="I416" s="13" t="n">
        <f aca="false">IF(OR(I411="",I415=""),"",I415-I411)</f>
        <v>1384644</v>
      </c>
      <c r="J416" s="13" t="n">
        <f aca="false">IF(OR(J411="",J415=""),"",J415-J411)</f>
        <v>-302543</v>
      </c>
      <c r="K416" s="13" t="str">
        <f aca="false">IF(OR(K411="",K415=""),"",K415-K411)</f>
        <v/>
      </c>
      <c r="L416" s="13" t="str">
        <f aca="false">IF(OR(L411="",L415=""),"",L415-L411)</f>
        <v/>
      </c>
      <c r="M416" s="13" t="str">
        <f aca="false">IF(OR(M411="",M415=""),"",M415-M411)</f>
        <v/>
      </c>
      <c r="N416" s="13" t="str">
        <f aca="false">IF(OR(N411="",N415=""),"",N415-N411)</f>
        <v/>
      </c>
      <c r="O416" s="13" t="str">
        <f aca="false">IF(OR(O411="",O415=""),"",O415-O411)</f>
        <v/>
      </c>
      <c r="P416" s="13" t="str">
        <f aca="false">IF(OR(P411="",P415=""),"",P415-P411)</f>
        <v/>
      </c>
      <c r="Q416" s="13" t="str">
        <f aca="false">IF(OR(Q411="",Q415=""),"",Q415-Q411)</f>
        <v/>
      </c>
      <c r="R416" s="13" t="str">
        <f aca="false">IF(OR(R411="",R415=""),"",R415-R411)</f>
        <v/>
      </c>
      <c r="S416" s="13" t="str">
        <f aca="false">IF(OR(S411="",S415=""),"",S415-S411)</f>
        <v/>
      </c>
      <c r="T416" s="13" t="str">
        <f aca="false">IF(OR(T411="",T415=""),"",T415-T411)</f>
        <v/>
      </c>
      <c r="U416" s="13" t="str">
        <f aca="false">IF(OR(U411="",U415=""),"",U415-U411)</f>
        <v/>
      </c>
      <c r="V416" s="13" t="str">
        <f aca="false">IF(OR(V411="",V415=""),"",V415-V411)</f>
        <v/>
      </c>
      <c r="W416" s="13" t="str">
        <f aca="false">IF(OR(W411="",W415=""),"",W415-W411)</f>
        <v/>
      </c>
      <c r="X416" s="13" t="str">
        <f aca="false">IF(OR(X411="",X415=""),"",X415-X411)</f>
        <v/>
      </c>
      <c r="Y416" s="13" t="str">
        <f aca="false">IF(OR(Y411="",Y415=""),"",Y415-Y411)</f>
        <v/>
      </c>
      <c r="Z416" s="13" t="str">
        <f aca="false">IF(OR(Z411="",Z415=""),"",Z415-Z411)</f>
        <v/>
      </c>
      <c r="AA416" s="13" t="str">
        <f aca="false">IF(OR(AA411="",AA415=""),"",AA415-AA411)</f>
        <v/>
      </c>
      <c r="AB416" s="13" t="str">
        <f aca="false">IF(OR(AB411="",AB415=""),"",AB415-AB411)</f>
        <v/>
      </c>
      <c r="AC416" s="13" t="str">
        <f aca="false">IF(OR(AC411="",AC415=""),"",AC415-AC411)</f>
        <v/>
      </c>
      <c r="AD416" s="13" t="str">
        <f aca="false">IF(OR(AD411="",AD415=""),"",AD415-AD411)</f>
        <v/>
      </c>
      <c r="AE416" s="13" t="str">
        <f aca="false">IF(OR(AE411="",AE415=""),"",AE415-AE411)</f>
        <v/>
      </c>
      <c r="AF416" s="13" t="str">
        <f aca="false">IF(OR(AF411="",AF415=""),"",AF415-AF411)</f>
        <v/>
      </c>
      <c r="AG416" s="13" t="str">
        <f aca="false">IF(OR(AG411="",AG415=""),"",AG415-AG411)</f>
        <v/>
      </c>
      <c r="AH416" s="13" t="str">
        <f aca="false">IF(OR(AH411="",AH415=""),"",AH415-AH411)</f>
        <v/>
      </c>
      <c r="AI416" s="13" t="str">
        <f aca="false">IF(OR(AI411="",AI415=""),"",AI415-AI411)</f>
        <v/>
      </c>
      <c r="AJ416" s="13" t="str">
        <f aca="false">IF(OR(AJ411="",AJ415=""),"",AJ415-AJ411)</f>
        <v/>
      </c>
      <c r="AK416" s="13" t="str">
        <f aca="false">IF(OR(AK411="",AK415=""),"",AK415-AK411)</f>
        <v/>
      </c>
      <c r="AL416" s="13" t="str">
        <f aca="false">IF(OR(AL411="",AL415=""),"",AL415-AL411)</f>
        <v/>
      </c>
      <c r="AM416" s="13" t="str">
        <f aca="false">IF(OR(AM411="",AM415=""),"",AM415-AM411)</f>
        <v/>
      </c>
      <c r="AN416" s="13" t="str">
        <f aca="false">IF(OR(AN411="",AN415=""),"",AN415-AN411)</f>
        <v/>
      </c>
      <c r="AO416" s="13" t="str">
        <f aca="false">IF(OR(AO411="",AO415=""),"",AO415-AO411)</f>
        <v/>
      </c>
      <c r="AP416" s="13" t="str">
        <f aca="false">IF(OR(AP411="",AP415=""),"",AP415-AP411)</f>
        <v/>
      </c>
      <c r="AQ416" s="13" t="str">
        <f aca="false">IF(OR(AQ411="",AQ415=""),"",AQ415-AQ411)</f>
        <v/>
      </c>
      <c r="AR416" s="13" t="str">
        <f aca="false">IF(OR(AR411="",AR415=""),"",AR415-AR411)</f>
        <v/>
      </c>
      <c r="AS416" s="13" t="str">
        <f aca="false">IF(OR(AS411="",AS415=""),"",AS415-AS411)</f>
        <v/>
      </c>
      <c r="AT416" s="13" t="str">
        <f aca="false">IF(OR(AT411="",AT415=""),"",AT415-AT411)</f>
        <v/>
      </c>
      <c r="AU416" s="13" t="str">
        <f aca="false">IF(OR(AU411="",AU415=""),"",AU415-AU411)</f>
        <v/>
      </c>
      <c r="AV416" s="13" t="str">
        <f aca="false">IF(OR(AV411="",AV415=""),"",AV415-AV411)</f>
        <v/>
      </c>
      <c r="AW416" s="13" t="str">
        <f aca="false">IF(OR(AW411="",AW415=""),"",AW415-AW411)</f>
        <v/>
      </c>
      <c r="AX416" s="13" t="str">
        <f aca="false">IF(OR(AX411="",AX415=""),"",AX415-AX411)</f>
        <v/>
      </c>
      <c r="AY416" s="13" t="str">
        <f aca="false">IF(OR(AY411="",AY415=""),"",AY415-AY411)</f>
        <v/>
      </c>
      <c r="AZ416" s="13" t="str">
        <f aca="false">IF(OR(AZ411="",AZ415=""),"",AZ415-AZ411)</f>
        <v/>
      </c>
      <c r="BA416" s="13" t="str">
        <f aca="false">IF(OR(BA411="",BA415=""),"",BA415-BA411)</f>
        <v/>
      </c>
      <c r="BB416" s="13" t="str">
        <f aca="false">IF(OR(BB411="",BB415=""),"",BB415-BB411)</f>
        <v/>
      </c>
      <c r="BC416" s="13" t="str">
        <f aca="false">IF(OR(BC411="",BC415=""),"",BC415-BC411)</f>
        <v/>
      </c>
      <c r="BD416" s="13" t="str">
        <f aca="false">IF(OR(BD411="",BD415=""),"",BD415-BD411)</f>
        <v/>
      </c>
      <c r="BE416" s="13" t="str">
        <f aca="false">IF(OR(BE411="",BE415=""),"",BE415-BE411)</f>
        <v/>
      </c>
      <c r="BF416" s="13" t="str">
        <f aca="false">IF(OR(BF411="",BF415=""),"",BF415-BF411)</f>
        <v/>
      </c>
      <c r="BG416" s="13" t="str">
        <f aca="false">IF(OR(BG411="",BG415=""),"",BG415-BG411)</f>
        <v/>
      </c>
      <c r="BH416" s="13" t="str">
        <f aca="false">IF(OR(BH411="",BH415=""),"",BH415-BH411)</f>
        <v/>
      </c>
      <c r="BI416" s="13" t="str">
        <f aca="false">IF(OR(BI411="",BI415=""),"",BI415-BI411)</f>
        <v/>
      </c>
      <c r="BJ416" s="13" t="str">
        <f aca="false">IF(OR(BJ411="",BJ415=""),"",BJ415-BJ411)</f>
        <v/>
      </c>
      <c r="BK416" s="13" t="str">
        <f aca="false">IF(OR(BK411="",BK415=""),"",BK415-BK411)</f>
        <v/>
      </c>
      <c r="BL416" s="13" t="str">
        <f aca="false">IF(OR(BL411="",BL415=""),"",BL415-BL411)</f>
        <v/>
      </c>
      <c r="BM416" s="13" t="str">
        <f aca="false">IF(OR(BM411="",BM415=""),"",BM415-BM411)</f>
        <v/>
      </c>
      <c r="BN416" s="13" t="str">
        <f aca="false">IF(OR(BN411="",BN415=""),"",BN415-BN411)</f>
        <v/>
      </c>
      <c r="BO416" s="13" t="str">
        <f aca="false">IF(OR(BO411="",BO415=""),"",BO415-BO411)</f>
        <v/>
      </c>
      <c r="BP416" s="13" t="str">
        <f aca="false">IF(OR(BP411="",BP415=""),"",BP415-BP411)</f>
        <v/>
      </c>
      <c r="BQ416" s="13" t="str">
        <f aca="false">IF(OR(BQ411="",BQ415=""),"",BQ415-BQ411)</f>
        <v/>
      </c>
      <c r="BR416" s="13" t="str">
        <f aca="false">IF(OR(BR411="",BR415=""),"",BR415-BR411)</f>
        <v/>
      </c>
      <c r="BS416" s="13" t="str">
        <f aca="false">IF(OR(BS411="",BS415=""),"",BS415-BS411)</f>
        <v/>
      </c>
      <c r="BT416" s="13" t="str">
        <f aca="false">IF(OR(BT411="",BT415=""),"",BT415-BT411)</f>
        <v/>
      </c>
      <c r="BU416" s="13" t="str">
        <f aca="false">IF(OR(BU411="",BU415=""),"",BU415-BU411)</f>
        <v/>
      </c>
      <c r="BV416" s="13" t="str">
        <f aca="false">IF(OR(BV411="",BV415=""),"",BV415-BV411)</f>
        <v/>
      </c>
      <c r="BW416" s="13" t="str">
        <f aca="false">IF(OR(BW411="",BW415=""),"",BW415-BW411)</f>
        <v/>
      </c>
      <c r="BX416" s="13" t="str">
        <f aca="false">IF(OR(BX411="",BX415=""),"",BX415-BX411)</f>
        <v/>
      </c>
      <c r="BY416" s="13" t="str">
        <f aca="false">IF(OR(BY411="",BY415=""),"",BY415-BY411)</f>
        <v/>
      </c>
      <c r="BZ416" s="13" t="str">
        <f aca="false">IF(OR(BZ411="",BZ415=""),"",BZ415-BZ411)</f>
        <v/>
      </c>
      <c r="CA416" s="13" t="str">
        <f aca="false">IF(OR(CA411="",CA415=""),"",CA415-CA411)</f>
        <v/>
      </c>
      <c r="CB416" s="13" t="str">
        <f aca="false">IF(OR(CB411="",CB415=""),"",CB415-CB411)</f>
        <v/>
      </c>
      <c r="CC416" s="13" t="str">
        <f aca="false">IF(OR(CC411="",CC415=""),"",CC415-CC411)</f>
        <v/>
      </c>
      <c r="CD416" s="13" t="str">
        <f aca="false">IF(OR(CD411="",CD415=""),"",CD415-CD411)</f>
        <v/>
      </c>
      <c r="CE416" s="13" t="str">
        <f aca="false">IF(OR(CE411="",CE415=""),"",CE415-CE411)</f>
        <v/>
      </c>
      <c r="CF416" s="13" t="str">
        <f aca="false">IF(OR(CF411="",CF415=""),"",CF415-CF411)</f>
        <v/>
      </c>
      <c r="CG416" s="13" t="str">
        <f aca="false">IF(OR(CG411="",CG415=""),"",CG415-CG411)</f>
        <v/>
      </c>
      <c r="CH416" s="13" t="str">
        <f aca="false">IF(OR(CH411="",CH415=""),"",CH415-CH411)</f>
        <v/>
      </c>
      <c r="CI416" s="13" t="str">
        <f aca="false">IF(OR(CI411="",CI415=""),"",CI415-CI411)</f>
        <v/>
      </c>
      <c r="CJ416" s="13" t="str">
        <f aca="false">IF(OR(CJ411="",CJ415=""),"",CJ415-CJ411)</f>
        <v/>
      </c>
      <c r="CK416" s="13" t="str">
        <f aca="false">IF(OR(CK411="",CK415=""),"",CK415-CK411)</f>
        <v/>
      </c>
      <c r="CL416" s="13" t="str">
        <f aca="false">IF(OR(CL411="",CL415=""),"",CL415-CL411)</f>
        <v/>
      </c>
      <c r="CM416" s="13" t="str">
        <f aca="false">IF(OR(CM411="",CM415=""),"",CM415-CM411)</f>
        <v/>
      </c>
      <c r="CN416" s="13" t="str">
        <f aca="false">IF(OR(CN411="",CN415=""),"",CN415-CN411)</f>
        <v/>
      </c>
      <c r="CO416" s="13" t="str">
        <f aca="false">IF(OR(CO411="",CO415=""),"",CO415-CO411)</f>
        <v/>
      </c>
      <c r="CP416" s="13" t="str">
        <f aca="false">IF(OR(CP411="",CP415=""),"",CP415-CP411)</f>
        <v/>
      </c>
      <c r="CQ416" s="13" t="str">
        <f aca="false">IF(OR(CQ411="",CQ415=""),"",CQ415-CQ411)</f>
        <v/>
      </c>
      <c r="CR416" s="13" t="str">
        <f aca="false">IF(OR(CR411="",CR415=""),"",CR415-CR411)</f>
        <v/>
      </c>
      <c r="CS416" s="13" t="str">
        <f aca="false">IF(OR(CS411="",CS415=""),"",CS415-CS411)</f>
        <v/>
      </c>
      <c r="CT416" s="13" t="str">
        <f aca="false">IF(OR(CT411="",CT415=""),"",CT415-CT411)</f>
        <v/>
      </c>
      <c r="CU416" s="13" t="str">
        <f aca="false">IF(OR(CU411="",CU415=""),"",CU415-CU411)</f>
        <v/>
      </c>
      <c r="CV416" s="13" t="str">
        <f aca="false">IF(OR(CV411="",CV415=""),"",CV415-CV411)</f>
        <v/>
      </c>
      <c r="CW416" s="13" t="str">
        <f aca="false">IF(OR(CW411="",CW415=""),"",CW415-CW411)</f>
        <v/>
      </c>
      <c r="CX416" s="13" t="str">
        <f aca="false">IF(OR(CX411="",CX415=""),"",CX415-CX411)</f>
        <v/>
      </c>
      <c r="CY416" s="13" t="str">
        <f aca="false">IF(OR(CY411="",CY415=""),"",CY415-CY411)</f>
        <v/>
      </c>
      <c r="CZ416" s="13" t="str">
        <f aca="false">IF(OR(CZ411="",CZ415=""),"",CZ415-CZ411)</f>
        <v/>
      </c>
      <c r="DA416" s="13" t="str">
        <f aca="false">IF(OR(DA411="",DA415=""),"",DA415-DA411)</f>
        <v/>
      </c>
      <c r="DB416" s="13" t="str">
        <f aca="false">IF(OR(DB411="",DB415=""),"",DB415-DB411)</f>
        <v/>
      </c>
      <c r="DC416" s="13" t="str">
        <f aca="false">IF(OR(DC411="",DC415=""),"",DC415-DC411)</f>
        <v/>
      </c>
      <c r="DD416" s="13" t="str">
        <f aca="false">IF(OR(DD411="",DD415=""),"",DD415-DD411)</f>
        <v/>
      </c>
      <c r="DE416" s="13" t="str">
        <f aca="false">IF(OR(DE411="",DE415=""),"",DE415-DE411)</f>
        <v/>
      </c>
    </row>
    <row r="418" customFormat="false" ht="13.5" hidden="false" customHeight="true" outlineLevel="0" collapsed="false">
      <c r="A418" s="23" t="s">
        <v>236</v>
      </c>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c r="CK418" s="34"/>
      <c r="CL418" s="34"/>
      <c r="CM418" s="34"/>
      <c r="CN418" s="34"/>
      <c r="CO418" s="34"/>
      <c r="CP418" s="34"/>
      <c r="CQ418" s="34"/>
      <c r="CR418" s="34"/>
      <c r="CS418" s="34"/>
      <c r="CT418" s="34"/>
      <c r="CU418" s="34"/>
      <c r="CV418" s="34"/>
      <c r="CW418" s="34"/>
      <c r="CX418" s="34"/>
      <c r="CY418" s="34"/>
      <c r="CZ418" s="34"/>
      <c r="DA418" s="34"/>
      <c r="DB418" s="34"/>
      <c r="DC418" s="34"/>
      <c r="DD418" s="34"/>
      <c r="DE418" s="34"/>
    </row>
    <row r="419" customFormat="false" ht="13.5" hidden="false" customHeight="true" outlineLevel="0" collapsed="false">
      <c r="A419" s="22" t="s">
        <v>230</v>
      </c>
      <c r="B419" s="13" t="n">
        <f aca="false">IF(B403="","",B403)</f>
        <v>378187</v>
      </c>
      <c r="C419" s="13" t="n">
        <f aca="false">IF(C403="","",C403)</f>
        <v>110882</v>
      </c>
      <c r="D419" s="13" t="n">
        <f aca="false">IF(D403="","",D403)</f>
        <v>171148</v>
      </c>
      <c r="E419" s="13" t="n">
        <f aca="false">IF(E403="","",E403)</f>
        <v>368691</v>
      </c>
      <c r="F419" s="13" t="n">
        <f aca="false">IF(F403="","",F403)</f>
        <v>343251</v>
      </c>
      <c r="G419" s="13" t="n">
        <f aca="false">IF(G403="","",G403)</f>
        <v>665368</v>
      </c>
      <c r="H419" s="13" t="n">
        <f aca="false">IF(H403="","",H403)</f>
        <v>122223</v>
      </c>
      <c r="I419" s="13" t="n">
        <f aca="false">IF(I403="","",I403)</f>
        <v>658190</v>
      </c>
      <c r="J419" s="13" t="n">
        <f aca="false">IF(J403="","",J403)</f>
        <v>298719</v>
      </c>
      <c r="K419" s="13" t="str">
        <f aca="false">IF(K403="","",K403)</f>
        <v/>
      </c>
      <c r="L419" s="13" t="str">
        <f aca="false">IF(L403="","",L403)</f>
        <v/>
      </c>
      <c r="M419" s="13" t="str">
        <f aca="false">IF(M403="","",M403)</f>
        <v/>
      </c>
      <c r="N419" s="13" t="str">
        <f aca="false">IF(N403="","",N403)</f>
        <v/>
      </c>
      <c r="O419" s="13" t="str">
        <f aca="false">IF(O403="","",O403)</f>
        <v/>
      </c>
      <c r="P419" s="13" t="str">
        <f aca="false">IF(P403="","",P403)</f>
        <v/>
      </c>
      <c r="Q419" s="13" t="str">
        <f aca="false">IF(Q403="","",Q403)</f>
        <v/>
      </c>
      <c r="R419" s="13" t="str">
        <f aca="false">IF(R403="","",R403)</f>
        <v/>
      </c>
      <c r="S419" s="13" t="str">
        <f aca="false">IF(S403="","",S403)</f>
        <v/>
      </c>
      <c r="T419" s="13" t="str">
        <f aca="false">IF(T403="","",T403)</f>
        <v/>
      </c>
      <c r="U419" s="13" t="str">
        <f aca="false">IF(U403="","",U403)</f>
        <v/>
      </c>
      <c r="V419" s="13" t="str">
        <f aca="false">IF(V403="","",V403)</f>
        <v/>
      </c>
      <c r="W419" s="13" t="str">
        <f aca="false">IF(W403="","",W403)</f>
        <v/>
      </c>
      <c r="X419" s="13" t="str">
        <f aca="false">IF(X403="","",X403)</f>
        <v/>
      </c>
      <c r="Y419" s="13" t="str">
        <f aca="false">IF(Y403="","",Y403)</f>
        <v/>
      </c>
      <c r="Z419" s="13" t="str">
        <f aca="false">IF(Z403="","",Z403)</f>
        <v/>
      </c>
      <c r="AA419" s="13" t="str">
        <f aca="false">IF(AA403="","",AA403)</f>
        <v/>
      </c>
      <c r="AB419" s="13" t="str">
        <f aca="false">IF(AB403="","",AB403)</f>
        <v/>
      </c>
      <c r="AC419" s="13" t="str">
        <f aca="false">IF(AC403="","",AC403)</f>
        <v/>
      </c>
      <c r="AD419" s="13" t="str">
        <f aca="false">IF(AD403="","",AD403)</f>
        <v/>
      </c>
      <c r="AE419" s="13" t="str">
        <f aca="false">IF(AE403="","",AE403)</f>
        <v/>
      </c>
      <c r="AF419" s="13" t="str">
        <f aca="false">IF(AF403="","",AF403)</f>
        <v/>
      </c>
      <c r="AG419" s="13" t="str">
        <f aca="false">IF(AG403="","",AG403)</f>
        <v/>
      </c>
      <c r="AH419" s="13" t="str">
        <f aca="false">IF(AH403="","",AH403)</f>
        <v/>
      </c>
      <c r="AI419" s="13" t="str">
        <f aca="false">IF(AI403="","",AI403)</f>
        <v/>
      </c>
      <c r="AJ419" s="13" t="str">
        <f aca="false">IF(AJ403="","",AJ403)</f>
        <v/>
      </c>
      <c r="AK419" s="13" t="str">
        <f aca="false">IF(AK403="","",AK403)</f>
        <v/>
      </c>
      <c r="AL419" s="13" t="str">
        <f aca="false">IF(AL403="","",AL403)</f>
        <v/>
      </c>
      <c r="AM419" s="13" t="str">
        <f aca="false">IF(AM403="","",AM403)</f>
        <v/>
      </c>
      <c r="AN419" s="13" t="str">
        <f aca="false">IF(AN403="","",AN403)</f>
        <v/>
      </c>
      <c r="AO419" s="13" t="str">
        <f aca="false">IF(AO403="","",AO403)</f>
        <v/>
      </c>
      <c r="AP419" s="13" t="str">
        <f aca="false">IF(AP403="","",AP403)</f>
        <v/>
      </c>
      <c r="AQ419" s="13" t="str">
        <f aca="false">IF(AQ403="","",AQ403)</f>
        <v/>
      </c>
      <c r="AR419" s="13" t="str">
        <f aca="false">IF(AR403="","",AR403)</f>
        <v/>
      </c>
      <c r="AS419" s="13" t="str">
        <f aca="false">IF(AS403="","",AS403)</f>
        <v/>
      </c>
      <c r="AT419" s="13" t="str">
        <f aca="false">IF(AT403="","",AT403)</f>
        <v/>
      </c>
      <c r="AU419" s="13" t="str">
        <f aca="false">IF(AU403="","",AU403)</f>
        <v/>
      </c>
      <c r="AV419" s="13" t="str">
        <f aca="false">IF(AV403="","",AV403)</f>
        <v/>
      </c>
      <c r="AW419" s="13" t="str">
        <f aca="false">IF(AW403="","",AW403)</f>
        <v/>
      </c>
      <c r="AX419" s="13" t="str">
        <f aca="false">IF(AX403="","",AX403)</f>
        <v/>
      </c>
      <c r="AY419" s="13" t="str">
        <f aca="false">IF(AY403="","",AY403)</f>
        <v/>
      </c>
      <c r="AZ419" s="13" t="str">
        <f aca="false">IF(AZ403="","",AZ403)</f>
        <v/>
      </c>
      <c r="BA419" s="13" t="str">
        <f aca="false">IF(BA403="","",BA403)</f>
        <v/>
      </c>
      <c r="BB419" s="13" t="str">
        <f aca="false">IF(BB403="","",BB403)</f>
        <v/>
      </c>
      <c r="BC419" s="13" t="str">
        <f aca="false">IF(BC403="","",BC403)</f>
        <v/>
      </c>
      <c r="BD419" s="13" t="str">
        <f aca="false">IF(BD403="","",BD403)</f>
        <v/>
      </c>
      <c r="BE419" s="13" t="str">
        <f aca="false">IF(BE403="","",BE403)</f>
        <v/>
      </c>
      <c r="BF419" s="13" t="str">
        <f aca="false">IF(BF403="","",BF403)</f>
        <v/>
      </c>
      <c r="BG419" s="13" t="str">
        <f aca="false">IF(BG403="","",BG403)</f>
        <v/>
      </c>
      <c r="BH419" s="13" t="str">
        <f aca="false">IF(BH403="","",BH403)</f>
        <v/>
      </c>
      <c r="BI419" s="13" t="str">
        <f aca="false">IF(BI403="","",BI403)</f>
        <v/>
      </c>
      <c r="BJ419" s="13" t="str">
        <f aca="false">IF(BJ403="","",BJ403)</f>
        <v/>
      </c>
      <c r="BK419" s="13" t="str">
        <f aca="false">IF(BK403="","",BK403)</f>
        <v/>
      </c>
      <c r="BL419" s="13" t="str">
        <f aca="false">IF(BL403="","",BL403)</f>
        <v/>
      </c>
      <c r="BM419" s="13" t="str">
        <f aca="false">IF(BM403="","",BM403)</f>
        <v/>
      </c>
      <c r="BN419" s="13" t="str">
        <f aca="false">IF(BN403="","",BN403)</f>
        <v/>
      </c>
      <c r="BO419" s="13" t="str">
        <f aca="false">IF(BO403="","",BO403)</f>
        <v/>
      </c>
      <c r="BP419" s="13" t="str">
        <f aca="false">IF(BP403="","",BP403)</f>
        <v/>
      </c>
      <c r="BQ419" s="13" t="str">
        <f aca="false">IF(BQ403="","",BQ403)</f>
        <v/>
      </c>
      <c r="BR419" s="13" t="str">
        <f aca="false">IF(BR403="","",BR403)</f>
        <v/>
      </c>
      <c r="BS419" s="13" t="str">
        <f aca="false">IF(BS403="","",BS403)</f>
        <v/>
      </c>
      <c r="BT419" s="13" t="str">
        <f aca="false">IF(BT403="","",BT403)</f>
        <v/>
      </c>
      <c r="BU419" s="13" t="str">
        <f aca="false">IF(BU403="","",BU403)</f>
        <v/>
      </c>
      <c r="BV419" s="13" t="str">
        <f aca="false">IF(BV403="","",BV403)</f>
        <v/>
      </c>
      <c r="BW419" s="13" t="str">
        <f aca="false">IF(BW403="","",BW403)</f>
        <v/>
      </c>
      <c r="BX419" s="13" t="str">
        <f aca="false">IF(BX403="","",BX403)</f>
        <v/>
      </c>
      <c r="BY419" s="13" t="str">
        <f aca="false">IF(BY403="","",BY403)</f>
        <v/>
      </c>
      <c r="BZ419" s="13" t="str">
        <f aca="false">IF(BZ403="","",BZ403)</f>
        <v/>
      </c>
      <c r="CA419" s="13" t="str">
        <f aca="false">IF(CA403="","",CA403)</f>
        <v/>
      </c>
      <c r="CB419" s="13" t="str">
        <f aca="false">IF(CB403="","",CB403)</f>
        <v/>
      </c>
      <c r="CC419" s="13" t="str">
        <f aca="false">IF(CC403="","",CC403)</f>
        <v/>
      </c>
      <c r="CD419" s="13" t="str">
        <f aca="false">IF(CD403="","",CD403)</f>
        <v/>
      </c>
      <c r="CE419" s="13" t="str">
        <f aca="false">IF(CE403="","",CE403)</f>
        <v/>
      </c>
      <c r="CF419" s="13" t="str">
        <f aca="false">IF(CF403="","",CF403)</f>
        <v/>
      </c>
      <c r="CG419" s="13" t="str">
        <f aca="false">IF(CG403="","",CG403)</f>
        <v/>
      </c>
      <c r="CH419" s="13" t="str">
        <f aca="false">IF(CH403="","",CH403)</f>
        <v/>
      </c>
      <c r="CI419" s="13" t="str">
        <f aca="false">IF(CI403="","",CI403)</f>
        <v/>
      </c>
      <c r="CJ419" s="13" t="str">
        <f aca="false">IF(CJ403="","",CJ403)</f>
        <v/>
      </c>
      <c r="CK419" s="13" t="str">
        <f aca="false">IF(CK403="","",CK403)</f>
        <v/>
      </c>
      <c r="CL419" s="13" t="str">
        <f aca="false">IF(CL403="","",CL403)</f>
        <v/>
      </c>
      <c r="CM419" s="13" t="str">
        <f aca="false">IF(CM403="","",CM403)</f>
        <v/>
      </c>
      <c r="CN419" s="13" t="str">
        <f aca="false">IF(CN403="","",CN403)</f>
        <v/>
      </c>
      <c r="CO419" s="13" t="str">
        <f aca="false">IF(CO403="","",CO403)</f>
        <v/>
      </c>
      <c r="CP419" s="13" t="str">
        <f aca="false">IF(CP403="","",CP403)</f>
        <v/>
      </c>
      <c r="CQ419" s="13" t="str">
        <f aca="false">IF(CQ403="","",CQ403)</f>
        <v/>
      </c>
      <c r="CR419" s="13" t="str">
        <f aca="false">IF(CR403="","",CR403)</f>
        <v/>
      </c>
      <c r="CS419" s="13" t="str">
        <f aca="false">IF(CS403="","",CS403)</f>
        <v/>
      </c>
      <c r="CT419" s="13" t="str">
        <f aca="false">IF(CT403="","",CT403)</f>
        <v/>
      </c>
      <c r="CU419" s="13" t="str">
        <f aca="false">IF(CU403="","",CU403)</f>
        <v/>
      </c>
      <c r="CV419" s="13" t="str">
        <f aca="false">IF(CV403="","",CV403)</f>
        <v/>
      </c>
      <c r="CW419" s="13" t="str">
        <f aca="false">IF(CW403="","",CW403)</f>
        <v/>
      </c>
      <c r="CX419" s="13" t="str">
        <f aca="false">IF(CX403="","",CX403)</f>
        <v/>
      </c>
      <c r="CY419" s="13" t="str">
        <f aca="false">IF(CY403="","",CY403)</f>
        <v/>
      </c>
      <c r="CZ419" s="13" t="str">
        <f aca="false">IF(CZ403="","",CZ403)</f>
        <v/>
      </c>
      <c r="DA419" s="13" t="str">
        <f aca="false">IF(DA403="","",DA403)</f>
        <v/>
      </c>
      <c r="DB419" s="13" t="str">
        <f aca="false">IF(DB403="","",DB403)</f>
        <v/>
      </c>
      <c r="DC419" s="13" t="str">
        <f aca="false">IF(DC403="","",DC403)</f>
        <v/>
      </c>
      <c r="DD419" s="13" t="str">
        <f aca="false">IF(DD403="","",DD403)</f>
        <v/>
      </c>
      <c r="DE419" s="13" t="str">
        <f aca="false">IF(DE403="","",DE403)</f>
        <v/>
      </c>
    </row>
    <row r="420" customFormat="false" ht="13.5" hidden="false" customHeight="true" outlineLevel="0" collapsed="false">
      <c r="A420" s="22" t="s">
        <v>231</v>
      </c>
      <c r="B420" s="13" t="str">
        <f aca="false">IF(B$4="Actuals",IF(C$4="Actuals","",C372),B378)</f>
        <v/>
      </c>
      <c r="C420" s="13" t="str">
        <f aca="false">IF(C$4="Actuals",IF(D$4="Actuals","",D372),C378)</f>
        <v/>
      </c>
      <c r="D420" s="13" t="str">
        <f aca="false">IF(D$4="Actuals",IF(E$4="Actuals","",E372),D378)</f>
        <v/>
      </c>
      <c r="E420" s="13" t="str">
        <f aca="false">IF(E$4="Actuals",IF(F$4="Actuals","",F372),E378)</f>
        <v/>
      </c>
      <c r="F420" s="13" t="str">
        <f aca="false">IF(F$4="Actuals",IF(G$4="Actuals","",G372),F378)</f>
        <v/>
      </c>
      <c r="G420" s="13" t="str">
        <f aca="false">IF(G$4="Actuals",IF(H$4="Actuals","",H372),G378)</f>
        <v/>
      </c>
      <c r="H420" s="13" t="str">
        <f aca="false">IF(H$4="Actuals",IF(I$4="Actuals","",I372),H378)</f>
        <v/>
      </c>
      <c r="I420" s="13" t="str">
        <f aca="false">IF(I$4="Actuals",IF(J$4="Actuals","",J372),I378)</f>
        <v/>
      </c>
      <c r="J420" s="13" t="n">
        <f aca="false">IF(J$4="Actuals",IF(K$4="Actuals","",K372),J378)</f>
        <v>298719</v>
      </c>
      <c r="K420" s="13" t="n">
        <f aca="false">IF(K$4="Actuals",IF(L$4="Actuals","",L372),K378)</f>
        <v>145062.512883333</v>
      </c>
      <c r="L420" s="13" t="n">
        <f aca="false">IF(L$4="Actuals",IF(M$4="Actuals","",M372),L378)</f>
        <v>-17968.9742333334</v>
      </c>
      <c r="M420" s="13" t="n">
        <f aca="false">IF(M$4="Actuals",IF(N$4="Actuals","",N372),M378)</f>
        <v>-181000.46135</v>
      </c>
      <c r="N420" s="13" t="n">
        <f aca="false">IF(N$4="Actuals",IF(O$4="Actuals","",O372),N378)</f>
        <v>-591100.851606316</v>
      </c>
      <c r="O420" s="13" t="n">
        <f aca="false">IF(O$4="Actuals",IF(P$4="Actuals","",P372),O378)</f>
        <v>-749252.807132631</v>
      </c>
      <c r="P420" s="13" t="n">
        <f aca="false">IF(P$4="Actuals",IF(Q$4="Actuals","",Q372),P378)</f>
        <v>-906489.379625947</v>
      </c>
      <c r="Q420" s="13" t="n">
        <f aca="false">IF(Q$4="Actuals",IF(R$4="Actuals","",R372),Q378)</f>
        <v>-1064641.33515226</v>
      </c>
      <c r="R420" s="13" t="n">
        <f aca="false">IF(R$4="Actuals",IF(S$4="Actuals","",S372),R378)</f>
        <v>-1221043.29067858</v>
      </c>
      <c r="S420" s="13" t="n">
        <f aca="false">IF(S$4="Actuals",IF(T$4="Actuals","",T372),S378)</f>
        <v>-1377445.24620489</v>
      </c>
      <c r="T420" s="13" t="n">
        <f aca="false">IF(T$4="Actuals",IF(U$4="Actuals","",U372),T378)</f>
        <v>-1557753.45173121</v>
      </c>
      <c r="U420" s="13" t="n">
        <f aca="false">IF(U$4="Actuals",IF(V$4="Actuals","",V372),U378)</f>
        <v>-1850061.65725753</v>
      </c>
      <c r="V420" s="13" t="n">
        <f aca="false">IF(V$4="Actuals",IF(W$4="Actuals","",W372),V378)</f>
        <v>-2142369.86278384</v>
      </c>
      <c r="W420" s="13" t="n">
        <f aca="false">IF(W$4="Actuals",IF(X$4="Actuals","",X372),W378)</f>
        <v>-2434678.06831016</v>
      </c>
      <c r="X420" s="13" t="n">
        <f aca="false">IF(X$4="Actuals",IF(Y$4="Actuals","",Y372),X378)</f>
        <v>-2726986.27383647</v>
      </c>
      <c r="Y420" s="13" t="n">
        <f aca="false">IF(Y$4="Actuals",IF(Z$4="Actuals","",Z372),Y378)</f>
        <v>-2961919.47936279</v>
      </c>
      <c r="Z420" s="13" t="n">
        <f aca="false">IF(Z$4="Actuals",IF(AA$4="Actuals","",AA372),Z378)</f>
        <v>-4648169.08941111</v>
      </c>
      <c r="AA420" s="13" t="n">
        <f aca="false">IF(AA$4="Actuals",IF(AB$4="Actuals","",AB372),AA378)</f>
        <v>-5194057.01483743</v>
      </c>
      <c r="AB420" s="13" t="n">
        <f aca="false">IF(AB$4="Actuals",IF(AC$4="Actuals","",AC372),AB378)</f>
        <v>-5432569.94026374</v>
      </c>
      <c r="AC420" s="13" t="n">
        <f aca="false">IF(AC$4="Actuals",IF(AD$4="Actuals","",AD372),AC378)</f>
        <v>-5728457.86569006</v>
      </c>
      <c r="AD420" s="13" t="n">
        <f aca="false">IF(AD$4="Actuals",IF(AE$4="Actuals","",AE372),AD378)</f>
        <v>-6024345.79111637</v>
      </c>
      <c r="AE420" s="13" t="n">
        <f aca="false">IF(AE$4="Actuals",IF(AF$4="Actuals","",AF372),AE378)</f>
        <v>-6262858.71654269</v>
      </c>
      <c r="AF420" s="13" t="n">
        <f aca="false">IF(AF$4="Actuals",IF(AG$4="Actuals","",AG372),AF378)</f>
        <v>-6558746.64196901</v>
      </c>
      <c r="AG420" s="13" t="n">
        <f aca="false">IF(AG$4="Actuals",IF(AH$4="Actuals","",AH372),AG378)</f>
        <v>-6857792.46213216</v>
      </c>
      <c r="AH420" s="13" t="n">
        <f aca="false">IF(AH$4="Actuals",IF(AI$4="Actuals","",AI372),AH378)</f>
        <v>-7159996.17703216</v>
      </c>
      <c r="AI420" s="13" t="n">
        <f aca="false">IF(AI$4="Actuals",IF(AJ$4="Actuals","",AJ372),AI378)</f>
        <v>-7471699.89193216</v>
      </c>
      <c r="AJ420" s="13" t="n">
        <f aca="false">IF(AJ$4="Actuals",IF(AK$4="Actuals","",AK372),AJ378)</f>
        <v>-7783403.60683216</v>
      </c>
      <c r="AK420" s="13" t="n">
        <f aca="false">IF(AK$4="Actuals",IF(AL$4="Actuals","",AL372),AK378)</f>
        <v>-8095107.32173216</v>
      </c>
      <c r="AL420" s="13" t="n">
        <f aca="false">IF(AL$4="Actuals",IF(AM$4="Actuals","",AM372),AL378)</f>
        <v>-10784940.3456798</v>
      </c>
      <c r="AM420" s="13" t="n">
        <f aca="false">IF(AM$4="Actuals",IF(AN$4="Actuals","",AN372),AM378)</f>
        <v>-11350295.3748778</v>
      </c>
      <c r="AN420" s="13" t="n">
        <f aca="false">IF(AN$4="Actuals",IF(AO$4="Actuals","",AO372),AN378)</f>
        <v>-11623769.6121601</v>
      </c>
      <c r="AO420" s="13" t="n">
        <f aca="false">IF(AO$4="Actuals",IF(AP$4="Actuals","",AP372),AO378)</f>
        <v>-11827124.6413581</v>
      </c>
      <c r="AP420" s="13" t="n">
        <f aca="false">IF(AP$4="Actuals",IF(AQ$4="Actuals","",AQ372),AP378)</f>
        <v>-12030479.6705561</v>
      </c>
      <c r="AQ420" s="13" t="n">
        <f aca="false">IF(AQ$4="Actuals",IF(AR$4="Actuals","",AR372),AQ378)</f>
        <v>-12233834.6997541</v>
      </c>
      <c r="AR420" s="13" t="n">
        <f aca="false">IF(AR$4="Actuals",IF(AS$4="Actuals","",AS372),AR378)</f>
        <v>-12437189.7289521</v>
      </c>
      <c r="AS420" s="13" t="n">
        <f aca="false">IF(AS$4="Actuals",IF(AT$4="Actuals","",AT372),AS378)</f>
        <v>-12640544.7581501</v>
      </c>
      <c r="AT420" s="13" t="n">
        <f aca="false">IF(AT$4="Actuals",IF(AU$4="Actuals","",AU372),AT378)</f>
        <v>-12843899.7873481</v>
      </c>
      <c r="AU420" s="13" t="n">
        <f aca="false">IF(AU$4="Actuals",IF(AV$4="Actuals","",AV372),AU378)</f>
        <v>-13047254.8165461</v>
      </c>
      <c r="AV420" s="13" t="n">
        <f aca="false">IF(AV$4="Actuals",IF(AW$4="Actuals","",AW372),AV378)</f>
        <v>-13250609.8457441</v>
      </c>
      <c r="AW420" s="13" t="n">
        <f aca="false">IF(AW$4="Actuals",IF(AX$4="Actuals","",AX372),AW378)</f>
        <v>-13453964.8749421</v>
      </c>
      <c r="AX420" s="13" t="n">
        <f aca="false">IF(AX$4="Actuals",IF(AY$4="Actuals","",AY372),AX378)</f>
        <v>-13661044.2447241</v>
      </c>
      <c r="AY420" s="13" t="n">
        <f aca="false">IF(AY$4="Actuals",IF(AZ$4="Actuals","",AZ372),AY378)</f>
        <v>-13868123.614506</v>
      </c>
      <c r="AZ420" s="13" t="n">
        <f aca="false">IF(AZ$4="Actuals",IF(BA$4="Actuals","",BA372),AZ378)</f>
        <v>-14075202.984288</v>
      </c>
      <c r="BA420" s="13" t="n">
        <f aca="false">IF(BA$4="Actuals",IF(BB$4="Actuals","",BB372),BA378)</f>
        <v>-14282282.3540699</v>
      </c>
      <c r="BB420" s="13" t="n">
        <f aca="false">IF(BB$4="Actuals",IF(BC$4="Actuals","",BC372),BB378)</f>
        <v>-14489361.7238519</v>
      </c>
      <c r="BC420" s="13" t="n">
        <f aca="false">IF(BC$4="Actuals",IF(BD$4="Actuals","",BD372),BC378)</f>
        <v>-14696441.0936339</v>
      </c>
      <c r="BD420" s="13" t="n">
        <f aca="false">IF(BD$4="Actuals",IF(BE$4="Actuals","",BE372),BD378)</f>
        <v>-14903520.4634158</v>
      </c>
      <c r="BE420" s="13" t="n">
        <f aca="false">IF(BE$4="Actuals",IF(BF$4="Actuals","",BF372),BE378)</f>
        <v>-15110599.8331978</v>
      </c>
      <c r="BF420" s="13" t="n">
        <f aca="false">IF(BF$4="Actuals",IF(BG$4="Actuals","",BG372),BF378)</f>
        <v>-15317679.2029797</v>
      </c>
      <c r="BG420" s="13" t="n">
        <f aca="false">IF(BG$4="Actuals",IF(BH$4="Actuals","",BH372),BG378)</f>
        <v>-15524758.5727617</v>
      </c>
      <c r="BH420" s="13" t="n">
        <f aca="false">IF(BH$4="Actuals",IF(BI$4="Actuals","",BI372),BH378)</f>
        <v>-15731837.9425437</v>
      </c>
      <c r="BI420" s="13" t="n">
        <f aca="false">IF(BI$4="Actuals",IF(BJ$4="Actuals","",BJ372),BI378)</f>
        <v>-15938917.3123256</v>
      </c>
      <c r="BJ420" s="13" t="n">
        <f aca="false">IF(BJ$4="Actuals",IF(BK$4="Actuals","",BK372),BJ378)</f>
        <v>-16149795.5095032</v>
      </c>
      <c r="BK420" s="13" t="n">
        <f aca="false">IF(BK$4="Actuals",IF(BL$4="Actuals","",BL372),BK378)</f>
        <v>-16360673.7066808</v>
      </c>
      <c r="BL420" s="13" t="n">
        <f aca="false">IF(BL$4="Actuals",IF(BM$4="Actuals","",BM372),BL378)</f>
        <v>-16571551.9038584</v>
      </c>
      <c r="BM420" s="13" t="n">
        <f aca="false">IF(BM$4="Actuals",IF(BN$4="Actuals","",BN372),BM378)</f>
        <v>-16782430.101036</v>
      </c>
      <c r="BN420" s="13" t="n">
        <f aca="false">IF(BN$4="Actuals",IF(BO$4="Actuals","",BO372),BN378)</f>
        <v>-16993308.2982136</v>
      </c>
      <c r="BO420" s="13" t="n">
        <f aca="false">IF(BO$4="Actuals",IF(BP$4="Actuals","",BP372),BO378)</f>
        <v>-17204186.4953912</v>
      </c>
      <c r="BP420" s="13" t="n">
        <f aca="false">IF(BP$4="Actuals",IF(BQ$4="Actuals","",BQ372),BP378)</f>
        <v>-17415064.6925688</v>
      </c>
      <c r="BQ420" s="13" t="n">
        <f aca="false">IF(BQ$4="Actuals",IF(BR$4="Actuals","",BR372),BQ378)</f>
        <v>-17625942.8897464</v>
      </c>
      <c r="BR420" s="13" t="n">
        <f aca="false">IF(BR$4="Actuals",IF(BS$4="Actuals","",BS372),BR378)</f>
        <v>-17783570.736924</v>
      </c>
      <c r="BS420" s="13" t="n">
        <f aca="false">IF(BS$4="Actuals",IF(BT$4="Actuals","",BT372),BS378)</f>
        <v>-17994448.9341016</v>
      </c>
      <c r="BT420" s="13" t="n">
        <f aca="false">IF(BT$4="Actuals",IF(BU$4="Actuals","",BU372),BT378)</f>
        <v>-18205327.1312792</v>
      </c>
      <c r="BU420" s="13" t="n">
        <f aca="false">IF(BU$4="Actuals",IF(BV$4="Actuals","",BV372),BU378)</f>
        <v>-18348443.3284568</v>
      </c>
      <c r="BV420" s="13" t="n">
        <f aca="false">IF(BV$4="Actuals",IF(BW$4="Actuals","",BW372),BV378)</f>
        <v>-18563196.329578</v>
      </c>
      <c r="BW420" s="13" t="n">
        <f aca="false">IF(BW$4="Actuals",IF(BX$4="Actuals","",BX372),BW378)</f>
        <v>-18777949.3306991</v>
      </c>
      <c r="BX420" s="13" t="n">
        <f aca="false">IF(BX$4="Actuals",IF(BY$4="Actuals","",BY372),BX378)</f>
        <v>-18924940.3318203</v>
      </c>
      <c r="BY420" s="13" t="n">
        <f aca="false">IF(BY$4="Actuals",IF(BZ$4="Actuals","",BZ372),BY378)</f>
        <v>-19139693.3329414</v>
      </c>
      <c r="BZ420" s="13" t="n">
        <f aca="false">IF(BZ$4="Actuals",IF(CA$4="Actuals","",CA372),BZ378)</f>
        <v>-19354446.3340626</v>
      </c>
      <c r="CA420" s="13" t="n">
        <f aca="false">IF(CA$4="Actuals",IF(CB$4="Actuals","",CB372),CA378)</f>
        <v>-19501437.3351837</v>
      </c>
      <c r="CB420" s="13" t="n">
        <f aca="false">IF(CB$4="Actuals",IF(CC$4="Actuals","",CC372),CB378)</f>
        <v>-19716190.3363049</v>
      </c>
      <c r="CC420" s="13" t="n">
        <f aca="false">IF(CC$4="Actuals",IF(CD$4="Actuals","",CD372),CC378)</f>
        <v>-19930943.337426</v>
      </c>
      <c r="CD420" s="13" t="n">
        <f aca="false">IF(CD$4="Actuals",IF(CE$4="Actuals","",CE372),CD378)</f>
        <v>-20069197.3385472</v>
      </c>
      <c r="CE420" s="13" t="n">
        <f aca="false">IF(CE$4="Actuals",IF(CF$4="Actuals","",CF372),CE378)</f>
        <v>-20283950.3396683</v>
      </c>
      <c r="CF420" s="13" t="n">
        <f aca="false">IF(CF$4="Actuals",IF(CG$4="Actuals","",CG372),CF378)</f>
        <v>-20498703.3407895</v>
      </c>
      <c r="CG420" s="13" t="n">
        <f aca="false">IF(CG$4="Actuals",IF(CH$4="Actuals","",CH372),CG378)</f>
        <v>-20636957.3419106</v>
      </c>
      <c r="CH420" s="13" t="n">
        <f aca="false">IF(CH$4="Actuals",IF(CI$4="Actuals","",CI372),CH378)</f>
        <v>-20855662.6430542</v>
      </c>
      <c r="CI420" s="13" t="n">
        <f aca="false">IF(CI$4="Actuals",IF(CJ$4="Actuals","",CJ372),CI378)</f>
        <v>-21074367.9441978</v>
      </c>
      <c r="CJ420" s="13" t="n">
        <f aca="false">IF(CJ$4="Actuals",IF(CK$4="Actuals","",CK372),CJ378)</f>
        <v>-21209966.2187349</v>
      </c>
      <c r="CK420" s="13" t="n">
        <f aca="false">IF(CK$4="Actuals",IF(CL$4="Actuals","",CL372),CK378)</f>
        <v>-21270810.5198785</v>
      </c>
      <c r="CL420" s="13" t="n">
        <f aca="false">IF(CL$4="Actuals",IF(CM$4="Actuals","",CM372),CL378)</f>
        <v>-21331654.821022</v>
      </c>
      <c r="CM420" s="13" t="n">
        <f aca="false">IF(CM$4="Actuals",IF(CN$4="Actuals","",CN372),CM378)</f>
        <v>-21392499.1221656</v>
      </c>
      <c r="CN420" s="13" t="n">
        <f aca="false">IF(CN$4="Actuals",IF(CO$4="Actuals","",CO372),CN378)</f>
        <v>-21453343.4233092</v>
      </c>
      <c r="CO420" s="13" t="n">
        <f aca="false">IF(CO$4="Actuals",IF(CP$4="Actuals","",CP372),CO378)</f>
        <v>-21514187.7244528</v>
      </c>
      <c r="CP420" s="13" t="n">
        <f aca="false">IF(CP$4="Actuals",IF(CQ$4="Actuals","",CQ372),CP378)</f>
        <v>-21575032.0255963</v>
      </c>
      <c r="CQ420" s="13" t="n">
        <f aca="false">IF(CQ$4="Actuals",IF(CR$4="Actuals","",CR372),CQ378)</f>
        <v>-21635876.3267399</v>
      </c>
      <c r="CR420" s="13" t="n">
        <f aca="false">IF(CR$4="Actuals",IF(CS$4="Actuals","",CS372),CR378)</f>
        <v>-21696720.6278835</v>
      </c>
      <c r="CS420" s="13" t="n">
        <f aca="false">IF(CS$4="Actuals",IF(CT$4="Actuals","",CT372),CS378)</f>
        <v>-21757564.9290271</v>
      </c>
      <c r="CT420" s="13" t="n">
        <f aca="false">IF(CT$4="Actuals",IF(CU$4="Actuals","",CU372),CT378)</f>
        <v>-21816461.4279839</v>
      </c>
      <c r="CU420" s="13" t="n">
        <f aca="false">IF(CU$4="Actuals",IF(CV$4="Actuals","",CV372),CU378)</f>
        <v>-21875357.9269407</v>
      </c>
      <c r="CV420" s="13" t="n">
        <f aca="false">IF(CV$4="Actuals",IF(CW$4="Actuals","",CW372),CV378)</f>
        <v>-21934254.4258975</v>
      </c>
      <c r="CW420" s="13" t="n">
        <f aca="false">IF(CW$4="Actuals",IF(CX$4="Actuals","",CX372),CW378)</f>
        <v>-21937442.7737907</v>
      </c>
      <c r="CX420" s="13" t="n">
        <f aca="false">IF(CX$4="Actuals",IF(CY$4="Actuals","",CY372),CX378)</f>
        <v>-21923184.2727476</v>
      </c>
      <c r="CY420" s="13" t="n">
        <f aca="false">IF(CY$4="Actuals",IF(CZ$4="Actuals","",CZ372),CY378)</f>
        <v>-21908925.7717044</v>
      </c>
      <c r="CZ420" s="13" t="n">
        <f aca="false">IF(CZ$4="Actuals",IF(DA$4="Actuals","",DA372),CZ378)</f>
        <v>-21894667.2706612</v>
      </c>
      <c r="DA420" s="13" t="n">
        <f aca="false">IF(DA$4="Actuals",IF(DB$4="Actuals","",DB372),DA378)</f>
        <v>-21880408.769618</v>
      </c>
      <c r="DB420" s="13" t="n">
        <f aca="false">IF(DB$4="Actuals",IF(DC$4="Actuals","",DC372),DB378)</f>
        <v>-21866150.2685748</v>
      </c>
      <c r="DC420" s="13" t="n">
        <f aca="false">IF(DC$4="Actuals",IF(DD$4="Actuals","",DD372),DC378)</f>
        <v>-21851891.7675317</v>
      </c>
      <c r="DD420" s="13" t="n">
        <f aca="false">IF(DD$4="Actuals",IF(DE$4="Actuals","",DE372),DD378)</f>
        <v>-21837633.2664885</v>
      </c>
      <c r="DE420" s="13" t="n">
        <f aca="false">IF(DE$4="Actuals",IF(DF$4="Actuals","",DF372),DE378)</f>
        <v>-21823374.7654453</v>
      </c>
    </row>
    <row r="421" customFormat="false" ht="13.5" hidden="false" customHeight="true" outlineLevel="0" collapsed="false">
      <c r="A421" s="22" t="s">
        <v>232</v>
      </c>
      <c r="B421" s="13" t="str">
        <f aca="false">IF(OR(B419="",B420=""),"",B420-B419)</f>
        <v/>
      </c>
      <c r="C421" s="13" t="str">
        <f aca="false">IF(OR(C419="",C420=""),"",C420-C419)</f>
        <v/>
      </c>
      <c r="D421" s="13" t="str">
        <f aca="false">IF(OR(D419="",D420=""),"",D420-D419)</f>
        <v/>
      </c>
      <c r="E421" s="13" t="str">
        <f aca="false">IF(OR(E419="",E420=""),"",E420-E419)</f>
        <v/>
      </c>
      <c r="F421" s="13" t="str">
        <f aca="false">IF(OR(F419="",F420=""),"",F420-F419)</f>
        <v/>
      </c>
      <c r="G421" s="13" t="str">
        <f aca="false">IF(OR(G419="",G420=""),"",G420-G419)</f>
        <v/>
      </c>
      <c r="H421" s="13" t="str">
        <f aca="false">IF(OR(H419="",H420=""),"",H420-H419)</f>
        <v/>
      </c>
      <c r="I421" s="13" t="str">
        <f aca="false">IF(OR(I419="",I420=""),"",I420-I419)</f>
        <v/>
      </c>
      <c r="J421" s="13" t="n">
        <f aca="false">IF(OR(J419="",J420=""),"",J420-J419)</f>
        <v>0</v>
      </c>
      <c r="K421" s="13" t="str">
        <f aca="false">IF(OR(K419="",K420=""),"",K420-K419)</f>
        <v/>
      </c>
      <c r="L421" s="13" t="str">
        <f aca="false">IF(OR(L419="",L420=""),"",L420-L419)</f>
        <v/>
      </c>
      <c r="M421" s="13" t="str">
        <f aca="false">IF(OR(M419="",M420=""),"",M420-M419)</f>
        <v/>
      </c>
      <c r="N421" s="13" t="str">
        <f aca="false">IF(OR(N419="",N420=""),"",N420-N419)</f>
        <v/>
      </c>
      <c r="O421" s="13" t="str">
        <f aca="false">IF(OR(O419="",O420=""),"",O420-O419)</f>
        <v/>
      </c>
      <c r="P421" s="13" t="str">
        <f aca="false">IF(OR(P419="",P420=""),"",P420-P419)</f>
        <v/>
      </c>
      <c r="Q421" s="13" t="str">
        <f aca="false">IF(OR(Q419="",Q420=""),"",Q420-Q419)</f>
        <v/>
      </c>
      <c r="R421" s="13" t="str">
        <f aca="false">IF(OR(R419="",R420=""),"",R420-R419)</f>
        <v/>
      </c>
      <c r="S421" s="13" t="str">
        <f aca="false">IF(OR(S419="",S420=""),"",S420-S419)</f>
        <v/>
      </c>
      <c r="T421" s="13" t="str">
        <f aca="false">IF(OR(T419="",T420=""),"",T420-T419)</f>
        <v/>
      </c>
      <c r="U421" s="13" t="str">
        <f aca="false">IF(OR(U419="",U420=""),"",U420-U419)</f>
        <v/>
      </c>
      <c r="V421" s="13" t="str">
        <f aca="false">IF(OR(V419="",V420=""),"",V420-V419)</f>
        <v/>
      </c>
      <c r="W421" s="13" t="str">
        <f aca="false">IF(OR(W419="",W420=""),"",W420-W419)</f>
        <v/>
      </c>
      <c r="X421" s="13" t="str">
        <f aca="false">IF(OR(X419="",X420=""),"",X420-X419)</f>
        <v/>
      </c>
      <c r="Y421" s="13" t="str">
        <f aca="false">IF(OR(Y419="",Y420=""),"",Y420-Y419)</f>
        <v/>
      </c>
      <c r="Z421" s="13" t="str">
        <f aca="false">IF(OR(Z419="",Z420=""),"",Z420-Z419)</f>
        <v/>
      </c>
      <c r="AA421" s="13" t="str">
        <f aca="false">IF(OR(AA419="",AA420=""),"",AA420-AA419)</f>
        <v/>
      </c>
      <c r="AB421" s="13" t="str">
        <f aca="false">IF(OR(AB419="",AB420=""),"",AB420-AB419)</f>
        <v/>
      </c>
      <c r="AC421" s="13" t="str">
        <f aca="false">IF(OR(AC419="",AC420=""),"",AC420-AC419)</f>
        <v/>
      </c>
      <c r="AD421" s="13" t="str">
        <f aca="false">IF(OR(AD419="",AD420=""),"",AD420-AD419)</f>
        <v/>
      </c>
      <c r="AE421" s="13" t="str">
        <f aca="false">IF(OR(AE419="",AE420=""),"",AE420-AE419)</f>
        <v/>
      </c>
      <c r="AF421" s="13" t="str">
        <f aca="false">IF(OR(AF419="",AF420=""),"",AF420-AF419)</f>
        <v/>
      </c>
      <c r="AG421" s="13" t="str">
        <f aca="false">IF(OR(AG419="",AG420=""),"",AG420-AG419)</f>
        <v/>
      </c>
      <c r="AH421" s="13" t="str">
        <f aca="false">IF(OR(AH419="",AH420=""),"",AH420-AH419)</f>
        <v/>
      </c>
      <c r="AI421" s="13" t="str">
        <f aca="false">IF(OR(AI419="",AI420=""),"",AI420-AI419)</f>
        <v/>
      </c>
      <c r="AJ421" s="13" t="str">
        <f aca="false">IF(OR(AJ419="",AJ420=""),"",AJ420-AJ419)</f>
        <v/>
      </c>
      <c r="AK421" s="13" t="str">
        <f aca="false">IF(OR(AK419="",AK420=""),"",AK420-AK419)</f>
        <v/>
      </c>
      <c r="AL421" s="13" t="str">
        <f aca="false">IF(OR(AL419="",AL420=""),"",AL420-AL419)</f>
        <v/>
      </c>
      <c r="AM421" s="13" t="str">
        <f aca="false">IF(OR(AM419="",AM420=""),"",AM420-AM419)</f>
        <v/>
      </c>
      <c r="AN421" s="13" t="str">
        <f aca="false">IF(OR(AN419="",AN420=""),"",AN420-AN419)</f>
        <v/>
      </c>
      <c r="AO421" s="13" t="str">
        <f aca="false">IF(OR(AO419="",AO420=""),"",AO420-AO419)</f>
        <v/>
      </c>
      <c r="AP421" s="13" t="str">
        <f aca="false">IF(OR(AP419="",AP420=""),"",AP420-AP419)</f>
        <v/>
      </c>
      <c r="AQ421" s="13" t="str">
        <f aca="false">IF(OR(AQ419="",AQ420=""),"",AQ420-AQ419)</f>
        <v/>
      </c>
      <c r="AR421" s="13" t="str">
        <f aca="false">IF(OR(AR419="",AR420=""),"",AR420-AR419)</f>
        <v/>
      </c>
      <c r="AS421" s="13" t="str">
        <f aca="false">IF(OR(AS419="",AS420=""),"",AS420-AS419)</f>
        <v/>
      </c>
      <c r="AT421" s="13" t="str">
        <f aca="false">IF(OR(AT419="",AT420=""),"",AT420-AT419)</f>
        <v/>
      </c>
      <c r="AU421" s="13" t="str">
        <f aca="false">IF(OR(AU419="",AU420=""),"",AU420-AU419)</f>
        <v/>
      </c>
      <c r="AV421" s="13" t="str">
        <f aca="false">IF(OR(AV419="",AV420=""),"",AV420-AV419)</f>
        <v/>
      </c>
      <c r="AW421" s="13" t="str">
        <f aca="false">IF(OR(AW419="",AW420=""),"",AW420-AW419)</f>
        <v/>
      </c>
      <c r="AX421" s="13" t="str">
        <f aca="false">IF(OR(AX419="",AX420=""),"",AX420-AX419)</f>
        <v/>
      </c>
      <c r="AY421" s="13" t="str">
        <f aca="false">IF(OR(AY419="",AY420=""),"",AY420-AY419)</f>
        <v/>
      </c>
      <c r="AZ421" s="13" t="str">
        <f aca="false">IF(OR(AZ419="",AZ420=""),"",AZ420-AZ419)</f>
        <v/>
      </c>
      <c r="BA421" s="13" t="str">
        <f aca="false">IF(OR(BA419="",BA420=""),"",BA420-BA419)</f>
        <v/>
      </c>
      <c r="BB421" s="13" t="str">
        <f aca="false">IF(OR(BB419="",BB420=""),"",BB420-BB419)</f>
        <v/>
      </c>
      <c r="BC421" s="13" t="str">
        <f aca="false">IF(OR(BC419="",BC420=""),"",BC420-BC419)</f>
        <v/>
      </c>
      <c r="BD421" s="13" t="str">
        <f aca="false">IF(OR(BD419="",BD420=""),"",BD420-BD419)</f>
        <v/>
      </c>
      <c r="BE421" s="13" t="str">
        <f aca="false">IF(OR(BE419="",BE420=""),"",BE420-BE419)</f>
        <v/>
      </c>
      <c r="BF421" s="13" t="str">
        <f aca="false">IF(OR(BF419="",BF420=""),"",BF420-BF419)</f>
        <v/>
      </c>
      <c r="BG421" s="13" t="str">
        <f aca="false">IF(OR(BG419="",BG420=""),"",BG420-BG419)</f>
        <v/>
      </c>
      <c r="BH421" s="13" t="str">
        <f aca="false">IF(OR(BH419="",BH420=""),"",BH420-BH419)</f>
        <v/>
      </c>
      <c r="BI421" s="13" t="str">
        <f aca="false">IF(OR(BI419="",BI420=""),"",BI420-BI419)</f>
        <v/>
      </c>
      <c r="BJ421" s="13" t="str">
        <f aca="false">IF(OR(BJ419="",BJ420=""),"",BJ420-BJ419)</f>
        <v/>
      </c>
      <c r="BK421" s="13" t="str">
        <f aca="false">IF(OR(BK419="",BK420=""),"",BK420-BK419)</f>
        <v/>
      </c>
      <c r="BL421" s="13" t="str">
        <f aca="false">IF(OR(BL419="",BL420=""),"",BL420-BL419)</f>
        <v/>
      </c>
      <c r="BM421" s="13" t="str">
        <f aca="false">IF(OR(BM419="",BM420=""),"",BM420-BM419)</f>
        <v/>
      </c>
      <c r="BN421" s="13" t="str">
        <f aca="false">IF(OR(BN419="",BN420=""),"",BN420-BN419)</f>
        <v/>
      </c>
      <c r="BO421" s="13" t="str">
        <f aca="false">IF(OR(BO419="",BO420=""),"",BO420-BO419)</f>
        <v/>
      </c>
      <c r="BP421" s="13" t="str">
        <f aca="false">IF(OR(BP419="",BP420=""),"",BP420-BP419)</f>
        <v/>
      </c>
      <c r="BQ421" s="13" t="str">
        <f aca="false">IF(OR(BQ419="",BQ420=""),"",BQ420-BQ419)</f>
        <v/>
      </c>
      <c r="BR421" s="13" t="str">
        <f aca="false">IF(OR(BR419="",BR420=""),"",BR420-BR419)</f>
        <v/>
      </c>
      <c r="BS421" s="13" t="str">
        <f aca="false">IF(OR(BS419="",BS420=""),"",BS420-BS419)</f>
        <v/>
      </c>
      <c r="BT421" s="13" t="str">
        <f aca="false">IF(OR(BT419="",BT420=""),"",BT420-BT419)</f>
        <v/>
      </c>
      <c r="BU421" s="13" t="str">
        <f aca="false">IF(OR(BU419="",BU420=""),"",BU420-BU419)</f>
        <v/>
      </c>
      <c r="BV421" s="13" t="str">
        <f aca="false">IF(OR(BV419="",BV420=""),"",BV420-BV419)</f>
        <v/>
      </c>
      <c r="BW421" s="13" t="str">
        <f aca="false">IF(OR(BW419="",BW420=""),"",BW420-BW419)</f>
        <v/>
      </c>
      <c r="BX421" s="13" t="str">
        <f aca="false">IF(OR(BX419="",BX420=""),"",BX420-BX419)</f>
        <v/>
      </c>
      <c r="BY421" s="13" t="str">
        <f aca="false">IF(OR(BY419="",BY420=""),"",BY420-BY419)</f>
        <v/>
      </c>
      <c r="BZ421" s="13" t="str">
        <f aca="false">IF(OR(BZ419="",BZ420=""),"",BZ420-BZ419)</f>
        <v/>
      </c>
      <c r="CA421" s="13" t="str">
        <f aca="false">IF(OR(CA419="",CA420=""),"",CA420-CA419)</f>
        <v/>
      </c>
      <c r="CB421" s="13" t="str">
        <f aca="false">IF(OR(CB419="",CB420=""),"",CB420-CB419)</f>
        <v/>
      </c>
      <c r="CC421" s="13" t="str">
        <f aca="false">IF(OR(CC419="",CC420=""),"",CC420-CC419)</f>
        <v/>
      </c>
      <c r="CD421" s="13" t="str">
        <f aca="false">IF(OR(CD419="",CD420=""),"",CD420-CD419)</f>
        <v/>
      </c>
      <c r="CE421" s="13" t="str">
        <f aca="false">IF(OR(CE419="",CE420=""),"",CE420-CE419)</f>
        <v/>
      </c>
      <c r="CF421" s="13" t="str">
        <f aca="false">IF(OR(CF419="",CF420=""),"",CF420-CF419)</f>
        <v/>
      </c>
      <c r="CG421" s="13" t="str">
        <f aca="false">IF(OR(CG419="",CG420=""),"",CG420-CG419)</f>
        <v/>
      </c>
      <c r="CH421" s="13" t="str">
        <f aca="false">IF(OR(CH419="",CH420=""),"",CH420-CH419)</f>
        <v/>
      </c>
      <c r="CI421" s="13" t="str">
        <f aca="false">IF(OR(CI419="",CI420=""),"",CI420-CI419)</f>
        <v/>
      </c>
      <c r="CJ421" s="13" t="str">
        <f aca="false">IF(OR(CJ419="",CJ420=""),"",CJ420-CJ419)</f>
        <v/>
      </c>
      <c r="CK421" s="13" t="str">
        <f aca="false">IF(OR(CK419="",CK420=""),"",CK420-CK419)</f>
        <v/>
      </c>
      <c r="CL421" s="13" t="str">
        <f aca="false">IF(OR(CL419="",CL420=""),"",CL420-CL419)</f>
        <v/>
      </c>
      <c r="CM421" s="13" t="str">
        <f aca="false">IF(OR(CM419="",CM420=""),"",CM420-CM419)</f>
        <v/>
      </c>
      <c r="CN421" s="13" t="str">
        <f aca="false">IF(OR(CN419="",CN420=""),"",CN420-CN419)</f>
        <v/>
      </c>
      <c r="CO421" s="13" t="str">
        <f aca="false">IF(OR(CO419="",CO420=""),"",CO420-CO419)</f>
        <v/>
      </c>
      <c r="CP421" s="13" t="str">
        <f aca="false">IF(OR(CP419="",CP420=""),"",CP420-CP419)</f>
        <v/>
      </c>
      <c r="CQ421" s="13" t="str">
        <f aca="false">IF(OR(CQ419="",CQ420=""),"",CQ420-CQ419)</f>
        <v/>
      </c>
      <c r="CR421" s="13" t="str">
        <f aca="false">IF(OR(CR419="",CR420=""),"",CR420-CR419)</f>
        <v/>
      </c>
      <c r="CS421" s="13" t="str">
        <f aca="false">IF(OR(CS419="",CS420=""),"",CS420-CS419)</f>
        <v/>
      </c>
      <c r="CT421" s="13" t="str">
        <f aca="false">IF(OR(CT419="",CT420=""),"",CT420-CT419)</f>
        <v/>
      </c>
      <c r="CU421" s="13" t="str">
        <f aca="false">IF(OR(CU419="",CU420=""),"",CU420-CU419)</f>
        <v/>
      </c>
      <c r="CV421" s="13" t="str">
        <f aca="false">IF(OR(CV419="",CV420=""),"",CV420-CV419)</f>
        <v/>
      </c>
      <c r="CW421" s="13" t="str">
        <f aca="false">IF(OR(CW419="",CW420=""),"",CW420-CW419)</f>
        <v/>
      </c>
      <c r="CX421" s="13" t="str">
        <f aca="false">IF(OR(CX419="",CX420=""),"",CX420-CX419)</f>
        <v/>
      </c>
      <c r="CY421" s="13" t="str">
        <f aca="false">IF(OR(CY419="",CY420=""),"",CY420-CY419)</f>
        <v/>
      </c>
      <c r="CZ421" s="13" t="str">
        <f aca="false">IF(OR(CZ419="",CZ420=""),"",CZ420-CZ419)</f>
        <v/>
      </c>
      <c r="DA421" s="13" t="str">
        <f aca="false">IF(OR(DA419="",DA420=""),"",DA420-DA419)</f>
        <v/>
      </c>
      <c r="DB421" s="13" t="str">
        <f aca="false">IF(OR(DB419="",DB420=""),"",DB420-DB419)</f>
        <v/>
      </c>
      <c r="DC421" s="13" t="str">
        <f aca="false">IF(OR(DC419="",DC420=""),"",DC420-DC419)</f>
        <v/>
      </c>
      <c r="DD421" s="13" t="str">
        <f aca="false">IF(OR(DD419="",DD420=""),"",DD420-DD419)</f>
        <v/>
      </c>
      <c r="DE421" s="13" t="str">
        <f aca="false">IF(OR(DE419="",DE420=""),"",DE420-DE419)</f>
        <v/>
      </c>
    </row>
    <row r="422" customFormat="false" ht="13.5" hidden="false" customHeight="true" outlineLevel="0" collapsed="false">
      <c r="A422" s="22" t="s">
        <v>233</v>
      </c>
      <c r="B422" s="21" t="str">
        <f aca="false">IF(B421="","",IF(ABS(B421)&lt;1,"OK","CHECK"))</f>
        <v/>
      </c>
      <c r="C422" s="21" t="str">
        <f aca="false">IF(C421="","",IF(ABS(C421)&lt;1,"OK","CHECK"))</f>
        <v/>
      </c>
      <c r="D422" s="21" t="str">
        <f aca="false">IF(D421="","",IF(ABS(D421)&lt;1,"OK","CHECK"))</f>
        <v/>
      </c>
      <c r="E422" s="21" t="str">
        <f aca="false">IF(E421="","",IF(ABS(E421)&lt;1,"OK","CHECK"))</f>
        <v/>
      </c>
      <c r="F422" s="21" t="str">
        <f aca="false">IF(F421="","",IF(ABS(F421)&lt;1,"OK","CHECK"))</f>
        <v/>
      </c>
      <c r="G422" s="21" t="str">
        <f aca="false">IF(G421="","",IF(ABS(G421)&lt;1,"OK","CHECK"))</f>
        <v/>
      </c>
      <c r="H422" s="21" t="str">
        <f aca="false">IF(H421="","",IF(ABS(H421)&lt;1,"OK","CHECK"))</f>
        <v/>
      </c>
      <c r="I422" s="21" t="str">
        <f aca="false">IF(I421="","",IF(ABS(I421)&lt;1,"OK","CHECK"))</f>
        <v/>
      </c>
      <c r="J422" s="21" t="str">
        <f aca="false">IF(J421="","",IF(ABS(J421)&lt;1,"OK","CHECK"))</f>
        <v>OK</v>
      </c>
      <c r="K422" s="21" t="str">
        <f aca="false">IF(K421="","",IF(ABS(K421)&lt;1,"OK","CHECK"))</f>
        <v/>
      </c>
      <c r="L422" s="21" t="str">
        <f aca="false">IF(L421="","",IF(ABS(L421)&lt;1,"OK","CHECK"))</f>
        <v/>
      </c>
      <c r="M422" s="21" t="str">
        <f aca="false">IF(M421="","",IF(ABS(M421)&lt;1,"OK","CHECK"))</f>
        <v/>
      </c>
      <c r="N422" s="21" t="str">
        <f aca="false">IF(N421="","",IF(ABS(N421)&lt;1,"OK","CHECK"))</f>
        <v/>
      </c>
      <c r="O422" s="21" t="str">
        <f aca="false">IF(O421="","",IF(ABS(O421)&lt;1,"OK","CHECK"))</f>
        <v/>
      </c>
      <c r="P422" s="21" t="str">
        <f aca="false">IF(P421="","",IF(ABS(P421)&lt;1,"OK","CHECK"))</f>
        <v/>
      </c>
      <c r="Q422" s="21" t="str">
        <f aca="false">IF(Q421="","",IF(ABS(Q421)&lt;1,"OK","CHECK"))</f>
        <v/>
      </c>
      <c r="R422" s="21" t="str">
        <f aca="false">IF(R421="","",IF(ABS(R421)&lt;1,"OK","CHECK"))</f>
        <v/>
      </c>
      <c r="S422" s="21" t="str">
        <f aca="false">IF(S421="","",IF(ABS(S421)&lt;1,"OK","CHECK"))</f>
        <v/>
      </c>
      <c r="T422" s="21" t="str">
        <f aca="false">IF(T421="","",IF(ABS(T421)&lt;1,"OK","CHECK"))</f>
        <v/>
      </c>
      <c r="U422" s="21" t="str">
        <f aca="false">IF(U421="","",IF(ABS(U421)&lt;1,"OK","CHECK"))</f>
        <v/>
      </c>
      <c r="V422" s="21" t="str">
        <f aca="false">IF(V421="","",IF(ABS(V421)&lt;1,"OK","CHECK"))</f>
        <v/>
      </c>
      <c r="W422" s="21" t="str">
        <f aca="false">IF(W421="","",IF(ABS(W421)&lt;1,"OK","CHECK"))</f>
        <v/>
      </c>
      <c r="X422" s="21" t="str">
        <f aca="false">IF(X421="","",IF(ABS(X421)&lt;1,"OK","CHECK"))</f>
        <v/>
      </c>
      <c r="Y422" s="21" t="str">
        <f aca="false">IF(Y421="","",IF(ABS(Y421)&lt;1,"OK","CHECK"))</f>
        <v/>
      </c>
      <c r="Z422" s="21" t="str">
        <f aca="false">IF(Z421="","",IF(ABS(Z421)&lt;1,"OK","CHECK"))</f>
        <v/>
      </c>
      <c r="AA422" s="21" t="str">
        <f aca="false">IF(AA421="","",IF(ABS(AA421)&lt;1,"OK","CHECK"))</f>
        <v/>
      </c>
      <c r="AB422" s="21" t="str">
        <f aca="false">IF(AB421="","",IF(ABS(AB421)&lt;1,"OK","CHECK"))</f>
        <v/>
      </c>
      <c r="AC422" s="21" t="str">
        <f aca="false">IF(AC421="","",IF(ABS(AC421)&lt;1,"OK","CHECK"))</f>
        <v/>
      </c>
      <c r="AD422" s="21" t="str">
        <f aca="false">IF(AD421="","",IF(ABS(AD421)&lt;1,"OK","CHECK"))</f>
        <v/>
      </c>
      <c r="AE422" s="21" t="str">
        <f aca="false">IF(AE421="","",IF(ABS(AE421)&lt;1,"OK","CHECK"))</f>
        <v/>
      </c>
      <c r="AF422" s="21" t="str">
        <f aca="false">IF(AF421="","",IF(ABS(AF421)&lt;1,"OK","CHECK"))</f>
        <v/>
      </c>
      <c r="AG422" s="21" t="str">
        <f aca="false">IF(AG421="","",IF(ABS(AG421)&lt;1,"OK","CHECK"))</f>
        <v/>
      </c>
      <c r="AH422" s="21" t="str">
        <f aca="false">IF(AH421="","",IF(ABS(AH421)&lt;1,"OK","CHECK"))</f>
        <v/>
      </c>
      <c r="AI422" s="21" t="str">
        <f aca="false">IF(AI421="","",IF(ABS(AI421)&lt;1,"OK","CHECK"))</f>
        <v/>
      </c>
      <c r="AJ422" s="21" t="str">
        <f aca="false">IF(AJ421="","",IF(ABS(AJ421)&lt;1,"OK","CHECK"))</f>
        <v/>
      </c>
      <c r="AK422" s="21" t="str">
        <f aca="false">IF(AK421="","",IF(ABS(AK421)&lt;1,"OK","CHECK"))</f>
        <v/>
      </c>
      <c r="AL422" s="21" t="str">
        <f aca="false">IF(AL421="","",IF(ABS(AL421)&lt;1,"OK","CHECK"))</f>
        <v/>
      </c>
      <c r="AM422" s="21" t="str">
        <f aca="false">IF(AM421="","",IF(ABS(AM421)&lt;1,"OK","CHECK"))</f>
        <v/>
      </c>
      <c r="AN422" s="21" t="str">
        <f aca="false">IF(AN421="","",IF(ABS(AN421)&lt;1,"OK","CHECK"))</f>
        <v/>
      </c>
      <c r="AO422" s="21" t="str">
        <f aca="false">IF(AO421="","",IF(ABS(AO421)&lt;1,"OK","CHECK"))</f>
        <v/>
      </c>
      <c r="AP422" s="21" t="str">
        <f aca="false">IF(AP421="","",IF(ABS(AP421)&lt;1,"OK","CHECK"))</f>
        <v/>
      </c>
      <c r="AQ422" s="21" t="str">
        <f aca="false">IF(AQ421="","",IF(ABS(AQ421)&lt;1,"OK","CHECK"))</f>
        <v/>
      </c>
      <c r="AR422" s="21" t="str">
        <f aca="false">IF(AR421="","",IF(ABS(AR421)&lt;1,"OK","CHECK"))</f>
        <v/>
      </c>
      <c r="AS422" s="21" t="str">
        <f aca="false">IF(AS421="","",IF(ABS(AS421)&lt;1,"OK","CHECK"))</f>
        <v/>
      </c>
      <c r="AT422" s="21" t="str">
        <f aca="false">IF(AT421="","",IF(ABS(AT421)&lt;1,"OK","CHECK"))</f>
        <v/>
      </c>
      <c r="AU422" s="21" t="str">
        <f aca="false">IF(AU421="","",IF(ABS(AU421)&lt;1,"OK","CHECK"))</f>
        <v/>
      </c>
      <c r="AV422" s="21" t="str">
        <f aca="false">IF(AV421="","",IF(ABS(AV421)&lt;1,"OK","CHECK"))</f>
        <v/>
      </c>
      <c r="AW422" s="21" t="str">
        <f aca="false">IF(AW421="","",IF(ABS(AW421)&lt;1,"OK","CHECK"))</f>
        <v/>
      </c>
      <c r="AX422" s="21" t="str">
        <f aca="false">IF(AX421="","",IF(ABS(AX421)&lt;1,"OK","CHECK"))</f>
        <v/>
      </c>
      <c r="AY422" s="21" t="str">
        <f aca="false">IF(AY421="","",IF(ABS(AY421)&lt;1,"OK","CHECK"))</f>
        <v/>
      </c>
      <c r="AZ422" s="21" t="str">
        <f aca="false">IF(AZ421="","",IF(ABS(AZ421)&lt;1,"OK","CHECK"))</f>
        <v/>
      </c>
      <c r="BA422" s="21" t="str">
        <f aca="false">IF(BA421="","",IF(ABS(BA421)&lt;1,"OK","CHECK"))</f>
        <v/>
      </c>
      <c r="BB422" s="21" t="str">
        <f aca="false">IF(BB421="","",IF(ABS(BB421)&lt;1,"OK","CHECK"))</f>
        <v/>
      </c>
      <c r="BC422" s="21" t="str">
        <f aca="false">IF(BC421="","",IF(ABS(BC421)&lt;1,"OK","CHECK"))</f>
        <v/>
      </c>
      <c r="BD422" s="21" t="str">
        <f aca="false">IF(BD421="","",IF(ABS(BD421)&lt;1,"OK","CHECK"))</f>
        <v/>
      </c>
      <c r="BE422" s="21" t="str">
        <f aca="false">IF(BE421="","",IF(ABS(BE421)&lt;1,"OK","CHECK"))</f>
        <v/>
      </c>
      <c r="BF422" s="21" t="str">
        <f aca="false">IF(BF421="","",IF(ABS(BF421)&lt;1,"OK","CHECK"))</f>
        <v/>
      </c>
      <c r="BG422" s="21" t="str">
        <f aca="false">IF(BG421="","",IF(ABS(BG421)&lt;1,"OK","CHECK"))</f>
        <v/>
      </c>
      <c r="BH422" s="21" t="str">
        <f aca="false">IF(BH421="","",IF(ABS(BH421)&lt;1,"OK","CHECK"))</f>
        <v/>
      </c>
      <c r="BI422" s="21" t="str">
        <f aca="false">IF(BI421="","",IF(ABS(BI421)&lt;1,"OK","CHECK"))</f>
        <v/>
      </c>
      <c r="BJ422" s="21" t="str">
        <f aca="false">IF(BJ421="","",IF(ABS(BJ421)&lt;1,"OK","CHECK"))</f>
        <v/>
      </c>
      <c r="BK422" s="21" t="str">
        <f aca="false">IF(BK421="","",IF(ABS(BK421)&lt;1,"OK","CHECK"))</f>
        <v/>
      </c>
      <c r="BL422" s="21" t="str">
        <f aca="false">IF(BL421="","",IF(ABS(BL421)&lt;1,"OK","CHECK"))</f>
        <v/>
      </c>
      <c r="BM422" s="21" t="str">
        <f aca="false">IF(BM421="","",IF(ABS(BM421)&lt;1,"OK","CHECK"))</f>
        <v/>
      </c>
      <c r="BN422" s="21" t="str">
        <f aca="false">IF(BN421="","",IF(ABS(BN421)&lt;1,"OK","CHECK"))</f>
        <v/>
      </c>
      <c r="BO422" s="21" t="str">
        <f aca="false">IF(BO421="","",IF(ABS(BO421)&lt;1,"OK","CHECK"))</f>
        <v/>
      </c>
      <c r="BP422" s="21" t="str">
        <f aca="false">IF(BP421="","",IF(ABS(BP421)&lt;1,"OK","CHECK"))</f>
        <v/>
      </c>
      <c r="BQ422" s="21" t="str">
        <f aca="false">IF(BQ421="","",IF(ABS(BQ421)&lt;1,"OK","CHECK"))</f>
        <v/>
      </c>
      <c r="BR422" s="21" t="str">
        <f aca="false">IF(BR421="","",IF(ABS(BR421)&lt;1,"OK","CHECK"))</f>
        <v/>
      </c>
      <c r="BS422" s="21" t="str">
        <f aca="false">IF(BS421="","",IF(ABS(BS421)&lt;1,"OK","CHECK"))</f>
        <v/>
      </c>
      <c r="BT422" s="21" t="str">
        <f aca="false">IF(BT421="","",IF(ABS(BT421)&lt;1,"OK","CHECK"))</f>
        <v/>
      </c>
      <c r="BU422" s="21" t="str">
        <f aca="false">IF(BU421="","",IF(ABS(BU421)&lt;1,"OK","CHECK"))</f>
        <v/>
      </c>
      <c r="BV422" s="21" t="str">
        <f aca="false">IF(BV421="","",IF(ABS(BV421)&lt;1,"OK","CHECK"))</f>
        <v/>
      </c>
      <c r="BW422" s="21" t="str">
        <f aca="false">IF(BW421="","",IF(ABS(BW421)&lt;1,"OK","CHECK"))</f>
        <v/>
      </c>
      <c r="BX422" s="21" t="str">
        <f aca="false">IF(BX421="","",IF(ABS(BX421)&lt;1,"OK","CHECK"))</f>
        <v/>
      </c>
      <c r="BY422" s="21" t="str">
        <f aca="false">IF(BY421="","",IF(ABS(BY421)&lt;1,"OK","CHECK"))</f>
        <v/>
      </c>
      <c r="BZ422" s="21" t="str">
        <f aca="false">IF(BZ421="","",IF(ABS(BZ421)&lt;1,"OK","CHECK"))</f>
        <v/>
      </c>
      <c r="CA422" s="21" t="str">
        <f aca="false">IF(CA421="","",IF(ABS(CA421)&lt;1,"OK","CHECK"))</f>
        <v/>
      </c>
      <c r="CB422" s="21" t="str">
        <f aca="false">IF(CB421="","",IF(ABS(CB421)&lt;1,"OK","CHECK"))</f>
        <v/>
      </c>
      <c r="CC422" s="21" t="str">
        <f aca="false">IF(CC421="","",IF(ABS(CC421)&lt;1,"OK","CHECK"))</f>
        <v/>
      </c>
      <c r="CD422" s="21" t="str">
        <f aca="false">IF(CD421="","",IF(ABS(CD421)&lt;1,"OK","CHECK"))</f>
        <v/>
      </c>
      <c r="CE422" s="21" t="str">
        <f aca="false">IF(CE421="","",IF(ABS(CE421)&lt;1,"OK","CHECK"))</f>
        <v/>
      </c>
      <c r="CF422" s="21" t="str">
        <f aca="false">IF(CF421="","",IF(ABS(CF421)&lt;1,"OK","CHECK"))</f>
        <v/>
      </c>
      <c r="CG422" s="21" t="str">
        <f aca="false">IF(CG421="","",IF(ABS(CG421)&lt;1,"OK","CHECK"))</f>
        <v/>
      </c>
      <c r="CH422" s="21" t="str">
        <f aca="false">IF(CH421="","",IF(ABS(CH421)&lt;1,"OK","CHECK"))</f>
        <v/>
      </c>
      <c r="CI422" s="21" t="str">
        <f aca="false">IF(CI421="","",IF(ABS(CI421)&lt;1,"OK","CHECK"))</f>
        <v/>
      </c>
      <c r="CJ422" s="21" t="str">
        <f aca="false">IF(CJ421="","",IF(ABS(CJ421)&lt;1,"OK","CHECK"))</f>
        <v/>
      </c>
      <c r="CK422" s="21" t="str">
        <f aca="false">IF(CK421="","",IF(ABS(CK421)&lt;1,"OK","CHECK"))</f>
        <v/>
      </c>
      <c r="CL422" s="21" t="str">
        <f aca="false">IF(CL421="","",IF(ABS(CL421)&lt;1,"OK","CHECK"))</f>
        <v/>
      </c>
      <c r="CM422" s="21" t="str">
        <f aca="false">IF(CM421="","",IF(ABS(CM421)&lt;1,"OK","CHECK"))</f>
        <v/>
      </c>
      <c r="CN422" s="21" t="str">
        <f aca="false">IF(CN421="","",IF(ABS(CN421)&lt;1,"OK","CHECK"))</f>
        <v/>
      </c>
      <c r="CO422" s="21" t="str">
        <f aca="false">IF(CO421="","",IF(ABS(CO421)&lt;1,"OK","CHECK"))</f>
        <v/>
      </c>
      <c r="CP422" s="21" t="str">
        <f aca="false">IF(CP421="","",IF(ABS(CP421)&lt;1,"OK","CHECK"))</f>
        <v/>
      </c>
      <c r="CQ422" s="21" t="str">
        <f aca="false">IF(CQ421="","",IF(ABS(CQ421)&lt;1,"OK","CHECK"))</f>
        <v/>
      </c>
      <c r="CR422" s="21" t="str">
        <f aca="false">IF(CR421="","",IF(ABS(CR421)&lt;1,"OK","CHECK"))</f>
        <v/>
      </c>
      <c r="CS422" s="21" t="str">
        <f aca="false">IF(CS421="","",IF(ABS(CS421)&lt;1,"OK","CHECK"))</f>
        <v/>
      </c>
      <c r="CT422" s="21" t="str">
        <f aca="false">IF(CT421="","",IF(ABS(CT421)&lt;1,"OK","CHECK"))</f>
        <v/>
      </c>
      <c r="CU422" s="21" t="str">
        <f aca="false">IF(CU421="","",IF(ABS(CU421)&lt;1,"OK","CHECK"))</f>
        <v/>
      </c>
      <c r="CV422" s="21" t="str">
        <f aca="false">IF(CV421="","",IF(ABS(CV421)&lt;1,"OK","CHECK"))</f>
        <v/>
      </c>
      <c r="CW422" s="21" t="str">
        <f aca="false">IF(CW421="","",IF(ABS(CW421)&lt;1,"OK","CHECK"))</f>
        <v/>
      </c>
      <c r="CX422" s="21" t="str">
        <f aca="false">IF(CX421="","",IF(ABS(CX421)&lt;1,"OK","CHECK"))</f>
        <v/>
      </c>
      <c r="CY422" s="21" t="str">
        <f aca="false">IF(CY421="","",IF(ABS(CY421)&lt;1,"OK","CHECK"))</f>
        <v/>
      </c>
      <c r="CZ422" s="21" t="str">
        <f aca="false">IF(CZ421="","",IF(ABS(CZ421)&lt;1,"OK","CHECK"))</f>
        <v/>
      </c>
      <c r="DA422" s="21" t="str">
        <f aca="false">IF(DA421="","",IF(ABS(DA421)&lt;1,"OK","CHECK"))</f>
        <v/>
      </c>
      <c r="DB422" s="21" t="str">
        <f aca="false">IF(DB421="","",IF(ABS(DB421)&lt;1,"OK","CHECK"))</f>
        <v/>
      </c>
      <c r="DC422" s="21" t="str">
        <f aca="false">IF(DC421="","",IF(ABS(DC421)&lt;1,"OK","CHECK"))</f>
        <v/>
      </c>
      <c r="DD422" s="21" t="str">
        <f aca="false">IF(DD421="","",IF(ABS(DD421)&lt;1,"OK","CHECK"))</f>
        <v/>
      </c>
      <c r="DE422" s="21" t="str">
        <f aca="false">IF(DE421="","",IF(ABS(DE421)&lt;1,"OK","CHECK"))</f>
        <v/>
      </c>
    </row>
    <row r="423" customFormat="false" ht="13.5" hidden="false" customHeight="true" outlineLevel="0" collapsed="false">
      <c r="A423" s="22" t="s">
        <v>234</v>
      </c>
      <c r="B423" s="13"/>
      <c r="C423" s="13"/>
      <c r="D423" s="13"/>
      <c r="E423" s="13"/>
      <c r="F423" s="13"/>
      <c r="G423" s="13"/>
      <c r="H423" s="73" t="n">
        <v>133317</v>
      </c>
      <c r="I423" s="73" t="n">
        <v>-22279</v>
      </c>
      <c r="J423" s="73" t="n">
        <v>512855</v>
      </c>
      <c r="K423" s="73" t="n">
        <v>349301</v>
      </c>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c r="AJ423" s="13"/>
      <c r="AK423" s="13"/>
      <c r="AL423" s="13"/>
      <c r="AM423" s="13"/>
      <c r="AN423" s="13"/>
      <c r="AO423" s="13"/>
      <c r="AP423" s="13"/>
      <c r="AQ423" s="13"/>
      <c r="AR423" s="13"/>
      <c r="AS423" s="13"/>
      <c r="AT423" s="13"/>
      <c r="AU423" s="13"/>
      <c r="AV423" s="13"/>
      <c r="AW423" s="13"/>
      <c r="AX423" s="13"/>
      <c r="AY423" s="13"/>
      <c r="AZ423" s="13"/>
      <c r="BA423" s="13"/>
      <c r="BB423" s="13"/>
      <c r="BC423" s="13"/>
      <c r="BD423" s="13"/>
      <c r="BE423" s="13"/>
      <c r="BF423" s="13"/>
      <c r="BG423" s="13"/>
      <c r="BH423" s="13"/>
      <c r="BI423" s="13"/>
      <c r="BJ423" s="13"/>
      <c r="BK423" s="13"/>
      <c r="BL423" s="13"/>
      <c r="BM423" s="13"/>
      <c r="BN423" s="13"/>
      <c r="BO423" s="13"/>
      <c r="BP423" s="13"/>
      <c r="BQ423" s="13"/>
      <c r="BR423" s="13"/>
      <c r="BS423" s="13"/>
      <c r="BT423" s="13"/>
      <c r="BU423" s="13"/>
      <c r="BV423" s="13"/>
      <c r="BW423" s="13"/>
      <c r="BX423" s="13"/>
      <c r="BY423" s="13"/>
      <c r="BZ423" s="13"/>
      <c r="CA423" s="13"/>
      <c r="CB423" s="13"/>
      <c r="CC423" s="13"/>
      <c r="CD423" s="13"/>
      <c r="CE423" s="13"/>
      <c r="CF423" s="13"/>
      <c r="CG423" s="13"/>
      <c r="CH423" s="13"/>
      <c r="CI423" s="13"/>
      <c r="CJ423" s="13"/>
      <c r="CK423" s="13"/>
      <c r="CL423" s="13"/>
      <c r="CM423" s="13"/>
      <c r="CN423" s="13"/>
      <c r="CO423" s="13"/>
      <c r="CP423" s="13"/>
      <c r="CQ423" s="13"/>
      <c r="CR423" s="13"/>
      <c r="CS423" s="13"/>
      <c r="CT423" s="13"/>
      <c r="CU423" s="13"/>
      <c r="CV423" s="13"/>
      <c r="CW423" s="13"/>
      <c r="CX423" s="13"/>
      <c r="CY423" s="13"/>
      <c r="CZ423" s="13"/>
      <c r="DA423" s="13"/>
      <c r="DB423" s="13"/>
      <c r="DC423" s="13"/>
      <c r="DD423" s="13"/>
      <c r="DE423" s="13"/>
    </row>
    <row r="424" customFormat="false" ht="13.5" hidden="false" customHeight="true" outlineLevel="0" collapsed="false">
      <c r="A424" s="22" t="s">
        <v>235</v>
      </c>
      <c r="B424" s="13" t="str">
        <f aca="false">IF(OR(B419="",B423=""),"",B423-B419)</f>
        <v/>
      </c>
      <c r="C424" s="13" t="str">
        <f aca="false">IF(OR(C419="",C423=""),"",C423-C419)</f>
        <v/>
      </c>
      <c r="D424" s="13" t="str">
        <f aca="false">IF(OR(D419="",D423=""),"",D423-D419)</f>
        <v/>
      </c>
      <c r="E424" s="13" t="str">
        <f aca="false">IF(OR(E419="",E423=""),"",E423-E419)</f>
        <v/>
      </c>
      <c r="F424" s="13" t="str">
        <f aca="false">IF(OR(F419="",F423=""),"",F423-F419)</f>
        <v/>
      </c>
      <c r="G424" s="13" t="str">
        <f aca="false">IF(OR(G419="",G423=""),"",G423-G419)</f>
        <v/>
      </c>
      <c r="H424" s="13" t="n">
        <f aca="false">IF(OR(H419="",H423=""),"",H423-H419)</f>
        <v>11094</v>
      </c>
      <c r="I424" s="13" t="n">
        <f aca="false">IF(OR(I419="",I423=""),"",I423-I419)</f>
        <v>-680469</v>
      </c>
      <c r="J424" s="13" t="n">
        <f aca="false">IF(OR(J419="",J423=""),"",J423-J419)</f>
        <v>214136</v>
      </c>
      <c r="K424" s="13" t="str">
        <f aca="false">IF(OR(K419="",K423=""),"",K423-K419)</f>
        <v/>
      </c>
      <c r="L424" s="13" t="str">
        <f aca="false">IF(OR(L419="",L423=""),"",L423-L419)</f>
        <v/>
      </c>
      <c r="M424" s="13" t="str">
        <f aca="false">IF(OR(M419="",M423=""),"",M423-M419)</f>
        <v/>
      </c>
      <c r="N424" s="13" t="str">
        <f aca="false">IF(OR(N419="",N423=""),"",N423-N419)</f>
        <v/>
      </c>
      <c r="O424" s="13" t="str">
        <f aca="false">IF(OR(O419="",O423=""),"",O423-O419)</f>
        <v/>
      </c>
      <c r="P424" s="13" t="str">
        <f aca="false">IF(OR(P419="",P423=""),"",P423-P419)</f>
        <v/>
      </c>
      <c r="Q424" s="13" t="str">
        <f aca="false">IF(OR(Q419="",Q423=""),"",Q423-Q419)</f>
        <v/>
      </c>
      <c r="R424" s="13" t="str">
        <f aca="false">IF(OR(R419="",R423=""),"",R423-R419)</f>
        <v/>
      </c>
      <c r="S424" s="13" t="str">
        <f aca="false">IF(OR(S419="",S423=""),"",S423-S419)</f>
        <v/>
      </c>
      <c r="T424" s="13" t="str">
        <f aca="false">IF(OR(T419="",T423=""),"",T423-T419)</f>
        <v/>
      </c>
      <c r="U424" s="13" t="str">
        <f aca="false">IF(OR(U419="",U423=""),"",U423-U419)</f>
        <v/>
      </c>
      <c r="V424" s="13" t="str">
        <f aca="false">IF(OR(V419="",V423=""),"",V423-V419)</f>
        <v/>
      </c>
      <c r="W424" s="13" t="str">
        <f aca="false">IF(OR(W419="",W423=""),"",W423-W419)</f>
        <v/>
      </c>
      <c r="X424" s="13" t="str">
        <f aca="false">IF(OR(X419="",X423=""),"",X423-X419)</f>
        <v/>
      </c>
      <c r="Y424" s="13" t="str">
        <f aca="false">IF(OR(Y419="",Y423=""),"",Y423-Y419)</f>
        <v/>
      </c>
      <c r="Z424" s="13" t="str">
        <f aca="false">IF(OR(Z419="",Z423=""),"",Z423-Z419)</f>
        <v/>
      </c>
      <c r="AA424" s="13" t="str">
        <f aca="false">IF(OR(AA419="",AA423=""),"",AA423-AA419)</f>
        <v/>
      </c>
      <c r="AB424" s="13" t="str">
        <f aca="false">IF(OR(AB419="",AB423=""),"",AB423-AB419)</f>
        <v/>
      </c>
      <c r="AC424" s="13" t="str">
        <f aca="false">IF(OR(AC419="",AC423=""),"",AC423-AC419)</f>
        <v/>
      </c>
      <c r="AD424" s="13" t="str">
        <f aca="false">IF(OR(AD419="",AD423=""),"",AD423-AD419)</f>
        <v/>
      </c>
      <c r="AE424" s="13" t="str">
        <f aca="false">IF(OR(AE419="",AE423=""),"",AE423-AE419)</f>
        <v/>
      </c>
      <c r="AF424" s="13" t="str">
        <f aca="false">IF(OR(AF419="",AF423=""),"",AF423-AF419)</f>
        <v/>
      </c>
      <c r="AG424" s="13" t="str">
        <f aca="false">IF(OR(AG419="",AG423=""),"",AG423-AG419)</f>
        <v/>
      </c>
      <c r="AH424" s="13" t="str">
        <f aca="false">IF(OR(AH419="",AH423=""),"",AH423-AH419)</f>
        <v/>
      </c>
      <c r="AI424" s="13" t="str">
        <f aca="false">IF(OR(AI419="",AI423=""),"",AI423-AI419)</f>
        <v/>
      </c>
      <c r="AJ424" s="13" t="str">
        <f aca="false">IF(OR(AJ419="",AJ423=""),"",AJ423-AJ419)</f>
        <v/>
      </c>
      <c r="AK424" s="13" t="str">
        <f aca="false">IF(OR(AK419="",AK423=""),"",AK423-AK419)</f>
        <v/>
      </c>
      <c r="AL424" s="13" t="str">
        <f aca="false">IF(OR(AL419="",AL423=""),"",AL423-AL419)</f>
        <v/>
      </c>
      <c r="AM424" s="13" t="str">
        <f aca="false">IF(OR(AM419="",AM423=""),"",AM423-AM419)</f>
        <v/>
      </c>
      <c r="AN424" s="13" t="str">
        <f aca="false">IF(OR(AN419="",AN423=""),"",AN423-AN419)</f>
        <v/>
      </c>
      <c r="AO424" s="13" t="str">
        <f aca="false">IF(OR(AO419="",AO423=""),"",AO423-AO419)</f>
        <v/>
      </c>
      <c r="AP424" s="13" t="str">
        <f aca="false">IF(OR(AP419="",AP423=""),"",AP423-AP419)</f>
        <v/>
      </c>
      <c r="AQ424" s="13" t="str">
        <f aca="false">IF(OR(AQ419="",AQ423=""),"",AQ423-AQ419)</f>
        <v/>
      </c>
      <c r="AR424" s="13" t="str">
        <f aca="false">IF(OR(AR419="",AR423=""),"",AR423-AR419)</f>
        <v/>
      </c>
      <c r="AS424" s="13" t="str">
        <f aca="false">IF(OR(AS419="",AS423=""),"",AS423-AS419)</f>
        <v/>
      </c>
      <c r="AT424" s="13" t="str">
        <f aca="false">IF(OR(AT419="",AT423=""),"",AT423-AT419)</f>
        <v/>
      </c>
      <c r="AU424" s="13" t="str">
        <f aca="false">IF(OR(AU419="",AU423=""),"",AU423-AU419)</f>
        <v/>
      </c>
      <c r="AV424" s="13" t="str">
        <f aca="false">IF(OR(AV419="",AV423=""),"",AV423-AV419)</f>
        <v/>
      </c>
      <c r="AW424" s="13" t="str">
        <f aca="false">IF(OR(AW419="",AW423=""),"",AW423-AW419)</f>
        <v/>
      </c>
      <c r="AX424" s="13" t="str">
        <f aca="false">IF(OR(AX419="",AX423=""),"",AX423-AX419)</f>
        <v/>
      </c>
      <c r="AY424" s="13" t="str">
        <f aca="false">IF(OR(AY419="",AY423=""),"",AY423-AY419)</f>
        <v/>
      </c>
      <c r="AZ424" s="13" t="str">
        <f aca="false">IF(OR(AZ419="",AZ423=""),"",AZ423-AZ419)</f>
        <v/>
      </c>
      <c r="BA424" s="13" t="str">
        <f aca="false">IF(OR(BA419="",BA423=""),"",BA423-BA419)</f>
        <v/>
      </c>
      <c r="BB424" s="13" t="str">
        <f aca="false">IF(OR(BB419="",BB423=""),"",BB423-BB419)</f>
        <v/>
      </c>
      <c r="BC424" s="13" t="str">
        <f aca="false">IF(OR(BC419="",BC423=""),"",BC423-BC419)</f>
        <v/>
      </c>
      <c r="BD424" s="13" t="str">
        <f aca="false">IF(OR(BD419="",BD423=""),"",BD423-BD419)</f>
        <v/>
      </c>
      <c r="BE424" s="13" t="str">
        <f aca="false">IF(OR(BE419="",BE423=""),"",BE423-BE419)</f>
        <v/>
      </c>
      <c r="BF424" s="13" t="str">
        <f aca="false">IF(OR(BF419="",BF423=""),"",BF423-BF419)</f>
        <v/>
      </c>
      <c r="BG424" s="13" t="str">
        <f aca="false">IF(OR(BG419="",BG423=""),"",BG423-BG419)</f>
        <v/>
      </c>
      <c r="BH424" s="13" t="str">
        <f aca="false">IF(OR(BH419="",BH423=""),"",BH423-BH419)</f>
        <v/>
      </c>
      <c r="BI424" s="13" t="str">
        <f aca="false">IF(OR(BI419="",BI423=""),"",BI423-BI419)</f>
        <v/>
      </c>
      <c r="BJ424" s="13" t="str">
        <f aca="false">IF(OR(BJ419="",BJ423=""),"",BJ423-BJ419)</f>
        <v/>
      </c>
      <c r="BK424" s="13" t="str">
        <f aca="false">IF(OR(BK419="",BK423=""),"",BK423-BK419)</f>
        <v/>
      </c>
      <c r="BL424" s="13" t="str">
        <f aca="false">IF(OR(BL419="",BL423=""),"",BL423-BL419)</f>
        <v/>
      </c>
      <c r="BM424" s="13" t="str">
        <f aca="false">IF(OR(BM419="",BM423=""),"",BM423-BM419)</f>
        <v/>
      </c>
      <c r="BN424" s="13" t="str">
        <f aca="false">IF(OR(BN419="",BN423=""),"",BN423-BN419)</f>
        <v/>
      </c>
      <c r="BO424" s="13" t="str">
        <f aca="false">IF(OR(BO419="",BO423=""),"",BO423-BO419)</f>
        <v/>
      </c>
      <c r="BP424" s="13" t="str">
        <f aca="false">IF(OR(BP419="",BP423=""),"",BP423-BP419)</f>
        <v/>
      </c>
      <c r="BQ424" s="13" t="str">
        <f aca="false">IF(OR(BQ419="",BQ423=""),"",BQ423-BQ419)</f>
        <v/>
      </c>
      <c r="BR424" s="13" t="str">
        <f aca="false">IF(OR(BR419="",BR423=""),"",BR423-BR419)</f>
        <v/>
      </c>
      <c r="BS424" s="13" t="str">
        <f aca="false">IF(OR(BS419="",BS423=""),"",BS423-BS419)</f>
        <v/>
      </c>
      <c r="BT424" s="13" t="str">
        <f aca="false">IF(OR(BT419="",BT423=""),"",BT423-BT419)</f>
        <v/>
      </c>
      <c r="BU424" s="13" t="str">
        <f aca="false">IF(OR(BU419="",BU423=""),"",BU423-BU419)</f>
        <v/>
      </c>
      <c r="BV424" s="13" t="str">
        <f aca="false">IF(OR(BV419="",BV423=""),"",BV423-BV419)</f>
        <v/>
      </c>
      <c r="BW424" s="13" t="str">
        <f aca="false">IF(OR(BW419="",BW423=""),"",BW423-BW419)</f>
        <v/>
      </c>
      <c r="BX424" s="13" t="str">
        <f aca="false">IF(OR(BX419="",BX423=""),"",BX423-BX419)</f>
        <v/>
      </c>
      <c r="BY424" s="13" t="str">
        <f aca="false">IF(OR(BY419="",BY423=""),"",BY423-BY419)</f>
        <v/>
      </c>
      <c r="BZ424" s="13" t="str">
        <f aca="false">IF(OR(BZ419="",BZ423=""),"",BZ423-BZ419)</f>
        <v/>
      </c>
      <c r="CA424" s="13" t="str">
        <f aca="false">IF(OR(CA419="",CA423=""),"",CA423-CA419)</f>
        <v/>
      </c>
      <c r="CB424" s="13" t="str">
        <f aca="false">IF(OR(CB419="",CB423=""),"",CB423-CB419)</f>
        <v/>
      </c>
      <c r="CC424" s="13" t="str">
        <f aca="false">IF(OR(CC419="",CC423=""),"",CC423-CC419)</f>
        <v/>
      </c>
      <c r="CD424" s="13" t="str">
        <f aca="false">IF(OR(CD419="",CD423=""),"",CD423-CD419)</f>
        <v/>
      </c>
      <c r="CE424" s="13" t="str">
        <f aca="false">IF(OR(CE419="",CE423=""),"",CE423-CE419)</f>
        <v/>
      </c>
      <c r="CF424" s="13" t="str">
        <f aca="false">IF(OR(CF419="",CF423=""),"",CF423-CF419)</f>
        <v/>
      </c>
      <c r="CG424" s="13" t="str">
        <f aca="false">IF(OR(CG419="",CG423=""),"",CG423-CG419)</f>
        <v/>
      </c>
      <c r="CH424" s="13" t="str">
        <f aca="false">IF(OR(CH419="",CH423=""),"",CH423-CH419)</f>
        <v/>
      </c>
      <c r="CI424" s="13" t="str">
        <f aca="false">IF(OR(CI419="",CI423=""),"",CI423-CI419)</f>
        <v/>
      </c>
      <c r="CJ424" s="13" t="str">
        <f aca="false">IF(OR(CJ419="",CJ423=""),"",CJ423-CJ419)</f>
        <v/>
      </c>
      <c r="CK424" s="13" t="str">
        <f aca="false">IF(OR(CK419="",CK423=""),"",CK423-CK419)</f>
        <v/>
      </c>
      <c r="CL424" s="13" t="str">
        <f aca="false">IF(OR(CL419="",CL423=""),"",CL423-CL419)</f>
        <v/>
      </c>
      <c r="CM424" s="13" t="str">
        <f aca="false">IF(OR(CM419="",CM423=""),"",CM423-CM419)</f>
        <v/>
      </c>
      <c r="CN424" s="13" t="str">
        <f aca="false">IF(OR(CN419="",CN423=""),"",CN423-CN419)</f>
        <v/>
      </c>
      <c r="CO424" s="13" t="str">
        <f aca="false">IF(OR(CO419="",CO423=""),"",CO423-CO419)</f>
        <v/>
      </c>
      <c r="CP424" s="13" t="str">
        <f aca="false">IF(OR(CP419="",CP423=""),"",CP423-CP419)</f>
        <v/>
      </c>
      <c r="CQ424" s="13" t="str">
        <f aca="false">IF(OR(CQ419="",CQ423=""),"",CQ423-CQ419)</f>
        <v/>
      </c>
      <c r="CR424" s="13" t="str">
        <f aca="false">IF(OR(CR419="",CR423=""),"",CR423-CR419)</f>
        <v/>
      </c>
      <c r="CS424" s="13" t="str">
        <f aca="false">IF(OR(CS419="",CS423=""),"",CS423-CS419)</f>
        <v/>
      </c>
      <c r="CT424" s="13" t="str">
        <f aca="false">IF(OR(CT419="",CT423=""),"",CT423-CT419)</f>
        <v/>
      </c>
      <c r="CU424" s="13" t="str">
        <f aca="false">IF(OR(CU419="",CU423=""),"",CU423-CU419)</f>
        <v/>
      </c>
      <c r="CV424" s="13" t="str">
        <f aca="false">IF(OR(CV419="",CV423=""),"",CV423-CV419)</f>
        <v/>
      </c>
      <c r="CW424" s="13" t="str">
        <f aca="false">IF(OR(CW419="",CW423=""),"",CW423-CW419)</f>
        <v/>
      </c>
      <c r="CX424" s="13" t="str">
        <f aca="false">IF(OR(CX419="",CX423=""),"",CX423-CX419)</f>
        <v/>
      </c>
      <c r="CY424" s="13" t="str">
        <f aca="false">IF(OR(CY419="",CY423=""),"",CY423-CY419)</f>
        <v/>
      </c>
      <c r="CZ424" s="13" t="str">
        <f aca="false">IF(OR(CZ419="",CZ423=""),"",CZ423-CZ419)</f>
        <v/>
      </c>
      <c r="DA424" s="13" t="str">
        <f aca="false">IF(OR(DA419="",DA423=""),"",DA423-DA419)</f>
        <v/>
      </c>
      <c r="DB424" s="13" t="str">
        <f aca="false">IF(OR(DB419="",DB423=""),"",DB423-DB419)</f>
        <v/>
      </c>
      <c r="DC424" s="13" t="str">
        <f aca="false">IF(OR(DC419="",DC423=""),"",DC423-DC419)</f>
        <v/>
      </c>
      <c r="DD424" s="13" t="str">
        <f aca="false">IF(OR(DD419="",DD423=""),"",DD423-DD419)</f>
        <v/>
      </c>
      <c r="DE424" s="13" t="str">
        <f aca="false">IF(OR(DE419="",DE423=""),"",DE423-DE419)</f>
        <v/>
      </c>
    </row>
    <row r="426" customFormat="false" ht="13.5" hidden="false" customHeight="true" outlineLevel="0" collapsed="false">
      <c r="A426" s="23" t="s">
        <v>237</v>
      </c>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c r="CK426" s="34"/>
      <c r="CL426" s="34"/>
      <c r="CM426" s="34"/>
      <c r="CN426" s="34"/>
      <c r="CO426" s="34"/>
      <c r="CP426" s="34"/>
      <c r="CQ426" s="34"/>
      <c r="CR426" s="34"/>
      <c r="CS426" s="34"/>
      <c r="CT426" s="34"/>
      <c r="CU426" s="34"/>
      <c r="CV426" s="34"/>
      <c r="CW426" s="34"/>
      <c r="CX426" s="34"/>
      <c r="CY426" s="34"/>
      <c r="CZ426" s="34"/>
      <c r="DA426" s="34"/>
      <c r="DB426" s="34"/>
      <c r="DC426" s="34"/>
      <c r="DD426" s="34"/>
      <c r="DE426" s="34"/>
    </row>
    <row r="427" customFormat="false" ht="13.5" hidden="false" customHeight="true" outlineLevel="0" collapsed="false">
      <c r="A427" s="22" t="s">
        <v>230</v>
      </c>
      <c r="B427" s="13" t="n">
        <f aca="false">IF(B408="","",B408)</f>
        <v>1058211</v>
      </c>
      <c r="C427" s="13" t="n">
        <f aca="false">IF(C408="","",C408)</f>
        <v>226730</v>
      </c>
      <c r="D427" s="13" t="n">
        <f aca="false">IF(D408="","",D408)</f>
        <v>804668</v>
      </c>
      <c r="E427" s="13" t="n">
        <f aca="false">IF(E408="","",E408)</f>
        <v>762695</v>
      </c>
      <c r="F427" s="13" t="n">
        <f aca="false">IF(F408="","",F408)</f>
        <v>845218</v>
      </c>
      <c r="G427" s="13" t="n">
        <f aca="false">IF(G408="","",G408)</f>
        <v>971507</v>
      </c>
      <c r="H427" s="13" t="n">
        <f aca="false">IF(H408="","",H408)</f>
        <v>405563</v>
      </c>
      <c r="I427" s="13" t="n">
        <f aca="false">IF(I408="","",I408)</f>
        <v>1945296</v>
      </c>
      <c r="J427" s="13" t="n">
        <f aca="false">IF(J408="","",J408)</f>
        <v>1714690</v>
      </c>
      <c r="K427" s="13" t="str">
        <f aca="false">IF(K408="","",K408)</f>
        <v/>
      </c>
      <c r="L427" s="13" t="str">
        <f aca="false">IF(L408="","",L408)</f>
        <v/>
      </c>
      <c r="M427" s="13" t="str">
        <f aca="false">IF(M408="","",M408)</f>
        <v/>
      </c>
      <c r="N427" s="13" t="str">
        <f aca="false">IF(N408="","",N408)</f>
        <v/>
      </c>
      <c r="O427" s="13" t="str">
        <f aca="false">IF(O408="","",O408)</f>
        <v/>
      </c>
      <c r="P427" s="13" t="str">
        <f aca="false">IF(P408="","",P408)</f>
        <v/>
      </c>
      <c r="Q427" s="13" t="str">
        <f aca="false">IF(Q408="","",Q408)</f>
        <v/>
      </c>
      <c r="R427" s="13" t="str">
        <f aca="false">IF(R408="","",R408)</f>
        <v/>
      </c>
      <c r="S427" s="13" t="str">
        <f aca="false">IF(S408="","",S408)</f>
        <v/>
      </c>
      <c r="T427" s="13" t="str">
        <f aca="false">IF(T408="","",T408)</f>
        <v/>
      </c>
      <c r="U427" s="13" t="str">
        <f aca="false">IF(U408="","",U408)</f>
        <v/>
      </c>
      <c r="V427" s="13" t="str">
        <f aca="false">IF(V408="","",V408)</f>
        <v/>
      </c>
      <c r="W427" s="13" t="str">
        <f aca="false">IF(W408="","",W408)</f>
        <v/>
      </c>
      <c r="X427" s="13" t="str">
        <f aca="false">IF(X408="","",X408)</f>
        <v/>
      </c>
      <c r="Y427" s="13" t="str">
        <f aca="false">IF(Y408="","",Y408)</f>
        <v/>
      </c>
      <c r="Z427" s="13" t="str">
        <f aca="false">IF(Z408="","",Z408)</f>
        <v/>
      </c>
      <c r="AA427" s="13" t="str">
        <f aca="false">IF(AA408="","",AA408)</f>
        <v/>
      </c>
      <c r="AB427" s="13" t="str">
        <f aca="false">IF(AB408="","",AB408)</f>
        <v/>
      </c>
      <c r="AC427" s="13" t="str">
        <f aca="false">IF(AC408="","",AC408)</f>
        <v/>
      </c>
      <c r="AD427" s="13" t="str">
        <f aca="false">IF(AD408="","",AD408)</f>
        <v/>
      </c>
      <c r="AE427" s="13" t="str">
        <f aca="false">IF(AE408="","",AE408)</f>
        <v/>
      </c>
      <c r="AF427" s="13" t="str">
        <f aca="false">IF(AF408="","",AF408)</f>
        <v/>
      </c>
      <c r="AG427" s="13" t="str">
        <f aca="false">IF(AG408="","",AG408)</f>
        <v/>
      </c>
      <c r="AH427" s="13" t="str">
        <f aca="false">IF(AH408="","",AH408)</f>
        <v/>
      </c>
      <c r="AI427" s="13" t="str">
        <f aca="false">IF(AI408="","",AI408)</f>
        <v/>
      </c>
      <c r="AJ427" s="13" t="str">
        <f aca="false">IF(AJ408="","",AJ408)</f>
        <v/>
      </c>
      <c r="AK427" s="13" t="str">
        <f aca="false">IF(AK408="","",AK408)</f>
        <v/>
      </c>
      <c r="AL427" s="13" t="str">
        <f aca="false">IF(AL408="","",AL408)</f>
        <v/>
      </c>
      <c r="AM427" s="13" t="str">
        <f aca="false">IF(AM408="","",AM408)</f>
        <v/>
      </c>
      <c r="AN427" s="13" t="str">
        <f aca="false">IF(AN408="","",AN408)</f>
        <v/>
      </c>
      <c r="AO427" s="13" t="str">
        <f aca="false">IF(AO408="","",AO408)</f>
        <v/>
      </c>
      <c r="AP427" s="13" t="str">
        <f aca="false">IF(AP408="","",AP408)</f>
        <v/>
      </c>
      <c r="AQ427" s="13" t="str">
        <f aca="false">IF(AQ408="","",AQ408)</f>
        <v/>
      </c>
      <c r="AR427" s="13" t="str">
        <f aca="false">IF(AR408="","",AR408)</f>
        <v/>
      </c>
      <c r="AS427" s="13" t="str">
        <f aca="false">IF(AS408="","",AS408)</f>
        <v/>
      </c>
      <c r="AT427" s="13" t="str">
        <f aca="false">IF(AT408="","",AT408)</f>
        <v/>
      </c>
      <c r="AU427" s="13" t="str">
        <f aca="false">IF(AU408="","",AU408)</f>
        <v/>
      </c>
      <c r="AV427" s="13" t="str">
        <f aca="false">IF(AV408="","",AV408)</f>
        <v/>
      </c>
      <c r="AW427" s="13" t="str">
        <f aca="false">IF(AW408="","",AW408)</f>
        <v/>
      </c>
      <c r="AX427" s="13" t="str">
        <f aca="false">IF(AX408="","",AX408)</f>
        <v/>
      </c>
      <c r="AY427" s="13" t="str">
        <f aca="false">IF(AY408="","",AY408)</f>
        <v/>
      </c>
      <c r="AZ427" s="13" t="str">
        <f aca="false">IF(AZ408="","",AZ408)</f>
        <v/>
      </c>
      <c r="BA427" s="13" t="str">
        <f aca="false">IF(BA408="","",BA408)</f>
        <v/>
      </c>
      <c r="BB427" s="13" t="str">
        <f aca="false">IF(BB408="","",BB408)</f>
        <v/>
      </c>
      <c r="BC427" s="13" t="str">
        <f aca="false">IF(BC408="","",BC408)</f>
        <v/>
      </c>
      <c r="BD427" s="13" t="str">
        <f aca="false">IF(BD408="","",BD408)</f>
        <v/>
      </c>
      <c r="BE427" s="13" t="str">
        <f aca="false">IF(BE408="","",BE408)</f>
        <v/>
      </c>
      <c r="BF427" s="13" t="str">
        <f aca="false">IF(BF408="","",BF408)</f>
        <v/>
      </c>
      <c r="BG427" s="13" t="str">
        <f aca="false">IF(BG408="","",BG408)</f>
        <v/>
      </c>
      <c r="BH427" s="13" t="str">
        <f aca="false">IF(BH408="","",BH408)</f>
        <v/>
      </c>
      <c r="BI427" s="13" t="str">
        <f aca="false">IF(BI408="","",BI408)</f>
        <v/>
      </c>
      <c r="BJ427" s="13" t="str">
        <f aca="false">IF(BJ408="","",BJ408)</f>
        <v/>
      </c>
      <c r="BK427" s="13" t="str">
        <f aca="false">IF(BK408="","",BK408)</f>
        <v/>
      </c>
      <c r="BL427" s="13" t="str">
        <f aca="false">IF(BL408="","",BL408)</f>
        <v/>
      </c>
      <c r="BM427" s="13" t="str">
        <f aca="false">IF(BM408="","",BM408)</f>
        <v/>
      </c>
      <c r="BN427" s="13" t="str">
        <f aca="false">IF(BN408="","",BN408)</f>
        <v/>
      </c>
      <c r="BO427" s="13" t="str">
        <f aca="false">IF(BO408="","",BO408)</f>
        <v/>
      </c>
      <c r="BP427" s="13" t="str">
        <f aca="false">IF(BP408="","",BP408)</f>
        <v/>
      </c>
      <c r="BQ427" s="13" t="str">
        <f aca="false">IF(BQ408="","",BQ408)</f>
        <v/>
      </c>
      <c r="BR427" s="13" t="str">
        <f aca="false">IF(BR408="","",BR408)</f>
        <v/>
      </c>
      <c r="BS427" s="13" t="str">
        <f aca="false">IF(BS408="","",BS408)</f>
        <v/>
      </c>
      <c r="BT427" s="13" t="str">
        <f aca="false">IF(BT408="","",BT408)</f>
        <v/>
      </c>
      <c r="BU427" s="13" t="str">
        <f aca="false">IF(BU408="","",BU408)</f>
        <v/>
      </c>
      <c r="BV427" s="13" t="str">
        <f aca="false">IF(BV408="","",BV408)</f>
        <v/>
      </c>
      <c r="BW427" s="13" t="str">
        <f aca="false">IF(BW408="","",BW408)</f>
        <v/>
      </c>
      <c r="BX427" s="13" t="str">
        <f aca="false">IF(BX408="","",BX408)</f>
        <v/>
      </c>
      <c r="BY427" s="13" t="str">
        <f aca="false">IF(BY408="","",BY408)</f>
        <v/>
      </c>
      <c r="BZ427" s="13" t="str">
        <f aca="false">IF(BZ408="","",BZ408)</f>
        <v/>
      </c>
      <c r="CA427" s="13" t="str">
        <f aca="false">IF(CA408="","",CA408)</f>
        <v/>
      </c>
      <c r="CB427" s="13" t="str">
        <f aca="false">IF(CB408="","",CB408)</f>
        <v/>
      </c>
      <c r="CC427" s="13" t="str">
        <f aca="false">IF(CC408="","",CC408)</f>
        <v/>
      </c>
      <c r="CD427" s="13" t="str">
        <f aca="false">IF(CD408="","",CD408)</f>
        <v/>
      </c>
      <c r="CE427" s="13" t="str">
        <f aca="false">IF(CE408="","",CE408)</f>
        <v/>
      </c>
      <c r="CF427" s="13" t="str">
        <f aca="false">IF(CF408="","",CF408)</f>
        <v/>
      </c>
      <c r="CG427" s="13" t="str">
        <f aca="false">IF(CG408="","",CG408)</f>
        <v/>
      </c>
      <c r="CH427" s="13" t="str">
        <f aca="false">IF(CH408="","",CH408)</f>
        <v/>
      </c>
      <c r="CI427" s="13" t="str">
        <f aca="false">IF(CI408="","",CI408)</f>
        <v/>
      </c>
      <c r="CJ427" s="13" t="str">
        <f aca="false">IF(CJ408="","",CJ408)</f>
        <v/>
      </c>
      <c r="CK427" s="13" t="str">
        <f aca="false">IF(CK408="","",CK408)</f>
        <v/>
      </c>
      <c r="CL427" s="13" t="str">
        <f aca="false">IF(CL408="","",CL408)</f>
        <v/>
      </c>
      <c r="CM427" s="13" t="str">
        <f aca="false">IF(CM408="","",CM408)</f>
        <v/>
      </c>
      <c r="CN427" s="13" t="str">
        <f aca="false">IF(CN408="","",CN408)</f>
        <v/>
      </c>
      <c r="CO427" s="13" t="str">
        <f aca="false">IF(CO408="","",CO408)</f>
        <v/>
      </c>
      <c r="CP427" s="13" t="str">
        <f aca="false">IF(CP408="","",CP408)</f>
        <v/>
      </c>
      <c r="CQ427" s="13" t="str">
        <f aca="false">IF(CQ408="","",CQ408)</f>
        <v/>
      </c>
      <c r="CR427" s="13" t="str">
        <f aca="false">IF(CR408="","",CR408)</f>
        <v/>
      </c>
      <c r="CS427" s="13" t="str">
        <f aca="false">IF(CS408="","",CS408)</f>
        <v/>
      </c>
      <c r="CT427" s="13" t="str">
        <f aca="false">IF(CT408="","",CT408)</f>
        <v/>
      </c>
      <c r="CU427" s="13" t="str">
        <f aca="false">IF(CU408="","",CU408)</f>
        <v/>
      </c>
      <c r="CV427" s="13" t="str">
        <f aca="false">IF(CV408="","",CV408)</f>
        <v/>
      </c>
      <c r="CW427" s="13" t="str">
        <f aca="false">IF(CW408="","",CW408)</f>
        <v/>
      </c>
      <c r="CX427" s="13" t="str">
        <f aca="false">IF(CX408="","",CX408)</f>
        <v/>
      </c>
      <c r="CY427" s="13" t="str">
        <f aca="false">IF(CY408="","",CY408)</f>
        <v/>
      </c>
      <c r="CZ427" s="13" t="str">
        <f aca="false">IF(CZ408="","",CZ408)</f>
        <v/>
      </c>
      <c r="DA427" s="13" t="str">
        <f aca="false">IF(DA408="","",DA408)</f>
        <v/>
      </c>
      <c r="DB427" s="13" t="str">
        <f aca="false">IF(DB408="","",DB408)</f>
        <v/>
      </c>
      <c r="DC427" s="13" t="str">
        <f aca="false">IF(DC408="","",DC408)</f>
        <v/>
      </c>
      <c r="DD427" s="13" t="str">
        <f aca="false">IF(DD408="","",DD408)</f>
        <v/>
      </c>
      <c r="DE427" s="13" t="str">
        <f aca="false">IF(DE408="","",DE408)</f>
        <v/>
      </c>
    </row>
    <row r="428" customFormat="false" ht="13.5" hidden="false" customHeight="true" outlineLevel="0" collapsed="false">
      <c r="A428" s="22" t="s">
        <v>231</v>
      </c>
      <c r="B428" s="13" t="str">
        <f aca="false">IF(B$4="Actuals",IF(C$4="Actuals","",C381),B383)</f>
        <v/>
      </c>
      <c r="C428" s="13" t="str">
        <f aca="false">IF(C$4="Actuals",IF(D$4="Actuals","",D381),C383)</f>
        <v/>
      </c>
      <c r="D428" s="13" t="str">
        <f aca="false">IF(D$4="Actuals",IF(E$4="Actuals","",E381),D383)</f>
        <v/>
      </c>
      <c r="E428" s="13" t="str">
        <f aca="false">IF(E$4="Actuals",IF(F$4="Actuals","",F381),E383)</f>
        <v/>
      </c>
      <c r="F428" s="13" t="str">
        <f aca="false">IF(F$4="Actuals",IF(G$4="Actuals","",G381),F383)</f>
        <v/>
      </c>
      <c r="G428" s="13" t="str">
        <f aca="false">IF(G$4="Actuals",IF(H$4="Actuals","",H381),G383)</f>
        <v/>
      </c>
      <c r="H428" s="13" t="str">
        <f aca="false">IF(H$4="Actuals",IF(I$4="Actuals","",I381),H383)</f>
        <v/>
      </c>
      <c r="I428" s="13" t="str">
        <f aca="false">IF(I$4="Actuals",IF(J$4="Actuals","",J381),I383)</f>
        <v/>
      </c>
      <c r="J428" s="13" t="n">
        <f aca="false">IF(J$4="Actuals",IF(K$4="Actuals","",K381),J383)</f>
        <v>1714690</v>
      </c>
      <c r="K428" s="13" t="n">
        <f aca="false">IF(K$4="Actuals",IF(L$4="Actuals","",L381),K383)</f>
        <v>1863856.50321667</v>
      </c>
      <c r="L428" s="13" t="n">
        <f aca="false">IF(L$4="Actuals",IF(M$4="Actuals","",M381),L383)</f>
        <v>1860934.13093333</v>
      </c>
      <c r="M428" s="13" t="n">
        <f aca="false">IF(M$4="Actuals",IF(N$4="Actuals","",N381),M383)</f>
        <v>2154079.30210215</v>
      </c>
      <c r="N428" s="13" t="n">
        <f aca="false">IF(N$4="Actuals",IF(O$4="Actuals","",O381),N383)</f>
        <v>219247.705748025</v>
      </c>
      <c r="O428" s="13" t="n">
        <f aca="false">IF(O$4="Actuals",IF(P$4="Actuals","",P381),O383)</f>
        <v>243644.966280379</v>
      </c>
      <c r="P428" s="13" t="n">
        <f aca="false">IF(P$4="Actuals",IF(Q$4="Actuals","",Q381),P383)</f>
        <v>329615.401326683</v>
      </c>
      <c r="Q428" s="13" t="n">
        <f aca="false">IF(Q$4="Actuals",IF(R$4="Actuals","",R381),Q383)</f>
        <v>402186.070853603</v>
      </c>
      <c r="R428" s="13" t="n">
        <f aca="false">IF(R$4="Actuals",IF(S$4="Actuals","",S381),R383)</f>
        <v>199718.829069451</v>
      </c>
      <c r="S428" s="13" t="n">
        <f aca="false">IF(S$4="Actuals",IF(T$4="Actuals","",T381),S383)</f>
        <v>122662.762784604</v>
      </c>
      <c r="T428" s="13" t="n">
        <f aca="false">IF(T$4="Actuals",IF(U$4="Actuals","",U381),T383)</f>
        <v>-67485.4469112023</v>
      </c>
      <c r="U428" s="13" t="n">
        <f aca="false">IF(U$4="Actuals",IF(V$4="Actuals","",V381),U383)</f>
        <v>383606.383402795</v>
      </c>
      <c r="V428" s="13" t="n">
        <f aca="false">IF(V$4="Actuals",IF(W$4="Actuals","",W381),V383)</f>
        <v>780637.386611556</v>
      </c>
      <c r="W428" s="13" t="n">
        <f aca="false">IF(W$4="Actuals",IF(X$4="Actuals","",X381),W383)</f>
        <v>958174.668680422</v>
      </c>
      <c r="X428" s="13" t="n">
        <f aca="false">IF(X$4="Actuals",IF(Y$4="Actuals","",Y381),X383)</f>
        <v>1046967.86798283</v>
      </c>
      <c r="Y428" s="13" t="n">
        <f aca="false">IF(Y$4="Actuals",IF(Z$4="Actuals","",Z381),Y383)</f>
        <v>1458833.04559731</v>
      </c>
      <c r="Z428" s="13" t="n">
        <f aca="false">IF(Z$4="Actuals",IF(AA$4="Actuals","",AA381),Z383)</f>
        <v>418283.53692978</v>
      </c>
      <c r="AA428" s="13" t="n">
        <f aca="false">IF(AA$4="Actuals",IF(AB$4="Actuals","",AB381),AA383)</f>
        <v>709059.792384259</v>
      </c>
      <c r="AB428" s="13" t="n">
        <f aca="false">IF(AB$4="Actuals",IF(AC$4="Actuals","",AC381),AB383)</f>
        <v>1215702.62346052</v>
      </c>
      <c r="AC428" s="13" t="n">
        <f aca="false">IF(AC$4="Actuals",IF(AD$4="Actuals","",AD381),AC383)</f>
        <v>1457669.25229961</v>
      </c>
      <c r="AD428" s="13" t="n">
        <f aca="false">IF(AD$4="Actuals",IF(AE$4="Actuals","",AE381),AD383)</f>
        <v>1626756.43183101</v>
      </c>
      <c r="AE428" s="13" t="n">
        <f aca="false">IF(AE$4="Actuals",IF(AF$4="Actuals","",AF381),AE383)</f>
        <v>1890321.03224206</v>
      </c>
      <c r="AF428" s="13" t="n">
        <f aca="false">IF(AF$4="Actuals",IF(AG$4="Actuals","",AG381),AF383)</f>
        <v>1630606.59094871</v>
      </c>
      <c r="AG428" s="13" t="n">
        <f aca="false">IF(AG$4="Actuals",IF(AH$4="Actuals","",AH381),AG383)</f>
        <v>2197061.3153568</v>
      </c>
      <c r="AH428" s="13" t="n">
        <f aca="false">IF(AH$4="Actuals",IF(AI$4="Actuals","",AI381),AH383)</f>
        <v>2767183.83703221</v>
      </c>
      <c r="AI428" s="13" t="n">
        <f aca="false">IF(AI$4="Actuals",IF(AJ$4="Actuals","",AJ381),AI383)</f>
        <v>3215643.91142164</v>
      </c>
      <c r="AJ428" s="13" t="n">
        <f aca="false">IF(AJ$4="Actuals",IF(AK$4="Actuals","",AK381),AJ383)</f>
        <v>3497849.8568726</v>
      </c>
      <c r="AK428" s="13" t="n">
        <f aca="false">IF(AK$4="Actuals",IF(AL$4="Actuals","",AL381),AK383)</f>
        <v>3467386.80276313</v>
      </c>
      <c r="AL428" s="13" t="n">
        <f aca="false">IF(AL$4="Actuals",IF(AM$4="Actuals","",AM381),AL383)</f>
        <v>1085360.89691935</v>
      </c>
      <c r="AM428" s="13" t="n">
        <f aca="false">IF(AM$4="Actuals",IF(AN$4="Actuals","",AN381),AM383)</f>
        <v>847594.701209802</v>
      </c>
      <c r="AN428" s="13" t="n">
        <f aca="false">IF(AN$4="Actuals",IF(AO$4="Actuals","",AO381),AN383)</f>
        <v>1284501.37541545</v>
      </c>
      <c r="AO428" s="13" t="n">
        <f aca="false">IF(AO$4="Actuals",IF(AP$4="Actuals","",AP381),AO383)</f>
        <v>1531442.48090858</v>
      </c>
      <c r="AP428" s="13" t="n">
        <f aca="false">IF(AP$4="Actuals",IF(AQ$4="Actuals","",AQ381),AP383)</f>
        <v>1719998.92281926</v>
      </c>
      <c r="AQ428" s="13" t="n">
        <f aca="false">IF(AQ$4="Actuals",IF(AR$4="Actuals","",AR381),AQ383)</f>
        <v>1757460.53295501</v>
      </c>
      <c r="AR428" s="13" t="n">
        <f aca="false">IF(AR$4="Actuals",IF(AS$4="Actuals","",AS381),AR383)</f>
        <v>1575211.12889725</v>
      </c>
      <c r="AS428" s="13" t="n">
        <f aca="false">IF(AS$4="Actuals",IF(AT$4="Actuals","",AT381),AS383)</f>
        <v>1392961.72483949</v>
      </c>
      <c r="AT428" s="13" t="n">
        <f aca="false">IF(AT$4="Actuals",IF(AU$4="Actuals","",AU381),AT383)</f>
        <v>1299936.07409286</v>
      </c>
      <c r="AU428" s="13" t="n">
        <f aca="false">IF(AU$4="Actuals",IF(AV$4="Actuals","",AV381),AU383)</f>
        <v>1276743.79140551</v>
      </c>
      <c r="AV428" s="13" t="n">
        <f aca="false">IF(AV$4="Actuals",IF(AW$4="Actuals","",AW381),AV383)</f>
        <v>1252118.54631761</v>
      </c>
      <c r="AW428" s="13" t="n">
        <f aca="false">IF(AW$4="Actuals",IF(AX$4="Actuals","",AX381),AW383)</f>
        <v>1049746.29070024</v>
      </c>
      <c r="AX428" s="13" t="n">
        <f aca="false">IF(AX$4="Actuals",IF(AY$4="Actuals","",AY381),AX383)</f>
        <v>591123.831595099</v>
      </c>
      <c r="AY428" s="13" t="n">
        <f aca="false">IF(AY$4="Actuals",IF(AZ$4="Actuals","",AZ381),AY383)</f>
        <v>132501.372489955</v>
      </c>
      <c r="AZ428" s="13" t="n">
        <f aca="false">IF(AZ$4="Actuals",IF(BA$4="Actuals","",BA381),AZ383)</f>
        <v>-326121.086615188</v>
      </c>
      <c r="BA428" s="13" t="n">
        <f aca="false">IF(BA$4="Actuals",IF(BB$4="Actuals","",BB381),BA383)</f>
        <v>-784743.545720331</v>
      </c>
      <c r="BB428" s="13" t="n">
        <f aca="false">IF(BB$4="Actuals",IF(BC$4="Actuals","",BC381),BB383)</f>
        <v>-1243366.00482547</v>
      </c>
      <c r="BC428" s="13" t="n">
        <f aca="false">IF(BC$4="Actuals",IF(BD$4="Actuals","",BD381),BC383)</f>
        <v>-1701988.46393062</v>
      </c>
      <c r="BD428" s="13" t="n">
        <f aca="false">IF(BD$4="Actuals",IF(BE$4="Actuals","",BE381),BD383)</f>
        <v>-2160610.92303576</v>
      </c>
      <c r="BE428" s="13" t="n">
        <f aca="false">IF(BE$4="Actuals",IF(BF$4="Actuals","",BF381),BE383)</f>
        <v>-2619233.3821409</v>
      </c>
      <c r="BF428" s="13" t="n">
        <f aca="false">IF(BF$4="Actuals",IF(BG$4="Actuals","",BG381),BF383)</f>
        <v>-3077855.84124605</v>
      </c>
      <c r="BG428" s="13" t="n">
        <f aca="false">IF(BG$4="Actuals",IF(BH$4="Actuals","",BH381),BG383)</f>
        <v>-3536478.30035119</v>
      </c>
      <c r="BH428" s="13" t="n">
        <f aca="false">IF(BH$4="Actuals",IF(BI$4="Actuals","",BI381),BH383)</f>
        <v>-3758611.29815352</v>
      </c>
      <c r="BI428" s="13" t="n">
        <f aca="false">IF(BI$4="Actuals",IF(BJ$4="Actuals","",BJ381),BI383)</f>
        <v>-4160414.50015963</v>
      </c>
      <c r="BJ428" s="13" t="n">
        <f aca="false">IF(BJ$4="Actuals",IF(BK$4="Actuals","",BK381),BJ383)</f>
        <v>-4780227.8404485</v>
      </c>
      <c r="BK428" s="13" t="n">
        <f aca="false">IF(BK$4="Actuals",IF(BL$4="Actuals","",BL381),BK383)</f>
        <v>-5400041.18073737</v>
      </c>
      <c r="BL428" s="13" t="n">
        <f aca="false">IF(BL$4="Actuals",IF(BM$4="Actuals","",BM381),BL383)</f>
        <v>-6019854.52102624</v>
      </c>
      <c r="BM428" s="13" t="n">
        <f aca="false">IF(BM$4="Actuals",IF(BN$4="Actuals","",BN381),BM383)</f>
        <v>-6639667.86131511</v>
      </c>
      <c r="BN428" s="13" t="n">
        <f aca="false">IF(BN$4="Actuals",IF(BO$4="Actuals","",BO381),BN383)</f>
        <v>-7259481.20160398</v>
      </c>
      <c r="BO428" s="13" t="n">
        <f aca="false">IF(BO$4="Actuals",IF(BP$4="Actuals","",BP381),BO383)</f>
        <v>-7879294.54189285</v>
      </c>
      <c r="BP428" s="13" t="n">
        <f aca="false">IF(BP$4="Actuals",IF(BQ$4="Actuals","",BQ381),BP383)</f>
        <v>-8499107.88218172</v>
      </c>
      <c r="BQ428" s="13" t="n">
        <f aca="false">IF(BQ$4="Actuals",IF(BR$4="Actuals","",BR381),BQ383)</f>
        <v>-9118921.22247059</v>
      </c>
      <c r="BR428" s="13" t="n">
        <f aca="false">IF(BR$4="Actuals",IF(BS$4="Actuals","",BS381),BR383)</f>
        <v>-9685484.21275946</v>
      </c>
      <c r="BS428" s="13" t="n">
        <f aca="false">IF(BS$4="Actuals",IF(BT$4="Actuals","",BT381),BS383)</f>
        <v>-10305297.5530483</v>
      </c>
      <c r="BT428" s="13" t="n">
        <f aca="false">IF(BT$4="Actuals",IF(BU$4="Actuals","",BU381),BT383)</f>
        <v>-10925110.8933372</v>
      </c>
      <c r="BU428" s="13" t="n">
        <f aca="false">IF(BU$4="Actuals",IF(BV$4="Actuals","",BV381),BU383)</f>
        <v>-11677162.2336261</v>
      </c>
      <c r="BV428" s="13" t="n">
        <f aca="false">IF(BV$4="Actuals",IF(BW$4="Actuals","",BW381),BV383)</f>
        <v>-12308618.0807207</v>
      </c>
      <c r="BW428" s="13" t="n">
        <f aca="false">IF(BW$4="Actuals",IF(BX$4="Actuals","",BX381),BW383)</f>
        <v>-12940073.9278154</v>
      </c>
      <c r="BX428" s="13" t="n">
        <f aca="false">IF(BX$4="Actuals",IF(BY$4="Actuals","",BY381),BX383)</f>
        <v>-13503767.77491</v>
      </c>
      <c r="BY428" s="13" t="n">
        <f aca="false">IF(BY$4="Actuals",IF(BZ$4="Actuals","",BZ381),BY383)</f>
        <v>-14135223.6220047</v>
      </c>
      <c r="BZ428" s="13" t="n">
        <f aca="false">IF(BZ$4="Actuals",IF(CA$4="Actuals","",CA381),BZ383)</f>
        <v>-14766679.4690993</v>
      </c>
      <c r="CA428" s="13" t="n">
        <f aca="false">IF(CA$4="Actuals",IF(CB$4="Actuals","",CB381),CA383)</f>
        <v>-15330373.316194</v>
      </c>
      <c r="CB428" s="13" t="n">
        <f aca="false">IF(CB$4="Actuals",IF(CC$4="Actuals","",CC381),CB383)</f>
        <v>-15961829.1632886</v>
      </c>
      <c r="CC428" s="13" t="n">
        <f aca="false">IF(CC$4="Actuals",IF(CD$4="Actuals","",CD381),CC383)</f>
        <v>-16593285.0103833</v>
      </c>
      <c r="CD428" s="13" t="n">
        <f aca="false">IF(CD$4="Actuals",IF(CE$4="Actuals","",CE381),CD383)</f>
        <v>-17148241.8574779</v>
      </c>
      <c r="CE428" s="13" t="n">
        <f aca="false">IF(CE$4="Actuals",IF(CF$4="Actuals","",CF381),CE383)</f>
        <v>-17779697.7045725</v>
      </c>
      <c r="CF428" s="13" t="n">
        <f aca="false">IF(CF$4="Actuals",IF(CG$4="Actuals","",CG381),CF383)</f>
        <v>-18411153.5516672</v>
      </c>
      <c r="CG428" s="13" t="n">
        <f aca="false">IF(CG$4="Actuals",IF(CH$4="Actuals","",CH381),CG383)</f>
        <v>-19166110.3987618</v>
      </c>
      <c r="CH428" s="13" t="n">
        <f aca="false">IF(CH$4="Actuals",IF(CI$4="Actuals","",CI381),CH383)</f>
        <v>-19809441.6027984</v>
      </c>
      <c r="CI428" s="13" t="n">
        <f aca="false">IF(CI$4="Actuals",IF(CJ$4="Actuals","",CJ381),CI383)</f>
        <v>-20452772.8068349</v>
      </c>
      <c r="CJ428" s="13" t="n">
        <f aca="false">IF(CJ$4="Actuals",IF(CK$4="Actuals","",CK381),CJ383)</f>
        <v>-21012996.984265</v>
      </c>
      <c r="CK428" s="13" t="n">
        <f aca="false">IF(CK$4="Actuals",IF(CL$4="Actuals","",CL381),CK383)</f>
        <v>-21498467.1883015</v>
      </c>
      <c r="CL428" s="13" t="n">
        <f aca="false">IF(CL$4="Actuals",IF(CM$4="Actuals","",CM381),CL383)</f>
        <v>-21983937.3923381</v>
      </c>
      <c r="CM428" s="13" t="n">
        <f aca="false">IF(CM$4="Actuals",IF(CN$4="Actuals","",CN381),CM383)</f>
        <v>-22469407.5963746</v>
      </c>
      <c r="CN428" s="13" t="n">
        <f aca="false">IF(CN$4="Actuals",IF(CO$4="Actuals","",CO381),CN383)</f>
        <v>-22954877.8004111</v>
      </c>
      <c r="CO428" s="13" t="n">
        <f aca="false">IF(CO$4="Actuals",IF(CP$4="Actuals","",CP381),CO383)</f>
        <v>-23440348.0044477</v>
      </c>
      <c r="CP428" s="13" t="n">
        <f aca="false">IF(CP$4="Actuals",IF(CQ$4="Actuals","",CQ381),CP383)</f>
        <v>-23925818.2084842</v>
      </c>
      <c r="CQ428" s="13" t="n">
        <f aca="false">IF(CQ$4="Actuals",IF(CR$4="Actuals","",CR381),CQ383)</f>
        <v>-24411288.4125208</v>
      </c>
      <c r="CR428" s="13" t="n">
        <f aca="false">IF(CR$4="Actuals",IF(CS$4="Actuals","",CS381),CR383)</f>
        <v>-24896758.6165573</v>
      </c>
      <c r="CS428" s="13" t="n">
        <f aca="false">IF(CS$4="Actuals",IF(CT$4="Actuals","",CT381),CS383)</f>
        <v>-25582228.8205939</v>
      </c>
      <c r="CT428" s="13" t="n">
        <f aca="false">IF(CT$4="Actuals",IF(CU$4="Actuals","",CU381),CT383)</f>
        <v>-26033290.6326338</v>
      </c>
      <c r="CU428" s="13" t="n">
        <f aca="false">IF(CU$4="Actuals",IF(CV$4="Actuals","",CV381),CU383)</f>
        <v>-26484352.4446738</v>
      </c>
      <c r="CV428" s="13" t="n">
        <f aca="false">IF(CV$4="Actuals",IF(CW$4="Actuals","",CW381),CV383)</f>
        <v>-26935414.2567138</v>
      </c>
      <c r="CW428" s="13" t="n">
        <f aca="false">IF(CW$4="Actuals",IF(CX$4="Actuals","",CX381),CW383)</f>
        <v>-27330767.9176901</v>
      </c>
      <c r="CX428" s="13" t="n">
        <f aca="false">IF(CX$4="Actuals",IF(CY$4="Actuals","",CY381),CX383)</f>
        <v>-27708674.7297301</v>
      </c>
      <c r="CY428" s="13" t="n">
        <f aca="false">IF(CY$4="Actuals",IF(CZ$4="Actuals","",CZ381),CY383)</f>
        <v>-28086581.5417701</v>
      </c>
      <c r="CZ428" s="13" t="n">
        <f aca="false">IF(CZ$4="Actuals",IF(DA$4="Actuals","",DA381),CZ383)</f>
        <v>-28464488.35381</v>
      </c>
      <c r="DA428" s="13" t="n">
        <f aca="false">IF(DA$4="Actuals",IF(DB$4="Actuals","",DB381),DA383)</f>
        <v>-28842395.16585</v>
      </c>
      <c r="DB428" s="13" t="n">
        <f aca="false">IF(DB$4="Actuals",IF(DC$4="Actuals","",DC381),DB383)</f>
        <v>-29220301.97789</v>
      </c>
      <c r="DC428" s="13" t="n">
        <f aca="false">IF(DC$4="Actuals",IF(DD$4="Actuals","",DD381),DC383)</f>
        <v>-29598208.78993</v>
      </c>
      <c r="DD428" s="13" t="n">
        <f aca="false">IF(DD$4="Actuals",IF(DE$4="Actuals","",DE381),DD383)</f>
        <v>-29976115.6019699</v>
      </c>
      <c r="DE428" s="13" t="n">
        <f aca="false">IF(DE$4="Actuals",IF(DF$4="Actuals","",DF381),DE383)</f>
        <v>-30554022.4140099</v>
      </c>
    </row>
    <row r="429" customFormat="false" ht="13.5" hidden="false" customHeight="true" outlineLevel="0" collapsed="false">
      <c r="A429" s="22" t="s">
        <v>232</v>
      </c>
      <c r="B429" s="13" t="str">
        <f aca="false">IF(OR(B427="",B428=""),"",B428-B427)</f>
        <v/>
      </c>
      <c r="C429" s="13" t="str">
        <f aca="false">IF(OR(C427="",C428=""),"",C428-C427)</f>
        <v/>
      </c>
      <c r="D429" s="13" t="str">
        <f aca="false">IF(OR(D427="",D428=""),"",D428-D427)</f>
        <v/>
      </c>
      <c r="E429" s="13" t="str">
        <f aca="false">IF(OR(E427="",E428=""),"",E428-E427)</f>
        <v/>
      </c>
      <c r="F429" s="13" t="str">
        <f aca="false">IF(OR(F427="",F428=""),"",F428-F427)</f>
        <v/>
      </c>
      <c r="G429" s="13" t="str">
        <f aca="false">IF(OR(G427="",G428=""),"",G428-G427)</f>
        <v/>
      </c>
      <c r="H429" s="13" t="str">
        <f aca="false">IF(OR(H427="",H428=""),"",H428-H427)</f>
        <v/>
      </c>
      <c r="I429" s="13" t="str">
        <f aca="false">IF(OR(I427="",I428=""),"",I428-I427)</f>
        <v/>
      </c>
      <c r="J429" s="13" t="n">
        <f aca="false">IF(OR(J427="",J428=""),"",J428-J427)</f>
        <v>0</v>
      </c>
      <c r="K429" s="13" t="str">
        <f aca="false">IF(OR(K427="",K428=""),"",K428-K427)</f>
        <v/>
      </c>
      <c r="L429" s="13" t="str">
        <f aca="false">IF(OR(L427="",L428=""),"",L428-L427)</f>
        <v/>
      </c>
      <c r="M429" s="13" t="str">
        <f aca="false">IF(OR(M427="",M428=""),"",M428-M427)</f>
        <v/>
      </c>
      <c r="N429" s="13" t="str">
        <f aca="false">IF(OR(N427="",N428=""),"",N428-N427)</f>
        <v/>
      </c>
      <c r="O429" s="13" t="str">
        <f aca="false">IF(OR(O427="",O428=""),"",O428-O427)</f>
        <v/>
      </c>
      <c r="P429" s="13" t="str">
        <f aca="false">IF(OR(P427="",P428=""),"",P428-P427)</f>
        <v/>
      </c>
      <c r="Q429" s="13" t="str">
        <f aca="false">IF(OR(Q427="",Q428=""),"",Q428-Q427)</f>
        <v/>
      </c>
      <c r="R429" s="13" t="str">
        <f aca="false">IF(OR(R427="",R428=""),"",R428-R427)</f>
        <v/>
      </c>
      <c r="S429" s="13" t="str">
        <f aca="false">IF(OR(S427="",S428=""),"",S428-S427)</f>
        <v/>
      </c>
      <c r="T429" s="13" t="str">
        <f aca="false">IF(OR(T427="",T428=""),"",T428-T427)</f>
        <v/>
      </c>
      <c r="U429" s="13" t="str">
        <f aca="false">IF(OR(U427="",U428=""),"",U428-U427)</f>
        <v/>
      </c>
      <c r="V429" s="13" t="str">
        <f aca="false">IF(OR(V427="",V428=""),"",V428-V427)</f>
        <v/>
      </c>
      <c r="W429" s="13" t="str">
        <f aca="false">IF(OR(W427="",W428=""),"",W428-W427)</f>
        <v/>
      </c>
      <c r="X429" s="13" t="str">
        <f aca="false">IF(OR(X427="",X428=""),"",X428-X427)</f>
        <v/>
      </c>
      <c r="Y429" s="13" t="str">
        <f aca="false">IF(OR(Y427="",Y428=""),"",Y428-Y427)</f>
        <v/>
      </c>
      <c r="Z429" s="13" t="str">
        <f aca="false">IF(OR(Z427="",Z428=""),"",Z428-Z427)</f>
        <v/>
      </c>
      <c r="AA429" s="13" t="str">
        <f aca="false">IF(OR(AA427="",AA428=""),"",AA428-AA427)</f>
        <v/>
      </c>
      <c r="AB429" s="13" t="str">
        <f aca="false">IF(OR(AB427="",AB428=""),"",AB428-AB427)</f>
        <v/>
      </c>
      <c r="AC429" s="13" t="str">
        <f aca="false">IF(OR(AC427="",AC428=""),"",AC428-AC427)</f>
        <v/>
      </c>
      <c r="AD429" s="13" t="str">
        <f aca="false">IF(OR(AD427="",AD428=""),"",AD428-AD427)</f>
        <v/>
      </c>
      <c r="AE429" s="13" t="str">
        <f aca="false">IF(OR(AE427="",AE428=""),"",AE428-AE427)</f>
        <v/>
      </c>
      <c r="AF429" s="13" t="str">
        <f aca="false">IF(OR(AF427="",AF428=""),"",AF428-AF427)</f>
        <v/>
      </c>
      <c r="AG429" s="13" t="str">
        <f aca="false">IF(OR(AG427="",AG428=""),"",AG428-AG427)</f>
        <v/>
      </c>
      <c r="AH429" s="13" t="str">
        <f aca="false">IF(OR(AH427="",AH428=""),"",AH428-AH427)</f>
        <v/>
      </c>
      <c r="AI429" s="13" t="str">
        <f aca="false">IF(OR(AI427="",AI428=""),"",AI428-AI427)</f>
        <v/>
      </c>
      <c r="AJ429" s="13" t="str">
        <f aca="false">IF(OR(AJ427="",AJ428=""),"",AJ428-AJ427)</f>
        <v/>
      </c>
      <c r="AK429" s="13" t="str">
        <f aca="false">IF(OR(AK427="",AK428=""),"",AK428-AK427)</f>
        <v/>
      </c>
      <c r="AL429" s="13" t="str">
        <f aca="false">IF(OR(AL427="",AL428=""),"",AL428-AL427)</f>
        <v/>
      </c>
      <c r="AM429" s="13" t="str">
        <f aca="false">IF(OR(AM427="",AM428=""),"",AM428-AM427)</f>
        <v/>
      </c>
      <c r="AN429" s="13" t="str">
        <f aca="false">IF(OR(AN427="",AN428=""),"",AN428-AN427)</f>
        <v/>
      </c>
      <c r="AO429" s="13" t="str">
        <f aca="false">IF(OR(AO427="",AO428=""),"",AO428-AO427)</f>
        <v/>
      </c>
      <c r="AP429" s="13" t="str">
        <f aca="false">IF(OR(AP427="",AP428=""),"",AP428-AP427)</f>
        <v/>
      </c>
      <c r="AQ429" s="13" t="str">
        <f aca="false">IF(OR(AQ427="",AQ428=""),"",AQ428-AQ427)</f>
        <v/>
      </c>
      <c r="AR429" s="13" t="str">
        <f aca="false">IF(OR(AR427="",AR428=""),"",AR428-AR427)</f>
        <v/>
      </c>
      <c r="AS429" s="13" t="str">
        <f aca="false">IF(OR(AS427="",AS428=""),"",AS428-AS427)</f>
        <v/>
      </c>
      <c r="AT429" s="13" t="str">
        <f aca="false">IF(OR(AT427="",AT428=""),"",AT428-AT427)</f>
        <v/>
      </c>
      <c r="AU429" s="13" t="str">
        <f aca="false">IF(OR(AU427="",AU428=""),"",AU428-AU427)</f>
        <v/>
      </c>
      <c r="AV429" s="13" t="str">
        <f aca="false">IF(OR(AV427="",AV428=""),"",AV428-AV427)</f>
        <v/>
      </c>
      <c r="AW429" s="13" t="str">
        <f aca="false">IF(OR(AW427="",AW428=""),"",AW428-AW427)</f>
        <v/>
      </c>
      <c r="AX429" s="13" t="str">
        <f aca="false">IF(OR(AX427="",AX428=""),"",AX428-AX427)</f>
        <v/>
      </c>
      <c r="AY429" s="13" t="str">
        <f aca="false">IF(OR(AY427="",AY428=""),"",AY428-AY427)</f>
        <v/>
      </c>
      <c r="AZ429" s="13" t="str">
        <f aca="false">IF(OR(AZ427="",AZ428=""),"",AZ428-AZ427)</f>
        <v/>
      </c>
      <c r="BA429" s="13" t="str">
        <f aca="false">IF(OR(BA427="",BA428=""),"",BA428-BA427)</f>
        <v/>
      </c>
      <c r="BB429" s="13" t="str">
        <f aca="false">IF(OR(BB427="",BB428=""),"",BB428-BB427)</f>
        <v/>
      </c>
      <c r="BC429" s="13" t="str">
        <f aca="false">IF(OR(BC427="",BC428=""),"",BC428-BC427)</f>
        <v/>
      </c>
      <c r="BD429" s="13" t="str">
        <f aca="false">IF(OR(BD427="",BD428=""),"",BD428-BD427)</f>
        <v/>
      </c>
      <c r="BE429" s="13" t="str">
        <f aca="false">IF(OR(BE427="",BE428=""),"",BE428-BE427)</f>
        <v/>
      </c>
      <c r="BF429" s="13" t="str">
        <f aca="false">IF(OR(BF427="",BF428=""),"",BF428-BF427)</f>
        <v/>
      </c>
      <c r="BG429" s="13" t="str">
        <f aca="false">IF(OR(BG427="",BG428=""),"",BG428-BG427)</f>
        <v/>
      </c>
      <c r="BH429" s="13" t="str">
        <f aca="false">IF(OR(BH427="",BH428=""),"",BH428-BH427)</f>
        <v/>
      </c>
      <c r="BI429" s="13" t="str">
        <f aca="false">IF(OR(BI427="",BI428=""),"",BI428-BI427)</f>
        <v/>
      </c>
      <c r="BJ429" s="13" t="str">
        <f aca="false">IF(OR(BJ427="",BJ428=""),"",BJ428-BJ427)</f>
        <v/>
      </c>
      <c r="BK429" s="13" t="str">
        <f aca="false">IF(OR(BK427="",BK428=""),"",BK428-BK427)</f>
        <v/>
      </c>
      <c r="BL429" s="13" t="str">
        <f aca="false">IF(OR(BL427="",BL428=""),"",BL428-BL427)</f>
        <v/>
      </c>
      <c r="BM429" s="13" t="str">
        <f aca="false">IF(OR(BM427="",BM428=""),"",BM428-BM427)</f>
        <v/>
      </c>
      <c r="BN429" s="13" t="str">
        <f aca="false">IF(OR(BN427="",BN428=""),"",BN428-BN427)</f>
        <v/>
      </c>
      <c r="BO429" s="13" t="str">
        <f aca="false">IF(OR(BO427="",BO428=""),"",BO428-BO427)</f>
        <v/>
      </c>
      <c r="BP429" s="13" t="str">
        <f aca="false">IF(OR(BP427="",BP428=""),"",BP428-BP427)</f>
        <v/>
      </c>
      <c r="BQ429" s="13" t="str">
        <f aca="false">IF(OR(BQ427="",BQ428=""),"",BQ428-BQ427)</f>
        <v/>
      </c>
      <c r="BR429" s="13" t="str">
        <f aca="false">IF(OR(BR427="",BR428=""),"",BR428-BR427)</f>
        <v/>
      </c>
      <c r="BS429" s="13" t="str">
        <f aca="false">IF(OR(BS427="",BS428=""),"",BS428-BS427)</f>
        <v/>
      </c>
      <c r="BT429" s="13" t="str">
        <f aca="false">IF(OR(BT427="",BT428=""),"",BT428-BT427)</f>
        <v/>
      </c>
      <c r="BU429" s="13" t="str">
        <f aca="false">IF(OR(BU427="",BU428=""),"",BU428-BU427)</f>
        <v/>
      </c>
      <c r="BV429" s="13" t="str">
        <f aca="false">IF(OR(BV427="",BV428=""),"",BV428-BV427)</f>
        <v/>
      </c>
      <c r="BW429" s="13" t="str">
        <f aca="false">IF(OR(BW427="",BW428=""),"",BW428-BW427)</f>
        <v/>
      </c>
      <c r="BX429" s="13" t="str">
        <f aca="false">IF(OR(BX427="",BX428=""),"",BX428-BX427)</f>
        <v/>
      </c>
      <c r="BY429" s="13" t="str">
        <f aca="false">IF(OR(BY427="",BY428=""),"",BY428-BY427)</f>
        <v/>
      </c>
      <c r="BZ429" s="13" t="str">
        <f aca="false">IF(OR(BZ427="",BZ428=""),"",BZ428-BZ427)</f>
        <v/>
      </c>
      <c r="CA429" s="13" t="str">
        <f aca="false">IF(OR(CA427="",CA428=""),"",CA428-CA427)</f>
        <v/>
      </c>
      <c r="CB429" s="13" t="str">
        <f aca="false">IF(OR(CB427="",CB428=""),"",CB428-CB427)</f>
        <v/>
      </c>
      <c r="CC429" s="13" t="str">
        <f aca="false">IF(OR(CC427="",CC428=""),"",CC428-CC427)</f>
        <v/>
      </c>
      <c r="CD429" s="13" t="str">
        <f aca="false">IF(OR(CD427="",CD428=""),"",CD428-CD427)</f>
        <v/>
      </c>
      <c r="CE429" s="13" t="str">
        <f aca="false">IF(OR(CE427="",CE428=""),"",CE428-CE427)</f>
        <v/>
      </c>
      <c r="CF429" s="13" t="str">
        <f aca="false">IF(OR(CF427="",CF428=""),"",CF428-CF427)</f>
        <v/>
      </c>
      <c r="CG429" s="13" t="str">
        <f aca="false">IF(OR(CG427="",CG428=""),"",CG428-CG427)</f>
        <v/>
      </c>
      <c r="CH429" s="13" t="str">
        <f aca="false">IF(OR(CH427="",CH428=""),"",CH428-CH427)</f>
        <v/>
      </c>
      <c r="CI429" s="13" t="str">
        <f aca="false">IF(OR(CI427="",CI428=""),"",CI428-CI427)</f>
        <v/>
      </c>
      <c r="CJ429" s="13" t="str">
        <f aca="false">IF(OR(CJ427="",CJ428=""),"",CJ428-CJ427)</f>
        <v/>
      </c>
      <c r="CK429" s="13" t="str">
        <f aca="false">IF(OR(CK427="",CK428=""),"",CK428-CK427)</f>
        <v/>
      </c>
      <c r="CL429" s="13" t="str">
        <f aca="false">IF(OR(CL427="",CL428=""),"",CL428-CL427)</f>
        <v/>
      </c>
      <c r="CM429" s="13" t="str">
        <f aca="false">IF(OR(CM427="",CM428=""),"",CM428-CM427)</f>
        <v/>
      </c>
      <c r="CN429" s="13" t="str">
        <f aca="false">IF(OR(CN427="",CN428=""),"",CN428-CN427)</f>
        <v/>
      </c>
      <c r="CO429" s="13" t="str">
        <f aca="false">IF(OR(CO427="",CO428=""),"",CO428-CO427)</f>
        <v/>
      </c>
      <c r="CP429" s="13" t="str">
        <f aca="false">IF(OR(CP427="",CP428=""),"",CP428-CP427)</f>
        <v/>
      </c>
      <c r="CQ429" s="13" t="str">
        <f aca="false">IF(OR(CQ427="",CQ428=""),"",CQ428-CQ427)</f>
        <v/>
      </c>
      <c r="CR429" s="13" t="str">
        <f aca="false">IF(OR(CR427="",CR428=""),"",CR428-CR427)</f>
        <v/>
      </c>
      <c r="CS429" s="13" t="str">
        <f aca="false">IF(OR(CS427="",CS428=""),"",CS428-CS427)</f>
        <v/>
      </c>
      <c r="CT429" s="13" t="str">
        <f aca="false">IF(OR(CT427="",CT428=""),"",CT428-CT427)</f>
        <v/>
      </c>
      <c r="CU429" s="13" t="str">
        <f aca="false">IF(OR(CU427="",CU428=""),"",CU428-CU427)</f>
        <v/>
      </c>
      <c r="CV429" s="13" t="str">
        <f aca="false">IF(OR(CV427="",CV428=""),"",CV428-CV427)</f>
        <v/>
      </c>
      <c r="CW429" s="13" t="str">
        <f aca="false">IF(OR(CW427="",CW428=""),"",CW428-CW427)</f>
        <v/>
      </c>
      <c r="CX429" s="13" t="str">
        <f aca="false">IF(OR(CX427="",CX428=""),"",CX428-CX427)</f>
        <v/>
      </c>
      <c r="CY429" s="13" t="str">
        <f aca="false">IF(OR(CY427="",CY428=""),"",CY428-CY427)</f>
        <v/>
      </c>
      <c r="CZ429" s="13" t="str">
        <f aca="false">IF(OR(CZ427="",CZ428=""),"",CZ428-CZ427)</f>
        <v/>
      </c>
      <c r="DA429" s="13" t="str">
        <f aca="false">IF(OR(DA427="",DA428=""),"",DA428-DA427)</f>
        <v/>
      </c>
      <c r="DB429" s="13" t="str">
        <f aca="false">IF(OR(DB427="",DB428=""),"",DB428-DB427)</f>
        <v/>
      </c>
      <c r="DC429" s="13" t="str">
        <f aca="false">IF(OR(DC427="",DC428=""),"",DC428-DC427)</f>
        <v/>
      </c>
      <c r="DD429" s="13" t="str">
        <f aca="false">IF(OR(DD427="",DD428=""),"",DD428-DD427)</f>
        <v/>
      </c>
      <c r="DE429" s="13" t="str">
        <f aca="false">IF(OR(DE427="",DE428=""),"",DE428-DE427)</f>
        <v/>
      </c>
    </row>
    <row r="430" customFormat="false" ht="13.5" hidden="false" customHeight="true" outlineLevel="0" collapsed="false">
      <c r="A430" s="22" t="s">
        <v>233</v>
      </c>
      <c r="B430" s="21" t="str">
        <f aca="false">IF(B429="","",IF(ABS(B429)&lt;1,"OK","CHECK"))</f>
        <v/>
      </c>
      <c r="C430" s="21" t="str">
        <f aca="false">IF(C429="","",IF(ABS(C429)&lt;1,"OK","CHECK"))</f>
        <v/>
      </c>
      <c r="D430" s="21" t="str">
        <f aca="false">IF(D429="","",IF(ABS(D429)&lt;1,"OK","CHECK"))</f>
        <v/>
      </c>
      <c r="E430" s="21" t="str">
        <f aca="false">IF(E429="","",IF(ABS(E429)&lt;1,"OK","CHECK"))</f>
        <v/>
      </c>
      <c r="F430" s="21" t="str">
        <f aca="false">IF(F429="","",IF(ABS(F429)&lt;1,"OK","CHECK"))</f>
        <v/>
      </c>
      <c r="G430" s="21" t="str">
        <f aca="false">IF(G429="","",IF(ABS(G429)&lt;1,"OK","CHECK"))</f>
        <v/>
      </c>
      <c r="H430" s="21" t="str">
        <f aca="false">IF(H429="","",IF(ABS(H429)&lt;1,"OK","CHECK"))</f>
        <v/>
      </c>
      <c r="I430" s="21" t="str">
        <f aca="false">IF(I429="","",IF(ABS(I429)&lt;1,"OK","CHECK"))</f>
        <v/>
      </c>
      <c r="J430" s="21" t="str">
        <f aca="false">IF(J429="","",IF(ABS(J429)&lt;1,"OK","CHECK"))</f>
        <v>OK</v>
      </c>
      <c r="K430" s="21" t="str">
        <f aca="false">IF(K429="","",IF(ABS(K429)&lt;1,"OK","CHECK"))</f>
        <v/>
      </c>
      <c r="L430" s="21" t="str">
        <f aca="false">IF(L429="","",IF(ABS(L429)&lt;1,"OK","CHECK"))</f>
        <v/>
      </c>
      <c r="M430" s="21" t="str">
        <f aca="false">IF(M429="","",IF(ABS(M429)&lt;1,"OK","CHECK"))</f>
        <v/>
      </c>
      <c r="N430" s="21" t="str">
        <f aca="false">IF(N429="","",IF(ABS(N429)&lt;1,"OK","CHECK"))</f>
        <v/>
      </c>
      <c r="O430" s="21" t="str">
        <f aca="false">IF(O429="","",IF(ABS(O429)&lt;1,"OK","CHECK"))</f>
        <v/>
      </c>
      <c r="P430" s="21" t="str">
        <f aca="false">IF(P429="","",IF(ABS(P429)&lt;1,"OK","CHECK"))</f>
        <v/>
      </c>
      <c r="Q430" s="21" t="str">
        <f aca="false">IF(Q429="","",IF(ABS(Q429)&lt;1,"OK","CHECK"))</f>
        <v/>
      </c>
      <c r="R430" s="21" t="str">
        <f aca="false">IF(R429="","",IF(ABS(R429)&lt;1,"OK","CHECK"))</f>
        <v/>
      </c>
      <c r="S430" s="21" t="str">
        <f aca="false">IF(S429="","",IF(ABS(S429)&lt;1,"OK","CHECK"))</f>
        <v/>
      </c>
      <c r="T430" s="21" t="str">
        <f aca="false">IF(T429="","",IF(ABS(T429)&lt;1,"OK","CHECK"))</f>
        <v/>
      </c>
      <c r="U430" s="21" t="str">
        <f aca="false">IF(U429="","",IF(ABS(U429)&lt;1,"OK","CHECK"))</f>
        <v/>
      </c>
      <c r="V430" s="21" t="str">
        <f aca="false">IF(V429="","",IF(ABS(V429)&lt;1,"OK","CHECK"))</f>
        <v/>
      </c>
      <c r="W430" s="21" t="str">
        <f aca="false">IF(W429="","",IF(ABS(W429)&lt;1,"OK","CHECK"))</f>
        <v/>
      </c>
      <c r="X430" s="21" t="str">
        <f aca="false">IF(X429="","",IF(ABS(X429)&lt;1,"OK","CHECK"))</f>
        <v/>
      </c>
      <c r="Y430" s="21" t="str">
        <f aca="false">IF(Y429="","",IF(ABS(Y429)&lt;1,"OK","CHECK"))</f>
        <v/>
      </c>
      <c r="Z430" s="21" t="str">
        <f aca="false">IF(Z429="","",IF(ABS(Z429)&lt;1,"OK","CHECK"))</f>
        <v/>
      </c>
      <c r="AA430" s="21" t="str">
        <f aca="false">IF(AA429="","",IF(ABS(AA429)&lt;1,"OK","CHECK"))</f>
        <v/>
      </c>
      <c r="AB430" s="21" t="str">
        <f aca="false">IF(AB429="","",IF(ABS(AB429)&lt;1,"OK","CHECK"))</f>
        <v/>
      </c>
      <c r="AC430" s="21" t="str">
        <f aca="false">IF(AC429="","",IF(ABS(AC429)&lt;1,"OK","CHECK"))</f>
        <v/>
      </c>
      <c r="AD430" s="21" t="str">
        <f aca="false">IF(AD429="","",IF(ABS(AD429)&lt;1,"OK","CHECK"))</f>
        <v/>
      </c>
      <c r="AE430" s="21" t="str">
        <f aca="false">IF(AE429="","",IF(ABS(AE429)&lt;1,"OK","CHECK"))</f>
        <v/>
      </c>
      <c r="AF430" s="21" t="str">
        <f aca="false">IF(AF429="","",IF(ABS(AF429)&lt;1,"OK","CHECK"))</f>
        <v/>
      </c>
      <c r="AG430" s="21" t="str">
        <f aca="false">IF(AG429="","",IF(ABS(AG429)&lt;1,"OK","CHECK"))</f>
        <v/>
      </c>
      <c r="AH430" s="21" t="str">
        <f aca="false">IF(AH429="","",IF(ABS(AH429)&lt;1,"OK","CHECK"))</f>
        <v/>
      </c>
      <c r="AI430" s="21" t="str">
        <f aca="false">IF(AI429="","",IF(ABS(AI429)&lt;1,"OK","CHECK"))</f>
        <v/>
      </c>
      <c r="AJ430" s="21" t="str">
        <f aca="false">IF(AJ429="","",IF(ABS(AJ429)&lt;1,"OK","CHECK"))</f>
        <v/>
      </c>
      <c r="AK430" s="21" t="str">
        <f aca="false">IF(AK429="","",IF(ABS(AK429)&lt;1,"OK","CHECK"))</f>
        <v/>
      </c>
      <c r="AL430" s="21" t="str">
        <f aca="false">IF(AL429="","",IF(ABS(AL429)&lt;1,"OK","CHECK"))</f>
        <v/>
      </c>
      <c r="AM430" s="21" t="str">
        <f aca="false">IF(AM429="","",IF(ABS(AM429)&lt;1,"OK","CHECK"))</f>
        <v/>
      </c>
      <c r="AN430" s="21" t="str">
        <f aca="false">IF(AN429="","",IF(ABS(AN429)&lt;1,"OK","CHECK"))</f>
        <v/>
      </c>
      <c r="AO430" s="21" t="str">
        <f aca="false">IF(AO429="","",IF(ABS(AO429)&lt;1,"OK","CHECK"))</f>
        <v/>
      </c>
      <c r="AP430" s="21" t="str">
        <f aca="false">IF(AP429="","",IF(ABS(AP429)&lt;1,"OK","CHECK"))</f>
        <v/>
      </c>
      <c r="AQ430" s="21" t="str">
        <f aca="false">IF(AQ429="","",IF(ABS(AQ429)&lt;1,"OK","CHECK"))</f>
        <v/>
      </c>
      <c r="AR430" s="21" t="str">
        <f aca="false">IF(AR429="","",IF(ABS(AR429)&lt;1,"OK","CHECK"))</f>
        <v/>
      </c>
      <c r="AS430" s="21" t="str">
        <f aca="false">IF(AS429="","",IF(ABS(AS429)&lt;1,"OK","CHECK"))</f>
        <v/>
      </c>
      <c r="AT430" s="21" t="str">
        <f aca="false">IF(AT429="","",IF(ABS(AT429)&lt;1,"OK","CHECK"))</f>
        <v/>
      </c>
      <c r="AU430" s="21" t="str">
        <f aca="false">IF(AU429="","",IF(ABS(AU429)&lt;1,"OK","CHECK"))</f>
        <v/>
      </c>
      <c r="AV430" s="21" t="str">
        <f aca="false">IF(AV429="","",IF(ABS(AV429)&lt;1,"OK","CHECK"))</f>
        <v/>
      </c>
      <c r="AW430" s="21" t="str">
        <f aca="false">IF(AW429="","",IF(ABS(AW429)&lt;1,"OK","CHECK"))</f>
        <v/>
      </c>
      <c r="AX430" s="21" t="str">
        <f aca="false">IF(AX429="","",IF(ABS(AX429)&lt;1,"OK","CHECK"))</f>
        <v/>
      </c>
      <c r="AY430" s="21" t="str">
        <f aca="false">IF(AY429="","",IF(ABS(AY429)&lt;1,"OK","CHECK"))</f>
        <v/>
      </c>
      <c r="AZ430" s="21" t="str">
        <f aca="false">IF(AZ429="","",IF(ABS(AZ429)&lt;1,"OK","CHECK"))</f>
        <v/>
      </c>
      <c r="BA430" s="21" t="str">
        <f aca="false">IF(BA429="","",IF(ABS(BA429)&lt;1,"OK","CHECK"))</f>
        <v/>
      </c>
      <c r="BB430" s="21" t="str">
        <f aca="false">IF(BB429="","",IF(ABS(BB429)&lt;1,"OK","CHECK"))</f>
        <v/>
      </c>
      <c r="BC430" s="21" t="str">
        <f aca="false">IF(BC429="","",IF(ABS(BC429)&lt;1,"OK","CHECK"))</f>
        <v/>
      </c>
      <c r="BD430" s="21" t="str">
        <f aca="false">IF(BD429="","",IF(ABS(BD429)&lt;1,"OK","CHECK"))</f>
        <v/>
      </c>
      <c r="BE430" s="21" t="str">
        <f aca="false">IF(BE429="","",IF(ABS(BE429)&lt;1,"OK","CHECK"))</f>
        <v/>
      </c>
      <c r="BF430" s="21" t="str">
        <f aca="false">IF(BF429="","",IF(ABS(BF429)&lt;1,"OK","CHECK"))</f>
        <v/>
      </c>
      <c r="BG430" s="21" t="str">
        <f aca="false">IF(BG429="","",IF(ABS(BG429)&lt;1,"OK","CHECK"))</f>
        <v/>
      </c>
      <c r="BH430" s="21" t="str">
        <f aca="false">IF(BH429="","",IF(ABS(BH429)&lt;1,"OK","CHECK"))</f>
        <v/>
      </c>
      <c r="BI430" s="21" t="str">
        <f aca="false">IF(BI429="","",IF(ABS(BI429)&lt;1,"OK","CHECK"))</f>
        <v/>
      </c>
      <c r="BJ430" s="21" t="str">
        <f aca="false">IF(BJ429="","",IF(ABS(BJ429)&lt;1,"OK","CHECK"))</f>
        <v/>
      </c>
      <c r="BK430" s="21" t="str">
        <f aca="false">IF(BK429="","",IF(ABS(BK429)&lt;1,"OK","CHECK"))</f>
        <v/>
      </c>
      <c r="BL430" s="21" t="str">
        <f aca="false">IF(BL429="","",IF(ABS(BL429)&lt;1,"OK","CHECK"))</f>
        <v/>
      </c>
      <c r="BM430" s="21" t="str">
        <f aca="false">IF(BM429="","",IF(ABS(BM429)&lt;1,"OK","CHECK"))</f>
        <v/>
      </c>
      <c r="BN430" s="21" t="str">
        <f aca="false">IF(BN429="","",IF(ABS(BN429)&lt;1,"OK","CHECK"))</f>
        <v/>
      </c>
      <c r="BO430" s="21" t="str">
        <f aca="false">IF(BO429="","",IF(ABS(BO429)&lt;1,"OK","CHECK"))</f>
        <v/>
      </c>
      <c r="BP430" s="21" t="str">
        <f aca="false">IF(BP429="","",IF(ABS(BP429)&lt;1,"OK","CHECK"))</f>
        <v/>
      </c>
      <c r="BQ430" s="21" t="str">
        <f aca="false">IF(BQ429="","",IF(ABS(BQ429)&lt;1,"OK","CHECK"))</f>
        <v/>
      </c>
      <c r="BR430" s="21" t="str">
        <f aca="false">IF(BR429="","",IF(ABS(BR429)&lt;1,"OK","CHECK"))</f>
        <v/>
      </c>
      <c r="BS430" s="21" t="str">
        <f aca="false">IF(BS429="","",IF(ABS(BS429)&lt;1,"OK","CHECK"))</f>
        <v/>
      </c>
      <c r="BT430" s="21" t="str">
        <f aca="false">IF(BT429="","",IF(ABS(BT429)&lt;1,"OK","CHECK"))</f>
        <v/>
      </c>
      <c r="BU430" s="21" t="str">
        <f aca="false">IF(BU429="","",IF(ABS(BU429)&lt;1,"OK","CHECK"))</f>
        <v/>
      </c>
      <c r="BV430" s="21" t="str">
        <f aca="false">IF(BV429="","",IF(ABS(BV429)&lt;1,"OK","CHECK"))</f>
        <v/>
      </c>
      <c r="BW430" s="21" t="str">
        <f aca="false">IF(BW429="","",IF(ABS(BW429)&lt;1,"OK","CHECK"))</f>
        <v/>
      </c>
      <c r="BX430" s="21" t="str">
        <f aca="false">IF(BX429="","",IF(ABS(BX429)&lt;1,"OK","CHECK"))</f>
        <v/>
      </c>
      <c r="BY430" s="21" t="str">
        <f aca="false">IF(BY429="","",IF(ABS(BY429)&lt;1,"OK","CHECK"))</f>
        <v/>
      </c>
      <c r="BZ430" s="21" t="str">
        <f aca="false">IF(BZ429="","",IF(ABS(BZ429)&lt;1,"OK","CHECK"))</f>
        <v/>
      </c>
      <c r="CA430" s="21" t="str">
        <f aca="false">IF(CA429="","",IF(ABS(CA429)&lt;1,"OK","CHECK"))</f>
        <v/>
      </c>
      <c r="CB430" s="21" t="str">
        <f aca="false">IF(CB429="","",IF(ABS(CB429)&lt;1,"OK","CHECK"))</f>
        <v/>
      </c>
      <c r="CC430" s="21" t="str">
        <f aca="false">IF(CC429="","",IF(ABS(CC429)&lt;1,"OK","CHECK"))</f>
        <v/>
      </c>
      <c r="CD430" s="21" t="str">
        <f aca="false">IF(CD429="","",IF(ABS(CD429)&lt;1,"OK","CHECK"))</f>
        <v/>
      </c>
      <c r="CE430" s="21" t="str">
        <f aca="false">IF(CE429="","",IF(ABS(CE429)&lt;1,"OK","CHECK"))</f>
        <v/>
      </c>
      <c r="CF430" s="21" t="str">
        <f aca="false">IF(CF429="","",IF(ABS(CF429)&lt;1,"OK","CHECK"))</f>
        <v/>
      </c>
      <c r="CG430" s="21" t="str">
        <f aca="false">IF(CG429="","",IF(ABS(CG429)&lt;1,"OK","CHECK"))</f>
        <v/>
      </c>
      <c r="CH430" s="21" t="str">
        <f aca="false">IF(CH429="","",IF(ABS(CH429)&lt;1,"OK","CHECK"))</f>
        <v/>
      </c>
      <c r="CI430" s="21" t="str">
        <f aca="false">IF(CI429="","",IF(ABS(CI429)&lt;1,"OK","CHECK"))</f>
        <v/>
      </c>
      <c r="CJ430" s="21" t="str">
        <f aca="false">IF(CJ429="","",IF(ABS(CJ429)&lt;1,"OK","CHECK"))</f>
        <v/>
      </c>
      <c r="CK430" s="21" t="str">
        <f aca="false">IF(CK429="","",IF(ABS(CK429)&lt;1,"OK","CHECK"))</f>
        <v/>
      </c>
      <c r="CL430" s="21" t="str">
        <f aca="false">IF(CL429="","",IF(ABS(CL429)&lt;1,"OK","CHECK"))</f>
        <v/>
      </c>
      <c r="CM430" s="21" t="str">
        <f aca="false">IF(CM429="","",IF(ABS(CM429)&lt;1,"OK","CHECK"))</f>
        <v/>
      </c>
      <c r="CN430" s="21" t="str">
        <f aca="false">IF(CN429="","",IF(ABS(CN429)&lt;1,"OK","CHECK"))</f>
        <v/>
      </c>
      <c r="CO430" s="21" t="str">
        <f aca="false">IF(CO429="","",IF(ABS(CO429)&lt;1,"OK","CHECK"))</f>
        <v/>
      </c>
      <c r="CP430" s="21" t="str">
        <f aca="false">IF(CP429="","",IF(ABS(CP429)&lt;1,"OK","CHECK"))</f>
        <v/>
      </c>
      <c r="CQ430" s="21" t="str">
        <f aca="false">IF(CQ429="","",IF(ABS(CQ429)&lt;1,"OK","CHECK"))</f>
        <v/>
      </c>
      <c r="CR430" s="21" t="str">
        <f aca="false">IF(CR429="","",IF(ABS(CR429)&lt;1,"OK","CHECK"))</f>
        <v/>
      </c>
      <c r="CS430" s="21" t="str">
        <f aca="false">IF(CS429="","",IF(ABS(CS429)&lt;1,"OK","CHECK"))</f>
        <v/>
      </c>
      <c r="CT430" s="21" t="str">
        <f aca="false">IF(CT429="","",IF(ABS(CT429)&lt;1,"OK","CHECK"))</f>
        <v/>
      </c>
      <c r="CU430" s="21" t="str">
        <f aca="false">IF(CU429="","",IF(ABS(CU429)&lt;1,"OK","CHECK"))</f>
        <v/>
      </c>
      <c r="CV430" s="21" t="str">
        <f aca="false">IF(CV429="","",IF(ABS(CV429)&lt;1,"OK","CHECK"))</f>
        <v/>
      </c>
      <c r="CW430" s="21" t="str">
        <f aca="false">IF(CW429="","",IF(ABS(CW429)&lt;1,"OK","CHECK"))</f>
        <v/>
      </c>
      <c r="CX430" s="21" t="str">
        <f aca="false">IF(CX429="","",IF(ABS(CX429)&lt;1,"OK","CHECK"))</f>
        <v/>
      </c>
      <c r="CY430" s="21" t="str">
        <f aca="false">IF(CY429="","",IF(ABS(CY429)&lt;1,"OK","CHECK"))</f>
        <v/>
      </c>
      <c r="CZ430" s="21" t="str">
        <f aca="false">IF(CZ429="","",IF(ABS(CZ429)&lt;1,"OK","CHECK"))</f>
        <v/>
      </c>
      <c r="DA430" s="21" t="str">
        <f aca="false">IF(DA429="","",IF(ABS(DA429)&lt;1,"OK","CHECK"))</f>
        <v/>
      </c>
      <c r="DB430" s="21" t="str">
        <f aca="false">IF(DB429="","",IF(ABS(DB429)&lt;1,"OK","CHECK"))</f>
        <v/>
      </c>
      <c r="DC430" s="21" t="str">
        <f aca="false">IF(DC429="","",IF(ABS(DC429)&lt;1,"OK","CHECK"))</f>
        <v/>
      </c>
      <c r="DD430" s="21" t="str">
        <f aca="false">IF(DD429="","",IF(ABS(DD429)&lt;1,"OK","CHECK"))</f>
        <v/>
      </c>
      <c r="DE430" s="21" t="str">
        <f aca="false">IF(DE429="","",IF(ABS(DE429)&lt;1,"OK","CHECK"))</f>
        <v/>
      </c>
    </row>
    <row r="431" customFormat="false" ht="13.5" hidden="false" customHeight="true" outlineLevel="0" collapsed="false">
      <c r="A431" s="22" t="s">
        <v>234</v>
      </c>
      <c r="B431" s="13"/>
      <c r="C431" s="13"/>
      <c r="D431" s="13"/>
      <c r="E431" s="13"/>
      <c r="F431" s="13"/>
      <c r="G431" s="13"/>
      <c r="H431" s="73" t="n">
        <v>912018</v>
      </c>
      <c r="I431" s="73" t="n">
        <v>2649471</v>
      </c>
      <c r="J431" s="73" t="n">
        <v>1626284</v>
      </c>
      <c r="K431" s="73" t="n">
        <v>1974024</v>
      </c>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3.5" hidden="false" customHeight="true" outlineLevel="0" collapsed="false">
      <c r="A432" s="22" t="s">
        <v>235</v>
      </c>
      <c r="B432" s="13" t="str">
        <f aca="false">IF(OR(B427="",B431=""),"",B431-B427)</f>
        <v/>
      </c>
      <c r="C432" s="13" t="str">
        <f aca="false">IF(OR(C427="",C431=""),"",C431-C427)</f>
        <v/>
      </c>
      <c r="D432" s="13" t="str">
        <f aca="false">IF(OR(D427="",D431=""),"",D431-D427)</f>
        <v/>
      </c>
      <c r="E432" s="13" t="str">
        <f aca="false">IF(OR(E427="",E431=""),"",E431-E427)</f>
        <v/>
      </c>
      <c r="F432" s="13" t="str">
        <f aca="false">IF(OR(F427="",F431=""),"",F431-F427)</f>
        <v/>
      </c>
      <c r="G432" s="13" t="str">
        <f aca="false">IF(OR(G427="",G431=""),"",G431-G427)</f>
        <v/>
      </c>
      <c r="H432" s="13" t="n">
        <f aca="false">IF(OR(H427="",H431=""),"",H431-H427)</f>
        <v>506455</v>
      </c>
      <c r="I432" s="13" t="n">
        <f aca="false">IF(OR(I427="",I431=""),"",I431-I427)</f>
        <v>704175</v>
      </c>
      <c r="J432" s="13" t="n">
        <f aca="false">IF(OR(J427="",J431=""),"",J431-J427)</f>
        <v>-88406</v>
      </c>
      <c r="K432" s="13" t="str">
        <f aca="false">IF(OR(K427="",K431=""),"",K431-K427)</f>
        <v/>
      </c>
      <c r="L432" s="13" t="str">
        <f aca="false">IF(OR(L427="",L431=""),"",L431-L427)</f>
        <v/>
      </c>
      <c r="M432" s="13" t="str">
        <f aca="false">IF(OR(M427="",M431=""),"",M431-M427)</f>
        <v/>
      </c>
      <c r="N432" s="13" t="str">
        <f aca="false">IF(OR(N427="",N431=""),"",N431-N427)</f>
        <v/>
      </c>
      <c r="O432" s="13" t="str">
        <f aca="false">IF(OR(O427="",O431=""),"",O431-O427)</f>
        <v/>
      </c>
      <c r="P432" s="13" t="str">
        <f aca="false">IF(OR(P427="",P431=""),"",P431-P427)</f>
        <v/>
      </c>
      <c r="Q432" s="13" t="str">
        <f aca="false">IF(OR(Q427="",Q431=""),"",Q431-Q427)</f>
        <v/>
      </c>
      <c r="R432" s="13" t="str">
        <f aca="false">IF(OR(R427="",R431=""),"",R431-R427)</f>
        <v/>
      </c>
      <c r="S432" s="13" t="str">
        <f aca="false">IF(OR(S427="",S431=""),"",S431-S427)</f>
        <v/>
      </c>
      <c r="T432" s="13" t="str">
        <f aca="false">IF(OR(T427="",T431=""),"",T431-T427)</f>
        <v/>
      </c>
      <c r="U432" s="13" t="str">
        <f aca="false">IF(OR(U427="",U431=""),"",U431-U427)</f>
        <v/>
      </c>
      <c r="V432" s="13" t="str">
        <f aca="false">IF(OR(V427="",V431=""),"",V431-V427)</f>
        <v/>
      </c>
      <c r="W432" s="13" t="str">
        <f aca="false">IF(OR(W427="",W431=""),"",W431-W427)</f>
        <v/>
      </c>
      <c r="X432" s="13" t="str">
        <f aca="false">IF(OR(X427="",X431=""),"",X431-X427)</f>
        <v/>
      </c>
      <c r="Y432" s="13" t="str">
        <f aca="false">IF(OR(Y427="",Y431=""),"",Y431-Y427)</f>
        <v/>
      </c>
      <c r="Z432" s="13" t="str">
        <f aca="false">IF(OR(Z427="",Z431=""),"",Z431-Z427)</f>
        <v/>
      </c>
      <c r="AA432" s="13" t="str">
        <f aca="false">IF(OR(AA427="",AA431=""),"",AA431-AA427)</f>
        <v/>
      </c>
      <c r="AB432" s="13" t="str">
        <f aca="false">IF(OR(AB427="",AB431=""),"",AB431-AB427)</f>
        <v/>
      </c>
      <c r="AC432" s="13" t="str">
        <f aca="false">IF(OR(AC427="",AC431=""),"",AC431-AC427)</f>
        <v/>
      </c>
      <c r="AD432" s="13" t="str">
        <f aca="false">IF(OR(AD427="",AD431=""),"",AD431-AD427)</f>
        <v/>
      </c>
      <c r="AE432" s="13" t="str">
        <f aca="false">IF(OR(AE427="",AE431=""),"",AE431-AE427)</f>
        <v/>
      </c>
      <c r="AF432" s="13" t="str">
        <f aca="false">IF(OR(AF427="",AF431=""),"",AF431-AF427)</f>
        <v/>
      </c>
      <c r="AG432" s="13" t="str">
        <f aca="false">IF(OR(AG427="",AG431=""),"",AG431-AG427)</f>
        <v/>
      </c>
      <c r="AH432" s="13" t="str">
        <f aca="false">IF(OR(AH427="",AH431=""),"",AH431-AH427)</f>
        <v/>
      </c>
      <c r="AI432" s="13" t="str">
        <f aca="false">IF(OR(AI427="",AI431=""),"",AI431-AI427)</f>
        <v/>
      </c>
      <c r="AJ432" s="13" t="str">
        <f aca="false">IF(OR(AJ427="",AJ431=""),"",AJ431-AJ427)</f>
        <v/>
      </c>
      <c r="AK432" s="13" t="str">
        <f aca="false">IF(OR(AK427="",AK431=""),"",AK431-AK427)</f>
        <v/>
      </c>
      <c r="AL432" s="13" t="str">
        <f aca="false">IF(OR(AL427="",AL431=""),"",AL431-AL427)</f>
        <v/>
      </c>
      <c r="AM432" s="13" t="str">
        <f aca="false">IF(OR(AM427="",AM431=""),"",AM431-AM427)</f>
        <v/>
      </c>
      <c r="AN432" s="13" t="str">
        <f aca="false">IF(OR(AN427="",AN431=""),"",AN431-AN427)</f>
        <v/>
      </c>
      <c r="AO432" s="13" t="str">
        <f aca="false">IF(OR(AO427="",AO431=""),"",AO431-AO427)</f>
        <v/>
      </c>
      <c r="AP432" s="13" t="str">
        <f aca="false">IF(OR(AP427="",AP431=""),"",AP431-AP427)</f>
        <v/>
      </c>
      <c r="AQ432" s="13" t="str">
        <f aca="false">IF(OR(AQ427="",AQ431=""),"",AQ431-AQ427)</f>
        <v/>
      </c>
      <c r="AR432" s="13" t="str">
        <f aca="false">IF(OR(AR427="",AR431=""),"",AR431-AR427)</f>
        <v/>
      </c>
      <c r="AS432" s="13" t="str">
        <f aca="false">IF(OR(AS427="",AS431=""),"",AS431-AS427)</f>
        <v/>
      </c>
      <c r="AT432" s="13" t="str">
        <f aca="false">IF(OR(AT427="",AT431=""),"",AT431-AT427)</f>
        <v/>
      </c>
      <c r="AU432" s="13" t="str">
        <f aca="false">IF(OR(AU427="",AU431=""),"",AU431-AU427)</f>
        <v/>
      </c>
      <c r="AV432" s="13" t="str">
        <f aca="false">IF(OR(AV427="",AV431=""),"",AV431-AV427)</f>
        <v/>
      </c>
      <c r="AW432" s="13" t="str">
        <f aca="false">IF(OR(AW427="",AW431=""),"",AW431-AW427)</f>
        <v/>
      </c>
      <c r="AX432" s="13" t="str">
        <f aca="false">IF(OR(AX427="",AX431=""),"",AX431-AX427)</f>
        <v/>
      </c>
      <c r="AY432" s="13" t="str">
        <f aca="false">IF(OR(AY427="",AY431=""),"",AY431-AY427)</f>
        <v/>
      </c>
      <c r="AZ432" s="13" t="str">
        <f aca="false">IF(OR(AZ427="",AZ431=""),"",AZ431-AZ427)</f>
        <v/>
      </c>
      <c r="BA432" s="13" t="str">
        <f aca="false">IF(OR(BA427="",BA431=""),"",BA431-BA427)</f>
        <v/>
      </c>
      <c r="BB432" s="13" t="str">
        <f aca="false">IF(OR(BB427="",BB431=""),"",BB431-BB427)</f>
        <v/>
      </c>
      <c r="BC432" s="13" t="str">
        <f aca="false">IF(OR(BC427="",BC431=""),"",BC431-BC427)</f>
        <v/>
      </c>
      <c r="BD432" s="13" t="str">
        <f aca="false">IF(OR(BD427="",BD431=""),"",BD431-BD427)</f>
        <v/>
      </c>
      <c r="BE432" s="13" t="str">
        <f aca="false">IF(OR(BE427="",BE431=""),"",BE431-BE427)</f>
        <v/>
      </c>
      <c r="BF432" s="13" t="str">
        <f aca="false">IF(OR(BF427="",BF431=""),"",BF431-BF427)</f>
        <v/>
      </c>
      <c r="BG432" s="13" t="str">
        <f aca="false">IF(OR(BG427="",BG431=""),"",BG431-BG427)</f>
        <v/>
      </c>
      <c r="BH432" s="13" t="str">
        <f aca="false">IF(OR(BH427="",BH431=""),"",BH431-BH427)</f>
        <v/>
      </c>
      <c r="BI432" s="13" t="str">
        <f aca="false">IF(OR(BI427="",BI431=""),"",BI431-BI427)</f>
        <v/>
      </c>
      <c r="BJ432" s="13" t="str">
        <f aca="false">IF(OR(BJ427="",BJ431=""),"",BJ431-BJ427)</f>
        <v/>
      </c>
      <c r="BK432" s="13" t="str">
        <f aca="false">IF(OR(BK427="",BK431=""),"",BK431-BK427)</f>
        <v/>
      </c>
      <c r="BL432" s="13" t="str">
        <f aca="false">IF(OR(BL427="",BL431=""),"",BL431-BL427)</f>
        <v/>
      </c>
      <c r="BM432" s="13" t="str">
        <f aca="false">IF(OR(BM427="",BM431=""),"",BM431-BM427)</f>
        <v/>
      </c>
      <c r="BN432" s="13" t="str">
        <f aca="false">IF(OR(BN427="",BN431=""),"",BN431-BN427)</f>
        <v/>
      </c>
      <c r="BO432" s="13" t="str">
        <f aca="false">IF(OR(BO427="",BO431=""),"",BO431-BO427)</f>
        <v/>
      </c>
      <c r="BP432" s="13" t="str">
        <f aca="false">IF(OR(BP427="",BP431=""),"",BP431-BP427)</f>
        <v/>
      </c>
      <c r="BQ432" s="13" t="str">
        <f aca="false">IF(OR(BQ427="",BQ431=""),"",BQ431-BQ427)</f>
        <v/>
      </c>
      <c r="BR432" s="13" t="str">
        <f aca="false">IF(OR(BR427="",BR431=""),"",BR431-BR427)</f>
        <v/>
      </c>
      <c r="BS432" s="13" t="str">
        <f aca="false">IF(OR(BS427="",BS431=""),"",BS431-BS427)</f>
        <v/>
      </c>
      <c r="BT432" s="13" t="str">
        <f aca="false">IF(OR(BT427="",BT431=""),"",BT431-BT427)</f>
        <v/>
      </c>
      <c r="BU432" s="13" t="str">
        <f aca="false">IF(OR(BU427="",BU431=""),"",BU431-BU427)</f>
        <v/>
      </c>
      <c r="BV432" s="13" t="str">
        <f aca="false">IF(OR(BV427="",BV431=""),"",BV431-BV427)</f>
        <v/>
      </c>
      <c r="BW432" s="13" t="str">
        <f aca="false">IF(OR(BW427="",BW431=""),"",BW431-BW427)</f>
        <v/>
      </c>
      <c r="BX432" s="13" t="str">
        <f aca="false">IF(OR(BX427="",BX431=""),"",BX431-BX427)</f>
        <v/>
      </c>
      <c r="BY432" s="13" t="str">
        <f aca="false">IF(OR(BY427="",BY431=""),"",BY431-BY427)</f>
        <v/>
      </c>
      <c r="BZ432" s="13" t="str">
        <f aca="false">IF(OR(BZ427="",BZ431=""),"",BZ431-BZ427)</f>
        <v/>
      </c>
      <c r="CA432" s="13" t="str">
        <f aca="false">IF(OR(CA427="",CA431=""),"",CA431-CA427)</f>
        <v/>
      </c>
      <c r="CB432" s="13" t="str">
        <f aca="false">IF(OR(CB427="",CB431=""),"",CB431-CB427)</f>
        <v/>
      </c>
      <c r="CC432" s="13" t="str">
        <f aca="false">IF(OR(CC427="",CC431=""),"",CC431-CC427)</f>
        <v/>
      </c>
      <c r="CD432" s="13" t="str">
        <f aca="false">IF(OR(CD427="",CD431=""),"",CD431-CD427)</f>
        <v/>
      </c>
      <c r="CE432" s="13" t="str">
        <f aca="false">IF(OR(CE427="",CE431=""),"",CE431-CE427)</f>
        <v/>
      </c>
      <c r="CF432" s="13" t="str">
        <f aca="false">IF(OR(CF427="",CF431=""),"",CF431-CF427)</f>
        <v/>
      </c>
      <c r="CG432" s="13" t="str">
        <f aca="false">IF(OR(CG427="",CG431=""),"",CG431-CG427)</f>
        <v/>
      </c>
      <c r="CH432" s="13" t="str">
        <f aca="false">IF(OR(CH427="",CH431=""),"",CH431-CH427)</f>
        <v/>
      </c>
      <c r="CI432" s="13" t="str">
        <f aca="false">IF(OR(CI427="",CI431=""),"",CI431-CI427)</f>
        <v/>
      </c>
      <c r="CJ432" s="13" t="str">
        <f aca="false">IF(OR(CJ427="",CJ431=""),"",CJ431-CJ427)</f>
        <v/>
      </c>
      <c r="CK432" s="13" t="str">
        <f aca="false">IF(OR(CK427="",CK431=""),"",CK431-CK427)</f>
        <v/>
      </c>
      <c r="CL432" s="13" t="str">
        <f aca="false">IF(OR(CL427="",CL431=""),"",CL431-CL427)</f>
        <v/>
      </c>
      <c r="CM432" s="13" t="str">
        <f aca="false">IF(OR(CM427="",CM431=""),"",CM431-CM427)</f>
        <v/>
      </c>
      <c r="CN432" s="13" t="str">
        <f aca="false">IF(OR(CN427="",CN431=""),"",CN431-CN427)</f>
        <v/>
      </c>
      <c r="CO432" s="13" t="str">
        <f aca="false">IF(OR(CO427="",CO431=""),"",CO431-CO427)</f>
        <v/>
      </c>
      <c r="CP432" s="13" t="str">
        <f aca="false">IF(OR(CP427="",CP431=""),"",CP431-CP427)</f>
        <v/>
      </c>
      <c r="CQ432" s="13" t="str">
        <f aca="false">IF(OR(CQ427="",CQ431=""),"",CQ431-CQ427)</f>
        <v/>
      </c>
      <c r="CR432" s="13" t="str">
        <f aca="false">IF(OR(CR427="",CR431=""),"",CR431-CR427)</f>
        <v/>
      </c>
      <c r="CS432" s="13" t="str">
        <f aca="false">IF(OR(CS427="",CS431=""),"",CS431-CS427)</f>
        <v/>
      </c>
      <c r="CT432" s="13" t="str">
        <f aca="false">IF(OR(CT427="",CT431=""),"",CT431-CT427)</f>
        <v/>
      </c>
      <c r="CU432" s="13" t="str">
        <f aca="false">IF(OR(CU427="",CU431=""),"",CU431-CU427)</f>
        <v/>
      </c>
      <c r="CV432" s="13" t="str">
        <f aca="false">IF(OR(CV427="",CV431=""),"",CV431-CV427)</f>
        <v/>
      </c>
      <c r="CW432" s="13" t="str">
        <f aca="false">IF(OR(CW427="",CW431=""),"",CW431-CW427)</f>
        <v/>
      </c>
      <c r="CX432" s="13" t="str">
        <f aca="false">IF(OR(CX427="",CX431=""),"",CX431-CX427)</f>
        <v/>
      </c>
      <c r="CY432" s="13" t="str">
        <f aca="false">IF(OR(CY427="",CY431=""),"",CY431-CY427)</f>
        <v/>
      </c>
      <c r="CZ432" s="13" t="str">
        <f aca="false">IF(OR(CZ427="",CZ431=""),"",CZ431-CZ427)</f>
        <v/>
      </c>
      <c r="DA432" s="13" t="str">
        <f aca="false">IF(OR(DA427="",DA431=""),"",DA431-DA427)</f>
        <v/>
      </c>
      <c r="DB432" s="13" t="str">
        <f aca="false">IF(OR(DB427="",DB431=""),"",DB431-DB427)</f>
        <v/>
      </c>
      <c r="DC432" s="13" t="str">
        <f aca="false">IF(OR(DC427="",DC431=""),"",DC431-DC427)</f>
        <v/>
      </c>
      <c r="DD432" s="13" t="str">
        <f aca="false">IF(OR(DD427="",DD431=""),"",DD431-DD427)</f>
        <v/>
      </c>
      <c r="DE432" s="13" t="str">
        <f aca="false">IF(OR(DE427="",DE431=""),"",DE431-DE427)</f>
        <v/>
      </c>
    </row>
    <row r="434" customFormat="false" ht="13.5" hidden="false" customHeight="true" outlineLevel="0" collapsed="false">
      <c r="A434" s="23" t="s">
        <v>238</v>
      </c>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c r="CK434" s="34"/>
      <c r="CL434" s="34"/>
      <c r="CM434" s="34"/>
      <c r="CN434" s="34"/>
      <c r="CO434" s="34"/>
      <c r="CP434" s="34"/>
      <c r="CQ434" s="34"/>
      <c r="CR434" s="34"/>
      <c r="CS434" s="34"/>
      <c r="CT434" s="34"/>
      <c r="CU434" s="34"/>
      <c r="CV434" s="34"/>
      <c r="CW434" s="34"/>
      <c r="CX434" s="34"/>
      <c r="CY434" s="34"/>
      <c r="CZ434" s="34"/>
      <c r="DA434" s="34"/>
      <c r="DB434" s="34"/>
      <c r="DC434" s="34"/>
      <c r="DD434" s="34"/>
      <c r="DE434" s="34"/>
    </row>
    <row r="435" customFormat="false" ht="13.5" hidden="false" customHeight="true" outlineLevel="0" collapsed="false">
      <c r="A435" s="70" t="s">
        <v>239</v>
      </c>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6" customFormat="false" ht="13.5" hidden="false" customHeight="true" outlineLevel="0" collapsed="false">
      <c r="A436" s="22" t="s">
        <v>240</v>
      </c>
      <c r="B436" s="73" t="n">
        <v>489587</v>
      </c>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c r="AJ436" s="13"/>
      <c r="AK436" s="13"/>
      <c r="AL436" s="13"/>
      <c r="AM436" s="13"/>
      <c r="AN436" s="13"/>
      <c r="AO436" s="13"/>
      <c r="AP436" s="13"/>
      <c r="AQ436" s="13"/>
      <c r="AR436" s="13"/>
      <c r="AS436" s="13"/>
      <c r="AT436" s="13"/>
      <c r="AU436" s="13"/>
      <c r="AV436" s="13"/>
      <c r="AW436" s="13"/>
      <c r="AX436" s="13"/>
      <c r="AY436" s="13"/>
      <c r="AZ436" s="13"/>
      <c r="BA436" s="13"/>
      <c r="BB436" s="13"/>
      <c r="BC436" s="13"/>
      <c r="BD436" s="13"/>
      <c r="BE436" s="13"/>
      <c r="BF436" s="13"/>
      <c r="BG436" s="13"/>
      <c r="BH436" s="13"/>
      <c r="BI436" s="13"/>
      <c r="BJ436" s="13"/>
      <c r="BK436" s="13"/>
      <c r="BL436" s="13"/>
      <c r="BM436" s="13"/>
      <c r="BN436" s="13"/>
      <c r="BO436" s="13"/>
      <c r="BP436" s="13"/>
      <c r="BQ436" s="13"/>
      <c r="BR436" s="13"/>
      <c r="BS436" s="13"/>
      <c r="BT436" s="13"/>
      <c r="BU436" s="13"/>
      <c r="BV436" s="13"/>
      <c r="BW436" s="13"/>
      <c r="BX436" s="13"/>
      <c r="BY436" s="13"/>
      <c r="BZ436" s="13"/>
      <c r="CA436" s="13"/>
      <c r="CB436" s="13"/>
      <c r="CC436" s="13"/>
      <c r="CD436" s="13"/>
      <c r="CE436" s="13"/>
      <c r="CF436" s="13"/>
      <c r="CG436" s="13"/>
      <c r="CH436" s="13"/>
      <c r="CI436" s="13"/>
      <c r="CJ436" s="13"/>
      <c r="CK436" s="13"/>
      <c r="CL436" s="13"/>
      <c r="CM436" s="13"/>
      <c r="CN436" s="13"/>
      <c r="CO436" s="13"/>
      <c r="CP436" s="13"/>
      <c r="CQ436" s="13"/>
      <c r="CR436" s="13"/>
      <c r="CS436" s="13"/>
      <c r="CT436" s="13"/>
      <c r="CU436" s="13"/>
      <c r="CV436" s="13"/>
      <c r="CW436" s="13"/>
      <c r="CX436" s="13"/>
      <c r="CY436" s="13"/>
      <c r="CZ436" s="13"/>
      <c r="DA436" s="13"/>
      <c r="DB436" s="13"/>
      <c r="DC436" s="13"/>
      <c r="DD436" s="13"/>
      <c r="DE436" s="13"/>
    </row>
    <row r="437" customFormat="false" ht="13.5" hidden="false" customHeight="true" outlineLevel="0" collapsed="false">
      <c r="A437" s="22" t="s">
        <v>241</v>
      </c>
      <c r="B437" s="73" t="n">
        <v>3526180</v>
      </c>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3.5" hidden="false" customHeight="true" outlineLevel="0" collapsed="false">
      <c r="A438" s="22" t="s">
        <v>242</v>
      </c>
      <c r="B438" s="73" t="n">
        <v>4378580</v>
      </c>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3.5" hidden="false" customHeight="true" outlineLevel="0" collapsed="false">
      <c r="A439" s="22" t="s">
        <v>243</v>
      </c>
      <c r="B439" s="73" t="n">
        <v>146586</v>
      </c>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3.5" hidden="false" customHeight="true" outlineLevel="0" collapsed="false">
      <c r="A440" s="22" t="s">
        <v>244</v>
      </c>
      <c r="B440" s="73" t="n">
        <v>1237504</v>
      </c>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3.5" hidden="false" customHeight="true" outlineLevel="0" collapsed="false">
      <c r="A441" s="22" t="s">
        <v>245</v>
      </c>
      <c r="B441" s="73" t="n">
        <v>2347037</v>
      </c>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3.5" hidden="false" customHeight="true" outlineLevel="0" collapsed="false">
      <c r="A442" s="22" t="s">
        <v>246</v>
      </c>
      <c r="B442" s="73" t="n">
        <v>299000</v>
      </c>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3.5" hidden="false" customHeight="true" outlineLevel="0" collapsed="false">
      <c r="A444" s="70" t="s">
        <v>247</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3.5" hidden="false" customHeight="true" outlineLevel="0" collapsed="false">
      <c r="A445" s="22" t="s">
        <v>248</v>
      </c>
      <c r="B445" s="73" t="n">
        <v>2921863</v>
      </c>
      <c r="C445" s="73" t="n">
        <v>3816651</v>
      </c>
      <c r="D445" s="73" t="n">
        <v>3367521</v>
      </c>
      <c r="E445" s="73" t="n">
        <v>4913957</v>
      </c>
      <c r="F445" s="73" t="n">
        <v>5548038</v>
      </c>
      <c r="G445" s="73" t="n">
        <v>8605828</v>
      </c>
      <c r="H445" s="73" t="n">
        <v>9463439</v>
      </c>
      <c r="I445" s="73" t="n">
        <v>8872832</v>
      </c>
      <c r="J445" s="73" t="n">
        <v>9475819</v>
      </c>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c r="AJ445" s="13"/>
      <c r="AK445" s="13"/>
      <c r="AL445" s="13"/>
      <c r="AM445" s="13"/>
      <c r="AN445" s="13"/>
      <c r="AO445" s="13"/>
      <c r="AP445" s="13"/>
      <c r="AQ445" s="13"/>
      <c r="AR445" s="13"/>
      <c r="AS445" s="13"/>
      <c r="AT445" s="13"/>
      <c r="AU445" s="13"/>
      <c r="AV445" s="13"/>
      <c r="AW445" s="13"/>
      <c r="AX445" s="13"/>
      <c r="AY445" s="13"/>
      <c r="AZ445" s="13"/>
      <c r="BA445" s="13"/>
      <c r="BB445" s="13"/>
      <c r="BC445" s="13"/>
      <c r="BD445" s="13"/>
      <c r="BE445" s="13"/>
      <c r="BF445" s="13"/>
      <c r="BG445" s="13"/>
      <c r="BH445" s="13"/>
      <c r="BI445" s="13"/>
      <c r="BJ445" s="13"/>
      <c r="BK445" s="13"/>
      <c r="BL445" s="13"/>
      <c r="BM445" s="13"/>
      <c r="BN445" s="13"/>
      <c r="BO445" s="13"/>
      <c r="BP445" s="13"/>
      <c r="BQ445" s="13"/>
      <c r="BR445" s="13"/>
      <c r="BS445" s="13"/>
      <c r="BT445" s="13"/>
      <c r="BU445" s="13"/>
      <c r="BV445" s="13"/>
      <c r="BW445" s="13"/>
      <c r="BX445" s="13"/>
      <c r="BY445" s="13"/>
      <c r="BZ445" s="13"/>
      <c r="CA445" s="13"/>
      <c r="CB445" s="13"/>
      <c r="CC445" s="13"/>
      <c r="CD445" s="13"/>
      <c r="CE445" s="13"/>
      <c r="CF445" s="13"/>
      <c r="CG445" s="13"/>
      <c r="CH445" s="13"/>
      <c r="CI445" s="13"/>
      <c r="CJ445" s="13"/>
      <c r="CK445" s="13"/>
      <c r="CL445" s="13"/>
      <c r="CM445" s="13"/>
      <c r="CN445" s="13"/>
      <c r="CO445" s="13"/>
      <c r="CP445" s="13"/>
      <c r="CQ445" s="13"/>
      <c r="CR445" s="13"/>
      <c r="CS445" s="13"/>
      <c r="CT445" s="13"/>
      <c r="CU445" s="13"/>
      <c r="CV445" s="13"/>
      <c r="CW445" s="13"/>
      <c r="CX445" s="13"/>
      <c r="CY445" s="13"/>
      <c r="CZ445" s="13"/>
      <c r="DA445" s="13"/>
      <c r="DB445" s="13"/>
      <c r="DC445" s="13"/>
      <c r="DD445" s="13"/>
      <c r="DE445" s="13"/>
    </row>
    <row r="446" customFormat="false" ht="13.5" hidden="false" customHeight="true" outlineLevel="0" collapsed="false">
      <c r="A446" s="22" t="s">
        <v>249</v>
      </c>
      <c r="B446" s="73" t="n">
        <v>417159</v>
      </c>
      <c r="C446" s="73" t="n">
        <v>552746</v>
      </c>
      <c r="D446" s="73" t="n">
        <v>682719</v>
      </c>
      <c r="E446" s="73" t="n">
        <v>863823</v>
      </c>
      <c r="F446" s="73" t="n">
        <v>1075205</v>
      </c>
      <c r="G446" s="73" t="n">
        <v>1343596</v>
      </c>
      <c r="H446" s="73" t="n">
        <v>1609222</v>
      </c>
      <c r="I446" s="73" t="n">
        <v>1872897</v>
      </c>
      <c r="J446" s="73" t="n">
        <v>2087471</v>
      </c>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c r="AJ446" s="13"/>
      <c r="AK446" s="13"/>
      <c r="AL446" s="13"/>
      <c r="AM446" s="13"/>
      <c r="AN446" s="13"/>
      <c r="AO446" s="13"/>
      <c r="AP446" s="13"/>
      <c r="AQ446" s="13"/>
      <c r="AR446" s="13"/>
      <c r="AS446" s="13"/>
      <c r="AT446" s="13"/>
      <c r="AU446" s="13"/>
      <c r="AV446" s="13"/>
      <c r="AW446" s="13"/>
      <c r="AX446" s="13"/>
      <c r="AY446" s="13"/>
      <c r="AZ446" s="13"/>
      <c r="BA446" s="13"/>
      <c r="BB446" s="13"/>
      <c r="BC446" s="13"/>
      <c r="BD446" s="13"/>
      <c r="BE446" s="13"/>
      <c r="BF446" s="13"/>
      <c r="BG446" s="13"/>
      <c r="BH446" s="13"/>
      <c r="BI446" s="13"/>
      <c r="BJ446" s="13"/>
      <c r="BK446" s="13"/>
      <c r="BL446" s="13"/>
      <c r="BM446" s="13"/>
      <c r="BN446" s="13"/>
      <c r="BO446" s="13"/>
      <c r="BP446" s="13"/>
      <c r="BQ446" s="13"/>
      <c r="BR446" s="13"/>
      <c r="BS446" s="13"/>
      <c r="BT446" s="13"/>
      <c r="BU446" s="13"/>
      <c r="BV446" s="13"/>
      <c r="BW446" s="13"/>
      <c r="BX446" s="13"/>
      <c r="BY446" s="13"/>
      <c r="BZ446" s="13"/>
      <c r="CA446" s="13"/>
      <c r="CB446" s="13"/>
      <c r="CC446" s="13"/>
      <c r="CD446" s="13"/>
      <c r="CE446" s="13"/>
      <c r="CF446" s="13"/>
      <c r="CG446" s="13"/>
      <c r="CH446" s="13"/>
      <c r="CI446" s="13"/>
      <c r="CJ446" s="13"/>
      <c r="CK446" s="13"/>
      <c r="CL446" s="13"/>
      <c r="CM446" s="13"/>
      <c r="CN446" s="13"/>
      <c r="CO446" s="13"/>
      <c r="CP446" s="13"/>
      <c r="CQ446" s="13"/>
      <c r="CR446" s="13"/>
      <c r="CS446" s="13"/>
      <c r="CT446" s="13"/>
      <c r="CU446" s="13"/>
      <c r="CV446" s="13"/>
      <c r="CW446" s="13"/>
      <c r="CX446" s="13"/>
      <c r="CY446" s="13"/>
      <c r="CZ446" s="13"/>
      <c r="DA446" s="13"/>
      <c r="DB446" s="13"/>
      <c r="DC446" s="13"/>
      <c r="DD446" s="13"/>
      <c r="DE446" s="13"/>
    </row>
    <row r="447" customFormat="false" ht="13.5" hidden="false" customHeight="true" outlineLevel="0" collapsed="false">
      <c r="A447" s="22" t="s">
        <v>250</v>
      </c>
      <c r="B447" s="73" t="n">
        <v>0</v>
      </c>
      <c r="C447" s="73" t="n">
        <v>0</v>
      </c>
      <c r="D447" s="73" t="n">
        <v>0</v>
      </c>
      <c r="E447" s="73" t="n">
        <v>0</v>
      </c>
      <c r="F447" s="73" t="n">
        <v>0</v>
      </c>
      <c r="G447" s="73" t="n">
        <v>0</v>
      </c>
      <c r="H447" s="73" t="n">
        <v>96097</v>
      </c>
      <c r="I447" s="73" t="n">
        <v>0</v>
      </c>
      <c r="J447" s="73" t="n">
        <v>0</v>
      </c>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c r="AJ447" s="13"/>
      <c r="AK447" s="13"/>
      <c r="AL447" s="13"/>
      <c r="AM447" s="13"/>
      <c r="AN447" s="13"/>
      <c r="AO447" s="13"/>
      <c r="AP447" s="13"/>
      <c r="AQ447" s="13"/>
      <c r="AR447" s="13"/>
      <c r="AS447" s="13"/>
      <c r="AT447" s="13"/>
      <c r="AU447" s="13"/>
      <c r="AV447" s="13"/>
      <c r="AW447" s="13"/>
      <c r="AX447" s="13"/>
      <c r="AY447" s="13"/>
      <c r="AZ447" s="13"/>
      <c r="BA447" s="13"/>
      <c r="BB447" s="13"/>
      <c r="BC447" s="13"/>
      <c r="BD447" s="13"/>
      <c r="BE447" s="13"/>
      <c r="BF447" s="13"/>
      <c r="BG447" s="13"/>
      <c r="BH447" s="13"/>
      <c r="BI447" s="13"/>
      <c r="BJ447" s="13"/>
      <c r="BK447" s="13"/>
      <c r="BL447" s="13"/>
      <c r="BM447" s="13"/>
      <c r="BN447" s="13"/>
      <c r="BO447" s="13"/>
      <c r="BP447" s="13"/>
      <c r="BQ447" s="13"/>
      <c r="BR447" s="13"/>
      <c r="BS447" s="13"/>
      <c r="BT447" s="13"/>
      <c r="BU447" s="13"/>
      <c r="BV447" s="13"/>
      <c r="BW447" s="13"/>
      <c r="BX447" s="13"/>
      <c r="BY447" s="13"/>
      <c r="BZ447" s="13"/>
      <c r="CA447" s="13"/>
      <c r="CB447" s="13"/>
      <c r="CC447" s="13"/>
      <c r="CD447" s="13"/>
      <c r="CE447" s="13"/>
      <c r="CF447" s="13"/>
      <c r="CG447" s="13"/>
      <c r="CH447" s="13"/>
      <c r="CI447" s="13"/>
      <c r="CJ447" s="13"/>
      <c r="CK447" s="13"/>
      <c r="CL447" s="13"/>
      <c r="CM447" s="13"/>
      <c r="CN447" s="13"/>
      <c r="CO447" s="13"/>
      <c r="CP447" s="13"/>
      <c r="CQ447" s="13"/>
      <c r="CR447" s="13"/>
      <c r="CS447" s="13"/>
      <c r="CT447" s="13"/>
      <c r="CU447" s="13"/>
      <c r="CV447" s="13"/>
      <c r="CW447" s="13"/>
      <c r="CX447" s="13"/>
      <c r="CY447" s="13"/>
      <c r="CZ447" s="13"/>
      <c r="DA447" s="13"/>
      <c r="DB447" s="13"/>
      <c r="DC447" s="13"/>
      <c r="DD447" s="13"/>
      <c r="DE447" s="13"/>
    </row>
    <row r="448" customFormat="false" ht="13.5" hidden="false" customHeight="true" outlineLevel="0" collapsed="false">
      <c r="A448" s="22" t="s">
        <v>251</v>
      </c>
      <c r="B448" s="73" t="n">
        <v>4052636</v>
      </c>
      <c r="C448" s="73" t="n">
        <v>4295889</v>
      </c>
      <c r="D448" s="73" t="n">
        <v>4394933</v>
      </c>
      <c r="E448" s="73" t="n">
        <v>5359073</v>
      </c>
      <c r="F448" s="73" t="n">
        <v>6161063</v>
      </c>
      <c r="G448" s="73" t="n">
        <v>8892451</v>
      </c>
      <c r="H448" s="73" t="n">
        <v>8434511</v>
      </c>
      <c r="I448" s="73" t="n">
        <v>8606048</v>
      </c>
      <c r="J448" s="73" t="n">
        <v>9427488</v>
      </c>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c r="AJ448" s="13"/>
      <c r="AK448" s="13"/>
      <c r="AL448" s="13"/>
      <c r="AM448" s="13"/>
      <c r="AN448" s="13"/>
      <c r="AO448" s="13"/>
      <c r="AP448" s="13"/>
      <c r="AQ448" s="13"/>
      <c r="AR448" s="13"/>
      <c r="AS448" s="13"/>
      <c r="AT448" s="13"/>
      <c r="AU448" s="13"/>
      <c r="AV448" s="13"/>
      <c r="AW448" s="13"/>
      <c r="AX448" s="13"/>
      <c r="AY448" s="13"/>
      <c r="AZ448" s="13"/>
      <c r="BA448" s="13"/>
      <c r="BB448" s="13"/>
      <c r="BC448" s="13"/>
      <c r="BD448" s="13"/>
      <c r="BE448" s="13"/>
      <c r="BF448" s="13"/>
      <c r="BG448" s="13"/>
      <c r="BH448" s="13"/>
      <c r="BI448" s="13"/>
      <c r="BJ448" s="13"/>
      <c r="BK448" s="13"/>
      <c r="BL448" s="13"/>
      <c r="BM448" s="13"/>
      <c r="BN448" s="13"/>
      <c r="BO448" s="13"/>
      <c r="BP448" s="13"/>
      <c r="BQ448" s="13"/>
      <c r="BR448" s="13"/>
      <c r="BS448" s="13"/>
      <c r="BT448" s="13"/>
      <c r="BU448" s="13"/>
      <c r="BV448" s="13"/>
      <c r="BW448" s="13"/>
      <c r="BX448" s="13"/>
      <c r="BY448" s="13"/>
      <c r="BZ448" s="13"/>
      <c r="CA448" s="13"/>
      <c r="CB448" s="13"/>
      <c r="CC448" s="13"/>
      <c r="CD448" s="13"/>
      <c r="CE448" s="13"/>
      <c r="CF448" s="13"/>
      <c r="CG448" s="13"/>
      <c r="CH448" s="13"/>
      <c r="CI448" s="13"/>
      <c r="CJ448" s="13"/>
      <c r="CK448" s="13"/>
      <c r="CL448" s="13"/>
      <c r="CM448" s="13"/>
      <c r="CN448" s="13"/>
      <c r="CO448" s="13"/>
      <c r="CP448" s="13"/>
      <c r="CQ448" s="13"/>
      <c r="CR448" s="13"/>
      <c r="CS448" s="13"/>
      <c r="CT448" s="13"/>
      <c r="CU448" s="13"/>
      <c r="CV448" s="13"/>
      <c r="CW448" s="13"/>
      <c r="CX448" s="13"/>
      <c r="CY448" s="13"/>
      <c r="CZ448" s="13"/>
      <c r="DA448" s="13"/>
      <c r="DB448" s="13"/>
      <c r="DC448" s="13"/>
      <c r="DD448" s="13"/>
      <c r="DE448" s="13"/>
    </row>
    <row r="449" customFormat="false" ht="13.5" hidden="false" customHeight="true" outlineLevel="0" collapsed="false">
      <c r="A449" s="22" t="s">
        <v>252</v>
      </c>
      <c r="B449" s="73" t="n">
        <v>246844</v>
      </c>
      <c r="C449" s="73" t="n">
        <v>362001</v>
      </c>
      <c r="D449" s="73" t="n">
        <v>458628</v>
      </c>
      <c r="E449" s="73" t="n">
        <v>625437</v>
      </c>
      <c r="F449" s="73" t="n">
        <v>812294</v>
      </c>
      <c r="G449" s="73" t="n">
        <v>1055651</v>
      </c>
      <c r="H449" s="73" t="n">
        <v>1280305</v>
      </c>
      <c r="I449" s="73" t="n">
        <v>1515221</v>
      </c>
      <c r="J449" s="73" t="n">
        <v>1677658</v>
      </c>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c r="AJ449" s="13"/>
      <c r="AK449" s="13"/>
      <c r="AL449" s="13"/>
      <c r="AM449" s="13"/>
      <c r="AN449" s="13"/>
      <c r="AO449" s="13"/>
      <c r="AP449" s="13"/>
      <c r="AQ449" s="13"/>
      <c r="AR449" s="13"/>
      <c r="AS449" s="13"/>
      <c r="AT449" s="13"/>
      <c r="AU449" s="13"/>
      <c r="AV449" s="13"/>
      <c r="AW449" s="13"/>
      <c r="AX449" s="13"/>
      <c r="AY449" s="13"/>
      <c r="AZ449" s="13"/>
      <c r="BA449" s="13"/>
      <c r="BB449" s="13"/>
      <c r="BC449" s="13"/>
      <c r="BD449" s="13"/>
      <c r="BE449" s="13"/>
      <c r="BF449" s="13"/>
      <c r="BG449" s="13"/>
      <c r="BH449" s="13"/>
      <c r="BI449" s="13"/>
      <c r="BJ449" s="13"/>
      <c r="BK449" s="13"/>
      <c r="BL449" s="13"/>
      <c r="BM449" s="13"/>
      <c r="BN449" s="13"/>
      <c r="BO449" s="13"/>
      <c r="BP449" s="13"/>
      <c r="BQ449" s="13"/>
      <c r="BR449" s="13"/>
      <c r="BS449" s="13"/>
      <c r="BT449" s="13"/>
      <c r="BU449" s="13"/>
      <c r="BV449" s="13"/>
      <c r="BW449" s="13"/>
      <c r="BX449" s="13"/>
      <c r="BY449" s="13"/>
      <c r="BZ449" s="13"/>
      <c r="CA449" s="13"/>
      <c r="CB449" s="13"/>
      <c r="CC449" s="13"/>
      <c r="CD449" s="13"/>
      <c r="CE449" s="13"/>
      <c r="CF449" s="13"/>
      <c r="CG449" s="13"/>
      <c r="CH449" s="13"/>
      <c r="CI449" s="13"/>
      <c r="CJ449" s="13"/>
      <c r="CK449" s="13"/>
      <c r="CL449" s="13"/>
      <c r="CM449" s="13"/>
      <c r="CN449" s="13"/>
      <c r="CO449" s="13"/>
      <c r="CP449" s="13"/>
      <c r="CQ449" s="13"/>
      <c r="CR449" s="13"/>
      <c r="CS449" s="13"/>
      <c r="CT449" s="13"/>
      <c r="CU449" s="13"/>
      <c r="CV449" s="13"/>
      <c r="CW449" s="13"/>
      <c r="CX449" s="13"/>
      <c r="CY449" s="13"/>
      <c r="CZ449" s="13"/>
      <c r="DA449" s="13"/>
      <c r="DB449" s="13"/>
      <c r="DC449" s="13"/>
      <c r="DD449" s="13"/>
      <c r="DE449" s="13"/>
    </row>
    <row r="451" customFormat="false" ht="13.5" hidden="false" customHeight="true" outlineLevel="0" collapsed="false">
      <c r="A451" s="70" t="s">
        <v>253</v>
      </c>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c r="AJ451" s="13"/>
      <c r="AK451" s="13"/>
      <c r="AL451" s="13"/>
      <c r="AM451" s="13"/>
      <c r="AN451" s="13"/>
      <c r="AO451" s="13"/>
      <c r="AP451" s="13"/>
      <c r="AQ451" s="13"/>
      <c r="AR451" s="13"/>
      <c r="AS451" s="13"/>
      <c r="AT451" s="13"/>
      <c r="AU451" s="13"/>
      <c r="AV451" s="13"/>
      <c r="AW451" s="13"/>
      <c r="AX451" s="13"/>
      <c r="AY451" s="13"/>
      <c r="AZ451" s="13"/>
      <c r="BA451" s="13"/>
      <c r="BB451" s="13"/>
      <c r="BC451" s="13"/>
      <c r="BD451" s="13"/>
      <c r="BE451" s="13"/>
      <c r="BF451" s="13"/>
      <c r="BG451" s="13"/>
      <c r="BH451" s="13"/>
      <c r="BI451" s="13"/>
      <c r="BJ451" s="13"/>
      <c r="BK451" s="13"/>
      <c r="BL451" s="13"/>
      <c r="BM451" s="13"/>
      <c r="BN451" s="13"/>
      <c r="BO451" s="13"/>
      <c r="BP451" s="13"/>
      <c r="BQ451" s="13"/>
      <c r="BR451" s="13"/>
      <c r="BS451" s="13"/>
      <c r="BT451" s="13"/>
      <c r="BU451" s="13"/>
      <c r="BV451" s="13"/>
      <c r="BW451" s="13"/>
      <c r="BX451" s="13"/>
      <c r="BY451" s="13"/>
      <c r="BZ451" s="13"/>
      <c r="CA451" s="13"/>
      <c r="CB451" s="13"/>
      <c r="CC451" s="13"/>
      <c r="CD451" s="13"/>
      <c r="CE451" s="13"/>
      <c r="CF451" s="13"/>
      <c r="CG451" s="13"/>
      <c r="CH451" s="13"/>
      <c r="CI451" s="13"/>
      <c r="CJ451" s="13"/>
      <c r="CK451" s="13"/>
      <c r="CL451" s="13"/>
      <c r="CM451" s="13"/>
      <c r="CN451" s="13"/>
      <c r="CO451" s="13"/>
      <c r="CP451" s="13"/>
      <c r="CQ451" s="13"/>
      <c r="CR451" s="13"/>
      <c r="CS451" s="13"/>
      <c r="CT451" s="13"/>
      <c r="CU451" s="13"/>
      <c r="CV451" s="13"/>
      <c r="CW451" s="13"/>
      <c r="CX451" s="13"/>
      <c r="CY451" s="13"/>
      <c r="CZ451" s="13"/>
      <c r="DA451" s="13"/>
      <c r="DB451" s="13"/>
      <c r="DC451" s="13"/>
      <c r="DD451" s="13"/>
      <c r="DE451" s="13"/>
    </row>
    <row r="452" customFormat="false" ht="13.5" hidden="false" customHeight="true" outlineLevel="0" collapsed="false">
      <c r="A452" s="22" t="s">
        <v>254</v>
      </c>
      <c r="B452" s="13" t="n">
        <f aca="false">IF(B397="","",$B$436)</f>
        <v>489587</v>
      </c>
      <c r="C452" s="13" t="n">
        <f aca="false">IF(C397="","",B397)</f>
        <v>680024</v>
      </c>
      <c r="D452" s="13" t="n">
        <f aca="false">IF(D397="","",C397)</f>
        <v>115848</v>
      </c>
      <c r="E452" s="13" t="n">
        <f aca="false">IF(E397="","",D397)</f>
        <v>633520</v>
      </c>
      <c r="F452" s="13" t="n">
        <f aca="false">IF(F397="","",E397)</f>
        <v>394004</v>
      </c>
      <c r="G452" s="13" t="n">
        <f aca="false">IF(G397="","",F397)</f>
        <v>501967</v>
      </c>
      <c r="H452" s="13" t="n">
        <f aca="false">IF(H397="","",G397)</f>
        <v>306139</v>
      </c>
      <c r="I452" s="13" t="n">
        <f aca="false">IF(I397="","",H397)</f>
        <v>283340</v>
      </c>
      <c r="J452" s="13" t="n">
        <f aca="false">IF(J397="","",I397)</f>
        <v>1287106</v>
      </c>
      <c r="K452" s="13" t="str">
        <f aca="false">IF(K397="","",J397)</f>
        <v/>
      </c>
      <c r="L452" s="13" t="str">
        <f aca="false">IF(L397="","",K397)</f>
        <v/>
      </c>
      <c r="M452" s="13" t="str">
        <f aca="false">IF(M397="","",L397)</f>
        <v/>
      </c>
      <c r="N452" s="13" t="str">
        <f aca="false">IF(N397="","",M397)</f>
        <v/>
      </c>
      <c r="O452" s="13" t="str">
        <f aca="false">IF(O397="","",N397)</f>
        <v/>
      </c>
      <c r="P452" s="13" t="str">
        <f aca="false">IF(P397="","",O397)</f>
        <v/>
      </c>
      <c r="Q452" s="13" t="str">
        <f aca="false">IF(Q397="","",P397)</f>
        <v/>
      </c>
      <c r="R452" s="13" t="str">
        <f aca="false">IF(R397="","",Q397)</f>
        <v/>
      </c>
      <c r="S452" s="13" t="str">
        <f aca="false">IF(S397="","",R397)</f>
        <v/>
      </c>
      <c r="T452" s="13" t="str">
        <f aca="false">IF(T397="","",S397)</f>
        <v/>
      </c>
      <c r="U452" s="13" t="str">
        <f aca="false">IF(U397="","",T397)</f>
        <v/>
      </c>
      <c r="V452" s="13" t="str">
        <f aca="false">IF(V397="","",U397)</f>
        <v/>
      </c>
      <c r="W452" s="13" t="str">
        <f aca="false">IF(W397="","",V397)</f>
        <v/>
      </c>
      <c r="X452" s="13" t="str">
        <f aca="false">IF(X397="","",W397)</f>
        <v/>
      </c>
      <c r="Y452" s="13" t="str">
        <f aca="false">IF(Y397="","",X397)</f>
        <v/>
      </c>
      <c r="Z452" s="13" t="str">
        <f aca="false">IF(Z397="","",Y397)</f>
        <v/>
      </c>
      <c r="AA452" s="13" t="str">
        <f aca="false">IF(AA397="","",Z397)</f>
        <v/>
      </c>
      <c r="AB452" s="13" t="str">
        <f aca="false">IF(AB397="","",AA397)</f>
        <v/>
      </c>
      <c r="AC452" s="13" t="str">
        <f aca="false">IF(AC397="","",AB397)</f>
        <v/>
      </c>
      <c r="AD452" s="13" t="str">
        <f aca="false">IF(AD397="","",AC397)</f>
        <v/>
      </c>
      <c r="AE452" s="13" t="str">
        <f aca="false">IF(AE397="","",AD397)</f>
        <v/>
      </c>
      <c r="AF452" s="13" t="str">
        <f aca="false">IF(AF397="","",AE397)</f>
        <v/>
      </c>
      <c r="AG452" s="13" t="str">
        <f aca="false">IF(AG397="","",AF397)</f>
        <v/>
      </c>
      <c r="AH452" s="13" t="str">
        <f aca="false">IF(AH397="","",AG397)</f>
        <v/>
      </c>
      <c r="AI452" s="13" t="str">
        <f aca="false">IF(AI397="","",AH397)</f>
        <v/>
      </c>
      <c r="AJ452" s="13" t="str">
        <f aca="false">IF(AJ397="","",AI397)</f>
        <v/>
      </c>
      <c r="AK452" s="13" t="str">
        <f aca="false">IF(AK397="","",AJ397)</f>
        <v/>
      </c>
      <c r="AL452" s="13" t="str">
        <f aca="false">IF(AL397="","",AK397)</f>
        <v/>
      </c>
      <c r="AM452" s="13" t="str">
        <f aca="false">IF(AM397="","",AL397)</f>
        <v/>
      </c>
      <c r="AN452" s="13" t="str">
        <f aca="false">IF(AN397="","",AM397)</f>
        <v/>
      </c>
      <c r="AO452" s="13" t="str">
        <f aca="false">IF(AO397="","",AN397)</f>
        <v/>
      </c>
      <c r="AP452" s="13" t="str">
        <f aca="false">IF(AP397="","",AO397)</f>
        <v/>
      </c>
      <c r="AQ452" s="13" t="str">
        <f aca="false">IF(AQ397="","",AP397)</f>
        <v/>
      </c>
      <c r="AR452" s="13" t="str">
        <f aca="false">IF(AR397="","",AQ397)</f>
        <v/>
      </c>
      <c r="AS452" s="13" t="str">
        <f aca="false">IF(AS397="","",AR397)</f>
        <v/>
      </c>
      <c r="AT452" s="13" t="str">
        <f aca="false">IF(AT397="","",AS397)</f>
        <v/>
      </c>
      <c r="AU452" s="13" t="str">
        <f aca="false">IF(AU397="","",AT397)</f>
        <v/>
      </c>
      <c r="AV452" s="13" t="str">
        <f aca="false">IF(AV397="","",AU397)</f>
        <v/>
      </c>
      <c r="AW452" s="13" t="str">
        <f aca="false">IF(AW397="","",AV397)</f>
        <v/>
      </c>
      <c r="AX452" s="13" t="str">
        <f aca="false">IF(AX397="","",AW397)</f>
        <v/>
      </c>
      <c r="AY452" s="13" t="str">
        <f aca="false">IF(AY397="","",AX397)</f>
        <v/>
      </c>
      <c r="AZ452" s="13" t="str">
        <f aca="false">IF(AZ397="","",AY397)</f>
        <v/>
      </c>
      <c r="BA452" s="13" t="str">
        <f aca="false">IF(BA397="","",AZ397)</f>
        <v/>
      </c>
      <c r="BB452" s="13" t="str">
        <f aca="false">IF(BB397="","",BA397)</f>
        <v/>
      </c>
      <c r="BC452" s="13" t="str">
        <f aca="false">IF(BC397="","",BB397)</f>
        <v/>
      </c>
      <c r="BD452" s="13" t="str">
        <f aca="false">IF(BD397="","",BC397)</f>
        <v/>
      </c>
      <c r="BE452" s="13" t="str">
        <f aca="false">IF(BE397="","",BD397)</f>
        <v/>
      </c>
      <c r="BF452" s="13" t="str">
        <f aca="false">IF(BF397="","",BE397)</f>
        <v/>
      </c>
      <c r="BG452" s="13" t="str">
        <f aca="false">IF(BG397="","",BF397)</f>
        <v/>
      </c>
      <c r="BH452" s="13" t="str">
        <f aca="false">IF(BH397="","",BG397)</f>
        <v/>
      </c>
      <c r="BI452" s="13" t="str">
        <f aca="false">IF(BI397="","",BH397)</f>
        <v/>
      </c>
      <c r="BJ452" s="13" t="str">
        <f aca="false">IF(BJ397="","",BI397)</f>
        <v/>
      </c>
      <c r="BK452" s="13" t="str">
        <f aca="false">IF(BK397="","",BJ397)</f>
        <v/>
      </c>
      <c r="BL452" s="13" t="str">
        <f aca="false">IF(BL397="","",BK397)</f>
        <v/>
      </c>
      <c r="BM452" s="13" t="str">
        <f aca="false">IF(BM397="","",BL397)</f>
        <v/>
      </c>
      <c r="BN452" s="13" t="str">
        <f aca="false">IF(BN397="","",BM397)</f>
        <v/>
      </c>
      <c r="BO452" s="13" t="str">
        <f aca="false">IF(BO397="","",BN397)</f>
        <v/>
      </c>
      <c r="BP452" s="13" t="str">
        <f aca="false">IF(BP397="","",BO397)</f>
        <v/>
      </c>
      <c r="BQ452" s="13" t="str">
        <f aca="false">IF(BQ397="","",BP397)</f>
        <v/>
      </c>
      <c r="BR452" s="13" t="str">
        <f aca="false">IF(BR397="","",BQ397)</f>
        <v/>
      </c>
      <c r="BS452" s="13" t="str">
        <f aca="false">IF(BS397="","",BR397)</f>
        <v/>
      </c>
      <c r="BT452" s="13" t="str">
        <f aca="false">IF(BT397="","",BS397)</f>
        <v/>
      </c>
      <c r="BU452" s="13" t="str">
        <f aca="false">IF(BU397="","",BT397)</f>
        <v/>
      </c>
      <c r="BV452" s="13" t="str">
        <f aca="false">IF(BV397="","",BU397)</f>
        <v/>
      </c>
      <c r="BW452" s="13" t="str">
        <f aca="false">IF(BW397="","",BV397)</f>
        <v/>
      </c>
      <c r="BX452" s="13" t="str">
        <f aca="false">IF(BX397="","",BW397)</f>
        <v/>
      </c>
      <c r="BY452" s="13" t="str">
        <f aca="false">IF(BY397="","",BX397)</f>
        <v/>
      </c>
      <c r="BZ452" s="13" t="str">
        <f aca="false">IF(BZ397="","",BY397)</f>
        <v/>
      </c>
      <c r="CA452" s="13" t="str">
        <f aca="false">IF(CA397="","",BZ397)</f>
        <v/>
      </c>
      <c r="CB452" s="13" t="str">
        <f aca="false">IF(CB397="","",CA397)</f>
        <v/>
      </c>
      <c r="CC452" s="13" t="str">
        <f aca="false">IF(CC397="","",CB397)</f>
        <v/>
      </c>
      <c r="CD452" s="13" t="str">
        <f aca="false">IF(CD397="","",CC397)</f>
        <v/>
      </c>
      <c r="CE452" s="13" t="str">
        <f aca="false">IF(CE397="","",CD397)</f>
        <v/>
      </c>
      <c r="CF452" s="13" t="str">
        <f aca="false">IF(CF397="","",CE397)</f>
        <v/>
      </c>
      <c r="CG452" s="13" t="str">
        <f aca="false">IF(CG397="","",CF397)</f>
        <v/>
      </c>
      <c r="CH452" s="13" t="str">
        <f aca="false">IF(CH397="","",CG397)</f>
        <v/>
      </c>
      <c r="CI452" s="13" t="str">
        <f aca="false">IF(CI397="","",CH397)</f>
        <v/>
      </c>
      <c r="CJ452" s="13" t="str">
        <f aca="false">IF(CJ397="","",CI397)</f>
        <v/>
      </c>
      <c r="CK452" s="13" t="str">
        <f aca="false">IF(CK397="","",CJ397)</f>
        <v/>
      </c>
      <c r="CL452" s="13" t="str">
        <f aca="false">IF(CL397="","",CK397)</f>
        <v/>
      </c>
      <c r="CM452" s="13" t="str">
        <f aca="false">IF(CM397="","",CL397)</f>
        <v/>
      </c>
      <c r="CN452" s="13" t="str">
        <f aca="false">IF(CN397="","",CM397)</f>
        <v/>
      </c>
      <c r="CO452" s="13" t="str">
        <f aca="false">IF(CO397="","",CN397)</f>
        <v/>
      </c>
      <c r="CP452" s="13" t="str">
        <f aca="false">IF(CP397="","",CO397)</f>
        <v/>
      </c>
      <c r="CQ452" s="13" t="str">
        <f aca="false">IF(CQ397="","",CP397)</f>
        <v/>
      </c>
      <c r="CR452" s="13" t="str">
        <f aca="false">IF(CR397="","",CQ397)</f>
        <v/>
      </c>
      <c r="CS452" s="13" t="str">
        <f aca="false">IF(CS397="","",CR397)</f>
        <v/>
      </c>
      <c r="CT452" s="13" t="str">
        <f aca="false">IF(CT397="","",CS397)</f>
        <v/>
      </c>
      <c r="CU452" s="13" t="str">
        <f aca="false">IF(CU397="","",CT397)</f>
        <v/>
      </c>
      <c r="CV452" s="13" t="str">
        <f aca="false">IF(CV397="","",CU397)</f>
        <v/>
      </c>
      <c r="CW452" s="13" t="str">
        <f aca="false">IF(CW397="","",CV397)</f>
        <v/>
      </c>
      <c r="CX452" s="13" t="str">
        <f aca="false">IF(CX397="","",CW397)</f>
        <v/>
      </c>
      <c r="CY452" s="13" t="str">
        <f aca="false">IF(CY397="","",CX397)</f>
        <v/>
      </c>
      <c r="CZ452" s="13" t="str">
        <f aca="false">IF(CZ397="","",CY397)</f>
        <v/>
      </c>
      <c r="DA452" s="13" t="str">
        <f aca="false">IF(DA397="","",CZ397)</f>
        <v/>
      </c>
      <c r="DB452" s="13" t="str">
        <f aca="false">IF(DB397="","",DA397)</f>
        <v/>
      </c>
      <c r="DC452" s="13" t="str">
        <f aca="false">IF(DC397="","",DB397)</f>
        <v/>
      </c>
      <c r="DD452" s="13" t="str">
        <f aca="false">IF(DD397="","",DC397)</f>
        <v/>
      </c>
      <c r="DE452" s="13" t="str">
        <f aca="false">IF(DE397="","",DD397)</f>
        <v/>
      </c>
    </row>
    <row r="453" customFormat="false" ht="13.5" hidden="false" customHeight="true" outlineLevel="0" collapsed="false">
      <c r="A453" s="22" t="s">
        <v>255</v>
      </c>
      <c r="B453" s="13" t="n">
        <f aca="false">IF(B$4="Actuals",B237,"")</f>
        <v>-41844.6399999999</v>
      </c>
      <c r="C453" s="13" t="n">
        <f aca="false">IF(C$4="Actuals",C237,"")</f>
        <v>-311309.31</v>
      </c>
      <c r="D453" s="13" t="n">
        <f aca="false">IF(D$4="Actuals",D237,"")</f>
        <v>242246.78</v>
      </c>
      <c r="E453" s="13" t="n">
        <f aca="false">IF(E$4="Actuals",E237,"")</f>
        <v>373926.69</v>
      </c>
      <c r="F453" s="13" t="n">
        <f aca="false">IF(F$4="Actuals",F237,"")</f>
        <v>27621.8500000002</v>
      </c>
      <c r="G453" s="13" t="n">
        <f aca="false">IF(G$4="Actuals",G237,"")</f>
        <v>317897.24</v>
      </c>
      <c r="H453" s="13" t="n">
        <f aca="false">IF(H$4="Actuals",H237,"")</f>
        <v>1445137.94</v>
      </c>
      <c r="I453" s="13" t="n">
        <f aca="false">IF(I$4="Actuals",I237,"")</f>
        <v>175572.22</v>
      </c>
      <c r="J453" s="13" t="n">
        <f aca="false">IF(J$4="Actuals",J237,"")</f>
        <v>-36864.6251250005</v>
      </c>
      <c r="K453" s="13" t="str">
        <f aca="false">IF(K$4="Actuals",K237,"")</f>
        <v/>
      </c>
      <c r="L453" s="13" t="str">
        <f aca="false">IF(L$4="Actuals",L237,"")</f>
        <v/>
      </c>
      <c r="M453" s="13" t="str">
        <f aca="false">IF(M$4="Actuals",M237,"")</f>
        <v/>
      </c>
      <c r="N453" s="13" t="str">
        <f aca="false">IF(N$4="Actuals",N237,"")</f>
        <v/>
      </c>
      <c r="O453" s="13" t="str">
        <f aca="false">IF(O$4="Actuals",O237,"")</f>
        <v/>
      </c>
      <c r="P453" s="13" t="str">
        <f aca="false">IF(P$4="Actuals",P237,"")</f>
        <v/>
      </c>
      <c r="Q453" s="13" t="str">
        <f aca="false">IF(Q$4="Actuals",Q237,"")</f>
        <v/>
      </c>
      <c r="R453" s="13" t="str">
        <f aca="false">IF(R$4="Actuals",R237,"")</f>
        <v/>
      </c>
      <c r="S453" s="13" t="str">
        <f aca="false">IF(S$4="Actuals",S237,"")</f>
        <v/>
      </c>
      <c r="T453" s="13" t="str">
        <f aca="false">IF(T$4="Actuals",T237,"")</f>
        <v/>
      </c>
      <c r="U453" s="13" t="str">
        <f aca="false">IF(U$4="Actuals",U237,"")</f>
        <v/>
      </c>
      <c r="V453" s="13" t="str">
        <f aca="false">IF(V$4="Actuals",V237,"")</f>
        <v/>
      </c>
      <c r="W453" s="13" t="str">
        <f aca="false">IF(W$4="Actuals",W237,"")</f>
        <v/>
      </c>
      <c r="X453" s="13" t="str">
        <f aca="false">IF(X$4="Actuals",X237,"")</f>
        <v/>
      </c>
      <c r="Y453" s="13" t="str">
        <f aca="false">IF(Y$4="Actuals",Y237,"")</f>
        <v/>
      </c>
      <c r="Z453" s="13" t="str">
        <f aca="false">IF(Z$4="Actuals",Z237,"")</f>
        <v/>
      </c>
      <c r="AA453" s="13" t="str">
        <f aca="false">IF(AA$4="Actuals",AA237,"")</f>
        <v/>
      </c>
      <c r="AB453" s="13" t="str">
        <f aca="false">IF(AB$4="Actuals",AB237,"")</f>
        <v/>
      </c>
      <c r="AC453" s="13" t="str">
        <f aca="false">IF(AC$4="Actuals",AC237,"")</f>
        <v/>
      </c>
      <c r="AD453" s="13" t="str">
        <f aca="false">IF(AD$4="Actuals",AD237,"")</f>
        <v/>
      </c>
      <c r="AE453" s="13" t="str">
        <f aca="false">IF(AE$4="Actuals",AE237,"")</f>
        <v/>
      </c>
      <c r="AF453" s="13" t="str">
        <f aca="false">IF(AF$4="Actuals",AF237,"")</f>
        <v/>
      </c>
      <c r="AG453" s="13" t="str">
        <f aca="false">IF(AG$4="Actuals",AG237,"")</f>
        <v/>
      </c>
      <c r="AH453" s="13" t="str">
        <f aca="false">IF(AH$4="Actuals",AH237,"")</f>
        <v/>
      </c>
      <c r="AI453" s="13" t="str">
        <f aca="false">IF(AI$4="Actuals",AI237,"")</f>
        <v/>
      </c>
      <c r="AJ453" s="13" t="str">
        <f aca="false">IF(AJ$4="Actuals",AJ237,"")</f>
        <v/>
      </c>
      <c r="AK453" s="13" t="str">
        <f aca="false">IF(AK$4="Actuals",AK237,"")</f>
        <v/>
      </c>
      <c r="AL453" s="13" t="str">
        <f aca="false">IF(AL$4="Actuals",AL237,"")</f>
        <v/>
      </c>
      <c r="AM453" s="13" t="str">
        <f aca="false">IF(AM$4="Actuals",AM237,"")</f>
        <v/>
      </c>
      <c r="AN453" s="13" t="str">
        <f aca="false">IF(AN$4="Actuals",AN237,"")</f>
        <v/>
      </c>
      <c r="AO453" s="13" t="str">
        <f aca="false">IF(AO$4="Actuals",AO237,"")</f>
        <v/>
      </c>
      <c r="AP453" s="13" t="str">
        <f aca="false">IF(AP$4="Actuals",AP237,"")</f>
        <v/>
      </c>
      <c r="AQ453" s="13" t="str">
        <f aca="false">IF(AQ$4="Actuals",AQ237,"")</f>
        <v/>
      </c>
      <c r="AR453" s="13" t="str">
        <f aca="false">IF(AR$4="Actuals",AR237,"")</f>
        <v/>
      </c>
      <c r="AS453" s="13" t="str">
        <f aca="false">IF(AS$4="Actuals",AS237,"")</f>
        <v/>
      </c>
      <c r="AT453" s="13" t="str">
        <f aca="false">IF(AT$4="Actuals",AT237,"")</f>
        <v/>
      </c>
      <c r="AU453" s="13" t="str">
        <f aca="false">IF(AU$4="Actuals",AU237,"")</f>
        <v/>
      </c>
      <c r="AV453" s="13" t="str">
        <f aca="false">IF(AV$4="Actuals",AV237,"")</f>
        <v/>
      </c>
      <c r="AW453" s="13" t="str">
        <f aca="false">IF(AW$4="Actuals",AW237,"")</f>
        <v/>
      </c>
      <c r="AX453" s="13" t="str">
        <f aca="false">IF(AX$4="Actuals",AX237,"")</f>
        <v/>
      </c>
      <c r="AY453" s="13" t="str">
        <f aca="false">IF(AY$4="Actuals",AY237,"")</f>
        <v/>
      </c>
      <c r="AZ453" s="13" t="str">
        <f aca="false">IF(AZ$4="Actuals",AZ237,"")</f>
        <v/>
      </c>
      <c r="BA453" s="13" t="str">
        <f aca="false">IF(BA$4="Actuals",BA237,"")</f>
        <v/>
      </c>
      <c r="BB453" s="13" t="str">
        <f aca="false">IF(BB$4="Actuals",BB237,"")</f>
        <v/>
      </c>
      <c r="BC453" s="13" t="str">
        <f aca="false">IF(BC$4="Actuals",BC237,"")</f>
        <v/>
      </c>
      <c r="BD453" s="13" t="str">
        <f aca="false">IF(BD$4="Actuals",BD237,"")</f>
        <v/>
      </c>
      <c r="BE453" s="13" t="str">
        <f aca="false">IF(BE$4="Actuals",BE237,"")</f>
        <v/>
      </c>
      <c r="BF453" s="13" t="str">
        <f aca="false">IF(BF$4="Actuals",BF237,"")</f>
        <v/>
      </c>
      <c r="BG453" s="13" t="str">
        <f aca="false">IF(BG$4="Actuals",BG237,"")</f>
        <v/>
      </c>
      <c r="BH453" s="13" t="str">
        <f aca="false">IF(BH$4="Actuals",BH237,"")</f>
        <v/>
      </c>
      <c r="BI453" s="13" t="str">
        <f aca="false">IF(BI$4="Actuals",BI237,"")</f>
        <v/>
      </c>
      <c r="BJ453" s="13" t="str">
        <f aca="false">IF(BJ$4="Actuals",BJ237,"")</f>
        <v/>
      </c>
      <c r="BK453" s="13" t="str">
        <f aca="false">IF(BK$4="Actuals",BK237,"")</f>
        <v/>
      </c>
      <c r="BL453" s="13" t="str">
        <f aca="false">IF(BL$4="Actuals",BL237,"")</f>
        <v/>
      </c>
      <c r="BM453" s="13" t="str">
        <f aca="false">IF(BM$4="Actuals",BM237,"")</f>
        <v/>
      </c>
      <c r="BN453" s="13" t="str">
        <f aca="false">IF(BN$4="Actuals",BN237,"")</f>
        <v/>
      </c>
      <c r="BO453" s="13" t="str">
        <f aca="false">IF(BO$4="Actuals",BO237,"")</f>
        <v/>
      </c>
      <c r="BP453" s="13" t="str">
        <f aca="false">IF(BP$4="Actuals",BP237,"")</f>
        <v/>
      </c>
      <c r="BQ453" s="13" t="str">
        <f aca="false">IF(BQ$4="Actuals",BQ237,"")</f>
        <v/>
      </c>
      <c r="BR453" s="13" t="str">
        <f aca="false">IF(BR$4="Actuals",BR237,"")</f>
        <v/>
      </c>
      <c r="BS453" s="13" t="str">
        <f aca="false">IF(BS$4="Actuals",BS237,"")</f>
        <v/>
      </c>
      <c r="BT453" s="13" t="str">
        <f aca="false">IF(BT$4="Actuals",BT237,"")</f>
        <v/>
      </c>
      <c r="BU453" s="13" t="str">
        <f aca="false">IF(BU$4="Actuals",BU237,"")</f>
        <v/>
      </c>
      <c r="BV453" s="13" t="str">
        <f aca="false">IF(BV$4="Actuals",BV237,"")</f>
        <v/>
      </c>
      <c r="BW453" s="13" t="str">
        <f aca="false">IF(BW$4="Actuals",BW237,"")</f>
        <v/>
      </c>
      <c r="BX453" s="13" t="str">
        <f aca="false">IF(BX$4="Actuals",BX237,"")</f>
        <v/>
      </c>
      <c r="BY453" s="13" t="str">
        <f aca="false">IF(BY$4="Actuals",BY237,"")</f>
        <v/>
      </c>
      <c r="BZ453" s="13" t="str">
        <f aca="false">IF(BZ$4="Actuals",BZ237,"")</f>
        <v/>
      </c>
      <c r="CA453" s="13" t="str">
        <f aca="false">IF(CA$4="Actuals",CA237,"")</f>
        <v/>
      </c>
      <c r="CB453" s="13" t="str">
        <f aca="false">IF(CB$4="Actuals",CB237,"")</f>
        <v/>
      </c>
      <c r="CC453" s="13" t="str">
        <f aca="false">IF(CC$4="Actuals",CC237,"")</f>
        <v/>
      </c>
      <c r="CD453" s="13" t="str">
        <f aca="false">IF(CD$4="Actuals",CD237,"")</f>
        <v/>
      </c>
      <c r="CE453" s="13" t="str">
        <f aca="false">IF(CE$4="Actuals",CE237,"")</f>
        <v/>
      </c>
      <c r="CF453" s="13" t="str">
        <f aca="false">IF(CF$4="Actuals",CF237,"")</f>
        <v/>
      </c>
      <c r="CG453" s="13" t="str">
        <f aca="false">IF(CG$4="Actuals",CG237,"")</f>
        <v/>
      </c>
      <c r="CH453" s="13" t="str">
        <f aca="false">IF(CH$4="Actuals",CH237,"")</f>
        <v/>
      </c>
      <c r="CI453" s="13" t="str">
        <f aca="false">IF(CI$4="Actuals",CI237,"")</f>
        <v/>
      </c>
      <c r="CJ453" s="13" t="str">
        <f aca="false">IF(CJ$4="Actuals",CJ237,"")</f>
        <v/>
      </c>
      <c r="CK453" s="13" t="str">
        <f aca="false">IF(CK$4="Actuals",CK237,"")</f>
        <v/>
      </c>
      <c r="CL453" s="13" t="str">
        <f aca="false">IF(CL$4="Actuals",CL237,"")</f>
        <v/>
      </c>
      <c r="CM453" s="13" t="str">
        <f aca="false">IF(CM$4="Actuals",CM237,"")</f>
        <v/>
      </c>
      <c r="CN453" s="13" t="str">
        <f aca="false">IF(CN$4="Actuals",CN237,"")</f>
        <v/>
      </c>
      <c r="CO453" s="13" t="str">
        <f aca="false">IF(CO$4="Actuals",CO237,"")</f>
        <v/>
      </c>
      <c r="CP453" s="13" t="str">
        <f aca="false">IF(CP$4="Actuals",CP237,"")</f>
        <v/>
      </c>
      <c r="CQ453" s="13" t="str">
        <f aca="false">IF(CQ$4="Actuals",CQ237,"")</f>
        <v/>
      </c>
      <c r="CR453" s="13" t="str">
        <f aca="false">IF(CR$4="Actuals",CR237,"")</f>
        <v/>
      </c>
      <c r="CS453" s="13" t="str">
        <f aca="false">IF(CS$4="Actuals",CS237,"")</f>
        <v/>
      </c>
      <c r="CT453" s="13" t="str">
        <f aca="false">IF(CT$4="Actuals",CT237,"")</f>
        <v/>
      </c>
      <c r="CU453" s="13" t="str">
        <f aca="false">IF(CU$4="Actuals",CU237,"")</f>
        <v/>
      </c>
      <c r="CV453" s="13" t="str">
        <f aca="false">IF(CV$4="Actuals",CV237,"")</f>
        <v/>
      </c>
      <c r="CW453" s="13" t="str">
        <f aca="false">IF(CW$4="Actuals",CW237,"")</f>
        <v/>
      </c>
      <c r="CX453" s="13" t="str">
        <f aca="false">IF(CX$4="Actuals",CX237,"")</f>
        <v/>
      </c>
      <c r="CY453" s="13" t="str">
        <f aca="false">IF(CY$4="Actuals",CY237,"")</f>
        <v/>
      </c>
      <c r="CZ453" s="13" t="str">
        <f aca="false">IF(CZ$4="Actuals",CZ237,"")</f>
        <v/>
      </c>
      <c r="DA453" s="13" t="str">
        <f aca="false">IF(DA$4="Actuals",DA237,"")</f>
        <v/>
      </c>
      <c r="DB453" s="13" t="str">
        <f aca="false">IF(DB$4="Actuals",DB237,"")</f>
        <v/>
      </c>
      <c r="DC453" s="13" t="str">
        <f aca="false">IF(DC$4="Actuals",DC237,"")</f>
        <v/>
      </c>
      <c r="DD453" s="13" t="str">
        <f aca="false">IF(DD$4="Actuals",DD237,"")</f>
        <v/>
      </c>
      <c r="DE453" s="13" t="str">
        <f aca="false">IF(DE$4="Actuals",DE237,"")</f>
        <v/>
      </c>
    </row>
    <row r="454" customFormat="false" ht="13.5" hidden="false" customHeight="true" outlineLevel="0" collapsed="false">
      <c r="A454" s="22" t="s">
        <v>256</v>
      </c>
      <c r="B454" s="13" t="n">
        <f aca="false">IF(B397="","",-(SUM(B445:B447)-$B$437))</f>
        <v>187158</v>
      </c>
      <c r="C454" s="13" t="n">
        <f aca="false">IF(C397="","",-(SUM(C445:C447)-SUM(B445:B447)))</f>
        <v>-1030375</v>
      </c>
      <c r="D454" s="13" t="n">
        <f aca="false">IF(D397="","",-(SUM(D445:D447)-SUM(C445:C447)))</f>
        <v>319157</v>
      </c>
      <c r="E454" s="13" t="n">
        <f aca="false">IF(E397="","",-(SUM(E445:E447)-SUM(D445:D447)))</f>
        <v>-1727540</v>
      </c>
      <c r="F454" s="13" t="n">
        <f aca="false">IF(F397="","",-(SUM(F445:F447)-SUM(E445:E447)))</f>
        <v>-845463</v>
      </c>
      <c r="G454" s="13" t="n">
        <f aca="false">IF(G397="","",-(SUM(G445:G447)-SUM(F445:F447)))</f>
        <v>-3326181</v>
      </c>
      <c r="H454" s="13" t="n">
        <f aca="false">IF(H397="","",-(SUM(H445:H447)-SUM(G445:G447)))</f>
        <v>-1219334</v>
      </c>
      <c r="I454" s="13" t="n">
        <f aca="false">IF(I397="","",-(SUM(I445:I447)-SUM(H445:H447)))</f>
        <v>423029</v>
      </c>
      <c r="J454" s="13" t="n">
        <f aca="false">IF(J397="","",-(SUM(J445:J447)-SUM(I445:I447)))</f>
        <v>-817561</v>
      </c>
      <c r="K454" s="13" t="str">
        <f aca="false">IF(K397="","",-(SUM(K445:K447)-SUM(J445:J447)))</f>
        <v/>
      </c>
      <c r="L454" s="13" t="str">
        <f aca="false">IF(L397="","",-(SUM(L445:L447)-SUM(K445:K447)))</f>
        <v/>
      </c>
      <c r="M454" s="13" t="str">
        <f aca="false">IF(M397="","",-(SUM(M445:M447)-SUM(L445:L447)))</f>
        <v/>
      </c>
      <c r="N454" s="13" t="str">
        <f aca="false">IF(N397="","",-(SUM(N445:N447)-SUM(M445:M447)))</f>
        <v/>
      </c>
      <c r="O454" s="13" t="str">
        <f aca="false">IF(O397="","",-(SUM(O445:O447)-SUM(N445:N447)))</f>
        <v/>
      </c>
      <c r="P454" s="13" t="str">
        <f aca="false">IF(P397="","",-(SUM(P445:P447)-SUM(O445:O447)))</f>
        <v/>
      </c>
      <c r="Q454" s="13" t="str">
        <f aca="false">IF(Q397="","",-(SUM(Q445:Q447)-SUM(P445:P447)))</f>
        <v/>
      </c>
      <c r="R454" s="13" t="str">
        <f aca="false">IF(R397="","",-(SUM(R445:R447)-SUM(Q445:Q447)))</f>
        <v/>
      </c>
      <c r="S454" s="13" t="str">
        <f aca="false">IF(S397="","",-(SUM(S445:S447)-SUM(R445:R447)))</f>
        <v/>
      </c>
      <c r="T454" s="13" t="str">
        <f aca="false">IF(T397="","",-(SUM(T445:T447)-SUM(S445:S447)))</f>
        <v/>
      </c>
      <c r="U454" s="13" t="str">
        <f aca="false">IF(U397="","",-(SUM(U445:U447)-SUM(T445:T447)))</f>
        <v/>
      </c>
      <c r="V454" s="13" t="str">
        <f aca="false">IF(V397="","",-(SUM(V445:V447)-SUM(U445:U447)))</f>
        <v/>
      </c>
      <c r="W454" s="13" t="str">
        <f aca="false">IF(W397="","",-(SUM(W445:W447)-SUM(V445:V447)))</f>
        <v/>
      </c>
      <c r="X454" s="13" t="str">
        <f aca="false">IF(X397="","",-(SUM(X445:X447)-SUM(W445:W447)))</f>
        <v/>
      </c>
      <c r="Y454" s="13" t="str">
        <f aca="false">IF(Y397="","",-(SUM(Y445:Y447)-SUM(X445:X447)))</f>
        <v/>
      </c>
      <c r="Z454" s="13" t="str">
        <f aca="false">IF(Z397="","",-(SUM(Z445:Z447)-SUM(Y445:Y447)))</f>
        <v/>
      </c>
      <c r="AA454" s="13" t="str">
        <f aca="false">IF(AA397="","",-(SUM(AA445:AA447)-SUM(Z445:Z447)))</f>
        <v/>
      </c>
      <c r="AB454" s="13" t="str">
        <f aca="false">IF(AB397="","",-(SUM(AB445:AB447)-SUM(AA445:AA447)))</f>
        <v/>
      </c>
      <c r="AC454" s="13" t="str">
        <f aca="false">IF(AC397="","",-(SUM(AC445:AC447)-SUM(AB445:AB447)))</f>
        <v/>
      </c>
      <c r="AD454" s="13" t="str">
        <f aca="false">IF(AD397="","",-(SUM(AD445:AD447)-SUM(AC445:AC447)))</f>
        <v/>
      </c>
      <c r="AE454" s="13" t="str">
        <f aca="false">IF(AE397="","",-(SUM(AE445:AE447)-SUM(AD445:AD447)))</f>
        <v/>
      </c>
      <c r="AF454" s="13" t="str">
        <f aca="false">IF(AF397="","",-(SUM(AF445:AF447)-SUM(AE445:AE447)))</f>
        <v/>
      </c>
      <c r="AG454" s="13" t="str">
        <f aca="false">IF(AG397="","",-(SUM(AG445:AG447)-SUM(AF445:AF447)))</f>
        <v/>
      </c>
      <c r="AH454" s="13" t="str">
        <f aca="false">IF(AH397="","",-(SUM(AH445:AH447)-SUM(AG445:AG447)))</f>
        <v/>
      </c>
      <c r="AI454" s="13" t="str">
        <f aca="false">IF(AI397="","",-(SUM(AI445:AI447)-SUM(AH445:AH447)))</f>
        <v/>
      </c>
      <c r="AJ454" s="13" t="str">
        <f aca="false">IF(AJ397="","",-(SUM(AJ445:AJ447)-SUM(AI445:AI447)))</f>
        <v/>
      </c>
      <c r="AK454" s="13" t="str">
        <f aca="false">IF(AK397="","",-(SUM(AK445:AK447)-SUM(AJ445:AJ447)))</f>
        <v/>
      </c>
      <c r="AL454" s="13" t="str">
        <f aca="false">IF(AL397="","",-(SUM(AL445:AL447)-SUM(AK445:AK447)))</f>
        <v/>
      </c>
      <c r="AM454" s="13" t="str">
        <f aca="false">IF(AM397="","",-(SUM(AM445:AM447)-SUM(AL445:AL447)))</f>
        <v/>
      </c>
      <c r="AN454" s="13" t="str">
        <f aca="false">IF(AN397="","",-(SUM(AN445:AN447)-SUM(AM445:AM447)))</f>
        <v/>
      </c>
      <c r="AO454" s="13" t="str">
        <f aca="false">IF(AO397="","",-(SUM(AO445:AO447)-SUM(AN445:AN447)))</f>
        <v/>
      </c>
      <c r="AP454" s="13" t="str">
        <f aca="false">IF(AP397="","",-(SUM(AP445:AP447)-SUM(AO445:AO447)))</f>
        <v/>
      </c>
      <c r="AQ454" s="13" t="str">
        <f aca="false">IF(AQ397="","",-(SUM(AQ445:AQ447)-SUM(AP445:AP447)))</f>
        <v/>
      </c>
      <c r="AR454" s="13" t="str">
        <f aca="false">IF(AR397="","",-(SUM(AR445:AR447)-SUM(AQ445:AQ447)))</f>
        <v/>
      </c>
      <c r="AS454" s="13" t="str">
        <f aca="false">IF(AS397="","",-(SUM(AS445:AS447)-SUM(AR445:AR447)))</f>
        <v/>
      </c>
      <c r="AT454" s="13" t="str">
        <f aca="false">IF(AT397="","",-(SUM(AT445:AT447)-SUM(AS445:AS447)))</f>
        <v/>
      </c>
      <c r="AU454" s="13" t="str">
        <f aca="false">IF(AU397="","",-(SUM(AU445:AU447)-SUM(AT445:AT447)))</f>
        <v/>
      </c>
      <c r="AV454" s="13" t="str">
        <f aca="false">IF(AV397="","",-(SUM(AV445:AV447)-SUM(AU445:AU447)))</f>
        <v/>
      </c>
      <c r="AW454" s="13" t="str">
        <f aca="false">IF(AW397="","",-(SUM(AW445:AW447)-SUM(AV445:AV447)))</f>
        <v/>
      </c>
      <c r="AX454" s="13" t="str">
        <f aca="false">IF(AX397="","",-(SUM(AX445:AX447)-SUM(AW445:AW447)))</f>
        <v/>
      </c>
      <c r="AY454" s="13" t="str">
        <f aca="false">IF(AY397="","",-(SUM(AY445:AY447)-SUM(AX445:AX447)))</f>
        <v/>
      </c>
      <c r="AZ454" s="13" t="str">
        <f aca="false">IF(AZ397="","",-(SUM(AZ445:AZ447)-SUM(AY445:AY447)))</f>
        <v/>
      </c>
      <c r="BA454" s="13" t="str">
        <f aca="false">IF(BA397="","",-(SUM(BA445:BA447)-SUM(AZ445:AZ447)))</f>
        <v/>
      </c>
      <c r="BB454" s="13" t="str">
        <f aca="false">IF(BB397="","",-(SUM(BB445:BB447)-SUM(BA445:BA447)))</f>
        <v/>
      </c>
      <c r="BC454" s="13" t="str">
        <f aca="false">IF(BC397="","",-(SUM(BC445:BC447)-SUM(BB445:BB447)))</f>
        <v/>
      </c>
      <c r="BD454" s="13" t="str">
        <f aca="false">IF(BD397="","",-(SUM(BD445:BD447)-SUM(BC445:BC447)))</f>
        <v/>
      </c>
      <c r="BE454" s="13" t="str">
        <f aca="false">IF(BE397="","",-(SUM(BE445:BE447)-SUM(BD445:BD447)))</f>
        <v/>
      </c>
      <c r="BF454" s="13" t="str">
        <f aca="false">IF(BF397="","",-(SUM(BF445:BF447)-SUM(BE445:BE447)))</f>
        <v/>
      </c>
      <c r="BG454" s="13" t="str">
        <f aca="false">IF(BG397="","",-(SUM(BG445:BG447)-SUM(BF445:BF447)))</f>
        <v/>
      </c>
      <c r="BH454" s="13" t="str">
        <f aca="false">IF(BH397="","",-(SUM(BH445:BH447)-SUM(BG445:BG447)))</f>
        <v/>
      </c>
      <c r="BI454" s="13" t="str">
        <f aca="false">IF(BI397="","",-(SUM(BI445:BI447)-SUM(BH445:BH447)))</f>
        <v/>
      </c>
      <c r="BJ454" s="13" t="str">
        <f aca="false">IF(BJ397="","",-(SUM(BJ445:BJ447)-SUM(BI445:BI447)))</f>
        <v/>
      </c>
      <c r="BK454" s="13" t="str">
        <f aca="false">IF(BK397="","",-(SUM(BK445:BK447)-SUM(BJ445:BJ447)))</f>
        <v/>
      </c>
      <c r="BL454" s="13" t="str">
        <f aca="false">IF(BL397="","",-(SUM(BL445:BL447)-SUM(BK445:BK447)))</f>
        <v/>
      </c>
      <c r="BM454" s="13" t="str">
        <f aca="false">IF(BM397="","",-(SUM(BM445:BM447)-SUM(BL445:BL447)))</f>
        <v/>
      </c>
      <c r="BN454" s="13" t="str">
        <f aca="false">IF(BN397="","",-(SUM(BN445:BN447)-SUM(BM445:BM447)))</f>
        <v/>
      </c>
      <c r="BO454" s="13" t="str">
        <f aca="false">IF(BO397="","",-(SUM(BO445:BO447)-SUM(BN445:BN447)))</f>
        <v/>
      </c>
      <c r="BP454" s="13" t="str">
        <f aca="false">IF(BP397="","",-(SUM(BP445:BP447)-SUM(BO445:BO447)))</f>
        <v/>
      </c>
      <c r="BQ454" s="13" t="str">
        <f aca="false">IF(BQ397="","",-(SUM(BQ445:BQ447)-SUM(BP445:BP447)))</f>
        <v/>
      </c>
      <c r="BR454" s="13" t="str">
        <f aca="false">IF(BR397="","",-(SUM(BR445:BR447)-SUM(BQ445:BQ447)))</f>
        <v/>
      </c>
      <c r="BS454" s="13" t="str">
        <f aca="false">IF(BS397="","",-(SUM(BS445:BS447)-SUM(BR445:BR447)))</f>
        <v/>
      </c>
      <c r="BT454" s="13" t="str">
        <f aca="false">IF(BT397="","",-(SUM(BT445:BT447)-SUM(BS445:BS447)))</f>
        <v/>
      </c>
      <c r="BU454" s="13" t="str">
        <f aca="false">IF(BU397="","",-(SUM(BU445:BU447)-SUM(BT445:BT447)))</f>
        <v/>
      </c>
      <c r="BV454" s="13" t="str">
        <f aca="false">IF(BV397="","",-(SUM(BV445:BV447)-SUM(BU445:BU447)))</f>
        <v/>
      </c>
      <c r="BW454" s="13" t="str">
        <f aca="false">IF(BW397="","",-(SUM(BW445:BW447)-SUM(BV445:BV447)))</f>
        <v/>
      </c>
      <c r="BX454" s="13" t="str">
        <f aca="false">IF(BX397="","",-(SUM(BX445:BX447)-SUM(BW445:BW447)))</f>
        <v/>
      </c>
      <c r="BY454" s="13" t="str">
        <f aca="false">IF(BY397="","",-(SUM(BY445:BY447)-SUM(BX445:BX447)))</f>
        <v/>
      </c>
      <c r="BZ454" s="13" t="str">
        <f aca="false">IF(BZ397="","",-(SUM(BZ445:BZ447)-SUM(BY445:BY447)))</f>
        <v/>
      </c>
      <c r="CA454" s="13" t="str">
        <f aca="false">IF(CA397="","",-(SUM(CA445:CA447)-SUM(BZ445:BZ447)))</f>
        <v/>
      </c>
      <c r="CB454" s="13" t="str">
        <f aca="false">IF(CB397="","",-(SUM(CB445:CB447)-SUM(CA445:CA447)))</f>
        <v/>
      </c>
      <c r="CC454" s="13" t="str">
        <f aca="false">IF(CC397="","",-(SUM(CC445:CC447)-SUM(CB445:CB447)))</f>
        <v/>
      </c>
      <c r="CD454" s="13" t="str">
        <f aca="false">IF(CD397="","",-(SUM(CD445:CD447)-SUM(CC445:CC447)))</f>
        <v/>
      </c>
      <c r="CE454" s="13" t="str">
        <f aca="false">IF(CE397="","",-(SUM(CE445:CE447)-SUM(CD445:CD447)))</f>
        <v/>
      </c>
      <c r="CF454" s="13" t="str">
        <f aca="false">IF(CF397="","",-(SUM(CF445:CF447)-SUM(CE445:CE447)))</f>
        <v/>
      </c>
      <c r="CG454" s="13" t="str">
        <f aca="false">IF(CG397="","",-(SUM(CG445:CG447)-SUM(CF445:CF447)))</f>
        <v/>
      </c>
      <c r="CH454" s="13" t="str">
        <f aca="false">IF(CH397="","",-(SUM(CH445:CH447)-SUM(CG445:CG447)))</f>
        <v/>
      </c>
      <c r="CI454" s="13" t="str">
        <f aca="false">IF(CI397="","",-(SUM(CI445:CI447)-SUM(CH445:CH447)))</f>
        <v/>
      </c>
      <c r="CJ454" s="13" t="str">
        <f aca="false">IF(CJ397="","",-(SUM(CJ445:CJ447)-SUM(CI445:CI447)))</f>
        <v/>
      </c>
      <c r="CK454" s="13" t="str">
        <f aca="false">IF(CK397="","",-(SUM(CK445:CK447)-SUM(CJ445:CJ447)))</f>
        <v/>
      </c>
      <c r="CL454" s="13" t="str">
        <f aca="false">IF(CL397="","",-(SUM(CL445:CL447)-SUM(CK445:CK447)))</f>
        <v/>
      </c>
      <c r="CM454" s="13" t="str">
        <f aca="false">IF(CM397="","",-(SUM(CM445:CM447)-SUM(CL445:CL447)))</f>
        <v/>
      </c>
      <c r="CN454" s="13" t="str">
        <f aca="false">IF(CN397="","",-(SUM(CN445:CN447)-SUM(CM445:CM447)))</f>
        <v/>
      </c>
      <c r="CO454" s="13" t="str">
        <f aca="false">IF(CO397="","",-(SUM(CO445:CO447)-SUM(CN445:CN447)))</f>
        <v/>
      </c>
      <c r="CP454" s="13" t="str">
        <f aca="false">IF(CP397="","",-(SUM(CP445:CP447)-SUM(CO445:CO447)))</f>
        <v/>
      </c>
      <c r="CQ454" s="13" t="str">
        <f aca="false">IF(CQ397="","",-(SUM(CQ445:CQ447)-SUM(CP445:CP447)))</f>
        <v/>
      </c>
      <c r="CR454" s="13" t="str">
        <f aca="false">IF(CR397="","",-(SUM(CR445:CR447)-SUM(CQ445:CQ447)))</f>
        <v/>
      </c>
      <c r="CS454" s="13" t="str">
        <f aca="false">IF(CS397="","",-(SUM(CS445:CS447)-SUM(CR445:CR447)))</f>
        <v/>
      </c>
      <c r="CT454" s="13" t="str">
        <f aca="false">IF(CT397="","",-(SUM(CT445:CT447)-SUM(CS445:CS447)))</f>
        <v/>
      </c>
      <c r="CU454" s="13" t="str">
        <f aca="false">IF(CU397="","",-(SUM(CU445:CU447)-SUM(CT445:CT447)))</f>
        <v/>
      </c>
      <c r="CV454" s="13" t="str">
        <f aca="false">IF(CV397="","",-(SUM(CV445:CV447)-SUM(CU445:CU447)))</f>
        <v/>
      </c>
      <c r="CW454" s="13" t="str">
        <f aca="false">IF(CW397="","",-(SUM(CW445:CW447)-SUM(CV445:CV447)))</f>
        <v/>
      </c>
      <c r="CX454" s="13" t="str">
        <f aca="false">IF(CX397="","",-(SUM(CX445:CX447)-SUM(CW445:CW447)))</f>
        <v/>
      </c>
      <c r="CY454" s="13" t="str">
        <f aca="false">IF(CY397="","",-(SUM(CY445:CY447)-SUM(CX445:CX447)))</f>
        <v/>
      </c>
      <c r="CZ454" s="13" t="str">
        <f aca="false">IF(CZ397="","",-(SUM(CZ445:CZ447)-SUM(CY445:CY447)))</f>
        <v/>
      </c>
      <c r="DA454" s="13" t="str">
        <f aca="false">IF(DA397="","",-(SUM(DA445:DA447)-SUM(CZ445:CZ447)))</f>
        <v/>
      </c>
      <c r="DB454" s="13" t="str">
        <f aca="false">IF(DB397="","",-(SUM(DB445:DB447)-SUM(DA445:DA447)))</f>
        <v/>
      </c>
      <c r="DC454" s="13" t="str">
        <f aca="false">IF(DC397="","",-(SUM(DC445:DC447)-SUM(DB445:DB447)))</f>
        <v/>
      </c>
      <c r="DD454" s="13" t="str">
        <f aca="false">IF(DD397="","",-(SUM(DD445:DD447)-SUM(DC445:DC447)))</f>
        <v/>
      </c>
      <c r="DE454" s="13" t="str">
        <f aca="false">IF(DE397="","",-(SUM(DE445:DE447)-SUM(DD445:DD447)))</f>
        <v/>
      </c>
    </row>
    <row r="455" customFormat="false" ht="13.5" hidden="false" customHeight="true" outlineLevel="0" collapsed="false">
      <c r="A455" s="22" t="s">
        <v>257</v>
      </c>
      <c r="B455" s="13" t="n">
        <f aca="false">IF(B397="","",SUM(B448:B449)-$B$438)</f>
        <v>-79100</v>
      </c>
      <c r="C455" s="13" t="n">
        <f aca="false">IF(C397="","",SUM(C448:C449)-SUM(B448:B449))</f>
        <v>358410</v>
      </c>
      <c r="D455" s="13" t="n">
        <f aca="false">IF(D397="","",SUM(D448:D449)-SUM(C448:C449))</f>
        <v>195671</v>
      </c>
      <c r="E455" s="13" t="n">
        <f aca="false">IF(E397="","",SUM(E448:E449)-SUM(D448:D449))</f>
        <v>1130949</v>
      </c>
      <c r="F455" s="13" t="n">
        <f aca="false">IF(F397="","",SUM(F448:F449)-SUM(E448:E449))</f>
        <v>988847</v>
      </c>
      <c r="G455" s="13" t="n">
        <f aca="false">IF(G397="","",SUM(G448:G449)-SUM(F448:F449))</f>
        <v>2974745</v>
      </c>
      <c r="H455" s="13" t="n">
        <f aca="false">IF(H397="","",SUM(H448:H449)-SUM(G448:G449))</f>
        <v>-233286</v>
      </c>
      <c r="I455" s="13" t="n">
        <f aca="false">IF(I397="","",SUM(I448:I449)-SUM(H448:H449))</f>
        <v>406453</v>
      </c>
      <c r="J455" s="13" t="n">
        <f aca="false">IF(J397="","",SUM(J448:J449)-SUM(I448:I449))</f>
        <v>983877</v>
      </c>
      <c r="K455" s="13" t="str">
        <f aca="false">IF(K397="","",SUM(K448:K449)-SUM(J448:J449))</f>
        <v/>
      </c>
      <c r="L455" s="13" t="str">
        <f aca="false">IF(L397="","",SUM(L448:L449)-SUM(K448:K449))</f>
        <v/>
      </c>
      <c r="M455" s="13" t="str">
        <f aca="false">IF(M397="","",SUM(M448:M449)-SUM(L448:L449))</f>
        <v/>
      </c>
      <c r="N455" s="13" t="str">
        <f aca="false">IF(N397="","",SUM(N448:N449)-SUM(M448:M449))</f>
        <v/>
      </c>
      <c r="O455" s="13" t="str">
        <f aca="false">IF(O397="","",SUM(O448:O449)-SUM(N448:N449))</f>
        <v/>
      </c>
      <c r="P455" s="13" t="str">
        <f aca="false">IF(P397="","",SUM(P448:P449)-SUM(O448:O449))</f>
        <v/>
      </c>
      <c r="Q455" s="13" t="str">
        <f aca="false">IF(Q397="","",SUM(Q448:Q449)-SUM(P448:P449))</f>
        <v/>
      </c>
      <c r="R455" s="13" t="str">
        <f aca="false">IF(R397="","",SUM(R448:R449)-SUM(Q448:Q449))</f>
        <v/>
      </c>
      <c r="S455" s="13" t="str">
        <f aca="false">IF(S397="","",SUM(S448:S449)-SUM(R448:R449))</f>
        <v/>
      </c>
      <c r="T455" s="13" t="str">
        <f aca="false">IF(T397="","",SUM(T448:T449)-SUM(S448:S449))</f>
        <v/>
      </c>
      <c r="U455" s="13" t="str">
        <f aca="false">IF(U397="","",SUM(U448:U449)-SUM(T448:T449))</f>
        <v/>
      </c>
      <c r="V455" s="13" t="str">
        <f aca="false">IF(V397="","",SUM(V448:V449)-SUM(U448:U449))</f>
        <v/>
      </c>
      <c r="W455" s="13" t="str">
        <f aca="false">IF(W397="","",SUM(W448:W449)-SUM(V448:V449))</f>
        <v/>
      </c>
      <c r="X455" s="13" t="str">
        <f aca="false">IF(X397="","",SUM(X448:X449)-SUM(W448:W449))</f>
        <v/>
      </c>
      <c r="Y455" s="13" t="str">
        <f aca="false">IF(Y397="","",SUM(Y448:Y449)-SUM(X448:X449))</f>
        <v/>
      </c>
      <c r="Z455" s="13" t="str">
        <f aca="false">IF(Z397="","",SUM(Z448:Z449)-SUM(Y448:Y449))</f>
        <v/>
      </c>
      <c r="AA455" s="13" t="str">
        <f aca="false">IF(AA397="","",SUM(AA448:AA449)-SUM(Z448:Z449))</f>
        <v/>
      </c>
      <c r="AB455" s="13" t="str">
        <f aca="false">IF(AB397="","",SUM(AB448:AB449)-SUM(AA448:AA449))</f>
        <v/>
      </c>
      <c r="AC455" s="13" t="str">
        <f aca="false">IF(AC397="","",SUM(AC448:AC449)-SUM(AB448:AB449))</f>
        <v/>
      </c>
      <c r="AD455" s="13" t="str">
        <f aca="false">IF(AD397="","",SUM(AD448:AD449)-SUM(AC448:AC449))</f>
        <v/>
      </c>
      <c r="AE455" s="13" t="str">
        <f aca="false">IF(AE397="","",SUM(AE448:AE449)-SUM(AD448:AD449))</f>
        <v/>
      </c>
      <c r="AF455" s="13" t="str">
        <f aca="false">IF(AF397="","",SUM(AF448:AF449)-SUM(AE448:AE449))</f>
        <v/>
      </c>
      <c r="AG455" s="13" t="str">
        <f aca="false">IF(AG397="","",SUM(AG448:AG449)-SUM(AF448:AF449))</f>
        <v/>
      </c>
      <c r="AH455" s="13" t="str">
        <f aca="false">IF(AH397="","",SUM(AH448:AH449)-SUM(AG448:AG449))</f>
        <v/>
      </c>
      <c r="AI455" s="13" t="str">
        <f aca="false">IF(AI397="","",SUM(AI448:AI449)-SUM(AH448:AH449))</f>
        <v/>
      </c>
      <c r="AJ455" s="13" t="str">
        <f aca="false">IF(AJ397="","",SUM(AJ448:AJ449)-SUM(AI448:AI449))</f>
        <v/>
      </c>
      <c r="AK455" s="13" t="str">
        <f aca="false">IF(AK397="","",SUM(AK448:AK449)-SUM(AJ448:AJ449))</f>
        <v/>
      </c>
      <c r="AL455" s="13" t="str">
        <f aca="false">IF(AL397="","",SUM(AL448:AL449)-SUM(AK448:AK449))</f>
        <v/>
      </c>
      <c r="AM455" s="13" t="str">
        <f aca="false">IF(AM397="","",SUM(AM448:AM449)-SUM(AL448:AL449))</f>
        <v/>
      </c>
      <c r="AN455" s="13" t="str">
        <f aca="false">IF(AN397="","",SUM(AN448:AN449)-SUM(AM448:AM449))</f>
        <v/>
      </c>
      <c r="AO455" s="13" t="str">
        <f aca="false">IF(AO397="","",SUM(AO448:AO449)-SUM(AN448:AN449))</f>
        <v/>
      </c>
      <c r="AP455" s="13" t="str">
        <f aca="false">IF(AP397="","",SUM(AP448:AP449)-SUM(AO448:AO449))</f>
        <v/>
      </c>
      <c r="AQ455" s="13" t="str">
        <f aca="false">IF(AQ397="","",SUM(AQ448:AQ449)-SUM(AP448:AP449))</f>
        <v/>
      </c>
      <c r="AR455" s="13" t="str">
        <f aca="false">IF(AR397="","",SUM(AR448:AR449)-SUM(AQ448:AQ449))</f>
        <v/>
      </c>
      <c r="AS455" s="13" t="str">
        <f aca="false">IF(AS397="","",SUM(AS448:AS449)-SUM(AR448:AR449))</f>
        <v/>
      </c>
      <c r="AT455" s="13" t="str">
        <f aca="false">IF(AT397="","",SUM(AT448:AT449)-SUM(AS448:AS449))</f>
        <v/>
      </c>
      <c r="AU455" s="13" t="str">
        <f aca="false">IF(AU397="","",SUM(AU448:AU449)-SUM(AT448:AT449))</f>
        <v/>
      </c>
      <c r="AV455" s="13" t="str">
        <f aca="false">IF(AV397="","",SUM(AV448:AV449)-SUM(AU448:AU449))</f>
        <v/>
      </c>
      <c r="AW455" s="13" t="str">
        <f aca="false">IF(AW397="","",SUM(AW448:AW449)-SUM(AV448:AV449))</f>
        <v/>
      </c>
      <c r="AX455" s="13" t="str">
        <f aca="false">IF(AX397="","",SUM(AX448:AX449)-SUM(AW448:AW449))</f>
        <v/>
      </c>
      <c r="AY455" s="13" t="str">
        <f aca="false">IF(AY397="","",SUM(AY448:AY449)-SUM(AX448:AX449))</f>
        <v/>
      </c>
      <c r="AZ455" s="13" t="str">
        <f aca="false">IF(AZ397="","",SUM(AZ448:AZ449)-SUM(AY448:AY449))</f>
        <v/>
      </c>
      <c r="BA455" s="13" t="str">
        <f aca="false">IF(BA397="","",SUM(BA448:BA449)-SUM(AZ448:AZ449))</f>
        <v/>
      </c>
      <c r="BB455" s="13" t="str">
        <f aca="false">IF(BB397="","",SUM(BB448:BB449)-SUM(BA448:BA449))</f>
        <v/>
      </c>
      <c r="BC455" s="13" t="str">
        <f aca="false">IF(BC397="","",SUM(BC448:BC449)-SUM(BB448:BB449))</f>
        <v/>
      </c>
      <c r="BD455" s="13" t="str">
        <f aca="false">IF(BD397="","",SUM(BD448:BD449)-SUM(BC448:BC449))</f>
        <v/>
      </c>
      <c r="BE455" s="13" t="str">
        <f aca="false">IF(BE397="","",SUM(BE448:BE449)-SUM(BD448:BD449))</f>
        <v/>
      </c>
      <c r="BF455" s="13" t="str">
        <f aca="false">IF(BF397="","",SUM(BF448:BF449)-SUM(BE448:BE449))</f>
        <v/>
      </c>
      <c r="BG455" s="13" t="str">
        <f aca="false">IF(BG397="","",SUM(BG448:BG449)-SUM(BF448:BF449))</f>
        <v/>
      </c>
      <c r="BH455" s="13" t="str">
        <f aca="false">IF(BH397="","",SUM(BH448:BH449)-SUM(BG448:BG449))</f>
        <v/>
      </c>
      <c r="BI455" s="13" t="str">
        <f aca="false">IF(BI397="","",SUM(BI448:BI449)-SUM(BH448:BH449))</f>
        <v/>
      </c>
      <c r="BJ455" s="13" t="str">
        <f aca="false">IF(BJ397="","",SUM(BJ448:BJ449)-SUM(BI448:BI449))</f>
        <v/>
      </c>
      <c r="BK455" s="13" t="str">
        <f aca="false">IF(BK397="","",SUM(BK448:BK449)-SUM(BJ448:BJ449))</f>
        <v/>
      </c>
      <c r="BL455" s="13" t="str">
        <f aca="false">IF(BL397="","",SUM(BL448:BL449)-SUM(BK448:BK449))</f>
        <v/>
      </c>
      <c r="BM455" s="13" t="str">
        <f aca="false">IF(BM397="","",SUM(BM448:BM449)-SUM(BL448:BL449))</f>
        <v/>
      </c>
      <c r="BN455" s="13" t="str">
        <f aca="false">IF(BN397="","",SUM(BN448:BN449)-SUM(BM448:BM449))</f>
        <v/>
      </c>
      <c r="BO455" s="13" t="str">
        <f aca="false">IF(BO397="","",SUM(BO448:BO449)-SUM(BN448:BN449))</f>
        <v/>
      </c>
      <c r="BP455" s="13" t="str">
        <f aca="false">IF(BP397="","",SUM(BP448:BP449)-SUM(BO448:BO449))</f>
        <v/>
      </c>
      <c r="BQ455" s="13" t="str">
        <f aca="false">IF(BQ397="","",SUM(BQ448:BQ449)-SUM(BP448:BP449))</f>
        <v/>
      </c>
      <c r="BR455" s="13" t="str">
        <f aca="false">IF(BR397="","",SUM(BR448:BR449)-SUM(BQ448:BQ449))</f>
        <v/>
      </c>
      <c r="BS455" s="13" t="str">
        <f aca="false">IF(BS397="","",SUM(BS448:BS449)-SUM(BR448:BR449))</f>
        <v/>
      </c>
      <c r="BT455" s="13" t="str">
        <f aca="false">IF(BT397="","",SUM(BT448:BT449)-SUM(BS448:BS449))</f>
        <v/>
      </c>
      <c r="BU455" s="13" t="str">
        <f aca="false">IF(BU397="","",SUM(BU448:BU449)-SUM(BT448:BT449))</f>
        <v/>
      </c>
      <c r="BV455" s="13" t="str">
        <f aca="false">IF(BV397="","",SUM(BV448:BV449)-SUM(BU448:BU449))</f>
        <v/>
      </c>
      <c r="BW455" s="13" t="str">
        <f aca="false">IF(BW397="","",SUM(BW448:BW449)-SUM(BV448:BV449))</f>
        <v/>
      </c>
      <c r="BX455" s="13" t="str">
        <f aca="false">IF(BX397="","",SUM(BX448:BX449)-SUM(BW448:BW449))</f>
        <v/>
      </c>
      <c r="BY455" s="13" t="str">
        <f aca="false">IF(BY397="","",SUM(BY448:BY449)-SUM(BX448:BX449))</f>
        <v/>
      </c>
      <c r="BZ455" s="13" t="str">
        <f aca="false">IF(BZ397="","",SUM(BZ448:BZ449)-SUM(BY448:BY449))</f>
        <v/>
      </c>
      <c r="CA455" s="13" t="str">
        <f aca="false">IF(CA397="","",SUM(CA448:CA449)-SUM(BZ448:BZ449))</f>
        <v/>
      </c>
      <c r="CB455" s="13" t="str">
        <f aca="false">IF(CB397="","",SUM(CB448:CB449)-SUM(CA448:CA449))</f>
        <v/>
      </c>
      <c r="CC455" s="13" t="str">
        <f aca="false">IF(CC397="","",SUM(CC448:CC449)-SUM(CB448:CB449))</f>
        <v/>
      </c>
      <c r="CD455" s="13" t="str">
        <f aca="false">IF(CD397="","",SUM(CD448:CD449)-SUM(CC448:CC449))</f>
        <v/>
      </c>
      <c r="CE455" s="13" t="str">
        <f aca="false">IF(CE397="","",SUM(CE448:CE449)-SUM(CD448:CD449))</f>
        <v/>
      </c>
      <c r="CF455" s="13" t="str">
        <f aca="false">IF(CF397="","",SUM(CF448:CF449)-SUM(CE448:CE449))</f>
        <v/>
      </c>
      <c r="CG455" s="13" t="str">
        <f aca="false">IF(CG397="","",SUM(CG448:CG449)-SUM(CF448:CF449))</f>
        <v/>
      </c>
      <c r="CH455" s="13" t="str">
        <f aca="false">IF(CH397="","",SUM(CH448:CH449)-SUM(CG448:CG449))</f>
        <v/>
      </c>
      <c r="CI455" s="13" t="str">
        <f aca="false">IF(CI397="","",SUM(CI448:CI449)-SUM(CH448:CH449))</f>
        <v/>
      </c>
      <c r="CJ455" s="13" t="str">
        <f aca="false">IF(CJ397="","",SUM(CJ448:CJ449)-SUM(CI448:CI449))</f>
        <v/>
      </c>
      <c r="CK455" s="13" t="str">
        <f aca="false">IF(CK397="","",SUM(CK448:CK449)-SUM(CJ448:CJ449))</f>
        <v/>
      </c>
      <c r="CL455" s="13" t="str">
        <f aca="false">IF(CL397="","",SUM(CL448:CL449)-SUM(CK448:CK449))</f>
        <v/>
      </c>
      <c r="CM455" s="13" t="str">
        <f aca="false">IF(CM397="","",SUM(CM448:CM449)-SUM(CL448:CL449))</f>
        <v/>
      </c>
      <c r="CN455" s="13" t="str">
        <f aca="false">IF(CN397="","",SUM(CN448:CN449)-SUM(CM448:CM449))</f>
        <v/>
      </c>
      <c r="CO455" s="13" t="str">
        <f aca="false">IF(CO397="","",SUM(CO448:CO449)-SUM(CN448:CN449))</f>
        <v/>
      </c>
      <c r="CP455" s="13" t="str">
        <f aca="false">IF(CP397="","",SUM(CP448:CP449)-SUM(CO448:CO449))</f>
        <v/>
      </c>
      <c r="CQ455" s="13" t="str">
        <f aca="false">IF(CQ397="","",SUM(CQ448:CQ449)-SUM(CP448:CP449))</f>
        <v/>
      </c>
      <c r="CR455" s="13" t="str">
        <f aca="false">IF(CR397="","",SUM(CR448:CR449)-SUM(CQ448:CQ449))</f>
        <v/>
      </c>
      <c r="CS455" s="13" t="str">
        <f aca="false">IF(CS397="","",SUM(CS448:CS449)-SUM(CR448:CR449))</f>
        <v/>
      </c>
      <c r="CT455" s="13" t="str">
        <f aca="false">IF(CT397="","",SUM(CT448:CT449)-SUM(CS448:CS449))</f>
        <v/>
      </c>
      <c r="CU455" s="13" t="str">
        <f aca="false">IF(CU397="","",SUM(CU448:CU449)-SUM(CT448:CT449))</f>
        <v/>
      </c>
      <c r="CV455" s="13" t="str">
        <f aca="false">IF(CV397="","",SUM(CV448:CV449)-SUM(CU448:CU449))</f>
        <v/>
      </c>
      <c r="CW455" s="13" t="str">
        <f aca="false">IF(CW397="","",SUM(CW448:CW449)-SUM(CV448:CV449))</f>
        <v/>
      </c>
      <c r="CX455" s="13" t="str">
        <f aca="false">IF(CX397="","",SUM(CX448:CX449)-SUM(CW448:CW449))</f>
        <v/>
      </c>
      <c r="CY455" s="13" t="str">
        <f aca="false">IF(CY397="","",SUM(CY448:CY449)-SUM(CX448:CX449))</f>
        <v/>
      </c>
      <c r="CZ455" s="13" t="str">
        <f aca="false">IF(CZ397="","",SUM(CZ448:CZ449)-SUM(CY448:CY449))</f>
        <v/>
      </c>
      <c r="DA455" s="13" t="str">
        <f aca="false">IF(DA397="","",SUM(DA448:DA449)-SUM(CZ448:CZ449))</f>
        <v/>
      </c>
      <c r="DB455" s="13" t="str">
        <f aca="false">IF(DB397="","",SUM(DB448:DB449)-SUM(DA448:DA449))</f>
        <v/>
      </c>
      <c r="DC455" s="13" t="str">
        <f aca="false">IF(DC397="","",SUM(DC448:DC449)-SUM(DB448:DB449))</f>
        <v/>
      </c>
      <c r="DD455" s="13" t="str">
        <f aca="false">IF(DD397="","",SUM(DD448:DD449)-SUM(DC448:DC449))</f>
        <v/>
      </c>
      <c r="DE455" s="13" t="str">
        <f aca="false">IF(DE397="","",SUM(DE448:DE449)-SUM(DD448:DD449))</f>
        <v/>
      </c>
    </row>
    <row r="456" customFormat="false" ht="13.5" hidden="false" customHeight="true" outlineLevel="0" collapsed="false">
      <c r="A456" s="22" t="s">
        <v>258</v>
      </c>
      <c r="B456" s="13" t="n">
        <f aca="false">IF(B397="","",B397-B452-B453-B454-B455)</f>
        <v>124223.64</v>
      </c>
      <c r="C456" s="13" t="n">
        <f aca="false">IF(C397="","",C397-C452-C453-C454-C455)</f>
        <v>419098.31</v>
      </c>
      <c r="D456" s="13" t="n">
        <f aca="false">IF(D397="","",D397-D452-D453-D454-D455)</f>
        <v>-239402.78</v>
      </c>
      <c r="E456" s="13" t="n">
        <f aca="false">IF(E397="","",E397-E452-E453-E454-E455)</f>
        <v>-16851.6900000004</v>
      </c>
      <c r="F456" s="13" t="n">
        <f aca="false">IF(F397="","",F397-F452-F453-F454-F455)</f>
        <v>-63042.8500000002</v>
      </c>
      <c r="G456" s="13" t="n">
        <f aca="false">IF(G397="","",G397-G452-G453-G454-G455)</f>
        <v>-162289.24</v>
      </c>
      <c r="H456" s="13" t="n">
        <f aca="false">IF(H397="","",H397-H452-H453-H454-H455)</f>
        <v>-15316.9400000009</v>
      </c>
      <c r="I456" s="13" t="n">
        <f aca="false">IF(I397="","",I397-I452-I453-I454-I455)</f>
        <v>-1288.21999999974</v>
      </c>
      <c r="J456" s="13" t="n">
        <f aca="false">IF(J397="","",J397-J452-J453-J454-J455)</f>
        <v>-586.374874999514</v>
      </c>
      <c r="K456" s="13" t="str">
        <f aca="false">IF(K397="","",K397-K452-K453-K454-K455)</f>
        <v/>
      </c>
      <c r="L456" s="13" t="str">
        <f aca="false">IF(L397="","",L397-L452-L453-L454-L455)</f>
        <v/>
      </c>
      <c r="M456" s="13" t="str">
        <f aca="false">IF(M397="","",M397-M452-M453-M454-M455)</f>
        <v/>
      </c>
      <c r="N456" s="13" t="str">
        <f aca="false">IF(N397="","",N397-N452-N453-N454-N455)</f>
        <v/>
      </c>
      <c r="O456" s="13" t="str">
        <f aca="false">IF(O397="","",O397-O452-O453-O454-O455)</f>
        <v/>
      </c>
      <c r="P456" s="13" t="str">
        <f aca="false">IF(P397="","",P397-P452-P453-P454-P455)</f>
        <v/>
      </c>
      <c r="Q456" s="13" t="str">
        <f aca="false">IF(Q397="","",Q397-Q452-Q453-Q454-Q455)</f>
        <v/>
      </c>
      <c r="R456" s="13" t="str">
        <f aca="false">IF(R397="","",R397-R452-R453-R454-R455)</f>
        <v/>
      </c>
      <c r="S456" s="13" t="str">
        <f aca="false">IF(S397="","",S397-S452-S453-S454-S455)</f>
        <v/>
      </c>
      <c r="T456" s="13" t="str">
        <f aca="false">IF(T397="","",T397-T452-T453-T454-T455)</f>
        <v/>
      </c>
      <c r="U456" s="13" t="str">
        <f aca="false">IF(U397="","",U397-U452-U453-U454-U455)</f>
        <v/>
      </c>
      <c r="V456" s="13" t="str">
        <f aca="false">IF(V397="","",V397-V452-V453-V454-V455)</f>
        <v/>
      </c>
      <c r="W456" s="13" t="str">
        <f aca="false">IF(W397="","",W397-W452-W453-W454-W455)</f>
        <v/>
      </c>
      <c r="X456" s="13" t="str">
        <f aca="false">IF(X397="","",X397-X452-X453-X454-X455)</f>
        <v/>
      </c>
      <c r="Y456" s="13" t="str">
        <f aca="false">IF(Y397="","",Y397-Y452-Y453-Y454-Y455)</f>
        <v/>
      </c>
      <c r="Z456" s="13" t="str">
        <f aca="false">IF(Z397="","",Z397-Z452-Z453-Z454-Z455)</f>
        <v/>
      </c>
      <c r="AA456" s="13" t="str">
        <f aca="false">IF(AA397="","",AA397-AA452-AA453-AA454-AA455)</f>
        <v/>
      </c>
      <c r="AB456" s="13" t="str">
        <f aca="false">IF(AB397="","",AB397-AB452-AB453-AB454-AB455)</f>
        <v/>
      </c>
      <c r="AC456" s="13" t="str">
        <f aca="false">IF(AC397="","",AC397-AC452-AC453-AC454-AC455)</f>
        <v/>
      </c>
      <c r="AD456" s="13" t="str">
        <f aca="false">IF(AD397="","",AD397-AD452-AD453-AD454-AD455)</f>
        <v/>
      </c>
      <c r="AE456" s="13" t="str">
        <f aca="false">IF(AE397="","",AE397-AE452-AE453-AE454-AE455)</f>
        <v/>
      </c>
      <c r="AF456" s="13" t="str">
        <f aca="false">IF(AF397="","",AF397-AF452-AF453-AF454-AF455)</f>
        <v/>
      </c>
      <c r="AG456" s="13" t="str">
        <f aca="false">IF(AG397="","",AG397-AG452-AG453-AG454-AG455)</f>
        <v/>
      </c>
      <c r="AH456" s="13" t="str">
        <f aca="false">IF(AH397="","",AH397-AH452-AH453-AH454-AH455)</f>
        <v/>
      </c>
      <c r="AI456" s="13" t="str">
        <f aca="false">IF(AI397="","",AI397-AI452-AI453-AI454-AI455)</f>
        <v/>
      </c>
      <c r="AJ456" s="13" t="str">
        <f aca="false">IF(AJ397="","",AJ397-AJ452-AJ453-AJ454-AJ455)</f>
        <v/>
      </c>
      <c r="AK456" s="13" t="str">
        <f aca="false">IF(AK397="","",AK397-AK452-AK453-AK454-AK455)</f>
        <v/>
      </c>
      <c r="AL456" s="13" t="str">
        <f aca="false">IF(AL397="","",AL397-AL452-AL453-AL454-AL455)</f>
        <v/>
      </c>
      <c r="AM456" s="13" t="str">
        <f aca="false">IF(AM397="","",AM397-AM452-AM453-AM454-AM455)</f>
        <v/>
      </c>
      <c r="AN456" s="13" t="str">
        <f aca="false">IF(AN397="","",AN397-AN452-AN453-AN454-AN455)</f>
        <v/>
      </c>
      <c r="AO456" s="13" t="str">
        <f aca="false">IF(AO397="","",AO397-AO452-AO453-AO454-AO455)</f>
        <v/>
      </c>
      <c r="AP456" s="13" t="str">
        <f aca="false">IF(AP397="","",AP397-AP452-AP453-AP454-AP455)</f>
        <v/>
      </c>
      <c r="AQ456" s="13" t="str">
        <f aca="false">IF(AQ397="","",AQ397-AQ452-AQ453-AQ454-AQ455)</f>
        <v/>
      </c>
      <c r="AR456" s="13" t="str">
        <f aca="false">IF(AR397="","",AR397-AR452-AR453-AR454-AR455)</f>
        <v/>
      </c>
      <c r="AS456" s="13" t="str">
        <f aca="false">IF(AS397="","",AS397-AS452-AS453-AS454-AS455)</f>
        <v/>
      </c>
      <c r="AT456" s="13" t="str">
        <f aca="false">IF(AT397="","",AT397-AT452-AT453-AT454-AT455)</f>
        <v/>
      </c>
      <c r="AU456" s="13" t="str">
        <f aca="false">IF(AU397="","",AU397-AU452-AU453-AU454-AU455)</f>
        <v/>
      </c>
      <c r="AV456" s="13" t="str">
        <f aca="false">IF(AV397="","",AV397-AV452-AV453-AV454-AV455)</f>
        <v/>
      </c>
      <c r="AW456" s="13" t="str">
        <f aca="false">IF(AW397="","",AW397-AW452-AW453-AW454-AW455)</f>
        <v/>
      </c>
      <c r="AX456" s="13" t="str">
        <f aca="false">IF(AX397="","",AX397-AX452-AX453-AX454-AX455)</f>
        <v/>
      </c>
      <c r="AY456" s="13" t="str">
        <f aca="false">IF(AY397="","",AY397-AY452-AY453-AY454-AY455)</f>
        <v/>
      </c>
      <c r="AZ456" s="13" t="str">
        <f aca="false">IF(AZ397="","",AZ397-AZ452-AZ453-AZ454-AZ455)</f>
        <v/>
      </c>
      <c r="BA456" s="13" t="str">
        <f aca="false">IF(BA397="","",BA397-BA452-BA453-BA454-BA455)</f>
        <v/>
      </c>
      <c r="BB456" s="13" t="str">
        <f aca="false">IF(BB397="","",BB397-BB452-BB453-BB454-BB455)</f>
        <v/>
      </c>
      <c r="BC456" s="13" t="str">
        <f aca="false">IF(BC397="","",BC397-BC452-BC453-BC454-BC455)</f>
        <v/>
      </c>
      <c r="BD456" s="13" t="str">
        <f aca="false">IF(BD397="","",BD397-BD452-BD453-BD454-BD455)</f>
        <v/>
      </c>
      <c r="BE456" s="13" t="str">
        <f aca="false">IF(BE397="","",BE397-BE452-BE453-BE454-BE455)</f>
        <v/>
      </c>
      <c r="BF456" s="13" t="str">
        <f aca="false">IF(BF397="","",BF397-BF452-BF453-BF454-BF455)</f>
        <v/>
      </c>
      <c r="BG456" s="13" t="str">
        <f aca="false">IF(BG397="","",BG397-BG452-BG453-BG454-BG455)</f>
        <v/>
      </c>
      <c r="BH456" s="13" t="str">
        <f aca="false">IF(BH397="","",BH397-BH452-BH453-BH454-BH455)</f>
        <v/>
      </c>
      <c r="BI456" s="13" t="str">
        <f aca="false">IF(BI397="","",BI397-BI452-BI453-BI454-BI455)</f>
        <v/>
      </c>
      <c r="BJ456" s="13" t="str">
        <f aca="false">IF(BJ397="","",BJ397-BJ452-BJ453-BJ454-BJ455)</f>
        <v/>
      </c>
      <c r="BK456" s="13" t="str">
        <f aca="false">IF(BK397="","",BK397-BK452-BK453-BK454-BK455)</f>
        <v/>
      </c>
      <c r="BL456" s="13" t="str">
        <f aca="false">IF(BL397="","",BL397-BL452-BL453-BL454-BL455)</f>
        <v/>
      </c>
      <c r="BM456" s="13" t="str">
        <f aca="false">IF(BM397="","",BM397-BM452-BM453-BM454-BM455)</f>
        <v/>
      </c>
      <c r="BN456" s="13" t="str">
        <f aca="false">IF(BN397="","",BN397-BN452-BN453-BN454-BN455)</f>
        <v/>
      </c>
      <c r="BO456" s="13" t="str">
        <f aca="false">IF(BO397="","",BO397-BO452-BO453-BO454-BO455)</f>
        <v/>
      </c>
      <c r="BP456" s="13" t="str">
        <f aca="false">IF(BP397="","",BP397-BP452-BP453-BP454-BP455)</f>
        <v/>
      </c>
      <c r="BQ456" s="13" t="str">
        <f aca="false">IF(BQ397="","",BQ397-BQ452-BQ453-BQ454-BQ455)</f>
        <v/>
      </c>
      <c r="BR456" s="13" t="str">
        <f aca="false">IF(BR397="","",BR397-BR452-BR453-BR454-BR455)</f>
        <v/>
      </c>
      <c r="BS456" s="13" t="str">
        <f aca="false">IF(BS397="","",BS397-BS452-BS453-BS454-BS455)</f>
        <v/>
      </c>
      <c r="BT456" s="13" t="str">
        <f aca="false">IF(BT397="","",BT397-BT452-BT453-BT454-BT455)</f>
        <v/>
      </c>
      <c r="BU456" s="13" t="str">
        <f aca="false">IF(BU397="","",BU397-BU452-BU453-BU454-BU455)</f>
        <v/>
      </c>
      <c r="BV456" s="13" t="str">
        <f aca="false">IF(BV397="","",BV397-BV452-BV453-BV454-BV455)</f>
        <v/>
      </c>
      <c r="BW456" s="13" t="str">
        <f aca="false">IF(BW397="","",BW397-BW452-BW453-BW454-BW455)</f>
        <v/>
      </c>
      <c r="BX456" s="13" t="str">
        <f aca="false">IF(BX397="","",BX397-BX452-BX453-BX454-BX455)</f>
        <v/>
      </c>
      <c r="BY456" s="13" t="str">
        <f aca="false">IF(BY397="","",BY397-BY452-BY453-BY454-BY455)</f>
        <v/>
      </c>
      <c r="BZ456" s="13" t="str">
        <f aca="false">IF(BZ397="","",BZ397-BZ452-BZ453-BZ454-BZ455)</f>
        <v/>
      </c>
      <c r="CA456" s="13" t="str">
        <f aca="false">IF(CA397="","",CA397-CA452-CA453-CA454-CA455)</f>
        <v/>
      </c>
      <c r="CB456" s="13" t="str">
        <f aca="false">IF(CB397="","",CB397-CB452-CB453-CB454-CB455)</f>
        <v/>
      </c>
      <c r="CC456" s="13" t="str">
        <f aca="false">IF(CC397="","",CC397-CC452-CC453-CC454-CC455)</f>
        <v/>
      </c>
      <c r="CD456" s="13" t="str">
        <f aca="false">IF(CD397="","",CD397-CD452-CD453-CD454-CD455)</f>
        <v/>
      </c>
      <c r="CE456" s="13" t="str">
        <f aca="false">IF(CE397="","",CE397-CE452-CE453-CE454-CE455)</f>
        <v/>
      </c>
      <c r="CF456" s="13" t="str">
        <f aca="false">IF(CF397="","",CF397-CF452-CF453-CF454-CF455)</f>
        <v/>
      </c>
      <c r="CG456" s="13" t="str">
        <f aca="false">IF(CG397="","",CG397-CG452-CG453-CG454-CG455)</f>
        <v/>
      </c>
      <c r="CH456" s="13" t="str">
        <f aca="false">IF(CH397="","",CH397-CH452-CH453-CH454-CH455)</f>
        <v/>
      </c>
      <c r="CI456" s="13" t="str">
        <f aca="false">IF(CI397="","",CI397-CI452-CI453-CI454-CI455)</f>
        <v/>
      </c>
      <c r="CJ456" s="13" t="str">
        <f aca="false">IF(CJ397="","",CJ397-CJ452-CJ453-CJ454-CJ455)</f>
        <v/>
      </c>
      <c r="CK456" s="13" t="str">
        <f aca="false">IF(CK397="","",CK397-CK452-CK453-CK454-CK455)</f>
        <v/>
      </c>
      <c r="CL456" s="13" t="str">
        <f aca="false">IF(CL397="","",CL397-CL452-CL453-CL454-CL455)</f>
        <v/>
      </c>
      <c r="CM456" s="13" t="str">
        <f aca="false">IF(CM397="","",CM397-CM452-CM453-CM454-CM455)</f>
        <v/>
      </c>
      <c r="CN456" s="13" t="str">
        <f aca="false">IF(CN397="","",CN397-CN452-CN453-CN454-CN455)</f>
        <v/>
      </c>
      <c r="CO456" s="13" t="str">
        <f aca="false">IF(CO397="","",CO397-CO452-CO453-CO454-CO455)</f>
        <v/>
      </c>
      <c r="CP456" s="13" t="str">
        <f aca="false">IF(CP397="","",CP397-CP452-CP453-CP454-CP455)</f>
        <v/>
      </c>
      <c r="CQ456" s="13" t="str">
        <f aca="false">IF(CQ397="","",CQ397-CQ452-CQ453-CQ454-CQ455)</f>
        <v/>
      </c>
      <c r="CR456" s="13" t="str">
        <f aca="false">IF(CR397="","",CR397-CR452-CR453-CR454-CR455)</f>
        <v/>
      </c>
      <c r="CS456" s="13" t="str">
        <f aca="false">IF(CS397="","",CS397-CS452-CS453-CS454-CS455)</f>
        <v/>
      </c>
      <c r="CT456" s="13" t="str">
        <f aca="false">IF(CT397="","",CT397-CT452-CT453-CT454-CT455)</f>
        <v/>
      </c>
      <c r="CU456" s="13" t="str">
        <f aca="false">IF(CU397="","",CU397-CU452-CU453-CU454-CU455)</f>
        <v/>
      </c>
      <c r="CV456" s="13" t="str">
        <f aca="false">IF(CV397="","",CV397-CV452-CV453-CV454-CV455)</f>
        <v/>
      </c>
      <c r="CW456" s="13" t="str">
        <f aca="false">IF(CW397="","",CW397-CW452-CW453-CW454-CW455)</f>
        <v/>
      </c>
      <c r="CX456" s="13" t="str">
        <f aca="false">IF(CX397="","",CX397-CX452-CX453-CX454-CX455)</f>
        <v/>
      </c>
      <c r="CY456" s="13" t="str">
        <f aca="false">IF(CY397="","",CY397-CY452-CY453-CY454-CY455)</f>
        <v/>
      </c>
      <c r="CZ456" s="13" t="str">
        <f aca="false">IF(CZ397="","",CZ397-CZ452-CZ453-CZ454-CZ455)</f>
        <v/>
      </c>
      <c r="DA456" s="13" t="str">
        <f aca="false">IF(DA397="","",DA397-DA452-DA453-DA454-DA455)</f>
        <v/>
      </c>
      <c r="DB456" s="13" t="str">
        <f aca="false">IF(DB397="","",DB397-DB452-DB453-DB454-DB455)</f>
        <v/>
      </c>
      <c r="DC456" s="13" t="str">
        <f aca="false">IF(DC397="","",DC397-DC452-DC453-DC454-DC455)</f>
        <v/>
      </c>
      <c r="DD456" s="13" t="str">
        <f aca="false">IF(DD397="","",DD397-DD452-DD453-DD454-DD455)</f>
        <v/>
      </c>
      <c r="DE456" s="13" t="str">
        <f aca="false">IF(DE397="","",DE397-DE452-DE453-DE454-DE455)</f>
        <v/>
      </c>
    </row>
    <row r="457" customFormat="false" ht="13.5" hidden="false" customHeight="true" outlineLevel="0" collapsed="false">
      <c r="A457" s="67" t="s">
        <v>259</v>
      </c>
      <c r="B457" s="68" t="n">
        <f aca="false">IF(B397="","",B397)</f>
        <v>680024</v>
      </c>
      <c r="C457" s="68" t="n">
        <f aca="false">IF(C397="","",C397)</f>
        <v>115848</v>
      </c>
      <c r="D457" s="68" t="n">
        <f aca="false">IF(D397="","",D397)</f>
        <v>633520</v>
      </c>
      <c r="E457" s="68" t="n">
        <f aca="false">IF(E397="","",E397)</f>
        <v>394004</v>
      </c>
      <c r="F457" s="68" t="n">
        <f aca="false">IF(F397="","",F397)</f>
        <v>501967</v>
      </c>
      <c r="G457" s="68" t="n">
        <f aca="false">IF(G397="","",G397)</f>
        <v>306139</v>
      </c>
      <c r="H457" s="68" t="n">
        <f aca="false">IF(H397="","",H397)</f>
        <v>283340</v>
      </c>
      <c r="I457" s="68" t="n">
        <f aca="false">IF(I397="","",I397)</f>
        <v>1287106</v>
      </c>
      <c r="J457" s="68" t="n">
        <f aca="false">IF(J397="","",J397)</f>
        <v>1415971</v>
      </c>
      <c r="K457" s="68" t="str">
        <f aca="false">IF(K397="","",K397)</f>
        <v/>
      </c>
      <c r="L457" s="68" t="str">
        <f aca="false">IF(L397="","",L397)</f>
        <v/>
      </c>
      <c r="M457" s="68" t="str">
        <f aca="false">IF(M397="","",M397)</f>
        <v/>
      </c>
      <c r="N457" s="68" t="str">
        <f aca="false">IF(N397="","",N397)</f>
        <v/>
      </c>
      <c r="O457" s="68" t="str">
        <f aca="false">IF(O397="","",O397)</f>
        <v/>
      </c>
      <c r="P457" s="68" t="str">
        <f aca="false">IF(P397="","",P397)</f>
        <v/>
      </c>
      <c r="Q457" s="68" t="str">
        <f aca="false">IF(Q397="","",Q397)</f>
        <v/>
      </c>
      <c r="R457" s="68" t="str">
        <f aca="false">IF(R397="","",R397)</f>
        <v/>
      </c>
      <c r="S457" s="68" t="str">
        <f aca="false">IF(S397="","",S397)</f>
        <v/>
      </c>
      <c r="T457" s="68" t="str">
        <f aca="false">IF(T397="","",T397)</f>
        <v/>
      </c>
      <c r="U457" s="68" t="str">
        <f aca="false">IF(U397="","",U397)</f>
        <v/>
      </c>
      <c r="V457" s="68" t="str">
        <f aca="false">IF(V397="","",V397)</f>
        <v/>
      </c>
      <c r="W457" s="68" t="str">
        <f aca="false">IF(W397="","",W397)</f>
        <v/>
      </c>
      <c r="X457" s="68" t="str">
        <f aca="false">IF(X397="","",X397)</f>
        <v/>
      </c>
      <c r="Y457" s="68" t="str">
        <f aca="false">IF(Y397="","",Y397)</f>
        <v/>
      </c>
      <c r="Z457" s="68" t="str">
        <f aca="false">IF(Z397="","",Z397)</f>
        <v/>
      </c>
      <c r="AA457" s="68" t="str">
        <f aca="false">IF(AA397="","",AA397)</f>
        <v/>
      </c>
      <c r="AB457" s="68" t="str">
        <f aca="false">IF(AB397="","",AB397)</f>
        <v/>
      </c>
      <c r="AC457" s="68" t="str">
        <f aca="false">IF(AC397="","",AC397)</f>
        <v/>
      </c>
      <c r="AD457" s="68" t="str">
        <f aca="false">IF(AD397="","",AD397)</f>
        <v/>
      </c>
      <c r="AE457" s="68" t="str">
        <f aca="false">IF(AE397="","",AE397)</f>
        <v/>
      </c>
      <c r="AF457" s="68" t="str">
        <f aca="false">IF(AF397="","",AF397)</f>
        <v/>
      </c>
      <c r="AG457" s="68" t="str">
        <f aca="false">IF(AG397="","",AG397)</f>
        <v/>
      </c>
      <c r="AH457" s="68" t="str">
        <f aca="false">IF(AH397="","",AH397)</f>
        <v/>
      </c>
      <c r="AI457" s="68" t="str">
        <f aca="false">IF(AI397="","",AI397)</f>
        <v/>
      </c>
      <c r="AJ457" s="68" t="str">
        <f aca="false">IF(AJ397="","",AJ397)</f>
        <v/>
      </c>
      <c r="AK457" s="68" t="str">
        <f aca="false">IF(AK397="","",AK397)</f>
        <v/>
      </c>
      <c r="AL457" s="68" t="str">
        <f aca="false">IF(AL397="","",AL397)</f>
        <v/>
      </c>
      <c r="AM457" s="68" t="str">
        <f aca="false">IF(AM397="","",AM397)</f>
        <v/>
      </c>
      <c r="AN457" s="68" t="str">
        <f aca="false">IF(AN397="","",AN397)</f>
        <v/>
      </c>
      <c r="AO457" s="68" t="str">
        <f aca="false">IF(AO397="","",AO397)</f>
        <v/>
      </c>
      <c r="AP457" s="68" t="str">
        <f aca="false">IF(AP397="","",AP397)</f>
        <v/>
      </c>
      <c r="AQ457" s="68" t="str">
        <f aca="false">IF(AQ397="","",AQ397)</f>
        <v/>
      </c>
      <c r="AR457" s="68" t="str">
        <f aca="false">IF(AR397="","",AR397)</f>
        <v/>
      </c>
      <c r="AS457" s="68" t="str">
        <f aca="false">IF(AS397="","",AS397)</f>
        <v/>
      </c>
      <c r="AT457" s="68" t="str">
        <f aca="false">IF(AT397="","",AT397)</f>
        <v/>
      </c>
      <c r="AU457" s="68" t="str">
        <f aca="false">IF(AU397="","",AU397)</f>
        <v/>
      </c>
      <c r="AV457" s="68" t="str">
        <f aca="false">IF(AV397="","",AV397)</f>
        <v/>
      </c>
      <c r="AW457" s="68" t="str">
        <f aca="false">IF(AW397="","",AW397)</f>
        <v/>
      </c>
      <c r="AX457" s="68" t="str">
        <f aca="false">IF(AX397="","",AX397)</f>
        <v/>
      </c>
      <c r="AY457" s="68" t="str">
        <f aca="false">IF(AY397="","",AY397)</f>
        <v/>
      </c>
      <c r="AZ457" s="68" t="str">
        <f aca="false">IF(AZ397="","",AZ397)</f>
        <v/>
      </c>
      <c r="BA457" s="68" t="str">
        <f aca="false">IF(BA397="","",BA397)</f>
        <v/>
      </c>
      <c r="BB457" s="68" t="str">
        <f aca="false">IF(BB397="","",BB397)</f>
        <v/>
      </c>
      <c r="BC457" s="68" t="str">
        <f aca="false">IF(BC397="","",BC397)</f>
        <v/>
      </c>
      <c r="BD457" s="68" t="str">
        <f aca="false">IF(BD397="","",BD397)</f>
        <v/>
      </c>
      <c r="BE457" s="68" t="str">
        <f aca="false">IF(BE397="","",BE397)</f>
        <v/>
      </c>
      <c r="BF457" s="68" t="str">
        <f aca="false">IF(BF397="","",BF397)</f>
        <v/>
      </c>
      <c r="BG457" s="68" t="str">
        <f aca="false">IF(BG397="","",BG397)</f>
        <v/>
      </c>
      <c r="BH457" s="68" t="str">
        <f aca="false">IF(BH397="","",BH397)</f>
        <v/>
      </c>
      <c r="BI457" s="68" t="str">
        <f aca="false">IF(BI397="","",BI397)</f>
        <v/>
      </c>
      <c r="BJ457" s="68" t="str">
        <f aca="false">IF(BJ397="","",BJ397)</f>
        <v/>
      </c>
      <c r="BK457" s="68" t="str">
        <f aca="false">IF(BK397="","",BK397)</f>
        <v/>
      </c>
      <c r="BL457" s="68" t="str">
        <f aca="false">IF(BL397="","",BL397)</f>
        <v/>
      </c>
      <c r="BM457" s="68" t="str">
        <f aca="false">IF(BM397="","",BM397)</f>
        <v/>
      </c>
      <c r="BN457" s="68" t="str">
        <f aca="false">IF(BN397="","",BN397)</f>
        <v/>
      </c>
      <c r="BO457" s="68" t="str">
        <f aca="false">IF(BO397="","",BO397)</f>
        <v/>
      </c>
      <c r="BP457" s="68" t="str">
        <f aca="false">IF(BP397="","",BP397)</f>
        <v/>
      </c>
      <c r="BQ457" s="68" t="str">
        <f aca="false">IF(BQ397="","",BQ397)</f>
        <v/>
      </c>
      <c r="BR457" s="68" t="str">
        <f aca="false">IF(BR397="","",BR397)</f>
        <v/>
      </c>
      <c r="BS457" s="68" t="str">
        <f aca="false">IF(BS397="","",BS397)</f>
        <v/>
      </c>
      <c r="BT457" s="68" t="str">
        <f aca="false">IF(BT397="","",BT397)</f>
        <v/>
      </c>
      <c r="BU457" s="68" t="str">
        <f aca="false">IF(BU397="","",BU397)</f>
        <v/>
      </c>
      <c r="BV457" s="68" t="str">
        <f aca="false">IF(BV397="","",BV397)</f>
        <v/>
      </c>
      <c r="BW457" s="68" t="str">
        <f aca="false">IF(BW397="","",BW397)</f>
        <v/>
      </c>
      <c r="BX457" s="68" t="str">
        <f aca="false">IF(BX397="","",BX397)</f>
        <v/>
      </c>
      <c r="BY457" s="68" t="str">
        <f aca="false">IF(BY397="","",BY397)</f>
        <v/>
      </c>
      <c r="BZ457" s="68" t="str">
        <f aca="false">IF(BZ397="","",BZ397)</f>
        <v/>
      </c>
      <c r="CA457" s="68" t="str">
        <f aca="false">IF(CA397="","",CA397)</f>
        <v/>
      </c>
      <c r="CB457" s="68" t="str">
        <f aca="false">IF(CB397="","",CB397)</f>
        <v/>
      </c>
      <c r="CC457" s="68" t="str">
        <f aca="false">IF(CC397="","",CC397)</f>
        <v/>
      </c>
      <c r="CD457" s="68" t="str">
        <f aca="false">IF(CD397="","",CD397)</f>
        <v/>
      </c>
      <c r="CE457" s="68" t="str">
        <f aca="false">IF(CE397="","",CE397)</f>
        <v/>
      </c>
      <c r="CF457" s="68" t="str">
        <f aca="false">IF(CF397="","",CF397)</f>
        <v/>
      </c>
      <c r="CG457" s="68" t="str">
        <f aca="false">IF(CG397="","",CG397)</f>
        <v/>
      </c>
      <c r="CH457" s="68" t="str">
        <f aca="false">IF(CH397="","",CH397)</f>
        <v/>
      </c>
      <c r="CI457" s="68" t="str">
        <f aca="false">IF(CI397="","",CI397)</f>
        <v/>
      </c>
      <c r="CJ457" s="68" t="str">
        <f aca="false">IF(CJ397="","",CJ397)</f>
        <v/>
      </c>
      <c r="CK457" s="68" t="str">
        <f aca="false">IF(CK397="","",CK397)</f>
        <v/>
      </c>
      <c r="CL457" s="68" t="str">
        <f aca="false">IF(CL397="","",CL397)</f>
        <v/>
      </c>
      <c r="CM457" s="68" t="str">
        <f aca="false">IF(CM397="","",CM397)</f>
        <v/>
      </c>
      <c r="CN457" s="68" t="str">
        <f aca="false">IF(CN397="","",CN397)</f>
        <v/>
      </c>
      <c r="CO457" s="68" t="str">
        <f aca="false">IF(CO397="","",CO397)</f>
        <v/>
      </c>
      <c r="CP457" s="68" t="str">
        <f aca="false">IF(CP397="","",CP397)</f>
        <v/>
      </c>
      <c r="CQ457" s="68" t="str">
        <f aca="false">IF(CQ397="","",CQ397)</f>
        <v/>
      </c>
      <c r="CR457" s="68" t="str">
        <f aca="false">IF(CR397="","",CR397)</f>
        <v/>
      </c>
      <c r="CS457" s="68" t="str">
        <f aca="false">IF(CS397="","",CS397)</f>
        <v/>
      </c>
      <c r="CT457" s="68" t="str">
        <f aca="false">IF(CT397="","",CT397)</f>
        <v/>
      </c>
      <c r="CU457" s="68" t="str">
        <f aca="false">IF(CU397="","",CU397)</f>
        <v/>
      </c>
      <c r="CV457" s="68" t="str">
        <f aca="false">IF(CV397="","",CV397)</f>
        <v/>
      </c>
      <c r="CW457" s="68" t="str">
        <f aca="false">IF(CW397="","",CW397)</f>
        <v/>
      </c>
      <c r="CX457" s="68" t="str">
        <f aca="false">IF(CX397="","",CX397)</f>
        <v/>
      </c>
      <c r="CY457" s="68" t="str">
        <f aca="false">IF(CY397="","",CY397)</f>
        <v/>
      </c>
      <c r="CZ457" s="68" t="str">
        <f aca="false">IF(CZ397="","",CZ397)</f>
        <v/>
      </c>
      <c r="DA457" s="68" t="str">
        <f aca="false">IF(DA397="","",DA397)</f>
        <v/>
      </c>
      <c r="DB457" s="68" t="str">
        <f aca="false">IF(DB397="","",DB397)</f>
        <v/>
      </c>
      <c r="DC457" s="68" t="str">
        <f aca="false">IF(DC397="","",DC397)</f>
        <v/>
      </c>
      <c r="DD457" s="68" t="str">
        <f aca="false">IF(DD397="","",DD397)</f>
        <v/>
      </c>
      <c r="DE457" s="68" t="str">
        <f aca="false">IF(DE397="","",DE397)</f>
        <v/>
      </c>
    </row>
    <row r="458" customFormat="false" ht="13.5" hidden="false" customHeight="true" outlineLevel="0" collapsed="false">
      <c r="A458" s="22" t="s">
        <v>260</v>
      </c>
      <c r="B458" s="13" t="n">
        <f aca="false">IF(B397="","",B397-B452-B453)</f>
        <v>232281.64</v>
      </c>
      <c r="C458" s="13" t="n">
        <f aca="false">IF(C397="","",C397-C452-C453)</f>
        <v>-252866.69</v>
      </c>
      <c r="D458" s="13" t="n">
        <f aca="false">IF(D397="","",D397-D452-D453)</f>
        <v>275425.22</v>
      </c>
      <c r="E458" s="13" t="n">
        <f aca="false">IF(E397="","",E397-E452-E453)</f>
        <v>-613442.69</v>
      </c>
      <c r="F458" s="13" t="n">
        <f aca="false">IF(F397="","",F397-F452-F453)</f>
        <v>80341.1499999998</v>
      </c>
      <c r="G458" s="13" t="n">
        <f aca="false">IF(G397="","",G397-G452-G453)</f>
        <v>-513725.24</v>
      </c>
      <c r="H458" s="13" t="n">
        <f aca="false">IF(H397="","",H397-H452-H453)</f>
        <v>-1467936.94</v>
      </c>
      <c r="I458" s="13" t="n">
        <f aca="false">IF(I397="","",I397-I452-I453)</f>
        <v>828193.78</v>
      </c>
      <c r="J458" s="13" t="n">
        <f aca="false">IF(J397="","",J397-J452-J453)</f>
        <v>165729.625125001</v>
      </c>
      <c r="K458" s="13" t="str">
        <f aca="false">IF(K397="","",K397-K452-K453)</f>
        <v/>
      </c>
      <c r="L458" s="13" t="str">
        <f aca="false">IF(L397="","",L397-L452-L453)</f>
        <v/>
      </c>
      <c r="M458" s="13" t="str">
        <f aca="false">IF(M397="","",M397-M452-M453)</f>
        <v/>
      </c>
      <c r="N458" s="13" t="str">
        <f aca="false">IF(N397="","",N397-N452-N453)</f>
        <v/>
      </c>
      <c r="O458" s="13" t="str">
        <f aca="false">IF(O397="","",O397-O452-O453)</f>
        <v/>
      </c>
      <c r="P458" s="13" t="str">
        <f aca="false">IF(P397="","",P397-P452-P453)</f>
        <v/>
      </c>
      <c r="Q458" s="13" t="str">
        <f aca="false">IF(Q397="","",Q397-Q452-Q453)</f>
        <v/>
      </c>
      <c r="R458" s="13" t="str">
        <f aca="false">IF(R397="","",R397-R452-R453)</f>
        <v/>
      </c>
      <c r="S458" s="13" t="str">
        <f aca="false">IF(S397="","",S397-S452-S453)</f>
        <v/>
      </c>
      <c r="T458" s="13" t="str">
        <f aca="false">IF(T397="","",T397-T452-T453)</f>
        <v/>
      </c>
      <c r="U458" s="13" t="str">
        <f aca="false">IF(U397="","",U397-U452-U453)</f>
        <v/>
      </c>
      <c r="V458" s="13" t="str">
        <f aca="false">IF(V397="","",V397-V452-V453)</f>
        <v/>
      </c>
      <c r="W458" s="13" t="str">
        <f aca="false">IF(W397="","",W397-W452-W453)</f>
        <v/>
      </c>
      <c r="X458" s="13" t="str">
        <f aca="false">IF(X397="","",X397-X452-X453)</f>
        <v/>
      </c>
      <c r="Y458" s="13" t="str">
        <f aca="false">IF(Y397="","",Y397-Y452-Y453)</f>
        <v/>
      </c>
      <c r="Z458" s="13" t="str">
        <f aca="false">IF(Z397="","",Z397-Z452-Z453)</f>
        <v/>
      </c>
      <c r="AA458" s="13" t="str">
        <f aca="false">IF(AA397="","",AA397-AA452-AA453)</f>
        <v/>
      </c>
      <c r="AB458" s="13" t="str">
        <f aca="false">IF(AB397="","",AB397-AB452-AB453)</f>
        <v/>
      </c>
      <c r="AC458" s="13" t="str">
        <f aca="false">IF(AC397="","",AC397-AC452-AC453)</f>
        <v/>
      </c>
      <c r="AD458" s="13" t="str">
        <f aca="false">IF(AD397="","",AD397-AD452-AD453)</f>
        <v/>
      </c>
      <c r="AE458" s="13" t="str">
        <f aca="false">IF(AE397="","",AE397-AE452-AE453)</f>
        <v/>
      </c>
      <c r="AF458" s="13" t="str">
        <f aca="false">IF(AF397="","",AF397-AF452-AF453)</f>
        <v/>
      </c>
      <c r="AG458" s="13" t="str">
        <f aca="false">IF(AG397="","",AG397-AG452-AG453)</f>
        <v/>
      </c>
      <c r="AH458" s="13" t="str">
        <f aca="false">IF(AH397="","",AH397-AH452-AH453)</f>
        <v/>
      </c>
      <c r="AI458" s="13" t="str">
        <f aca="false">IF(AI397="","",AI397-AI452-AI453)</f>
        <v/>
      </c>
      <c r="AJ458" s="13" t="str">
        <f aca="false">IF(AJ397="","",AJ397-AJ452-AJ453)</f>
        <v/>
      </c>
      <c r="AK458" s="13" t="str">
        <f aca="false">IF(AK397="","",AK397-AK452-AK453)</f>
        <v/>
      </c>
      <c r="AL458" s="13" t="str">
        <f aca="false">IF(AL397="","",AL397-AL452-AL453)</f>
        <v/>
      </c>
      <c r="AM458" s="13" t="str">
        <f aca="false">IF(AM397="","",AM397-AM452-AM453)</f>
        <v/>
      </c>
      <c r="AN458" s="13" t="str">
        <f aca="false">IF(AN397="","",AN397-AN452-AN453)</f>
        <v/>
      </c>
      <c r="AO458" s="13" t="str">
        <f aca="false">IF(AO397="","",AO397-AO452-AO453)</f>
        <v/>
      </c>
      <c r="AP458" s="13" t="str">
        <f aca="false">IF(AP397="","",AP397-AP452-AP453)</f>
        <v/>
      </c>
      <c r="AQ458" s="13" t="str">
        <f aca="false">IF(AQ397="","",AQ397-AQ452-AQ453)</f>
        <v/>
      </c>
      <c r="AR458" s="13" t="str">
        <f aca="false">IF(AR397="","",AR397-AR452-AR453)</f>
        <v/>
      </c>
      <c r="AS458" s="13" t="str">
        <f aca="false">IF(AS397="","",AS397-AS452-AS453)</f>
        <v/>
      </c>
      <c r="AT458" s="13" t="str">
        <f aca="false">IF(AT397="","",AT397-AT452-AT453)</f>
        <v/>
      </c>
      <c r="AU458" s="13" t="str">
        <f aca="false">IF(AU397="","",AU397-AU452-AU453)</f>
        <v/>
      </c>
      <c r="AV458" s="13" t="str">
        <f aca="false">IF(AV397="","",AV397-AV452-AV453)</f>
        <v/>
      </c>
      <c r="AW458" s="13" t="str">
        <f aca="false">IF(AW397="","",AW397-AW452-AW453)</f>
        <v/>
      </c>
      <c r="AX458" s="13" t="str">
        <f aca="false">IF(AX397="","",AX397-AX452-AX453)</f>
        <v/>
      </c>
      <c r="AY458" s="13" t="str">
        <f aca="false">IF(AY397="","",AY397-AY452-AY453)</f>
        <v/>
      </c>
      <c r="AZ458" s="13" t="str">
        <f aca="false">IF(AZ397="","",AZ397-AZ452-AZ453)</f>
        <v/>
      </c>
      <c r="BA458" s="13" t="str">
        <f aca="false">IF(BA397="","",BA397-BA452-BA453)</f>
        <v/>
      </c>
      <c r="BB458" s="13" t="str">
        <f aca="false">IF(BB397="","",BB397-BB452-BB453)</f>
        <v/>
      </c>
      <c r="BC458" s="13" t="str">
        <f aca="false">IF(BC397="","",BC397-BC452-BC453)</f>
        <v/>
      </c>
      <c r="BD458" s="13" t="str">
        <f aca="false">IF(BD397="","",BD397-BD452-BD453)</f>
        <v/>
      </c>
      <c r="BE458" s="13" t="str">
        <f aca="false">IF(BE397="","",BE397-BE452-BE453)</f>
        <v/>
      </c>
      <c r="BF458" s="13" t="str">
        <f aca="false">IF(BF397="","",BF397-BF452-BF453)</f>
        <v/>
      </c>
      <c r="BG458" s="13" t="str">
        <f aca="false">IF(BG397="","",BG397-BG452-BG453)</f>
        <v/>
      </c>
      <c r="BH458" s="13" t="str">
        <f aca="false">IF(BH397="","",BH397-BH452-BH453)</f>
        <v/>
      </c>
      <c r="BI458" s="13" t="str">
        <f aca="false">IF(BI397="","",BI397-BI452-BI453)</f>
        <v/>
      </c>
      <c r="BJ458" s="13" t="str">
        <f aca="false">IF(BJ397="","",BJ397-BJ452-BJ453)</f>
        <v/>
      </c>
      <c r="BK458" s="13" t="str">
        <f aca="false">IF(BK397="","",BK397-BK452-BK453)</f>
        <v/>
      </c>
      <c r="BL458" s="13" t="str">
        <f aca="false">IF(BL397="","",BL397-BL452-BL453)</f>
        <v/>
      </c>
      <c r="BM458" s="13" t="str">
        <f aca="false">IF(BM397="","",BM397-BM452-BM453)</f>
        <v/>
      </c>
      <c r="BN458" s="13" t="str">
        <f aca="false">IF(BN397="","",BN397-BN452-BN453)</f>
        <v/>
      </c>
      <c r="BO458" s="13" t="str">
        <f aca="false">IF(BO397="","",BO397-BO452-BO453)</f>
        <v/>
      </c>
      <c r="BP458" s="13" t="str">
        <f aca="false">IF(BP397="","",BP397-BP452-BP453)</f>
        <v/>
      </c>
      <c r="BQ458" s="13" t="str">
        <f aca="false">IF(BQ397="","",BQ397-BQ452-BQ453)</f>
        <v/>
      </c>
      <c r="BR458" s="13" t="str">
        <f aca="false">IF(BR397="","",BR397-BR452-BR453)</f>
        <v/>
      </c>
      <c r="BS458" s="13" t="str">
        <f aca="false">IF(BS397="","",BS397-BS452-BS453)</f>
        <v/>
      </c>
      <c r="BT458" s="13" t="str">
        <f aca="false">IF(BT397="","",BT397-BT452-BT453)</f>
        <v/>
      </c>
      <c r="BU458" s="13" t="str">
        <f aca="false">IF(BU397="","",BU397-BU452-BU453)</f>
        <v/>
      </c>
      <c r="BV458" s="13" t="str">
        <f aca="false">IF(BV397="","",BV397-BV452-BV453)</f>
        <v/>
      </c>
      <c r="BW458" s="13" t="str">
        <f aca="false">IF(BW397="","",BW397-BW452-BW453)</f>
        <v/>
      </c>
      <c r="BX458" s="13" t="str">
        <f aca="false">IF(BX397="","",BX397-BX452-BX453)</f>
        <v/>
      </c>
      <c r="BY458" s="13" t="str">
        <f aca="false">IF(BY397="","",BY397-BY452-BY453)</f>
        <v/>
      </c>
      <c r="BZ458" s="13" t="str">
        <f aca="false">IF(BZ397="","",BZ397-BZ452-BZ453)</f>
        <v/>
      </c>
      <c r="CA458" s="13" t="str">
        <f aca="false">IF(CA397="","",CA397-CA452-CA453)</f>
        <v/>
      </c>
      <c r="CB458" s="13" t="str">
        <f aca="false">IF(CB397="","",CB397-CB452-CB453)</f>
        <v/>
      </c>
      <c r="CC458" s="13" t="str">
        <f aca="false">IF(CC397="","",CC397-CC452-CC453)</f>
        <v/>
      </c>
      <c r="CD458" s="13" t="str">
        <f aca="false">IF(CD397="","",CD397-CD452-CD453)</f>
        <v/>
      </c>
      <c r="CE458" s="13" t="str">
        <f aca="false">IF(CE397="","",CE397-CE452-CE453)</f>
        <v/>
      </c>
      <c r="CF458" s="13" t="str">
        <f aca="false">IF(CF397="","",CF397-CF452-CF453)</f>
        <v/>
      </c>
      <c r="CG458" s="13" t="str">
        <f aca="false">IF(CG397="","",CG397-CG452-CG453)</f>
        <v/>
      </c>
      <c r="CH458" s="13" t="str">
        <f aca="false">IF(CH397="","",CH397-CH452-CH453)</f>
        <v/>
      </c>
      <c r="CI458" s="13" t="str">
        <f aca="false">IF(CI397="","",CI397-CI452-CI453)</f>
        <v/>
      </c>
      <c r="CJ458" s="13" t="str">
        <f aca="false">IF(CJ397="","",CJ397-CJ452-CJ453)</f>
        <v/>
      </c>
      <c r="CK458" s="13" t="str">
        <f aca="false">IF(CK397="","",CK397-CK452-CK453)</f>
        <v/>
      </c>
      <c r="CL458" s="13" t="str">
        <f aca="false">IF(CL397="","",CL397-CL452-CL453)</f>
        <v/>
      </c>
      <c r="CM458" s="13" t="str">
        <f aca="false">IF(CM397="","",CM397-CM452-CM453)</f>
        <v/>
      </c>
      <c r="CN458" s="13" t="str">
        <f aca="false">IF(CN397="","",CN397-CN452-CN453)</f>
        <v/>
      </c>
      <c r="CO458" s="13" t="str">
        <f aca="false">IF(CO397="","",CO397-CO452-CO453)</f>
        <v/>
      </c>
      <c r="CP458" s="13" t="str">
        <f aca="false">IF(CP397="","",CP397-CP452-CP453)</f>
        <v/>
      </c>
      <c r="CQ458" s="13" t="str">
        <f aca="false">IF(CQ397="","",CQ397-CQ452-CQ453)</f>
        <v/>
      </c>
      <c r="CR458" s="13" t="str">
        <f aca="false">IF(CR397="","",CR397-CR452-CR453)</f>
        <v/>
      </c>
      <c r="CS458" s="13" t="str">
        <f aca="false">IF(CS397="","",CS397-CS452-CS453)</f>
        <v/>
      </c>
      <c r="CT458" s="13" t="str">
        <f aca="false">IF(CT397="","",CT397-CT452-CT453)</f>
        <v/>
      </c>
      <c r="CU458" s="13" t="str">
        <f aca="false">IF(CU397="","",CU397-CU452-CU453)</f>
        <v/>
      </c>
      <c r="CV458" s="13" t="str">
        <f aca="false">IF(CV397="","",CV397-CV452-CV453)</f>
        <v/>
      </c>
      <c r="CW458" s="13" t="str">
        <f aca="false">IF(CW397="","",CW397-CW452-CW453)</f>
        <v/>
      </c>
      <c r="CX458" s="13" t="str">
        <f aca="false">IF(CX397="","",CX397-CX452-CX453)</f>
        <v/>
      </c>
      <c r="CY458" s="13" t="str">
        <f aca="false">IF(CY397="","",CY397-CY452-CY453)</f>
        <v/>
      </c>
      <c r="CZ458" s="13" t="str">
        <f aca="false">IF(CZ397="","",CZ397-CZ452-CZ453)</f>
        <v/>
      </c>
      <c r="DA458" s="13" t="str">
        <f aca="false">IF(DA397="","",DA397-DA452-DA453)</f>
        <v/>
      </c>
      <c r="DB458" s="13" t="str">
        <f aca="false">IF(DB397="","",DB397-DB452-DB453)</f>
        <v/>
      </c>
      <c r="DC458" s="13" t="str">
        <f aca="false">IF(DC397="","",DC397-DC452-DC453)</f>
        <v/>
      </c>
      <c r="DD458" s="13" t="str">
        <f aca="false">IF(DD397="","",DD397-DD452-DD453)</f>
        <v/>
      </c>
      <c r="DE458" s="13" t="str">
        <f aca="false">IF(DE397="","",DE397-DE452-DE453)</f>
        <v/>
      </c>
    </row>
    <row r="460" customFormat="false" ht="13.5" hidden="false" customHeight="true" outlineLevel="0" collapsed="false">
      <c r="A460" s="70" t="s">
        <v>261</v>
      </c>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c r="AJ460" s="13"/>
      <c r="AK460" s="13"/>
      <c r="AL460" s="13"/>
      <c r="AM460" s="13"/>
      <c r="AN460" s="13"/>
      <c r="AO460" s="13"/>
      <c r="AP460" s="13"/>
      <c r="AQ460" s="13"/>
      <c r="AR460" s="13"/>
      <c r="AS460" s="13"/>
      <c r="AT460" s="13"/>
      <c r="AU460" s="13"/>
      <c r="AV460" s="13"/>
      <c r="AW460" s="13"/>
      <c r="AX460" s="13"/>
      <c r="AY460" s="13"/>
      <c r="AZ460" s="13"/>
      <c r="BA460" s="13"/>
      <c r="BB460" s="13"/>
      <c r="BC460" s="13"/>
      <c r="BD460" s="13"/>
      <c r="BE460" s="13"/>
      <c r="BF460" s="13"/>
      <c r="BG460" s="13"/>
      <c r="BH460" s="13"/>
      <c r="BI460" s="13"/>
      <c r="BJ460" s="13"/>
      <c r="BK460" s="13"/>
      <c r="BL460" s="13"/>
      <c r="BM460" s="13"/>
      <c r="BN460" s="13"/>
      <c r="BO460" s="13"/>
      <c r="BP460" s="13"/>
      <c r="BQ460" s="13"/>
      <c r="BR460" s="13"/>
      <c r="BS460" s="13"/>
      <c r="BT460" s="13"/>
      <c r="BU460" s="13"/>
      <c r="BV460" s="13"/>
      <c r="BW460" s="13"/>
      <c r="BX460" s="13"/>
      <c r="BY460" s="13"/>
      <c r="BZ460" s="13"/>
      <c r="CA460" s="13"/>
      <c r="CB460" s="13"/>
      <c r="CC460" s="13"/>
      <c r="CD460" s="13"/>
      <c r="CE460" s="13"/>
      <c r="CF460" s="13"/>
      <c r="CG460" s="13"/>
      <c r="CH460" s="13"/>
      <c r="CI460" s="13"/>
      <c r="CJ460" s="13"/>
      <c r="CK460" s="13"/>
      <c r="CL460" s="13"/>
      <c r="CM460" s="13"/>
      <c r="CN460" s="13"/>
      <c r="CO460" s="13"/>
      <c r="CP460" s="13"/>
      <c r="CQ460" s="13"/>
      <c r="CR460" s="13"/>
      <c r="CS460" s="13"/>
      <c r="CT460" s="13"/>
      <c r="CU460" s="13"/>
      <c r="CV460" s="13"/>
      <c r="CW460" s="13"/>
      <c r="CX460" s="13"/>
      <c r="CY460" s="13"/>
      <c r="CZ460" s="13"/>
      <c r="DA460" s="13"/>
      <c r="DB460" s="13"/>
      <c r="DC460" s="13"/>
      <c r="DD460" s="13"/>
      <c r="DE460" s="13"/>
    </row>
    <row r="461" customFormat="false" ht="13.5" hidden="false" customHeight="true" outlineLevel="0" collapsed="false">
      <c r="A461" s="22" t="s">
        <v>262</v>
      </c>
      <c r="B461" s="73" t="n">
        <v>1301264</v>
      </c>
      <c r="C461" s="73" t="n">
        <v>1306764</v>
      </c>
      <c r="D461" s="73" t="n">
        <v>1217660</v>
      </c>
      <c r="E461" s="73" t="n">
        <v>998958</v>
      </c>
      <c r="F461" s="73" t="n">
        <v>989458</v>
      </c>
      <c r="G461" s="73" t="n">
        <v>939458</v>
      </c>
      <c r="H461" s="73" t="n">
        <v>860154</v>
      </c>
      <c r="I461" s="13" t="n">
        <v>1013501</v>
      </c>
      <c r="J461" s="13" t="n">
        <v>769041</v>
      </c>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c r="AJ461" s="13"/>
      <c r="AK461" s="13"/>
      <c r="AL461" s="13"/>
      <c r="AM461" s="13"/>
      <c r="AN461" s="13"/>
      <c r="AO461" s="13"/>
      <c r="AP461" s="13"/>
      <c r="AQ461" s="13"/>
      <c r="AR461" s="13"/>
      <c r="AS461" s="13"/>
      <c r="AT461" s="13"/>
      <c r="AU461" s="13"/>
      <c r="AV461" s="13"/>
      <c r="AW461" s="13"/>
      <c r="AX461" s="13"/>
      <c r="AY461" s="13"/>
      <c r="AZ461" s="13"/>
      <c r="BA461" s="13"/>
      <c r="BB461" s="13"/>
      <c r="BC461" s="13"/>
      <c r="BD461" s="13"/>
      <c r="BE461" s="13"/>
      <c r="BF461" s="13"/>
      <c r="BG461" s="13"/>
      <c r="BH461" s="13"/>
      <c r="BI461" s="13"/>
      <c r="BJ461" s="13"/>
      <c r="BK461" s="13"/>
      <c r="BL461" s="13"/>
      <c r="BM461" s="13"/>
      <c r="BN461" s="13"/>
      <c r="BO461" s="13"/>
      <c r="BP461" s="13"/>
      <c r="BQ461" s="13"/>
      <c r="BR461" s="13"/>
      <c r="BS461" s="13"/>
      <c r="BT461" s="13"/>
      <c r="BU461" s="13"/>
      <c r="BV461" s="13"/>
      <c r="BW461" s="13"/>
      <c r="BX461" s="13"/>
      <c r="BY461" s="13"/>
      <c r="BZ461" s="13"/>
      <c r="CA461" s="13"/>
      <c r="CB461" s="13"/>
      <c r="CC461" s="13"/>
      <c r="CD461" s="13"/>
      <c r="CE461" s="13"/>
      <c r="CF461" s="13"/>
      <c r="CG461" s="13"/>
      <c r="CH461" s="13"/>
      <c r="CI461" s="13"/>
      <c r="CJ461" s="13"/>
      <c r="CK461" s="13"/>
      <c r="CL461" s="13"/>
      <c r="CM461" s="13"/>
      <c r="CN461" s="13"/>
      <c r="CO461" s="13"/>
      <c r="CP461" s="13"/>
      <c r="CQ461" s="13"/>
      <c r="CR461" s="13"/>
      <c r="CS461" s="13"/>
      <c r="CT461" s="13"/>
      <c r="CU461" s="13"/>
      <c r="CV461" s="13"/>
      <c r="CW461" s="13"/>
      <c r="CX461" s="13"/>
      <c r="CY461" s="13"/>
      <c r="CZ461" s="13"/>
      <c r="DA461" s="13"/>
      <c r="DB461" s="13"/>
      <c r="DC461" s="13"/>
      <c r="DD461" s="13"/>
      <c r="DE461" s="13"/>
    </row>
    <row r="462" customFormat="false" ht="13.5" hidden="false" customHeight="true" outlineLevel="0" collapsed="false">
      <c r="A462" s="22" t="s">
        <v>263</v>
      </c>
      <c r="B462" s="73" t="n">
        <v>3067551</v>
      </c>
      <c r="C462" s="73" t="n">
        <v>3100884</v>
      </c>
      <c r="D462" s="73" t="n">
        <v>3265551</v>
      </c>
      <c r="E462" s="73" t="n">
        <v>3021000</v>
      </c>
      <c r="F462" s="73" t="n">
        <v>3320315</v>
      </c>
      <c r="G462" s="73" t="n">
        <v>4437495</v>
      </c>
      <c r="H462" s="73" t="n">
        <v>4083064</v>
      </c>
      <c r="I462" s="13" t="n">
        <v>2929492</v>
      </c>
      <c r="J462" s="13" t="n">
        <v>2790460</v>
      </c>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c r="AJ462" s="13"/>
      <c r="AK462" s="13"/>
      <c r="AL462" s="13"/>
      <c r="AM462" s="13"/>
      <c r="AN462" s="13"/>
      <c r="AO462" s="13"/>
      <c r="AP462" s="13"/>
      <c r="AQ462" s="13"/>
      <c r="AR462" s="13"/>
      <c r="AS462" s="13"/>
      <c r="AT462" s="13"/>
      <c r="AU462" s="13"/>
      <c r="AV462" s="13"/>
      <c r="AW462" s="13"/>
      <c r="AX462" s="13"/>
      <c r="AY462" s="13"/>
      <c r="AZ462" s="13"/>
      <c r="BA462" s="13"/>
      <c r="BB462" s="13"/>
      <c r="BC462" s="13"/>
      <c r="BD462" s="13"/>
      <c r="BE462" s="13"/>
      <c r="BF462" s="13"/>
      <c r="BG462" s="13"/>
      <c r="BH462" s="13"/>
      <c r="BI462" s="13"/>
      <c r="BJ462" s="13"/>
      <c r="BK462" s="13"/>
      <c r="BL462" s="13"/>
      <c r="BM462" s="13"/>
      <c r="BN462" s="13"/>
      <c r="BO462" s="13"/>
      <c r="BP462" s="13"/>
      <c r="BQ462" s="13"/>
      <c r="BR462" s="13"/>
      <c r="BS462" s="13"/>
      <c r="BT462" s="13"/>
      <c r="BU462" s="13"/>
      <c r="BV462" s="13"/>
      <c r="BW462" s="13"/>
      <c r="BX462" s="13"/>
      <c r="BY462" s="13"/>
      <c r="BZ462" s="13"/>
      <c r="CA462" s="13"/>
      <c r="CB462" s="13"/>
      <c r="CC462" s="13"/>
      <c r="CD462" s="13"/>
      <c r="CE462" s="13"/>
      <c r="CF462" s="13"/>
      <c r="CG462" s="13"/>
      <c r="CH462" s="13"/>
      <c r="CI462" s="13"/>
      <c r="CJ462" s="13"/>
      <c r="CK462" s="13"/>
      <c r="CL462" s="13"/>
      <c r="CM462" s="13"/>
      <c r="CN462" s="13"/>
      <c r="CO462" s="13"/>
      <c r="CP462" s="13"/>
      <c r="CQ462" s="13"/>
      <c r="CR462" s="13"/>
      <c r="CS462" s="13"/>
      <c r="CT462" s="13"/>
      <c r="CU462" s="13"/>
      <c r="CV462" s="13"/>
      <c r="CW462" s="13"/>
      <c r="CX462" s="13"/>
      <c r="CY462" s="13"/>
      <c r="CZ462" s="13"/>
      <c r="DA462" s="13"/>
      <c r="DB462" s="13"/>
      <c r="DC462" s="13"/>
      <c r="DD462" s="13"/>
      <c r="DE462" s="13"/>
    </row>
    <row r="463" customFormat="false" ht="13.5" hidden="false" customHeight="true" outlineLevel="0" collapsed="false">
      <c r="A463" s="22" t="s">
        <v>264</v>
      </c>
      <c r="B463" s="73" t="n">
        <v>299000</v>
      </c>
      <c r="C463" s="73" t="n">
        <v>299000</v>
      </c>
      <c r="D463" s="73" t="n">
        <v>299000</v>
      </c>
      <c r="E463" s="73" t="n">
        <v>299000</v>
      </c>
      <c r="F463" s="73" t="n">
        <v>299000</v>
      </c>
      <c r="G463" s="73" t="n">
        <v>0</v>
      </c>
      <c r="H463" s="73" t="n">
        <v>0</v>
      </c>
      <c r="I463" s="13" t="n">
        <v>0</v>
      </c>
      <c r="J463" s="13" t="n">
        <v>0</v>
      </c>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c r="AJ463" s="13"/>
      <c r="AK463" s="13"/>
      <c r="AL463" s="13"/>
      <c r="AM463" s="13"/>
      <c r="AN463" s="13"/>
      <c r="AO463" s="13"/>
      <c r="AP463" s="13"/>
      <c r="AQ463" s="13"/>
      <c r="AR463" s="13"/>
      <c r="AS463" s="13"/>
      <c r="AT463" s="13"/>
      <c r="AU463" s="13"/>
      <c r="AV463" s="13"/>
      <c r="AW463" s="13"/>
      <c r="AX463" s="13"/>
      <c r="AY463" s="13"/>
      <c r="AZ463" s="13"/>
      <c r="BA463" s="13"/>
      <c r="BB463" s="13"/>
      <c r="BC463" s="13"/>
      <c r="BD463" s="13"/>
      <c r="BE463" s="13"/>
      <c r="BF463" s="13"/>
      <c r="BG463" s="13"/>
      <c r="BH463" s="13"/>
      <c r="BI463" s="13"/>
      <c r="BJ463" s="13"/>
      <c r="BK463" s="13"/>
      <c r="BL463" s="13"/>
      <c r="BM463" s="13"/>
      <c r="BN463" s="13"/>
      <c r="BO463" s="13"/>
      <c r="BP463" s="13"/>
      <c r="BQ463" s="13"/>
      <c r="BR463" s="13"/>
      <c r="BS463" s="13"/>
      <c r="BT463" s="13"/>
      <c r="BU463" s="13"/>
      <c r="BV463" s="13"/>
      <c r="BW463" s="13"/>
      <c r="BX463" s="13"/>
      <c r="BY463" s="13"/>
      <c r="BZ463" s="13"/>
      <c r="CA463" s="13"/>
      <c r="CB463" s="13"/>
      <c r="CC463" s="13"/>
      <c r="CD463" s="13"/>
      <c r="CE463" s="13"/>
      <c r="CF463" s="13"/>
      <c r="CG463" s="13"/>
      <c r="CH463" s="13"/>
      <c r="CI463" s="13"/>
      <c r="CJ463" s="13"/>
      <c r="CK463" s="13"/>
      <c r="CL463" s="13"/>
      <c r="CM463" s="13"/>
      <c r="CN463" s="13"/>
      <c r="CO463" s="13"/>
      <c r="CP463" s="13"/>
      <c r="CQ463" s="13"/>
      <c r="CR463" s="13"/>
      <c r="CS463" s="13"/>
      <c r="CT463" s="13"/>
      <c r="CU463" s="13"/>
      <c r="CV463" s="13"/>
      <c r="CW463" s="13"/>
      <c r="CX463" s="13"/>
      <c r="CY463" s="13"/>
      <c r="CZ463" s="13"/>
      <c r="DA463" s="13"/>
      <c r="DB463" s="13"/>
      <c r="DC463" s="13"/>
      <c r="DD463" s="13"/>
      <c r="DE463" s="13"/>
    </row>
    <row r="465" customFormat="false" ht="13.5" hidden="false" customHeight="true" outlineLevel="0" collapsed="false">
      <c r="A465" s="70" t="s">
        <v>265</v>
      </c>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c r="AJ465" s="13"/>
      <c r="AK465" s="13"/>
      <c r="AL465" s="13"/>
      <c r="AM465" s="13"/>
      <c r="AN465" s="13"/>
      <c r="AO465" s="13"/>
      <c r="AP465" s="13"/>
      <c r="AQ465" s="13"/>
      <c r="AR465" s="13"/>
      <c r="AS465" s="13"/>
      <c r="AT465" s="13"/>
      <c r="AU465" s="13"/>
      <c r="AV465" s="13"/>
      <c r="AW465" s="13"/>
      <c r="AX465" s="13"/>
      <c r="AY465" s="13"/>
      <c r="AZ465" s="13"/>
      <c r="BA465" s="13"/>
      <c r="BB465" s="13"/>
      <c r="BC465" s="13"/>
      <c r="BD465" s="13"/>
      <c r="BE465" s="13"/>
      <c r="BF465" s="13"/>
      <c r="BG465" s="13"/>
      <c r="BH465" s="13"/>
      <c r="BI465" s="13"/>
      <c r="BJ465" s="13"/>
      <c r="BK465" s="13"/>
      <c r="BL465" s="13"/>
      <c r="BM465" s="13"/>
      <c r="BN465" s="13"/>
      <c r="BO465" s="13"/>
      <c r="BP465" s="13"/>
      <c r="BQ465" s="13"/>
      <c r="BR465" s="13"/>
      <c r="BS465" s="13"/>
      <c r="BT465" s="13"/>
      <c r="BU465" s="13"/>
      <c r="BV465" s="13"/>
      <c r="BW465" s="13"/>
      <c r="BX465" s="13"/>
      <c r="BY465" s="13"/>
      <c r="BZ465" s="13"/>
      <c r="CA465" s="13"/>
      <c r="CB465" s="13"/>
      <c r="CC465" s="13"/>
      <c r="CD465" s="13"/>
      <c r="CE465" s="13"/>
      <c r="CF465" s="13"/>
      <c r="CG465" s="13"/>
      <c r="CH465" s="13"/>
      <c r="CI465" s="13"/>
      <c r="CJ465" s="13"/>
      <c r="CK465" s="13"/>
      <c r="CL465" s="13"/>
      <c r="CM465" s="13"/>
      <c r="CN465" s="13"/>
      <c r="CO465" s="13"/>
      <c r="CP465" s="13"/>
      <c r="CQ465" s="13"/>
      <c r="CR465" s="13"/>
      <c r="CS465" s="13"/>
      <c r="CT465" s="13"/>
      <c r="CU465" s="13"/>
      <c r="CV465" s="13"/>
      <c r="CW465" s="13"/>
      <c r="CX465" s="13"/>
      <c r="CY465" s="13"/>
      <c r="CZ465" s="13"/>
      <c r="DA465" s="13"/>
      <c r="DB465" s="13"/>
      <c r="DC465" s="13"/>
      <c r="DD465" s="13"/>
      <c r="DE465" s="13"/>
    </row>
    <row r="466" customFormat="false" ht="13.5" hidden="false" customHeight="true" outlineLevel="0" collapsed="false">
      <c r="A466" s="22" t="s">
        <v>254</v>
      </c>
      <c r="B466" s="13" t="n">
        <f aca="false">IF(B403="","",$B$439)</f>
        <v>146586</v>
      </c>
      <c r="C466" s="13" t="n">
        <f aca="false">IF(C403="","",B403)</f>
        <v>378187</v>
      </c>
      <c r="D466" s="13" t="n">
        <f aca="false">IF(D403="","",C403)</f>
        <v>110882</v>
      </c>
      <c r="E466" s="13" t="n">
        <f aca="false">IF(E403="","",D403)</f>
        <v>171148</v>
      </c>
      <c r="F466" s="13" t="n">
        <f aca="false">IF(F403="","",E403)</f>
        <v>368691</v>
      </c>
      <c r="G466" s="13" t="n">
        <f aca="false">IF(G403="","",F403)</f>
        <v>343251</v>
      </c>
      <c r="H466" s="13" t="n">
        <f aca="false">IF(H403="","",G403)</f>
        <v>665368</v>
      </c>
      <c r="I466" s="13" t="n">
        <f aca="false">IF(I403="","",H403)</f>
        <v>122223</v>
      </c>
      <c r="J466" s="13" t="n">
        <f aca="false">IF(J403="","",I403)</f>
        <v>658190</v>
      </c>
      <c r="K466" s="13" t="str">
        <f aca="false">IF(K403="","",J403)</f>
        <v/>
      </c>
      <c r="L466" s="13" t="str">
        <f aca="false">IF(L403="","",K403)</f>
        <v/>
      </c>
      <c r="M466" s="13" t="str">
        <f aca="false">IF(M403="","",L403)</f>
        <v/>
      </c>
      <c r="N466" s="13" t="str">
        <f aca="false">IF(N403="","",M403)</f>
        <v/>
      </c>
      <c r="O466" s="13" t="str">
        <f aca="false">IF(O403="","",N403)</f>
        <v/>
      </c>
      <c r="P466" s="13" t="str">
        <f aca="false">IF(P403="","",O403)</f>
        <v/>
      </c>
      <c r="Q466" s="13" t="str">
        <f aca="false">IF(Q403="","",P403)</f>
        <v/>
      </c>
      <c r="R466" s="13" t="str">
        <f aca="false">IF(R403="","",Q403)</f>
        <v/>
      </c>
      <c r="S466" s="13" t="str">
        <f aca="false">IF(S403="","",R403)</f>
        <v/>
      </c>
      <c r="T466" s="13" t="str">
        <f aca="false">IF(T403="","",S403)</f>
        <v/>
      </c>
      <c r="U466" s="13" t="str">
        <f aca="false">IF(U403="","",T403)</f>
        <v/>
      </c>
      <c r="V466" s="13" t="str">
        <f aca="false">IF(V403="","",U403)</f>
        <v/>
      </c>
      <c r="W466" s="13" t="str">
        <f aca="false">IF(W403="","",V403)</f>
        <v/>
      </c>
      <c r="X466" s="13" t="str">
        <f aca="false">IF(X403="","",W403)</f>
        <v/>
      </c>
      <c r="Y466" s="13" t="str">
        <f aca="false">IF(Y403="","",X403)</f>
        <v/>
      </c>
      <c r="Z466" s="13" t="str">
        <f aca="false">IF(Z403="","",Y403)</f>
        <v/>
      </c>
      <c r="AA466" s="13" t="str">
        <f aca="false">IF(AA403="","",Z403)</f>
        <v/>
      </c>
      <c r="AB466" s="13" t="str">
        <f aca="false">IF(AB403="","",AA403)</f>
        <v/>
      </c>
      <c r="AC466" s="13" t="str">
        <f aca="false">IF(AC403="","",AB403)</f>
        <v/>
      </c>
      <c r="AD466" s="13" t="str">
        <f aca="false">IF(AD403="","",AC403)</f>
        <v/>
      </c>
      <c r="AE466" s="13" t="str">
        <f aca="false">IF(AE403="","",AD403)</f>
        <v/>
      </c>
      <c r="AF466" s="13" t="str">
        <f aca="false">IF(AF403="","",AE403)</f>
        <v/>
      </c>
      <c r="AG466" s="13" t="str">
        <f aca="false">IF(AG403="","",AF403)</f>
        <v/>
      </c>
      <c r="AH466" s="13" t="str">
        <f aca="false">IF(AH403="","",AG403)</f>
        <v/>
      </c>
      <c r="AI466" s="13" t="str">
        <f aca="false">IF(AI403="","",AH403)</f>
        <v/>
      </c>
      <c r="AJ466" s="13" t="str">
        <f aca="false">IF(AJ403="","",AI403)</f>
        <v/>
      </c>
      <c r="AK466" s="13" t="str">
        <f aca="false">IF(AK403="","",AJ403)</f>
        <v/>
      </c>
      <c r="AL466" s="13" t="str">
        <f aca="false">IF(AL403="","",AK403)</f>
        <v/>
      </c>
      <c r="AM466" s="13" t="str">
        <f aca="false">IF(AM403="","",AL403)</f>
        <v/>
      </c>
      <c r="AN466" s="13" t="str">
        <f aca="false">IF(AN403="","",AM403)</f>
        <v/>
      </c>
      <c r="AO466" s="13" t="str">
        <f aca="false">IF(AO403="","",AN403)</f>
        <v/>
      </c>
      <c r="AP466" s="13" t="str">
        <f aca="false">IF(AP403="","",AO403)</f>
        <v/>
      </c>
      <c r="AQ466" s="13" t="str">
        <f aca="false">IF(AQ403="","",AP403)</f>
        <v/>
      </c>
      <c r="AR466" s="13" t="str">
        <f aca="false">IF(AR403="","",AQ403)</f>
        <v/>
      </c>
      <c r="AS466" s="13" t="str">
        <f aca="false">IF(AS403="","",AR403)</f>
        <v/>
      </c>
      <c r="AT466" s="13" t="str">
        <f aca="false">IF(AT403="","",AS403)</f>
        <v/>
      </c>
      <c r="AU466" s="13" t="str">
        <f aca="false">IF(AU403="","",AT403)</f>
        <v/>
      </c>
      <c r="AV466" s="13" t="str">
        <f aca="false">IF(AV403="","",AU403)</f>
        <v/>
      </c>
      <c r="AW466" s="13" t="str">
        <f aca="false">IF(AW403="","",AV403)</f>
        <v/>
      </c>
      <c r="AX466" s="13" t="str">
        <f aca="false">IF(AX403="","",AW403)</f>
        <v/>
      </c>
      <c r="AY466" s="13" t="str">
        <f aca="false">IF(AY403="","",AX403)</f>
        <v/>
      </c>
      <c r="AZ466" s="13" t="str">
        <f aca="false">IF(AZ403="","",AY403)</f>
        <v/>
      </c>
      <c r="BA466" s="13" t="str">
        <f aca="false">IF(BA403="","",AZ403)</f>
        <v/>
      </c>
      <c r="BB466" s="13" t="str">
        <f aca="false">IF(BB403="","",BA403)</f>
        <v/>
      </c>
      <c r="BC466" s="13" t="str">
        <f aca="false">IF(BC403="","",BB403)</f>
        <v/>
      </c>
      <c r="BD466" s="13" t="str">
        <f aca="false">IF(BD403="","",BC403)</f>
        <v/>
      </c>
      <c r="BE466" s="13" t="str">
        <f aca="false">IF(BE403="","",BD403)</f>
        <v/>
      </c>
      <c r="BF466" s="13" t="str">
        <f aca="false">IF(BF403="","",BE403)</f>
        <v/>
      </c>
      <c r="BG466" s="13" t="str">
        <f aca="false">IF(BG403="","",BF403)</f>
        <v/>
      </c>
      <c r="BH466" s="13" t="str">
        <f aca="false">IF(BH403="","",BG403)</f>
        <v/>
      </c>
      <c r="BI466" s="13" t="str">
        <f aca="false">IF(BI403="","",BH403)</f>
        <v/>
      </c>
      <c r="BJ466" s="13" t="str">
        <f aca="false">IF(BJ403="","",BI403)</f>
        <v/>
      </c>
      <c r="BK466" s="13" t="str">
        <f aca="false">IF(BK403="","",BJ403)</f>
        <v/>
      </c>
      <c r="BL466" s="13" t="str">
        <f aca="false">IF(BL403="","",BK403)</f>
        <v/>
      </c>
      <c r="BM466" s="13" t="str">
        <f aca="false">IF(BM403="","",BL403)</f>
        <v/>
      </c>
      <c r="BN466" s="13" t="str">
        <f aca="false">IF(BN403="","",BM403)</f>
        <v/>
      </c>
      <c r="BO466" s="13" t="str">
        <f aca="false">IF(BO403="","",BN403)</f>
        <v/>
      </c>
      <c r="BP466" s="13" t="str">
        <f aca="false">IF(BP403="","",BO403)</f>
        <v/>
      </c>
      <c r="BQ466" s="13" t="str">
        <f aca="false">IF(BQ403="","",BP403)</f>
        <v/>
      </c>
      <c r="BR466" s="13" t="str">
        <f aca="false">IF(BR403="","",BQ403)</f>
        <v/>
      </c>
      <c r="BS466" s="13" t="str">
        <f aca="false">IF(BS403="","",BR403)</f>
        <v/>
      </c>
      <c r="BT466" s="13" t="str">
        <f aca="false">IF(BT403="","",BS403)</f>
        <v/>
      </c>
      <c r="BU466" s="13" t="str">
        <f aca="false">IF(BU403="","",BT403)</f>
        <v/>
      </c>
      <c r="BV466" s="13" t="str">
        <f aca="false">IF(BV403="","",BU403)</f>
        <v/>
      </c>
      <c r="BW466" s="13" t="str">
        <f aca="false">IF(BW403="","",BV403)</f>
        <v/>
      </c>
      <c r="BX466" s="13" t="str">
        <f aca="false">IF(BX403="","",BW403)</f>
        <v/>
      </c>
      <c r="BY466" s="13" t="str">
        <f aca="false">IF(BY403="","",BX403)</f>
        <v/>
      </c>
      <c r="BZ466" s="13" t="str">
        <f aca="false">IF(BZ403="","",BY403)</f>
        <v/>
      </c>
      <c r="CA466" s="13" t="str">
        <f aca="false">IF(CA403="","",BZ403)</f>
        <v/>
      </c>
      <c r="CB466" s="13" t="str">
        <f aca="false">IF(CB403="","",CA403)</f>
        <v/>
      </c>
      <c r="CC466" s="13" t="str">
        <f aca="false">IF(CC403="","",CB403)</f>
        <v/>
      </c>
      <c r="CD466" s="13" t="str">
        <f aca="false">IF(CD403="","",CC403)</f>
        <v/>
      </c>
      <c r="CE466" s="13" t="str">
        <f aca="false">IF(CE403="","",CD403)</f>
        <v/>
      </c>
      <c r="CF466" s="13" t="str">
        <f aca="false">IF(CF403="","",CE403)</f>
        <v/>
      </c>
      <c r="CG466" s="13" t="str">
        <f aca="false">IF(CG403="","",CF403)</f>
        <v/>
      </c>
      <c r="CH466" s="13" t="str">
        <f aca="false">IF(CH403="","",CG403)</f>
        <v/>
      </c>
      <c r="CI466" s="13" t="str">
        <f aca="false">IF(CI403="","",CH403)</f>
        <v/>
      </c>
      <c r="CJ466" s="13" t="str">
        <f aca="false">IF(CJ403="","",CI403)</f>
        <v/>
      </c>
      <c r="CK466" s="13" t="str">
        <f aca="false">IF(CK403="","",CJ403)</f>
        <v/>
      </c>
      <c r="CL466" s="13" t="str">
        <f aca="false">IF(CL403="","",CK403)</f>
        <v/>
      </c>
      <c r="CM466" s="13" t="str">
        <f aca="false">IF(CM403="","",CL403)</f>
        <v/>
      </c>
      <c r="CN466" s="13" t="str">
        <f aca="false">IF(CN403="","",CM403)</f>
        <v/>
      </c>
      <c r="CO466" s="13" t="str">
        <f aca="false">IF(CO403="","",CN403)</f>
        <v/>
      </c>
      <c r="CP466" s="13" t="str">
        <f aca="false">IF(CP403="","",CO403)</f>
        <v/>
      </c>
      <c r="CQ466" s="13" t="str">
        <f aca="false">IF(CQ403="","",CP403)</f>
        <v/>
      </c>
      <c r="CR466" s="13" t="str">
        <f aca="false">IF(CR403="","",CQ403)</f>
        <v/>
      </c>
      <c r="CS466" s="13" t="str">
        <f aca="false">IF(CS403="","",CR403)</f>
        <v/>
      </c>
      <c r="CT466" s="13" t="str">
        <f aca="false">IF(CT403="","",CS403)</f>
        <v/>
      </c>
      <c r="CU466" s="13" t="str">
        <f aca="false">IF(CU403="","",CT403)</f>
        <v/>
      </c>
      <c r="CV466" s="13" t="str">
        <f aca="false">IF(CV403="","",CU403)</f>
        <v/>
      </c>
      <c r="CW466" s="13" t="str">
        <f aca="false">IF(CW403="","",CV403)</f>
        <v/>
      </c>
      <c r="CX466" s="13" t="str">
        <f aca="false">IF(CX403="","",CW403)</f>
        <v/>
      </c>
      <c r="CY466" s="13" t="str">
        <f aca="false">IF(CY403="","",CX403)</f>
        <v/>
      </c>
      <c r="CZ466" s="13" t="str">
        <f aca="false">IF(CZ403="","",CY403)</f>
        <v/>
      </c>
      <c r="DA466" s="13" t="str">
        <f aca="false">IF(DA403="","",CZ403)</f>
        <v/>
      </c>
      <c r="DB466" s="13" t="str">
        <f aca="false">IF(DB403="","",DA403)</f>
        <v/>
      </c>
      <c r="DC466" s="13" t="str">
        <f aca="false">IF(DC403="","",DB403)</f>
        <v/>
      </c>
      <c r="DD466" s="13" t="str">
        <f aca="false">IF(DD403="","",DC403)</f>
        <v/>
      </c>
      <c r="DE466" s="13" t="str">
        <f aca="false">IF(DE403="","",DD403)</f>
        <v/>
      </c>
    </row>
    <row r="467" customFormat="false" ht="13.5" hidden="false" customHeight="true" outlineLevel="0" collapsed="false">
      <c r="A467" s="22" t="s">
        <v>266</v>
      </c>
      <c r="B467" s="13" t="n">
        <f aca="false">IF(B$4="Actuals",B293,"")</f>
        <v>-164713.14</v>
      </c>
      <c r="C467" s="13" t="n">
        <f aca="false">IF(C$4="Actuals",C293,"")</f>
        <v>-158387.42</v>
      </c>
      <c r="D467" s="13" t="n">
        <f aca="false">IF(D$4="Actuals",D293,"")</f>
        <v>-220909.52</v>
      </c>
      <c r="E467" s="13" t="n">
        <f aca="false">IF(E$4="Actuals",E293,"")</f>
        <v>-161790.14</v>
      </c>
      <c r="F467" s="13" t="n">
        <f aca="false">IF(F$4="Actuals",F293,"")</f>
        <v>-215914.94</v>
      </c>
      <c r="G467" s="13" t="n">
        <f aca="false">IF(G$4="Actuals",G293,"")</f>
        <v>185173.79</v>
      </c>
      <c r="H467" s="13" t="n">
        <f aca="false">IF(H$4="Actuals",H293,"")</f>
        <v>-118383.36</v>
      </c>
      <c r="I467" s="13" t="n">
        <f aca="false">IF(I$4="Actuals",I293,"")</f>
        <v>-3786.68999999997</v>
      </c>
      <c r="J467" s="13" t="n">
        <f aca="false">IF(J$4="Actuals",J293,"")</f>
        <v>-176700.27</v>
      </c>
      <c r="K467" s="13" t="str">
        <f aca="false">IF(K$4="Actuals",K293,"")</f>
        <v/>
      </c>
      <c r="L467" s="13" t="str">
        <f aca="false">IF(L$4="Actuals",L293,"")</f>
        <v/>
      </c>
      <c r="M467" s="13" t="str">
        <f aca="false">IF(M$4="Actuals",M293,"")</f>
        <v/>
      </c>
      <c r="N467" s="13" t="str">
        <f aca="false">IF(N$4="Actuals",N293,"")</f>
        <v/>
      </c>
      <c r="O467" s="13" t="str">
        <f aca="false">IF(O$4="Actuals",O293,"")</f>
        <v/>
      </c>
      <c r="P467" s="13" t="str">
        <f aca="false">IF(P$4="Actuals",P293,"")</f>
        <v/>
      </c>
      <c r="Q467" s="13" t="str">
        <f aca="false">IF(Q$4="Actuals",Q293,"")</f>
        <v/>
      </c>
      <c r="R467" s="13" t="str">
        <f aca="false">IF(R$4="Actuals",R293,"")</f>
        <v/>
      </c>
      <c r="S467" s="13" t="str">
        <f aca="false">IF(S$4="Actuals",S293,"")</f>
        <v/>
      </c>
      <c r="T467" s="13" t="str">
        <f aca="false">IF(T$4="Actuals",T293,"")</f>
        <v/>
      </c>
      <c r="U467" s="13" t="str">
        <f aca="false">IF(U$4="Actuals",U293,"")</f>
        <v/>
      </c>
      <c r="V467" s="13" t="str">
        <f aca="false">IF(V$4="Actuals",V293,"")</f>
        <v/>
      </c>
      <c r="W467" s="13" t="str">
        <f aca="false">IF(W$4="Actuals",W293,"")</f>
        <v/>
      </c>
      <c r="X467" s="13" t="str">
        <f aca="false">IF(X$4="Actuals",X293,"")</f>
        <v/>
      </c>
      <c r="Y467" s="13" t="str">
        <f aca="false">IF(Y$4="Actuals",Y293,"")</f>
        <v/>
      </c>
      <c r="Z467" s="13" t="str">
        <f aca="false">IF(Z$4="Actuals",Z293,"")</f>
        <v/>
      </c>
      <c r="AA467" s="13" t="str">
        <f aca="false">IF(AA$4="Actuals",AA293,"")</f>
        <v/>
      </c>
      <c r="AB467" s="13" t="str">
        <f aca="false">IF(AB$4="Actuals",AB293,"")</f>
        <v/>
      </c>
      <c r="AC467" s="13" t="str">
        <f aca="false">IF(AC$4="Actuals",AC293,"")</f>
        <v/>
      </c>
      <c r="AD467" s="13" t="str">
        <f aca="false">IF(AD$4="Actuals",AD293,"")</f>
        <v/>
      </c>
      <c r="AE467" s="13" t="str">
        <f aca="false">IF(AE$4="Actuals",AE293,"")</f>
        <v/>
      </c>
      <c r="AF467" s="13" t="str">
        <f aca="false">IF(AF$4="Actuals",AF293,"")</f>
        <v/>
      </c>
      <c r="AG467" s="13" t="str">
        <f aca="false">IF(AG$4="Actuals",AG293,"")</f>
        <v/>
      </c>
      <c r="AH467" s="13" t="str">
        <f aca="false">IF(AH$4="Actuals",AH293,"")</f>
        <v/>
      </c>
      <c r="AI467" s="13" t="str">
        <f aca="false">IF(AI$4="Actuals",AI293,"")</f>
        <v/>
      </c>
      <c r="AJ467" s="13" t="str">
        <f aca="false">IF(AJ$4="Actuals",AJ293,"")</f>
        <v/>
      </c>
      <c r="AK467" s="13" t="str">
        <f aca="false">IF(AK$4="Actuals",AK293,"")</f>
        <v/>
      </c>
      <c r="AL467" s="13" t="str">
        <f aca="false">IF(AL$4="Actuals",AL293,"")</f>
        <v/>
      </c>
      <c r="AM467" s="13" t="str">
        <f aca="false">IF(AM$4="Actuals",AM293,"")</f>
        <v/>
      </c>
      <c r="AN467" s="13" t="str">
        <f aca="false">IF(AN$4="Actuals",AN293,"")</f>
        <v/>
      </c>
      <c r="AO467" s="13" t="str">
        <f aca="false">IF(AO$4="Actuals",AO293,"")</f>
        <v/>
      </c>
      <c r="AP467" s="13" t="str">
        <f aca="false">IF(AP$4="Actuals",AP293,"")</f>
        <v/>
      </c>
      <c r="AQ467" s="13" t="str">
        <f aca="false">IF(AQ$4="Actuals",AQ293,"")</f>
        <v/>
      </c>
      <c r="AR467" s="13" t="str">
        <f aca="false">IF(AR$4="Actuals",AR293,"")</f>
        <v/>
      </c>
      <c r="AS467" s="13" t="str">
        <f aca="false">IF(AS$4="Actuals",AS293,"")</f>
        <v/>
      </c>
      <c r="AT467" s="13" t="str">
        <f aca="false">IF(AT$4="Actuals",AT293,"")</f>
        <v/>
      </c>
      <c r="AU467" s="13" t="str">
        <f aca="false">IF(AU$4="Actuals",AU293,"")</f>
        <v/>
      </c>
      <c r="AV467" s="13" t="str">
        <f aca="false">IF(AV$4="Actuals",AV293,"")</f>
        <v/>
      </c>
      <c r="AW467" s="13" t="str">
        <f aca="false">IF(AW$4="Actuals",AW293,"")</f>
        <v/>
      </c>
      <c r="AX467" s="13" t="str">
        <f aca="false">IF(AX$4="Actuals",AX293,"")</f>
        <v/>
      </c>
      <c r="AY467" s="13" t="str">
        <f aca="false">IF(AY$4="Actuals",AY293,"")</f>
        <v/>
      </c>
      <c r="AZ467" s="13" t="str">
        <f aca="false">IF(AZ$4="Actuals",AZ293,"")</f>
        <v/>
      </c>
      <c r="BA467" s="13" t="str">
        <f aca="false">IF(BA$4="Actuals",BA293,"")</f>
        <v/>
      </c>
      <c r="BB467" s="13" t="str">
        <f aca="false">IF(BB$4="Actuals",BB293,"")</f>
        <v/>
      </c>
      <c r="BC467" s="13" t="str">
        <f aca="false">IF(BC$4="Actuals",BC293,"")</f>
        <v/>
      </c>
      <c r="BD467" s="13" t="str">
        <f aca="false">IF(BD$4="Actuals",BD293,"")</f>
        <v/>
      </c>
      <c r="BE467" s="13" t="str">
        <f aca="false">IF(BE$4="Actuals",BE293,"")</f>
        <v/>
      </c>
      <c r="BF467" s="13" t="str">
        <f aca="false">IF(BF$4="Actuals",BF293,"")</f>
        <v/>
      </c>
      <c r="BG467" s="13" t="str">
        <f aca="false">IF(BG$4="Actuals",BG293,"")</f>
        <v/>
      </c>
      <c r="BH467" s="13" t="str">
        <f aca="false">IF(BH$4="Actuals",BH293,"")</f>
        <v/>
      </c>
      <c r="BI467" s="13" t="str">
        <f aca="false">IF(BI$4="Actuals",BI293,"")</f>
        <v/>
      </c>
      <c r="BJ467" s="13" t="str">
        <f aca="false">IF(BJ$4="Actuals",BJ293,"")</f>
        <v/>
      </c>
      <c r="BK467" s="13" t="str">
        <f aca="false">IF(BK$4="Actuals",BK293,"")</f>
        <v/>
      </c>
      <c r="BL467" s="13" t="str">
        <f aca="false">IF(BL$4="Actuals",BL293,"")</f>
        <v/>
      </c>
      <c r="BM467" s="13" t="str">
        <f aca="false">IF(BM$4="Actuals",BM293,"")</f>
        <v/>
      </c>
      <c r="BN467" s="13" t="str">
        <f aca="false">IF(BN$4="Actuals",BN293,"")</f>
        <v/>
      </c>
      <c r="BO467" s="13" t="str">
        <f aca="false">IF(BO$4="Actuals",BO293,"")</f>
        <v/>
      </c>
      <c r="BP467" s="13" t="str">
        <f aca="false">IF(BP$4="Actuals",BP293,"")</f>
        <v/>
      </c>
      <c r="BQ467" s="13" t="str">
        <f aca="false">IF(BQ$4="Actuals",BQ293,"")</f>
        <v/>
      </c>
      <c r="BR467" s="13" t="str">
        <f aca="false">IF(BR$4="Actuals",BR293,"")</f>
        <v/>
      </c>
      <c r="BS467" s="13" t="str">
        <f aca="false">IF(BS$4="Actuals",BS293,"")</f>
        <v/>
      </c>
      <c r="BT467" s="13" t="str">
        <f aca="false">IF(BT$4="Actuals",BT293,"")</f>
        <v/>
      </c>
      <c r="BU467" s="13" t="str">
        <f aca="false">IF(BU$4="Actuals",BU293,"")</f>
        <v/>
      </c>
      <c r="BV467" s="13" t="str">
        <f aca="false">IF(BV$4="Actuals",BV293,"")</f>
        <v/>
      </c>
      <c r="BW467" s="13" t="str">
        <f aca="false">IF(BW$4="Actuals",BW293,"")</f>
        <v/>
      </c>
      <c r="BX467" s="13" t="str">
        <f aca="false">IF(BX$4="Actuals",BX293,"")</f>
        <v/>
      </c>
      <c r="BY467" s="13" t="str">
        <f aca="false">IF(BY$4="Actuals",BY293,"")</f>
        <v/>
      </c>
      <c r="BZ467" s="13" t="str">
        <f aca="false">IF(BZ$4="Actuals",BZ293,"")</f>
        <v/>
      </c>
      <c r="CA467" s="13" t="str">
        <f aca="false">IF(CA$4="Actuals",CA293,"")</f>
        <v/>
      </c>
      <c r="CB467" s="13" t="str">
        <f aca="false">IF(CB$4="Actuals",CB293,"")</f>
        <v/>
      </c>
      <c r="CC467" s="13" t="str">
        <f aca="false">IF(CC$4="Actuals",CC293,"")</f>
        <v/>
      </c>
      <c r="CD467" s="13" t="str">
        <f aca="false">IF(CD$4="Actuals",CD293,"")</f>
        <v/>
      </c>
      <c r="CE467" s="13" t="str">
        <f aca="false">IF(CE$4="Actuals",CE293,"")</f>
        <v/>
      </c>
      <c r="CF467" s="13" t="str">
        <f aca="false">IF(CF$4="Actuals",CF293,"")</f>
        <v/>
      </c>
      <c r="CG467" s="13" t="str">
        <f aca="false">IF(CG$4="Actuals",CG293,"")</f>
        <v/>
      </c>
      <c r="CH467" s="13" t="str">
        <f aca="false">IF(CH$4="Actuals",CH293,"")</f>
        <v/>
      </c>
      <c r="CI467" s="13" t="str">
        <f aca="false">IF(CI$4="Actuals",CI293,"")</f>
        <v/>
      </c>
      <c r="CJ467" s="13" t="str">
        <f aca="false">IF(CJ$4="Actuals",CJ293,"")</f>
        <v/>
      </c>
      <c r="CK467" s="13" t="str">
        <f aca="false">IF(CK$4="Actuals",CK293,"")</f>
        <v/>
      </c>
      <c r="CL467" s="13" t="str">
        <f aca="false">IF(CL$4="Actuals",CL293,"")</f>
        <v/>
      </c>
      <c r="CM467" s="13" t="str">
        <f aca="false">IF(CM$4="Actuals",CM293,"")</f>
        <v/>
      </c>
      <c r="CN467" s="13" t="str">
        <f aca="false">IF(CN$4="Actuals",CN293,"")</f>
        <v/>
      </c>
      <c r="CO467" s="13" t="str">
        <f aca="false">IF(CO$4="Actuals",CO293,"")</f>
        <v/>
      </c>
      <c r="CP467" s="13" t="str">
        <f aca="false">IF(CP$4="Actuals",CP293,"")</f>
        <v/>
      </c>
      <c r="CQ467" s="13" t="str">
        <f aca="false">IF(CQ$4="Actuals",CQ293,"")</f>
        <v/>
      </c>
      <c r="CR467" s="13" t="str">
        <f aca="false">IF(CR$4="Actuals",CR293,"")</f>
        <v/>
      </c>
      <c r="CS467" s="13" t="str">
        <f aca="false">IF(CS$4="Actuals",CS293,"")</f>
        <v/>
      </c>
      <c r="CT467" s="13" t="str">
        <f aca="false">IF(CT$4="Actuals",CT293,"")</f>
        <v/>
      </c>
      <c r="CU467" s="13" t="str">
        <f aca="false">IF(CU$4="Actuals",CU293,"")</f>
        <v/>
      </c>
      <c r="CV467" s="13" t="str">
        <f aca="false">IF(CV$4="Actuals",CV293,"")</f>
        <v/>
      </c>
      <c r="CW467" s="13" t="str">
        <f aca="false">IF(CW$4="Actuals",CW293,"")</f>
        <v/>
      </c>
      <c r="CX467" s="13" t="str">
        <f aca="false">IF(CX$4="Actuals",CX293,"")</f>
        <v/>
      </c>
      <c r="CY467" s="13" t="str">
        <f aca="false">IF(CY$4="Actuals",CY293,"")</f>
        <v/>
      </c>
      <c r="CZ467" s="13" t="str">
        <f aca="false">IF(CZ$4="Actuals",CZ293,"")</f>
        <v/>
      </c>
      <c r="DA467" s="13" t="str">
        <f aca="false">IF(DA$4="Actuals",DA293,"")</f>
        <v/>
      </c>
      <c r="DB467" s="13" t="str">
        <f aca="false">IF(DB$4="Actuals",DB293,"")</f>
        <v/>
      </c>
      <c r="DC467" s="13" t="str">
        <f aca="false">IF(DC$4="Actuals",DC293,"")</f>
        <v/>
      </c>
      <c r="DD467" s="13" t="str">
        <f aca="false">IF(DD$4="Actuals",DD293,"")</f>
        <v/>
      </c>
      <c r="DE467" s="13" t="str">
        <f aca="false">IF(DE$4="Actuals",DE293,"")</f>
        <v/>
      </c>
    </row>
    <row r="468" customFormat="false" ht="13.5" hidden="false" customHeight="true" outlineLevel="0" collapsed="false">
      <c r="A468" s="22" t="s">
        <v>267</v>
      </c>
      <c r="B468" s="13" t="n">
        <f aca="false">IF(B403="","",B462-$B$441)</f>
        <v>720514</v>
      </c>
      <c r="C468" s="13" t="n">
        <f aca="false">IF(C403="","",C462-B462)</f>
        <v>33333</v>
      </c>
      <c r="D468" s="13" t="n">
        <f aca="false">IF(D403="","",D462-C462)</f>
        <v>164667</v>
      </c>
      <c r="E468" s="13" t="n">
        <f aca="false">IF(E403="","",E462-D462)</f>
        <v>-244551</v>
      </c>
      <c r="F468" s="13" t="n">
        <f aca="false">IF(F403="","",F462-E462)</f>
        <v>299315</v>
      </c>
      <c r="G468" s="13" t="n">
        <f aca="false">IF(G403="","",G462-F462)</f>
        <v>1117180</v>
      </c>
      <c r="H468" s="13" t="n">
        <f aca="false">IF(H403="","",H462-G462)</f>
        <v>-354431</v>
      </c>
      <c r="I468" s="13" t="n">
        <f aca="false">IF(I403="","",I462-H462)</f>
        <v>-1153572</v>
      </c>
      <c r="J468" s="13" t="n">
        <f aca="false">IF(J403="","",J462-I462)</f>
        <v>-139032</v>
      </c>
      <c r="K468" s="13" t="str">
        <f aca="false">IF(K403="","",K462-J462)</f>
        <v/>
      </c>
      <c r="L468" s="13" t="str">
        <f aca="false">IF(L403="","",L462-K462)</f>
        <v/>
      </c>
      <c r="M468" s="13" t="str">
        <f aca="false">IF(M403="","",M462-L462)</f>
        <v/>
      </c>
      <c r="N468" s="13" t="str">
        <f aca="false">IF(N403="","",N462-M462)</f>
        <v/>
      </c>
      <c r="O468" s="13" t="str">
        <f aca="false">IF(O403="","",O462-N462)</f>
        <v/>
      </c>
      <c r="P468" s="13" t="str">
        <f aca="false">IF(P403="","",P462-O462)</f>
        <v/>
      </c>
      <c r="Q468" s="13" t="str">
        <f aca="false">IF(Q403="","",Q462-P462)</f>
        <v/>
      </c>
      <c r="R468" s="13" t="str">
        <f aca="false">IF(R403="","",R462-Q462)</f>
        <v/>
      </c>
      <c r="S468" s="13" t="str">
        <f aca="false">IF(S403="","",S462-R462)</f>
        <v/>
      </c>
      <c r="T468" s="13" t="str">
        <f aca="false">IF(T403="","",T462-S462)</f>
        <v/>
      </c>
      <c r="U468" s="13" t="str">
        <f aca="false">IF(U403="","",U462-T462)</f>
        <v/>
      </c>
      <c r="V468" s="13" t="str">
        <f aca="false">IF(V403="","",V462-U462)</f>
        <v/>
      </c>
      <c r="W468" s="13" t="str">
        <f aca="false">IF(W403="","",W462-V462)</f>
        <v/>
      </c>
      <c r="X468" s="13" t="str">
        <f aca="false">IF(X403="","",X462-W462)</f>
        <v/>
      </c>
      <c r="Y468" s="13" t="str">
        <f aca="false">IF(Y403="","",Y462-X462)</f>
        <v/>
      </c>
      <c r="Z468" s="13" t="str">
        <f aca="false">IF(Z403="","",Z462-Y462)</f>
        <v/>
      </c>
      <c r="AA468" s="13" t="str">
        <f aca="false">IF(AA403="","",AA462-Z462)</f>
        <v/>
      </c>
      <c r="AB468" s="13" t="str">
        <f aca="false">IF(AB403="","",AB462-AA462)</f>
        <v/>
      </c>
      <c r="AC468" s="13" t="str">
        <f aca="false">IF(AC403="","",AC462-AB462)</f>
        <v/>
      </c>
      <c r="AD468" s="13" t="str">
        <f aca="false">IF(AD403="","",AD462-AC462)</f>
        <v/>
      </c>
      <c r="AE468" s="13" t="str">
        <f aca="false">IF(AE403="","",AE462-AD462)</f>
        <v/>
      </c>
      <c r="AF468" s="13" t="str">
        <f aca="false">IF(AF403="","",AF462-AE462)</f>
        <v/>
      </c>
      <c r="AG468" s="13" t="str">
        <f aca="false">IF(AG403="","",AG462-AF462)</f>
        <v/>
      </c>
      <c r="AH468" s="13" t="str">
        <f aca="false">IF(AH403="","",AH462-AG462)</f>
        <v/>
      </c>
      <c r="AI468" s="13" t="str">
        <f aca="false">IF(AI403="","",AI462-AH462)</f>
        <v/>
      </c>
      <c r="AJ468" s="13" t="str">
        <f aca="false">IF(AJ403="","",AJ462-AI462)</f>
        <v/>
      </c>
      <c r="AK468" s="13" t="str">
        <f aca="false">IF(AK403="","",AK462-AJ462)</f>
        <v/>
      </c>
      <c r="AL468" s="13" t="str">
        <f aca="false">IF(AL403="","",AL462-AK462)</f>
        <v/>
      </c>
      <c r="AM468" s="13" t="str">
        <f aca="false">IF(AM403="","",AM462-AL462)</f>
        <v/>
      </c>
      <c r="AN468" s="13" t="str">
        <f aca="false">IF(AN403="","",AN462-AM462)</f>
        <v/>
      </c>
      <c r="AO468" s="13" t="str">
        <f aca="false">IF(AO403="","",AO462-AN462)</f>
        <v/>
      </c>
      <c r="AP468" s="13" t="str">
        <f aca="false">IF(AP403="","",AP462-AO462)</f>
        <v/>
      </c>
      <c r="AQ468" s="13" t="str">
        <f aca="false">IF(AQ403="","",AQ462-AP462)</f>
        <v/>
      </c>
      <c r="AR468" s="13" t="str">
        <f aca="false">IF(AR403="","",AR462-AQ462)</f>
        <v/>
      </c>
      <c r="AS468" s="13" t="str">
        <f aca="false">IF(AS403="","",AS462-AR462)</f>
        <v/>
      </c>
      <c r="AT468" s="13" t="str">
        <f aca="false">IF(AT403="","",AT462-AS462)</f>
        <v/>
      </c>
      <c r="AU468" s="13" t="str">
        <f aca="false">IF(AU403="","",AU462-AT462)</f>
        <v/>
      </c>
      <c r="AV468" s="13" t="str">
        <f aca="false">IF(AV403="","",AV462-AU462)</f>
        <v/>
      </c>
      <c r="AW468" s="13" t="str">
        <f aca="false">IF(AW403="","",AW462-AV462)</f>
        <v/>
      </c>
      <c r="AX468" s="13" t="str">
        <f aca="false">IF(AX403="","",AX462-AW462)</f>
        <v/>
      </c>
      <c r="AY468" s="13" t="str">
        <f aca="false">IF(AY403="","",AY462-AX462)</f>
        <v/>
      </c>
      <c r="AZ468" s="13" t="str">
        <f aca="false">IF(AZ403="","",AZ462-AY462)</f>
        <v/>
      </c>
      <c r="BA468" s="13" t="str">
        <f aca="false">IF(BA403="","",BA462-AZ462)</f>
        <v/>
      </c>
      <c r="BB468" s="13" t="str">
        <f aca="false">IF(BB403="","",BB462-BA462)</f>
        <v/>
      </c>
      <c r="BC468" s="13" t="str">
        <f aca="false">IF(BC403="","",BC462-BB462)</f>
        <v/>
      </c>
      <c r="BD468" s="13" t="str">
        <f aca="false">IF(BD403="","",BD462-BC462)</f>
        <v/>
      </c>
      <c r="BE468" s="13" t="str">
        <f aca="false">IF(BE403="","",BE462-BD462)</f>
        <v/>
      </c>
      <c r="BF468" s="13" t="str">
        <f aca="false">IF(BF403="","",BF462-BE462)</f>
        <v/>
      </c>
      <c r="BG468" s="13" t="str">
        <f aca="false">IF(BG403="","",BG462-BF462)</f>
        <v/>
      </c>
      <c r="BH468" s="13" t="str">
        <f aca="false">IF(BH403="","",BH462-BG462)</f>
        <v/>
      </c>
      <c r="BI468" s="13" t="str">
        <f aca="false">IF(BI403="","",BI462-BH462)</f>
        <v/>
      </c>
      <c r="BJ468" s="13" t="str">
        <f aca="false">IF(BJ403="","",BJ462-BI462)</f>
        <v/>
      </c>
      <c r="BK468" s="13" t="str">
        <f aca="false">IF(BK403="","",BK462-BJ462)</f>
        <v/>
      </c>
      <c r="BL468" s="13" t="str">
        <f aca="false">IF(BL403="","",BL462-BK462)</f>
        <v/>
      </c>
      <c r="BM468" s="13" t="str">
        <f aca="false">IF(BM403="","",BM462-BL462)</f>
        <v/>
      </c>
      <c r="BN468" s="13" t="str">
        <f aca="false">IF(BN403="","",BN462-BM462)</f>
        <v/>
      </c>
      <c r="BO468" s="13" t="str">
        <f aca="false">IF(BO403="","",BO462-BN462)</f>
        <v/>
      </c>
      <c r="BP468" s="13" t="str">
        <f aca="false">IF(BP403="","",BP462-BO462)</f>
        <v/>
      </c>
      <c r="BQ468" s="13" t="str">
        <f aca="false">IF(BQ403="","",BQ462-BP462)</f>
        <v/>
      </c>
      <c r="BR468" s="13" t="str">
        <f aca="false">IF(BR403="","",BR462-BQ462)</f>
        <v/>
      </c>
      <c r="BS468" s="13" t="str">
        <f aca="false">IF(BS403="","",BS462-BR462)</f>
        <v/>
      </c>
      <c r="BT468" s="13" t="str">
        <f aca="false">IF(BT403="","",BT462-BS462)</f>
        <v/>
      </c>
      <c r="BU468" s="13" t="str">
        <f aca="false">IF(BU403="","",BU462-BT462)</f>
        <v/>
      </c>
      <c r="BV468" s="13" t="str">
        <f aca="false">IF(BV403="","",BV462-BU462)</f>
        <v/>
      </c>
      <c r="BW468" s="13" t="str">
        <f aca="false">IF(BW403="","",BW462-BV462)</f>
        <v/>
      </c>
      <c r="BX468" s="13" t="str">
        <f aca="false">IF(BX403="","",BX462-BW462)</f>
        <v/>
      </c>
      <c r="BY468" s="13" t="str">
        <f aca="false">IF(BY403="","",BY462-BX462)</f>
        <v/>
      </c>
      <c r="BZ468" s="13" t="str">
        <f aca="false">IF(BZ403="","",BZ462-BY462)</f>
        <v/>
      </c>
      <c r="CA468" s="13" t="str">
        <f aca="false">IF(CA403="","",CA462-BZ462)</f>
        <v/>
      </c>
      <c r="CB468" s="13" t="str">
        <f aca="false">IF(CB403="","",CB462-CA462)</f>
        <v/>
      </c>
      <c r="CC468" s="13" t="str">
        <f aca="false">IF(CC403="","",CC462-CB462)</f>
        <v/>
      </c>
      <c r="CD468" s="13" t="str">
        <f aca="false">IF(CD403="","",CD462-CC462)</f>
        <v/>
      </c>
      <c r="CE468" s="13" t="str">
        <f aca="false">IF(CE403="","",CE462-CD462)</f>
        <v/>
      </c>
      <c r="CF468" s="13" t="str">
        <f aca="false">IF(CF403="","",CF462-CE462)</f>
        <v/>
      </c>
      <c r="CG468" s="13" t="str">
        <f aca="false">IF(CG403="","",CG462-CF462)</f>
        <v/>
      </c>
      <c r="CH468" s="13" t="str">
        <f aca="false">IF(CH403="","",CH462-CG462)</f>
        <v/>
      </c>
      <c r="CI468" s="13" t="str">
        <f aca="false">IF(CI403="","",CI462-CH462)</f>
        <v/>
      </c>
      <c r="CJ468" s="13" t="str">
        <f aca="false">IF(CJ403="","",CJ462-CI462)</f>
        <v/>
      </c>
      <c r="CK468" s="13" t="str">
        <f aca="false">IF(CK403="","",CK462-CJ462)</f>
        <v/>
      </c>
      <c r="CL468" s="13" t="str">
        <f aca="false">IF(CL403="","",CL462-CK462)</f>
        <v/>
      </c>
      <c r="CM468" s="13" t="str">
        <f aca="false">IF(CM403="","",CM462-CL462)</f>
        <v/>
      </c>
      <c r="CN468" s="13" t="str">
        <f aca="false">IF(CN403="","",CN462-CM462)</f>
        <v/>
      </c>
      <c r="CO468" s="13" t="str">
        <f aca="false">IF(CO403="","",CO462-CN462)</f>
        <v/>
      </c>
      <c r="CP468" s="13" t="str">
        <f aca="false">IF(CP403="","",CP462-CO462)</f>
        <v/>
      </c>
      <c r="CQ468" s="13" t="str">
        <f aca="false">IF(CQ403="","",CQ462-CP462)</f>
        <v/>
      </c>
      <c r="CR468" s="13" t="str">
        <f aca="false">IF(CR403="","",CR462-CQ462)</f>
        <v/>
      </c>
      <c r="CS468" s="13" t="str">
        <f aca="false">IF(CS403="","",CS462-CR462)</f>
        <v/>
      </c>
      <c r="CT468" s="13" t="str">
        <f aca="false">IF(CT403="","",CT462-CS462)</f>
        <v/>
      </c>
      <c r="CU468" s="13" t="str">
        <f aca="false">IF(CU403="","",CU462-CT462)</f>
        <v/>
      </c>
      <c r="CV468" s="13" t="str">
        <f aca="false">IF(CV403="","",CV462-CU462)</f>
        <v/>
      </c>
      <c r="CW468" s="13" t="str">
        <f aca="false">IF(CW403="","",CW462-CV462)</f>
        <v/>
      </c>
      <c r="CX468" s="13" t="str">
        <f aca="false">IF(CX403="","",CX462-CW462)</f>
        <v/>
      </c>
      <c r="CY468" s="13" t="str">
        <f aca="false">IF(CY403="","",CY462-CX462)</f>
        <v/>
      </c>
      <c r="CZ468" s="13" t="str">
        <f aca="false">IF(CZ403="","",CZ462-CY462)</f>
        <v/>
      </c>
      <c r="DA468" s="13" t="str">
        <f aca="false">IF(DA403="","",DA462-CZ462)</f>
        <v/>
      </c>
      <c r="DB468" s="13" t="str">
        <f aca="false">IF(DB403="","",DB462-DA462)</f>
        <v/>
      </c>
      <c r="DC468" s="13" t="str">
        <f aca="false">IF(DC403="","",DC462-DB462)</f>
        <v/>
      </c>
      <c r="DD468" s="13" t="str">
        <f aca="false">IF(DD403="","",DD462-DC462)</f>
        <v/>
      </c>
      <c r="DE468" s="13" t="str">
        <f aca="false">IF(DE403="","",DE462-DD462)</f>
        <v/>
      </c>
    </row>
    <row r="469" customFormat="false" ht="13.5" hidden="false" customHeight="true" outlineLevel="0" collapsed="false">
      <c r="A469" s="22" t="s">
        <v>268</v>
      </c>
      <c r="B469" s="13" t="n">
        <f aca="false">IF(B403="","",-(B461-$B$440))</f>
        <v>-63760</v>
      </c>
      <c r="C469" s="13" t="n">
        <f aca="false">IF(C403="","",-(C461-B461))</f>
        <v>-5500</v>
      </c>
      <c r="D469" s="13" t="n">
        <f aca="false">IF(D403="","",-(D461-C461))</f>
        <v>89104</v>
      </c>
      <c r="E469" s="13" t="n">
        <f aca="false">IF(E403="","",-(E461-D461))</f>
        <v>218702</v>
      </c>
      <c r="F469" s="13" t="n">
        <f aca="false">IF(F403="","",-(F461-E461))</f>
        <v>9500</v>
      </c>
      <c r="G469" s="13" t="n">
        <f aca="false">IF(G403="","",-(G461-F461))</f>
        <v>50000</v>
      </c>
      <c r="H469" s="13" t="n">
        <f aca="false">IF(H403="","",-(H461-G461))</f>
        <v>79304</v>
      </c>
      <c r="I469" s="13" t="n">
        <f aca="false">IF(I403="","",-(I461-H461))</f>
        <v>-153347</v>
      </c>
      <c r="J469" s="13" t="n">
        <f aca="false">IF(J403="","",-(J461-I461))</f>
        <v>244460</v>
      </c>
      <c r="K469" s="13" t="str">
        <f aca="false">IF(K403="","",-(K461-J461))</f>
        <v/>
      </c>
      <c r="L469" s="13" t="str">
        <f aca="false">IF(L403="","",-(L461-K461))</f>
        <v/>
      </c>
      <c r="M469" s="13" t="str">
        <f aca="false">IF(M403="","",-(M461-L461))</f>
        <v/>
      </c>
      <c r="N469" s="13" t="str">
        <f aca="false">IF(N403="","",-(N461-M461))</f>
        <v/>
      </c>
      <c r="O469" s="13" t="str">
        <f aca="false">IF(O403="","",-(O461-N461))</f>
        <v/>
      </c>
      <c r="P469" s="13" t="str">
        <f aca="false">IF(P403="","",-(P461-O461))</f>
        <v/>
      </c>
      <c r="Q469" s="13" t="str">
        <f aca="false">IF(Q403="","",-(Q461-P461))</f>
        <v/>
      </c>
      <c r="R469" s="13" t="str">
        <f aca="false">IF(R403="","",-(R461-Q461))</f>
        <v/>
      </c>
      <c r="S469" s="13" t="str">
        <f aca="false">IF(S403="","",-(S461-R461))</f>
        <v/>
      </c>
      <c r="T469" s="13" t="str">
        <f aca="false">IF(T403="","",-(T461-S461))</f>
        <v/>
      </c>
      <c r="U469" s="13" t="str">
        <f aca="false">IF(U403="","",-(U461-T461))</f>
        <v/>
      </c>
      <c r="V469" s="13" t="str">
        <f aca="false">IF(V403="","",-(V461-U461))</f>
        <v/>
      </c>
      <c r="W469" s="13" t="str">
        <f aca="false">IF(W403="","",-(W461-V461))</f>
        <v/>
      </c>
      <c r="X469" s="13" t="str">
        <f aca="false">IF(X403="","",-(X461-W461))</f>
        <v/>
      </c>
      <c r="Y469" s="13" t="str">
        <f aca="false">IF(Y403="","",-(Y461-X461))</f>
        <v/>
      </c>
      <c r="Z469" s="13" t="str">
        <f aca="false">IF(Z403="","",-(Z461-Y461))</f>
        <v/>
      </c>
      <c r="AA469" s="13" t="str">
        <f aca="false">IF(AA403="","",-(AA461-Z461))</f>
        <v/>
      </c>
      <c r="AB469" s="13" t="str">
        <f aca="false">IF(AB403="","",-(AB461-AA461))</f>
        <v/>
      </c>
      <c r="AC469" s="13" t="str">
        <f aca="false">IF(AC403="","",-(AC461-AB461))</f>
        <v/>
      </c>
      <c r="AD469" s="13" t="str">
        <f aca="false">IF(AD403="","",-(AD461-AC461))</f>
        <v/>
      </c>
      <c r="AE469" s="13" t="str">
        <f aca="false">IF(AE403="","",-(AE461-AD461))</f>
        <v/>
      </c>
      <c r="AF469" s="13" t="str">
        <f aca="false">IF(AF403="","",-(AF461-AE461))</f>
        <v/>
      </c>
      <c r="AG469" s="13" t="str">
        <f aca="false">IF(AG403="","",-(AG461-AF461))</f>
        <v/>
      </c>
      <c r="AH469" s="13" t="str">
        <f aca="false">IF(AH403="","",-(AH461-AG461))</f>
        <v/>
      </c>
      <c r="AI469" s="13" t="str">
        <f aca="false">IF(AI403="","",-(AI461-AH461))</f>
        <v/>
      </c>
      <c r="AJ469" s="13" t="str">
        <f aca="false">IF(AJ403="","",-(AJ461-AI461))</f>
        <v/>
      </c>
      <c r="AK469" s="13" t="str">
        <f aca="false">IF(AK403="","",-(AK461-AJ461))</f>
        <v/>
      </c>
      <c r="AL469" s="13" t="str">
        <f aca="false">IF(AL403="","",-(AL461-AK461))</f>
        <v/>
      </c>
      <c r="AM469" s="13" t="str">
        <f aca="false">IF(AM403="","",-(AM461-AL461))</f>
        <v/>
      </c>
      <c r="AN469" s="13" t="str">
        <f aca="false">IF(AN403="","",-(AN461-AM461))</f>
        <v/>
      </c>
      <c r="AO469" s="13" t="str">
        <f aca="false">IF(AO403="","",-(AO461-AN461))</f>
        <v/>
      </c>
      <c r="AP469" s="13" t="str">
        <f aca="false">IF(AP403="","",-(AP461-AO461))</f>
        <v/>
      </c>
      <c r="AQ469" s="13" t="str">
        <f aca="false">IF(AQ403="","",-(AQ461-AP461))</f>
        <v/>
      </c>
      <c r="AR469" s="13" t="str">
        <f aca="false">IF(AR403="","",-(AR461-AQ461))</f>
        <v/>
      </c>
      <c r="AS469" s="13" t="str">
        <f aca="false">IF(AS403="","",-(AS461-AR461))</f>
        <v/>
      </c>
      <c r="AT469" s="13" t="str">
        <f aca="false">IF(AT403="","",-(AT461-AS461))</f>
        <v/>
      </c>
      <c r="AU469" s="13" t="str">
        <f aca="false">IF(AU403="","",-(AU461-AT461))</f>
        <v/>
      </c>
      <c r="AV469" s="13" t="str">
        <f aca="false">IF(AV403="","",-(AV461-AU461))</f>
        <v/>
      </c>
      <c r="AW469" s="13" t="str">
        <f aca="false">IF(AW403="","",-(AW461-AV461))</f>
        <v/>
      </c>
      <c r="AX469" s="13" t="str">
        <f aca="false">IF(AX403="","",-(AX461-AW461))</f>
        <v/>
      </c>
      <c r="AY469" s="13" t="str">
        <f aca="false">IF(AY403="","",-(AY461-AX461))</f>
        <v/>
      </c>
      <c r="AZ469" s="13" t="str">
        <f aca="false">IF(AZ403="","",-(AZ461-AY461))</f>
        <v/>
      </c>
      <c r="BA469" s="13" t="str">
        <f aca="false">IF(BA403="","",-(BA461-AZ461))</f>
        <v/>
      </c>
      <c r="BB469" s="13" t="str">
        <f aca="false">IF(BB403="","",-(BB461-BA461))</f>
        <v/>
      </c>
      <c r="BC469" s="13" t="str">
        <f aca="false">IF(BC403="","",-(BC461-BB461))</f>
        <v/>
      </c>
      <c r="BD469" s="13" t="str">
        <f aca="false">IF(BD403="","",-(BD461-BC461))</f>
        <v/>
      </c>
      <c r="BE469" s="13" t="str">
        <f aca="false">IF(BE403="","",-(BE461-BD461))</f>
        <v/>
      </c>
      <c r="BF469" s="13" t="str">
        <f aca="false">IF(BF403="","",-(BF461-BE461))</f>
        <v/>
      </c>
      <c r="BG469" s="13" t="str">
        <f aca="false">IF(BG403="","",-(BG461-BF461))</f>
        <v/>
      </c>
      <c r="BH469" s="13" t="str">
        <f aca="false">IF(BH403="","",-(BH461-BG461))</f>
        <v/>
      </c>
      <c r="BI469" s="13" t="str">
        <f aca="false">IF(BI403="","",-(BI461-BH461))</f>
        <v/>
      </c>
      <c r="BJ469" s="13" t="str">
        <f aca="false">IF(BJ403="","",-(BJ461-BI461))</f>
        <v/>
      </c>
      <c r="BK469" s="13" t="str">
        <f aca="false">IF(BK403="","",-(BK461-BJ461))</f>
        <v/>
      </c>
      <c r="BL469" s="13" t="str">
        <f aca="false">IF(BL403="","",-(BL461-BK461))</f>
        <v/>
      </c>
      <c r="BM469" s="13" t="str">
        <f aca="false">IF(BM403="","",-(BM461-BL461))</f>
        <v/>
      </c>
      <c r="BN469" s="13" t="str">
        <f aca="false">IF(BN403="","",-(BN461-BM461))</f>
        <v/>
      </c>
      <c r="BO469" s="13" t="str">
        <f aca="false">IF(BO403="","",-(BO461-BN461))</f>
        <v/>
      </c>
      <c r="BP469" s="13" t="str">
        <f aca="false">IF(BP403="","",-(BP461-BO461))</f>
        <v/>
      </c>
      <c r="BQ469" s="13" t="str">
        <f aca="false">IF(BQ403="","",-(BQ461-BP461))</f>
        <v/>
      </c>
      <c r="BR469" s="13" t="str">
        <f aca="false">IF(BR403="","",-(BR461-BQ461))</f>
        <v/>
      </c>
      <c r="BS469" s="13" t="str">
        <f aca="false">IF(BS403="","",-(BS461-BR461))</f>
        <v/>
      </c>
      <c r="BT469" s="13" t="str">
        <f aca="false">IF(BT403="","",-(BT461-BS461))</f>
        <v/>
      </c>
      <c r="BU469" s="13" t="str">
        <f aca="false">IF(BU403="","",-(BU461-BT461))</f>
        <v/>
      </c>
      <c r="BV469" s="13" t="str">
        <f aca="false">IF(BV403="","",-(BV461-BU461))</f>
        <v/>
      </c>
      <c r="BW469" s="13" t="str">
        <f aca="false">IF(BW403="","",-(BW461-BV461))</f>
        <v/>
      </c>
      <c r="BX469" s="13" t="str">
        <f aca="false">IF(BX403="","",-(BX461-BW461))</f>
        <v/>
      </c>
      <c r="BY469" s="13" t="str">
        <f aca="false">IF(BY403="","",-(BY461-BX461))</f>
        <v/>
      </c>
      <c r="BZ469" s="13" t="str">
        <f aca="false">IF(BZ403="","",-(BZ461-BY461))</f>
        <v/>
      </c>
      <c r="CA469" s="13" t="str">
        <f aca="false">IF(CA403="","",-(CA461-BZ461))</f>
        <v/>
      </c>
      <c r="CB469" s="13" t="str">
        <f aca="false">IF(CB403="","",-(CB461-CA461))</f>
        <v/>
      </c>
      <c r="CC469" s="13" t="str">
        <f aca="false">IF(CC403="","",-(CC461-CB461))</f>
        <v/>
      </c>
      <c r="CD469" s="13" t="str">
        <f aca="false">IF(CD403="","",-(CD461-CC461))</f>
        <v/>
      </c>
      <c r="CE469" s="13" t="str">
        <f aca="false">IF(CE403="","",-(CE461-CD461))</f>
        <v/>
      </c>
      <c r="CF469" s="13" t="str">
        <f aca="false">IF(CF403="","",-(CF461-CE461))</f>
        <v/>
      </c>
      <c r="CG469" s="13" t="str">
        <f aca="false">IF(CG403="","",-(CG461-CF461))</f>
        <v/>
      </c>
      <c r="CH469" s="13" t="str">
        <f aca="false">IF(CH403="","",-(CH461-CG461))</f>
        <v/>
      </c>
      <c r="CI469" s="13" t="str">
        <f aca="false">IF(CI403="","",-(CI461-CH461))</f>
        <v/>
      </c>
      <c r="CJ469" s="13" t="str">
        <f aca="false">IF(CJ403="","",-(CJ461-CI461))</f>
        <v/>
      </c>
      <c r="CK469" s="13" t="str">
        <f aca="false">IF(CK403="","",-(CK461-CJ461))</f>
        <v/>
      </c>
      <c r="CL469" s="13" t="str">
        <f aca="false">IF(CL403="","",-(CL461-CK461))</f>
        <v/>
      </c>
      <c r="CM469" s="13" t="str">
        <f aca="false">IF(CM403="","",-(CM461-CL461))</f>
        <v/>
      </c>
      <c r="CN469" s="13" t="str">
        <f aca="false">IF(CN403="","",-(CN461-CM461))</f>
        <v/>
      </c>
      <c r="CO469" s="13" t="str">
        <f aca="false">IF(CO403="","",-(CO461-CN461))</f>
        <v/>
      </c>
      <c r="CP469" s="13" t="str">
        <f aca="false">IF(CP403="","",-(CP461-CO461))</f>
        <v/>
      </c>
      <c r="CQ469" s="13" t="str">
        <f aca="false">IF(CQ403="","",-(CQ461-CP461))</f>
        <v/>
      </c>
      <c r="CR469" s="13" t="str">
        <f aca="false">IF(CR403="","",-(CR461-CQ461))</f>
        <v/>
      </c>
      <c r="CS469" s="13" t="str">
        <f aca="false">IF(CS403="","",-(CS461-CR461))</f>
        <v/>
      </c>
      <c r="CT469" s="13" t="str">
        <f aca="false">IF(CT403="","",-(CT461-CS461))</f>
        <v/>
      </c>
      <c r="CU469" s="13" t="str">
        <f aca="false">IF(CU403="","",-(CU461-CT461))</f>
        <v/>
      </c>
      <c r="CV469" s="13" t="str">
        <f aca="false">IF(CV403="","",-(CV461-CU461))</f>
        <v/>
      </c>
      <c r="CW469" s="13" t="str">
        <f aca="false">IF(CW403="","",-(CW461-CV461))</f>
        <v/>
      </c>
      <c r="CX469" s="13" t="str">
        <f aca="false">IF(CX403="","",-(CX461-CW461))</f>
        <v/>
      </c>
      <c r="CY469" s="13" t="str">
        <f aca="false">IF(CY403="","",-(CY461-CX461))</f>
        <v/>
      </c>
      <c r="CZ469" s="13" t="str">
        <f aca="false">IF(CZ403="","",-(CZ461-CY461))</f>
        <v/>
      </c>
      <c r="DA469" s="13" t="str">
        <f aca="false">IF(DA403="","",-(DA461-CZ461))</f>
        <v/>
      </c>
      <c r="DB469" s="13" t="str">
        <f aca="false">IF(DB403="","",-(DB461-DA461))</f>
        <v/>
      </c>
      <c r="DC469" s="13" t="str">
        <f aca="false">IF(DC403="","",-(DC461-DB461))</f>
        <v/>
      </c>
      <c r="DD469" s="13" t="str">
        <f aca="false">IF(DD403="","",-(DD461-DC461))</f>
        <v/>
      </c>
      <c r="DE469" s="13" t="str">
        <f aca="false">IF(DE403="","",-(DE461-DD461))</f>
        <v/>
      </c>
    </row>
    <row r="470" customFormat="false" ht="13.5" hidden="false" customHeight="true" outlineLevel="0" collapsed="false">
      <c r="A470" s="22" t="s">
        <v>269</v>
      </c>
      <c r="B470" s="13" t="n">
        <f aca="false">IF(B403="","",B463-$B$442)</f>
        <v>0</v>
      </c>
      <c r="C470" s="13" t="n">
        <f aca="false">IF(C403="","",C463-B463)</f>
        <v>0</v>
      </c>
      <c r="D470" s="13" t="n">
        <f aca="false">IF(D403="","",D463-C463)</f>
        <v>0</v>
      </c>
      <c r="E470" s="13" t="n">
        <f aca="false">IF(E403="","",E463-D463)</f>
        <v>0</v>
      </c>
      <c r="F470" s="13" t="n">
        <f aca="false">IF(F403="","",F463-E463)</f>
        <v>0</v>
      </c>
      <c r="G470" s="13" t="n">
        <f aca="false">IF(G403="","",G463-F463)</f>
        <v>-299000</v>
      </c>
      <c r="H470" s="13" t="n">
        <f aca="false">IF(H403="","",H463-G463)</f>
        <v>0</v>
      </c>
      <c r="I470" s="13" t="n">
        <f aca="false">IF(I403="","",I463-H463)</f>
        <v>0</v>
      </c>
      <c r="J470" s="13" t="n">
        <f aca="false">IF(J403="","",J463-I463)</f>
        <v>0</v>
      </c>
      <c r="K470" s="13" t="str">
        <f aca="false">IF(K403="","",K463-J463)</f>
        <v/>
      </c>
      <c r="L470" s="13" t="str">
        <f aca="false">IF(L403="","",L463-K463)</f>
        <v/>
      </c>
      <c r="M470" s="13" t="str">
        <f aca="false">IF(M403="","",M463-L463)</f>
        <v/>
      </c>
      <c r="N470" s="13" t="str">
        <f aca="false">IF(N403="","",N463-M463)</f>
        <v/>
      </c>
      <c r="O470" s="13" t="str">
        <f aca="false">IF(O403="","",O463-N463)</f>
        <v/>
      </c>
      <c r="P470" s="13" t="str">
        <f aca="false">IF(P403="","",P463-O463)</f>
        <v/>
      </c>
      <c r="Q470" s="13" t="str">
        <f aca="false">IF(Q403="","",Q463-P463)</f>
        <v/>
      </c>
      <c r="R470" s="13" t="str">
        <f aca="false">IF(R403="","",R463-Q463)</f>
        <v/>
      </c>
      <c r="S470" s="13" t="str">
        <f aca="false">IF(S403="","",S463-R463)</f>
        <v/>
      </c>
      <c r="T470" s="13" t="str">
        <f aca="false">IF(T403="","",T463-S463)</f>
        <v/>
      </c>
      <c r="U470" s="13" t="str">
        <f aca="false">IF(U403="","",U463-T463)</f>
        <v/>
      </c>
      <c r="V470" s="13" t="str">
        <f aca="false">IF(V403="","",V463-U463)</f>
        <v/>
      </c>
      <c r="W470" s="13" t="str">
        <f aca="false">IF(W403="","",W463-V463)</f>
        <v/>
      </c>
      <c r="X470" s="13" t="str">
        <f aca="false">IF(X403="","",X463-W463)</f>
        <v/>
      </c>
      <c r="Y470" s="13" t="str">
        <f aca="false">IF(Y403="","",Y463-X463)</f>
        <v/>
      </c>
      <c r="Z470" s="13" t="str">
        <f aca="false">IF(Z403="","",Z463-Y463)</f>
        <v/>
      </c>
      <c r="AA470" s="13" t="str">
        <f aca="false">IF(AA403="","",AA463-Z463)</f>
        <v/>
      </c>
      <c r="AB470" s="13" t="str">
        <f aca="false">IF(AB403="","",AB463-AA463)</f>
        <v/>
      </c>
      <c r="AC470" s="13" t="str">
        <f aca="false">IF(AC403="","",AC463-AB463)</f>
        <v/>
      </c>
      <c r="AD470" s="13" t="str">
        <f aca="false">IF(AD403="","",AD463-AC463)</f>
        <v/>
      </c>
      <c r="AE470" s="13" t="str">
        <f aca="false">IF(AE403="","",AE463-AD463)</f>
        <v/>
      </c>
      <c r="AF470" s="13" t="str">
        <f aca="false">IF(AF403="","",AF463-AE463)</f>
        <v/>
      </c>
      <c r="AG470" s="13" t="str">
        <f aca="false">IF(AG403="","",AG463-AF463)</f>
        <v/>
      </c>
      <c r="AH470" s="13" t="str">
        <f aca="false">IF(AH403="","",AH463-AG463)</f>
        <v/>
      </c>
      <c r="AI470" s="13" t="str">
        <f aca="false">IF(AI403="","",AI463-AH463)</f>
        <v/>
      </c>
      <c r="AJ470" s="13" t="str">
        <f aca="false">IF(AJ403="","",AJ463-AI463)</f>
        <v/>
      </c>
      <c r="AK470" s="13" t="str">
        <f aca="false">IF(AK403="","",AK463-AJ463)</f>
        <v/>
      </c>
      <c r="AL470" s="13" t="str">
        <f aca="false">IF(AL403="","",AL463-AK463)</f>
        <v/>
      </c>
      <c r="AM470" s="13" t="str">
        <f aca="false">IF(AM403="","",AM463-AL463)</f>
        <v/>
      </c>
      <c r="AN470" s="13" t="str">
        <f aca="false">IF(AN403="","",AN463-AM463)</f>
        <v/>
      </c>
      <c r="AO470" s="13" t="str">
        <f aca="false">IF(AO403="","",AO463-AN463)</f>
        <v/>
      </c>
      <c r="AP470" s="13" t="str">
        <f aca="false">IF(AP403="","",AP463-AO463)</f>
        <v/>
      </c>
      <c r="AQ470" s="13" t="str">
        <f aca="false">IF(AQ403="","",AQ463-AP463)</f>
        <v/>
      </c>
      <c r="AR470" s="13" t="str">
        <f aca="false">IF(AR403="","",AR463-AQ463)</f>
        <v/>
      </c>
      <c r="AS470" s="13" t="str">
        <f aca="false">IF(AS403="","",AS463-AR463)</f>
        <v/>
      </c>
      <c r="AT470" s="13" t="str">
        <f aca="false">IF(AT403="","",AT463-AS463)</f>
        <v/>
      </c>
      <c r="AU470" s="13" t="str">
        <f aca="false">IF(AU403="","",AU463-AT463)</f>
        <v/>
      </c>
      <c r="AV470" s="13" t="str">
        <f aca="false">IF(AV403="","",AV463-AU463)</f>
        <v/>
      </c>
      <c r="AW470" s="13" t="str">
        <f aca="false">IF(AW403="","",AW463-AV463)</f>
        <v/>
      </c>
      <c r="AX470" s="13" t="str">
        <f aca="false">IF(AX403="","",AX463-AW463)</f>
        <v/>
      </c>
      <c r="AY470" s="13" t="str">
        <f aca="false">IF(AY403="","",AY463-AX463)</f>
        <v/>
      </c>
      <c r="AZ470" s="13" t="str">
        <f aca="false">IF(AZ403="","",AZ463-AY463)</f>
        <v/>
      </c>
      <c r="BA470" s="13" t="str">
        <f aca="false">IF(BA403="","",BA463-AZ463)</f>
        <v/>
      </c>
      <c r="BB470" s="13" t="str">
        <f aca="false">IF(BB403="","",BB463-BA463)</f>
        <v/>
      </c>
      <c r="BC470" s="13" t="str">
        <f aca="false">IF(BC403="","",BC463-BB463)</f>
        <v/>
      </c>
      <c r="BD470" s="13" t="str">
        <f aca="false">IF(BD403="","",BD463-BC463)</f>
        <v/>
      </c>
      <c r="BE470" s="13" t="str">
        <f aca="false">IF(BE403="","",BE463-BD463)</f>
        <v/>
      </c>
      <c r="BF470" s="13" t="str">
        <f aca="false">IF(BF403="","",BF463-BE463)</f>
        <v/>
      </c>
      <c r="BG470" s="13" t="str">
        <f aca="false">IF(BG403="","",BG463-BF463)</f>
        <v/>
      </c>
      <c r="BH470" s="13" t="str">
        <f aca="false">IF(BH403="","",BH463-BG463)</f>
        <v/>
      </c>
      <c r="BI470" s="13" t="str">
        <f aca="false">IF(BI403="","",BI463-BH463)</f>
        <v/>
      </c>
      <c r="BJ470" s="13" t="str">
        <f aca="false">IF(BJ403="","",BJ463-BI463)</f>
        <v/>
      </c>
      <c r="BK470" s="13" t="str">
        <f aca="false">IF(BK403="","",BK463-BJ463)</f>
        <v/>
      </c>
      <c r="BL470" s="13" t="str">
        <f aca="false">IF(BL403="","",BL463-BK463)</f>
        <v/>
      </c>
      <c r="BM470" s="13" t="str">
        <f aca="false">IF(BM403="","",BM463-BL463)</f>
        <v/>
      </c>
      <c r="BN470" s="13" t="str">
        <f aca="false">IF(BN403="","",BN463-BM463)</f>
        <v/>
      </c>
      <c r="BO470" s="13" t="str">
        <f aca="false">IF(BO403="","",BO463-BN463)</f>
        <v/>
      </c>
      <c r="BP470" s="13" t="str">
        <f aca="false">IF(BP403="","",BP463-BO463)</f>
        <v/>
      </c>
      <c r="BQ470" s="13" t="str">
        <f aca="false">IF(BQ403="","",BQ463-BP463)</f>
        <v/>
      </c>
      <c r="BR470" s="13" t="str">
        <f aca="false">IF(BR403="","",BR463-BQ463)</f>
        <v/>
      </c>
      <c r="BS470" s="13" t="str">
        <f aca="false">IF(BS403="","",BS463-BR463)</f>
        <v/>
      </c>
      <c r="BT470" s="13" t="str">
        <f aca="false">IF(BT403="","",BT463-BS463)</f>
        <v/>
      </c>
      <c r="BU470" s="13" t="str">
        <f aca="false">IF(BU403="","",BU463-BT463)</f>
        <v/>
      </c>
      <c r="BV470" s="13" t="str">
        <f aca="false">IF(BV403="","",BV463-BU463)</f>
        <v/>
      </c>
      <c r="BW470" s="13" t="str">
        <f aca="false">IF(BW403="","",BW463-BV463)</f>
        <v/>
      </c>
      <c r="BX470" s="13" t="str">
        <f aca="false">IF(BX403="","",BX463-BW463)</f>
        <v/>
      </c>
      <c r="BY470" s="13" t="str">
        <f aca="false">IF(BY403="","",BY463-BX463)</f>
        <v/>
      </c>
      <c r="BZ470" s="13" t="str">
        <f aca="false">IF(BZ403="","",BZ463-BY463)</f>
        <v/>
      </c>
      <c r="CA470" s="13" t="str">
        <f aca="false">IF(CA403="","",CA463-BZ463)</f>
        <v/>
      </c>
      <c r="CB470" s="13" t="str">
        <f aca="false">IF(CB403="","",CB463-CA463)</f>
        <v/>
      </c>
      <c r="CC470" s="13" t="str">
        <f aca="false">IF(CC403="","",CC463-CB463)</f>
        <v/>
      </c>
      <c r="CD470" s="13" t="str">
        <f aca="false">IF(CD403="","",CD463-CC463)</f>
        <v/>
      </c>
      <c r="CE470" s="13" t="str">
        <f aca="false">IF(CE403="","",CE463-CD463)</f>
        <v/>
      </c>
      <c r="CF470" s="13" t="str">
        <f aca="false">IF(CF403="","",CF463-CE463)</f>
        <v/>
      </c>
      <c r="CG470" s="13" t="str">
        <f aca="false">IF(CG403="","",CG463-CF463)</f>
        <v/>
      </c>
      <c r="CH470" s="13" t="str">
        <f aca="false">IF(CH403="","",CH463-CG463)</f>
        <v/>
      </c>
      <c r="CI470" s="13" t="str">
        <f aca="false">IF(CI403="","",CI463-CH463)</f>
        <v/>
      </c>
      <c r="CJ470" s="13" t="str">
        <f aca="false">IF(CJ403="","",CJ463-CI463)</f>
        <v/>
      </c>
      <c r="CK470" s="13" t="str">
        <f aca="false">IF(CK403="","",CK463-CJ463)</f>
        <v/>
      </c>
      <c r="CL470" s="13" t="str">
        <f aca="false">IF(CL403="","",CL463-CK463)</f>
        <v/>
      </c>
      <c r="CM470" s="13" t="str">
        <f aca="false">IF(CM403="","",CM463-CL463)</f>
        <v/>
      </c>
      <c r="CN470" s="13" t="str">
        <f aca="false">IF(CN403="","",CN463-CM463)</f>
        <v/>
      </c>
      <c r="CO470" s="13" t="str">
        <f aca="false">IF(CO403="","",CO463-CN463)</f>
        <v/>
      </c>
      <c r="CP470" s="13" t="str">
        <f aca="false">IF(CP403="","",CP463-CO463)</f>
        <v/>
      </c>
      <c r="CQ470" s="13" t="str">
        <f aca="false">IF(CQ403="","",CQ463-CP463)</f>
        <v/>
      </c>
      <c r="CR470" s="13" t="str">
        <f aca="false">IF(CR403="","",CR463-CQ463)</f>
        <v/>
      </c>
      <c r="CS470" s="13" t="str">
        <f aca="false">IF(CS403="","",CS463-CR463)</f>
        <v/>
      </c>
      <c r="CT470" s="13" t="str">
        <f aca="false">IF(CT403="","",CT463-CS463)</f>
        <v/>
      </c>
      <c r="CU470" s="13" t="str">
        <f aca="false">IF(CU403="","",CU463-CT463)</f>
        <v/>
      </c>
      <c r="CV470" s="13" t="str">
        <f aca="false">IF(CV403="","",CV463-CU463)</f>
        <v/>
      </c>
      <c r="CW470" s="13" t="str">
        <f aca="false">IF(CW403="","",CW463-CV463)</f>
        <v/>
      </c>
      <c r="CX470" s="13" t="str">
        <f aca="false">IF(CX403="","",CX463-CW463)</f>
        <v/>
      </c>
      <c r="CY470" s="13" t="str">
        <f aca="false">IF(CY403="","",CY463-CX463)</f>
        <v/>
      </c>
      <c r="CZ470" s="13" t="str">
        <f aca="false">IF(CZ403="","",CZ463-CY463)</f>
        <v/>
      </c>
      <c r="DA470" s="13" t="str">
        <f aca="false">IF(DA403="","",DA463-CZ463)</f>
        <v/>
      </c>
      <c r="DB470" s="13" t="str">
        <f aca="false">IF(DB403="","",DB463-DA463)</f>
        <v/>
      </c>
      <c r="DC470" s="13" t="str">
        <f aca="false">IF(DC403="","",DC463-DB463)</f>
        <v/>
      </c>
      <c r="DD470" s="13" t="str">
        <f aca="false">IF(DD403="","",DD463-DC463)</f>
        <v/>
      </c>
      <c r="DE470" s="13" t="str">
        <f aca="false">IF(DE403="","",DE463-DD463)</f>
        <v/>
      </c>
    </row>
    <row r="471" customFormat="false" ht="13.5" hidden="false" customHeight="true" outlineLevel="0" collapsed="false">
      <c r="A471" s="22" t="s">
        <v>270</v>
      </c>
      <c r="B471" s="13" t="n">
        <f aca="false">IF(B403="","",B403-B466-B467-B468-B469-B470)</f>
        <v>-260439.86</v>
      </c>
      <c r="C471" s="13" t="n">
        <f aca="false">IF(C403="","",C403-C466-C467-C468-C469-C470)</f>
        <v>-136750.58</v>
      </c>
      <c r="D471" s="13" t="n">
        <f aca="false">IF(D403="","",D403-D466-D467-D468-D469-D470)</f>
        <v>27404.52</v>
      </c>
      <c r="E471" s="13" t="n">
        <f aca="false">IF(E403="","",E403-E466-E467-E468-E469-E470)</f>
        <v>385182.14</v>
      </c>
      <c r="F471" s="13" t="n">
        <f aca="false">IF(F403="","",F403-F466-F467-F468-F469-F470)</f>
        <v>-118340.06</v>
      </c>
      <c r="G471" s="13" t="n">
        <f aca="false">IF(G403="","",G403-G466-G467-G468-G469-G470)</f>
        <v>-731236.79</v>
      </c>
      <c r="H471" s="13" t="n">
        <f aca="false">IF(H403="","",H403-H466-H467-H468-H469-H470)</f>
        <v>-149634.64</v>
      </c>
      <c r="I471" s="13" t="n">
        <f aca="false">IF(I403="","",I403-I466-I467-I468-I469-I470)</f>
        <v>1846672.69</v>
      </c>
      <c r="J471" s="13" t="n">
        <f aca="false">IF(J403="","",J403-J466-J467-J468-J469-J470)</f>
        <v>-288198.73</v>
      </c>
      <c r="K471" s="13" t="str">
        <f aca="false">IF(K403="","",K403-K466-K467-K468-K469-K470)</f>
        <v/>
      </c>
      <c r="L471" s="13" t="str">
        <f aca="false">IF(L403="","",L403-L466-L467-L468-L469-L470)</f>
        <v/>
      </c>
      <c r="M471" s="13" t="str">
        <f aca="false">IF(M403="","",M403-M466-M467-M468-M469-M470)</f>
        <v/>
      </c>
      <c r="N471" s="13" t="str">
        <f aca="false">IF(N403="","",N403-N466-N467-N468-N469-N470)</f>
        <v/>
      </c>
      <c r="O471" s="13" t="str">
        <f aca="false">IF(O403="","",O403-O466-O467-O468-O469-O470)</f>
        <v/>
      </c>
      <c r="P471" s="13" t="str">
        <f aca="false">IF(P403="","",P403-P466-P467-P468-P469-P470)</f>
        <v/>
      </c>
      <c r="Q471" s="13" t="str">
        <f aca="false">IF(Q403="","",Q403-Q466-Q467-Q468-Q469-Q470)</f>
        <v/>
      </c>
      <c r="R471" s="13" t="str">
        <f aca="false">IF(R403="","",R403-R466-R467-R468-R469-R470)</f>
        <v/>
      </c>
      <c r="S471" s="13" t="str">
        <f aca="false">IF(S403="","",S403-S466-S467-S468-S469-S470)</f>
        <v/>
      </c>
      <c r="T471" s="13" t="str">
        <f aca="false">IF(T403="","",T403-T466-T467-T468-T469-T470)</f>
        <v/>
      </c>
      <c r="U471" s="13" t="str">
        <f aca="false">IF(U403="","",U403-U466-U467-U468-U469-U470)</f>
        <v/>
      </c>
      <c r="V471" s="13" t="str">
        <f aca="false">IF(V403="","",V403-V466-V467-V468-V469-V470)</f>
        <v/>
      </c>
      <c r="W471" s="13" t="str">
        <f aca="false">IF(W403="","",W403-W466-W467-W468-W469-W470)</f>
        <v/>
      </c>
      <c r="X471" s="13" t="str">
        <f aca="false">IF(X403="","",X403-X466-X467-X468-X469-X470)</f>
        <v/>
      </c>
      <c r="Y471" s="13" t="str">
        <f aca="false">IF(Y403="","",Y403-Y466-Y467-Y468-Y469-Y470)</f>
        <v/>
      </c>
      <c r="Z471" s="13" t="str">
        <f aca="false">IF(Z403="","",Z403-Z466-Z467-Z468-Z469-Z470)</f>
        <v/>
      </c>
      <c r="AA471" s="13" t="str">
        <f aca="false">IF(AA403="","",AA403-AA466-AA467-AA468-AA469-AA470)</f>
        <v/>
      </c>
      <c r="AB471" s="13" t="str">
        <f aca="false">IF(AB403="","",AB403-AB466-AB467-AB468-AB469-AB470)</f>
        <v/>
      </c>
      <c r="AC471" s="13" t="str">
        <f aca="false">IF(AC403="","",AC403-AC466-AC467-AC468-AC469-AC470)</f>
        <v/>
      </c>
      <c r="AD471" s="13" t="str">
        <f aca="false">IF(AD403="","",AD403-AD466-AD467-AD468-AD469-AD470)</f>
        <v/>
      </c>
      <c r="AE471" s="13" t="str">
        <f aca="false">IF(AE403="","",AE403-AE466-AE467-AE468-AE469-AE470)</f>
        <v/>
      </c>
      <c r="AF471" s="13" t="str">
        <f aca="false">IF(AF403="","",AF403-AF466-AF467-AF468-AF469-AF470)</f>
        <v/>
      </c>
      <c r="AG471" s="13" t="str">
        <f aca="false">IF(AG403="","",AG403-AG466-AG467-AG468-AG469-AG470)</f>
        <v/>
      </c>
      <c r="AH471" s="13" t="str">
        <f aca="false">IF(AH403="","",AH403-AH466-AH467-AH468-AH469-AH470)</f>
        <v/>
      </c>
      <c r="AI471" s="13" t="str">
        <f aca="false">IF(AI403="","",AI403-AI466-AI467-AI468-AI469-AI470)</f>
        <v/>
      </c>
      <c r="AJ471" s="13" t="str">
        <f aca="false">IF(AJ403="","",AJ403-AJ466-AJ467-AJ468-AJ469-AJ470)</f>
        <v/>
      </c>
      <c r="AK471" s="13" t="str">
        <f aca="false">IF(AK403="","",AK403-AK466-AK467-AK468-AK469-AK470)</f>
        <v/>
      </c>
      <c r="AL471" s="13" t="str">
        <f aca="false">IF(AL403="","",AL403-AL466-AL467-AL468-AL469-AL470)</f>
        <v/>
      </c>
      <c r="AM471" s="13" t="str">
        <f aca="false">IF(AM403="","",AM403-AM466-AM467-AM468-AM469-AM470)</f>
        <v/>
      </c>
      <c r="AN471" s="13" t="str">
        <f aca="false">IF(AN403="","",AN403-AN466-AN467-AN468-AN469-AN470)</f>
        <v/>
      </c>
      <c r="AO471" s="13" t="str">
        <f aca="false">IF(AO403="","",AO403-AO466-AO467-AO468-AO469-AO470)</f>
        <v/>
      </c>
      <c r="AP471" s="13" t="str">
        <f aca="false">IF(AP403="","",AP403-AP466-AP467-AP468-AP469-AP470)</f>
        <v/>
      </c>
      <c r="AQ471" s="13" t="str">
        <f aca="false">IF(AQ403="","",AQ403-AQ466-AQ467-AQ468-AQ469-AQ470)</f>
        <v/>
      </c>
      <c r="AR471" s="13" t="str">
        <f aca="false">IF(AR403="","",AR403-AR466-AR467-AR468-AR469-AR470)</f>
        <v/>
      </c>
      <c r="AS471" s="13" t="str">
        <f aca="false">IF(AS403="","",AS403-AS466-AS467-AS468-AS469-AS470)</f>
        <v/>
      </c>
      <c r="AT471" s="13" t="str">
        <f aca="false">IF(AT403="","",AT403-AT466-AT467-AT468-AT469-AT470)</f>
        <v/>
      </c>
      <c r="AU471" s="13" t="str">
        <f aca="false">IF(AU403="","",AU403-AU466-AU467-AU468-AU469-AU470)</f>
        <v/>
      </c>
      <c r="AV471" s="13" t="str">
        <f aca="false">IF(AV403="","",AV403-AV466-AV467-AV468-AV469-AV470)</f>
        <v/>
      </c>
      <c r="AW471" s="13" t="str">
        <f aca="false">IF(AW403="","",AW403-AW466-AW467-AW468-AW469-AW470)</f>
        <v/>
      </c>
      <c r="AX471" s="13" t="str">
        <f aca="false">IF(AX403="","",AX403-AX466-AX467-AX468-AX469-AX470)</f>
        <v/>
      </c>
      <c r="AY471" s="13" t="str">
        <f aca="false">IF(AY403="","",AY403-AY466-AY467-AY468-AY469-AY470)</f>
        <v/>
      </c>
      <c r="AZ471" s="13" t="str">
        <f aca="false">IF(AZ403="","",AZ403-AZ466-AZ467-AZ468-AZ469-AZ470)</f>
        <v/>
      </c>
      <c r="BA471" s="13" t="str">
        <f aca="false">IF(BA403="","",BA403-BA466-BA467-BA468-BA469-BA470)</f>
        <v/>
      </c>
      <c r="BB471" s="13" t="str">
        <f aca="false">IF(BB403="","",BB403-BB466-BB467-BB468-BB469-BB470)</f>
        <v/>
      </c>
      <c r="BC471" s="13" t="str">
        <f aca="false">IF(BC403="","",BC403-BC466-BC467-BC468-BC469-BC470)</f>
        <v/>
      </c>
      <c r="BD471" s="13" t="str">
        <f aca="false">IF(BD403="","",BD403-BD466-BD467-BD468-BD469-BD470)</f>
        <v/>
      </c>
      <c r="BE471" s="13" t="str">
        <f aca="false">IF(BE403="","",BE403-BE466-BE467-BE468-BE469-BE470)</f>
        <v/>
      </c>
      <c r="BF471" s="13" t="str">
        <f aca="false">IF(BF403="","",BF403-BF466-BF467-BF468-BF469-BF470)</f>
        <v/>
      </c>
      <c r="BG471" s="13" t="str">
        <f aca="false">IF(BG403="","",BG403-BG466-BG467-BG468-BG469-BG470)</f>
        <v/>
      </c>
      <c r="BH471" s="13" t="str">
        <f aca="false">IF(BH403="","",BH403-BH466-BH467-BH468-BH469-BH470)</f>
        <v/>
      </c>
      <c r="BI471" s="13" t="str">
        <f aca="false">IF(BI403="","",BI403-BI466-BI467-BI468-BI469-BI470)</f>
        <v/>
      </c>
      <c r="BJ471" s="13" t="str">
        <f aca="false">IF(BJ403="","",BJ403-BJ466-BJ467-BJ468-BJ469-BJ470)</f>
        <v/>
      </c>
      <c r="BK471" s="13" t="str">
        <f aca="false">IF(BK403="","",BK403-BK466-BK467-BK468-BK469-BK470)</f>
        <v/>
      </c>
      <c r="BL471" s="13" t="str">
        <f aca="false">IF(BL403="","",BL403-BL466-BL467-BL468-BL469-BL470)</f>
        <v/>
      </c>
      <c r="BM471" s="13" t="str">
        <f aca="false">IF(BM403="","",BM403-BM466-BM467-BM468-BM469-BM470)</f>
        <v/>
      </c>
      <c r="BN471" s="13" t="str">
        <f aca="false">IF(BN403="","",BN403-BN466-BN467-BN468-BN469-BN470)</f>
        <v/>
      </c>
      <c r="BO471" s="13" t="str">
        <f aca="false">IF(BO403="","",BO403-BO466-BO467-BO468-BO469-BO470)</f>
        <v/>
      </c>
      <c r="BP471" s="13" t="str">
        <f aca="false">IF(BP403="","",BP403-BP466-BP467-BP468-BP469-BP470)</f>
        <v/>
      </c>
      <c r="BQ471" s="13" t="str">
        <f aca="false">IF(BQ403="","",BQ403-BQ466-BQ467-BQ468-BQ469-BQ470)</f>
        <v/>
      </c>
      <c r="BR471" s="13" t="str">
        <f aca="false">IF(BR403="","",BR403-BR466-BR467-BR468-BR469-BR470)</f>
        <v/>
      </c>
      <c r="BS471" s="13" t="str">
        <f aca="false">IF(BS403="","",BS403-BS466-BS467-BS468-BS469-BS470)</f>
        <v/>
      </c>
      <c r="BT471" s="13" t="str">
        <f aca="false">IF(BT403="","",BT403-BT466-BT467-BT468-BT469-BT470)</f>
        <v/>
      </c>
      <c r="BU471" s="13" t="str">
        <f aca="false">IF(BU403="","",BU403-BU466-BU467-BU468-BU469-BU470)</f>
        <v/>
      </c>
      <c r="BV471" s="13" t="str">
        <f aca="false">IF(BV403="","",BV403-BV466-BV467-BV468-BV469-BV470)</f>
        <v/>
      </c>
      <c r="BW471" s="13" t="str">
        <f aca="false">IF(BW403="","",BW403-BW466-BW467-BW468-BW469-BW470)</f>
        <v/>
      </c>
      <c r="BX471" s="13" t="str">
        <f aca="false">IF(BX403="","",BX403-BX466-BX467-BX468-BX469-BX470)</f>
        <v/>
      </c>
      <c r="BY471" s="13" t="str">
        <f aca="false">IF(BY403="","",BY403-BY466-BY467-BY468-BY469-BY470)</f>
        <v/>
      </c>
      <c r="BZ471" s="13" t="str">
        <f aca="false">IF(BZ403="","",BZ403-BZ466-BZ467-BZ468-BZ469-BZ470)</f>
        <v/>
      </c>
      <c r="CA471" s="13" t="str">
        <f aca="false">IF(CA403="","",CA403-CA466-CA467-CA468-CA469-CA470)</f>
        <v/>
      </c>
      <c r="CB471" s="13" t="str">
        <f aca="false">IF(CB403="","",CB403-CB466-CB467-CB468-CB469-CB470)</f>
        <v/>
      </c>
      <c r="CC471" s="13" t="str">
        <f aca="false">IF(CC403="","",CC403-CC466-CC467-CC468-CC469-CC470)</f>
        <v/>
      </c>
      <c r="CD471" s="13" t="str">
        <f aca="false">IF(CD403="","",CD403-CD466-CD467-CD468-CD469-CD470)</f>
        <v/>
      </c>
      <c r="CE471" s="13" t="str">
        <f aca="false">IF(CE403="","",CE403-CE466-CE467-CE468-CE469-CE470)</f>
        <v/>
      </c>
      <c r="CF471" s="13" t="str">
        <f aca="false">IF(CF403="","",CF403-CF466-CF467-CF468-CF469-CF470)</f>
        <v/>
      </c>
      <c r="CG471" s="13" t="str">
        <f aca="false">IF(CG403="","",CG403-CG466-CG467-CG468-CG469-CG470)</f>
        <v/>
      </c>
      <c r="CH471" s="13" t="str">
        <f aca="false">IF(CH403="","",CH403-CH466-CH467-CH468-CH469-CH470)</f>
        <v/>
      </c>
      <c r="CI471" s="13" t="str">
        <f aca="false">IF(CI403="","",CI403-CI466-CI467-CI468-CI469-CI470)</f>
        <v/>
      </c>
      <c r="CJ471" s="13" t="str">
        <f aca="false">IF(CJ403="","",CJ403-CJ466-CJ467-CJ468-CJ469-CJ470)</f>
        <v/>
      </c>
      <c r="CK471" s="13" t="str">
        <f aca="false">IF(CK403="","",CK403-CK466-CK467-CK468-CK469-CK470)</f>
        <v/>
      </c>
      <c r="CL471" s="13" t="str">
        <f aca="false">IF(CL403="","",CL403-CL466-CL467-CL468-CL469-CL470)</f>
        <v/>
      </c>
      <c r="CM471" s="13" t="str">
        <f aca="false">IF(CM403="","",CM403-CM466-CM467-CM468-CM469-CM470)</f>
        <v/>
      </c>
      <c r="CN471" s="13" t="str">
        <f aca="false">IF(CN403="","",CN403-CN466-CN467-CN468-CN469-CN470)</f>
        <v/>
      </c>
      <c r="CO471" s="13" t="str">
        <f aca="false">IF(CO403="","",CO403-CO466-CO467-CO468-CO469-CO470)</f>
        <v/>
      </c>
      <c r="CP471" s="13" t="str">
        <f aca="false">IF(CP403="","",CP403-CP466-CP467-CP468-CP469-CP470)</f>
        <v/>
      </c>
      <c r="CQ471" s="13" t="str">
        <f aca="false">IF(CQ403="","",CQ403-CQ466-CQ467-CQ468-CQ469-CQ470)</f>
        <v/>
      </c>
      <c r="CR471" s="13" t="str">
        <f aca="false">IF(CR403="","",CR403-CR466-CR467-CR468-CR469-CR470)</f>
        <v/>
      </c>
      <c r="CS471" s="13" t="str">
        <f aca="false">IF(CS403="","",CS403-CS466-CS467-CS468-CS469-CS470)</f>
        <v/>
      </c>
      <c r="CT471" s="13" t="str">
        <f aca="false">IF(CT403="","",CT403-CT466-CT467-CT468-CT469-CT470)</f>
        <v/>
      </c>
      <c r="CU471" s="13" t="str">
        <f aca="false">IF(CU403="","",CU403-CU466-CU467-CU468-CU469-CU470)</f>
        <v/>
      </c>
      <c r="CV471" s="13" t="str">
        <f aca="false">IF(CV403="","",CV403-CV466-CV467-CV468-CV469-CV470)</f>
        <v/>
      </c>
      <c r="CW471" s="13" t="str">
        <f aca="false">IF(CW403="","",CW403-CW466-CW467-CW468-CW469-CW470)</f>
        <v/>
      </c>
      <c r="CX471" s="13" t="str">
        <f aca="false">IF(CX403="","",CX403-CX466-CX467-CX468-CX469-CX470)</f>
        <v/>
      </c>
      <c r="CY471" s="13" t="str">
        <f aca="false">IF(CY403="","",CY403-CY466-CY467-CY468-CY469-CY470)</f>
        <v/>
      </c>
      <c r="CZ471" s="13" t="str">
        <f aca="false">IF(CZ403="","",CZ403-CZ466-CZ467-CZ468-CZ469-CZ470)</f>
        <v/>
      </c>
      <c r="DA471" s="13" t="str">
        <f aca="false">IF(DA403="","",DA403-DA466-DA467-DA468-DA469-DA470)</f>
        <v/>
      </c>
      <c r="DB471" s="13" t="str">
        <f aca="false">IF(DB403="","",DB403-DB466-DB467-DB468-DB469-DB470)</f>
        <v/>
      </c>
      <c r="DC471" s="13" t="str">
        <f aca="false">IF(DC403="","",DC403-DC466-DC467-DC468-DC469-DC470)</f>
        <v/>
      </c>
      <c r="DD471" s="13" t="str">
        <f aca="false">IF(DD403="","",DD403-DD466-DD467-DD468-DD469-DD470)</f>
        <v/>
      </c>
      <c r="DE471" s="13" t="str">
        <f aca="false">IF(DE403="","",DE403-DE466-DE467-DE468-DE469-DE470)</f>
        <v/>
      </c>
    </row>
    <row r="472" customFormat="false" ht="13.5" hidden="false" customHeight="true" outlineLevel="0" collapsed="false">
      <c r="A472" s="67" t="s">
        <v>259</v>
      </c>
      <c r="B472" s="68" t="n">
        <f aca="false">IF(B403="","",B403)</f>
        <v>378187</v>
      </c>
      <c r="C472" s="68" t="n">
        <f aca="false">IF(C403="","",C403)</f>
        <v>110882</v>
      </c>
      <c r="D472" s="68" t="n">
        <f aca="false">IF(D403="","",D403)</f>
        <v>171148</v>
      </c>
      <c r="E472" s="68" t="n">
        <f aca="false">IF(E403="","",E403)</f>
        <v>368691</v>
      </c>
      <c r="F472" s="68" t="n">
        <f aca="false">IF(F403="","",F403)</f>
        <v>343251</v>
      </c>
      <c r="G472" s="68" t="n">
        <f aca="false">IF(G403="","",G403)</f>
        <v>665368</v>
      </c>
      <c r="H472" s="68" t="n">
        <f aca="false">IF(H403="","",H403)</f>
        <v>122223</v>
      </c>
      <c r="I472" s="68" t="n">
        <f aca="false">IF(I403="","",I403)</f>
        <v>658190</v>
      </c>
      <c r="J472" s="68" t="n">
        <f aca="false">IF(J403="","",J403)</f>
        <v>298719</v>
      </c>
      <c r="K472" s="68" t="str">
        <f aca="false">IF(K403="","",K403)</f>
        <v/>
      </c>
      <c r="L472" s="68" t="str">
        <f aca="false">IF(L403="","",L403)</f>
        <v/>
      </c>
      <c r="M472" s="68" t="str">
        <f aca="false">IF(M403="","",M403)</f>
        <v/>
      </c>
      <c r="N472" s="68" t="str">
        <f aca="false">IF(N403="","",N403)</f>
        <v/>
      </c>
      <c r="O472" s="68" t="str">
        <f aca="false">IF(O403="","",O403)</f>
        <v/>
      </c>
      <c r="P472" s="68" t="str">
        <f aca="false">IF(P403="","",P403)</f>
        <v/>
      </c>
      <c r="Q472" s="68" t="str">
        <f aca="false">IF(Q403="","",Q403)</f>
        <v/>
      </c>
      <c r="R472" s="68" t="str">
        <f aca="false">IF(R403="","",R403)</f>
        <v/>
      </c>
      <c r="S472" s="68" t="str">
        <f aca="false">IF(S403="","",S403)</f>
        <v/>
      </c>
      <c r="T472" s="68" t="str">
        <f aca="false">IF(T403="","",T403)</f>
        <v/>
      </c>
      <c r="U472" s="68" t="str">
        <f aca="false">IF(U403="","",U403)</f>
        <v/>
      </c>
      <c r="V472" s="68" t="str">
        <f aca="false">IF(V403="","",V403)</f>
        <v/>
      </c>
      <c r="W472" s="68" t="str">
        <f aca="false">IF(W403="","",W403)</f>
        <v/>
      </c>
      <c r="X472" s="68" t="str">
        <f aca="false">IF(X403="","",X403)</f>
        <v/>
      </c>
      <c r="Y472" s="68" t="str">
        <f aca="false">IF(Y403="","",Y403)</f>
        <v/>
      </c>
      <c r="Z472" s="68" t="str">
        <f aca="false">IF(Z403="","",Z403)</f>
        <v/>
      </c>
      <c r="AA472" s="68" t="str">
        <f aca="false">IF(AA403="","",AA403)</f>
        <v/>
      </c>
      <c r="AB472" s="68" t="str">
        <f aca="false">IF(AB403="","",AB403)</f>
        <v/>
      </c>
      <c r="AC472" s="68" t="str">
        <f aca="false">IF(AC403="","",AC403)</f>
        <v/>
      </c>
      <c r="AD472" s="68" t="str">
        <f aca="false">IF(AD403="","",AD403)</f>
        <v/>
      </c>
      <c r="AE472" s="68" t="str">
        <f aca="false">IF(AE403="","",AE403)</f>
        <v/>
      </c>
      <c r="AF472" s="68" t="str">
        <f aca="false">IF(AF403="","",AF403)</f>
        <v/>
      </c>
      <c r="AG472" s="68" t="str">
        <f aca="false">IF(AG403="","",AG403)</f>
        <v/>
      </c>
      <c r="AH472" s="68" t="str">
        <f aca="false">IF(AH403="","",AH403)</f>
        <v/>
      </c>
      <c r="AI472" s="68" t="str">
        <f aca="false">IF(AI403="","",AI403)</f>
        <v/>
      </c>
      <c r="AJ472" s="68" t="str">
        <f aca="false">IF(AJ403="","",AJ403)</f>
        <v/>
      </c>
      <c r="AK472" s="68" t="str">
        <f aca="false">IF(AK403="","",AK403)</f>
        <v/>
      </c>
      <c r="AL472" s="68" t="str">
        <f aca="false">IF(AL403="","",AL403)</f>
        <v/>
      </c>
      <c r="AM472" s="68" t="str">
        <f aca="false">IF(AM403="","",AM403)</f>
        <v/>
      </c>
      <c r="AN472" s="68" t="str">
        <f aca="false">IF(AN403="","",AN403)</f>
        <v/>
      </c>
      <c r="AO472" s="68" t="str">
        <f aca="false">IF(AO403="","",AO403)</f>
        <v/>
      </c>
      <c r="AP472" s="68" t="str">
        <f aca="false">IF(AP403="","",AP403)</f>
        <v/>
      </c>
      <c r="AQ472" s="68" t="str">
        <f aca="false">IF(AQ403="","",AQ403)</f>
        <v/>
      </c>
      <c r="AR472" s="68" t="str">
        <f aca="false">IF(AR403="","",AR403)</f>
        <v/>
      </c>
      <c r="AS472" s="68" t="str">
        <f aca="false">IF(AS403="","",AS403)</f>
        <v/>
      </c>
      <c r="AT472" s="68" t="str">
        <f aca="false">IF(AT403="","",AT403)</f>
        <v/>
      </c>
      <c r="AU472" s="68" t="str">
        <f aca="false">IF(AU403="","",AU403)</f>
        <v/>
      </c>
      <c r="AV472" s="68" t="str">
        <f aca="false">IF(AV403="","",AV403)</f>
        <v/>
      </c>
      <c r="AW472" s="68" t="str">
        <f aca="false">IF(AW403="","",AW403)</f>
        <v/>
      </c>
      <c r="AX472" s="68" t="str">
        <f aca="false">IF(AX403="","",AX403)</f>
        <v/>
      </c>
      <c r="AY472" s="68" t="str">
        <f aca="false">IF(AY403="","",AY403)</f>
        <v/>
      </c>
      <c r="AZ472" s="68" t="str">
        <f aca="false">IF(AZ403="","",AZ403)</f>
        <v/>
      </c>
      <c r="BA472" s="68" t="str">
        <f aca="false">IF(BA403="","",BA403)</f>
        <v/>
      </c>
      <c r="BB472" s="68" t="str">
        <f aca="false">IF(BB403="","",BB403)</f>
        <v/>
      </c>
      <c r="BC472" s="68" t="str">
        <f aca="false">IF(BC403="","",BC403)</f>
        <v/>
      </c>
      <c r="BD472" s="68" t="str">
        <f aca="false">IF(BD403="","",BD403)</f>
        <v/>
      </c>
      <c r="BE472" s="68" t="str">
        <f aca="false">IF(BE403="","",BE403)</f>
        <v/>
      </c>
      <c r="BF472" s="68" t="str">
        <f aca="false">IF(BF403="","",BF403)</f>
        <v/>
      </c>
      <c r="BG472" s="68" t="str">
        <f aca="false">IF(BG403="","",BG403)</f>
        <v/>
      </c>
      <c r="BH472" s="68" t="str">
        <f aca="false">IF(BH403="","",BH403)</f>
        <v/>
      </c>
      <c r="BI472" s="68" t="str">
        <f aca="false">IF(BI403="","",BI403)</f>
        <v/>
      </c>
      <c r="BJ472" s="68" t="str">
        <f aca="false">IF(BJ403="","",BJ403)</f>
        <v/>
      </c>
      <c r="BK472" s="68" t="str">
        <f aca="false">IF(BK403="","",BK403)</f>
        <v/>
      </c>
      <c r="BL472" s="68" t="str">
        <f aca="false">IF(BL403="","",BL403)</f>
        <v/>
      </c>
      <c r="BM472" s="68" t="str">
        <f aca="false">IF(BM403="","",BM403)</f>
        <v/>
      </c>
      <c r="BN472" s="68" t="str">
        <f aca="false">IF(BN403="","",BN403)</f>
        <v/>
      </c>
      <c r="BO472" s="68" t="str">
        <f aca="false">IF(BO403="","",BO403)</f>
        <v/>
      </c>
      <c r="BP472" s="68" t="str">
        <f aca="false">IF(BP403="","",BP403)</f>
        <v/>
      </c>
      <c r="BQ472" s="68" t="str">
        <f aca="false">IF(BQ403="","",BQ403)</f>
        <v/>
      </c>
      <c r="BR472" s="68" t="str">
        <f aca="false">IF(BR403="","",BR403)</f>
        <v/>
      </c>
      <c r="BS472" s="68" t="str">
        <f aca="false">IF(BS403="","",BS403)</f>
        <v/>
      </c>
      <c r="BT472" s="68" t="str">
        <f aca="false">IF(BT403="","",BT403)</f>
        <v/>
      </c>
      <c r="BU472" s="68" t="str">
        <f aca="false">IF(BU403="","",BU403)</f>
        <v/>
      </c>
      <c r="BV472" s="68" t="str">
        <f aca="false">IF(BV403="","",BV403)</f>
        <v/>
      </c>
      <c r="BW472" s="68" t="str">
        <f aca="false">IF(BW403="","",BW403)</f>
        <v/>
      </c>
      <c r="BX472" s="68" t="str">
        <f aca="false">IF(BX403="","",BX403)</f>
        <v/>
      </c>
      <c r="BY472" s="68" t="str">
        <f aca="false">IF(BY403="","",BY403)</f>
        <v/>
      </c>
      <c r="BZ472" s="68" t="str">
        <f aca="false">IF(BZ403="","",BZ403)</f>
        <v/>
      </c>
      <c r="CA472" s="68" t="str">
        <f aca="false">IF(CA403="","",CA403)</f>
        <v/>
      </c>
      <c r="CB472" s="68" t="str">
        <f aca="false">IF(CB403="","",CB403)</f>
        <v/>
      </c>
      <c r="CC472" s="68" t="str">
        <f aca="false">IF(CC403="","",CC403)</f>
        <v/>
      </c>
      <c r="CD472" s="68" t="str">
        <f aca="false">IF(CD403="","",CD403)</f>
        <v/>
      </c>
      <c r="CE472" s="68" t="str">
        <f aca="false">IF(CE403="","",CE403)</f>
        <v/>
      </c>
      <c r="CF472" s="68" t="str">
        <f aca="false">IF(CF403="","",CF403)</f>
        <v/>
      </c>
      <c r="CG472" s="68" t="str">
        <f aca="false">IF(CG403="","",CG403)</f>
        <v/>
      </c>
      <c r="CH472" s="68" t="str">
        <f aca="false">IF(CH403="","",CH403)</f>
        <v/>
      </c>
      <c r="CI472" s="68" t="str">
        <f aca="false">IF(CI403="","",CI403)</f>
        <v/>
      </c>
      <c r="CJ472" s="68" t="str">
        <f aca="false">IF(CJ403="","",CJ403)</f>
        <v/>
      </c>
      <c r="CK472" s="68" t="str">
        <f aca="false">IF(CK403="","",CK403)</f>
        <v/>
      </c>
      <c r="CL472" s="68" t="str">
        <f aca="false">IF(CL403="","",CL403)</f>
        <v/>
      </c>
      <c r="CM472" s="68" t="str">
        <f aca="false">IF(CM403="","",CM403)</f>
        <v/>
      </c>
      <c r="CN472" s="68" t="str">
        <f aca="false">IF(CN403="","",CN403)</f>
        <v/>
      </c>
      <c r="CO472" s="68" t="str">
        <f aca="false">IF(CO403="","",CO403)</f>
        <v/>
      </c>
      <c r="CP472" s="68" t="str">
        <f aca="false">IF(CP403="","",CP403)</f>
        <v/>
      </c>
      <c r="CQ472" s="68" t="str">
        <f aca="false">IF(CQ403="","",CQ403)</f>
        <v/>
      </c>
      <c r="CR472" s="68" t="str">
        <f aca="false">IF(CR403="","",CR403)</f>
        <v/>
      </c>
      <c r="CS472" s="68" t="str">
        <f aca="false">IF(CS403="","",CS403)</f>
        <v/>
      </c>
      <c r="CT472" s="68" t="str">
        <f aca="false">IF(CT403="","",CT403)</f>
        <v/>
      </c>
      <c r="CU472" s="68" t="str">
        <f aca="false">IF(CU403="","",CU403)</f>
        <v/>
      </c>
      <c r="CV472" s="68" t="str">
        <f aca="false">IF(CV403="","",CV403)</f>
        <v/>
      </c>
      <c r="CW472" s="68" t="str">
        <f aca="false">IF(CW403="","",CW403)</f>
        <v/>
      </c>
      <c r="CX472" s="68" t="str">
        <f aca="false">IF(CX403="","",CX403)</f>
        <v/>
      </c>
      <c r="CY472" s="68" t="str">
        <f aca="false">IF(CY403="","",CY403)</f>
        <v/>
      </c>
      <c r="CZ472" s="68" t="str">
        <f aca="false">IF(CZ403="","",CZ403)</f>
        <v/>
      </c>
      <c r="DA472" s="68" t="str">
        <f aca="false">IF(DA403="","",DA403)</f>
        <v/>
      </c>
      <c r="DB472" s="68" t="str">
        <f aca="false">IF(DB403="","",DB403)</f>
        <v/>
      </c>
      <c r="DC472" s="68" t="str">
        <f aca="false">IF(DC403="","",DC403)</f>
        <v/>
      </c>
      <c r="DD472" s="68" t="str">
        <f aca="false">IF(DD403="","",DD403)</f>
        <v/>
      </c>
      <c r="DE472" s="68" t="str">
        <f aca="false">IF(DE403="","",DE403)</f>
        <v/>
      </c>
    </row>
    <row r="474" customFormat="false" ht="13.5" hidden="false" customHeight="true" outlineLevel="0" collapsed="false">
      <c r="A474" s="75" t="s">
        <v>208</v>
      </c>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c r="AJ474" s="13"/>
      <c r="AK474" s="13"/>
      <c r="AL474" s="13"/>
      <c r="AM474" s="13"/>
      <c r="AN474" s="13"/>
      <c r="AO474" s="13"/>
      <c r="AP474" s="13"/>
      <c r="AQ474" s="13"/>
      <c r="AR474" s="13"/>
      <c r="AS474" s="13"/>
      <c r="AT474" s="13"/>
      <c r="AU474" s="13"/>
      <c r="AV474" s="13"/>
      <c r="AW474" s="13"/>
      <c r="AX474" s="13"/>
      <c r="AY474" s="13"/>
      <c r="AZ474" s="13"/>
      <c r="BA474" s="13"/>
      <c r="BB474" s="13"/>
      <c r="BC474" s="13"/>
      <c r="BD474" s="13"/>
      <c r="BE474" s="13"/>
      <c r="BF474" s="13"/>
      <c r="BG474" s="13"/>
      <c r="BH474" s="13"/>
      <c r="BI474" s="13"/>
      <c r="BJ474" s="13"/>
      <c r="BK474" s="13"/>
      <c r="BL474" s="13"/>
      <c r="BM474" s="13"/>
      <c r="BN474" s="13"/>
      <c r="BO474" s="13"/>
      <c r="BP474" s="13"/>
      <c r="BQ474" s="13"/>
      <c r="BR474" s="13"/>
      <c r="BS474" s="13"/>
      <c r="BT474" s="13"/>
      <c r="BU474" s="13"/>
      <c r="BV474" s="13"/>
      <c r="BW474" s="13"/>
      <c r="BX474" s="13"/>
      <c r="BY474" s="13"/>
      <c r="BZ474" s="13"/>
      <c r="CA474" s="13"/>
      <c r="CB474" s="13"/>
      <c r="CC474" s="13"/>
      <c r="CD474" s="13"/>
      <c r="CE474" s="13"/>
      <c r="CF474" s="13"/>
      <c r="CG474" s="13"/>
      <c r="CH474" s="13"/>
      <c r="CI474" s="13"/>
      <c r="CJ474" s="13"/>
      <c r="CK474" s="13"/>
      <c r="CL474" s="13"/>
      <c r="CM474" s="13"/>
      <c r="CN474" s="13"/>
      <c r="CO474" s="13"/>
      <c r="CP474" s="13"/>
      <c r="CQ474" s="13"/>
      <c r="CR474" s="13"/>
      <c r="CS474" s="13"/>
      <c r="CT474" s="13"/>
      <c r="CU474" s="13"/>
      <c r="CV474" s="13"/>
      <c r="CW474" s="13"/>
      <c r="CX474" s="13"/>
      <c r="CY474" s="13"/>
      <c r="CZ474" s="13"/>
      <c r="DA474" s="13"/>
      <c r="DB474" s="13"/>
      <c r="DC474" s="13"/>
      <c r="DD474" s="13"/>
      <c r="DE474" s="13"/>
    </row>
    <row r="475" customFormat="false" ht="13.5" hidden="false" customHeight="true" outlineLevel="0" collapsed="false">
      <c r="A475" s="70" t="s">
        <v>271</v>
      </c>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c r="AJ475" s="13"/>
      <c r="AK475" s="13"/>
      <c r="AL475" s="13"/>
      <c r="AM475" s="13"/>
      <c r="AN475" s="13"/>
      <c r="AO475" s="13"/>
      <c r="AP475" s="13"/>
      <c r="AQ475" s="13"/>
      <c r="AR475" s="13"/>
      <c r="AS475" s="13"/>
      <c r="AT475" s="13"/>
      <c r="AU475" s="13"/>
      <c r="AV475" s="13"/>
      <c r="AW475" s="13"/>
      <c r="AX475" s="13"/>
      <c r="AY475" s="13"/>
      <c r="AZ475" s="13"/>
      <c r="BA475" s="13"/>
      <c r="BB475" s="13"/>
      <c r="BC475" s="13"/>
      <c r="BD475" s="13"/>
      <c r="BE475" s="13"/>
      <c r="BF475" s="13"/>
      <c r="BG475" s="13"/>
      <c r="BH475" s="13"/>
      <c r="BI475" s="13"/>
      <c r="BJ475" s="13"/>
      <c r="BK475" s="13"/>
      <c r="BL475" s="13"/>
      <c r="BM475" s="13"/>
      <c r="BN475" s="13"/>
      <c r="BO475" s="13"/>
      <c r="BP475" s="13"/>
      <c r="BQ475" s="13"/>
      <c r="BR475" s="13"/>
      <c r="BS475" s="13"/>
      <c r="BT475" s="13"/>
      <c r="BU475" s="13"/>
      <c r="BV475" s="13"/>
      <c r="BW475" s="13"/>
      <c r="BX475" s="13"/>
      <c r="BY475" s="13"/>
      <c r="BZ475" s="13"/>
      <c r="CA475" s="13"/>
      <c r="CB475" s="13"/>
      <c r="CC475" s="13"/>
      <c r="CD475" s="13"/>
      <c r="CE475" s="13"/>
      <c r="CF475" s="13"/>
      <c r="CG475" s="13"/>
      <c r="CH475" s="13"/>
      <c r="CI475" s="13"/>
      <c r="CJ475" s="13"/>
      <c r="CK475" s="13"/>
      <c r="CL475" s="13"/>
      <c r="CM475" s="13"/>
      <c r="CN475" s="13"/>
      <c r="CO475" s="13"/>
      <c r="CP475" s="13"/>
      <c r="CQ475" s="13"/>
      <c r="CR475" s="13"/>
      <c r="CS475" s="13"/>
      <c r="CT475" s="13"/>
      <c r="CU475" s="13"/>
      <c r="CV475" s="13"/>
      <c r="CW475" s="13"/>
      <c r="CX475" s="13"/>
      <c r="CY475" s="13"/>
      <c r="CZ475" s="13"/>
      <c r="DA475" s="13"/>
      <c r="DB475" s="13"/>
      <c r="DC475" s="13"/>
      <c r="DD475" s="13"/>
      <c r="DE475" s="13"/>
    </row>
    <row r="476" customFormat="false" ht="13.5" hidden="false" customHeight="true" outlineLevel="0" collapsed="false">
      <c r="A476" s="70" t="s">
        <v>272</v>
      </c>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c r="AJ476" s="13"/>
      <c r="AK476" s="13"/>
      <c r="AL476" s="13"/>
      <c r="AM476" s="13"/>
      <c r="AN476" s="13"/>
      <c r="AO476" s="13"/>
      <c r="AP476" s="13"/>
      <c r="AQ476" s="13"/>
      <c r="AR476" s="13"/>
      <c r="AS476" s="13"/>
      <c r="AT476" s="13"/>
      <c r="AU476" s="13"/>
      <c r="AV476" s="13"/>
      <c r="AW476" s="13"/>
      <c r="AX476" s="13"/>
      <c r="AY476" s="13"/>
      <c r="AZ476" s="13"/>
      <c r="BA476" s="13"/>
      <c r="BB476" s="13"/>
      <c r="BC476" s="13"/>
      <c r="BD476" s="13"/>
      <c r="BE476" s="13"/>
      <c r="BF476" s="13"/>
      <c r="BG476" s="13"/>
      <c r="BH476" s="13"/>
      <c r="BI476" s="13"/>
      <c r="BJ476" s="13"/>
      <c r="BK476" s="13"/>
      <c r="BL476" s="13"/>
      <c r="BM476" s="13"/>
      <c r="BN476" s="13"/>
      <c r="BO476" s="13"/>
      <c r="BP476" s="13"/>
      <c r="BQ476" s="13"/>
      <c r="BR476" s="13"/>
      <c r="BS476" s="13"/>
      <c r="BT476" s="13"/>
      <c r="BU476" s="13"/>
      <c r="BV476" s="13"/>
      <c r="BW476" s="13"/>
      <c r="BX476" s="13"/>
      <c r="BY476" s="13"/>
      <c r="BZ476" s="13"/>
      <c r="CA476" s="13"/>
      <c r="CB476" s="13"/>
      <c r="CC476" s="13"/>
      <c r="CD476" s="13"/>
      <c r="CE476" s="13"/>
      <c r="CF476" s="13"/>
      <c r="CG476" s="13"/>
      <c r="CH476" s="13"/>
      <c r="CI476" s="13"/>
      <c r="CJ476" s="13"/>
      <c r="CK476" s="13"/>
      <c r="CL476" s="13"/>
      <c r="CM476" s="13"/>
      <c r="CN476" s="13"/>
      <c r="CO476" s="13"/>
      <c r="CP476" s="13"/>
      <c r="CQ476" s="13"/>
      <c r="CR476" s="13"/>
      <c r="CS476" s="13"/>
      <c r="CT476" s="13"/>
      <c r="CU476" s="13"/>
      <c r="CV476" s="13"/>
      <c r="CW476" s="13"/>
      <c r="CX476" s="13"/>
      <c r="CY476" s="13"/>
      <c r="CZ476" s="13"/>
      <c r="DA476" s="13"/>
      <c r="DB476" s="13"/>
      <c r="DC476" s="13"/>
      <c r="DD476" s="13"/>
      <c r="DE476" s="13"/>
    </row>
    <row r="477" customFormat="false" ht="13.5" hidden="false" customHeight="true" outlineLevel="0" collapsed="false">
      <c r="A477" s="70" t="s">
        <v>273</v>
      </c>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c r="AJ477" s="13"/>
      <c r="AK477" s="13"/>
      <c r="AL477" s="13"/>
      <c r="AM477" s="13"/>
      <c r="AN477" s="13"/>
      <c r="AO477" s="13"/>
      <c r="AP477" s="13"/>
      <c r="AQ477" s="13"/>
      <c r="AR477" s="13"/>
      <c r="AS477" s="13"/>
      <c r="AT477" s="13"/>
      <c r="AU477" s="13"/>
      <c r="AV477" s="13"/>
      <c r="AW477" s="13"/>
      <c r="AX477" s="13"/>
      <c r="AY477" s="13"/>
      <c r="AZ477" s="13"/>
      <c r="BA477" s="13"/>
      <c r="BB477" s="13"/>
      <c r="BC477" s="13"/>
      <c r="BD477" s="13"/>
      <c r="BE477" s="13"/>
      <c r="BF477" s="13"/>
      <c r="BG477" s="13"/>
      <c r="BH477" s="13"/>
      <c r="BI477" s="13"/>
      <c r="BJ477" s="13"/>
      <c r="BK477" s="13"/>
      <c r="BL477" s="13"/>
      <c r="BM477" s="13"/>
      <c r="BN477" s="13"/>
      <c r="BO477" s="13"/>
      <c r="BP477" s="13"/>
      <c r="BQ477" s="13"/>
      <c r="BR477" s="13"/>
      <c r="BS477" s="13"/>
      <c r="BT477" s="13"/>
      <c r="BU477" s="13"/>
      <c r="BV477" s="13"/>
      <c r="BW477" s="13"/>
      <c r="BX477" s="13"/>
      <c r="BY477" s="13"/>
      <c r="BZ477" s="13"/>
      <c r="CA477" s="13"/>
      <c r="CB477" s="13"/>
      <c r="CC477" s="13"/>
      <c r="CD477" s="13"/>
      <c r="CE477" s="13"/>
      <c r="CF477" s="13"/>
      <c r="CG477" s="13"/>
      <c r="CH477" s="13"/>
      <c r="CI477" s="13"/>
      <c r="CJ477" s="13"/>
      <c r="CK477" s="13"/>
      <c r="CL477" s="13"/>
      <c r="CM477" s="13"/>
      <c r="CN477" s="13"/>
      <c r="CO477" s="13"/>
      <c r="CP477" s="13"/>
      <c r="CQ477" s="13"/>
      <c r="CR477" s="13"/>
      <c r="CS477" s="13"/>
      <c r="CT477" s="13"/>
      <c r="CU477" s="13"/>
      <c r="CV477" s="13"/>
      <c r="CW477" s="13"/>
      <c r="CX477" s="13"/>
      <c r="CY477" s="13"/>
      <c r="CZ477" s="13"/>
      <c r="DA477" s="13"/>
      <c r="DB477" s="13"/>
      <c r="DC477" s="13"/>
      <c r="DD477" s="13"/>
      <c r="DE477" s="13"/>
    </row>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274</v>
      </c>
      <c r="B1" s="76"/>
      <c r="C1" s="76"/>
      <c r="D1" s="76"/>
      <c r="E1" s="76"/>
      <c r="F1" s="3"/>
      <c r="G1" s="3"/>
      <c r="H1" s="3"/>
      <c r="I1" s="3"/>
    </row>
    <row r="2" customFormat="false" ht="15" hidden="false" customHeight="true" outlineLevel="0" collapsed="false">
      <c r="A2" s="15" t="s">
        <v>275</v>
      </c>
      <c r="B2" s="49" t="s">
        <v>276</v>
      </c>
      <c r="C2" s="49" t="s">
        <v>277</v>
      </c>
      <c r="D2" s="49" t="s">
        <v>278</v>
      </c>
      <c r="E2" s="49" t="s">
        <v>279</v>
      </c>
      <c r="F2" s="49" t="s">
        <v>280</v>
      </c>
      <c r="G2" s="49" t="s">
        <v>281</v>
      </c>
      <c r="H2" s="49" t="s">
        <v>282</v>
      </c>
      <c r="I2" s="49" t="s">
        <v>283</v>
      </c>
      <c r="J2" s="49" t="s">
        <v>284</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285</v>
      </c>
      <c r="B4" s="13" t="n">
        <f aca="false">SUM(Model!B10:M10)</f>
        <v>3623909.8675</v>
      </c>
      <c r="C4" s="13" t="n">
        <f aca="false">SUM(Model!N10:Y10)</f>
        <v>7402425.19724927</v>
      </c>
      <c r="D4" s="13" t="n">
        <f aca="false">SUM(Model!Z10:AK10)</f>
        <v>7991209.41112006</v>
      </c>
      <c r="E4" s="13" t="n">
        <f aca="false">SUM(Model!AL10:AW10)</f>
        <v>3993444.95531651</v>
      </c>
      <c r="F4" s="13" t="n">
        <f aca="false">SUM(Model!AX10:BI10)</f>
        <v>1133255.11019527</v>
      </c>
      <c r="G4" s="13" t="n">
        <f aca="false">SUM(Model!BJ10:BU10)</f>
        <v>0</v>
      </c>
      <c r="H4" s="13" t="n">
        <f aca="false">SUM(Model!BV10:CG10)</f>
        <v>0</v>
      </c>
      <c r="I4" s="13" t="n">
        <f aca="false">SUM(Model!CH10:CS10)</f>
        <v>0</v>
      </c>
      <c r="J4" s="13" t="n">
        <f aca="false">SUM(Model!CT10:DE10)</f>
        <v>0</v>
      </c>
    </row>
    <row r="5" customFormat="false" ht="15" hidden="false" customHeight="true" outlineLevel="0" collapsed="false">
      <c r="A5" s="22" t="s">
        <v>286</v>
      </c>
      <c r="B5" s="13" t="n">
        <f aca="false">SUM(Model!B11:M11)</f>
        <v>2694237.0225</v>
      </c>
      <c r="C5" s="13" t="n">
        <f aca="false">SUM(Model!N11:Y11)</f>
        <v>5616760.23036432</v>
      </c>
      <c r="D5" s="13" t="n">
        <f aca="false">SUM(Model!Z11:AK11)</f>
        <v>6055972.85571659</v>
      </c>
      <c r="E5" s="13" t="n">
        <f aca="false">SUM(Model!AL11:AW11)</f>
        <v>3002263.94275443</v>
      </c>
      <c r="F5" s="13" t="n">
        <f aca="false">SUM(Model!AX11:BI11)</f>
        <v>849937.214414347</v>
      </c>
      <c r="G5" s="13" t="n">
        <f aca="false">SUM(Model!BJ11:BU11)</f>
        <v>0</v>
      </c>
      <c r="H5" s="13" t="n">
        <f aca="false">SUM(Model!BV11:CG11)</f>
        <v>0</v>
      </c>
      <c r="I5" s="13" t="n">
        <f aca="false">SUM(Model!CH11:CS11)</f>
        <v>0</v>
      </c>
      <c r="J5" s="13" t="n">
        <f aca="false">SUM(Model!CT11:DE11)</f>
        <v>0</v>
      </c>
    </row>
    <row r="6" customFormat="false" ht="15" hidden="false" customHeight="true" outlineLevel="0" collapsed="false">
      <c r="A6" s="22" t="s">
        <v>287</v>
      </c>
      <c r="B6" s="13" t="n">
        <f aca="false">SUM(Model!B57:M57)</f>
        <v>49952696.9909994</v>
      </c>
      <c r="C6" s="13" t="n">
        <f aca="false">SUM(Model!N57:Y57)</f>
        <v>94093053.0377328</v>
      </c>
      <c r="D6" s="13" t="n">
        <f aca="false">SUM(Model!Z57:AK57)</f>
        <v>119025860.207576</v>
      </c>
      <c r="E6" s="13" t="n">
        <f aca="false">SUM(Model!AL57:AW57)</f>
        <v>41431715.5866268</v>
      </c>
      <c r="F6" s="13" t="n">
        <f aca="false">SUM(Model!AX57:BI57)</f>
        <v>11275557.5955424</v>
      </c>
      <c r="G6" s="13" t="n">
        <f aca="false">SUM(Model!BJ57:BU57)</f>
        <v>0</v>
      </c>
      <c r="H6" s="13" t="n">
        <f aca="false">SUM(Model!BV57:CG57)</f>
        <v>0</v>
      </c>
      <c r="I6" s="13" t="n">
        <f aca="false">SUM(Model!CH57:CS57)</f>
        <v>0</v>
      </c>
      <c r="J6" s="13" t="n">
        <f aca="false">SUM(Model!CT57:DE57)</f>
        <v>0</v>
      </c>
    </row>
    <row r="7" customFormat="false" ht="15" hidden="false" customHeight="true" outlineLevel="0" collapsed="false">
      <c r="A7" s="29" t="s">
        <v>52</v>
      </c>
      <c r="B7" s="30" t="n">
        <f aca="false">SUM(Model!B58:M58)</f>
        <v>56270843.8809994</v>
      </c>
      <c r="C7" s="30" t="n">
        <f aca="false">SUM(Model!N58:Y58)</f>
        <v>107112238.465346</v>
      </c>
      <c r="D7" s="30" t="n">
        <f aca="false">SUM(Model!Z58:AK58)</f>
        <v>133073042.474413</v>
      </c>
      <c r="E7" s="30" t="n">
        <f aca="false">SUM(Model!AL58:AW58)</f>
        <v>48427424.4846978</v>
      </c>
      <c r="F7" s="30" t="n">
        <f aca="false">SUM(Model!AX58:BI58)</f>
        <v>13258749.920152</v>
      </c>
      <c r="G7" s="30" t="n">
        <f aca="false">SUM(Model!BJ58:BU58)</f>
        <v>0</v>
      </c>
      <c r="H7" s="30" t="n">
        <f aca="false">SUM(Model!BV58:CG58)</f>
        <v>0</v>
      </c>
      <c r="I7" s="30" t="n">
        <f aca="false">SUM(Model!CH58:CS58)</f>
        <v>0</v>
      </c>
      <c r="J7" s="30" t="n">
        <f aca="false">SUM(Model!CT58:DE58)</f>
        <v>0</v>
      </c>
    </row>
    <row r="8" customFormat="false" ht="15" hidden="false" customHeight="true" outlineLevel="0" collapsed="false">
      <c r="A8" s="22" t="s">
        <v>53</v>
      </c>
      <c r="B8" s="13" t="n">
        <f aca="false">SUM(Model!B104:M104)</f>
        <v>-49794860.6109994</v>
      </c>
      <c r="C8" s="13" t="n">
        <f aca="false">SUM(Model!N104:Y104)</f>
        <v>-94600524.8677328</v>
      </c>
      <c r="D8" s="13" t="n">
        <f aca="false">SUM(Model!Z104:AK104)</f>
        <v>-119020081.417576</v>
      </c>
      <c r="E8" s="13" t="n">
        <f aca="false">SUM(Model!AL104:AW104)</f>
        <v>-41431001.2066268</v>
      </c>
      <c r="F8" s="13" t="n">
        <f aca="false">SUM(Model!AX104:BI104)</f>
        <v>-11275557.5955424</v>
      </c>
      <c r="G8" s="13" t="n">
        <f aca="false">SUM(Model!BJ104:BU104)</f>
        <v>0</v>
      </c>
      <c r="H8" s="13" t="n">
        <f aca="false">SUM(Model!BV104:CG104)</f>
        <v>0</v>
      </c>
      <c r="I8" s="13" t="n">
        <f aca="false">SUM(Model!CH104:CS104)</f>
        <v>0</v>
      </c>
      <c r="J8" s="13" t="n">
        <f aca="false">SUM(Model!CT104:DE104)</f>
        <v>0</v>
      </c>
    </row>
    <row r="9" customFormat="false" ht="15" hidden="false" customHeight="true" outlineLevel="0" collapsed="false">
      <c r="A9" s="22" t="s">
        <v>288</v>
      </c>
      <c r="B9" s="13" t="n">
        <f aca="false">SUM(Model!B150:M150)</f>
        <v>1557253.76231527</v>
      </c>
      <c r="C9" s="13" t="n">
        <f aca="false">SUM(Model!N150:Y150)</f>
        <v>1748091.53337197</v>
      </c>
      <c r="D9" s="13" t="n">
        <f aca="false">SUM(Model!Z150:AK150)</f>
        <v>611152.197044335</v>
      </c>
      <c r="E9" s="13" t="n">
        <f aca="false">SUM(Model!AL150:AW150)</f>
        <v>0</v>
      </c>
      <c r="F9" s="13" t="n">
        <f aca="false">SUM(Model!AX150:BI150)</f>
        <v>0</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289</v>
      </c>
      <c r="B10" s="13" t="n">
        <f aca="false">SUM(Model!B196:M196)</f>
        <v>-376823.155309729</v>
      </c>
      <c r="C10" s="13" t="n">
        <f aca="false">SUM(Model!N196:Y196)</f>
        <v>-1615478.57912803</v>
      </c>
      <c r="D10" s="13" t="n">
        <f aca="false">SUM(Model!Z196:AK196)</f>
        <v>-732873.342955665</v>
      </c>
      <c r="E10" s="13" t="n">
        <f aca="false">SUM(Model!AL196:AW196)</f>
        <v>0</v>
      </c>
      <c r="F10" s="13" t="n">
        <f aca="false">SUM(Model!AX196:BI196)</f>
        <v>0</v>
      </c>
      <c r="G10" s="13" t="n">
        <f aca="false">SUM(Model!BJ196:BU196)</f>
        <v>0</v>
      </c>
      <c r="H10" s="13" t="n">
        <f aca="false">SUM(Model!BV196:CG196)</f>
        <v>0</v>
      </c>
      <c r="I10" s="13" t="n">
        <f aca="false">SUM(Model!CH196:CS196)</f>
        <v>0</v>
      </c>
      <c r="J10" s="13" t="n">
        <f aca="false">SUM(Model!CT196:DE196)</f>
        <v>0</v>
      </c>
    </row>
    <row r="11" customFormat="false" ht="13.5" hidden="false" customHeight="true" outlineLevel="0" collapsed="false">
      <c r="A11" s="22" t="s">
        <v>290</v>
      </c>
      <c r="B11" s="13" t="n">
        <f aca="false">SUM(Model!B197:M197)</f>
        <v>-1257.46999999927</v>
      </c>
      <c r="C11" s="13" t="n">
        <f aca="false">SUM(Model!N197:Y197)</f>
        <v>-7303.12000000058</v>
      </c>
      <c r="D11" s="13" t="n">
        <f aca="false">SUM(Model!Z197:AK197)</f>
        <v>-5778.79000000097</v>
      </c>
      <c r="E11" s="13" t="n">
        <f aca="false">SUM(Model!AL197:AW197)</f>
        <v>-714.380000002682</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3.5" hidden="false" customHeight="true" outlineLevel="0" collapsed="false">
      <c r="A12" s="22" t="s">
        <v>291</v>
      </c>
      <c r="B12" s="13" t="n">
        <f aca="false">SUM(Model!B198:M198)</f>
        <v>0</v>
      </c>
      <c r="C12" s="13" t="n">
        <f aca="false">SUM(Model!N198:Y198)</f>
        <v>0</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6097902.64469027</v>
      </c>
      <c r="C13" s="32" t="n">
        <f aca="false">SUM(Model!N199:Y199)</f>
        <v>10888931.8984856</v>
      </c>
      <c r="D13" s="32" t="n">
        <f aca="false">SUM(Model!Z199:AK199)</f>
        <v>13314308.923881</v>
      </c>
      <c r="E13" s="32" t="n">
        <f aca="false">SUM(Model!AL199:AW199)</f>
        <v>6995708.89807093</v>
      </c>
      <c r="F13" s="32" t="n">
        <f aca="false">SUM(Model!AX199:BI199)</f>
        <v>1983192.32460961</v>
      </c>
      <c r="G13" s="32" t="n">
        <f aca="false">SUM(Model!BJ199:BU199)</f>
        <v>0</v>
      </c>
      <c r="H13" s="32" t="n">
        <f aca="false">SUM(Model!BV199:CG199)</f>
        <v>0</v>
      </c>
      <c r="I13" s="32" t="n">
        <f aca="false">SUM(Model!CH199:CS199)</f>
        <v>0</v>
      </c>
      <c r="J13" s="32" t="n">
        <f aca="false">SUM(Model!CT199:DE199)</f>
        <v>0</v>
      </c>
    </row>
    <row r="14" customFormat="false" ht="15" hidden="false" customHeight="true" outlineLevel="0" collapsed="false">
      <c r="A14" s="22" t="s">
        <v>62</v>
      </c>
      <c r="B14" s="78" t="n">
        <f aca="false">IFERROR(B13/B7,0)</f>
        <v>0.108367001880868</v>
      </c>
      <c r="C14" s="78" t="n">
        <f aca="false">IFERROR(C13/C7,0)</f>
        <v>0.101659082608085</v>
      </c>
      <c r="D14" s="78" t="n">
        <f aca="false">IFERROR(D13/D7,0)</f>
        <v>0.100052637831897</v>
      </c>
      <c r="E14" s="78" t="n">
        <f aca="false">IFERROR(E13/E7,0)</f>
        <v>0.14445758725578</v>
      </c>
      <c r="F14" s="78" t="n">
        <f aca="false">IFERROR(F13/F7,0)</f>
        <v>0.14957611664395</v>
      </c>
      <c r="G14" s="78" t="n">
        <f aca="false">IFERROR(G13/G7,0)</f>
        <v>0</v>
      </c>
      <c r="H14" s="78" t="n">
        <f aca="false">IFERROR(H13/H7,0)</f>
        <v>0</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292</v>
      </c>
      <c r="B17" s="13" t="n">
        <f aca="false">SUM(Model!B203:M204)+SUM(Model!B206:M210)</f>
        <v>-3052561.059</v>
      </c>
      <c r="C17" s="13" t="n">
        <f aca="false">SUM(Model!N203:Y204)+SUM(Model!N206:Y210)</f>
        <v>-5093884.136</v>
      </c>
      <c r="D17" s="13" t="n">
        <f aca="false">SUM(Model!Z203:AK204)+SUM(Model!Z206:AK210)</f>
        <v>-5527136.54372</v>
      </c>
      <c r="E17" s="13" t="n">
        <f aca="false">SUM(Model!AL203:AW204)+SUM(Model!AL206:AW210)</f>
        <v>-4371979.6920944</v>
      </c>
      <c r="F17" s="13" t="n">
        <f aca="false">SUM(Model!AX203:BI204)+SUM(Model!AX206:BI210)</f>
        <v>-4141437.02195629</v>
      </c>
      <c r="G17" s="13" t="n">
        <f aca="false">SUM(Model!BJ203:BU204)+SUM(Model!BJ206:BU210)</f>
        <v>-4220265.76239541</v>
      </c>
      <c r="H17" s="13" t="n">
        <f aca="false">SUM(Model!BV203:CG204)+SUM(Model!BV206:CG210)</f>
        <v>-4300671.07764332</v>
      </c>
      <c r="I17" s="13" t="n">
        <f aca="false">SUM(Model!CH203:CS204)+SUM(Model!CH206:CS210)</f>
        <v>-4382684.49919619</v>
      </c>
      <c r="J17" s="13" t="n">
        <f aca="false">SUM(Model!CT203:DE204)+SUM(Model!CT206:DE210)</f>
        <v>-3979832.89476803</v>
      </c>
    </row>
    <row r="18" customFormat="false" ht="15" hidden="false" customHeight="true" outlineLevel="0" collapsed="false">
      <c r="A18" s="22" t="s">
        <v>293</v>
      </c>
      <c r="B18" s="13" t="n">
        <f aca="false">SUM(Model!B211:M233)+SUM(Model!B235:M235)</f>
        <v>-1033633.75</v>
      </c>
      <c r="C18" s="13" t="n">
        <f aca="false">SUM(Model!N211:Y233)+SUM(Model!N235:Y235)</f>
        <v>-994464.92</v>
      </c>
      <c r="D18" s="13" t="n">
        <f aca="false">SUM(Model!Z211:AK233)+SUM(Model!Z235:AK235)</f>
        <v>-917714.026092308</v>
      </c>
      <c r="E18" s="13" t="n">
        <f aca="false">SUM(Model!AL211:AW233)+SUM(Model!AL235:AW235)</f>
        <v>-937859.383537231</v>
      </c>
      <c r="F18" s="13" t="n">
        <f aca="false">SUM(Model!AX211:BI233)+SUM(Model!AX235:BI235)</f>
        <v>-874399.95582336</v>
      </c>
      <c r="G18" s="13" t="n">
        <f aca="false">SUM(Model!BJ211:BU233)+SUM(Model!BJ235:BU235)</f>
        <v>-886955.954939827</v>
      </c>
      <c r="H18" s="13" t="n">
        <f aca="false">SUM(Model!BV211:CG233)+SUM(Model!BV235:CG235)</f>
        <v>-899763.074038624</v>
      </c>
      <c r="I18" s="13" t="n">
        <f aca="false">SUM(Model!CH211:CS233)+SUM(Model!CH235:CS235)</f>
        <v>-912826.335519396</v>
      </c>
      <c r="J18" s="13" t="n">
        <f aca="false">SUM(Model!CT211:DE233)+SUM(Model!CT235:DE235)</f>
        <v>-926150.862229784</v>
      </c>
    </row>
    <row r="19" customFormat="false" ht="15" hidden="false" customHeight="true" outlineLevel="0" collapsed="false">
      <c r="A19" s="22" t="s">
        <v>294</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295</v>
      </c>
      <c r="B20" s="13" t="n">
        <f aca="false">SUM(Model!B234:M234)</f>
        <v>0</v>
      </c>
      <c r="C20" s="13" t="n">
        <f aca="false">SUM(Model!N234:Y234)</f>
        <v>-62565.82645</v>
      </c>
      <c r="D20" s="13" t="n">
        <f aca="false">SUM(Model!Z234:AK234)</f>
        <v>0</v>
      </c>
      <c r="E20" s="13" t="n">
        <f aca="false">SUM(Model!AL234:AW234)</f>
        <v>-53891.1325195699</v>
      </c>
      <c r="F20" s="13" t="n">
        <f aca="false">SUM(Model!AX234:BI234)</f>
        <v>0</v>
      </c>
      <c r="G20" s="13" t="n">
        <f aca="false">SUM(Model!BJ234:BU234)</f>
        <v>0</v>
      </c>
      <c r="H20" s="13" t="n">
        <f aca="false">SUM(Model!BV234:CG234)</f>
        <v>0</v>
      </c>
      <c r="I20" s="13" t="n">
        <f aca="false">SUM(Model!CH234:CS234)</f>
        <v>0</v>
      </c>
      <c r="J20" s="13" t="n">
        <f aca="false">SUM(Model!CT234:DE234)</f>
        <v>0</v>
      </c>
    </row>
    <row r="21" customFormat="false" ht="15" hidden="false" customHeight="true" outlineLevel="0" collapsed="false">
      <c r="A21" s="29" t="s">
        <v>97</v>
      </c>
      <c r="B21" s="30" t="n">
        <f aca="false">SUM(Model!B236:M236)</f>
        <v>-4091637.219</v>
      </c>
      <c r="C21" s="30" t="n">
        <f aca="false">SUM(Model!N236:Y236)</f>
        <v>-6150914.88245</v>
      </c>
      <c r="D21" s="30" t="n">
        <f aca="false">SUM(Model!Z236:AK236)</f>
        <v>-6444850.56981231</v>
      </c>
      <c r="E21" s="30" t="n">
        <f aca="false">SUM(Model!AL236:AW236)</f>
        <v>-5363730.2081512</v>
      </c>
      <c r="F21" s="30" t="n">
        <f aca="false">SUM(Model!AX236:BI236)</f>
        <v>-5015836.97777965</v>
      </c>
      <c r="G21" s="30" t="n">
        <f aca="false">SUM(Model!BJ236:BU236)</f>
        <v>-5107221.71733524</v>
      </c>
      <c r="H21" s="30" t="n">
        <f aca="false">SUM(Model!BV236:CG236)</f>
        <v>-5200434.15168195</v>
      </c>
      <c r="I21" s="30" t="n">
        <f aca="false">SUM(Model!CH236:CS236)</f>
        <v>-5295510.83471559</v>
      </c>
      <c r="J21" s="30" t="n">
        <f aca="false">SUM(Model!CT236:DE236)</f>
        <v>-4905983.75699781</v>
      </c>
    </row>
    <row r="22" customFormat="false" ht="15" hidden="false" customHeight="true" outlineLevel="0" collapsed="false">
      <c r="A22" s="29" t="s">
        <v>98</v>
      </c>
      <c r="B22" s="30" t="n">
        <f aca="false">SUM(Model!B237:M237)</f>
        <v>2006265.42569027</v>
      </c>
      <c r="C22" s="30" t="n">
        <f aca="false">SUM(Model!N237:Y237)</f>
        <v>4738017.01603555</v>
      </c>
      <c r="D22" s="30" t="n">
        <f aca="false">SUM(Model!Z237:AK237)</f>
        <v>6869458.35406867</v>
      </c>
      <c r="E22" s="30" t="n">
        <f aca="false">SUM(Model!AL237:AW237)</f>
        <v>1631978.68991973</v>
      </c>
      <c r="F22" s="30" t="n">
        <f aca="false">SUM(Model!AX237:BI237)</f>
        <v>-3032644.65317004</v>
      </c>
      <c r="G22" s="30" t="n">
        <f aca="false">SUM(Model!BJ237:BU237)</f>
        <v>-5107221.71733524</v>
      </c>
      <c r="H22" s="30" t="n">
        <f aca="false">SUM(Model!BV237:CG237)</f>
        <v>-5200434.15168195</v>
      </c>
      <c r="I22" s="30" t="n">
        <f aca="false">SUM(Model!CH237:CS237)</f>
        <v>-5295510.83471559</v>
      </c>
      <c r="J22" s="30" t="n">
        <f aca="false">SUM(Model!CT237:DE237)</f>
        <v>-4905983.75699781</v>
      </c>
    </row>
    <row r="23" customFormat="false" ht="15" hidden="false" customHeight="true" outlineLevel="0" collapsed="false">
      <c r="A23" s="22" t="s">
        <v>99</v>
      </c>
      <c r="B23" s="78" t="n">
        <f aca="false">IFERROR(B22/B7,0)</f>
        <v>0.0356537291307216</v>
      </c>
      <c r="C23" s="78" t="n">
        <f aca="false">IFERROR(C22/C7,0)</f>
        <v>0.0442341331291328</v>
      </c>
      <c r="D23" s="78" t="n">
        <f aca="false">IFERROR(D22/D7,0)</f>
        <v>0.0516217126048617</v>
      </c>
      <c r="E23" s="78" t="n">
        <f aca="false">IFERROR(E22/E7,0)</f>
        <v>0.0336994731246839</v>
      </c>
      <c r="F23" s="78" t="n">
        <f aca="false">IFERROR(F22/F7,0)</f>
        <v>-0.22872779646901</v>
      </c>
      <c r="G23" s="78" t="n">
        <f aca="false">IFERROR(G22/G7,0)</f>
        <v>0</v>
      </c>
      <c r="H23" s="78" t="n">
        <f aca="false">IFERROR(H22/H7,0)</f>
        <v>0</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913272.31</v>
      </c>
      <c r="C25" s="80" t="n">
        <f aca="false">Model!N261+Model!O261+Model!P261+Model!Q261+Model!R261+Model!S261+Model!T261+Model!U261+Model!V261+Model!W261+Model!X261+Model!Y261</f>
        <v>387444.078947368</v>
      </c>
      <c r="D25" s="80" t="n">
        <f aca="false">Model!Z261+Model!AA261+Model!AB261+Model!AC261+Model!AD261+Model!AE261+Model!AF261+Model!AG261+Model!AH261+Model!AI261+Model!AJ261+Model!AK261</f>
        <v>247618.421052632</v>
      </c>
      <c r="E25" s="80" t="n">
        <f aca="false">Model!AL261+Model!AM261+Model!AN261+Model!AO261+Model!AP261+Model!AQ261+Model!AR261+Model!AS261+Model!AT261+Model!AU261+Model!AV261+Model!AW261</f>
        <v>163365</v>
      </c>
      <c r="F25" s="80" t="n">
        <f aca="false">Model!AX261+Model!AY261+Model!AZ261+Model!BA261+Model!BB261+Model!BC261+Model!BD261+Model!BE261+Model!BF261+Model!BG261+Model!BH261+Model!BI261</f>
        <v>1276957</v>
      </c>
      <c r="G25" s="80" t="n">
        <f aca="false">Model!BJ261+Model!BK261+Model!BL261+Model!BM261+Model!BN261+Model!BO261+Model!BP261+Model!BQ261+Model!BR261+Model!BS261+Model!BT261+Model!BU261</f>
        <v>546560</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-2431727.65</v>
      </c>
      <c r="C26" s="13" t="n">
        <f aca="false">Model!N292+Model!O292+Model!P292+Model!Q292+Model!R292+Model!S292+Model!T292+Model!U292+Model!V292+Model!W292+Model!X292+Model!Y292</f>
        <v>-2362237.94</v>
      </c>
      <c r="D26" s="13" t="n">
        <f aca="false">Model!Z292+Model!AA292+Model!AB292+Model!AC292+Model!AD292+Model!AE292+Model!AF292+Model!AG292+Model!AH292+Model!AI292+Model!AJ292+Model!AK292</f>
        <v>-2396444.5788</v>
      </c>
      <c r="E26" s="13" t="n">
        <f aca="false">Model!AL292+Model!AM292+Model!AN292+Model!AO292+Model!AP292+Model!AQ292+Model!AR292+Model!AS292+Model!AT292+Model!AU292+Model!AV292+Model!AW292</f>
        <v>-2603625.350376</v>
      </c>
      <c r="F26" s="13" t="n">
        <f aca="false">Model!AX292+Model!AY292+Model!AZ292+Model!BA292+Model!BB292+Model!BC292+Model!BD292+Model!BE292+Model!BF292+Model!BG292+Model!BH292+Model!BI292</f>
        <v>-3761909.43738352</v>
      </c>
      <c r="G26" s="13" t="n">
        <f aca="false">Model!BJ292+Model!BK292+Model!BL292+Model!BM292+Model!BN292+Model!BO292+Model!BP292+Model!BQ292+Model!BR292+Model!BS292+Model!BT292+Model!BU292</f>
        <v>-2956086.01613119</v>
      </c>
      <c r="H26" s="13" t="n">
        <f aca="false">Model!BV292+Model!BW292+Model!BX292+Model!BY292+Model!BZ292+Model!CA292+Model!CB292+Model!CC292+Model!CD292+Model!CE292+Model!CF292+Model!CG292</f>
        <v>-3108507.01345381</v>
      </c>
      <c r="I26" s="13" t="n">
        <f aca="false">Model!CH292+Model!CI292+Model!CJ292+Model!CK292+Model!CL292+Model!CM292+Model!CN292+Model!CO292+Model!CP292+Model!CQ292+Model!CR292+Model!CS292</f>
        <v>-3430767.58711641</v>
      </c>
      <c r="J26" s="13" t="n">
        <f aca="false">Model!CT292+Model!CU292+Model!CV292+Model!CW292+Model!CX292+Model!CY292+Model!CZ292+Model!DA292+Model!DB292+Model!DC292+Model!DD292+Model!DE292</f>
        <v>-2838001.83641821</v>
      </c>
    </row>
    <row r="27" customFormat="false" ht="15" hidden="false" customHeight="true" outlineLevel="0" collapsed="false">
      <c r="A27" s="36" t="s">
        <v>140</v>
      </c>
      <c r="B27" s="37" t="n">
        <f aca="false">Model!E293+Model!F293+Model!G293+Model!H293+Model!I293+Model!J293+Model!K293+Model!L293+Model!M293+Model!B293+Model!C293+Model!D293</f>
        <v>-1518455.34</v>
      </c>
      <c r="C27" s="37" t="n">
        <f aca="false">Model!N293+Model!O293+Model!P293+Model!Q293+Model!R293+Model!S293+Model!T293+Model!U293+Model!V293+Model!W293+Model!X293+Model!Y293</f>
        <v>-1974793.86105263</v>
      </c>
      <c r="D27" s="37" t="n">
        <f aca="false">Model!Z293+Model!AA293+Model!AB293+Model!AC293+Model!AD293+Model!AE293+Model!AF293+Model!AG293+Model!AH293+Model!AI293+Model!AJ293+Model!AK293</f>
        <v>-2148826.15774737</v>
      </c>
      <c r="E27" s="37" t="n">
        <f aca="false">Model!AL293+Model!AM293+Model!AN293+Model!AO293+Model!AP293+Model!AQ293+Model!AR293+Model!AS293+Model!AT293+Model!AU293+Model!AV293+Model!AW293</f>
        <v>-2440260.350376</v>
      </c>
      <c r="F27" s="37" t="n">
        <f aca="false">Model!AX293+Model!AY293+Model!AZ293+Model!BA293+Model!BB293+Model!BC293+Model!BD293+Model!BE293+Model!BF293+Model!BG293+Model!BH293+Model!BI293</f>
        <v>-2484952.43738352</v>
      </c>
      <c r="G27" s="37" t="n">
        <f aca="false">Model!BJ293+Model!BK293+Model!BL293+Model!BM293+Model!BN293+Model!BO293+Model!BP293+Model!BQ293+Model!BR293+Model!BS293+Model!BT293+Model!BU293</f>
        <v>-2409526.01613119</v>
      </c>
      <c r="H27" s="37" t="n">
        <f aca="false">Model!BV293+Model!BW293+Model!BX293+Model!BY293+Model!BZ293+Model!CA293+Model!CB293+Model!CC293+Model!CD293+Model!CE293+Model!CF293+Model!CG293</f>
        <v>-2288514.01345381</v>
      </c>
      <c r="I27" s="37" t="n">
        <f aca="false">Model!CH293+Model!CI293+Model!CJ293+Model!CK293+Model!CL293+Model!CM293+Model!CN293+Model!CO293+Model!CP293+Model!CQ293+Model!CR293+Model!CS293</f>
        <v>-1120607.58711641</v>
      </c>
      <c r="J27" s="37" t="n">
        <f aca="false">Model!CT293+Model!CU293+Model!CV293+Model!CW293+Model!CX293+Model!CY293+Model!CZ293+Model!DA293+Model!DB293+Model!DC293+Model!DD293+Model!DE293</f>
        <v>-65809.8364182125</v>
      </c>
    </row>
    <row r="28" customFormat="false" ht="15" hidden="false" customHeight="true" outlineLevel="0" collapsed="false">
      <c r="A28" s="22" t="s">
        <v>296</v>
      </c>
      <c r="B28" s="13" t="n">
        <f aca="false">Model!E297+Model!F297+Model!G297+Model!H297+Model!I297+Model!J297+Model!K297+Model!L297+Model!M297+Model!B297+Model!C297+Model!D297</f>
        <v>3324.18865</v>
      </c>
      <c r="C28" s="13" t="n">
        <f aca="false">Model!N297+Model!O297+Model!P297+Model!Q297+Model!R297+Model!S297+Model!T297+Model!U297+Model!V297+Model!W297+Model!X297+Model!Y297</f>
        <v>915.383032999997</v>
      </c>
      <c r="D28" s="13" t="n">
        <f aca="false">Model!Z297+Model!AA297+Model!AB297+Model!AC297+Model!AD297+Model!AE297+Model!AF297+Model!AG297+Model!AH297+Model!AI297+Model!AJ297+Model!AK297</f>
        <v>0</v>
      </c>
      <c r="E28" s="13" t="n">
        <f aca="false">Model!AL297+Model!AM297+Model!AN297+Model!AO297+Model!AP297+Model!AQ297+Model!AR297+Model!AS297+Model!AT297+Model!AU297+Model!AV297+Model!AW297</f>
        <v>0</v>
      </c>
      <c r="F28" s="13" t="n">
        <f aca="false">Model!AX297+Model!AY297+Model!AZ297+Model!BA297+Model!BB297+Model!BC297+Model!BD297+Model!BE297+Model!BF297+Model!BG297+Model!BH297+Model!BI297</f>
        <v>0</v>
      </c>
      <c r="G28" s="13" t="n">
        <f aca="false">Model!BJ297+Model!BK297+Model!BL297+Model!BM297+Model!BN297+Model!BO297+Model!BP297+Model!BQ297+Model!BR297+Model!BS297+Model!BT297+Model!BU297</f>
        <v>0</v>
      </c>
      <c r="H28" s="13" t="n">
        <f aca="false">Model!BV297+Model!BW297+Model!BX297+Model!BY297+Model!BZ297+Model!CA297+Model!CB297+Model!CC297+Model!CD297+Model!CE297+Model!CF297+Model!CG297</f>
        <v>0</v>
      </c>
      <c r="I28" s="13" t="n">
        <f aca="false">Model!CH297+Model!CI297+Model!CJ297+Model!CK297+Model!CL297+Model!CM297+Model!CN297+Model!CO297+Model!CP297+Model!CQ297+Model!CR297+Model!CS297</f>
        <v>0</v>
      </c>
      <c r="J28" s="13" t="n">
        <f aca="false">Model!CT297+Model!CU297+Model!CV297+Model!CW297+Model!CX297+Model!CY297+Model!CZ297+Model!DA297+Model!DB297+Model!DC297+Model!DD297+Model!DE297</f>
        <v>0</v>
      </c>
    </row>
    <row r="29" customFormat="false" ht="15" hidden="false" customHeight="true" outlineLevel="0" collapsed="false">
      <c r="A29" s="3"/>
      <c r="B29" s="13"/>
      <c r="C29" s="13"/>
      <c r="D29" s="13"/>
      <c r="E29" s="13"/>
      <c r="F29" s="13"/>
      <c r="G29" s="13"/>
      <c r="H29" s="13"/>
      <c r="I29" s="81"/>
      <c r="J29" s="81"/>
    </row>
    <row r="30" customFormat="false" ht="15" hidden="false" customHeight="true" outlineLevel="0" collapsed="false">
      <c r="A30" s="36" t="s">
        <v>297</v>
      </c>
      <c r="B30" s="37" t="n">
        <f aca="false">Model!E308+Model!F308+Model!G308+Model!H308+Model!I308+Model!J308+Model!K308+Model!L308+Model!M308+Model!B308+Model!C308+Model!D308</f>
        <v>491134.274340273</v>
      </c>
      <c r="C30" s="37" t="n">
        <f aca="false">Model!N308+Model!O308+Model!P308+Model!Q308+Model!R308+Model!S308+Model!T308+Model!U308+Model!V308+Model!W308+Model!X308+Model!Y308</f>
        <v>2764138.53801592</v>
      </c>
      <c r="D30" s="37" t="n">
        <f aca="false">Model!Z308+Model!AA308+Model!AB308+Model!AC308+Model!AD308+Model!AE308+Model!AF308+Model!AG308+Model!AH308+Model!AI308+Model!AJ308+Model!AK308</f>
        <v>4720632.1963213</v>
      </c>
      <c r="E30" s="37" t="n">
        <f aca="false">Model!AL308+Model!AM308+Model!AN308+Model!AO308+Model!AP308+Model!AQ308+Model!AR308+Model!AS308+Model!AT308+Model!AU308+Model!AV308+Model!AW308</f>
        <v>-808281.660456267</v>
      </c>
      <c r="F30" s="37" t="n">
        <f aca="false">Model!AX308+Model!AY308+Model!AZ308+Model!BA308+Model!BB308+Model!BC308+Model!BD308+Model!BE308+Model!BF308+Model!BG308+Model!BH308+Model!BI308</f>
        <v>-5517597.09055356</v>
      </c>
      <c r="G30" s="37" t="n">
        <f aca="false">Model!BJ308+Model!BK308+Model!BL308+Model!BM308+Model!BN308+Model!BO308+Model!BP308+Model!BQ308+Model!BR308+Model!BS308+Model!BT308+Model!BU308</f>
        <v>-7516747.73346643</v>
      </c>
      <c r="H30" s="37" t="n">
        <f aca="false">Model!BV308+Model!BW308+Model!BX308+Model!BY308+Model!BZ308+Model!CA308+Model!CB308+Model!CC308+Model!CD308+Model!CE308+Model!CF308+Model!CG308</f>
        <v>-7488948.16513576</v>
      </c>
      <c r="I30" s="37" t="n">
        <f aca="false">Model!CH308+Model!CI308+Model!CJ308+Model!CK308+Model!CL308+Model!CM308+Model!CN308+Model!CO308+Model!CP308+Model!CQ308+Model!CR308+Model!CS308</f>
        <v>-6416118.421832</v>
      </c>
      <c r="J30" s="37" t="n">
        <f aca="false">Model!CT308+Model!CU308+Model!CV308+Model!CW308+Model!CX308+Model!CY308+Model!CZ308+Model!DA308+Model!DB308+Model!DC308+Model!DD308+Model!DE308</f>
        <v>-4971793.59341602</v>
      </c>
    </row>
    <row r="31" customFormat="false" ht="15" hidden="false" customHeight="true" outlineLevel="0" collapsed="false">
      <c r="A31" s="3"/>
      <c r="B31" s="13"/>
      <c r="C31" s="13"/>
      <c r="D31" s="13"/>
      <c r="E31" s="13"/>
      <c r="F31" s="13"/>
      <c r="G31" s="13"/>
      <c r="H31" s="13"/>
      <c r="I31" s="81"/>
      <c r="J31" s="81"/>
    </row>
    <row r="32" customFormat="false" ht="15" hidden="false" customHeight="true" outlineLevel="0" collapsed="false">
      <c r="A32" s="23" t="s">
        <v>298</v>
      </c>
      <c r="B32" s="25"/>
      <c r="C32" s="25"/>
      <c r="D32" s="25"/>
      <c r="E32" s="25"/>
      <c r="F32" s="25"/>
      <c r="G32" s="25"/>
      <c r="H32" s="25"/>
      <c r="I32" s="25"/>
      <c r="J32" s="25"/>
    </row>
    <row r="33" customFormat="false" ht="15" hidden="false" customHeight="true" outlineLevel="0" collapsed="false">
      <c r="A33" s="22" t="s">
        <v>299</v>
      </c>
      <c r="B33" s="13" t="n">
        <f aca="false">Model!E287+Model!F287+Model!G287+Model!H287+Model!I287+Model!J287+Model!K287+Model!L287+Model!M287+Model!B287+Model!C287+Model!D287</f>
        <v>0</v>
      </c>
      <c r="C33" s="13" t="n">
        <f aca="false">Model!N287+Model!O287+Model!P287+Model!Q287+Model!R287+Model!S287+Model!T287+Model!U287+Model!V287+Model!W287+Model!X287+Model!Y287</f>
        <v>-0</v>
      </c>
      <c r="D33" s="13" t="n">
        <f aca="false">Model!Z287+Model!AA287+Model!AB287+Model!AC287+Model!AD287+Model!AE287+Model!AF287+Model!AG287+Model!AH287+Model!AI287+Model!AJ287+Model!AK287</f>
        <v>-0</v>
      </c>
      <c r="E33" s="13" t="n">
        <f aca="false">Model!AL287+Model!AM287+Model!AN287+Model!AO287+Model!AP287+Model!AQ287+Model!AR287+Model!AS287+Model!AT287+Model!AU287+Model!AV287+Model!AW287</f>
        <v>-0</v>
      </c>
      <c r="F33" s="13" t="n">
        <f aca="false">Model!AX287+Model!AY287+Model!AZ287+Model!BA287+Model!BB287+Model!BC287+Model!BD287+Model!BE287+Model!BF287+Model!BG287+Model!BH287+Model!BI287</f>
        <v>-0</v>
      </c>
      <c r="G33" s="13" t="n">
        <f aca="false">Model!BJ287+Model!BK287+Model!BL287+Model!BM287+Model!BN287+Model!BO287+Model!BP287+Model!BQ287+Model!BR287+Model!BS287+Model!BT287+Model!BU287</f>
        <v>-0</v>
      </c>
      <c r="H33" s="13" t="n">
        <f aca="false">Model!BV287+Model!BW287+Model!BX287+Model!BY287+Model!BZ287+Model!CA287+Model!CB287+Model!CC287+Model!CD287+Model!CE287+Model!CF287+Model!CG287</f>
        <v>-0</v>
      </c>
      <c r="I33" s="13" t="n">
        <f aca="false">Model!CH287+Model!CI287+Model!CJ287+Model!CK287+Model!CL287+Model!CM287+Model!CN287+Model!CO287+Model!CP287+Model!CQ287+Model!CR287+Model!CS287</f>
        <v>-0</v>
      </c>
      <c r="J33" s="13" t="n">
        <f aca="false">Model!CT287+Model!CU287+Model!CV287+Model!CW287+Model!CX287+Model!CY287+Model!CZ287+Model!DA287+Model!DB287+Model!DC287+Model!DD287+Model!DE287</f>
        <v>-0</v>
      </c>
    </row>
    <row r="34" customFormat="false" ht="15" hidden="false" customHeight="true" outlineLevel="0" collapsed="false">
      <c r="A34" s="22" t="s">
        <v>300</v>
      </c>
      <c r="B34" s="13" t="n">
        <f aca="false">Model!E288+Model!F288+Model!G288+Model!H288+Model!I288+Model!J288+Model!K288+Model!L288+Model!M288+Model!B288+Model!C288+Model!D288</f>
        <v>0</v>
      </c>
      <c r="C34" s="13" t="n">
        <f aca="false">Model!N288+Model!O288+Model!P288+Model!Q288+Model!R288+Model!S288+Model!T288+Model!U288+Model!V288+Model!W288+Model!X288+Model!Y288</f>
        <v>-0</v>
      </c>
      <c r="D34" s="13" t="n">
        <f aca="false">Model!Z288+Model!AA288+Model!AB288+Model!AC288+Model!AD288+Model!AE288+Model!AF288+Model!AG288+Model!AH288+Model!AI288+Model!AJ288+Model!AK288</f>
        <v>-0</v>
      </c>
      <c r="E34" s="13" t="n">
        <f aca="false">Model!AL288+Model!AM288+Model!AN288+Model!AO288+Model!AP288+Model!AQ288+Model!AR288+Model!AS288+Model!AT288+Model!AU288+Model!AV288+Model!AW288</f>
        <v>-0</v>
      </c>
      <c r="F34" s="13" t="n">
        <f aca="false">Model!AX288+Model!AY288+Model!AZ288+Model!BA288+Model!BB288+Model!BC288+Model!BD288+Model!BE288+Model!BF288+Model!BG288+Model!BH288+Model!BI288</f>
        <v>-0</v>
      </c>
      <c r="G34" s="13" t="n">
        <f aca="false">Model!BJ288+Model!BK288+Model!BL288+Model!BM288+Model!BN288+Model!BO288+Model!BP288+Model!BQ288+Model!BR288+Model!BS288+Model!BT288+Model!BU288</f>
        <v>-0</v>
      </c>
      <c r="H34" s="13" t="n">
        <f aca="false">Model!BV288+Model!BW288+Model!BX288+Model!BY288+Model!BZ288+Model!CA288+Model!CB288+Model!CC288+Model!CD288+Model!CE288+Model!CF288+Model!CG288</f>
        <v>-0</v>
      </c>
      <c r="I34" s="13" t="n">
        <f aca="false">Model!CH288+Model!CI288+Model!CJ288+Model!CK288+Model!CL288+Model!CM288+Model!CN288+Model!CO288+Model!CP288+Model!CQ288+Model!CR288+Model!CS288</f>
        <v>-0</v>
      </c>
      <c r="J34" s="13" t="n">
        <f aca="false">Model!CT288+Model!CU288+Model!CV288+Model!CW288+Model!CX288+Model!CY288+Model!CZ288+Model!DA288+Model!DB288+Model!DC288+Model!DD288+Model!DE288</f>
        <v>-0</v>
      </c>
    </row>
    <row r="35" customFormat="false" ht="15" hidden="false" customHeight="true" outlineLevel="0" collapsed="false">
      <c r="A35" s="22" t="s">
        <v>301</v>
      </c>
      <c r="B35" s="13" t="n">
        <f aca="false">Model!E289+Model!F289+Model!G289+Model!H289+Model!I289+Model!J289+Model!K289+Model!L289+Model!M289+Model!B289+Model!C289+Model!D289</f>
        <v>0</v>
      </c>
      <c r="C35" s="13" t="n">
        <f aca="false">Model!N289+Model!O289+Model!P289+Model!Q289+Model!R289+Model!S289+Model!T289+Model!U289+Model!V289+Model!W289+Model!X289+Model!Y289</f>
        <v>-0</v>
      </c>
      <c r="D35" s="13" t="n">
        <f aca="false">Model!Z289+Model!AA289+Model!AB289+Model!AC289+Model!AD289+Model!AE289+Model!AF289+Model!AG289+Model!AH289+Model!AI289+Model!AJ289+Model!AK289</f>
        <v>-0</v>
      </c>
      <c r="E35" s="13" t="n">
        <f aca="false">Model!AL289+Model!AM289+Model!AN289+Model!AO289+Model!AP289+Model!AQ289+Model!AR289+Model!AS289+Model!AT289+Model!AU289+Model!AV289+Model!AW289</f>
        <v>-163365</v>
      </c>
      <c r="F35" s="13" t="n">
        <f aca="false">Model!AX289+Model!AY289+Model!AZ289+Model!BA289+Model!BB289+Model!BC289+Model!BD289+Model!BE289+Model!BF289+Model!BG289+Model!BH289+Model!BI289</f>
        <v>-281718</v>
      </c>
      <c r="G35" s="13" t="n">
        <f aca="false">Model!BJ289+Model!BK289+Model!BL289+Model!BM289+Model!BN289+Model!BO289+Model!BP289+Model!BQ289+Model!BR289+Model!BS289+Model!BT289+Model!BU289</f>
        <v>-132864.65</v>
      </c>
      <c r="H35" s="13" t="n">
        <f aca="false">Model!BV289+Model!BW289+Model!BX289+Model!BY289+Model!BZ289+Model!CA289+Model!CB289+Model!CC289+Model!CD289+Model!CE289+Model!CF289+Model!CG289</f>
        <v>-0</v>
      </c>
      <c r="I35" s="13" t="n">
        <f aca="false">Model!CH289+Model!CI289+Model!CJ289+Model!CK289+Model!CL289+Model!CM289+Model!CN289+Model!CO289+Model!CP289+Model!CQ289+Model!CR289+Model!CS289</f>
        <v>-0</v>
      </c>
      <c r="J35" s="13" t="n">
        <f aca="false">Model!CT289+Model!CU289+Model!CV289+Model!CW289+Model!CX289+Model!CY289+Model!CZ289+Model!DA289+Model!DB289+Model!DC289+Model!DD289+Model!DE289</f>
        <v>-0</v>
      </c>
    </row>
    <row r="36" customFormat="false" ht="15" hidden="false" customHeight="true" outlineLevel="0" collapsed="false">
      <c r="A36" s="22" t="s">
        <v>302</v>
      </c>
      <c r="B36" s="13" t="n">
        <f aca="false">Model!E290+Model!F290+Model!G290+Model!H290+Model!I290+Model!J290+Model!K290+Model!L290+Model!M290+Model!B290+Model!C290+Model!D290</f>
        <v>0</v>
      </c>
      <c r="C36" s="13" t="n">
        <f aca="false">Model!N290+Model!O290+Model!P290+Model!Q290+Model!R290+Model!S290+Model!T290+Model!U290+Model!V290+Model!W290+Model!X290+Model!Y290</f>
        <v>-0</v>
      </c>
      <c r="D36" s="13" t="n">
        <f aca="false">Model!Z290+Model!AA290+Model!AB290+Model!AC290+Model!AD290+Model!AE290+Model!AF290+Model!AG290+Model!AH290+Model!AI290+Model!AJ290+Model!AK290</f>
        <v>-0</v>
      </c>
      <c r="E36" s="13" t="n">
        <f aca="false">Model!AL290+Model!AM290+Model!AN290+Model!AO290+Model!AP290+Model!AQ290+Model!AR290+Model!AS290+Model!AT290+Model!AU290+Model!AV290+Model!AW290</f>
        <v>-0</v>
      </c>
      <c r="F36" s="13" t="n">
        <f aca="false">Model!AX290+Model!AY290+Model!AZ290+Model!BA290+Model!BB290+Model!BC290+Model!BD290+Model!BE290+Model!BF290+Model!BG290+Model!BH290+Model!BI290</f>
        <v>-995239</v>
      </c>
      <c r="G36" s="13" t="n">
        <f aca="false">Model!BJ290+Model!BK290+Model!BL290+Model!BM290+Model!BN290+Model!BO290+Model!BP290+Model!BQ290+Model!BR290+Model!BS290+Model!BT290+Model!BU290</f>
        <v>-292683</v>
      </c>
      <c r="H36" s="13" t="n">
        <f aca="false">Model!BV290+Model!BW290+Model!BX290+Model!BY290+Model!BZ290+Model!CA290+Model!CB290+Model!CC290+Model!CD290+Model!CE290+Model!CF290+Model!CG290</f>
        <v>-312005</v>
      </c>
      <c r="I36" s="13" t="n">
        <f aca="false">Model!CH290+Model!CI290+Model!CJ290+Model!CK290+Model!CL290+Model!CM290+Model!CN290+Model!CO290+Model!CP290+Model!CQ290+Model!CR290+Model!CS290</f>
        <v>-74753.9733935208</v>
      </c>
      <c r="J36" s="13" t="n">
        <f aca="false">Model!CT290+Model!CU290+Model!CV290+Model!CW290+Model!CX290+Model!CY290+Model!CZ290+Model!DA290+Model!DB290+Model!DC290+Model!DD290+Model!DE290</f>
        <v>-0</v>
      </c>
    </row>
    <row r="37" customFormat="false" ht="15" hidden="false" customHeight="true" outlineLevel="0" collapsed="false">
      <c r="A37" s="22" t="s">
        <v>303</v>
      </c>
      <c r="B37" s="13" t="n">
        <f aca="false">Model!E291+Model!F291+Model!G291+Model!H291+Model!I291+Model!J291+Model!K291+Model!L291+Model!M291+Model!B291+Model!C291+Model!D291</f>
        <v>0</v>
      </c>
      <c r="C37" s="13" t="n">
        <f aca="false">Model!N291+Model!O291+Model!P291+Model!Q291+Model!R291+Model!S291+Model!T291+Model!U291+Model!V291+Model!W291+Model!X291+Model!Y291</f>
        <v>-0</v>
      </c>
      <c r="D37" s="13" t="n">
        <f aca="false">Model!Z291+Model!AA291+Model!AB291+Model!AC291+Model!AD291+Model!AE291+Model!AF291+Model!AG291+Model!AH291+Model!AI291+Model!AJ291+Model!AK291</f>
        <v>-0</v>
      </c>
      <c r="E37" s="13" t="n">
        <f aca="false">Model!AL291+Model!AM291+Model!AN291+Model!AO291+Model!AP291+Model!AQ291+Model!AR291+Model!AS291+Model!AT291+Model!AU291+Model!AV291+Model!AW291</f>
        <v>-0</v>
      </c>
      <c r="F37" s="13" t="n">
        <f aca="false">Model!AX291+Model!AY291+Model!AZ291+Model!BA291+Model!BB291+Model!BC291+Model!BD291+Model!BE291+Model!BF291+Model!BG291+Model!BH291+Model!BI291</f>
        <v>-0</v>
      </c>
      <c r="G37" s="13" t="n">
        <f aca="false">Model!BJ291+Model!BK291+Model!BL291+Model!BM291+Model!BN291+Model!BO291+Model!BP291+Model!BQ291+Model!BR291+Model!BS291+Model!BT291+Model!BU291</f>
        <v>-0</v>
      </c>
      <c r="H37" s="13" t="n">
        <f aca="false">Model!BV291+Model!BW291+Model!BX291+Model!BY291+Model!BZ291+Model!CA291+Model!CB291+Model!CC291+Model!CD291+Model!CE291+Model!CF291+Model!CG291</f>
        <v>-219466</v>
      </c>
      <c r="I37" s="13" t="n">
        <f aca="false">Model!CH291+Model!CI291+Model!CJ291+Model!CK291+Model!CL291+Model!CM291+Model!CN291+Model!CO291+Model!CP291+Model!CQ291+Model!CR291+Model!CS291</f>
        <v>-731550</v>
      </c>
      <c r="J37" s="13" t="n">
        <f aca="false">Model!CT291+Model!CU291+Model!CV291+Model!CW291+Model!CX291+Model!CY291+Model!CZ291+Model!DA291+Model!DB291+Model!DC291+Model!DD291+Model!DE291</f>
        <v>-236911.848936407</v>
      </c>
    </row>
    <row r="38" customFormat="false" ht="15" hidden="false" customHeight="true" outlineLevel="0" collapsed="false">
      <c r="A38" s="3"/>
      <c r="B38" s="13"/>
      <c r="C38" s="13"/>
      <c r="D38" s="13"/>
      <c r="E38" s="13"/>
      <c r="F38" s="13"/>
      <c r="G38" s="13"/>
      <c r="H38" s="13"/>
      <c r="I38" s="81"/>
      <c r="J38" s="81"/>
    </row>
    <row r="39" customFormat="false" ht="15" hidden="false" customHeight="true" outlineLevel="0" collapsed="false">
      <c r="A39" s="23" t="s">
        <v>304</v>
      </c>
      <c r="B39" s="25"/>
      <c r="C39" s="25"/>
      <c r="D39" s="25"/>
      <c r="E39" s="25"/>
      <c r="F39" s="25"/>
      <c r="G39" s="25"/>
      <c r="H39" s="25"/>
      <c r="I39" s="25"/>
      <c r="J39" s="25"/>
    </row>
    <row r="40" customFormat="false" ht="15" hidden="false" customHeight="true" outlineLevel="0" collapsed="false">
      <c r="A40" s="22" t="s">
        <v>305</v>
      </c>
      <c r="B40" s="13" t="n">
        <f aca="false">Model!E316+Model!F316+Model!G316+Model!H316+Model!I316+Model!J316+Model!K316+Model!L316+Model!M316+Model!B316+Model!C316+Model!D316</f>
        <v>0</v>
      </c>
      <c r="C40" s="13" t="n">
        <f aca="false">Model!N316+Model!O316+Model!P316+Model!Q316+Model!R316+Model!S316+Model!T316+Model!U316+Model!V316+Model!W316+Model!X316+Model!Y316</f>
        <v>-560000</v>
      </c>
      <c r="D40" s="13" t="n">
        <f aca="false">Model!Z316+Model!AA316+Model!AB316+Model!AC316+Model!AD316+Model!AE316+Model!AF316+Model!AG316+Model!AH316+Model!AI316+Model!AJ316+Model!AK316</f>
        <v>-1344000</v>
      </c>
      <c r="E40" s="13" t="n">
        <f aca="false">Model!AL316+Model!AM316+Model!AN316+Model!AO316+Model!AP316+Model!AQ316+Model!AR316+Model!AS316+Model!AT316+Model!AU316+Model!AV316+Model!AW316</f>
        <v>-294119.208084316</v>
      </c>
      <c r="F40" s="13" t="n">
        <f aca="false">Model!AX316+Model!AY316+Model!AZ316+Model!BA316+Model!BB316+Model!BC316+Model!BD316+Model!BE316+Model!BF316+Model!BG316+Model!BH316+Model!BI316</f>
        <v>0</v>
      </c>
      <c r="G40" s="13" t="n">
        <f aca="false">Model!BJ316+Model!BK316+Model!BL316+Model!BM316+Model!BN316+Model!BO316+Model!BP316+Model!BQ316+Model!BR316+Model!BS316+Model!BT316+Model!BU316</f>
        <v>0</v>
      </c>
      <c r="H40" s="13" t="n">
        <f aca="false">Model!BV316+Model!BW316+Model!BX316+Model!BY316+Model!BZ316+Model!CA316+Model!CB316+Model!CC316+Model!CD316+Model!CE316+Model!CF316+Model!CG316</f>
        <v>0</v>
      </c>
      <c r="I40" s="13" t="n">
        <f aca="false">Model!CH316+Model!CI316+Model!CJ316+Model!CK316+Model!CL316+Model!CM316+Model!CN316+Model!CO316+Model!CP316+Model!CQ316+Model!CR316+Model!CS316</f>
        <v>0</v>
      </c>
      <c r="J40" s="13" t="n">
        <f aca="false">Model!CT316+Model!CU316+Model!CV316+Model!CW316+Model!CX316+Model!CY316+Model!CZ316+Model!DA316+Model!DB316+Model!DC316+Model!DD316+Model!DE316</f>
        <v>0</v>
      </c>
    </row>
    <row r="41" customFormat="false" ht="15" hidden="false" customHeight="true" outlineLevel="0" collapsed="false">
      <c r="A41" s="22" t="s">
        <v>306</v>
      </c>
      <c r="B41" s="13" t="n">
        <f aca="false">Model!M317</f>
        <v>1804127.58143555</v>
      </c>
      <c r="C41" s="13" t="n">
        <f aca="false">Model!Y317</f>
        <v>1509195.67101372</v>
      </c>
      <c r="D41" s="13" t="n">
        <f aca="false">Model!AK317</f>
        <v>291584.778876449</v>
      </c>
      <c r="E41" s="13" t="n">
        <f aca="false">Model!AW317</f>
        <v>0</v>
      </c>
      <c r="F41" s="13" t="n">
        <f aca="false">Model!BI317</f>
        <v>0</v>
      </c>
      <c r="G41" s="13" t="n">
        <f aca="false">Model!BU317</f>
        <v>0</v>
      </c>
      <c r="H41" s="13" t="n">
        <f aca="false">Model!CG317</f>
        <v>0</v>
      </c>
      <c r="I41" s="13" t="n">
        <f aca="false">Model!CS317</f>
        <v>0</v>
      </c>
      <c r="J41" s="13" t="n">
        <f aca="false">Model!DE317</f>
        <v>0</v>
      </c>
    </row>
    <row r="42" customFormat="false" ht="15" hidden="false" customHeight="true" outlineLevel="0" collapsed="false">
      <c r="A42" s="22" t="s">
        <v>307</v>
      </c>
      <c r="B42" s="13" t="n">
        <f aca="false">Model!E322+Model!F322+Model!G322+Model!H322+Model!I322+Model!J322+Model!K322+Model!L322+Model!M322+Model!B322+Model!C322+Model!D322</f>
        <v>0</v>
      </c>
      <c r="C42" s="13" t="n">
        <f aca="false">Model!N322+Model!O322+Model!P322+Model!Q322+Model!R322+Model!S322+Model!T322+Model!U322+Model!V322+Model!W322+Model!X322+Model!Y322</f>
        <v>0</v>
      </c>
      <c r="D42" s="13" t="n">
        <f aca="false">Model!Z322+Model!AA322+Model!AB322+Model!AC322+Model!AD322+Model!AE322+Model!AF322+Model!AG322+Model!AH322+Model!AI322+Model!AJ322+Model!AK322</f>
        <v>-250000</v>
      </c>
      <c r="E42" s="13" t="n">
        <f aca="false">Model!AL322+Model!AM322+Model!AN322+Model!AO322+Model!AP322+Model!AQ322+Model!AR322+Model!AS322+Model!AT322+Model!AU322+Model!AV322+Model!AW322</f>
        <v>-250000</v>
      </c>
      <c r="F42" s="13" t="n">
        <f aca="false">Model!AX322+Model!AY322+Model!AZ322+Model!BA322+Model!BB322+Model!BC322+Model!BD322+Model!BE322+Model!BF322+Model!BG322+Model!BH322+Model!BI322</f>
        <v>0</v>
      </c>
      <c r="G42" s="13" t="n">
        <f aca="false">Model!BJ322+Model!BK322+Model!BL322+Model!BM322+Model!BN322+Model!BO322+Model!BP322+Model!BQ322+Model!BR322+Model!BS322+Model!BT322+Model!BU322</f>
        <v>0</v>
      </c>
      <c r="H42" s="13" t="n">
        <f aca="false">Model!BV322+Model!BW322+Model!BX322+Model!BY322+Model!BZ322+Model!CA322+Model!CB322+Model!CC322+Model!CD322+Model!CE322+Model!CF322+Model!CG322</f>
        <v>0</v>
      </c>
      <c r="I42" s="13" t="n">
        <f aca="false">Model!CH322+Model!CI322+Model!CJ322+Model!CK322+Model!CL322+Model!CM322+Model!CN322+Model!CO322+Model!CP322+Model!CQ322+Model!CR322+Model!CS322</f>
        <v>0</v>
      </c>
      <c r="J42" s="13" t="n">
        <f aca="false">Model!CT322+Model!CU322+Model!CV322+Model!CW322+Model!CX322+Model!CY322+Model!CZ322+Model!DA322+Model!DB322+Model!DC322+Model!DD322+Model!DE322</f>
        <v>0</v>
      </c>
    </row>
    <row r="43" customFormat="false" ht="15" hidden="false" customHeight="true" outlineLevel="0" collapsed="false">
      <c r="A43" s="22" t="s">
        <v>308</v>
      </c>
      <c r="B43" s="13" t="n">
        <f aca="false">Model!M323</f>
        <v>1000000</v>
      </c>
      <c r="C43" s="13" t="n">
        <f aca="false">Model!Y323</f>
        <v>1000000</v>
      </c>
      <c r="D43" s="13" t="n">
        <f aca="false">Model!AK323</f>
        <v>750000</v>
      </c>
      <c r="E43" s="13" t="n">
        <f aca="false">Model!AW323</f>
        <v>500000</v>
      </c>
      <c r="F43" s="13" t="n">
        <f aca="false">Model!BI323</f>
        <v>500000</v>
      </c>
      <c r="G43" s="13" t="n">
        <f aca="false">Model!BU323</f>
        <v>500000</v>
      </c>
      <c r="H43" s="13" t="n">
        <f aca="false">Model!CG323</f>
        <v>500000</v>
      </c>
      <c r="I43" s="13" t="n">
        <f aca="false">Model!CS323</f>
        <v>500000</v>
      </c>
      <c r="J43" s="13" t="n">
        <f aca="false">Model!DE323</f>
        <v>500000</v>
      </c>
    </row>
    <row r="44" customFormat="false" ht="15" hidden="false" customHeight="true" outlineLevel="0" collapsed="false">
      <c r="A44" s="22" t="s">
        <v>309</v>
      </c>
      <c r="B44" s="13" t="n">
        <f aca="false">Model!E377+Model!F377+Model!G377+Model!H377+Model!I377+Model!J377+Model!K377+Model!L377+Model!M377+Model!B377+Model!C377+Model!D377</f>
        <v>0</v>
      </c>
      <c r="C44" s="13" t="n">
        <f aca="false">Model!N377+Model!O377+Model!P377+Model!Q377+Model!R377+Model!S377+Model!T377+Model!U377+Model!V377+Model!W377+Model!X377+Model!Y377</f>
        <v>0</v>
      </c>
      <c r="D44" s="13" t="n">
        <f aca="false">Model!Z377+Model!AA377+Model!AB377+Model!AC377+Model!AD377+Model!AE377+Model!AF377+Model!AG377+Model!AH377+Model!AI377+Model!AJ377+Model!AK377</f>
        <v>0</v>
      </c>
      <c r="E44" s="13" t="n">
        <f aca="false">Model!AL377+Model!AM377+Model!AN377+Model!AO377+Model!AP377+Model!AQ377+Model!AR377+Model!AS377+Model!AT377+Model!AU377+Model!AV377+Model!AW377</f>
        <v>0</v>
      </c>
      <c r="F44" s="13" t="n">
        <f aca="false">Model!AX377+Model!AY377+Model!AZ377+Model!BA377+Model!BB377+Model!BC377+Model!BD377+Model!BE377+Model!BF377+Model!BG377+Model!BH377+Model!BI377</f>
        <v>0</v>
      </c>
      <c r="G44" s="13" t="n">
        <f aca="false">Model!BJ377+Model!BK377+Model!BL377+Model!BM377+Model!BN377+Model!BO377+Model!BP377+Model!BQ377+Model!BR377+Model!BS377+Model!BT377+Model!BU377</f>
        <v>0</v>
      </c>
      <c r="H44" s="13" t="n">
        <f aca="false">Model!BV377+Model!BW377+Model!BX377+Model!BY377+Model!BZ377+Model!CA377+Model!CB377+Model!CC377+Model!CD377+Model!CE377+Model!CF377+Model!CG377</f>
        <v>0</v>
      </c>
      <c r="I44" s="13" t="n">
        <f aca="false">Model!CH377+Model!CI377+Model!CJ377+Model!CK377+Model!CL377+Model!CM377+Model!CN377+Model!CO377+Model!CP377+Model!CQ377+Model!CR377+Model!CS377</f>
        <v>0</v>
      </c>
      <c r="J44" s="13" t="n">
        <f aca="false">Model!CT377+Model!CU377+Model!CV377+Model!CW377+Model!CX377+Model!CY377+Model!CZ377+Model!DA377+Model!DB377+Model!DC377+Model!DD377+Model!DE377</f>
        <v>0</v>
      </c>
    </row>
    <row r="45" customFormat="false" ht="15" hidden="false" customHeight="true" outlineLevel="0" collapsed="false">
      <c r="A45" s="22" t="s">
        <v>310</v>
      </c>
      <c r="B45" s="13" t="n">
        <f aca="false">Model!M330+Model!M335+Model!M340+Model!M345</f>
        <v>2378399.92018311</v>
      </c>
      <c r="C45" s="13" t="n">
        <f aca="false">Model!Y330+Model!Y335+Model!Y340+Model!Y345</f>
        <v>1714451.09866009</v>
      </c>
      <c r="D45" s="13" t="n">
        <f aca="false">Model!AK330+Model!AK335+Model!AK340+Model!AK345</f>
        <v>1035128.51554915</v>
      </c>
      <c r="E45" s="13" t="n">
        <f aca="false">Model!AW330+Model!AW335+Model!AW340+Model!AW345</f>
        <v>1199352.08415979</v>
      </c>
      <c r="F45" s="13" t="n">
        <f aca="false">Model!BI330+Model!BI335+Model!BI340+Model!BI345</f>
        <v>975331.495449082</v>
      </c>
      <c r="G45" s="13" t="n">
        <f aca="false">Model!BU330+Model!BU335+Model!BU340+Model!BU345</f>
        <v>820735.28594806</v>
      </c>
      <c r="H45" s="13" t="n">
        <f aca="false">Model!CG330+Model!CG335+Model!CG340+Model!CG345</f>
        <v>621470.381107174</v>
      </c>
      <c r="I45" s="13" t="n">
        <f aca="false">Model!CS330+Model!CS335+Model!CS340+Model!CS345</f>
        <v>233637.0833122</v>
      </c>
      <c r="J45" s="13" t="n">
        <f aca="false">Model!DE330+Model!DE335+Model!DE340+Model!DE345</f>
        <v>0</v>
      </c>
    </row>
    <row r="46" customFormat="false" ht="15" hidden="false" customHeight="true" outlineLevel="0" collapsed="false">
      <c r="A46" s="3"/>
      <c r="B46" s="13"/>
      <c r="C46" s="13"/>
      <c r="D46" s="13"/>
      <c r="E46" s="13"/>
      <c r="F46" s="13"/>
      <c r="G46" s="13"/>
      <c r="H46" s="13"/>
      <c r="I46" s="81"/>
      <c r="J46" s="81"/>
    </row>
    <row r="47" customFormat="false" ht="15" hidden="false" customHeight="true" outlineLevel="0" collapsed="false">
      <c r="A47" s="22" t="s">
        <v>311</v>
      </c>
      <c r="B47" s="13" t="n">
        <f aca="false">Model!M356</f>
        <v>73141594.1403182</v>
      </c>
      <c r="C47" s="13" t="n">
        <f aca="false">Model!Y356</f>
        <v>123836403.431</v>
      </c>
      <c r="D47" s="13" t="n">
        <f aca="false">Model!AK356</f>
        <v>55038862.430782</v>
      </c>
      <c r="E47" s="13" t="n">
        <f aca="false">Model!AW356</f>
        <v>13258584.501624</v>
      </c>
      <c r="F47" s="13" t="n">
        <f aca="false">Model!BI356</f>
        <v>0</v>
      </c>
      <c r="G47" s="13" t="n">
        <f aca="false">Model!BU356</f>
        <v>0</v>
      </c>
      <c r="H47" s="13" t="n">
        <f aca="false">Model!CG356</f>
        <v>0</v>
      </c>
      <c r="I47" s="13" t="n">
        <f aca="false">Model!CS356</f>
        <v>0</v>
      </c>
      <c r="J47" s="13" t="n">
        <f aca="false">Model!DE356</f>
        <v>0</v>
      </c>
    </row>
    <row r="48" customFormat="false" ht="15" hidden="false" customHeight="true" outlineLevel="0" collapsed="false">
      <c r="A48" s="3"/>
      <c r="B48" s="13"/>
      <c r="C48" s="13"/>
      <c r="D48" s="13"/>
      <c r="E48" s="13"/>
      <c r="F48" s="13"/>
      <c r="G48" s="13"/>
      <c r="H48" s="13"/>
      <c r="I48" s="81"/>
      <c r="J48" s="81"/>
    </row>
    <row r="49" customFormat="false" ht="15" hidden="false" customHeight="true" outlineLevel="0" collapsed="false">
      <c r="A49" s="82" t="s">
        <v>195</v>
      </c>
      <c r="B49" s="83" t="n">
        <f aca="false">Model!M369</f>
        <v>2335079.76345215</v>
      </c>
      <c r="C49" s="83" t="n">
        <f aca="false">Model!Y369</f>
        <v>4420752.5249601</v>
      </c>
      <c r="D49" s="83" t="n">
        <f aca="false">Model!AK369</f>
        <v>11562494.1244953</v>
      </c>
      <c r="E49" s="83" t="n">
        <f aca="false">Model!AW369</f>
        <v>14503711.1656423</v>
      </c>
      <c r="F49" s="83" t="n">
        <f aca="false">Model!BI369</f>
        <v>11778502.812166</v>
      </c>
      <c r="G49" s="83" t="n">
        <f aca="false">Model!BU369</f>
        <v>6671281.09483074</v>
      </c>
      <c r="H49" s="83" t="n">
        <f aca="false">Model!CG369</f>
        <v>1470846.9431488</v>
      </c>
      <c r="I49" s="83" t="n">
        <f aca="false">Model!CS369</f>
        <v>-3824663.89156679</v>
      </c>
      <c r="J49" s="83" t="n">
        <f aca="false">Model!DE369</f>
        <v>-8730647.6485646</v>
      </c>
    </row>
    <row r="50" customFormat="false" ht="15" hidden="false" customHeight="true" outlineLevel="0" collapsed="false">
      <c r="A50" s="82" t="s">
        <v>312</v>
      </c>
      <c r="B50" s="83" t="n">
        <f aca="false">Model!M378</f>
        <v>-181000.46135</v>
      </c>
      <c r="C50" s="83" t="n">
        <f aca="false">Model!Y378</f>
        <v>-2961919.47936279</v>
      </c>
      <c r="D50" s="83" t="n">
        <f aca="false">Model!AK378</f>
        <v>-8095107.32173216</v>
      </c>
      <c r="E50" s="83" t="n">
        <f aca="false">Model!AW378</f>
        <v>-13453964.8749421</v>
      </c>
      <c r="F50" s="83" t="n">
        <f aca="false">Model!BI378</f>
        <v>-15938917.3123256</v>
      </c>
      <c r="G50" s="83" t="n">
        <f aca="false">Model!BU378</f>
        <v>-18348443.3284568</v>
      </c>
      <c r="H50" s="83" t="n">
        <f aca="false">Model!CG378</f>
        <v>-20636957.3419106</v>
      </c>
      <c r="I50" s="83" t="n">
        <f aca="false">Model!CS378</f>
        <v>-21757564.9290271</v>
      </c>
      <c r="J50" s="83" t="n">
        <f aca="false">Model!DE378</f>
        <v>-21823374.7654453</v>
      </c>
    </row>
    <row r="51" customFormat="false" ht="15" hidden="false" customHeight="true" outlineLevel="0" collapsed="false">
      <c r="A51" s="82" t="s">
        <v>313</v>
      </c>
      <c r="B51" s="83" t="n">
        <f aca="false">Model!E382+Model!F382+Model!G382+Model!H382+Model!I382+Model!J382+Model!K382+Model!L382+Model!M382+Model!B382+Model!C382+Model!D382</f>
        <v>0</v>
      </c>
      <c r="C51" s="83" t="n">
        <f aca="false">Model!N382+Model!O382+Model!P382+Model!Q382+Model!R382+Model!S382+Model!T382+Model!U382+Model!V382+Model!W382+Model!X382+Model!Y382</f>
        <v>-247040.539993158</v>
      </c>
      <c r="D51" s="83" t="n">
        <f aca="false">Model!Z382+Model!AA382+Model!AB382+Model!AC382+Model!AD382+Model!AE382+Model!AF382+Model!AG382+Model!AH382+Model!AI382+Model!AJ382+Model!AK382</f>
        <v>-1390361.68462201</v>
      </c>
      <c r="E51" s="83" t="n">
        <f aca="false">Model!AL382+Model!AM382+Model!AN382+Model!AO382+Model!AP382+Model!AQ382+Model!AR382+Model!AS382+Model!AT382+Model!AU382+Model!AV382+Model!AW382</f>
        <v>-2374477.99474961</v>
      </c>
      <c r="F51" s="83" t="n">
        <f aca="false">Model!AX382+Model!AY382+Model!AZ382+Model!BA382+Model!BB382+Model!BC382+Model!BD382+Model!BE382+Model!BF382+Model!BG382+Model!BH382+Model!BI382</f>
        <v>0</v>
      </c>
      <c r="G51" s="83" t="n">
        <f aca="false">Model!BJ382+Model!BK382+Model!BL382+Model!BM382+Model!BN382+Model!BO382+Model!BP382+Model!BQ382+Model!BR382+Model!BS382+Model!BT382+Model!BU382</f>
        <v>0</v>
      </c>
      <c r="H51" s="83" t="n">
        <f aca="false">Model!BV382+Model!BW382+Model!BX382+Model!BY382+Model!BZ382+Model!CA382+Model!CB382+Model!CC382+Model!CD382+Model!CE382+Model!CF382+Model!CG382</f>
        <v>0</v>
      </c>
      <c r="I51" s="83" t="n">
        <f aca="false">Model!CH382+Model!CI382+Model!CJ382+Model!CK382+Model!CL382+Model!CM382+Model!CN382+Model!CO382+Model!CP382+Model!CQ382+Model!CR382+Model!CS382</f>
        <v>0</v>
      </c>
      <c r="J51" s="83" t="n">
        <f aca="false">Model!CT382+Model!CU382+Model!CV382+Model!CW382+Model!CX382+Model!CY382+Model!CZ382+Model!DA382+Model!DB382+Model!DC382+Model!DD382+Model!DE382</f>
        <v>0</v>
      </c>
    </row>
    <row r="52" customFormat="false" ht="15" hidden="false" customHeight="true" outlineLevel="0" collapsed="false">
      <c r="A52" s="27" t="s">
        <v>314</v>
      </c>
      <c r="B52" s="84" t="n">
        <f aca="false">Model!M383</f>
        <v>2154079.30210215</v>
      </c>
      <c r="C52" s="84" t="n">
        <f aca="false">Model!Y383</f>
        <v>1458833.04559731</v>
      </c>
      <c r="D52" s="84" t="n">
        <f aca="false">Model!AK383</f>
        <v>3467386.80276313</v>
      </c>
      <c r="E52" s="84" t="n">
        <f aca="false">Model!AW383</f>
        <v>1049746.29070024</v>
      </c>
      <c r="F52" s="84" t="n">
        <f aca="false">Model!BI383</f>
        <v>-4160414.50015963</v>
      </c>
      <c r="G52" s="84" t="n">
        <f aca="false">Model!BU383</f>
        <v>-11677162.2336261</v>
      </c>
      <c r="H52" s="84" t="n">
        <f aca="false">Model!CG383</f>
        <v>-19166110.3987618</v>
      </c>
      <c r="I52" s="84" t="n">
        <f aca="false">Model!CS383</f>
        <v>-25582228.8205939</v>
      </c>
      <c r="J52" s="84" t="n">
        <f aca="false">Model!DE383</f>
        <v>-30554022.4140099</v>
      </c>
    </row>
    <row r="1048576" customFormat="false" ht="12.75" hidden="false" customHeight="true" outlineLevel="0" collapsed="false"/>
  </sheetData>
  <mergeCells count="1">
    <mergeCell ref="A1:E1"/>
  </mergeCells>
  <conditionalFormatting sqref="B3:J49">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104857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315</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275</v>
      </c>
      <c r="B2" s="85" t="s">
        <v>316</v>
      </c>
      <c r="C2" s="86" t="s">
        <v>317</v>
      </c>
      <c r="D2" s="86" t="s">
        <v>318</v>
      </c>
      <c r="E2" s="86" t="s">
        <v>319</v>
      </c>
      <c r="F2" s="86" t="s">
        <v>320</v>
      </c>
      <c r="G2" s="86" t="s">
        <v>321</v>
      </c>
      <c r="H2" s="86" t="s">
        <v>322</v>
      </c>
      <c r="I2" s="86" t="s">
        <v>323</v>
      </c>
      <c r="J2" s="86" t="s">
        <v>324</v>
      </c>
      <c r="K2" s="86" t="s">
        <v>325</v>
      </c>
      <c r="L2" s="86" t="s">
        <v>326</v>
      </c>
      <c r="M2" s="86" t="s">
        <v>327</v>
      </c>
      <c r="N2" s="86" t="s">
        <v>328</v>
      </c>
      <c r="O2" s="86" t="s">
        <v>329</v>
      </c>
      <c r="P2" s="86" t="s">
        <v>330</v>
      </c>
      <c r="Q2" s="86" t="s">
        <v>331</v>
      </c>
      <c r="R2" s="86" t="s">
        <v>332</v>
      </c>
      <c r="S2" s="86" t="s">
        <v>333</v>
      </c>
      <c r="T2" s="86" t="s">
        <v>334</v>
      </c>
      <c r="U2" s="86" t="s">
        <v>335</v>
      </c>
      <c r="V2" s="86" t="s">
        <v>336</v>
      </c>
      <c r="W2" s="86" t="s">
        <v>337</v>
      </c>
      <c r="X2" s="86" t="s">
        <v>338</v>
      </c>
      <c r="Y2" s="86" t="s">
        <v>339</v>
      </c>
      <c r="Z2" s="86" t="s">
        <v>340</v>
      </c>
      <c r="AA2" s="86" t="s">
        <v>341</v>
      </c>
      <c r="AB2" s="86" t="s">
        <v>342</v>
      </c>
      <c r="AC2" s="86" t="s">
        <v>343</v>
      </c>
      <c r="AD2" s="86" t="s">
        <v>344</v>
      </c>
      <c r="AE2" s="86" t="s">
        <v>345</v>
      </c>
      <c r="AF2" s="86" t="s">
        <v>346</v>
      </c>
      <c r="AG2" s="86" t="s">
        <v>347</v>
      </c>
      <c r="AH2" s="86" t="s">
        <v>348</v>
      </c>
      <c r="AI2" s="86" t="s">
        <v>349</v>
      </c>
      <c r="AJ2" s="86" t="s">
        <v>350</v>
      </c>
      <c r="AK2" s="86" t="s">
        <v>351</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285</v>
      </c>
      <c r="B4" s="13" t="n">
        <f aca="false">SUM(Model!B10:D10)</f>
        <v>474538.45</v>
      </c>
      <c r="C4" s="13" t="n">
        <f aca="false">SUM(Model!E10:G10)</f>
        <v>854579.17</v>
      </c>
      <c r="D4" s="13" t="n">
        <f aca="false">SUM(Model!H10:J10)</f>
        <v>1239873.52</v>
      </c>
      <c r="E4" s="13" t="n">
        <f aca="false">SUM(Model!K10:M10)</f>
        <v>1054918.7275</v>
      </c>
      <c r="F4" s="13" t="n">
        <f aca="false">SUM(Model!N10:P10)</f>
        <v>1280248.57992325</v>
      </c>
      <c r="G4" s="13" t="n">
        <f aca="false">SUM(Model!Q10:S10)</f>
        <v>1684048.20989622</v>
      </c>
      <c r="H4" s="13" t="n">
        <f aca="false">SUM(Model!T10:V10)</f>
        <v>2141710.81282374</v>
      </c>
      <c r="I4" s="13" t="n">
        <f aca="false">SUM(Model!W10:Y10)</f>
        <v>2296417.59460606</v>
      </c>
      <c r="J4" s="13" t="n">
        <f aca="false">SUM(Model!Z10:AB10)</f>
        <v>2164380.16460606</v>
      </c>
      <c r="K4" s="13" t="n">
        <f aca="false">SUM(Model!AC10:AE10)</f>
        <v>1909171.65503999</v>
      </c>
      <c r="L4" s="13" t="n">
        <f aca="false">SUM(Model!AF10:AH10)</f>
        <v>2269960.86014236</v>
      </c>
      <c r="M4" s="13" t="n">
        <f aca="false">SUM(Model!AI10:AK10)</f>
        <v>1647696.73133165</v>
      </c>
      <c r="N4" s="13" t="n">
        <f aca="false">SUM(Model!AL10:AN10)</f>
        <v>1459781.27361915</v>
      </c>
      <c r="O4" s="13" t="n">
        <f aca="false">SUM(Model!AO10:AQ10)</f>
        <v>1053804.08657847</v>
      </c>
      <c r="P4" s="13" t="n">
        <f aca="false">SUM(Model!AR10:AT10)</f>
        <v>856650.920373423</v>
      </c>
      <c r="Q4" s="13" t="n">
        <f aca="false">SUM(Model!AU10:AW10)</f>
        <v>623208.674745467</v>
      </c>
      <c r="R4" s="13" t="n">
        <f aca="false">SUM(Model!AX10:AZ10)</f>
        <v>270274.2313018</v>
      </c>
      <c r="S4" s="13" t="n">
        <f aca="false">SUM(Model!BA10:BC10)</f>
        <v>270274.2313018</v>
      </c>
      <c r="T4" s="13" t="n">
        <f aca="false">SUM(Model!BD10:BF10)</f>
        <v>270274.2313018</v>
      </c>
      <c r="U4" s="13" t="n">
        <f aca="false">SUM(Model!BG10:BI10)</f>
        <v>322432.416289867</v>
      </c>
      <c r="V4" s="13" t="n">
        <f aca="false">SUM(Model!BJ10:BL10)</f>
        <v>0</v>
      </c>
      <c r="W4" s="13" t="n">
        <f aca="false">SUM(Model!BM10:BO10)</f>
        <v>0</v>
      </c>
      <c r="X4" s="13" t="n">
        <f aca="false">SUM(Model!BP10:BR10)</f>
        <v>0</v>
      </c>
      <c r="Y4" s="13" t="n">
        <f aca="false">SUM(Model!BS10:BU10)</f>
        <v>0</v>
      </c>
      <c r="Z4" s="13" t="n">
        <f aca="false">SUM(Model!BV10:BX10)</f>
        <v>0</v>
      </c>
      <c r="AA4" s="13" t="n">
        <f aca="false">SUM(Model!BY10:CA10)</f>
        <v>0</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286</v>
      </c>
      <c r="B5" s="13" t="n">
        <f aca="false">SUM(Model!B11:D11)</f>
        <v>319091.99</v>
      </c>
      <c r="C5" s="13" t="n">
        <f aca="false">SUM(Model!E11:G11)</f>
        <v>669542.47</v>
      </c>
      <c r="D5" s="13" t="n">
        <f aca="false">SUM(Model!H11:J11)</f>
        <v>887292.11</v>
      </c>
      <c r="E5" s="13" t="n">
        <f aca="false">SUM(Model!K11:M11)</f>
        <v>818310.4525</v>
      </c>
      <c r="F5" s="13" t="n">
        <f aca="false">SUM(Model!N11:P11)</f>
        <v>974851.0131946</v>
      </c>
      <c r="G5" s="13" t="n">
        <f aca="false">SUM(Model!Q11:S11)</f>
        <v>1269368.78097548</v>
      </c>
      <c r="H5" s="13" t="n">
        <f aca="false">SUM(Model!T11:V11)</f>
        <v>1619014.84614516</v>
      </c>
      <c r="I5" s="13" t="n">
        <f aca="false">SUM(Model!W11:Y11)</f>
        <v>1753525.59004908</v>
      </c>
      <c r="J5" s="13" t="n">
        <f aca="false">SUM(Model!Z11:AB11)</f>
        <v>1647517.71004908</v>
      </c>
      <c r="K5" s="13" t="n">
        <f aca="false">SUM(Model!AC11:AE11)</f>
        <v>1441455.6204837</v>
      </c>
      <c r="L5" s="13" t="n">
        <f aca="false">SUM(Model!AF11:AH11)</f>
        <v>1719289.35803652</v>
      </c>
      <c r="M5" s="13" t="n">
        <f aca="false">SUM(Model!AI11:AK11)</f>
        <v>1247710.16714729</v>
      </c>
      <c r="N5" s="13" t="n">
        <f aca="false">SUM(Model!AL11:AN11)</f>
        <v>1102025.38877729</v>
      </c>
      <c r="O5" s="13" t="n">
        <f aca="false">SUM(Model!AO11:AQ11)</f>
        <v>790349.235425581</v>
      </c>
      <c r="P5" s="13" t="n">
        <f aca="false">SUM(Model!AR11:AT11)</f>
        <v>642485.077223448</v>
      </c>
      <c r="Q5" s="13" t="n">
        <f aca="false">SUM(Model!AU11:AW11)</f>
        <v>467404.241328107</v>
      </c>
      <c r="R5" s="13" t="n">
        <f aca="false">SUM(Model!AX11:AZ11)</f>
        <v>202704.69130384</v>
      </c>
      <c r="S5" s="13" t="n">
        <f aca="false">SUM(Model!BA11:BC11)</f>
        <v>202704.69130384</v>
      </c>
      <c r="T5" s="13" t="n">
        <f aca="false">SUM(Model!BD11:BF11)</f>
        <v>202704.69130384</v>
      </c>
      <c r="U5" s="13" t="n">
        <f aca="false">SUM(Model!BG11:BI11)</f>
        <v>241823.140502827</v>
      </c>
      <c r="V5" s="13" t="n">
        <f aca="false">SUM(Model!BJ11:BL11)</f>
        <v>0</v>
      </c>
      <c r="W5" s="13" t="n">
        <f aca="false">SUM(Model!BM11:BO11)</f>
        <v>0</v>
      </c>
      <c r="X5" s="13" t="n">
        <f aca="false">SUM(Model!BP11:BR11)</f>
        <v>0</v>
      </c>
      <c r="Y5" s="13" t="n">
        <f aca="false">SUM(Model!BS11:BU11)</f>
        <v>0</v>
      </c>
      <c r="Z5" s="13" t="n">
        <f aca="false">SUM(Model!BV11:BX11)</f>
        <v>0</v>
      </c>
      <c r="AA5" s="13" t="n">
        <f aca="false">SUM(Model!BY11:CA11)</f>
        <v>0</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287</v>
      </c>
      <c r="B6" s="13" t="n">
        <f aca="false">SUM(Model!B57:D57)</f>
        <v>6354898.1</v>
      </c>
      <c r="C6" s="13" t="n">
        <f aca="false">SUM(Model!E57:G57)</f>
        <v>12836560.87</v>
      </c>
      <c r="D6" s="13" t="n">
        <f aca="false">SUM(Model!H57:J57)</f>
        <v>17344045.05</v>
      </c>
      <c r="E6" s="13" t="n">
        <f aca="false">SUM(Model!K57:M57)</f>
        <v>13417192.9709994</v>
      </c>
      <c r="F6" s="13" t="n">
        <f aca="false">SUM(Model!N57:P57)</f>
        <v>15384481.0738101</v>
      </c>
      <c r="G6" s="13" t="n">
        <f aca="false">SUM(Model!Q57:S57)</f>
        <v>19638513.0294183</v>
      </c>
      <c r="H6" s="13" t="n">
        <f aca="false">SUM(Model!T57:V57)</f>
        <v>27283214.5668941</v>
      </c>
      <c r="I6" s="13" t="n">
        <f aca="false">SUM(Model!W57:Y57)</f>
        <v>31786844.3676103</v>
      </c>
      <c r="J6" s="13" t="n">
        <f aca="false">SUM(Model!Z57:AB57)</f>
        <v>34135446.5840935</v>
      </c>
      <c r="K6" s="13" t="n">
        <f aca="false">SUM(Model!AC57:AE57)</f>
        <v>30562009.9003087</v>
      </c>
      <c r="L6" s="13" t="n">
        <f aca="false">SUM(Model!AF57:AH57)</f>
        <v>30393247.91548</v>
      </c>
      <c r="M6" s="13" t="n">
        <f aca="false">SUM(Model!AI57:AK57)</f>
        <v>23935155.8076937</v>
      </c>
      <c r="N6" s="13" t="n">
        <f aca="false">SUM(Model!AL57:AN57)</f>
        <v>18176013.3034845</v>
      </c>
      <c r="O6" s="13" t="n">
        <f aca="false">SUM(Model!AO57:AQ57)</f>
        <v>9844645.25366481</v>
      </c>
      <c r="P6" s="13" t="n">
        <f aca="false">SUM(Model!AR57:AT57)</f>
        <v>7417003.27884913</v>
      </c>
      <c r="Q6" s="13" t="n">
        <f aca="false">SUM(Model!AU57:AW57)</f>
        <v>5994053.75062843</v>
      </c>
      <c r="R6" s="13" t="n">
        <f aca="false">SUM(Model!AX57:AZ57)</f>
        <v>4425063.69147436</v>
      </c>
      <c r="S6" s="13" t="n">
        <f aca="false">SUM(Model!BA57:BC57)</f>
        <v>3503558.42661836</v>
      </c>
      <c r="T6" s="13" t="n">
        <f aca="false">SUM(Model!BD57:BF57)</f>
        <v>2479535.02903436</v>
      </c>
      <c r="U6" s="13" t="n">
        <f aca="false">SUM(Model!BG57:BI57)</f>
        <v>867400.448415307</v>
      </c>
      <c r="V6" s="13" t="n">
        <f aca="false">SUM(Model!BJ57:BL57)</f>
        <v>0</v>
      </c>
      <c r="W6" s="13" t="n">
        <f aca="false">SUM(Model!BM57:BO57)</f>
        <v>0</v>
      </c>
      <c r="X6" s="13" t="n">
        <f aca="false">SUM(Model!BP57:BR57)</f>
        <v>0</v>
      </c>
      <c r="Y6" s="13" t="n">
        <f aca="false">SUM(Model!BS57:BU57)</f>
        <v>0</v>
      </c>
      <c r="Z6" s="13" t="n">
        <f aca="false">SUM(Model!BV57:BX57)</f>
        <v>0</v>
      </c>
      <c r="AA6" s="13" t="n">
        <f aca="false">SUM(Model!BY57:CA57)</f>
        <v>0</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19471210.68</v>
      </c>
      <c r="E7" s="88" t="n">
        <f aca="false">SUM(Model!K58:M58)</f>
        <v>15290422.1509994</v>
      </c>
      <c r="F7" s="88" t="n">
        <f aca="false">SUM(Model!N58:P58)</f>
        <v>17639580.666928</v>
      </c>
      <c r="G7" s="88" t="n">
        <f aca="false">SUM(Model!Q58:S58)</f>
        <v>22591930.02029</v>
      </c>
      <c r="H7" s="88" t="n">
        <f aca="false">SUM(Model!T58:V58)</f>
        <v>31043940.225863</v>
      </c>
      <c r="I7" s="88" t="n">
        <f aca="false">SUM(Model!W58:Y58)</f>
        <v>35836787.5522655</v>
      </c>
      <c r="J7" s="88" t="n">
        <f aca="false">SUM(Model!Z58:AB58)</f>
        <v>37947344.4587486</v>
      </c>
      <c r="K7" s="88" t="n">
        <f aca="false">SUM(Model!AC58:AE58)</f>
        <v>33912637.1758323</v>
      </c>
      <c r="L7" s="88" t="n">
        <f aca="false">SUM(Model!AF58:AH58)</f>
        <v>34382498.1336589</v>
      </c>
      <c r="M7" s="88" t="n">
        <f aca="false">SUM(Model!AI58:AK58)</f>
        <v>26830562.7061727</v>
      </c>
      <c r="N7" s="88" t="n">
        <f aca="false">SUM(Model!AL58:AN58)</f>
        <v>20737819.9658809</v>
      </c>
      <c r="O7" s="88" t="n">
        <f aca="false">SUM(Model!AO58:AQ58)</f>
        <v>11688798.5756689</v>
      </c>
      <c r="P7" s="88" t="n">
        <f aca="false">SUM(Model!AR58:AT58)</f>
        <v>8916139.276446</v>
      </c>
      <c r="Q7" s="88" t="n">
        <f aca="false">SUM(Model!AU58:AW58)</f>
        <v>7084666.666702</v>
      </c>
      <c r="R7" s="88" t="n">
        <f aca="false">SUM(Model!AX58:AZ58)</f>
        <v>4898042.61408</v>
      </c>
      <c r="S7" s="88" t="n">
        <f aca="false">SUM(Model!BA58:BC58)</f>
        <v>3976537.349224</v>
      </c>
      <c r="T7" s="88" t="n">
        <f aca="false">SUM(Model!BD58:BF58)</f>
        <v>2952513.95164</v>
      </c>
      <c r="U7" s="88" t="n">
        <f aca="false">SUM(Model!BG58:BI58)</f>
        <v>1431656.005208</v>
      </c>
      <c r="V7" s="88" t="n">
        <f aca="false">SUM(Model!BJ58:BL58)</f>
        <v>0</v>
      </c>
      <c r="W7" s="88" t="n">
        <f aca="false">SUM(Model!BM58:BO58)</f>
        <v>0</v>
      </c>
      <c r="X7" s="88" t="n">
        <f aca="false">SUM(Model!BP58:BR58)</f>
        <v>0</v>
      </c>
      <c r="Y7" s="88" t="n">
        <f aca="false">SUM(Model!BS58:BU58)</f>
        <v>0</v>
      </c>
      <c r="Z7" s="88" t="n">
        <f aca="false">SUM(Model!BV58:BX58)</f>
        <v>0</v>
      </c>
      <c r="AA7" s="88" t="n">
        <f aca="false">SUM(Model!BY58:CA58)</f>
        <v>0</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-16799958.89</v>
      </c>
      <c r="E8" s="13" t="n">
        <f aca="false">SUM(Model!K104:M104)</f>
        <v>-13801877.3609994</v>
      </c>
      <c r="F8" s="13" t="n">
        <f aca="false">SUM(Model!N104:P104)</f>
        <v>-15591332.8538101</v>
      </c>
      <c r="G8" s="13" t="n">
        <f aca="false">SUM(Model!Q104:S104)</f>
        <v>-19801942.0994183</v>
      </c>
      <c r="H8" s="13" t="n">
        <f aca="false">SUM(Model!T104:V104)</f>
        <v>-27419768.7968941</v>
      </c>
      <c r="I8" s="13" t="n">
        <f aca="false">SUM(Model!W104:Y104)</f>
        <v>-31787481.1176103</v>
      </c>
      <c r="J8" s="13" t="n">
        <f aca="false">SUM(Model!Z104:AB104)</f>
        <v>-34133394.2840935</v>
      </c>
      <c r="K8" s="13" t="n">
        <f aca="false">SUM(Model!AC104:AE104)</f>
        <v>-30561106.8703087</v>
      </c>
      <c r="L8" s="13" t="n">
        <f aca="false">SUM(Model!AF104:AH104)</f>
        <v>-30391610.35548</v>
      </c>
      <c r="M8" s="13" t="n">
        <f aca="false">SUM(Model!AI104:AK104)</f>
        <v>-23933969.9076937</v>
      </c>
      <c r="N8" s="13" t="n">
        <f aca="false">SUM(Model!AL104:AN104)</f>
        <v>-18175298.9234845</v>
      </c>
      <c r="O8" s="13" t="n">
        <f aca="false">SUM(Model!AO104:AQ104)</f>
        <v>-9844645.25366481</v>
      </c>
      <c r="P8" s="13" t="n">
        <f aca="false">SUM(Model!AR104:AT104)</f>
        <v>-7417003.27884913</v>
      </c>
      <c r="Q8" s="13" t="n">
        <f aca="false">SUM(Model!AU104:AW104)</f>
        <v>-5994053.75062843</v>
      </c>
      <c r="R8" s="13" t="n">
        <f aca="false">SUM(Model!AX104:AZ104)</f>
        <v>-4425063.69147436</v>
      </c>
      <c r="S8" s="13" t="n">
        <f aca="false">SUM(Model!BA104:BC104)</f>
        <v>-3503558.42661836</v>
      </c>
      <c r="T8" s="13" t="n">
        <f aca="false">SUM(Model!BD104:BF104)</f>
        <v>-2479535.02903436</v>
      </c>
      <c r="U8" s="13" t="n">
        <f aca="false">SUM(Model!BG104:BI104)</f>
        <v>-867400.448415307</v>
      </c>
      <c r="V8" s="13" t="n">
        <f aca="false">SUM(Model!BJ104:BL104)</f>
        <v>0</v>
      </c>
      <c r="W8" s="13" t="n">
        <f aca="false">SUM(Model!BM104:BO104)</f>
        <v>0</v>
      </c>
      <c r="X8" s="13" t="n">
        <f aca="false">SUM(Model!BP104:BR104)</f>
        <v>0</v>
      </c>
      <c r="Y8" s="13" t="n">
        <f aca="false">SUM(Model!BS104:BU104)</f>
        <v>0</v>
      </c>
      <c r="Z8" s="13" t="n">
        <f aca="false">SUM(Model!BV104:BX104)</f>
        <v>0</v>
      </c>
      <c r="AA8" s="13" t="n">
        <f aca="false">SUM(Model!BY104:CA104)</f>
        <v>0</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288</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1335398.75012074</v>
      </c>
      <c r="H9" s="13" t="n">
        <f aca="false">SUM(Model!T150:V150)</f>
        <v>210141.059113301</v>
      </c>
      <c r="I9" s="13" t="n">
        <f aca="false">SUM(Model!W150:Y150)</f>
        <v>202551.724137931</v>
      </c>
      <c r="J9" s="13" t="n">
        <f aca="false">SUM(Model!Z150:AB150)</f>
        <v>0</v>
      </c>
      <c r="K9" s="13" t="n">
        <f aca="false">SUM(Model!AC150:AE150)</f>
        <v>611152.197044335</v>
      </c>
      <c r="L9" s="13" t="n">
        <f aca="false">SUM(Model!AF150:AH150)</f>
        <v>0</v>
      </c>
      <c r="M9" s="13" t="n">
        <f aca="false">SUM(Model!AI150:AK150)</f>
        <v>0</v>
      </c>
      <c r="N9" s="13" t="n">
        <f aca="false">SUM(Model!AL150:AN150)</f>
        <v>0</v>
      </c>
      <c r="O9" s="13" t="n">
        <f aca="false">SUM(Model!AO150:AQ150)</f>
        <v>0</v>
      </c>
      <c r="P9" s="13" t="n">
        <f aca="false">SUM(Model!AR150:AT150)</f>
        <v>0</v>
      </c>
      <c r="Q9" s="13" t="n">
        <f aca="false">SUM(Model!AU150:AW150)</f>
        <v>0</v>
      </c>
      <c r="R9" s="13" t="n">
        <f aca="false">SUM(Model!AX150:AZ150)</f>
        <v>0</v>
      </c>
      <c r="S9" s="13" t="n">
        <f aca="false">SUM(Model!BA150:BC150)</f>
        <v>0</v>
      </c>
      <c r="T9" s="13" t="n">
        <f aca="false">SUM(Model!BD150:BF150)</f>
        <v>0</v>
      </c>
      <c r="U9" s="13" t="n">
        <f aca="false">SUM(Model!BG150:BI150)</f>
        <v>0</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289</v>
      </c>
      <c r="B10" s="13" t="n">
        <f aca="false">SUM(Model!B196:D196)</f>
        <v>0</v>
      </c>
      <c r="C10" s="13" t="n">
        <f aca="false">SUM(Model!E196:G196)</f>
        <v>0</v>
      </c>
      <c r="D10" s="13" t="n">
        <f aca="false">SUM(Model!H196:J196)</f>
        <v>-0.00512500014156103</v>
      </c>
      <c r="E10" s="13" t="n">
        <f aca="false">SUM(Model!K196:M196)</f>
        <v>-376823.150184729</v>
      </c>
      <c r="F10" s="13" t="n">
        <f aca="false">SUM(Model!N196:P196)</f>
        <v>0</v>
      </c>
      <c r="G10" s="13" t="n">
        <f aca="false">SUM(Model!Q196:S196)</f>
        <v>-1120591.14987926</v>
      </c>
      <c r="H10" s="13" t="n">
        <f aca="false">SUM(Model!T196:V196)</f>
        <v>-251994.1533867</v>
      </c>
      <c r="I10" s="13" t="n">
        <f aca="false">SUM(Model!W196:Y196)</f>
        <v>-242893.275862069</v>
      </c>
      <c r="J10" s="13" t="n">
        <f aca="false">SUM(Model!Z196:AB196)</f>
        <v>0</v>
      </c>
      <c r="K10" s="13" t="n">
        <f aca="false">SUM(Model!AC196:AE196)</f>
        <v>-732873.342955665</v>
      </c>
      <c r="L10" s="13" t="n">
        <f aca="false">SUM(Model!AF196:AH196)</f>
        <v>0</v>
      </c>
      <c r="M10" s="13" t="n">
        <f aca="false">SUM(Model!AI196:AK196)</f>
        <v>0</v>
      </c>
      <c r="N10" s="13" t="n">
        <f aca="false">SUM(Model!AL196:AN196)</f>
        <v>0</v>
      </c>
      <c r="O10" s="13" t="n">
        <f aca="false">SUM(Model!AO196:AQ196)</f>
        <v>0</v>
      </c>
      <c r="P10" s="13" t="n">
        <f aca="false">SUM(Model!AR196:AT196)</f>
        <v>0</v>
      </c>
      <c r="Q10" s="13" t="n">
        <f aca="false">SUM(Model!AU196:AW196)</f>
        <v>0</v>
      </c>
      <c r="R10" s="13" t="n">
        <f aca="false">SUM(Model!AX196:AZ196)</f>
        <v>0</v>
      </c>
      <c r="S10" s="13" t="n">
        <f aca="false">SUM(Model!BA196:BC196)</f>
        <v>0</v>
      </c>
      <c r="T10" s="13" t="n">
        <f aca="false">SUM(Model!BD196:BF196)</f>
        <v>0</v>
      </c>
      <c r="U10" s="13" t="n">
        <f aca="false">SUM(Model!BG196:BI196)</f>
        <v>0</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3.5" hidden="false" customHeight="true" outlineLevel="0" collapsed="false">
      <c r="A11" s="22" t="s">
        <v>290</v>
      </c>
      <c r="B11" s="13" t="n">
        <f aca="false">SUM(Model!B197:D197)</f>
        <v>0</v>
      </c>
      <c r="C11" s="13" t="n">
        <f aca="false">SUM(Model!E197:G197)</f>
        <v>0</v>
      </c>
      <c r="D11" s="13" t="n">
        <f aca="false">SUM(Model!H197:J197)</f>
        <v>0</v>
      </c>
      <c r="E11" s="13" t="n">
        <f aca="false">SUM(Model!K197:M197)</f>
        <v>-1257.46999999927</v>
      </c>
      <c r="F11" s="13" t="n">
        <f aca="false">SUM(Model!N197:P197)</f>
        <v>-1394.43999999994</v>
      </c>
      <c r="G11" s="13" t="n">
        <f aca="false">SUM(Model!Q197:S197)</f>
        <v>-1514.04000000097</v>
      </c>
      <c r="H11" s="13" t="n">
        <f aca="false">SUM(Model!T197:V197)</f>
        <v>-2063.11000000127</v>
      </c>
      <c r="I11" s="13" t="n">
        <f aca="false">SUM(Model!W197:Y197)</f>
        <v>-2331.5299999984</v>
      </c>
      <c r="J11" s="13" t="n">
        <f aca="false">SUM(Model!Z197:AB197)</f>
        <v>-2052.30000000261</v>
      </c>
      <c r="K11" s="13" t="n">
        <f aca="false">SUM(Model!AC197:AE197)</f>
        <v>-903.030000001192</v>
      </c>
      <c r="L11" s="13" t="n">
        <f aca="false">SUM(Model!AF197:AH197)</f>
        <v>-1637.55999999866</v>
      </c>
      <c r="M11" s="13" t="n">
        <f aca="false">SUM(Model!AI197:AK197)</f>
        <v>-1185.89999999851</v>
      </c>
      <c r="N11" s="13" t="n">
        <f aca="false">SUM(Model!AL197:AN197)</f>
        <v>-714.380000002682</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3.5" hidden="false" customHeight="true" outlineLevel="0" collapsed="false">
      <c r="A12" s="22" t="s">
        <v>291</v>
      </c>
      <c r="B12" s="13" t="n">
        <f aca="false">SUM(Model!B198:D198)</f>
        <v>0</v>
      </c>
      <c r="C12" s="13" t="n">
        <f aca="false">SUM(Model!E198:G198)</f>
        <v>0</v>
      </c>
      <c r="D12" s="13" t="n">
        <f aca="false">SUM(Model!H198:J198)</f>
        <v>0</v>
      </c>
      <c r="E12" s="13" t="n">
        <f aca="false">SUM(Model!K198:M198)</f>
        <v>0</v>
      </c>
      <c r="F12" s="13" t="n">
        <f aca="false">SUM(Model!N198:P198)</f>
        <v>0</v>
      </c>
      <c r="G12" s="13" t="n">
        <f aca="false">SUM(Model!Q198:S198)</f>
        <v>0</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2671251.784875</v>
      </c>
      <c r="E13" s="32" t="n">
        <f aca="false">SUM(Model!K199:M199)</f>
        <v>1110464.16981527</v>
      </c>
      <c r="F13" s="32" t="n">
        <f aca="false">SUM(Model!N199:P199)</f>
        <v>2046853.37311785</v>
      </c>
      <c r="G13" s="32" t="n">
        <f aca="false">SUM(Model!Q199:S199)</f>
        <v>1667882.73099243</v>
      </c>
      <c r="H13" s="32" t="n">
        <f aca="false">SUM(Model!T199:V199)</f>
        <v>3370114.1655822</v>
      </c>
      <c r="I13" s="32" t="n">
        <f aca="false">SUM(Model!W199:Y199)</f>
        <v>3804081.62879307</v>
      </c>
      <c r="J13" s="32" t="n">
        <f aca="false">SUM(Model!Z199:AB199)</f>
        <v>3811897.87465514</v>
      </c>
      <c r="K13" s="32" t="n">
        <f aca="false">SUM(Model!AC199:AE199)</f>
        <v>2617753.93256802</v>
      </c>
      <c r="L13" s="32" t="n">
        <f aca="false">SUM(Model!AF199:AH199)</f>
        <v>3989250.21817888</v>
      </c>
      <c r="M13" s="32" t="n">
        <f aca="false">SUM(Model!AI199:AK199)</f>
        <v>2895406.89847894</v>
      </c>
      <c r="N13" s="32" t="n">
        <f aca="false">SUM(Model!AL199:AN199)</f>
        <v>2561806.66239644</v>
      </c>
      <c r="O13" s="32" t="n">
        <f aca="false">SUM(Model!AO199:AQ199)</f>
        <v>1844153.32200405</v>
      </c>
      <c r="P13" s="32" t="n">
        <f aca="false">SUM(Model!AR199:AT199)</f>
        <v>1499135.99759687</v>
      </c>
      <c r="Q13" s="32" t="n">
        <f aca="false">SUM(Model!AU199:AW199)</f>
        <v>1090612.91607357</v>
      </c>
      <c r="R13" s="32" t="n">
        <f aca="false">SUM(Model!AX199:AZ199)</f>
        <v>472978.92260564</v>
      </c>
      <c r="S13" s="32" t="n">
        <f aca="false">SUM(Model!BA199:BC199)</f>
        <v>472978.92260564</v>
      </c>
      <c r="T13" s="32" t="n">
        <f aca="false">SUM(Model!BD199:BF199)</f>
        <v>472978.92260564</v>
      </c>
      <c r="U13" s="32" t="n">
        <f aca="false">SUM(Model!BG199:BI199)</f>
        <v>564255.556792693</v>
      </c>
      <c r="V13" s="32" t="n">
        <f aca="false">SUM(Model!BJ199:BL199)</f>
        <v>0</v>
      </c>
      <c r="W13" s="32" t="n">
        <f aca="false">SUM(Model!BM199:BO199)</f>
        <v>0</v>
      </c>
      <c r="X13" s="32" t="n">
        <f aca="false">SUM(Model!BP199:BR199)</f>
        <v>0</v>
      </c>
      <c r="Y13" s="32" t="n">
        <f aca="false">SUM(Model!BS199:BU199)</f>
        <v>0</v>
      </c>
      <c r="Z13" s="32" t="n">
        <f aca="false">SUM(Model!BV199:BX199)</f>
        <v>0</v>
      </c>
      <c r="AA13" s="32" t="n">
        <f aca="false">SUM(Model!BY199:CA199)</f>
        <v>0</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0.137189814684651</v>
      </c>
      <c r="E14" s="89" t="n">
        <f aca="false">IFERROR(E13/E7,0)</f>
        <v>0.0726248208747261</v>
      </c>
      <c r="F14" s="89" t="n">
        <f aca="false">IFERROR(F13/F7,0)</f>
        <v>0.116037530129922</v>
      </c>
      <c r="G14" s="89" t="n">
        <f aca="false">IFERROR(G13/G7,0)</f>
        <v>0.0738264827084049</v>
      </c>
      <c r="H14" s="89" t="n">
        <f aca="false">IFERROR(H13/H7,0)</f>
        <v>0.108559485073822</v>
      </c>
      <c r="I14" s="89" t="n">
        <f aca="false">IFERROR(I13/I7,0)</f>
        <v>0.106150185008773</v>
      </c>
      <c r="J14" s="89" t="n">
        <f aca="false">IFERROR(J13/J7,0)</f>
        <v>0.100452295912272</v>
      </c>
      <c r="K14" s="89" t="n">
        <f aca="false">IFERROR(K13/K7,0)</f>
        <v>0.0771911048673487</v>
      </c>
      <c r="L14" s="89" t="n">
        <f aca="false">IFERROR(L13/L7,0)</f>
        <v>0.11602560705947</v>
      </c>
      <c r="M14" s="89" t="n">
        <f aca="false">IFERROR(M13/M7,0)</f>
        <v>0.107914505192723</v>
      </c>
      <c r="N14" s="89" t="n">
        <f aca="false">IFERROR(N13/N7,0)</f>
        <v>0.123533074672809</v>
      </c>
      <c r="O14" s="89" t="n">
        <f aca="false">IFERROR(O13/O7,0)</f>
        <v>0.157770989898209</v>
      </c>
      <c r="P14" s="89" t="n">
        <f aca="false">IFERROR(P13/P7,0)</f>
        <v>0.168137346346437</v>
      </c>
      <c r="Q14" s="89" t="n">
        <f aca="false">IFERROR(Q13/Q7,0)</f>
        <v>0.153939905345083</v>
      </c>
      <c r="R14" s="89" t="n">
        <f aca="false">IFERROR(R13/R7,0)</f>
        <v>0.0965648851739277</v>
      </c>
      <c r="S14" s="89" t="n">
        <f aca="false">IFERROR(S13/S7,0)</f>
        <v>0.118942406689061</v>
      </c>
      <c r="T14" s="89" t="n">
        <f aca="false">IFERROR(T13/T7,0)</f>
        <v>0.160195321801247</v>
      </c>
      <c r="U14" s="89" t="n">
        <f aca="false">IFERROR(U13/U7,0)</f>
        <v>0.394127887383614</v>
      </c>
      <c r="V14" s="89" t="n">
        <f aca="false">IFERROR(V13/V7,0)</f>
        <v>0</v>
      </c>
      <c r="W14" s="89" t="n">
        <f aca="false">IFERROR(W13/W7,0)</f>
        <v>0</v>
      </c>
      <c r="X14" s="89" t="n">
        <f aca="false">IFERROR(X13/X7,0)</f>
        <v>0</v>
      </c>
      <c r="Y14" s="89" t="n">
        <f aca="false">IFERROR(Y13/Y7,0)</f>
        <v>0</v>
      </c>
      <c r="Z14" s="89" t="n">
        <f aca="false">IFERROR(Z13/Z7,0)</f>
        <v>0</v>
      </c>
      <c r="AA14" s="89" t="n">
        <f aca="false">IFERROR(AA13/AA7,0)</f>
        <v>0</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292</v>
      </c>
      <c r="B17" s="13" t="n">
        <f aca="false">SUM(Model!B203:D204)+SUM(Model!B206:D210)</f>
        <v>-637683.26</v>
      </c>
      <c r="C17" s="13" t="n">
        <f aca="false">SUM(Model!E203:G204)+SUM(Model!E206:G210)</f>
        <v>-493512.62</v>
      </c>
      <c r="D17" s="13" t="n">
        <f aca="false">SUM(Model!H203:J204)+SUM(Model!H206:J210)</f>
        <v>-837179.77</v>
      </c>
      <c r="E17" s="13" t="n">
        <f aca="false">SUM(Model!K203:M204)+SUM(Model!K206:M210)</f>
        <v>-1084185.409</v>
      </c>
      <c r="F17" s="13" t="n">
        <f aca="false">SUM(Model!N203:P204)+SUM(Model!N206:P210)</f>
        <v>-996233.534</v>
      </c>
      <c r="G17" s="13" t="n">
        <f aca="false">SUM(Model!Q203:S204)+SUM(Model!Q206:S210)</f>
        <v>-1158546.034</v>
      </c>
      <c r="H17" s="13" t="n">
        <f aca="false">SUM(Model!T203:V204)+SUM(Model!T206:V210)</f>
        <v>-1291642.284</v>
      </c>
      <c r="I17" s="13" t="n">
        <f aca="false">SUM(Model!W203:Y204)+SUM(Model!W206:Y210)</f>
        <v>-1647462.284</v>
      </c>
      <c r="J17" s="13" t="n">
        <f aca="false">SUM(Model!Z203:AB204)+SUM(Model!Z206:AB210)</f>
        <v>-1476411.52968</v>
      </c>
      <c r="K17" s="13" t="n">
        <f aca="false">SUM(Model!AC203:AE204)+SUM(Model!AC206:AE210)</f>
        <v>-1350113.85468</v>
      </c>
      <c r="L17" s="13" t="n">
        <f aca="false">SUM(Model!AF203:AH204)+SUM(Model!AF206:AH210)</f>
        <v>-1273956.82968</v>
      </c>
      <c r="M17" s="13" t="n">
        <f aca="false">SUM(Model!AI203:AK204)+SUM(Model!AI206:AK210)</f>
        <v>-1426654.32968</v>
      </c>
      <c r="N17" s="13" t="n">
        <f aca="false">SUM(Model!AL203:AN204)+SUM(Model!AL206:AN210)</f>
        <v>-1177367.1347736</v>
      </c>
      <c r="O17" s="13" t="n">
        <f aca="false">SUM(Model!AO203:AQ204)+SUM(Model!AO206:AQ210)</f>
        <v>-1026349.1732736</v>
      </c>
      <c r="P17" s="13" t="n">
        <f aca="false">SUM(Model!AR203:AT204)+SUM(Model!AR206:AT210)</f>
        <v>-1002224.8982736</v>
      </c>
      <c r="Q17" s="13" t="n">
        <f aca="false">SUM(Model!AU203:AW204)+SUM(Model!AU206:AW210)</f>
        <v>-1166038.4857736</v>
      </c>
      <c r="R17" s="13" t="n">
        <f aca="false">SUM(Model!AX203:AZ204)+SUM(Model!AX206:AZ210)</f>
        <v>-985359.255489072</v>
      </c>
      <c r="S17" s="13" t="n">
        <f aca="false">SUM(Model!BA203:BC204)+SUM(Model!BA206:BC210)</f>
        <v>-985359.255489072</v>
      </c>
      <c r="T17" s="13" t="n">
        <f aca="false">SUM(Model!BD203:BF204)+SUM(Model!BD206:BF210)</f>
        <v>-985359.255489072</v>
      </c>
      <c r="U17" s="13" t="n">
        <f aca="false">SUM(Model!BG203:BI204)+SUM(Model!BG206:BI210)</f>
        <v>-1185359.25548907</v>
      </c>
      <c r="V17" s="13" t="n">
        <f aca="false">SUM(Model!BJ203:BL204)+SUM(Model!BJ206:BL210)</f>
        <v>-1005066.44059885</v>
      </c>
      <c r="W17" s="13" t="n">
        <f aca="false">SUM(Model!BM203:BO204)+SUM(Model!BM206:BO210)</f>
        <v>-1005066.44059885</v>
      </c>
      <c r="X17" s="13" t="n">
        <f aca="false">SUM(Model!BP203:BR204)+SUM(Model!BP206:BR210)</f>
        <v>-1005066.44059885</v>
      </c>
      <c r="Y17" s="13" t="n">
        <f aca="false">SUM(Model!BS203:BU204)+SUM(Model!BS206:BU210)</f>
        <v>-1205066.44059885</v>
      </c>
      <c r="Z17" s="13" t="n">
        <f aca="false">SUM(Model!BV203:BX204)+SUM(Model!BV206:BX210)</f>
        <v>-1025167.76941083</v>
      </c>
      <c r="AA17" s="13" t="n">
        <f aca="false">SUM(Model!BY203:CA204)+SUM(Model!BY206:CA210)</f>
        <v>-1025167.76941083</v>
      </c>
      <c r="AB17" s="13" t="n">
        <f aca="false">SUM(Model!CB203:CD204)+SUM(Model!CB206:CD210)</f>
        <v>-1025167.76941083</v>
      </c>
      <c r="AC17" s="13" t="n">
        <f aca="false">SUM(Model!CE203:CG204)+SUM(Model!CE206:CG210)</f>
        <v>-1225167.76941083</v>
      </c>
      <c r="AD17" s="13" t="n">
        <f aca="false">SUM(Model!CH203:CJ204)+SUM(Model!CH206:CJ210)</f>
        <v>-1045671.12479905</v>
      </c>
      <c r="AE17" s="13" t="n">
        <f aca="false">SUM(Model!CK203:CM204)+SUM(Model!CK206:CM210)</f>
        <v>-1045671.12479905</v>
      </c>
      <c r="AF17" s="13" t="n">
        <f aca="false">SUM(Model!CN203:CP204)+SUM(Model!CN206:CP210)</f>
        <v>-1045671.12479905</v>
      </c>
      <c r="AG17" s="13" t="n">
        <f aca="false">SUM(Model!CQ203:CS204)+SUM(Model!CQ206:CS210)</f>
        <v>-1245671.12479905</v>
      </c>
      <c r="AH17" s="13" t="n">
        <f aca="false">SUM(Model!CT203:CV204)+SUM(Model!CT206:CV210)</f>
        <v>-944958.223692007</v>
      </c>
      <c r="AI17" s="13" t="n">
        <f aca="false">SUM(Model!CW203:CY204)+SUM(Model!CW206:CY210)</f>
        <v>-944958.223692007</v>
      </c>
      <c r="AJ17" s="13" t="n">
        <f aca="false">SUM(Model!CZ203:DB204)+SUM(Model!CZ206:DB210)</f>
        <v>-944958.223692007</v>
      </c>
      <c r="AK17" s="13" t="n">
        <f aca="false">SUM(Model!DC203:DE204)+SUM(Model!DC206:DE210)</f>
        <v>-1144958.22369201</v>
      </c>
    </row>
    <row r="18" customFormat="false" ht="15" hidden="false" customHeight="true" outlineLevel="0" collapsed="false">
      <c r="A18" s="22" t="s">
        <v>293</v>
      </c>
      <c r="B18" s="13" t="n">
        <f aca="false">SUM(Model!B211:D233)+SUM(Model!B235:D235)</f>
        <v>-235164.52</v>
      </c>
      <c r="C18" s="13" t="n">
        <f aca="false">SUM(Model!E211:G233)+SUM(Model!E235:G235)</f>
        <v>-340675</v>
      </c>
      <c r="D18" s="13" t="n">
        <f aca="false">SUM(Model!H211:J233)+SUM(Model!H235:J235)</f>
        <v>-245396.75</v>
      </c>
      <c r="E18" s="13" t="n">
        <f aca="false">SUM(Model!K211:M233)+SUM(Model!K235:M235)</f>
        <v>-212397.48</v>
      </c>
      <c r="F18" s="13" t="n">
        <f aca="false">SUM(Model!N211:P233)+SUM(Model!N235:P235)</f>
        <v>-261272.48</v>
      </c>
      <c r="G18" s="13" t="n">
        <f aca="false">SUM(Model!Q211:S233)+SUM(Model!Q235:S235)</f>
        <v>-281397.48</v>
      </c>
      <c r="H18" s="13" t="n">
        <f aca="false">SUM(Model!T211:V233)+SUM(Model!T235:V235)</f>
        <v>-204897.48</v>
      </c>
      <c r="I18" s="13" t="n">
        <f aca="false">SUM(Model!W211:Y233)+SUM(Model!W235:Y235)</f>
        <v>-246897.48</v>
      </c>
      <c r="J18" s="13" t="n">
        <f aca="false">SUM(Model!Z211:AB233)+SUM(Model!Z235:AB235)</f>
        <v>-212505.4296</v>
      </c>
      <c r="K18" s="13" t="n">
        <f aca="false">SUM(Model!AC211:AE233)+SUM(Model!AC235:AE235)</f>
        <v>-254043.891138462</v>
      </c>
      <c r="L18" s="13" t="n">
        <f aca="false">SUM(Model!AF211:AH233)+SUM(Model!AF235:AH235)</f>
        <v>-238659.275753846</v>
      </c>
      <c r="M18" s="13" t="n">
        <f aca="false">SUM(Model!AI211:AK233)+SUM(Model!AI235:AK235)</f>
        <v>-212505.4296</v>
      </c>
      <c r="N18" s="13" t="n">
        <f aca="false">SUM(Model!AL211:AN233)+SUM(Model!AL235:AN235)</f>
        <v>-249753.307422769</v>
      </c>
      <c r="O18" s="13" t="n">
        <f aca="false">SUM(Model!AO211:AQ233)+SUM(Model!AO235:AQ235)</f>
        <v>-247445.615115077</v>
      </c>
      <c r="P18" s="13" t="n">
        <f aca="false">SUM(Model!AR211:AT233)+SUM(Model!AR235:AT235)</f>
        <v>-215522.538192</v>
      </c>
      <c r="Q18" s="13" t="n">
        <f aca="false">SUM(Model!AU211:AW233)+SUM(Model!AU235:AW235)</f>
        <v>-225137.922807385</v>
      </c>
      <c r="R18" s="13" t="n">
        <f aca="false">SUM(Model!AX211:AZ233)+SUM(Model!AX235:AZ235)</f>
        <v>-218599.98895584</v>
      </c>
      <c r="S18" s="13" t="n">
        <f aca="false">SUM(Model!BA211:BC233)+SUM(Model!BA235:BC235)</f>
        <v>-218599.98895584</v>
      </c>
      <c r="T18" s="13" t="n">
        <f aca="false">SUM(Model!BD211:BF233)+SUM(Model!BD235:BF235)</f>
        <v>-218599.98895584</v>
      </c>
      <c r="U18" s="13" t="n">
        <f aca="false">SUM(Model!BG211:BI233)+SUM(Model!BG235:BI235)</f>
        <v>-218599.98895584</v>
      </c>
      <c r="V18" s="13" t="n">
        <f aca="false">SUM(Model!BJ211:BL233)+SUM(Model!BJ235:BL235)</f>
        <v>-221738.988734957</v>
      </c>
      <c r="W18" s="13" t="n">
        <f aca="false">SUM(Model!BM211:BO233)+SUM(Model!BM235:BO235)</f>
        <v>-221738.988734957</v>
      </c>
      <c r="X18" s="13" t="n">
        <f aca="false">SUM(Model!BP211:BR233)+SUM(Model!BP235:BR235)</f>
        <v>-221738.988734957</v>
      </c>
      <c r="Y18" s="13" t="n">
        <f aca="false">SUM(Model!BS211:BU233)+SUM(Model!BS235:BU235)</f>
        <v>-221738.988734957</v>
      </c>
      <c r="Z18" s="13" t="n">
        <f aca="false">SUM(Model!BV211:BX233)+SUM(Model!BV235:BX235)</f>
        <v>-224940.768509656</v>
      </c>
      <c r="AA18" s="13" t="n">
        <f aca="false">SUM(Model!BY211:CA233)+SUM(Model!BY235:CA235)</f>
        <v>-224940.768509656</v>
      </c>
      <c r="AB18" s="13" t="n">
        <f aca="false">SUM(Model!CB211:CD233)+SUM(Model!CB235:CD235)</f>
        <v>-224940.768509656</v>
      </c>
      <c r="AC18" s="13" t="n">
        <f aca="false">SUM(Model!CE211:CG233)+SUM(Model!CE235:CG235)</f>
        <v>-224940.768509656</v>
      </c>
      <c r="AD18" s="13" t="n">
        <f aca="false">SUM(Model!CH211:CJ233)+SUM(Model!CH235:CJ235)</f>
        <v>-228206.583879849</v>
      </c>
      <c r="AE18" s="13" t="n">
        <f aca="false">SUM(Model!CK211:CM233)+SUM(Model!CK235:CM235)</f>
        <v>-228206.583879849</v>
      </c>
      <c r="AF18" s="13" t="n">
        <f aca="false">SUM(Model!CN211:CP233)+SUM(Model!CN235:CP235)</f>
        <v>-228206.583879849</v>
      </c>
      <c r="AG18" s="13" t="n">
        <f aca="false">SUM(Model!CQ211:CS233)+SUM(Model!CQ235:CS235)</f>
        <v>-228206.583879849</v>
      </c>
      <c r="AH18" s="13" t="n">
        <f aca="false">SUM(Model!CT211:CV233)+SUM(Model!CT235:CV235)</f>
        <v>-231537.715557446</v>
      </c>
      <c r="AI18" s="13" t="n">
        <f aca="false">SUM(Model!CW211:CY233)+SUM(Model!CW235:CY235)</f>
        <v>-231537.715557446</v>
      </c>
      <c r="AJ18" s="13" t="n">
        <f aca="false">SUM(Model!CZ211:DB233)+SUM(Model!CZ235:DB235)</f>
        <v>-231537.715557446</v>
      </c>
      <c r="AK18" s="13" t="n">
        <f aca="false">SUM(Model!DC211:DE233)+SUM(Model!DC235:DE235)</f>
        <v>-231537.715557446</v>
      </c>
    </row>
    <row r="19" customFormat="false" ht="15" hidden="false" customHeight="true" outlineLevel="0" collapsed="false">
      <c r="A19" s="22" t="s">
        <v>294</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295</v>
      </c>
      <c r="B20" s="13" t="n">
        <f aca="false">SUM(Model!B234:D234)</f>
        <v>0</v>
      </c>
      <c r="C20" s="13" t="n">
        <f aca="false">SUM(Model!E234:G234)</f>
        <v>0</v>
      </c>
      <c r="D20" s="13" t="n">
        <f aca="false">SUM(Model!H234:J234)</f>
        <v>0</v>
      </c>
      <c r="E20" s="13" t="n">
        <f aca="false">SUM(Model!K234:M234)</f>
        <v>0</v>
      </c>
      <c r="F20" s="13" t="n">
        <f aca="false">SUM(Model!N234:P234)</f>
        <v>0</v>
      </c>
      <c r="G20" s="13" t="n">
        <f aca="false">SUM(Model!Q234:S234)</f>
        <v>0</v>
      </c>
      <c r="H20" s="13" t="n">
        <f aca="false">SUM(Model!T234:V234)</f>
        <v>0</v>
      </c>
      <c r="I20" s="13" t="n">
        <f aca="false">SUM(Model!W234:Y234)</f>
        <v>-62565.82645</v>
      </c>
      <c r="J20" s="13" t="n">
        <f aca="false">SUM(Model!Z234:AB234)</f>
        <v>0</v>
      </c>
      <c r="K20" s="13" t="n">
        <f aca="false">SUM(Model!AC234:AE234)</f>
        <v>0</v>
      </c>
      <c r="L20" s="13" t="n">
        <f aca="false">SUM(Model!AF234:AH234)</f>
        <v>0</v>
      </c>
      <c r="M20" s="13" t="n">
        <f aca="false">SUM(Model!AI234:AK234)</f>
        <v>0</v>
      </c>
      <c r="N20" s="13" t="n">
        <f aca="false">SUM(Model!AL234:AN234)</f>
        <v>0</v>
      </c>
      <c r="O20" s="13" t="n">
        <f aca="false">SUM(Model!AO234:AQ234)</f>
        <v>0</v>
      </c>
      <c r="P20" s="13" t="n">
        <f aca="false">SUM(Model!AR234:AT234)</f>
        <v>-53891.1325195699</v>
      </c>
      <c r="Q20" s="13" t="n">
        <f aca="false">SUM(Model!AU234:AW234)</f>
        <v>0</v>
      </c>
      <c r="R20" s="13" t="n">
        <f aca="false">SUM(Model!AX234:AZ234)</f>
        <v>0</v>
      </c>
      <c r="S20" s="13" t="n">
        <f aca="false">SUM(Model!BA234:BC234)</f>
        <v>0</v>
      </c>
      <c r="T20" s="13" t="n">
        <f aca="false">SUM(Model!BD234:BF234)</f>
        <v>0</v>
      </c>
      <c r="U20" s="13" t="n">
        <f aca="false">SUM(Model!BG234:BI234)</f>
        <v>0</v>
      </c>
      <c r="V20" s="13" t="n">
        <f aca="false">SUM(Model!BJ234:BL234)</f>
        <v>0</v>
      </c>
      <c r="W20" s="13" t="n">
        <f aca="false">SUM(Model!BM234:BO234)</f>
        <v>0</v>
      </c>
      <c r="X20" s="13" t="n">
        <f aca="false">SUM(Model!BP234:BR234)</f>
        <v>0</v>
      </c>
      <c r="Y20" s="13" t="n">
        <f aca="false">SUM(Model!BS234:BU234)</f>
        <v>0</v>
      </c>
      <c r="Z20" s="13" t="n">
        <f aca="false">SUM(Model!BV234:BX234)</f>
        <v>0</v>
      </c>
      <c r="AA20" s="13" t="n">
        <f aca="false">SUM(Model!BY234:CA234)</f>
        <v>0</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-1087406.25</v>
      </c>
      <c r="E21" s="88" t="n">
        <f aca="false">SUM(Model!K236:M236)</f>
        <v>-1296582.889</v>
      </c>
      <c r="F21" s="88" t="n">
        <f aca="false">SUM(Model!N236:P236)</f>
        <v>-1257506.014</v>
      </c>
      <c r="G21" s="88" t="n">
        <f aca="false">SUM(Model!Q236:S236)</f>
        <v>-1439943.514</v>
      </c>
      <c r="H21" s="88" t="n">
        <f aca="false">SUM(Model!T236:V236)</f>
        <v>-1496539.764</v>
      </c>
      <c r="I21" s="88" t="n">
        <f aca="false">SUM(Model!W236:Y236)</f>
        <v>-1956925.59045</v>
      </c>
      <c r="J21" s="88" t="n">
        <f aca="false">SUM(Model!Z236:AB236)</f>
        <v>-1688916.95928</v>
      </c>
      <c r="K21" s="88" t="n">
        <f aca="false">SUM(Model!AC236:AE236)</f>
        <v>-1604157.74581846</v>
      </c>
      <c r="L21" s="88" t="n">
        <f aca="false">SUM(Model!AF236:AH236)</f>
        <v>-1512616.10543385</v>
      </c>
      <c r="M21" s="88" t="n">
        <f aca="false">SUM(Model!AI236:AK236)</f>
        <v>-1639159.75928</v>
      </c>
      <c r="N21" s="88" t="n">
        <f aca="false">SUM(Model!AL236:AN236)</f>
        <v>-1427120.44219637</v>
      </c>
      <c r="O21" s="88" t="n">
        <f aca="false">SUM(Model!AO236:AQ236)</f>
        <v>-1273794.78838868</v>
      </c>
      <c r="P21" s="88" t="n">
        <f aca="false">SUM(Model!AR236:AT236)</f>
        <v>-1271638.56898517</v>
      </c>
      <c r="Q21" s="88" t="n">
        <f aca="false">SUM(Model!AU236:AW236)</f>
        <v>-1391176.40858098</v>
      </c>
      <c r="R21" s="88" t="n">
        <f aca="false">SUM(Model!AX236:AZ236)</f>
        <v>-1203959.24444491</v>
      </c>
      <c r="S21" s="88" t="n">
        <f aca="false">SUM(Model!BA236:BC236)</f>
        <v>-1203959.24444491</v>
      </c>
      <c r="T21" s="88" t="n">
        <f aca="false">SUM(Model!BD236:BF236)</f>
        <v>-1203959.24444491</v>
      </c>
      <c r="U21" s="88" t="n">
        <f aca="false">SUM(Model!BG236:BI236)</f>
        <v>-1403959.24444491</v>
      </c>
      <c r="V21" s="88" t="n">
        <f aca="false">SUM(Model!BJ236:BL236)</f>
        <v>-1226805.42933381</v>
      </c>
      <c r="W21" s="88" t="n">
        <f aca="false">SUM(Model!BM236:BO236)</f>
        <v>-1226805.42933381</v>
      </c>
      <c r="X21" s="88" t="n">
        <f aca="false">SUM(Model!BP236:BR236)</f>
        <v>-1226805.42933381</v>
      </c>
      <c r="Y21" s="88" t="n">
        <f aca="false">SUM(Model!BS236:BU236)</f>
        <v>-1426805.42933381</v>
      </c>
      <c r="Z21" s="88" t="n">
        <f aca="false">SUM(Model!BV236:BX236)</f>
        <v>-1250108.53792049</v>
      </c>
      <c r="AA21" s="88" t="n">
        <f aca="false">SUM(Model!BY236:CA236)</f>
        <v>-1250108.53792049</v>
      </c>
      <c r="AB21" s="88" t="n">
        <f aca="false">SUM(Model!CB236:CD236)</f>
        <v>-1250108.53792049</v>
      </c>
      <c r="AC21" s="88" t="n">
        <f aca="false">SUM(Model!CE236:CG236)</f>
        <v>-1450108.53792049</v>
      </c>
      <c r="AD21" s="88" t="n">
        <f aca="false">SUM(Model!CH236:CJ236)</f>
        <v>-1273877.7086789</v>
      </c>
      <c r="AE21" s="88" t="n">
        <f aca="false">SUM(Model!CK236:CM236)</f>
        <v>-1273877.7086789</v>
      </c>
      <c r="AF21" s="88" t="n">
        <f aca="false">SUM(Model!CN236:CP236)</f>
        <v>-1273877.7086789</v>
      </c>
      <c r="AG21" s="88" t="n">
        <f aca="false">SUM(Model!CQ236:CS236)</f>
        <v>-1473877.7086789</v>
      </c>
      <c r="AH21" s="88" t="n">
        <f aca="false">SUM(Model!CT236:CV236)</f>
        <v>-1176495.93924945</v>
      </c>
      <c r="AI21" s="88" t="n">
        <f aca="false">SUM(Model!CW236:CY236)</f>
        <v>-1176495.93924945</v>
      </c>
      <c r="AJ21" s="88" t="n">
        <f aca="false">SUM(Model!CZ236:DB236)</f>
        <v>-1176495.93924945</v>
      </c>
      <c r="AK21" s="88" t="n">
        <f aca="false">SUM(Model!DC236:DE236)</f>
        <v>-1376495.93924945</v>
      </c>
    </row>
    <row r="22" customFormat="false" ht="15" hidden="false" customHeight="true" outlineLevel="0" collapsed="false">
      <c r="A22" s="87" t="s">
        <v>98</v>
      </c>
      <c r="B22" s="91" t="n">
        <f aca="false">SUM(Model!B237:D237)</f>
        <v>-110907.17</v>
      </c>
      <c r="C22" s="91" t="n">
        <f aca="false">SUM(Model!E237:G237)</f>
        <v>719445.780000001</v>
      </c>
      <c r="D22" s="91" t="n">
        <f aca="false">SUM(Model!H237:J237)</f>
        <v>1583845.534875</v>
      </c>
      <c r="E22" s="91" t="n">
        <f aca="false">SUM(Model!K237:M237)</f>
        <v>-186118.719184727</v>
      </c>
      <c r="F22" s="91" t="n">
        <f aca="false">SUM(Model!N237:P237)</f>
        <v>789347.35911785</v>
      </c>
      <c r="G22" s="91" t="n">
        <f aca="false">SUM(Model!Q237:S237)</f>
        <v>227939.216992431</v>
      </c>
      <c r="H22" s="91" t="n">
        <f aca="false">SUM(Model!T237:V237)</f>
        <v>1873574.4015822</v>
      </c>
      <c r="I22" s="91" t="n">
        <f aca="false">SUM(Model!W237:Y237)</f>
        <v>1847156.03834307</v>
      </c>
      <c r="J22" s="91" t="n">
        <f aca="false">SUM(Model!Z237:AB237)</f>
        <v>2122980.91537514</v>
      </c>
      <c r="K22" s="91" t="n">
        <f aca="false">SUM(Model!AC237:AE237)</f>
        <v>1013596.18674956</v>
      </c>
      <c r="L22" s="91" t="n">
        <f aca="false">SUM(Model!AF237:AH237)</f>
        <v>2476634.11274503</v>
      </c>
      <c r="M22" s="91" t="n">
        <f aca="false">SUM(Model!AI237:AK237)</f>
        <v>1256247.13919894</v>
      </c>
      <c r="N22" s="91" t="n">
        <f aca="false">SUM(Model!AL237:AN237)</f>
        <v>1134686.22020007</v>
      </c>
      <c r="O22" s="91" t="n">
        <f aca="false">SUM(Model!AO237:AQ237)</f>
        <v>570358.533615377</v>
      </c>
      <c r="P22" s="91" t="n">
        <f aca="false">SUM(Model!AR237:AT237)</f>
        <v>227497.428611701</v>
      </c>
      <c r="Q22" s="91" t="n">
        <f aca="false">SUM(Model!AU237:AW237)</f>
        <v>-300563.492507411</v>
      </c>
      <c r="R22" s="91" t="n">
        <f aca="false">SUM(Model!AX237:AZ237)</f>
        <v>-730980.321839272</v>
      </c>
      <c r="S22" s="91" t="n">
        <f aca="false">SUM(Model!BA237:BC237)</f>
        <v>-730980.321839272</v>
      </c>
      <c r="T22" s="91" t="n">
        <f aca="false">SUM(Model!BD237:BF237)</f>
        <v>-730980.321839272</v>
      </c>
      <c r="U22" s="91" t="n">
        <f aca="false">SUM(Model!BG237:BI237)</f>
        <v>-839703.687652219</v>
      </c>
      <c r="V22" s="91" t="n">
        <f aca="false">SUM(Model!BJ237:BL237)</f>
        <v>-1226805.42933381</v>
      </c>
      <c r="W22" s="91" t="n">
        <f aca="false">SUM(Model!BM237:BO237)</f>
        <v>-1226805.42933381</v>
      </c>
      <c r="X22" s="91" t="n">
        <f aca="false">SUM(Model!BP237:BR237)</f>
        <v>-1226805.42933381</v>
      </c>
      <c r="Y22" s="91" t="n">
        <f aca="false">SUM(Model!BS237:BU237)</f>
        <v>-1426805.42933381</v>
      </c>
      <c r="Z22" s="91" t="n">
        <f aca="false">SUM(Model!BV237:BX237)</f>
        <v>-1250108.53792049</v>
      </c>
      <c r="AA22" s="91" t="n">
        <f aca="false">SUM(Model!BY237:CA237)</f>
        <v>-1250108.53792049</v>
      </c>
      <c r="AB22" s="91" t="n">
        <f aca="false">SUM(Model!CB237:CD237)</f>
        <v>-1250108.53792049</v>
      </c>
      <c r="AC22" s="91" t="n">
        <f aca="false">SUM(Model!CE237:CG237)</f>
        <v>-1450108.53792049</v>
      </c>
      <c r="AD22" s="91" t="n">
        <f aca="false">SUM(Model!CH237:CJ237)</f>
        <v>-1273877.7086789</v>
      </c>
      <c r="AE22" s="91" t="n">
        <f aca="false">SUM(Model!CK237:CM237)</f>
        <v>-1273877.7086789</v>
      </c>
      <c r="AF22" s="91" t="n">
        <f aca="false">SUM(Model!CN237:CP237)</f>
        <v>-1273877.7086789</v>
      </c>
      <c r="AG22" s="91" t="n">
        <f aca="false">SUM(Model!CQ237:CS237)</f>
        <v>-1473877.7086789</v>
      </c>
      <c r="AH22" s="91" t="n">
        <f aca="false">SUM(Model!CT237:CV237)</f>
        <v>-1176495.93924945</v>
      </c>
      <c r="AI22" s="91" t="n">
        <f aca="false">SUM(Model!CW237:CY237)</f>
        <v>-1176495.93924945</v>
      </c>
      <c r="AJ22" s="91" t="n">
        <f aca="false">SUM(Model!CZ237:DB237)</f>
        <v>-1176495.93924945</v>
      </c>
      <c r="AK22" s="91" t="n">
        <f aca="false">SUM(Model!DC237:DE237)</f>
        <v>-1376495.93924945</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0.0813429406576068</v>
      </c>
      <c r="E23" s="89" t="n">
        <f aca="false">IFERROR(E22/E7,0)</f>
        <v>-0.0121722420314316</v>
      </c>
      <c r="F23" s="89" t="n">
        <f aca="false">IFERROR(F22/F7,0)</f>
        <v>0.0447486464685512</v>
      </c>
      <c r="G23" s="89" t="n">
        <f aca="false">IFERROR(G22/G7,0)</f>
        <v>0.0100894087750678</v>
      </c>
      <c r="H23" s="89" t="n">
        <f aca="false">IFERROR(H22/H7,0)</f>
        <v>0.0603523389090058</v>
      </c>
      <c r="I23" s="89" t="n">
        <f aca="false">IFERROR(I22/I7,0)</f>
        <v>0.0515435719691427</v>
      </c>
      <c r="J23" s="89" t="n">
        <f aca="false">IFERROR(J22/J7,0)</f>
        <v>0.0559454408643262</v>
      </c>
      <c r="K23" s="89" t="n">
        <f aca="false">IFERROR(K22/K7,0)</f>
        <v>0.0298884507711448</v>
      </c>
      <c r="L23" s="89" t="n">
        <f aca="false">IFERROR(L22/L7,0)</f>
        <v>0.0720318257014758</v>
      </c>
      <c r="M23" s="89" t="n">
        <f aca="false">IFERROR(M22/M7,0)</f>
        <v>0.0468214980414826</v>
      </c>
      <c r="N23" s="89" t="n">
        <f aca="false">IFERROR(N22/N7,0)</f>
        <v>0.0547157908626326</v>
      </c>
      <c r="O23" s="89" t="n">
        <f aca="false">IFERROR(O22/O7,0)</f>
        <v>0.0487953085959255</v>
      </c>
      <c r="P23" s="89" t="n">
        <f aca="false">IFERROR(P22/P7,0)</f>
        <v>0.0255152394504073</v>
      </c>
      <c r="Q23" s="89" t="n">
        <f aca="false">IFERROR(Q22/Q7,0)</f>
        <v>-0.0424245072700544</v>
      </c>
      <c r="R23" s="89" t="n">
        <f aca="false">IFERROR(R22/R7,0)</f>
        <v>-0.149239273610643</v>
      </c>
      <c r="S23" s="89" t="n">
        <f aca="false">IFERROR(S22/S7,0)</f>
        <v>-0.183823326085927</v>
      </c>
      <c r="T23" s="89" t="n">
        <f aca="false">IFERROR(T22/T7,0)</f>
        <v>-0.247578956039562</v>
      </c>
      <c r="U23" s="89" t="n">
        <f aca="false">IFERROR(U22/U7,0)</f>
        <v>-0.586526151951021</v>
      </c>
      <c r="V23" s="89" t="n">
        <f aca="false">IFERROR(V22/V7,0)</f>
        <v>0</v>
      </c>
      <c r="W23" s="89" t="n">
        <f aca="false">IFERROR(W22/W7,0)</f>
        <v>0</v>
      </c>
      <c r="X23" s="89" t="n">
        <f aca="false">IFERROR(X22/X7,0)</f>
        <v>0</v>
      </c>
      <c r="Y23" s="89" t="n">
        <f aca="false">IFERROR(Y22/Y7,0)</f>
        <v>0</v>
      </c>
      <c r="Z23" s="89" t="n">
        <f aca="false">IFERROR(Z22/Z7,0)</f>
        <v>0</v>
      </c>
      <c r="AA23" s="89" t="n">
        <f aca="false">IFERROR(AA22/AA7,0)</f>
        <v>0</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401343.74</v>
      </c>
      <c r="D25" s="13" t="n">
        <f aca="false">Model!H261+Model!I261+Model!J261</f>
        <v>299991.08</v>
      </c>
      <c r="E25" s="13" t="n">
        <f aca="false">Model!K261+Model!L261+Model!M261</f>
        <v>109593.75</v>
      </c>
      <c r="F25" s="13" t="n">
        <f aca="false">Model!N261+Model!O261+Model!P261</f>
        <v>116008.223684211</v>
      </c>
      <c r="G25" s="13" t="n">
        <f aca="false">Model!Q261+Model!R261+Model!S261</f>
        <v>119166.118421053</v>
      </c>
      <c r="H25" s="13" t="n">
        <f aca="false">Model!T261+Model!U261+Model!V261</f>
        <v>47447.3684210526</v>
      </c>
      <c r="I25" s="13" t="n">
        <f aca="false">Model!W261+Model!X261+Model!Y261</f>
        <v>104822.368421053</v>
      </c>
      <c r="J25" s="13" t="n">
        <f aca="false">Model!Z261+Model!AA261+Model!AB261</f>
        <v>104822.368421053</v>
      </c>
      <c r="K25" s="13" t="n">
        <f aca="false">Model!AC261+Model!AD261+Model!AE261</f>
        <v>104822.368421053</v>
      </c>
      <c r="L25" s="13" t="n">
        <f aca="false">Model!AF261+Model!AG261+Model!AH261</f>
        <v>37973.6842105263</v>
      </c>
      <c r="M25" s="13" t="n">
        <f aca="false">Model!AI261+Model!AJ261+Model!AK261</f>
        <v>0</v>
      </c>
      <c r="N25" s="13" t="n">
        <f aca="false">Model!AL261+Model!AM261+Model!AN261</f>
        <v>0</v>
      </c>
      <c r="O25" s="13" t="n">
        <f aca="false">Model!AO261+Model!AP261+Model!AQ261</f>
        <v>0</v>
      </c>
      <c r="P25" s="13" t="n">
        <f aca="false">Model!AR261+Model!AS261+Model!AT261</f>
        <v>81683</v>
      </c>
      <c r="Q25" s="13" t="n">
        <f aca="false">Model!AU261+Model!AV261+Model!AW261</f>
        <v>81682</v>
      </c>
      <c r="R25" s="13" t="n">
        <f aca="false">Model!AX261+Model!AY261+Model!AZ261</f>
        <v>81682</v>
      </c>
      <c r="S25" s="13" t="n">
        <f aca="false">Model!BA261+Model!BB261+Model!BC261</f>
        <v>933521</v>
      </c>
      <c r="T25" s="13" t="n">
        <f aca="false">Model!BD261+Model!BE261+Model!BF261</f>
        <v>130878</v>
      </c>
      <c r="U25" s="13" t="n">
        <f aca="false">Model!BG261+Model!BH261+Model!BI261</f>
        <v>130876</v>
      </c>
      <c r="V25" s="13" t="n">
        <f aca="false">Model!BJ261+Model!BK261+Model!BL261</f>
        <v>130876</v>
      </c>
      <c r="W25" s="13" t="n">
        <f aca="false">Model!BM261+Model!BN261+Model!BO261</f>
        <v>130876</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-598861.4</v>
      </c>
      <c r="E26" s="92" t="n">
        <f aca="false">Model!K292+Model!L292+Model!M292</f>
        <v>-592637.4</v>
      </c>
      <c r="F26" s="92" t="n">
        <f aca="false">Model!N292+Model!O292+Model!P292</f>
        <v>-595371.985</v>
      </c>
      <c r="G26" s="92" t="n">
        <f aca="false">Model!Q292+Model!R292+Model!S292</f>
        <v>-590121.985</v>
      </c>
      <c r="H26" s="92" t="n">
        <f aca="false">Model!T292+Model!U292+Model!V292</f>
        <v>-588371.985</v>
      </c>
      <c r="I26" s="92" t="n">
        <f aca="false">Model!W292+Model!X292+Model!Y292</f>
        <v>-588371.985</v>
      </c>
      <c r="J26" s="92" t="n">
        <f aca="false">Model!Z292+Model!AA292+Model!AB292</f>
        <v>-599111.1447</v>
      </c>
      <c r="K26" s="92" t="n">
        <f aca="false">Model!AC292+Model!AD292+Model!AE292</f>
        <v>-599111.1447</v>
      </c>
      <c r="L26" s="92" t="n">
        <f aca="false">Model!AF292+Model!AG292+Model!AH292</f>
        <v>-599111.1447</v>
      </c>
      <c r="M26" s="92" t="n">
        <f aca="false">Model!AI292+Model!AJ292+Model!AK292</f>
        <v>-599111.1447</v>
      </c>
      <c r="N26" s="92" t="n">
        <f aca="false">Model!AL292+Model!AM292+Model!AN292</f>
        <v>-610065.087594</v>
      </c>
      <c r="O26" s="92" t="n">
        <f aca="false">Model!AO292+Model!AP292+Model!AQ292</f>
        <v>-610065.087594</v>
      </c>
      <c r="P26" s="92" t="n">
        <f aca="false">Model!AR292+Model!AS292+Model!AT292</f>
        <v>-691748.087594</v>
      </c>
      <c r="Q26" s="92" t="n">
        <f aca="false">Model!AU292+Model!AV292+Model!AW292</f>
        <v>-691747.087594</v>
      </c>
      <c r="R26" s="92" t="n">
        <f aca="false">Model!AX292+Model!AY292+Model!AZ292</f>
        <v>-702920.10934588</v>
      </c>
      <c r="S26" s="92" t="n">
        <f aca="false">Model!BA292+Model!BB292+Model!BC292</f>
        <v>-1554759.10934588</v>
      </c>
      <c r="T26" s="92" t="n">
        <f aca="false">Model!BD292+Model!BE292+Model!BF292</f>
        <v>-752116.10934588</v>
      </c>
      <c r="U26" s="92" t="n">
        <f aca="false">Model!BG292+Model!BH292+Model!BI292</f>
        <v>-752114.10934588</v>
      </c>
      <c r="V26" s="92" t="n">
        <f aca="false">Model!BJ292+Model!BK292+Model!BL292</f>
        <v>-763510.591532798</v>
      </c>
      <c r="W26" s="92" t="n">
        <f aca="false">Model!BM292+Model!BN292+Model!BO292</f>
        <v>-763510.591532798</v>
      </c>
      <c r="X26" s="92" t="n">
        <f aca="false">Model!BP292+Model!BQ292+Model!BR292</f>
        <v>-721790.241532798</v>
      </c>
      <c r="Y26" s="92" t="n">
        <f aca="false">Model!BS292+Model!BT292+Model!BU292</f>
        <v>-707274.591532798</v>
      </c>
      <c r="Z26" s="92" t="n">
        <f aca="false">Model!BV292+Model!BW292+Model!BX292</f>
        <v>-718899.003363454</v>
      </c>
      <c r="AA26" s="92" t="n">
        <f aca="false">Model!BY292+Model!BZ292+Model!CA292</f>
        <v>-792055.003363454</v>
      </c>
      <c r="AB26" s="92" t="n">
        <f aca="false">Model!CB292+Model!CC292+Model!CD292</f>
        <v>-798777.003363454</v>
      </c>
      <c r="AC26" s="92" t="n">
        <f aca="false">Model!CE292+Model!CF292+Model!CG292</f>
        <v>-798776.003363454</v>
      </c>
      <c r="AD26" s="92" t="n">
        <f aca="false">Model!CH292+Model!CI292+Model!CJ292</f>
        <v>-804024.876824244</v>
      </c>
      <c r="AE26" s="92" t="n">
        <f aca="false">Model!CK292+Model!CL292+Model!CM292</f>
        <v>-875580.903430723</v>
      </c>
      <c r="AF26" s="92" t="n">
        <f aca="false">Model!CN292+Model!CO292+Model!CP292</f>
        <v>-875580.903430723</v>
      </c>
      <c r="AG26" s="92" t="n">
        <f aca="false">Model!CQ292+Model!CR292+Model!CS292</f>
        <v>-875580.903430723</v>
      </c>
      <c r="AH26" s="92" t="n">
        <f aca="false">Model!CT292+Model!CU292+Model!CV292</f>
        <v>-869737.496870451</v>
      </c>
      <c r="AI26" s="92" t="n">
        <f aca="false">Model!CW292+Model!CX292+Model!CY292</f>
        <v>-667719.345806859</v>
      </c>
      <c r="AJ26" s="92" t="n">
        <f aca="false">Model!CZ292+Model!DA292+Model!DB292</f>
        <v>-650272.496870451</v>
      </c>
      <c r="AK26" s="92" t="n">
        <f aca="false">Model!DC292+Model!DD292+Model!DE292</f>
        <v>-650272.496870451</v>
      </c>
    </row>
    <row r="27" customFormat="false" ht="15" hidden="false" customHeight="true" outlineLevel="0" collapsed="false">
      <c r="A27" s="36" t="s">
        <v>140</v>
      </c>
      <c r="B27" s="37" t="n">
        <f aca="false">Model!B293+Model!C293+Model!D293</f>
        <v>-544010.08</v>
      </c>
      <c r="C27" s="37" t="n">
        <f aca="false">Model!E293+Model!F293+Model!G293</f>
        <v>-192531.29</v>
      </c>
      <c r="D27" s="37" t="n">
        <f aca="false">Model!H293+Model!I293+Model!J293</f>
        <v>-298870.32</v>
      </c>
      <c r="E27" s="37" t="n">
        <f aca="false">Model!K293+Model!L293+Model!M293</f>
        <v>-483043.65</v>
      </c>
      <c r="F27" s="37" t="n">
        <f aca="false">Model!N293+Model!O293+Model!P293</f>
        <v>-479363.76131579</v>
      </c>
      <c r="G27" s="37" t="n">
        <f aca="false">Model!Q293+Model!R293+Model!S293</f>
        <v>-470955.866578947</v>
      </c>
      <c r="H27" s="37" t="n">
        <f aca="false">Model!T293+Model!U293+Model!V293</f>
        <v>-540924.616578947</v>
      </c>
      <c r="I27" s="37" t="n">
        <f aca="false">Model!W293+Model!X293+Model!Y293</f>
        <v>-483549.616578947</v>
      </c>
      <c r="J27" s="37" t="n">
        <f aca="false">Model!Z293+Model!AA293+Model!AB293</f>
        <v>-494288.776278947</v>
      </c>
      <c r="K27" s="37" t="n">
        <f aca="false">Model!AC293+Model!AD293+Model!AE293</f>
        <v>-494288.776278947</v>
      </c>
      <c r="L27" s="37" t="n">
        <f aca="false">Model!AF293+Model!AG293+Model!AH293</f>
        <v>-561137.460489474</v>
      </c>
      <c r="M27" s="37" t="n">
        <f aca="false">Model!AI293+Model!AJ293+Model!AK293</f>
        <v>-599111.1447</v>
      </c>
      <c r="N27" s="37" t="n">
        <f aca="false">Model!AL293+Model!AM293+Model!AN293</f>
        <v>-610065.087594</v>
      </c>
      <c r="O27" s="37" t="n">
        <f aca="false">Model!AO293+Model!AP293+Model!AQ293</f>
        <v>-610065.087594</v>
      </c>
      <c r="P27" s="37" t="n">
        <f aca="false">Model!AR293+Model!AS293+Model!AT293</f>
        <v>-610065.087594</v>
      </c>
      <c r="Q27" s="37" t="n">
        <f aca="false">Model!AU293+Model!AV293+Model!AW293</f>
        <v>-610065.087594</v>
      </c>
      <c r="R27" s="37" t="n">
        <f aca="false">Model!AX293+Model!AY293+Model!AZ293</f>
        <v>-621238.10934588</v>
      </c>
      <c r="S27" s="37" t="n">
        <f aca="false">Model!BA293+Model!BB293+Model!BC293</f>
        <v>-621238.10934588</v>
      </c>
      <c r="T27" s="37" t="n">
        <f aca="false">Model!BD293+Model!BE293+Model!BF293</f>
        <v>-621238.10934588</v>
      </c>
      <c r="U27" s="37" t="n">
        <f aca="false">Model!BG293+Model!BH293+Model!BI293</f>
        <v>-621238.10934588</v>
      </c>
      <c r="V27" s="37" t="n">
        <f aca="false">Model!BJ293+Model!BK293+Model!BL293</f>
        <v>-632634.591532798</v>
      </c>
      <c r="W27" s="37" t="n">
        <f aca="false">Model!BM293+Model!BN293+Model!BO293</f>
        <v>-632634.591532798</v>
      </c>
      <c r="X27" s="37" t="n">
        <f aca="false">Model!BP293+Model!BQ293+Model!BR293</f>
        <v>-579384.241532798</v>
      </c>
      <c r="Y27" s="37" t="n">
        <f aca="false">Model!BS293+Model!BT293+Model!BU293</f>
        <v>-564872.591532798</v>
      </c>
      <c r="Z27" s="37" t="n">
        <f aca="false">Model!BV293+Model!BW293+Model!BX293</f>
        <v>-576497.003363454</v>
      </c>
      <c r="AA27" s="37" t="n">
        <f aca="false">Model!BY293+Model!BZ293+Model!CA293</f>
        <v>-576497.003363454</v>
      </c>
      <c r="AB27" s="37" t="n">
        <f aca="false">Model!CB293+Model!CC293+Model!CD293</f>
        <v>-567760.003363454</v>
      </c>
      <c r="AC27" s="37" t="n">
        <f aca="false">Model!CE293+Model!CF293+Model!CG293</f>
        <v>-567760.003363454</v>
      </c>
      <c r="AD27" s="37" t="n">
        <f aca="false">Model!CH293+Model!CI293+Model!CJ293</f>
        <v>-573008.876824244</v>
      </c>
      <c r="AE27" s="37" t="n">
        <f aca="false">Model!CK293+Model!CL293+Model!CM293</f>
        <v>-182532.903430723</v>
      </c>
      <c r="AF27" s="37" t="n">
        <f aca="false">Model!CN293+Model!CO293+Model!CP293</f>
        <v>-182532.903430723</v>
      </c>
      <c r="AG27" s="37" t="n">
        <f aca="false">Model!CQ293+Model!CR293+Model!CS293</f>
        <v>-182532.903430723</v>
      </c>
      <c r="AH27" s="37" t="n">
        <f aca="false">Model!CT293+Model!CU293+Model!CV293</f>
        <v>-176689.496870451</v>
      </c>
      <c r="AI27" s="37" t="n">
        <f aca="false">Model!CW293+Model!CX293+Model!CY293</f>
        <v>25328.6541931415</v>
      </c>
      <c r="AJ27" s="37" t="n">
        <f aca="false">Model!CZ293+Model!DA293+Model!DB293</f>
        <v>42775.5031295487</v>
      </c>
      <c r="AK27" s="37" t="n">
        <f aca="false">Model!DC293+Model!DD293+Model!DE293</f>
        <v>42775.5031295487</v>
      </c>
    </row>
    <row r="28" customFormat="false" ht="15" hidden="false" customHeight="true" outlineLevel="0" collapsed="false">
      <c r="A28" s="22" t="s">
        <v>296</v>
      </c>
      <c r="B28" s="92" t="n">
        <f aca="false">Model!B297+Model!C297+Model!D297</f>
        <v>0</v>
      </c>
      <c r="C28" s="92" t="n">
        <f aca="false">Model!E297+Model!F297+Model!G297</f>
        <v>0</v>
      </c>
      <c r="D28" s="92" t="n">
        <f aca="false">Model!H297+Model!I297+Model!J297</f>
        <v>0</v>
      </c>
      <c r="E28" s="92" t="n">
        <f aca="false">Model!K297+Model!L297+Model!M297</f>
        <v>3324.18865</v>
      </c>
      <c r="F28" s="92" t="n">
        <f aca="false">Model!N297+Model!O297+Model!P297</f>
        <v>915.383032999997</v>
      </c>
      <c r="G28" s="92" t="n">
        <f aca="false">Model!Q297+Model!R297+Model!S297</f>
        <v>0</v>
      </c>
      <c r="H28" s="92" t="n">
        <f aca="false">Model!T297+Model!U297+Model!V297</f>
        <v>0</v>
      </c>
      <c r="I28" s="92" t="n">
        <f aca="false">Model!W297+Model!X297+Model!Y297</f>
        <v>0</v>
      </c>
      <c r="J28" s="92" t="n">
        <f aca="false">Model!Z297+Model!AA297+Model!AB297</f>
        <v>0</v>
      </c>
      <c r="K28" s="92" t="n">
        <f aca="false">Model!AC297+Model!AD297+Model!AE297</f>
        <v>0</v>
      </c>
      <c r="L28" s="92" t="n">
        <f aca="false">Model!AF297+Model!AG297+Model!AH297</f>
        <v>0</v>
      </c>
      <c r="M28" s="92" t="n">
        <f aca="false">Model!AI297+Model!AJ297+Model!AK297</f>
        <v>0</v>
      </c>
      <c r="N28" s="92" t="n">
        <f aca="false">Model!AL297+Model!AM297+Model!AN297</f>
        <v>0</v>
      </c>
      <c r="O28" s="92" t="n">
        <f aca="false">Model!AO297+Model!AP297+Model!AQ297</f>
        <v>0</v>
      </c>
      <c r="P28" s="92" t="n">
        <f aca="false">Model!AR297+Model!AS297+Model!AT297</f>
        <v>0</v>
      </c>
      <c r="Q28" s="92" t="n">
        <f aca="false">Model!AU297+Model!AV297+Model!AW297</f>
        <v>0</v>
      </c>
      <c r="R28" s="92" t="n">
        <f aca="false">Model!AX297+Model!AY297+Model!AZ297</f>
        <v>0</v>
      </c>
      <c r="S28" s="92" t="n">
        <f aca="false">Model!BA297+Model!BB297+Model!BC297</f>
        <v>0</v>
      </c>
      <c r="T28" s="92" t="n">
        <f aca="false">Model!BD297+Model!BE297+Model!BF297</f>
        <v>0</v>
      </c>
      <c r="U28" s="92" t="n">
        <f aca="false">Model!BG297+Model!BH297+Model!BI297</f>
        <v>0</v>
      </c>
      <c r="V28" s="92" t="n">
        <f aca="false">Model!BJ297+Model!BK297+Model!BL297</f>
        <v>0</v>
      </c>
      <c r="W28" s="92" t="n">
        <f aca="false">Model!BM297+Model!BN297+Model!BO297</f>
        <v>0</v>
      </c>
      <c r="X28" s="92" t="n">
        <f aca="false">Model!BP297+Model!BQ297+Model!BR297</f>
        <v>0</v>
      </c>
      <c r="Y28" s="92" t="n">
        <f aca="false">Model!BS297+Model!BT297+Model!BU297</f>
        <v>0</v>
      </c>
      <c r="Z28" s="92" t="n">
        <f aca="false">Model!BV297+Model!BW297+Model!BX297</f>
        <v>0</v>
      </c>
      <c r="AA28" s="92" t="n">
        <f aca="false">Model!BY297+Model!BZ297+Model!CA297</f>
        <v>0</v>
      </c>
      <c r="AB28" s="92" t="n">
        <f aca="false">Model!CB297+Model!CC297+Model!CD297</f>
        <v>0</v>
      </c>
      <c r="AC28" s="92" t="n">
        <f aca="false">Model!CE297+Model!CF297+Model!CG297</f>
        <v>0</v>
      </c>
      <c r="AD28" s="92" t="n">
        <f aca="false">Model!CH297+Model!CI297+Model!CJ297</f>
        <v>0</v>
      </c>
      <c r="AE28" s="92" t="n">
        <f aca="false">Model!CK297+Model!CL297+Model!CM297</f>
        <v>0</v>
      </c>
      <c r="AF28" s="92" t="n">
        <f aca="false">Model!CN297+Model!CO297+Model!CP297</f>
        <v>0</v>
      </c>
      <c r="AG28" s="92" t="n">
        <f aca="false">Model!CQ297+Model!CR297+Model!CS297</f>
        <v>0</v>
      </c>
      <c r="AH28" s="92" t="n">
        <f aca="false">Model!CT297+Model!CU297+Model!CV297</f>
        <v>0</v>
      </c>
      <c r="AI28" s="92" t="n">
        <f aca="false">Model!CW297+Model!CX297+Model!CY297</f>
        <v>0</v>
      </c>
      <c r="AJ28" s="92" t="n">
        <f aca="false">Model!CZ297+Model!DA297+Model!DB297</f>
        <v>0</v>
      </c>
      <c r="AK28" s="92" t="n">
        <f aca="false">Model!DC297+Model!DD297+Model!DE297</f>
        <v>0</v>
      </c>
    </row>
    <row r="29" customFormat="false" ht="15" hidden="false" customHeight="true" outlineLevel="0" collapsed="false">
      <c r="A29" s="3"/>
      <c r="B29" s="48"/>
      <c r="C29" s="48"/>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row>
    <row r="30" customFormat="false" ht="15" hidden="false" customHeight="true" outlineLevel="0" collapsed="false">
      <c r="A30" s="36" t="s">
        <v>297</v>
      </c>
      <c r="B30" s="37" t="n">
        <f aca="false">Model!B308+Model!C308+Model!D308</f>
        <v>-654917.25</v>
      </c>
      <c r="C30" s="37" t="n">
        <f aca="false">Model!E308+Model!F308+Model!G308</f>
        <v>526914.490000001</v>
      </c>
      <c r="D30" s="37" t="n">
        <f aca="false">Model!H308+Model!I308+Model!J308</f>
        <v>1284975.214875</v>
      </c>
      <c r="E30" s="37" t="n">
        <f aca="false">Model!K308+Model!L308+Model!M308</f>
        <v>-665838.180534727</v>
      </c>
      <c r="F30" s="37" t="n">
        <f aca="false">Model!N308+Model!O308+Model!P308</f>
        <v>310898.980835061</v>
      </c>
      <c r="G30" s="37" t="n">
        <f aca="false">Model!Q308+Model!R308+Model!S308</f>
        <v>-243016.649586517</v>
      </c>
      <c r="H30" s="37" t="n">
        <f aca="false">Model!T308+Model!U308+Model!V308</f>
        <v>1332649.78500325</v>
      </c>
      <c r="I30" s="37" t="n">
        <f aca="false">Model!W308+Model!X308+Model!Y308</f>
        <v>1363606.42176412</v>
      </c>
      <c r="J30" s="37" t="n">
        <f aca="false">Model!Z308+Model!AA308+Model!AB308</f>
        <v>1628692.13909619</v>
      </c>
      <c r="K30" s="37" t="n">
        <f aca="false">Model!AC308+Model!AD308+Model!AE308</f>
        <v>519307.410470611</v>
      </c>
      <c r="L30" s="37" t="n">
        <f aca="false">Model!AF308+Model!AG308+Model!AH308</f>
        <v>1915496.65225556</v>
      </c>
      <c r="M30" s="37" t="n">
        <f aca="false">Model!AI308+Model!AJ308+Model!AK308</f>
        <v>657135.99449894</v>
      </c>
      <c r="N30" s="37" t="n">
        <f aca="false">Model!AL308+Model!AM308+Model!AN308</f>
        <v>524621.132606066</v>
      </c>
      <c r="O30" s="37" t="n">
        <f aca="false">Model!AO308+Model!AP308+Model!AQ308</f>
        <v>-39706.5539786236</v>
      </c>
      <c r="P30" s="37" t="n">
        <f aca="false">Model!AR308+Model!AS308+Model!AT308</f>
        <v>-382567.658982299</v>
      </c>
      <c r="Q30" s="37" t="n">
        <f aca="false">Model!AU308+Model!AV308+Model!AW308</f>
        <v>-910628.580101411</v>
      </c>
      <c r="R30" s="37" t="n">
        <f aca="false">Model!AX308+Model!AY308+Model!AZ308</f>
        <v>-1352218.43118515</v>
      </c>
      <c r="S30" s="37" t="n">
        <f aca="false">Model!BA308+Model!BB308+Model!BC308</f>
        <v>-1352218.43118515</v>
      </c>
      <c r="T30" s="37" t="n">
        <f aca="false">Model!BD308+Model!BE308+Model!BF308</f>
        <v>-1352218.43118515</v>
      </c>
      <c r="U30" s="37" t="n">
        <f aca="false">Model!BG308+Model!BH308+Model!BI308</f>
        <v>-1460941.7969981</v>
      </c>
      <c r="V30" s="37" t="n">
        <f aca="false">Model!BJ308+Model!BK308+Model!BL308</f>
        <v>-1859440.02086661</v>
      </c>
      <c r="W30" s="37" t="n">
        <f aca="false">Model!BM308+Model!BN308+Model!BO308</f>
        <v>-1859440.02086661</v>
      </c>
      <c r="X30" s="37" t="n">
        <f aca="false">Model!BP308+Model!BQ308+Model!BR308</f>
        <v>-1806189.67086661</v>
      </c>
      <c r="Y30" s="37" t="n">
        <f aca="false">Model!BS308+Model!BT308+Model!BU308</f>
        <v>-1991678.02086661</v>
      </c>
      <c r="Z30" s="37" t="n">
        <f aca="false">Model!BV308+Model!BW308+Model!BX308</f>
        <v>-1826605.54128394</v>
      </c>
      <c r="AA30" s="37" t="n">
        <f aca="false">Model!BY308+Model!BZ308+Model!CA308</f>
        <v>-1826605.54128394</v>
      </c>
      <c r="AB30" s="37" t="n">
        <f aca="false">Model!CB308+Model!CC308+Model!CD308</f>
        <v>-1817868.54128394</v>
      </c>
      <c r="AC30" s="37" t="n">
        <f aca="false">Model!CE308+Model!CF308+Model!CG308</f>
        <v>-2017868.54128394</v>
      </c>
      <c r="AD30" s="37" t="n">
        <f aca="false">Model!CH308+Model!CI308+Model!CJ308</f>
        <v>-1846886.58550314</v>
      </c>
      <c r="AE30" s="37" t="n">
        <f aca="false">Model!CK308+Model!CL308+Model!CM308</f>
        <v>-1456410.61210962</v>
      </c>
      <c r="AF30" s="37" t="n">
        <f aca="false">Model!CN308+Model!CO308+Model!CP308</f>
        <v>-1456410.61210962</v>
      </c>
      <c r="AG30" s="37" t="n">
        <f aca="false">Model!CQ308+Model!CR308+Model!CS308</f>
        <v>-1656410.61210962</v>
      </c>
      <c r="AH30" s="37" t="n">
        <f aca="false">Model!CT308+Model!CU308+Model!CV308</f>
        <v>-1353185.4361199</v>
      </c>
      <c r="AI30" s="37" t="n">
        <f aca="false">Model!CW308+Model!CX308+Model!CY308</f>
        <v>-1151167.28505631</v>
      </c>
      <c r="AJ30" s="37" t="n">
        <f aca="false">Model!CZ308+Model!DA308+Model!DB308</f>
        <v>-1133720.4361199</v>
      </c>
      <c r="AK30" s="37" t="n">
        <f aca="false">Model!DC308+Model!DD308+Model!DE308</f>
        <v>-1333720.4361199</v>
      </c>
    </row>
    <row r="31" customFormat="false" ht="15" hidden="false" customHeight="true" outlineLevel="0" collapsed="false">
      <c r="A31" s="3"/>
      <c r="B31" s="81"/>
      <c r="C31" s="81"/>
      <c r="D31" s="81"/>
      <c r="E31" s="81"/>
      <c r="F31" s="81"/>
      <c r="G31" s="81"/>
      <c r="H31" s="81"/>
      <c r="I31" s="81"/>
      <c r="J31" s="81"/>
      <c r="K31" s="81"/>
      <c r="L31" s="81"/>
      <c r="M31" s="81"/>
      <c r="N31" s="81"/>
      <c r="O31" s="81"/>
      <c r="P31" s="81"/>
      <c r="Q31" s="81"/>
      <c r="R31" s="81"/>
      <c r="S31" s="81"/>
      <c r="T31" s="81"/>
      <c r="U31" s="81"/>
      <c r="V31" s="81"/>
      <c r="W31" s="81"/>
      <c r="X31" s="81"/>
      <c r="Y31" s="81"/>
      <c r="Z31" s="81"/>
      <c r="AA31" s="81"/>
      <c r="AB31" s="81"/>
      <c r="AC31" s="81"/>
      <c r="AD31" s="81"/>
      <c r="AE31" s="81"/>
      <c r="AF31" s="81"/>
      <c r="AG31" s="81"/>
      <c r="AH31" s="81"/>
      <c r="AI31" s="81"/>
      <c r="AJ31" s="81"/>
      <c r="AK31" s="81"/>
    </row>
    <row r="32" customFormat="false" ht="15" hidden="false" customHeight="true" outlineLevel="0" collapsed="false">
      <c r="A32" s="23" t="s">
        <v>298</v>
      </c>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row>
    <row r="33" customFormat="false" ht="15" hidden="false" customHeight="true" outlineLevel="0" collapsed="false">
      <c r="A33" s="22" t="s">
        <v>299</v>
      </c>
      <c r="B33" s="93" t="n">
        <f aca="false">Model!B287+Model!C287+Model!D287</f>
        <v>0</v>
      </c>
      <c r="C33" s="93" t="n">
        <f aca="false">Model!E287+Model!F287+Model!G287</f>
        <v>-0</v>
      </c>
      <c r="D33" s="93" t="n">
        <f aca="false">Model!H287+Model!I287+Model!J287</f>
        <v>-0</v>
      </c>
      <c r="E33" s="93" t="n">
        <f aca="false">Model!K287+Model!L287+Model!M287</f>
        <v>-0</v>
      </c>
      <c r="F33" s="93" t="n">
        <f aca="false">Model!N287+Model!O287+Model!P287</f>
        <v>-0</v>
      </c>
      <c r="G33" s="93" t="n">
        <f aca="false">Model!Q287+Model!R287+Model!S287</f>
        <v>-0</v>
      </c>
      <c r="H33" s="93" t="n">
        <f aca="false">Model!T287+Model!U287+Model!V287</f>
        <v>-0</v>
      </c>
      <c r="I33" s="93" t="n">
        <f aca="false">Model!W287+Model!X287+Model!Y287</f>
        <v>-0</v>
      </c>
      <c r="J33" s="93" t="n">
        <f aca="false">Model!Z287+Model!AA287+Model!AB287</f>
        <v>-0</v>
      </c>
      <c r="K33" s="93" t="n">
        <f aca="false">Model!AC287+Model!AD287+Model!AE287</f>
        <v>-0</v>
      </c>
      <c r="L33" s="93" t="n">
        <f aca="false">Model!AF287+Model!AG287+Model!AH287</f>
        <v>-0</v>
      </c>
      <c r="M33" s="93" t="n">
        <f aca="false">Model!AI287+Model!AJ287+Model!AK287</f>
        <v>-0</v>
      </c>
      <c r="N33" s="93" t="n">
        <f aca="false">Model!AL287+Model!AM287+Model!AN287</f>
        <v>-0</v>
      </c>
      <c r="O33" s="93" t="n">
        <f aca="false">Model!AO287+Model!AP287+Model!AQ287</f>
        <v>-0</v>
      </c>
      <c r="P33" s="93" t="n">
        <f aca="false">Model!AR287+Model!AS287+Model!AT287</f>
        <v>-0</v>
      </c>
      <c r="Q33" s="93" t="n">
        <f aca="false">Model!AU287+Model!AV287+Model!AW287</f>
        <v>-0</v>
      </c>
      <c r="R33" s="93" t="n">
        <f aca="false">Model!AX287+Model!AY287+Model!AZ287</f>
        <v>-0</v>
      </c>
      <c r="S33" s="93" t="n">
        <f aca="false">Model!BA287+Model!BB287+Model!BC287</f>
        <v>-0</v>
      </c>
      <c r="T33" s="93" t="n">
        <f aca="false">Model!BD287+Model!BE287+Model!BF287</f>
        <v>-0</v>
      </c>
      <c r="U33" s="93" t="n">
        <f aca="false">Model!BG287+Model!BH287+Model!BI287</f>
        <v>-0</v>
      </c>
      <c r="V33" s="93" t="n">
        <f aca="false">Model!BJ287+Model!BK287+Model!BL287</f>
        <v>-0</v>
      </c>
      <c r="W33" s="93" t="n">
        <f aca="false">Model!BM287+Model!BN287+Model!BO287</f>
        <v>-0</v>
      </c>
      <c r="X33" s="93" t="n">
        <f aca="false">Model!BP287+Model!BQ287+Model!BR287</f>
        <v>-0</v>
      </c>
      <c r="Y33" s="93" t="n">
        <f aca="false">Model!BS287+Model!BT287+Model!BU287</f>
        <v>-0</v>
      </c>
      <c r="Z33" s="93" t="n">
        <f aca="false">Model!BV287+Model!BW287+Model!BX287</f>
        <v>-0</v>
      </c>
      <c r="AA33" s="93" t="n">
        <f aca="false">Model!BY287+Model!BZ287+Model!CA287</f>
        <v>-0</v>
      </c>
      <c r="AB33" s="93" t="n">
        <f aca="false">Model!CB287+Model!CC287+Model!CD287</f>
        <v>-0</v>
      </c>
      <c r="AC33" s="93" t="n">
        <f aca="false">Model!CE287+Model!CF287+Model!CG287</f>
        <v>-0</v>
      </c>
      <c r="AD33" s="93" t="n">
        <f aca="false">Model!CH287+Model!CI287+Model!CJ287</f>
        <v>-0</v>
      </c>
      <c r="AE33" s="93" t="n">
        <f aca="false">Model!CK287+Model!CL287+Model!CM287</f>
        <v>-0</v>
      </c>
      <c r="AF33" s="93" t="n">
        <f aca="false">Model!CN287+Model!CO287+Model!CP287</f>
        <v>-0</v>
      </c>
      <c r="AG33" s="93" t="n">
        <f aca="false">Model!CQ287+Model!CR287+Model!CS287</f>
        <v>-0</v>
      </c>
      <c r="AH33" s="93" t="n">
        <f aca="false">Model!CT287+Model!CU287+Model!CV287</f>
        <v>-0</v>
      </c>
      <c r="AI33" s="93" t="n">
        <f aca="false">Model!CW287+Model!CX287+Model!CY287</f>
        <v>-0</v>
      </c>
      <c r="AJ33" s="93" t="n">
        <f aca="false">Model!CZ287+Model!DA287+Model!DB287</f>
        <v>-0</v>
      </c>
      <c r="AK33" s="93" t="n">
        <f aca="false">Model!DC287+Model!DD287+Model!DE287</f>
        <v>-0</v>
      </c>
    </row>
    <row r="34" customFormat="false" ht="15" hidden="false" customHeight="true" outlineLevel="0" collapsed="false">
      <c r="A34" s="22" t="s">
        <v>300</v>
      </c>
      <c r="B34" s="93" t="n">
        <f aca="false">Model!B288+Model!C288+Model!D288</f>
        <v>0</v>
      </c>
      <c r="C34" s="93" t="n">
        <f aca="false">Model!E288+Model!F288+Model!G288</f>
        <v>-0</v>
      </c>
      <c r="D34" s="93" t="n">
        <f aca="false">Model!H288+Model!I288+Model!J288</f>
        <v>-0</v>
      </c>
      <c r="E34" s="93" t="n">
        <f aca="false">Model!K288+Model!L288+Model!M288</f>
        <v>-0</v>
      </c>
      <c r="F34" s="93" t="n">
        <f aca="false">Model!N288+Model!O288+Model!P288</f>
        <v>-0</v>
      </c>
      <c r="G34" s="93" t="n">
        <f aca="false">Model!Q288+Model!R288+Model!S288</f>
        <v>-0</v>
      </c>
      <c r="H34" s="93" t="n">
        <f aca="false">Model!T288+Model!U288+Model!V288</f>
        <v>-0</v>
      </c>
      <c r="I34" s="93" t="n">
        <f aca="false">Model!W288+Model!X288+Model!Y288</f>
        <v>-0</v>
      </c>
      <c r="J34" s="93" t="n">
        <f aca="false">Model!Z288+Model!AA288+Model!AB288</f>
        <v>-0</v>
      </c>
      <c r="K34" s="93" t="n">
        <f aca="false">Model!AC288+Model!AD288+Model!AE288</f>
        <v>-0</v>
      </c>
      <c r="L34" s="93" t="n">
        <f aca="false">Model!AF288+Model!AG288+Model!AH288</f>
        <v>-0</v>
      </c>
      <c r="M34" s="93" t="n">
        <f aca="false">Model!AI288+Model!AJ288+Model!AK288</f>
        <v>-0</v>
      </c>
      <c r="N34" s="93" t="n">
        <f aca="false">Model!AL288+Model!AM288+Model!AN288</f>
        <v>-0</v>
      </c>
      <c r="O34" s="93" t="n">
        <f aca="false">Model!AO288+Model!AP288+Model!AQ288</f>
        <v>-0</v>
      </c>
      <c r="P34" s="93" t="n">
        <f aca="false">Model!AR288+Model!AS288+Model!AT288</f>
        <v>-0</v>
      </c>
      <c r="Q34" s="93" t="n">
        <f aca="false">Model!AU288+Model!AV288+Model!AW288</f>
        <v>-0</v>
      </c>
      <c r="R34" s="93" t="n">
        <f aca="false">Model!AX288+Model!AY288+Model!AZ288</f>
        <v>-0</v>
      </c>
      <c r="S34" s="93" t="n">
        <f aca="false">Model!BA288+Model!BB288+Model!BC288</f>
        <v>-0</v>
      </c>
      <c r="T34" s="93" t="n">
        <f aca="false">Model!BD288+Model!BE288+Model!BF288</f>
        <v>-0</v>
      </c>
      <c r="U34" s="93" t="n">
        <f aca="false">Model!BG288+Model!BH288+Model!BI288</f>
        <v>-0</v>
      </c>
      <c r="V34" s="93" t="n">
        <f aca="false">Model!BJ288+Model!BK288+Model!BL288</f>
        <v>-0</v>
      </c>
      <c r="W34" s="93" t="n">
        <f aca="false">Model!BM288+Model!BN288+Model!BO288</f>
        <v>-0</v>
      </c>
      <c r="X34" s="93" t="n">
        <f aca="false">Model!BP288+Model!BQ288+Model!BR288</f>
        <v>-0</v>
      </c>
      <c r="Y34" s="93" t="n">
        <f aca="false">Model!BS288+Model!BT288+Model!BU288</f>
        <v>-0</v>
      </c>
      <c r="Z34" s="93" t="n">
        <f aca="false">Model!BV288+Model!BW288+Model!BX288</f>
        <v>-0</v>
      </c>
      <c r="AA34" s="93" t="n">
        <f aca="false">Model!BY288+Model!BZ288+Model!CA288</f>
        <v>-0</v>
      </c>
      <c r="AB34" s="93" t="n">
        <f aca="false">Model!CB288+Model!CC288+Model!CD288</f>
        <v>-0</v>
      </c>
      <c r="AC34" s="93" t="n">
        <f aca="false">Model!CE288+Model!CF288+Model!CG288</f>
        <v>-0</v>
      </c>
      <c r="AD34" s="93" t="n">
        <f aca="false">Model!CH288+Model!CI288+Model!CJ288</f>
        <v>-0</v>
      </c>
      <c r="AE34" s="93" t="n">
        <f aca="false">Model!CK288+Model!CL288+Model!CM288</f>
        <v>-0</v>
      </c>
      <c r="AF34" s="93" t="n">
        <f aca="false">Model!CN288+Model!CO288+Model!CP288</f>
        <v>-0</v>
      </c>
      <c r="AG34" s="93" t="n">
        <f aca="false">Model!CQ288+Model!CR288+Model!CS288</f>
        <v>-0</v>
      </c>
      <c r="AH34" s="93" t="n">
        <f aca="false">Model!CT288+Model!CU288+Model!CV288</f>
        <v>-0</v>
      </c>
      <c r="AI34" s="93" t="n">
        <f aca="false">Model!CW288+Model!CX288+Model!CY288</f>
        <v>-0</v>
      </c>
      <c r="AJ34" s="93" t="n">
        <f aca="false">Model!CZ288+Model!DA288+Model!DB288</f>
        <v>-0</v>
      </c>
      <c r="AK34" s="93" t="n">
        <f aca="false">Model!DC288+Model!DD288+Model!DE288</f>
        <v>-0</v>
      </c>
    </row>
    <row r="35" customFormat="false" ht="15" hidden="false" customHeight="true" outlineLevel="0" collapsed="false">
      <c r="A35" s="22" t="s">
        <v>301</v>
      </c>
      <c r="B35" s="93" t="n">
        <f aca="false">Model!B289+Model!C289+Model!D289</f>
        <v>0</v>
      </c>
      <c r="C35" s="93" t="n">
        <f aca="false">Model!E289+Model!F289+Model!G289</f>
        <v>-0</v>
      </c>
      <c r="D35" s="93" t="n">
        <f aca="false">Model!H289+Model!I289+Model!J289</f>
        <v>0</v>
      </c>
      <c r="E35" s="93" t="n">
        <f aca="false">Model!K289+Model!L289+Model!M289</f>
        <v>-0</v>
      </c>
      <c r="F35" s="93" t="n">
        <f aca="false">Model!N289+Model!O289+Model!P289</f>
        <v>-0</v>
      </c>
      <c r="G35" s="93" t="n">
        <f aca="false">Model!Q289+Model!R289+Model!S289</f>
        <v>-0</v>
      </c>
      <c r="H35" s="93" t="n">
        <f aca="false">Model!T289+Model!U289+Model!V289</f>
        <v>-0</v>
      </c>
      <c r="I35" s="93" t="n">
        <f aca="false">Model!W289+Model!X289+Model!Y289</f>
        <v>-0</v>
      </c>
      <c r="J35" s="93" t="n">
        <f aca="false">Model!Z289+Model!AA289+Model!AB289</f>
        <v>-0</v>
      </c>
      <c r="K35" s="93" t="n">
        <f aca="false">Model!AC289+Model!AD289+Model!AE289</f>
        <v>-0</v>
      </c>
      <c r="L35" s="93" t="n">
        <f aca="false">Model!AF289+Model!AG289+Model!AH289</f>
        <v>-0</v>
      </c>
      <c r="M35" s="93" t="n">
        <f aca="false">Model!AI289+Model!AJ289+Model!AK289</f>
        <v>-0</v>
      </c>
      <c r="N35" s="93" t="n">
        <f aca="false">Model!AL289+Model!AM289+Model!AN289</f>
        <v>-0</v>
      </c>
      <c r="O35" s="93" t="n">
        <f aca="false">Model!AO289+Model!AP289+Model!AQ289</f>
        <v>-0</v>
      </c>
      <c r="P35" s="93" t="n">
        <f aca="false">Model!AR289+Model!AS289+Model!AT289</f>
        <v>-81683</v>
      </c>
      <c r="Q35" s="93" t="n">
        <f aca="false">Model!AU289+Model!AV289+Model!AW289</f>
        <v>-81682</v>
      </c>
      <c r="R35" s="93" t="n">
        <f aca="false">Model!AX289+Model!AY289+Model!AZ289</f>
        <v>-81682</v>
      </c>
      <c r="S35" s="93" t="n">
        <f aca="false">Model!BA289+Model!BB289+Model!BC289</f>
        <v>-81682</v>
      </c>
      <c r="T35" s="93" t="n">
        <f aca="false">Model!BD289+Model!BE289+Model!BF289</f>
        <v>-59178</v>
      </c>
      <c r="U35" s="93" t="n">
        <f aca="false">Model!BG289+Model!BH289+Model!BI289</f>
        <v>-59176</v>
      </c>
      <c r="V35" s="93" t="n">
        <f aca="false">Model!BJ289+Model!BK289+Model!BL289</f>
        <v>-59176</v>
      </c>
      <c r="W35" s="93" t="n">
        <f aca="false">Model!BM289+Model!BN289+Model!BO289</f>
        <v>-59176</v>
      </c>
      <c r="X35" s="93" t="n">
        <f aca="false">Model!BP289+Model!BQ289+Model!BR289</f>
        <v>-14512.65</v>
      </c>
      <c r="Y35" s="93" t="n">
        <f aca="false">Model!BS289+Model!BT289+Model!BU289</f>
        <v>-0</v>
      </c>
      <c r="Z35" s="93" t="n">
        <f aca="false">Model!BV289+Model!BW289+Model!BX289</f>
        <v>-0</v>
      </c>
      <c r="AA35" s="93" t="n">
        <f aca="false">Model!BY289+Model!BZ289+Model!CA289</f>
        <v>-0</v>
      </c>
      <c r="AB35" s="93" t="n">
        <f aca="false">Model!CB289+Model!CC289+Model!CD289</f>
        <v>-0</v>
      </c>
      <c r="AC35" s="93" t="n">
        <f aca="false">Model!CE289+Model!CF289+Model!CG289</f>
        <v>-0</v>
      </c>
      <c r="AD35" s="93" t="n">
        <f aca="false">Model!CH289+Model!CI289+Model!CJ289</f>
        <v>-0</v>
      </c>
      <c r="AE35" s="93" t="n">
        <f aca="false">Model!CK289+Model!CL289+Model!CM289</f>
        <v>-0</v>
      </c>
      <c r="AF35" s="93" t="n">
        <f aca="false">Model!CN289+Model!CO289+Model!CP289</f>
        <v>-0</v>
      </c>
      <c r="AG35" s="93" t="n">
        <f aca="false">Model!CQ289+Model!CR289+Model!CS289</f>
        <v>-0</v>
      </c>
      <c r="AH35" s="93" t="n">
        <f aca="false">Model!CT289+Model!CU289+Model!CV289</f>
        <v>-0</v>
      </c>
      <c r="AI35" s="93" t="n">
        <f aca="false">Model!CW289+Model!CX289+Model!CY289</f>
        <v>-0</v>
      </c>
      <c r="AJ35" s="93" t="n">
        <f aca="false">Model!CZ289+Model!DA289+Model!DB289</f>
        <v>-0</v>
      </c>
      <c r="AK35" s="93" t="n">
        <f aca="false">Model!DC289+Model!DD289+Model!DE289</f>
        <v>-0</v>
      </c>
    </row>
    <row r="36" customFormat="false" ht="15" hidden="false" customHeight="true" outlineLevel="0" collapsed="false">
      <c r="A36" s="22" t="s">
        <v>302</v>
      </c>
      <c r="B36" s="93" t="n">
        <f aca="false">Model!B290+Model!C290+Model!D290</f>
        <v>0</v>
      </c>
      <c r="C36" s="93" t="n">
        <f aca="false">Model!E290+Model!F290+Model!G290</f>
        <v>-0</v>
      </c>
      <c r="D36" s="93" t="n">
        <f aca="false">Model!H290+Model!I290+Model!J290</f>
        <v>-0</v>
      </c>
      <c r="E36" s="93" t="n">
        <f aca="false">Model!K290+Model!L290+Model!M290</f>
        <v>-0</v>
      </c>
      <c r="F36" s="93" t="n">
        <f aca="false">Model!N290+Model!O290+Model!P290</f>
        <v>-0</v>
      </c>
      <c r="G36" s="93" t="n">
        <f aca="false">Model!Q290+Model!R290+Model!S290</f>
        <v>-0</v>
      </c>
      <c r="H36" s="93" t="n">
        <f aca="false">Model!T290+Model!U290+Model!V290</f>
        <v>-0</v>
      </c>
      <c r="I36" s="93" t="n">
        <f aca="false">Model!W290+Model!X290+Model!Y290</f>
        <v>-0</v>
      </c>
      <c r="J36" s="93" t="n">
        <f aca="false">Model!Z290+Model!AA290+Model!AB290</f>
        <v>-0</v>
      </c>
      <c r="K36" s="93" t="n">
        <f aca="false">Model!AC290+Model!AD290+Model!AE290</f>
        <v>-0</v>
      </c>
      <c r="L36" s="93" t="n">
        <f aca="false">Model!AF290+Model!AG290+Model!AH290</f>
        <v>-0</v>
      </c>
      <c r="M36" s="93" t="n">
        <f aca="false">Model!AI290+Model!AJ290+Model!AK290</f>
        <v>-0</v>
      </c>
      <c r="N36" s="93" t="n">
        <f aca="false">Model!AL290+Model!AM290+Model!AN290</f>
        <v>-0</v>
      </c>
      <c r="O36" s="93" t="n">
        <f aca="false">Model!AO290+Model!AP290+Model!AQ290</f>
        <v>-0</v>
      </c>
      <c r="P36" s="93" t="n">
        <f aca="false">Model!AR290+Model!AS290+Model!AT290</f>
        <v>-0</v>
      </c>
      <c r="Q36" s="93" t="n">
        <f aca="false">Model!AU290+Model!AV290+Model!AW290</f>
        <v>-0</v>
      </c>
      <c r="R36" s="93" t="n">
        <f aca="false">Model!AX290+Model!AY290+Model!AZ290</f>
        <v>-0</v>
      </c>
      <c r="S36" s="93" t="n">
        <f aca="false">Model!BA290+Model!BB290+Model!BC290</f>
        <v>-851839</v>
      </c>
      <c r="T36" s="93" t="n">
        <f aca="false">Model!BD290+Model!BE290+Model!BF290</f>
        <v>-71700</v>
      </c>
      <c r="U36" s="93" t="n">
        <f aca="false">Model!BG290+Model!BH290+Model!BI290</f>
        <v>-71700</v>
      </c>
      <c r="V36" s="93" t="n">
        <f aca="false">Model!BJ290+Model!BK290+Model!BL290</f>
        <v>-71700</v>
      </c>
      <c r="W36" s="93" t="n">
        <f aca="false">Model!BM290+Model!BN290+Model!BO290</f>
        <v>-71700</v>
      </c>
      <c r="X36" s="93" t="n">
        <f aca="false">Model!BP290+Model!BQ290+Model!BR290</f>
        <v>-74643</v>
      </c>
      <c r="Y36" s="93" t="n">
        <f aca="false">Model!BS290+Model!BT290+Model!BU290</f>
        <v>-74640</v>
      </c>
      <c r="Z36" s="93" t="n">
        <f aca="false">Model!BV290+Model!BW290+Model!BX290</f>
        <v>-74640</v>
      </c>
      <c r="AA36" s="93" t="n">
        <f aca="false">Model!BY290+Model!BZ290+Model!CA290</f>
        <v>-74640</v>
      </c>
      <c r="AB36" s="93" t="n">
        <f aca="false">Model!CB290+Model!CC290+Model!CD290</f>
        <v>-81363</v>
      </c>
      <c r="AC36" s="93" t="n">
        <f aca="false">Model!CE290+Model!CF290+Model!CG290</f>
        <v>-81362</v>
      </c>
      <c r="AD36" s="93" t="n">
        <f aca="false">Model!CH290+Model!CI290+Model!CJ290</f>
        <v>-74753.9733935208</v>
      </c>
      <c r="AE36" s="93" t="n">
        <f aca="false">Model!CK290+Model!CL290+Model!CM290</f>
        <v>-0</v>
      </c>
      <c r="AF36" s="93" t="n">
        <f aca="false">Model!CN290+Model!CO290+Model!CP290</f>
        <v>-0</v>
      </c>
      <c r="AG36" s="93" t="n">
        <f aca="false">Model!CQ290+Model!CR290+Model!CS290</f>
        <v>-0</v>
      </c>
      <c r="AH36" s="93" t="n">
        <f aca="false">Model!CT290+Model!CU290+Model!CV290</f>
        <v>-0</v>
      </c>
      <c r="AI36" s="93" t="n">
        <f aca="false">Model!CW290+Model!CX290+Model!CY290</f>
        <v>-0</v>
      </c>
      <c r="AJ36" s="93" t="n">
        <f aca="false">Model!CZ290+Model!DA290+Model!DB290</f>
        <v>-0</v>
      </c>
      <c r="AK36" s="93" t="n">
        <f aca="false">Model!DC290+Model!DD290+Model!DE290</f>
        <v>-0</v>
      </c>
    </row>
    <row r="37" customFormat="false" ht="15" hidden="false" customHeight="true" outlineLevel="0" collapsed="false">
      <c r="A37" s="22" t="s">
        <v>303</v>
      </c>
      <c r="B37" s="93" t="n">
        <f aca="false">Model!B291+Model!C291+Model!D291</f>
        <v>0</v>
      </c>
      <c r="C37" s="93" t="n">
        <f aca="false">Model!E291+Model!F291+Model!G291</f>
        <v>-0</v>
      </c>
      <c r="D37" s="93" t="n">
        <f aca="false">Model!H291+Model!I291+Model!J291</f>
        <v>-0</v>
      </c>
      <c r="E37" s="93" t="n">
        <f aca="false">Model!K291+Model!L291+Model!M291</f>
        <v>-0</v>
      </c>
      <c r="F37" s="93" t="n">
        <f aca="false">Model!N291+Model!O291+Model!P291</f>
        <v>-0</v>
      </c>
      <c r="G37" s="93" t="n">
        <f aca="false">Model!Q291+Model!R291+Model!S291</f>
        <v>-0</v>
      </c>
      <c r="H37" s="93" t="n">
        <f aca="false">Model!T291+Model!U291+Model!V291</f>
        <v>-0</v>
      </c>
      <c r="I37" s="93" t="n">
        <f aca="false">Model!W291+Model!X291+Model!Y291</f>
        <v>-0</v>
      </c>
      <c r="J37" s="93" t="n">
        <f aca="false">Model!Z291+Model!AA291+Model!AB291</f>
        <v>-0</v>
      </c>
      <c r="K37" s="93" t="n">
        <f aca="false">Model!AC291+Model!AD291+Model!AE291</f>
        <v>-0</v>
      </c>
      <c r="L37" s="93" t="n">
        <f aca="false">Model!AF291+Model!AG291+Model!AH291</f>
        <v>-0</v>
      </c>
      <c r="M37" s="93" t="n">
        <f aca="false">Model!AI291+Model!AJ291+Model!AK291</f>
        <v>-0</v>
      </c>
      <c r="N37" s="93" t="n">
        <f aca="false">Model!AL291+Model!AM291+Model!AN291</f>
        <v>-0</v>
      </c>
      <c r="O37" s="93" t="n">
        <f aca="false">Model!AO291+Model!AP291+Model!AQ291</f>
        <v>-0</v>
      </c>
      <c r="P37" s="93" t="n">
        <f aca="false">Model!AR291+Model!AS291+Model!AT291</f>
        <v>-0</v>
      </c>
      <c r="Q37" s="93" t="n">
        <f aca="false">Model!AU291+Model!AV291+Model!AW291</f>
        <v>-0</v>
      </c>
      <c r="R37" s="93" t="n">
        <f aca="false">Model!AX291+Model!AY291+Model!AZ291</f>
        <v>-0</v>
      </c>
      <c r="S37" s="93" t="n">
        <f aca="false">Model!BA291+Model!BB291+Model!BC291</f>
        <v>-0</v>
      </c>
      <c r="T37" s="93" t="n">
        <f aca="false">Model!BD291+Model!BE291+Model!BF291</f>
        <v>-0</v>
      </c>
      <c r="U37" s="93" t="n">
        <f aca="false">Model!BG291+Model!BH291+Model!BI291</f>
        <v>-0</v>
      </c>
      <c r="V37" s="93" t="n">
        <f aca="false">Model!BJ291+Model!BK291+Model!BL291</f>
        <v>-0</v>
      </c>
      <c r="W37" s="93" t="n">
        <f aca="false">Model!BM291+Model!BN291+Model!BO291</f>
        <v>-0</v>
      </c>
      <c r="X37" s="93" t="n">
        <f aca="false">Model!BP291+Model!BQ291+Model!BR291</f>
        <v>-0</v>
      </c>
      <c r="Y37" s="93" t="n">
        <f aca="false">Model!BS291+Model!BT291+Model!BU291</f>
        <v>-0</v>
      </c>
      <c r="Z37" s="93" t="n">
        <f aca="false">Model!BV291+Model!BW291+Model!BX291</f>
        <v>-0</v>
      </c>
      <c r="AA37" s="93" t="n">
        <f aca="false">Model!BY291+Model!BZ291+Model!CA291</f>
        <v>-73156</v>
      </c>
      <c r="AB37" s="93" t="n">
        <f aca="false">Model!CB291+Model!CC291+Model!CD291</f>
        <v>-73155</v>
      </c>
      <c r="AC37" s="93" t="n">
        <f aca="false">Model!CE291+Model!CF291+Model!CG291</f>
        <v>-73155</v>
      </c>
      <c r="AD37" s="93" t="n">
        <f aca="false">Model!CH291+Model!CI291+Model!CJ291</f>
        <v>-73155</v>
      </c>
      <c r="AE37" s="93" t="n">
        <f aca="false">Model!CK291+Model!CL291+Model!CM291</f>
        <v>-219465</v>
      </c>
      <c r="AF37" s="93" t="n">
        <f aca="false">Model!CN291+Model!CO291+Model!CP291</f>
        <v>-219465</v>
      </c>
      <c r="AG37" s="93" t="n">
        <f aca="false">Model!CQ291+Model!CR291+Model!CS291</f>
        <v>-219465</v>
      </c>
      <c r="AH37" s="93" t="n">
        <f aca="false">Model!CT291+Model!CU291+Model!CV291</f>
        <v>-219465</v>
      </c>
      <c r="AI37" s="93" t="n">
        <f aca="false">Model!CW291+Model!CX291+Model!CY291</f>
        <v>-17446.8489364072</v>
      </c>
      <c r="AJ37" s="93" t="n">
        <f aca="false">Model!CZ291+Model!DA291+Model!DB291</f>
        <v>-0</v>
      </c>
      <c r="AK37" s="93" t="n">
        <f aca="false">Model!DC291+Model!DD291+Model!DE291</f>
        <v>-0</v>
      </c>
    </row>
    <row r="38" customFormat="false" ht="15" hidden="false" customHeight="true" outlineLevel="0" collapsed="false">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row>
    <row r="39" customFormat="false" ht="15" hidden="false" customHeight="true" outlineLevel="0" collapsed="false">
      <c r="A39" s="23" t="s">
        <v>304</v>
      </c>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row>
    <row r="40" customFormat="false" ht="15" hidden="false" customHeight="true" outlineLevel="0" collapsed="false">
      <c r="A40" s="22" t="s">
        <v>305</v>
      </c>
      <c r="B40" s="93" t="n">
        <f aca="false">Model!B316+Model!C316+Model!D316</f>
        <v>0</v>
      </c>
      <c r="C40" s="93" t="n">
        <f aca="false">Model!E316+Model!F316+Model!G316</f>
        <v>0</v>
      </c>
      <c r="D40" s="93" t="n">
        <f aca="false">Model!H316+Model!I316+Model!J316</f>
        <v>0</v>
      </c>
      <c r="E40" s="93" t="n">
        <f aca="false">Model!K316+Model!L316+Model!M316</f>
        <v>0</v>
      </c>
      <c r="F40" s="93" t="n">
        <f aca="false">Model!N316+Model!O316+Model!P316</f>
        <v>0</v>
      </c>
      <c r="G40" s="93" t="n">
        <f aca="false">Model!Q316+Model!R316+Model!S316</f>
        <v>0</v>
      </c>
      <c r="H40" s="93" t="n">
        <f aca="false">Model!T316+Model!U316+Model!V316</f>
        <v>-224000</v>
      </c>
      <c r="I40" s="93" t="n">
        <f aca="false">Model!W316+Model!X316+Model!Y316</f>
        <v>-336000</v>
      </c>
      <c r="J40" s="93" t="n">
        <f aca="false">Model!Z316+Model!AA316+Model!AB316</f>
        <v>-336000</v>
      </c>
      <c r="K40" s="93" t="n">
        <f aca="false">Model!AC316+Model!AD316+Model!AE316</f>
        <v>-336000</v>
      </c>
      <c r="L40" s="93" t="n">
        <f aca="false">Model!AF316+Model!AG316+Model!AH316</f>
        <v>-336000</v>
      </c>
      <c r="M40" s="93" t="n">
        <f aca="false">Model!AI316+Model!AJ316+Model!AK316</f>
        <v>-336000</v>
      </c>
      <c r="N40" s="93" t="n">
        <f aca="false">Model!AL316+Model!AM316+Model!AN316</f>
        <v>-294119.208084316</v>
      </c>
      <c r="O40" s="93" t="n">
        <f aca="false">Model!AO316+Model!AP316+Model!AQ316</f>
        <v>0</v>
      </c>
      <c r="P40" s="93" t="n">
        <f aca="false">Model!AR316+Model!AS316+Model!AT316</f>
        <v>0</v>
      </c>
      <c r="Q40" s="93" t="n">
        <f aca="false">Model!AU316+Model!AV316+Model!AW316</f>
        <v>0</v>
      </c>
      <c r="R40" s="93" t="n">
        <f aca="false">Model!AX316+Model!AY316+Model!AZ316</f>
        <v>0</v>
      </c>
      <c r="S40" s="93" t="n">
        <f aca="false">Model!BA316+Model!BB316+Model!BC316</f>
        <v>0</v>
      </c>
      <c r="T40" s="93" t="n">
        <f aca="false">Model!BD316+Model!BE316+Model!BF316</f>
        <v>0</v>
      </c>
      <c r="U40" s="93" t="n">
        <f aca="false">Model!BG316+Model!BH316+Model!BI316</f>
        <v>0</v>
      </c>
      <c r="V40" s="93" t="n">
        <f aca="false">Model!BJ316+Model!BK316+Model!BL316</f>
        <v>0</v>
      </c>
      <c r="W40" s="93" t="n">
        <f aca="false">Model!BM316+Model!BN316+Model!BO316</f>
        <v>0</v>
      </c>
      <c r="X40" s="93" t="n">
        <f aca="false">Model!BP316+Model!BQ316+Model!BR316</f>
        <v>0</v>
      </c>
      <c r="Y40" s="93" t="n">
        <f aca="false">Model!BS316+Model!BT316+Model!BU316</f>
        <v>0</v>
      </c>
      <c r="Z40" s="93" t="n">
        <f aca="false">Model!BV316+Model!BW316+Model!BX316</f>
        <v>0</v>
      </c>
      <c r="AA40" s="93" t="n">
        <f aca="false">Model!BY316+Model!BZ316+Model!CA316</f>
        <v>0</v>
      </c>
      <c r="AB40" s="93" t="n">
        <f aca="false">Model!CB316+Model!CC316+Model!CD316</f>
        <v>0</v>
      </c>
      <c r="AC40" s="93" t="n">
        <f aca="false">Model!CE316+Model!CF316+Model!CG316</f>
        <v>0</v>
      </c>
      <c r="AD40" s="93" t="n">
        <f aca="false">Model!CH316+Model!CI316+Model!CJ316</f>
        <v>0</v>
      </c>
      <c r="AE40" s="93" t="n">
        <f aca="false">Model!CK316+Model!CL316+Model!CM316</f>
        <v>0</v>
      </c>
      <c r="AF40" s="93" t="n">
        <f aca="false">Model!CN316+Model!CO316+Model!CP316</f>
        <v>0</v>
      </c>
      <c r="AG40" s="93" t="n">
        <f aca="false">Model!CQ316+Model!CR316+Model!CS316</f>
        <v>0</v>
      </c>
      <c r="AH40" s="93" t="n">
        <f aca="false">Model!CT316+Model!CU316+Model!CV316</f>
        <v>0</v>
      </c>
      <c r="AI40" s="93" t="n">
        <f aca="false">Model!CW316+Model!CX316+Model!CY316</f>
        <v>0</v>
      </c>
      <c r="AJ40" s="93" t="n">
        <f aca="false">Model!CZ316+Model!DA316+Model!DB316</f>
        <v>0</v>
      </c>
      <c r="AK40" s="93" t="n">
        <f aca="false">Model!DC316+Model!DD316+Model!DE316</f>
        <v>0</v>
      </c>
    </row>
    <row r="41" customFormat="false" ht="15" hidden="false" customHeight="true" outlineLevel="0" collapsed="false">
      <c r="A41" s="22" t="s">
        <v>306</v>
      </c>
      <c r="B41" s="93" t="n">
        <f aca="false">Model!D317</f>
        <v>0</v>
      </c>
      <c r="C41" s="93" t="n">
        <f aca="false">Model!G317</f>
        <v>1676065.6875</v>
      </c>
      <c r="D41" s="93" t="n">
        <f aca="false">Model!J317</f>
        <v>1738918.15078125</v>
      </c>
      <c r="E41" s="93" t="n">
        <f aca="false">Model!M317</f>
        <v>1804127.58143555</v>
      </c>
      <c r="F41" s="93" t="n">
        <f aca="false">Model!P317</f>
        <v>1871782.36573938</v>
      </c>
      <c r="G41" s="93" t="n">
        <f aca="false">Model!S317</f>
        <v>1941974.20445461</v>
      </c>
      <c r="H41" s="93" t="n">
        <f aca="false">Model!V317</f>
        <v>1786598.23712165</v>
      </c>
      <c r="I41" s="93" t="n">
        <f aca="false">Model!Y317</f>
        <v>1509195.67101372</v>
      </c>
      <c r="J41" s="93" t="n">
        <f aca="false">Model!AB317</f>
        <v>1221390.50867673</v>
      </c>
      <c r="K41" s="93" t="n">
        <f aca="false">Model!AE317</f>
        <v>922792.652752108</v>
      </c>
      <c r="L41" s="93" t="n">
        <f aca="false">Model!AH317</f>
        <v>612997.377230312</v>
      </c>
      <c r="M41" s="93" t="n">
        <f aca="false">Model!AK317</f>
        <v>291584.778876449</v>
      </c>
      <c r="N41" s="93" t="n">
        <f aca="false">Model!AN317</f>
        <v>0</v>
      </c>
      <c r="O41" s="93" t="n">
        <f aca="false">Model!AQ317</f>
        <v>0</v>
      </c>
      <c r="P41" s="93" t="n">
        <f aca="false">Model!AT317</f>
        <v>0</v>
      </c>
      <c r="Q41" s="93" t="n">
        <f aca="false">Model!AW317</f>
        <v>0</v>
      </c>
      <c r="R41" s="93" t="n">
        <f aca="false">Model!AZ317</f>
        <v>0</v>
      </c>
      <c r="S41" s="93" t="n">
        <f aca="false">Model!BC317</f>
        <v>0</v>
      </c>
      <c r="T41" s="93" t="n">
        <f aca="false">Model!BF317</f>
        <v>0</v>
      </c>
      <c r="U41" s="93" t="n">
        <f aca="false">Model!BI317</f>
        <v>0</v>
      </c>
      <c r="V41" s="93" t="n">
        <f aca="false">Model!BL317</f>
        <v>0</v>
      </c>
      <c r="W41" s="93" t="n">
        <f aca="false">Model!BO317</f>
        <v>0</v>
      </c>
      <c r="X41" s="93" t="n">
        <f aca="false">Model!BR317</f>
        <v>0</v>
      </c>
      <c r="Y41" s="93" t="n">
        <f aca="false">Model!BU317</f>
        <v>0</v>
      </c>
      <c r="Z41" s="93" t="n">
        <f aca="false">Model!BX317</f>
        <v>0</v>
      </c>
      <c r="AA41" s="93" t="n">
        <f aca="false">Model!CA317</f>
        <v>0</v>
      </c>
      <c r="AB41" s="93" t="n">
        <f aca="false">Model!CD317</f>
        <v>0</v>
      </c>
      <c r="AC41" s="93" t="n">
        <f aca="false">Model!CG317</f>
        <v>0</v>
      </c>
      <c r="AD41" s="93" t="n">
        <f aca="false">Model!CJ317</f>
        <v>0</v>
      </c>
      <c r="AE41" s="93" t="n">
        <f aca="false">Model!CM317</f>
        <v>0</v>
      </c>
      <c r="AF41" s="93" t="n">
        <f aca="false">Model!CP317</f>
        <v>0</v>
      </c>
      <c r="AG41" s="93" t="n">
        <f aca="false">Model!CS317</f>
        <v>0</v>
      </c>
      <c r="AH41" s="93" t="n">
        <f aca="false">Model!CV317</f>
        <v>0</v>
      </c>
      <c r="AI41" s="93" t="n">
        <f aca="false">Model!CY317</f>
        <v>0</v>
      </c>
      <c r="AJ41" s="93" t="n">
        <f aca="false">Model!DB317</f>
        <v>0</v>
      </c>
      <c r="AK41" s="93" t="n">
        <f aca="false">Model!DE317</f>
        <v>0</v>
      </c>
    </row>
    <row r="42" customFormat="false" ht="15" hidden="false" customHeight="true" outlineLevel="0" collapsed="false">
      <c r="A42" s="22" t="s">
        <v>307</v>
      </c>
      <c r="B42" s="93" t="n">
        <f aca="false">Model!B322+Model!C322+Model!D322</f>
        <v>0</v>
      </c>
      <c r="C42" s="93" t="n">
        <f aca="false">Model!E322+Model!F322+Model!G322</f>
        <v>0</v>
      </c>
      <c r="D42" s="93" t="n">
        <f aca="false">Model!H322+Model!I322+Model!J322</f>
        <v>0</v>
      </c>
      <c r="E42" s="93" t="n">
        <f aca="false">Model!K322+Model!L322+Model!M322</f>
        <v>0</v>
      </c>
      <c r="F42" s="93" t="n">
        <f aca="false">Model!N322+Model!O322+Model!P322</f>
        <v>0</v>
      </c>
      <c r="G42" s="93" t="n">
        <f aca="false">Model!Q322+Model!R322+Model!S322</f>
        <v>0</v>
      </c>
      <c r="H42" s="93" t="n">
        <f aca="false">Model!T322+Model!U322+Model!V322</f>
        <v>0</v>
      </c>
      <c r="I42" s="93" t="n">
        <f aca="false">Model!W322+Model!X322+Model!Y322</f>
        <v>0</v>
      </c>
      <c r="J42" s="93" t="n">
        <f aca="false">Model!Z322+Model!AA322+Model!AB322</f>
        <v>-250000</v>
      </c>
      <c r="K42" s="93" t="n">
        <f aca="false">Model!AC322+Model!AD322+Model!AE322</f>
        <v>0</v>
      </c>
      <c r="L42" s="93" t="n">
        <f aca="false">Model!AF322+Model!AG322+Model!AH322</f>
        <v>0</v>
      </c>
      <c r="M42" s="93" t="n">
        <f aca="false">Model!AI322+Model!AJ322+Model!AK322</f>
        <v>0</v>
      </c>
      <c r="N42" s="93" t="n">
        <f aca="false">Model!AL322+Model!AM322+Model!AN322</f>
        <v>-250000</v>
      </c>
      <c r="O42" s="93" t="n">
        <f aca="false">Model!AO322+Model!AP322+Model!AQ322</f>
        <v>0</v>
      </c>
      <c r="P42" s="93" t="n">
        <f aca="false">Model!AR322+Model!AS322+Model!AT322</f>
        <v>0</v>
      </c>
      <c r="Q42" s="93" t="n">
        <f aca="false">Model!AU322+Model!AV322+Model!AW322</f>
        <v>0</v>
      </c>
      <c r="R42" s="93" t="n">
        <f aca="false">Model!AX322+Model!AY322+Model!AZ322</f>
        <v>0</v>
      </c>
      <c r="S42" s="93" t="n">
        <f aca="false">Model!BA322+Model!BB322+Model!BC322</f>
        <v>0</v>
      </c>
      <c r="T42" s="93" t="n">
        <f aca="false">Model!BD322+Model!BE322+Model!BF322</f>
        <v>0</v>
      </c>
      <c r="U42" s="93" t="n">
        <f aca="false">Model!BG322+Model!BH322+Model!BI322</f>
        <v>0</v>
      </c>
      <c r="V42" s="93" t="n">
        <f aca="false">Model!BJ322+Model!BK322+Model!BL322</f>
        <v>0</v>
      </c>
      <c r="W42" s="93" t="n">
        <f aca="false">Model!BM322+Model!BN322+Model!BO322</f>
        <v>0</v>
      </c>
      <c r="X42" s="93" t="n">
        <f aca="false">Model!BP322+Model!BQ322+Model!BR322</f>
        <v>0</v>
      </c>
      <c r="Y42" s="93" t="n">
        <f aca="false">Model!BS322+Model!BT322+Model!BU322</f>
        <v>0</v>
      </c>
      <c r="Z42" s="93" t="n">
        <f aca="false">Model!BV322+Model!BW322+Model!BX322</f>
        <v>0</v>
      </c>
      <c r="AA42" s="93" t="n">
        <f aca="false">Model!BY322+Model!BZ322+Model!CA322</f>
        <v>0</v>
      </c>
      <c r="AB42" s="93" t="n">
        <f aca="false">Model!CB322+Model!CC322+Model!CD322</f>
        <v>0</v>
      </c>
      <c r="AC42" s="93" t="n">
        <f aca="false">Model!CE322+Model!CF322+Model!CG322</f>
        <v>0</v>
      </c>
      <c r="AD42" s="93" t="n">
        <f aca="false">Model!CH322+Model!CI322+Model!CJ322</f>
        <v>0</v>
      </c>
      <c r="AE42" s="93" t="n">
        <f aca="false">Model!CK322+Model!CL322+Model!CM322</f>
        <v>0</v>
      </c>
      <c r="AF42" s="93" t="n">
        <f aca="false">Model!CN322+Model!CO322+Model!CP322</f>
        <v>0</v>
      </c>
      <c r="AG42" s="93" t="n">
        <f aca="false">Model!CQ322+Model!CR322+Model!CS322</f>
        <v>0</v>
      </c>
      <c r="AH42" s="93" t="n">
        <f aca="false">Model!CT322+Model!CU322+Model!CV322</f>
        <v>0</v>
      </c>
      <c r="AI42" s="93" t="n">
        <f aca="false">Model!CW322+Model!CX322+Model!CY322</f>
        <v>0</v>
      </c>
      <c r="AJ42" s="93" t="n">
        <f aca="false">Model!CZ322+Model!DA322+Model!DB322</f>
        <v>0</v>
      </c>
      <c r="AK42" s="93" t="n">
        <f aca="false">Model!DC322+Model!DD322+Model!DE322</f>
        <v>0</v>
      </c>
    </row>
    <row r="43" customFormat="false" ht="15" hidden="false" customHeight="true" outlineLevel="0" collapsed="false">
      <c r="A43" s="22" t="s">
        <v>308</v>
      </c>
      <c r="B43" s="93" t="n">
        <f aca="false">Model!D323</f>
        <v>0</v>
      </c>
      <c r="C43" s="93" t="n">
        <f aca="false">Model!G323</f>
        <v>1000000</v>
      </c>
      <c r="D43" s="93" t="n">
        <f aca="false">Model!J323</f>
        <v>1000000</v>
      </c>
      <c r="E43" s="93" t="n">
        <f aca="false">Model!M323</f>
        <v>1000000</v>
      </c>
      <c r="F43" s="93" t="n">
        <f aca="false">Model!P323</f>
        <v>1000000</v>
      </c>
      <c r="G43" s="93" t="n">
        <f aca="false">Model!S323</f>
        <v>1000000</v>
      </c>
      <c r="H43" s="93" t="n">
        <f aca="false">Model!V323</f>
        <v>1000000</v>
      </c>
      <c r="I43" s="93" t="n">
        <f aca="false">Model!Y323</f>
        <v>1000000</v>
      </c>
      <c r="J43" s="93" t="n">
        <f aca="false">Model!AB323</f>
        <v>750000</v>
      </c>
      <c r="K43" s="93" t="n">
        <f aca="false">Model!AE323</f>
        <v>750000</v>
      </c>
      <c r="L43" s="93" t="n">
        <f aca="false">Model!AH323</f>
        <v>750000</v>
      </c>
      <c r="M43" s="93" t="n">
        <f aca="false">Model!AK323</f>
        <v>750000</v>
      </c>
      <c r="N43" s="93" t="n">
        <f aca="false">Model!AN323</f>
        <v>500000</v>
      </c>
      <c r="O43" s="93" t="n">
        <f aca="false">Model!AQ323</f>
        <v>500000</v>
      </c>
      <c r="P43" s="93" t="n">
        <f aca="false">Model!AT323</f>
        <v>500000</v>
      </c>
      <c r="Q43" s="93" t="n">
        <f aca="false">Model!AW323</f>
        <v>500000</v>
      </c>
      <c r="R43" s="93" t="n">
        <f aca="false">Model!AZ323</f>
        <v>500000</v>
      </c>
      <c r="S43" s="93" t="n">
        <f aca="false">Model!BC323</f>
        <v>500000</v>
      </c>
      <c r="T43" s="93" t="n">
        <f aca="false">Model!BF323</f>
        <v>500000</v>
      </c>
      <c r="U43" s="93" t="n">
        <f aca="false">Model!BI323</f>
        <v>500000</v>
      </c>
      <c r="V43" s="93" t="n">
        <f aca="false">Model!BL323</f>
        <v>500000</v>
      </c>
      <c r="W43" s="93" t="n">
        <f aca="false">Model!BO323</f>
        <v>500000</v>
      </c>
      <c r="X43" s="93" t="n">
        <f aca="false">Model!BR323</f>
        <v>500000</v>
      </c>
      <c r="Y43" s="93" t="n">
        <f aca="false">Model!BU323</f>
        <v>500000</v>
      </c>
      <c r="Z43" s="93" t="n">
        <f aca="false">Model!BX323</f>
        <v>500000</v>
      </c>
      <c r="AA43" s="93" t="n">
        <f aca="false">Model!CA323</f>
        <v>500000</v>
      </c>
      <c r="AB43" s="93" t="n">
        <f aca="false">Model!CD323</f>
        <v>500000</v>
      </c>
      <c r="AC43" s="93" t="n">
        <f aca="false">Model!CG323</f>
        <v>500000</v>
      </c>
      <c r="AD43" s="93" t="n">
        <f aca="false">Model!CJ323</f>
        <v>500000</v>
      </c>
      <c r="AE43" s="93" t="n">
        <f aca="false">Model!CM323</f>
        <v>500000</v>
      </c>
      <c r="AF43" s="93" t="n">
        <f aca="false">Model!CP323</f>
        <v>500000</v>
      </c>
      <c r="AG43" s="93" t="n">
        <f aca="false">Model!CS323</f>
        <v>500000</v>
      </c>
      <c r="AH43" s="93" t="n">
        <f aca="false">Model!CV323</f>
        <v>500000</v>
      </c>
      <c r="AI43" s="93" t="n">
        <f aca="false">Model!CY323</f>
        <v>500000</v>
      </c>
      <c r="AJ43" s="93" t="n">
        <f aca="false">Model!DB323</f>
        <v>500000</v>
      </c>
      <c r="AK43" s="93" t="n">
        <f aca="false">Model!DE323</f>
        <v>500000</v>
      </c>
    </row>
    <row r="44" customFormat="false" ht="15" hidden="false" customHeight="true" outlineLevel="0" collapsed="false">
      <c r="A44" s="22" t="s">
        <v>309</v>
      </c>
      <c r="B44" s="93" t="n">
        <f aca="false">Model!B377+Model!C377+Model!D377</f>
        <v>0</v>
      </c>
      <c r="C44" s="93" t="n">
        <f aca="false">Model!E377+Model!F377+Model!G377</f>
        <v>0</v>
      </c>
      <c r="D44" s="93" t="n">
        <f aca="false">Model!H377+Model!I377+Model!J377</f>
        <v>0</v>
      </c>
      <c r="E44" s="93" t="n">
        <f aca="false">Model!K377+Model!L377+Model!M377</f>
        <v>0</v>
      </c>
      <c r="F44" s="93" t="n">
        <f aca="false">Model!N377+Model!O377+Model!P377</f>
        <v>0</v>
      </c>
      <c r="G44" s="93" t="n">
        <f aca="false">Model!Q377+Model!R377+Model!S377</f>
        <v>0</v>
      </c>
      <c r="H44" s="93" t="n">
        <f aca="false">Model!T377+Model!U377+Model!V377</f>
        <v>0</v>
      </c>
      <c r="I44" s="93" t="n">
        <f aca="false">Model!W377+Model!X377+Model!Y377</f>
        <v>0</v>
      </c>
      <c r="J44" s="93" t="n">
        <f aca="false">Model!Z377+Model!AA377+Model!AB377</f>
        <v>0</v>
      </c>
      <c r="K44" s="93" t="n">
        <f aca="false">Model!AC377+Model!AD377+Model!AE377</f>
        <v>0</v>
      </c>
      <c r="L44" s="93" t="n">
        <f aca="false">Model!AF377+Model!AG377+Model!AH377</f>
        <v>0</v>
      </c>
      <c r="M44" s="93" t="n">
        <f aca="false">Model!AI377+Model!AJ377+Model!AK377</f>
        <v>0</v>
      </c>
      <c r="N44" s="93" t="n">
        <f aca="false">Model!AL377+Model!AM377+Model!AN377</f>
        <v>0</v>
      </c>
      <c r="O44" s="93" t="n">
        <f aca="false">Model!AO377+Model!AP377+Model!AQ377</f>
        <v>0</v>
      </c>
      <c r="P44" s="93" t="n">
        <f aca="false">Model!AR377+Model!AS377+Model!AT377</f>
        <v>0</v>
      </c>
      <c r="Q44" s="93" t="n">
        <f aca="false">Model!AU377+Model!AV377+Model!AW377</f>
        <v>0</v>
      </c>
      <c r="R44" s="93" t="n">
        <f aca="false">Model!AX377+Model!AY377+Model!AZ377</f>
        <v>0</v>
      </c>
      <c r="S44" s="93" t="n">
        <f aca="false">Model!BA377+Model!BB377+Model!BC377</f>
        <v>0</v>
      </c>
      <c r="T44" s="93" t="n">
        <f aca="false">Model!BD377+Model!BE377+Model!BF377</f>
        <v>0</v>
      </c>
      <c r="U44" s="93" t="n">
        <f aca="false">Model!BG377+Model!BH377+Model!BI377</f>
        <v>0</v>
      </c>
      <c r="V44" s="93" t="n">
        <f aca="false">Model!BJ377+Model!BK377+Model!BL377</f>
        <v>0</v>
      </c>
      <c r="W44" s="93" t="n">
        <f aca="false">Model!BM377+Model!BN377+Model!BO377</f>
        <v>0</v>
      </c>
      <c r="X44" s="93" t="n">
        <f aca="false">Model!BP377+Model!BQ377+Model!BR377</f>
        <v>0</v>
      </c>
      <c r="Y44" s="93" t="n">
        <f aca="false">Model!BS377+Model!BT377+Model!BU377</f>
        <v>0</v>
      </c>
      <c r="Z44" s="93" t="n">
        <f aca="false">Model!BV377+Model!BW377+Model!BX377</f>
        <v>0</v>
      </c>
      <c r="AA44" s="93" t="n">
        <f aca="false">Model!BY377+Model!BZ377+Model!CA377</f>
        <v>0</v>
      </c>
      <c r="AB44" s="93" t="n">
        <f aca="false">Model!CB377+Model!CC377+Model!CD377</f>
        <v>0</v>
      </c>
      <c r="AC44" s="93" t="n">
        <f aca="false">Model!CE377+Model!CF377+Model!CG377</f>
        <v>0</v>
      </c>
      <c r="AD44" s="93" t="n">
        <f aca="false">Model!CH377+Model!CI377+Model!CJ377</f>
        <v>0</v>
      </c>
      <c r="AE44" s="93" t="n">
        <f aca="false">Model!CK377+Model!CL377+Model!CM377</f>
        <v>0</v>
      </c>
      <c r="AF44" s="93" t="n">
        <f aca="false">Model!CN377+Model!CO377+Model!CP377</f>
        <v>0</v>
      </c>
      <c r="AG44" s="93" t="n">
        <f aca="false">Model!CQ377+Model!CR377+Model!CS377</f>
        <v>0</v>
      </c>
      <c r="AH44" s="93" t="n">
        <f aca="false">Model!CT377+Model!CU377+Model!CV377</f>
        <v>0</v>
      </c>
      <c r="AI44" s="93" t="n">
        <f aca="false">Model!CW377+Model!CX377+Model!CY377</f>
        <v>0</v>
      </c>
      <c r="AJ44" s="93" t="n">
        <f aca="false">Model!CZ377+Model!DA377+Model!DB377</f>
        <v>0</v>
      </c>
      <c r="AK44" s="93" t="n">
        <f aca="false">Model!DC377+Model!DD377+Model!DE377</f>
        <v>0</v>
      </c>
    </row>
    <row r="45" customFormat="false" ht="15" hidden="false" customHeight="true" outlineLevel="0" collapsed="false">
      <c r="A45" s="22" t="s">
        <v>310</v>
      </c>
      <c r="B45" s="93" t="n">
        <f aca="false">Model!D330+Model!D335+Model!D340+Model!D345</f>
        <v>0</v>
      </c>
      <c r="C45" s="93" t="n">
        <f aca="false">Model!G330+Model!G335+Model!G340+Model!G345</f>
        <v>1738378.196875</v>
      </c>
      <c r="D45" s="93" t="n">
        <f aca="false">Model!J330+Model!J335+Model!J340+Model!J345</f>
        <v>2142433.65800781</v>
      </c>
      <c r="E45" s="93" t="n">
        <f aca="false">Model!M330+Model!M335+Model!M340+Model!M345</f>
        <v>2378399.92018311</v>
      </c>
      <c r="F45" s="93" t="n">
        <f aca="false">Model!P330+Model!P335+Model!P340+Model!P345</f>
        <v>2714835.55656497</v>
      </c>
      <c r="G45" s="93" t="n">
        <f aca="false">Model!S330+Model!S335+Model!S340+Model!S345</f>
        <v>1507637.52931116</v>
      </c>
      <c r="H45" s="93" t="n">
        <f aca="false">Model!V330+Model!V335+Model!V340+Model!V345</f>
        <v>1564173.93666033</v>
      </c>
      <c r="I45" s="93" t="n">
        <f aca="false">Model!Y330+Model!Y335+Model!Y340+Model!Y345</f>
        <v>1714451.09866009</v>
      </c>
      <c r="J45" s="93" t="n">
        <f aca="false">Model!AB330+Model!AB335+Model!AB340+Model!AB345</f>
        <v>1778743.01485984</v>
      </c>
      <c r="K45" s="93" t="n">
        <f aca="false">Model!AE330+Model!AE335+Model!AE340+Model!AE345</f>
        <v>961652.271667087</v>
      </c>
      <c r="L45" s="93" t="n">
        <f aca="false">Model!AH330+Model!AH335+Model!AH340+Model!AH345</f>
        <v>997714.231854602</v>
      </c>
      <c r="M45" s="93" t="n">
        <f aca="false">Model!AK330+Model!AK335+Model!AK340+Model!AK345</f>
        <v>1035128.51554915</v>
      </c>
      <c r="N45" s="93" t="n">
        <f aca="false">Model!AN330+Model!AN335+Model!AN340+Model!AN345</f>
        <v>1073945.83488224</v>
      </c>
      <c r="O45" s="93" t="n">
        <f aca="false">Model!AQ330+Model!AQ335+Model!AQ340+Model!AQ345</f>
        <v>1114218.80369033</v>
      </c>
      <c r="P45" s="93" t="n">
        <f aca="false">Model!AT330+Model!AT335+Model!AT340+Model!AT345</f>
        <v>1156002.00882871</v>
      </c>
      <c r="Q45" s="93" t="n">
        <f aca="false">Model!AW330+Model!AW335+Model!AW340+Model!AW345</f>
        <v>1199352.08415979</v>
      </c>
      <c r="R45" s="93" t="n">
        <f aca="false">Model!AZ330+Model!AZ335+Model!AZ340+Model!AZ345</f>
        <v>1244327.78731578</v>
      </c>
      <c r="S45" s="93" t="n">
        <f aca="false">Model!BC330+Model!BC335+Model!BC340+Model!BC345</f>
        <v>1041818.77934013</v>
      </c>
      <c r="T45" s="93" t="n">
        <f aca="false">Model!BF330+Model!BF335+Model!BF340+Model!BF345</f>
        <v>1009186.98356538</v>
      </c>
      <c r="U45" s="93" t="n">
        <f aca="false">Model!BI330+Model!BI335+Model!BI340+Model!BI345</f>
        <v>975331.495449082</v>
      </c>
      <c r="V45" s="93" t="n">
        <f aca="false">Model!BL330+Model!BL335+Model!BL340+Model!BL345</f>
        <v>940206.426528422</v>
      </c>
      <c r="W45" s="93" t="n">
        <f aca="false">Model!BO330+Model!BO335+Model!BO340+Model!BO345</f>
        <v>903764.167523238</v>
      </c>
      <c r="X45" s="93" t="n">
        <f aca="false">Model!BR330+Model!BR335+Model!BR340+Model!BR345</f>
        <v>863012.323805359</v>
      </c>
      <c r="Y45" s="93" t="n">
        <f aca="false">Model!BU330+Model!BU335+Model!BU340+Model!BU345</f>
        <v>820735.28594806</v>
      </c>
      <c r="Z45" s="93" t="n">
        <f aca="false">Model!BX330+Model!BX335+Model!BX340+Model!BX345</f>
        <v>776872.859171113</v>
      </c>
      <c r="AA45" s="93" t="n">
        <f aca="false">Model!CA330+Model!CA335+Model!CA340+Model!CA345</f>
        <v>731365.591390029</v>
      </c>
      <c r="AB45" s="93" t="n">
        <f aca="false">Model!CD330+Model!CD335+Model!CD340+Model!CD345</f>
        <v>677428.801067155</v>
      </c>
      <c r="AC45" s="93" t="n">
        <f aca="false">Model!CG330+Model!CG335+Model!CG340+Model!CG345</f>
        <v>621470.381107174</v>
      </c>
      <c r="AD45" s="93" t="n">
        <f aca="false">Model!CJ330+Model!CJ335+Model!CJ340+Model!CJ345</f>
        <v>570021.547005172</v>
      </c>
      <c r="AE45" s="93" t="n">
        <f aca="false">Model!CM330+Model!CM335+Model!CM340+Model!CM345</f>
        <v>591397.355017866</v>
      </c>
      <c r="AF45" s="93" t="n">
        <f aca="false">Model!CP330+Model!CP335+Model!CP340+Model!CP345</f>
        <v>442013.212831036</v>
      </c>
      <c r="AG45" s="93" t="n">
        <f aca="false">Model!CS330+Model!CS335+Model!CS340+Model!CS345</f>
        <v>233637.0833122</v>
      </c>
      <c r="AH45" s="93" t="n">
        <f aca="false">Model!CV330+Model!CV335+Model!CV340+Model!CV345</f>
        <v>17446.8489364072</v>
      </c>
      <c r="AI45" s="93" t="n">
        <f aca="false">Model!CY330+Model!CY335+Model!CY340+Model!CY345</f>
        <v>0</v>
      </c>
      <c r="AJ45" s="93" t="n">
        <f aca="false">Model!DB330+Model!DB335+Model!DB340+Model!DB345</f>
        <v>0</v>
      </c>
      <c r="AK45" s="93" t="n">
        <f aca="false">Model!DE330+Model!DE335+Model!DE340+Model!DE345</f>
        <v>0</v>
      </c>
    </row>
    <row r="46" customFormat="false" ht="15" hidden="false" customHeight="true" outlineLevel="0" collapsed="false">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row>
    <row r="47" customFormat="false" ht="15" hidden="false" customHeight="true" outlineLevel="0" collapsed="false">
      <c r="A47" s="22" t="s">
        <v>311</v>
      </c>
      <c r="B47" s="93" t="n">
        <f aca="false">Model!D356</f>
        <v>0</v>
      </c>
      <c r="C47" s="93" t="n">
        <f aca="false">Model!G356</f>
        <v>20879271.91</v>
      </c>
      <c r="D47" s="93" t="n">
        <f aca="false">Model!J356</f>
        <v>82574509.2435969</v>
      </c>
      <c r="E47" s="93" t="n">
        <f aca="false">Model!M356</f>
        <v>73141594.1403182</v>
      </c>
      <c r="F47" s="93" t="n">
        <f aca="false">Model!P356</f>
        <v>63395136.8555867</v>
      </c>
      <c r="G47" s="93" t="n">
        <f aca="false">Model!S356</f>
        <v>146224437.25068</v>
      </c>
      <c r="H47" s="93" t="n">
        <f aca="false">Model!V356</f>
        <v>138047722.957519</v>
      </c>
      <c r="I47" s="93" t="n">
        <f aca="false">Model!Y356</f>
        <v>123836403.431</v>
      </c>
      <c r="J47" s="93" t="n">
        <f aca="false">Model!AB356</f>
        <v>88848521.3998633</v>
      </c>
      <c r="K47" s="93" t="n">
        <f aca="false">Model!AE356</f>
        <v>104548861.695813</v>
      </c>
      <c r="L47" s="93" t="n">
        <f aca="false">Model!AH356</f>
        <v>76680945.162742</v>
      </c>
      <c r="M47" s="93" t="n">
        <f aca="false">Model!AK356</f>
        <v>55038862.430782</v>
      </c>
      <c r="N47" s="93" t="n">
        <f aca="false">Model!AN356</f>
        <v>39331082.509006</v>
      </c>
      <c r="O47" s="93" t="n">
        <f aca="false">Model!AQ356</f>
        <v>29259209.377692</v>
      </c>
      <c r="P47" s="93" t="n">
        <f aca="false">Model!AT356</f>
        <v>20343070.101246</v>
      </c>
      <c r="Q47" s="93" t="n">
        <f aca="false">Model!AW356</f>
        <v>13258584.501624</v>
      </c>
      <c r="R47" s="93" t="n">
        <f aca="false">Model!AZ356</f>
        <v>8360541.887544</v>
      </c>
      <c r="S47" s="93" t="n">
        <f aca="false">Model!BC356</f>
        <v>4384004.53832</v>
      </c>
      <c r="T47" s="93" t="n">
        <f aca="false">Model!BF356</f>
        <v>1431490.58668</v>
      </c>
      <c r="U47" s="93" t="n">
        <f aca="false">Model!BI356</f>
        <v>0</v>
      </c>
      <c r="V47" s="93" t="n">
        <f aca="false">Model!BL356</f>
        <v>0</v>
      </c>
      <c r="W47" s="93" t="n">
        <f aca="false">Model!BO356</f>
        <v>0</v>
      </c>
      <c r="X47" s="93" t="n">
        <f aca="false">Model!BR356</f>
        <v>0</v>
      </c>
      <c r="Y47" s="93" t="n">
        <f aca="false">Model!BU356</f>
        <v>0</v>
      </c>
      <c r="Z47" s="93" t="n">
        <f aca="false">Model!BX356</f>
        <v>0</v>
      </c>
      <c r="AA47" s="93" t="n">
        <f aca="false">Model!CA356</f>
        <v>0</v>
      </c>
      <c r="AB47" s="93" t="n">
        <f aca="false">Model!CD356</f>
        <v>0</v>
      </c>
      <c r="AC47" s="93" t="n">
        <f aca="false">Model!CG356</f>
        <v>0</v>
      </c>
      <c r="AD47" s="93" t="n">
        <f aca="false">Model!CJ356</f>
        <v>0</v>
      </c>
      <c r="AE47" s="93" t="n">
        <f aca="false">Model!CM356</f>
        <v>0</v>
      </c>
      <c r="AF47" s="93" t="n">
        <f aca="false">Model!CP356</f>
        <v>0</v>
      </c>
      <c r="AG47" s="93" t="n">
        <f aca="false">Model!CS356</f>
        <v>0</v>
      </c>
      <c r="AH47" s="93" t="n">
        <f aca="false">Model!CV356</f>
        <v>0</v>
      </c>
      <c r="AI47" s="93" t="n">
        <f aca="false">Model!CY356</f>
        <v>0</v>
      </c>
      <c r="AJ47" s="93" t="n">
        <f aca="false">Model!DB356</f>
        <v>0</v>
      </c>
      <c r="AK47" s="93" t="n">
        <f aca="false">Model!DE356</f>
        <v>0</v>
      </c>
    </row>
    <row r="48" customFormat="false" ht="1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row>
    <row r="49" customFormat="false" ht="15" hidden="false" customHeight="true" outlineLevel="0" collapsed="false">
      <c r="A49" s="82" t="s">
        <v>195</v>
      </c>
      <c r="B49" s="83" t="n">
        <f aca="false">Model!D369</f>
        <v>0</v>
      </c>
      <c r="C49" s="83" t="n">
        <f aca="false">Model!G369</f>
        <v>0</v>
      </c>
      <c r="D49" s="83" t="n">
        <f aca="false">Model!J369</f>
        <v>0</v>
      </c>
      <c r="E49" s="83" t="n">
        <f aca="false">Model!M369</f>
        <v>2335079.76345215</v>
      </c>
      <c r="F49" s="83" t="n">
        <f aca="false">Model!P369</f>
        <v>1236104.78095263</v>
      </c>
      <c r="G49" s="83" t="n">
        <f aca="false">Model!S369</f>
        <v>1500108.0089895</v>
      </c>
      <c r="H49" s="83" t="n">
        <f aca="false">Model!V369</f>
        <v>2923007.2493954</v>
      </c>
      <c r="I49" s="83" t="n">
        <f aca="false">Model!Y369</f>
        <v>4420752.5249601</v>
      </c>
      <c r="J49" s="83" t="n">
        <f aca="false">Model!AB369</f>
        <v>6648272.56372426</v>
      </c>
      <c r="K49" s="83" t="n">
        <f aca="false">Model!AE369</f>
        <v>8153179.74878475</v>
      </c>
      <c r="L49" s="83" t="n">
        <f aca="false">Model!AH369</f>
        <v>9927180.01406438</v>
      </c>
      <c r="M49" s="83" t="n">
        <f aca="false">Model!AK369</f>
        <v>11562494.1244953</v>
      </c>
      <c r="N49" s="83" t="n">
        <f aca="false">Model!AN369</f>
        <v>12908270.9875755</v>
      </c>
      <c r="O49" s="83" t="n">
        <f aca="false">Model!AQ369</f>
        <v>13991295.2327091</v>
      </c>
      <c r="P49" s="83" t="n">
        <f aca="false">Model!AT369</f>
        <v>14143835.861441</v>
      </c>
      <c r="Q49" s="83" t="n">
        <f aca="false">Model!AW369</f>
        <v>14503711.1656423</v>
      </c>
      <c r="R49" s="83" t="n">
        <f aca="false">Model!AZ369</f>
        <v>13749081.8976728</v>
      </c>
      <c r="S49" s="83" t="n">
        <f aca="false">Model!BC369</f>
        <v>12994452.6297032</v>
      </c>
      <c r="T49" s="83" t="n">
        <f aca="false">Model!BF369</f>
        <v>12239823.3617337</v>
      </c>
      <c r="U49" s="83" t="n">
        <f aca="false">Model!BI369</f>
        <v>11778502.812166</v>
      </c>
      <c r="V49" s="83" t="n">
        <f aca="false">Model!BL369</f>
        <v>10551697.3828322</v>
      </c>
      <c r="W49" s="83" t="n">
        <f aca="false">Model!BO369</f>
        <v>9324891.95349836</v>
      </c>
      <c r="X49" s="83" t="n">
        <f aca="false">Model!BR369</f>
        <v>8098086.52416455</v>
      </c>
      <c r="Y49" s="83" t="n">
        <f aca="false">Model!BU369</f>
        <v>6671281.09483074</v>
      </c>
      <c r="Z49" s="83" t="n">
        <f aca="false">Model!BX369</f>
        <v>5421172.55691026</v>
      </c>
      <c r="AA49" s="83" t="n">
        <f aca="false">Model!CA369</f>
        <v>4171064.01898977</v>
      </c>
      <c r="AB49" s="83" t="n">
        <f aca="false">Model!CD369</f>
        <v>2920955.48106928</v>
      </c>
      <c r="AC49" s="83" t="n">
        <f aca="false">Model!CG369</f>
        <v>1470846.9431488</v>
      </c>
      <c r="AD49" s="83" t="n">
        <f aca="false">Model!CJ369</f>
        <v>196969.234469901</v>
      </c>
      <c r="AE49" s="83" t="n">
        <f aca="false">Model!CM369</f>
        <v>-1076908.474209</v>
      </c>
      <c r="AF49" s="83" t="n">
        <f aca="false">Model!CP369</f>
        <v>-2350786.18288789</v>
      </c>
      <c r="AG49" s="83" t="n">
        <f aca="false">Model!CS369</f>
        <v>-3824663.89156679</v>
      </c>
      <c r="AH49" s="83" t="n">
        <f aca="false">Model!CV369</f>
        <v>-5001159.83081624</v>
      </c>
      <c r="AI49" s="83" t="n">
        <f aca="false">Model!CY369</f>
        <v>-6177655.7700657</v>
      </c>
      <c r="AJ49" s="83" t="n">
        <f aca="false">Model!DB369</f>
        <v>-7354151.70931515</v>
      </c>
      <c r="AK49" s="83" t="n">
        <f aca="false">Model!DE369</f>
        <v>-8730647.6485646</v>
      </c>
    </row>
    <row r="50" customFormat="false" ht="15" hidden="false" customHeight="true" outlineLevel="0" collapsed="false">
      <c r="A50" s="82" t="s">
        <v>312</v>
      </c>
      <c r="B50" s="83" t="n">
        <f aca="false">Model!D378</f>
        <v>0</v>
      </c>
      <c r="C50" s="83" t="n">
        <f aca="false">Model!G378</f>
        <v>0</v>
      </c>
      <c r="D50" s="83" t="n">
        <f aca="false">Model!J378</f>
        <v>0</v>
      </c>
      <c r="E50" s="83" t="n">
        <f aca="false">Model!M378</f>
        <v>-181000.46135</v>
      </c>
      <c r="F50" s="83" t="n">
        <f aca="false">Model!P378</f>
        <v>-906489.379625947</v>
      </c>
      <c r="G50" s="83" t="n">
        <f aca="false">Model!S378</f>
        <v>-1377445.24620489</v>
      </c>
      <c r="H50" s="83" t="n">
        <f aca="false">Model!V378</f>
        <v>-2142369.86278384</v>
      </c>
      <c r="I50" s="83" t="n">
        <f aca="false">Model!Y378</f>
        <v>-2961919.47936279</v>
      </c>
      <c r="J50" s="83" t="n">
        <f aca="false">Model!AB378</f>
        <v>-5432569.94026374</v>
      </c>
      <c r="K50" s="83" t="n">
        <f aca="false">Model!AE378</f>
        <v>-6262858.71654269</v>
      </c>
      <c r="L50" s="83" t="n">
        <f aca="false">Model!AH378</f>
        <v>-7159996.17703216</v>
      </c>
      <c r="M50" s="83" t="n">
        <f aca="false">Model!AK378</f>
        <v>-8095107.32173216</v>
      </c>
      <c r="N50" s="83" t="n">
        <f aca="false">Model!AN378</f>
        <v>-11623769.6121601</v>
      </c>
      <c r="O50" s="83" t="n">
        <f aca="false">Model!AQ378</f>
        <v>-12233834.6997541</v>
      </c>
      <c r="P50" s="83" t="n">
        <f aca="false">Model!AT378</f>
        <v>-12843899.7873481</v>
      </c>
      <c r="Q50" s="83" t="n">
        <f aca="false">Model!AW378</f>
        <v>-13453964.8749421</v>
      </c>
      <c r="R50" s="83" t="n">
        <f aca="false">Model!AZ378</f>
        <v>-14075202.984288</v>
      </c>
      <c r="S50" s="83" t="n">
        <f aca="false">Model!BC378</f>
        <v>-14696441.0936339</v>
      </c>
      <c r="T50" s="83" t="n">
        <f aca="false">Model!BF378</f>
        <v>-15317679.2029797</v>
      </c>
      <c r="U50" s="83" t="n">
        <f aca="false">Model!BI378</f>
        <v>-15938917.3123256</v>
      </c>
      <c r="V50" s="83" t="n">
        <f aca="false">Model!BL378</f>
        <v>-16571551.9038584</v>
      </c>
      <c r="W50" s="83" t="n">
        <f aca="false">Model!BO378</f>
        <v>-17204186.4953912</v>
      </c>
      <c r="X50" s="83" t="n">
        <f aca="false">Model!BR378</f>
        <v>-17783570.736924</v>
      </c>
      <c r="Y50" s="83" t="n">
        <f aca="false">Model!BU378</f>
        <v>-18348443.3284568</v>
      </c>
      <c r="Z50" s="83" t="n">
        <f aca="false">Model!BX378</f>
        <v>-18924940.3318203</v>
      </c>
      <c r="AA50" s="83" t="n">
        <f aca="false">Model!CA378</f>
        <v>-19501437.3351837</v>
      </c>
      <c r="AB50" s="83" t="n">
        <f aca="false">Model!CD378</f>
        <v>-20069197.3385472</v>
      </c>
      <c r="AC50" s="83" t="n">
        <f aca="false">Model!CG378</f>
        <v>-20636957.3419106</v>
      </c>
      <c r="AD50" s="83" t="n">
        <f aca="false">Model!CJ378</f>
        <v>-21209966.2187349</v>
      </c>
      <c r="AE50" s="83" t="n">
        <f aca="false">Model!CM378</f>
        <v>-21392499.1221656</v>
      </c>
      <c r="AF50" s="83" t="n">
        <f aca="false">Model!CP378</f>
        <v>-21575032.0255963</v>
      </c>
      <c r="AG50" s="83" t="n">
        <f aca="false">Model!CS378</f>
        <v>-21757564.9290271</v>
      </c>
      <c r="AH50" s="83" t="n">
        <f aca="false">Model!CV378</f>
        <v>-21934254.4258975</v>
      </c>
      <c r="AI50" s="83" t="n">
        <f aca="false">Model!CY378</f>
        <v>-21908925.7717044</v>
      </c>
      <c r="AJ50" s="83" t="n">
        <f aca="false">Model!DB378</f>
        <v>-21866150.2685748</v>
      </c>
      <c r="AK50" s="83" t="n">
        <f aca="false">Model!DE378</f>
        <v>-21823374.7654453</v>
      </c>
    </row>
    <row r="51" customFormat="false" ht="15" hidden="false" customHeight="true" outlineLevel="0" collapsed="false">
      <c r="A51" s="82" t="s">
        <v>313</v>
      </c>
      <c r="B51" s="83" t="n">
        <f aca="false">Model!B382+Model!C382+Model!D382</f>
        <v>0</v>
      </c>
      <c r="C51" s="83" t="n">
        <f aca="false">Model!E382+Model!F382+Model!G382</f>
        <v>0</v>
      </c>
      <c r="D51" s="83" t="n">
        <f aca="false">Model!H382+Model!I382+Model!J382</f>
        <v>0</v>
      </c>
      <c r="E51" s="83" t="n">
        <f aca="false">Model!K382+Model!L382+Model!M382</f>
        <v>0</v>
      </c>
      <c r="F51" s="83" t="n">
        <f aca="false">Model!N382+Model!O382+Model!P382</f>
        <v>-247040.539993158</v>
      </c>
      <c r="G51" s="83" t="n">
        <f aca="false">Model!Q382+Model!R382+Model!S382</f>
        <v>0</v>
      </c>
      <c r="H51" s="83" t="n">
        <f aca="false">Model!T382+Model!U382+Model!V382</f>
        <v>0</v>
      </c>
      <c r="I51" s="83" t="n">
        <f aca="false">Model!W382+Model!X382+Model!Y382</f>
        <v>0</v>
      </c>
      <c r="J51" s="83" t="n">
        <f aca="false">Model!Z382+Model!AA382+Model!AB382</f>
        <v>-1390361.68462201</v>
      </c>
      <c r="K51" s="83" t="n">
        <f aca="false">Model!AC382+Model!AD382+Model!AE382</f>
        <v>0</v>
      </c>
      <c r="L51" s="83" t="n">
        <f aca="false">Model!AF382+Model!AG382+Model!AH382</f>
        <v>0</v>
      </c>
      <c r="M51" s="83" t="n">
        <f aca="false">Model!AI382+Model!AJ382+Model!AK382</f>
        <v>0</v>
      </c>
      <c r="N51" s="83" t="n">
        <f aca="false">Model!AL382+Model!AM382+Model!AN382</f>
        <v>-2374477.99474961</v>
      </c>
      <c r="O51" s="83" t="n">
        <f aca="false">Model!AO382+Model!AP382+Model!AQ382</f>
        <v>0</v>
      </c>
      <c r="P51" s="83" t="n">
        <f aca="false">Model!AR382+Model!AS382+Model!AT382</f>
        <v>0</v>
      </c>
      <c r="Q51" s="83" t="n">
        <f aca="false">Model!AU382+Model!AV382+Model!AW382</f>
        <v>0</v>
      </c>
      <c r="R51" s="83" t="n">
        <f aca="false">Model!AX382+Model!AY382+Model!AZ382</f>
        <v>0</v>
      </c>
      <c r="S51" s="83" t="n">
        <f aca="false">Model!BA382+Model!BB382+Model!BC382</f>
        <v>0</v>
      </c>
      <c r="T51" s="83" t="n">
        <f aca="false">Model!BD382+Model!BE382+Model!BF382</f>
        <v>0</v>
      </c>
      <c r="U51" s="83" t="n">
        <f aca="false">Model!BG382+Model!BH382+Model!BI382</f>
        <v>0</v>
      </c>
      <c r="V51" s="83" t="n">
        <f aca="false">Model!BJ382+Model!BK382+Model!BL382</f>
        <v>0</v>
      </c>
      <c r="W51" s="83" t="n">
        <f aca="false">Model!BM382+Model!BN382+Model!BO382</f>
        <v>0</v>
      </c>
      <c r="X51" s="83" t="n">
        <f aca="false">Model!BP382+Model!BQ382+Model!BR382</f>
        <v>0</v>
      </c>
      <c r="Y51" s="83" t="n">
        <f aca="false">Model!BS382+Model!BT382+Model!BU382</f>
        <v>0</v>
      </c>
      <c r="Z51" s="83" t="n">
        <f aca="false">Model!BV382+Model!BW382+Model!BX382</f>
        <v>0</v>
      </c>
      <c r="AA51" s="83" t="n">
        <f aca="false">Model!BY382+Model!BZ382+Model!CA382</f>
        <v>0</v>
      </c>
      <c r="AB51" s="83" t="n">
        <f aca="false">Model!CB382+Model!CC382+Model!CD382</f>
        <v>0</v>
      </c>
      <c r="AC51" s="83" t="n">
        <f aca="false">Model!CE382+Model!CF382+Model!CG382</f>
        <v>0</v>
      </c>
      <c r="AD51" s="83" t="n">
        <f aca="false">Model!CH382+Model!CI382+Model!CJ382</f>
        <v>0</v>
      </c>
      <c r="AE51" s="83" t="n">
        <f aca="false">Model!CK382+Model!CL382+Model!CM382</f>
        <v>0</v>
      </c>
      <c r="AF51" s="83" t="n">
        <f aca="false">Model!CN382+Model!CO382+Model!CP382</f>
        <v>0</v>
      </c>
      <c r="AG51" s="83" t="n">
        <f aca="false">Model!CQ382+Model!CR382+Model!CS382</f>
        <v>0</v>
      </c>
      <c r="AH51" s="83" t="n">
        <f aca="false">Model!CT382+Model!CU382+Model!CV382</f>
        <v>0</v>
      </c>
      <c r="AI51" s="83" t="n">
        <f aca="false">Model!CW382+Model!CX382+Model!CY382</f>
        <v>0</v>
      </c>
      <c r="AJ51" s="83" t="n">
        <f aca="false">Model!CZ382+Model!DA382+Model!DB382</f>
        <v>0</v>
      </c>
      <c r="AK51" s="83" t="n">
        <f aca="false">Model!DC382+Model!DD382+Model!DE382</f>
        <v>0</v>
      </c>
    </row>
    <row r="52" customFormat="false" ht="15" hidden="false" customHeight="true" outlineLevel="0" collapsed="false">
      <c r="A52" s="27" t="s">
        <v>314</v>
      </c>
      <c r="B52" s="84" t="n">
        <f aca="false">Model!D383</f>
        <v>0</v>
      </c>
      <c r="C52" s="84" t="n">
        <f aca="false">Model!G383</f>
        <v>0</v>
      </c>
      <c r="D52" s="84" t="n">
        <f aca="false">Model!J383</f>
        <v>0</v>
      </c>
      <c r="E52" s="84" t="n">
        <f aca="false">Model!M383</f>
        <v>2154079.30210215</v>
      </c>
      <c r="F52" s="84" t="n">
        <f aca="false">Model!P383</f>
        <v>329615.401326683</v>
      </c>
      <c r="G52" s="84" t="n">
        <f aca="false">Model!S383</f>
        <v>122662.762784604</v>
      </c>
      <c r="H52" s="84" t="n">
        <f aca="false">Model!V383</f>
        <v>780637.386611556</v>
      </c>
      <c r="I52" s="84" t="n">
        <f aca="false">Model!Y383</f>
        <v>1458833.04559731</v>
      </c>
      <c r="J52" s="84" t="n">
        <f aca="false">Model!AB383</f>
        <v>1215702.62346052</v>
      </c>
      <c r="K52" s="84" t="n">
        <f aca="false">Model!AE383</f>
        <v>1890321.03224206</v>
      </c>
      <c r="L52" s="84" t="n">
        <f aca="false">Model!AH383</f>
        <v>2767183.83703221</v>
      </c>
      <c r="M52" s="84" t="n">
        <f aca="false">Model!AK383</f>
        <v>3467386.80276313</v>
      </c>
      <c r="N52" s="84" t="n">
        <f aca="false">Model!AN383</f>
        <v>1284501.37541545</v>
      </c>
      <c r="O52" s="84" t="n">
        <f aca="false">Model!AQ383</f>
        <v>1757460.53295501</v>
      </c>
      <c r="P52" s="84" t="n">
        <f aca="false">Model!AT383</f>
        <v>1299936.07409286</v>
      </c>
      <c r="Q52" s="84" t="n">
        <f aca="false">Model!AW383</f>
        <v>1049746.29070024</v>
      </c>
      <c r="R52" s="84" t="n">
        <f aca="false">Model!AZ383</f>
        <v>-326121.086615188</v>
      </c>
      <c r="S52" s="84" t="n">
        <f aca="false">Model!BC383</f>
        <v>-1701988.46393062</v>
      </c>
      <c r="T52" s="84" t="n">
        <f aca="false">Model!BF383</f>
        <v>-3077855.84124605</v>
      </c>
      <c r="U52" s="84" t="n">
        <f aca="false">Model!BI383</f>
        <v>-4160414.50015963</v>
      </c>
      <c r="V52" s="84" t="n">
        <f aca="false">Model!BL383</f>
        <v>-6019854.52102624</v>
      </c>
      <c r="W52" s="84" t="n">
        <f aca="false">Model!BO383</f>
        <v>-7879294.54189285</v>
      </c>
      <c r="X52" s="84" t="n">
        <f aca="false">Model!BR383</f>
        <v>-9685484.21275946</v>
      </c>
      <c r="Y52" s="84" t="n">
        <f aca="false">Model!BU383</f>
        <v>-11677162.2336261</v>
      </c>
      <c r="Z52" s="84" t="n">
        <f aca="false">Model!BX383</f>
        <v>-13503767.77491</v>
      </c>
      <c r="AA52" s="84" t="n">
        <f aca="false">Model!CA383</f>
        <v>-15330373.316194</v>
      </c>
      <c r="AB52" s="84" t="n">
        <f aca="false">Model!CD383</f>
        <v>-17148241.8574779</v>
      </c>
      <c r="AC52" s="84" t="n">
        <f aca="false">Model!CG383</f>
        <v>-19166110.3987618</v>
      </c>
      <c r="AD52" s="84" t="n">
        <f aca="false">Model!CJ383</f>
        <v>-21012996.984265</v>
      </c>
      <c r="AE52" s="84" t="n">
        <f aca="false">Model!CM383</f>
        <v>-22469407.5963746</v>
      </c>
      <c r="AF52" s="84" t="n">
        <f aca="false">Model!CP383</f>
        <v>-23925818.2084842</v>
      </c>
      <c r="AG52" s="84" t="n">
        <f aca="false">Model!CS383</f>
        <v>-25582228.8205939</v>
      </c>
      <c r="AH52" s="84" t="n">
        <f aca="false">Model!CV383</f>
        <v>-26935414.2567138</v>
      </c>
      <c r="AI52" s="84" t="n">
        <f aca="false">Model!CY383</f>
        <v>-28086581.5417701</v>
      </c>
      <c r="AJ52" s="84" t="n">
        <f aca="false">Model!DB383</f>
        <v>-29220301.97789</v>
      </c>
      <c r="AK52" s="84" t="n">
        <f aca="false">Model!DE383</f>
        <v>-30554022.4140099</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N45" activeCellId="0" sqref="N45"/>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352</v>
      </c>
    </row>
    <row r="2" customFormat="false" ht="15" hidden="false" customHeight="true" outlineLevel="0" collapsed="false">
      <c r="A2" s="72" t="s">
        <v>353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t="n">
        <v>424100.15</v>
      </c>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354</v>
      </c>
      <c r="C9" s="98" t="n">
        <v>0</v>
      </c>
      <c r="D9" s="98" t="n">
        <v>0</v>
      </c>
      <c r="E9" s="98" t="n">
        <v>0</v>
      </c>
      <c r="F9" s="98" t="n">
        <v>0</v>
      </c>
      <c r="G9" s="98" t="n">
        <v>0</v>
      </c>
      <c r="H9" s="98" t="n">
        <v>0</v>
      </c>
      <c r="I9" s="98" t="n">
        <v>0</v>
      </c>
      <c r="J9" s="98" t="n">
        <v>0</v>
      </c>
      <c r="K9" s="98" t="n">
        <v>0</v>
      </c>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t="n">
        <v>325922.51</v>
      </c>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355</v>
      </c>
      <c r="C11" s="98" t="n">
        <v>0</v>
      </c>
      <c r="D11" s="98" t="n">
        <v>0</v>
      </c>
      <c r="E11" s="98" t="n">
        <v>0</v>
      </c>
      <c r="F11" s="98" t="n">
        <v>0</v>
      </c>
      <c r="G11" s="98" t="n">
        <v>0</v>
      </c>
      <c r="H11" s="98" t="n">
        <v>0</v>
      </c>
      <c r="I11" s="98" t="n">
        <v>0</v>
      </c>
      <c r="J11" s="98" t="n">
        <v>0</v>
      </c>
      <c r="K11" s="98" t="n">
        <v>0</v>
      </c>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t="n">
        <v>5630859.39</v>
      </c>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6380882.05</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356</v>
      </c>
      <c r="C14" s="98" t="n">
        <v>-1235033.93</v>
      </c>
      <c r="D14" s="98" t="n">
        <v>-3073522.36</v>
      </c>
      <c r="E14" s="98" t="n">
        <v>-2078031.64</v>
      </c>
      <c r="F14" s="98" t="n">
        <v>-3244999.65</v>
      </c>
      <c r="G14" s="98" t="n">
        <v>-3950524.93</v>
      </c>
      <c r="H14" s="98" t="n">
        <v>-5610911.85</v>
      </c>
      <c r="I14" s="98" t="n">
        <v>-5258946.14</v>
      </c>
      <c r="J14" s="98" t="n">
        <v>-5503997.59</v>
      </c>
      <c r="K14" s="98" t="n">
        <v>-6037015.16</v>
      </c>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357</v>
      </c>
      <c r="C15" s="98" t="n">
        <v>0</v>
      </c>
      <c r="D15" s="98" t="n">
        <v>0</v>
      </c>
      <c r="E15" s="98" t="n">
        <v>0</v>
      </c>
      <c r="F15" s="98" t="n">
        <v>0</v>
      </c>
      <c r="G15" s="98" t="n">
        <v>0</v>
      </c>
      <c r="H15" s="98" t="n">
        <v>0</v>
      </c>
      <c r="I15" s="98" t="n">
        <v>0</v>
      </c>
      <c r="J15" s="98" t="n">
        <v>0</v>
      </c>
      <c r="K15" s="98" t="n">
        <v>0</v>
      </c>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358</v>
      </c>
      <c r="C16" s="98" t="n">
        <v>0</v>
      </c>
      <c r="D16" s="98" t="n">
        <v>0</v>
      </c>
      <c r="E16" s="98" t="n">
        <v>0</v>
      </c>
      <c r="F16" s="98" t="n">
        <v>0</v>
      </c>
      <c r="G16" s="98" t="n">
        <v>0</v>
      </c>
      <c r="H16" s="98" t="n">
        <v>0</v>
      </c>
      <c r="I16" s="98" t="n">
        <v>0</v>
      </c>
      <c r="J16" s="98" t="n">
        <v>0</v>
      </c>
      <c r="K16" s="98" t="n">
        <v>0</v>
      </c>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343866.89</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0.0538901812171876</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123</v>
      </c>
      <c r="C21" s="98" t="n">
        <v>-144550.9</v>
      </c>
      <c r="D21" s="98" t="n">
        <v>-150672.84</v>
      </c>
      <c r="E21" s="98" t="n">
        <v>-178867.86</v>
      </c>
      <c r="F21" s="98" t="n">
        <v>-187693.63</v>
      </c>
      <c r="G21" s="98" t="n">
        <v>-295949.1</v>
      </c>
      <c r="H21" s="98" t="n">
        <v>-198645.92</v>
      </c>
      <c r="I21" s="98" t="n">
        <v>-215851.71</v>
      </c>
      <c r="J21" s="98" t="n">
        <v>-217610.65</v>
      </c>
      <c r="K21" s="98" t="n">
        <v>-223657.14</v>
      </c>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t="n">
        <v>-16989.18</v>
      </c>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t="n">
        <v>0</v>
      </c>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t="n">
        <v>-11264.52</v>
      </c>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t="n">
        <v>-2397</v>
      </c>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t="n">
        <v>0</v>
      </c>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t="n">
        <v>-29166.66</v>
      </c>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t="n">
        <v>0</v>
      </c>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t="n">
        <v>-20000</v>
      </c>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t="n">
        <v>-145.69</v>
      </c>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t="n">
        <v>-1797.24</v>
      </c>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t="n">
        <v>0</v>
      </c>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124</v>
      </c>
      <c r="C33" s="98" t="n">
        <v>-3405.64</v>
      </c>
      <c r="D33" s="98" t="n">
        <v>-5015.38</v>
      </c>
      <c r="E33" s="98" t="n">
        <v>-7481.39</v>
      </c>
      <c r="F33" s="98" t="n">
        <v>-5111.12</v>
      </c>
      <c r="G33" s="98" t="n">
        <v>-4038.48</v>
      </c>
      <c r="H33" s="98" t="n">
        <v>-6114.98</v>
      </c>
      <c r="I33" s="98" t="n">
        <v>-12545.93</v>
      </c>
      <c r="J33" s="98" t="n">
        <v>-5885.72</v>
      </c>
      <c r="K33" s="98" t="n">
        <v>-4679.53</v>
      </c>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t="n">
        <v>-1456.28</v>
      </c>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t="n">
        <v>0</v>
      </c>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t="n">
        <v>0</v>
      </c>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t="n">
        <v>-5250</v>
      </c>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t="n">
        <v>-55000</v>
      </c>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t="n">
        <v>-3851.12</v>
      </c>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t="n">
        <v>-987.24</v>
      </c>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t="n">
        <v>0</v>
      </c>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t="n">
        <v>-330</v>
      </c>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t="n">
        <v>0</v>
      </c>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t="n">
        <v>-975</v>
      </c>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t="n">
        <v>42.99</v>
      </c>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t="n">
        <v>-941.44</v>
      </c>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t="n">
        <v>-160</v>
      </c>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t="n">
        <v>0</v>
      </c>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t="n">
        <v>-41.55</v>
      </c>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t="n">
        <v>-75</v>
      </c>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t="n">
        <v>0</v>
      </c>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t="n">
        <v>0</v>
      </c>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359</v>
      </c>
      <c r="C54" s="98"/>
      <c r="D54" s="98"/>
      <c r="E54" s="98"/>
      <c r="F54" s="98"/>
      <c r="G54" s="98"/>
      <c r="H54" s="98" t="n">
        <v>-612.68</v>
      </c>
      <c r="I54" s="98" t="n">
        <v>-1609.91</v>
      </c>
      <c r="J54" s="98" t="n">
        <v>-1609.91</v>
      </c>
      <c r="K54" s="98" t="n">
        <v>-1609.91</v>
      </c>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-380731.51</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94" t="s">
        <v>98</v>
      </c>
      <c r="C57" s="107" t="n">
        <f aca="false">C17+C55</f>
        <v>-41844.6399999999</v>
      </c>
      <c r="D57" s="107" t="n">
        <f aca="false">D17+D55</f>
        <v>-311309.31</v>
      </c>
      <c r="E57" s="107" t="n">
        <f aca="false">E17+E55</f>
        <v>242246.78</v>
      </c>
      <c r="F57" s="107" t="n">
        <f aca="false">F17+F55</f>
        <v>373926.69</v>
      </c>
      <c r="G57" s="107" t="n">
        <f aca="false">G17+G55</f>
        <v>27621.8499999997</v>
      </c>
      <c r="H57" s="107" t="n">
        <f aca="false">H17+H55</f>
        <v>317897.240000001</v>
      </c>
      <c r="I57" s="107" t="n">
        <f aca="false">I17+I55</f>
        <v>1445137.94</v>
      </c>
      <c r="J57" s="107" t="n">
        <f aca="false">J17+J55</f>
        <v>175572.22</v>
      </c>
      <c r="K57" s="107" t="n">
        <f aca="false">K17+K55</f>
        <v>-36864.6200000003</v>
      </c>
      <c r="L57" s="107" t="n">
        <f aca="false">L17+L55</f>
        <v>0</v>
      </c>
      <c r="M57" s="107" t="n">
        <f aca="false">M17+M55</f>
        <v>0</v>
      </c>
      <c r="N57" s="107" t="n">
        <f aca="false">N17+N55</f>
        <v>0</v>
      </c>
      <c r="O57" s="107" t="n">
        <f aca="false">O17+O55</f>
        <v>0</v>
      </c>
      <c r="P57" s="107" t="n">
        <f aca="false">P17+P55</f>
        <v>0</v>
      </c>
      <c r="Q57" s="107" t="n">
        <f aca="false">Q17+Q55</f>
        <v>0</v>
      </c>
      <c r="R57" s="107" t="n">
        <f aca="false">R17+R55</f>
        <v>0</v>
      </c>
      <c r="S57" s="107" t="n">
        <f aca="false">S17+S55</f>
        <v>0</v>
      </c>
      <c r="T57" s="107" t="n">
        <f aca="false">T17+T55</f>
        <v>0</v>
      </c>
      <c r="U57" s="107" t="n">
        <f aca="false">U17+U55</f>
        <v>0</v>
      </c>
      <c r="V57" s="107" t="n">
        <f aca="false">V17+V55</f>
        <v>0</v>
      </c>
      <c r="W57" s="107" t="n">
        <f aca="false">W17+W55</f>
        <v>0</v>
      </c>
      <c r="X57" s="107" t="n">
        <f aca="false">X17+X55</f>
        <v>0</v>
      </c>
      <c r="Y57" s="107" t="n">
        <f aca="false">Y17+Y55</f>
        <v>0</v>
      </c>
      <c r="Z57" s="107" t="n">
        <f aca="false">Z17+Z55</f>
        <v>0</v>
      </c>
      <c r="AA57" s="107" t="n">
        <f aca="false">AA17+AA55</f>
        <v>0</v>
      </c>
      <c r="AB57" s="107" t="n">
        <f aca="false">AB17+AB55</f>
        <v>0</v>
      </c>
      <c r="AC57" s="107" t="n">
        <f aca="false">AC17+AC55</f>
        <v>0</v>
      </c>
      <c r="AD57" s="107" t="n">
        <f aca="false">AD17+AD55</f>
        <v>0</v>
      </c>
      <c r="AE57" s="107" t="n">
        <f aca="false">AE17+AE55</f>
        <v>0</v>
      </c>
      <c r="AF57" s="107" t="n">
        <f aca="false">AF17+AF55</f>
        <v>0</v>
      </c>
      <c r="AG57" s="107" t="n">
        <f aca="false">AG17+AG55</f>
        <v>0</v>
      </c>
      <c r="AH57" s="107" t="n">
        <f aca="false">AH17+AH55</f>
        <v>0</v>
      </c>
      <c r="AI57" s="107" t="n">
        <f aca="false">AI17+AI55</f>
        <v>0</v>
      </c>
      <c r="AJ57" s="107" t="n">
        <f aca="false">AJ17+AJ55</f>
        <v>0</v>
      </c>
      <c r="AK57" s="107" t="n">
        <f aca="false">AK17+AK55</f>
        <v>0</v>
      </c>
      <c r="AL57" s="107" t="n">
        <f aca="false">AL17+AL55</f>
        <v>0</v>
      </c>
      <c r="AM57" s="107" t="n">
        <f aca="false">AM17+AM55</f>
        <v>0</v>
      </c>
      <c r="AN57" s="107" t="n">
        <f aca="false">AN17+AN55</f>
        <v>0</v>
      </c>
      <c r="AO57" s="107" t="n">
        <f aca="false">AO17+AO55</f>
        <v>0</v>
      </c>
      <c r="AP57" s="107" t="n">
        <f aca="false">AP17+AP55</f>
        <v>0</v>
      </c>
      <c r="AQ57" s="107" t="n">
        <f aca="false">AQ17+AQ55</f>
        <v>0</v>
      </c>
      <c r="AR57" s="107" t="n">
        <f aca="false">AR17+AR55</f>
        <v>0</v>
      </c>
      <c r="AS57" s="107" t="n">
        <f aca="false">AS17+AS55</f>
        <v>0</v>
      </c>
      <c r="AT57" s="107" t="n">
        <f aca="false">AT17+AT55</f>
        <v>0</v>
      </c>
      <c r="AU57" s="107" t="n">
        <f aca="false">AU17+AU55</f>
        <v>0</v>
      </c>
      <c r="AV57" s="107" t="n">
        <f aca="false">AV17+AV55</f>
        <v>0</v>
      </c>
      <c r="AW57" s="107" t="n">
        <f aca="false">AW17+AW55</f>
        <v>0</v>
      </c>
      <c r="AX57" s="107" t="n">
        <f aca="false">AX17+AX55</f>
        <v>0</v>
      </c>
      <c r="AY57" s="107" t="n">
        <f aca="false">AY17+AY55</f>
        <v>0</v>
      </c>
      <c r="AZ57" s="107" t="n">
        <f aca="false">AZ17+AZ55</f>
        <v>0</v>
      </c>
      <c r="BA57" s="107" t="n">
        <f aca="false">BA17+BA55</f>
        <v>0</v>
      </c>
      <c r="BB57" s="107" t="n">
        <f aca="false">BB17+BB55</f>
        <v>0</v>
      </c>
      <c r="BC57" s="107" t="n">
        <f aca="false">BC17+BC55</f>
        <v>0</v>
      </c>
      <c r="BD57" s="107" t="n">
        <f aca="false">BD17+BD55</f>
        <v>0</v>
      </c>
      <c r="BE57" s="107" t="n">
        <f aca="false">BE17+BE55</f>
        <v>0</v>
      </c>
      <c r="BF57" s="107" t="n">
        <f aca="false">BF17+BF55</f>
        <v>0</v>
      </c>
      <c r="BG57" s="107" t="n">
        <f aca="false">BG17+BG55</f>
        <v>0</v>
      </c>
      <c r="BH57" s="107" t="n">
        <f aca="false">BH17+BH55</f>
        <v>0</v>
      </c>
      <c r="BI57" s="107" t="n">
        <f aca="false">BI17+BI55</f>
        <v>0</v>
      </c>
      <c r="BJ57" s="107" t="n">
        <f aca="false">BJ17+BJ55</f>
        <v>0</v>
      </c>
      <c r="BK57" s="107" t="n">
        <f aca="false">BK17+BK55</f>
        <v>0</v>
      </c>
      <c r="BL57" s="107" t="n">
        <f aca="false">BL17+BL55</f>
        <v>0</v>
      </c>
      <c r="BM57" s="107" t="n">
        <f aca="false">BM17+BM55</f>
        <v>0</v>
      </c>
      <c r="BN57" s="107" t="n">
        <f aca="false">BN17+BN55</f>
        <v>0</v>
      </c>
      <c r="BO57" s="107" t="n">
        <f aca="false">BO17+BO55</f>
        <v>0</v>
      </c>
      <c r="BP57" s="107" t="n">
        <f aca="false">BP17+BP55</f>
        <v>0</v>
      </c>
      <c r="BQ57" s="107" t="n">
        <f aca="false">BQ17+BQ55</f>
        <v>0</v>
      </c>
      <c r="BR57" s="107" t="n">
        <f aca="false">BR17+BR55</f>
        <v>0</v>
      </c>
      <c r="BS57" s="107" t="n">
        <f aca="false">BS17+BS55</f>
        <v>0</v>
      </c>
      <c r="BT57" s="107" t="n">
        <f aca="false">BT17+BT55</f>
        <v>0</v>
      </c>
      <c r="BU57" s="107" t="n">
        <f aca="false">BU17+BU55</f>
        <v>0</v>
      </c>
      <c r="BV57" s="107" t="n">
        <f aca="false">BV17+BV55</f>
        <v>0</v>
      </c>
      <c r="BW57" s="107" t="n">
        <f aca="false">BW17+BW55</f>
        <v>0</v>
      </c>
      <c r="BX57" s="107" t="n">
        <f aca="false">BX17+BX55</f>
        <v>0</v>
      </c>
      <c r="BY57" s="107" t="n">
        <f aca="false">BY17+BY55</f>
        <v>0</v>
      </c>
      <c r="BZ57" s="107" t="n">
        <f aca="false">BZ17+BZ55</f>
        <v>0</v>
      </c>
      <c r="CA57" s="107" t="n">
        <f aca="false">CA17+CA55</f>
        <v>0</v>
      </c>
      <c r="CB57" s="107" t="n">
        <f aca="false">CB17+CB55</f>
        <v>0</v>
      </c>
      <c r="CC57" s="107" t="n">
        <f aca="false">CC17+CC55</f>
        <v>0</v>
      </c>
      <c r="CD57" s="107" t="n">
        <f aca="false">CD17+CD55</f>
        <v>0</v>
      </c>
      <c r="CE57" s="107" t="n">
        <f aca="false">CE17+CE55</f>
        <v>0</v>
      </c>
      <c r="CF57" s="107" t="n">
        <f aca="false">CF17+CF55</f>
        <v>0</v>
      </c>
      <c r="CG57" s="107" t="n">
        <f aca="false">CG17+CG55</f>
        <v>0</v>
      </c>
      <c r="CH57" s="107" t="n">
        <f aca="false">CH17+CH55</f>
        <v>0</v>
      </c>
      <c r="CI57" s="107" t="n">
        <f aca="false">CI17+CI55</f>
        <v>0</v>
      </c>
      <c r="CJ57" s="107" t="n">
        <f aca="false">CJ17+CJ55</f>
        <v>0</v>
      </c>
      <c r="CK57" s="107" t="n">
        <f aca="false">CK17+CK55</f>
        <v>0</v>
      </c>
      <c r="CL57" s="107" t="n">
        <f aca="false">CL17+CL55</f>
        <v>0</v>
      </c>
      <c r="CM57" s="107" t="n">
        <f aca="false">CM17+CM55</f>
        <v>0</v>
      </c>
      <c r="CN57" s="107" t="n">
        <f aca="false">CN17+CN55</f>
        <v>0</v>
      </c>
      <c r="CO57" s="107" t="n">
        <f aca="false">CO17+CO55</f>
        <v>0</v>
      </c>
      <c r="CP57" s="107" t="n">
        <f aca="false">CP17+CP55</f>
        <v>0</v>
      </c>
      <c r="CQ57" s="107" t="n">
        <f aca="false">CQ17+CQ55</f>
        <v>0</v>
      </c>
      <c r="CR57" s="107" t="n">
        <f aca="false">CR17+CR55</f>
        <v>0</v>
      </c>
      <c r="CS57" s="107" t="n">
        <f aca="false">CS17+CS55</f>
        <v>0</v>
      </c>
      <c r="CT57" s="107"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-0.00577735487212154</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t="n">
        <v>0</v>
      </c>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t="n">
        <v>-833.33</v>
      </c>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23906.25</v>
      </c>
      <c r="K65" s="98" t="n">
        <v>23906.25</v>
      </c>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9375</v>
      </c>
      <c r="K69" s="98" t="n">
        <v>9375</v>
      </c>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t="n">
        <v>8800</v>
      </c>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360</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361</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362</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363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364</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180628.58</v>
      </c>
      <c r="K81" s="100" t="n">
        <f aca="false">SUM(K63:K80)</f>
        <v>41247.92</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123</v>
      </c>
      <c r="C83" s="98" t="n">
        <v>-54421</v>
      </c>
      <c r="D83" s="98" t="n">
        <v>-54166.68</v>
      </c>
      <c r="E83" s="98" t="n">
        <v>-54166.68</v>
      </c>
      <c r="F83" s="98" t="n">
        <v>-54166.68</v>
      </c>
      <c r="G83" s="98" t="n">
        <v>-54166.68</v>
      </c>
      <c r="H83" s="98" t="n">
        <v>-54166.68</v>
      </c>
      <c r="I83" s="98" t="n">
        <v>-54166.68</v>
      </c>
      <c r="J83" s="98" t="n">
        <v>-54166.68</v>
      </c>
      <c r="K83" s="98" t="n">
        <v>-54166.68</v>
      </c>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t="n">
        <v>-3786.97</v>
      </c>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t="n">
        <v>-12137.78</v>
      </c>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t="n">
        <v>-475.76</v>
      </c>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t="n">
        <v>-2200.12</v>
      </c>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t="n">
        <v>-8909.61</v>
      </c>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t="n">
        <v>-952.23</v>
      </c>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124</v>
      </c>
      <c r="C90" s="98" t="n">
        <v>-246.85</v>
      </c>
      <c r="D90" s="98" t="n">
        <v>0</v>
      </c>
      <c r="E90" s="98" t="n">
        <v>-4246.73</v>
      </c>
      <c r="F90" s="98" t="n">
        <v>-3123.87</v>
      </c>
      <c r="G90" s="98" t="n">
        <v>-3184.88</v>
      </c>
      <c r="H90" s="98" t="n">
        <v>-4015.94</v>
      </c>
      <c r="I90" s="98" t="n">
        <v>-759.45</v>
      </c>
      <c r="J90" s="98" t="n">
        <v>-6023.52</v>
      </c>
      <c r="K90" s="98" t="n">
        <v>-1177.72</v>
      </c>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125</v>
      </c>
      <c r="C91" s="98" t="n">
        <v>0</v>
      </c>
      <c r="D91" s="98" t="n">
        <v>0</v>
      </c>
      <c r="E91" s="98" t="n">
        <v>-870</v>
      </c>
      <c r="F91" s="98" t="n">
        <v>0</v>
      </c>
      <c r="G91" s="98" t="n">
        <v>0</v>
      </c>
      <c r="H91" s="98" t="n">
        <v>0</v>
      </c>
      <c r="I91" s="98" t="n">
        <v>0</v>
      </c>
      <c r="J91" s="98" t="n">
        <v>0</v>
      </c>
      <c r="K91" s="98" t="n">
        <v>0</v>
      </c>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126</v>
      </c>
      <c r="C92" s="103" t="n">
        <v>-245</v>
      </c>
      <c r="D92" s="103" t="n">
        <v>-245</v>
      </c>
      <c r="E92" s="103" t="n">
        <v>-245</v>
      </c>
      <c r="F92" s="103" t="n">
        <v>-245</v>
      </c>
      <c r="G92" s="103" t="n">
        <v>-245</v>
      </c>
      <c r="H92" s="103" t="n">
        <v>-245</v>
      </c>
      <c r="I92" s="103" t="n">
        <v>-245</v>
      </c>
      <c r="J92" s="103" t="n">
        <v>0</v>
      </c>
      <c r="K92" s="103" t="n">
        <v>-245</v>
      </c>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127</v>
      </c>
      <c r="C93" s="103" t="n">
        <v>-986.57</v>
      </c>
      <c r="D93" s="103" t="n">
        <v>-1254.61</v>
      </c>
      <c r="E93" s="103" t="n">
        <v>-1297.31</v>
      </c>
      <c r="F93" s="103" t="n">
        <v>-48.78</v>
      </c>
      <c r="G93" s="103" t="n">
        <v>-4199.86</v>
      </c>
      <c r="H93" s="103" t="n">
        <v>-3433.39</v>
      </c>
      <c r="I93" s="103" t="n">
        <v>0</v>
      </c>
      <c r="J93" s="103" t="n">
        <v>-9.99</v>
      </c>
      <c r="K93" s="103" t="n">
        <v>-3772.85</v>
      </c>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128</v>
      </c>
      <c r="C94" s="103" t="n">
        <v>-588.66</v>
      </c>
      <c r="D94" s="103" t="n">
        <v>-22.94</v>
      </c>
      <c r="E94" s="103" t="n">
        <v>-487.3</v>
      </c>
      <c r="F94" s="103" t="n">
        <v>-399.98</v>
      </c>
      <c r="G94" s="103" t="n">
        <v>-216.15</v>
      </c>
      <c r="H94" s="103" t="n">
        <v>-936.05</v>
      </c>
      <c r="I94" s="103" t="n">
        <v>-9.99</v>
      </c>
      <c r="J94" s="103" t="n">
        <v>-32.2</v>
      </c>
      <c r="K94" s="103" t="n">
        <v>-436.42</v>
      </c>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129</v>
      </c>
      <c r="C95" s="103" t="n">
        <v>0</v>
      </c>
      <c r="D95" s="103" t="n">
        <v>-92.75</v>
      </c>
      <c r="E95" s="103" t="n">
        <v>-57.46</v>
      </c>
      <c r="F95" s="103" t="n">
        <v>0</v>
      </c>
      <c r="G95" s="103" t="n">
        <v>-24.3</v>
      </c>
      <c r="H95" s="103" t="n">
        <v>-917.7</v>
      </c>
      <c r="I95" s="103" t="n">
        <v>0</v>
      </c>
      <c r="J95" s="103" t="n">
        <v>-70.35</v>
      </c>
      <c r="K95" s="103" t="n">
        <v>-160</v>
      </c>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t="n">
        <v>-1504.31</v>
      </c>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t="n">
        <v>0</v>
      </c>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t="n">
        <v>-21969.2</v>
      </c>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t="n">
        <v>-28083</v>
      </c>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130</v>
      </c>
      <c r="C100" s="103" t="n">
        <v>-268</v>
      </c>
      <c r="D100" s="103" t="n">
        <v>-2088.75</v>
      </c>
      <c r="E100" s="103" t="n">
        <v>-2401.75</v>
      </c>
      <c r="F100" s="103" t="n">
        <v>-4209.5</v>
      </c>
      <c r="G100" s="103" t="n">
        <v>-2377.59</v>
      </c>
      <c r="H100" s="103" t="n">
        <v>-16</v>
      </c>
      <c r="I100" s="103" t="n">
        <v>-4592.5</v>
      </c>
      <c r="J100" s="103" t="n">
        <v>-268</v>
      </c>
      <c r="K100" s="103" t="n">
        <v>-16</v>
      </c>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131</v>
      </c>
      <c r="C101" s="103" t="n">
        <v>-341.83</v>
      </c>
      <c r="D101" s="103" t="n">
        <v>-728</v>
      </c>
      <c r="E101" s="103" t="n">
        <v>-15256.75</v>
      </c>
      <c r="F101" s="103" t="n">
        <v>-1033.41</v>
      </c>
      <c r="G101" s="103" t="n">
        <v>-3499</v>
      </c>
      <c r="H101" s="103" t="n">
        <v>-1033.41</v>
      </c>
      <c r="I101" s="103" t="n">
        <v>-537.06</v>
      </c>
      <c r="J101" s="103" t="n">
        <v>-1903.22</v>
      </c>
      <c r="K101" s="103" t="n">
        <v>-192</v>
      </c>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132</v>
      </c>
      <c r="C102" s="103" t="n">
        <v>-1905.31</v>
      </c>
      <c r="D102" s="103" t="n">
        <v>-1905.31</v>
      </c>
      <c r="E102" s="103" t="n">
        <v>-1905.31</v>
      </c>
      <c r="F102" s="103" t="n">
        <v>-1905.31</v>
      </c>
      <c r="G102" s="103" t="n">
        <v>-1905.31</v>
      </c>
      <c r="H102" s="103" t="n">
        <v>-1905.31</v>
      </c>
      <c r="I102" s="103" t="n">
        <v>-1905.31</v>
      </c>
      <c r="J102" s="103" t="n">
        <v>-1905.31</v>
      </c>
      <c r="K102" s="103" t="n">
        <v>-1451.67</v>
      </c>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133</v>
      </c>
      <c r="C103" s="103" t="n">
        <v>-2100</v>
      </c>
      <c r="D103" s="103" t="n">
        <v>-2100</v>
      </c>
      <c r="E103" s="103" t="n">
        <v>-2100</v>
      </c>
      <c r="F103" s="103" t="n">
        <v>-2100</v>
      </c>
      <c r="G103" s="103" t="n">
        <v>-2100</v>
      </c>
      <c r="H103" s="103" t="n">
        <v>-2100</v>
      </c>
      <c r="I103" s="103" t="n">
        <v>-2100</v>
      </c>
      <c r="J103" s="103" t="n">
        <v>-2100</v>
      </c>
      <c r="K103" s="103" t="n">
        <v>-2100</v>
      </c>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t="n">
        <v>-66666.66</v>
      </c>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t="n">
        <v>-5476.82</v>
      </c>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t="n">
        <v>-1132.51</v>
      </c>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134</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135</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136</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137</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138</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139</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-217013.31</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365</v>
      </c>
      <c r="C113" s="108"/>
      <c r="D113" s="108"/>
      <c r="E113" s="108"/>
      <c r="F113" s="108"/>
      <c r="G113" s="108"/>
      <c r="H113" s="108" t="n">
        <v>53641.68</v>
      </c>
      <c r="I113" s="108" t="n">
        <v>-934.88</v>
      </c>
      <c r="J113" s="108" t="n">
        <v>-934.88</v>
      </c>
      <c r="K113" s="108" t="n">
        <v>-934.88</v>
      </c>
      <c r="L113" s="108"/>
      <c r="M113" s="108"/>
      <c r="N113" s="108"/>
      <c r="O113" s="108"/>
      <c r="P113" s="108"/>
      <c r="Q113" s="108"/>
      <c r="R113" s="108"/>
      <c r="S113" s="108"/>
      <c r="T113" s="108"/>
      <c r="U113" s="108"/>
      <c r="V113" s="108"/>
      <c r="W113" s="108"/>
      <c r="X113" s="108"/>
      <c r="Y113" s="108"/>
      <c r="Z113" s="108"/>
      <c r="AA113" s="108"/>
      <c r="AB113" s="108"/>
      <c r="AC113" s="108"/>
      <c r="AD113" s="108"/>
      <c r="AE113" s="108"/>
      <c r="AF113" s="108"/>
      <c r="AG113" s="108"/>
      <c r="AH113" s="108"/>
      <c r="AI113" s="108"/>
      <c r="AJ113" s="108"/>
      <c r="AK113" s="108"/>
      <c r="AL113" s="108"/>
      <c r="AM113" s="108"/>
      <c r="AN113" s="108"/>
      <c r="AO113" s="108"/>
      <c r="AP113" s="108"/>
      <c r="AQ113" s="108"/>
      <c r="AR113" s="108"/>
      <c r="AS113" s="108"/>
      <c r="AT113" s="108"/>
      <c r="AU113" s="108"/>
      <c r="AV113" s="108"/>
      <c r="AW113" s="108"/>
      <c r="AX113" s="108"/>
      <c r="AY113" s="108"/>
      <c r="AZ113" s="108"/>
      <c r="BA113" s="108"/>
      <c r="BB113" s="108"/>
      <c r="BC113" s="108"/>
      <c r="BD113" s="108"/>
      <c r="BE113" s="108"/>
      <c r="BF113" s="108"/>
      <c r="BG113" s="108"/>
      <c r="BH113" s="108"/>
      <c r="BI113" s="108"/>
      <c r="BJ113" s="108"/>
      <c r="BK113" s="108"/>
      <c r="BL113" s="108"/>
      <c r="BM113" s="108"/>
      <c r="BN113" s="108"/>
      <c r="BO113" s="108"/>
      <c r="BP113" s="108"/>
      <c r="BQ113" s="108"/>
      <c r="BR113" s="108"/>
      <c r="BS113" s="108"/>
      <c r="BT113" s="108"/>
      <c r="BU113" s="108"/>
      <c r="BV113" s="108"/>
      <c r="BW113" s="108"/>
      <c r="BX113" s="108"/>
      <c r="BY113" s="108"/>
      <c r="BZ113" s="108"/>
      <c r="CA113" s="108"/>
      <c r="CB113" s="108"/>
      <c r="CC113" s="108"/>
      <c r="CD113" s="108"/>
      <c r="CE113" s="108"/>
      <c r="CF113" s="108"/>
      <c r="CG113" s="108"/>
      <c r="CH113" s="108"/>
      <c r="CI113" s="108"/>
      <c r="CJ113" s="108"/>
      <c r="CK113" s="108"/>
      <c r="CL113" s="108"/>
      <c r="CM113" s="108"/>
      <c r="CN113" s="108"/>
      <c r="CO113" s="108"/>
      <c r="CP113" s="108"/>
      <c r="CQ113" s="108"/>
      <c r="CR113" s="108"/>
      <c r="CS113" s="108"/>
      <c r="CT113" s="108"/>
    </row>
    <row r="114" customFormat="false" ht="15" hidden="false" customHeight="true" outlineLevel="0" collapsed="false">
      <c r="A114" s="94" t="s">
        <v>140</v>
      </c>
      <c r="C114" s="107" t="n">
        <f aca="false">C81+C112+C113</f>
        <v>-164713.14</v>
      </c>
      <c r="D114" s="107" t="n">
        <f aca="false">D81+D112+D113</f>
        <v>-158387.42</v>
      </c>
      <c r="E114" s="107" t="n">
        <f aca="false">E81+E112+E113</f>
        <v>-220909.52</v>
      </c>
      <c r="F114" s="107" t="n">
        <f aca="false">F81+F112+F113</f>
        <v>-161790.14</v>
      </c>
      <c r="G114" s="107" t="n">
        <f aca="false">G81+G112+G113</f>
        <v>-215914.94</v>
      </c>
      <c r="H114" s="107" t="n">
        <f aca="false">H81+H112+H113</f>
        <v>185173.79</v>
      </c>
      <c r="I114" s="107" t="n">
        <f aca="false">I81+I112+I113</f>
        <v>-118383.36</v>
      </c>
      <c r="J114" s="107" t="n">
        <f aca="false">J81+J112+J113</f>
        <v>-3786.69</v>
      </c>
      <c r="K114" s="107" t="n">
        <f aca="false">K81+K112+K113</f>
        <v>-176700.27</v>
      </c>
      <c r="L114" s="107" t="n">
        <f aca="false">L81+L112+L113</f>
        <v>0</v>
      </c>
      <c r="M114" s="107" t="n">
        <f aca="false">M81+M112+M113</f>
        <v>0</v>
      </c>
      <c r="N114" s="107" t="n">
        <f aca="false">N81+N112+N113</f>
        <v>0</v>
      </c>
      <c r="O114" s="107" t="n">
        <f aca="false">O81+O112+O113</f>
        <v>0</v>
      </c>
      <c r="P114" s="107" t="n">
        <f aca="false">P81+P112+P113</f>
        <v>0</v>
      </c>
      <c r="Q114" s="107" t="n">
        <f aca="false">Q81+Q112+Q113</f>
        <v>0</v>
      </c>
      <c r="R114" s="107" t="n">
        <f aca="false">R81+R112+R113</f>
        <v>0</v>
      </c>
      <c r="S114" s="107" t="n">
        <f aca="false">S81+S112+S113</f>
        <v>0</v>
      </c>
      <c r="T114" s="107" t="n">
        <f aca="false">T81+T112+T113</f>
        <v>0</v>
      </c>
      <c r="U114" s="107" t="n">
        <f aca="false">U81+U112+U113</f>
        <v>0</v>
      </c>
      <c r="V114" s="107" t="n">
        <f aca="false">V81+V112+V113</f>
        <v>0</v>
      </c>
      <c r="W114" s="107" t="n">
        <f aca="false">W81+W112+W113</f>
        <v>0</v>
      </c>
      <c r="X114" s="107" t="n">
        <f aca="false">X81+X112+X113</f>
        <v>0</v>
      </c>
      <c r="Y114" s="107" t="n">
        <f aca="false">Y81+Y112+Y113</f>
        <v>0</v>
      </c>
      <c r="Z114" s="107" t="n">
        <f aca="false">Z81+Z112+Z113</f>
        <v>0</v>
      </c>
      <c r="AA114" s="107" t="n">
        <f aca="false">AA81+AA112+AA113</f>
        <v>0</v>
      </c>
      <c r="AB114" s="107" t="n">
        <f aca="false">AB81+AB112+AB113</f>
        <v>0</v>
      </c>
      <c r="AC114" s="107" t="n">
        <f aca="false">AC81+AC112+AC113</f>
        <v>0</v>
      </c>
      <c r="AD114" s="107" t="n">
        <f aca="false">AD81+AD112+AD113</f>
        <v>0</v>
      </c>
      <c r="AE114" s="107" t="n">
        <f aca="false">AE81+AE112+AE113</f>
        <v>0</v>
      </c>
      <c r="AF114" s="107" t="n">
        <f aca="false">AF81+AF112+AF113</f>
        <v>0</v>
      </c>
      <c r="AG114" s="107" t="n">
        <f aca="false">AG81+AG112+AG113</f>
        <v>0</v>
      </c>
      <c r="AH114" s="107" t="n">
        <f aca="false">AH81+AH112+AH113</f>
        <v>0</v>
      </c>
      <c r="AI114" s="107" t="n">
        <f aca="false">AI81+AI112+AI113</f>
        <v>0</v>
      </c>
      <c r="AJ114" s="107" t="n">
        <f aca="false">AJ81+AJ112+AJ113</f>
        <v>0</v>
      </c>
      <c r="AK114" s="107" t="n">
        <f aca="false">AK81+AK112+AK113</f>
        <v>0</v>
      </c>
      <c r="AL114" s="107" t="n">
        <f aca="false">AL81+AL112+AL113</f>
        <v>0</v>
      </c>
      <c r="AM114" s="107" t="n">
        <f aca="false">AM81+AM112+AM113</f>
        <v>0</v>
      </c>
      <c r="AN114" s="107" t="n">
        <f aca="false">AN81+AN112+AN113</f>
        <v>0</v>
      </c>
      <c r="AO114" s="107" t="n">
        <f aca="false">AO81+AO112+AO113</f>
        <v>0</v>
      </c>
      <c r="AP114" s="107" t="n">
        <f aca="false">AP81+AP112+AP113</f>
        <v>0</v>
      </c>
      <c r="AQ114" s="107" t="n">
        <f aca="false">AQ81+AQ112+AQ113</f>
        <v>0</v>
      </c>
      <c r="AR114" s="107" t="n">
        <f aca="false">AR81+AR112+AR113</f>
        <v>0</v>
      </c>
      <c r="AS114" s="107" t="n">
        <f aca="false">AS81+AS112+AS113</f>
        <v>0</v>
      </c>
      <c r="AT114" s="107" t="n">
        <f aca="false">AT81+AT112+AT113</f>
        <v>0</v>
      </c>
      <c r="AU114" s="107" t="n">
        <f aca="false">AU81+AU112+AU113</f>
        <v>0</v>
      </c>
      <c r="AV114" s="107" t="n">
        <f aca="false">AV81+AV112+AV113</f>
        <v>0</v>
      </c>
      <c r="AW114" s="107" t="n">
        <f aca="false">AW81+AW112+AW113</f>
        <v>0</v>
      </c>
      <c r="AX114" s="107" t="n">
        <f aca="false">AX81+AX112+AX113</f>
        <v>0</v>
      </c>
      <c r="AY114" s="107" t="n">
        <f aca="false">AY81+AY112+AY113</f>
        <v>0</v>
      </c>
      <c r="AZ114" s="107" t="n">
        <f aca="false">AZ81+AZ112+AZ113</f>
        <v>0</v>
      </c>
      <c r="BA114" s="107" t="n">
        <f aca="false">BA81+BA112+BA113</f>
        <v>0</v>
      </c>
      <c r="BB114" s="107" t="n">
        <f aca="false">BB81+BB112+BB113</f>
        <v>0</v>
      </c>
      <c r="BC114" s="107" t="n">
        <f aca="false">BC81+BC112+BC113</f>
        <v>0</v>
      </c>
      <c r="BD114" s="107" t="n">
        <f aca="false">BD81+BD112+BD113</f>
        <v>0</v>
      </c>
      <c r="BE114" s="107" t="n">
        <f aca="false">BE81+BE112+BE113</f>
        <v>0</v>
      </c>
      <c r="BF114" s="107" t="n">
        <f aca="false">BF81+BF112+BF113</f>
        <v>0</v>
      </c>
      <c r="BG114" s="107" t="n">
        <f aca="false">BG81+BG112+BG113</f>
        <v>0</v>
      </c>
      <c r="BH114" s="107" t="n">
        <f aca="false">BH81+BH112+BH113</f>
        <v>0</v>
      </c>
      <c r="BI114" s="107" t="n">
        <f aca="false">BI81+BI112+BI113</f>
        <v>0</v>
      </c>
      <c r="BJ114" s="107" t="n">
        <f aca="false">BJ81+BJ112+BJ113</f>
        <v>0</v>
      </c>
      <c r="BK114" s="107" t="n">
        <f aca="false">BK81+BK112+BK113</f>
        <v>0</v>
      </c>
      <c r="BL114" s="107" t="n">
        <f aca="false">BL81+BL112+BL113</f>
        <v>0</v>
      </c>
      <c r="BM114" s="107" t="n">
        <f aca="false">BM81+BM112+BM113</f>
        <v>0</v>
      </c>
      <c r="BN114" s="107" t="n">
        <f aca="false">BN81+BN112+BN113</f>
        <v>0</v>
      </c>
      <c r="BO114" s="107" t="n">
        <f aca="false">BO81+BO112+BO113</f>
        <v>0</v>
      </c>
      <c r="BP114" s="107" t="n">
        <f aca="false">BP81+BP112+BP113</f>
        <v>0</v>
      </c>
      <c r="BQ114" s="107" t="n">
        <f aca="false">BQ81+BQ112+BQ113</f>
        <v>0</v>
      </c>
      <c r="BR114" s="107" t="n">
        <f aca="false">BR81+BR112+BR113</f>
        <v>0</v>
      </c>
      <c r="BS114" s="107" t="n">
        <f aca="false">BS81+BS112+BS113</f>
        <v>0</v>
      </c>
      <c r="BT114" s="107" t="n">
        <f aca="false">BT81+BT112+BT113</f>
        <v>0</v>
      </c>
      <c r="BU114" s="107" t="n">
        <f aca="false">BU81+BU112+BU113</f>
        <v>0</v>
      </c>
      <c r="BV114" s="107" t="n">
        <f aca="false">BV81+BV112+BV113</f>
        <v>0</v>
      </c>
      <c r="BW114" s="107" t="n">
        <f aca="false">BW81+BW112+BW113</f>
        <v>0</v>
      </c>
      <c r="BX114" s="107" t="n">
        <f aca="false">BX81+BX112+BX113</f>
        <v>0</v>
      </c>
      <c r="BY114" s="107" t="n">
        <f aca="false">BY81+BY112+BY113</f>
        <v>0</v>
      </c>
      <c r="BZ114" s="107" t="n">
        <f aca="false">BZ81+BZ112+BZ113</f>
        <v>0</v>
      </c>
      <c r="CA114" s="107" t="n">
        <f aca="false">CA81+CA112+CA113</f>
        <v>0</v>
      </c>
      <c r="CB114" s="107" t="n">
        <f aca="false">CB81+CB112+CB113</f>
        <v>0</v>
      </c>
      <c r="CC114" s="107" t="n">
        <f aca="false">CC81+CC112+CC113</f>
        <v>0</v>
      </c>
      <c r="CD114" s="107" t="n">
        <f aca="false">CD81+CD112+CD113</f>
        <v>0</v>
      </c>
      <c r="CE114" s="107" t="n">
        <f aca="false">CE81+CE112+CE113</f>
        <v>0</v>
      </c>
      <c r="CF114" s="107" t="n">
        <f aca="false">CF81+CF112+CF113</f>
        <v>0</v>
      </c>
      <c r="CG114" s="107" t="n">
        <f aca="false">CG81+CG112+CG113</f>
        <v>0</v>
      </c>
      <c r="CH114" s="107" t="n">
        <f aca="false">CH81+CH112+CH113</f>
        <v>0</v>
      </c>
      <c r="CI114" s="107" t="n">
        <f aca="false">CI81+CI112+CI113</f>
        <v>0</v>
      </c>
      <c r="CJ114" s="107" t="n">
        <f aca="false">CJ81+CJ112+CJ113</f>
        <v>0</v>
      </c>
      <c r="CK114" s="107" t="n">
        <f aca="false">CK81+CK112+CK113</f>
        <v>0</v>
      </c>
      <c r="CL114" s="107" t="n">
        <f aca="false">CL81+CL112+CL113</f>
        <v>0</v>
      </c>
      <c r="CM114" s="107" t="n">
        <f aca="false">CM81+CM112+CM113</f>
        <v>0</v>
      </c>
      <c r="CN114" s="107" t="n">
        <f aca="false">CN81+CN112+CN113</f>
        <v>0</v>
      </c>
      <c r="CO114" s="107" t="n">
        <f aca="false">CO81+CO112+CO113</f>
        <v>0</v>
      </c>
      <c r="CP114" s="107" t="n">
        <f aca="false">CP81+CP112+CP113</f>
        <v>0</v>
      </c>
      <c r="CQ114" s="107" t="n">
        <f aca="false">CQ81+CQ112+CQ113</f>
        <v>0</v>
      </c>
      <c r="CR114" s="107" t="n">
        <f aca="false">CR81+CR112+CR113</f>
        <v>0</v>
      </c>
      <c r="CS114" s="107" t="n">
        <f aca="false">CS81+CS112+CS113</f>
        <v>0</v>
      </c>
      <c r="CT114" s="107" t="n">
        <f aca="false">CT81+CT112+CT113</f>
        <v>0</v>
      </c>
    </row>
    <row r="115" customFormat="false" ht="15" hidden="false" customHeight="true" outlineLevel="0" collapsed="false">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c r="AA115" s="108"/>
      <c r="AB115" s="108"/>
      <c r="AC115" s="108"/>
      <c r="AD115" s="108"/>
      <c r="AE115" s="108"/>
      <c r="AF115" s="108"/>
      <c r="AG115" s="108"/>
      <c r="AH115" s="108"/>
      <c r="AI115" s="108"/>
      <c r="AJ115" s="108"/>
      <c r="AK115" s="108"/>
      <c r="AL115" s="108"/>
      <c r="AM115" s="108"/>
      <c r="AN115" s="108"/>
      <c r="AO115" s="108"/>
      <c r="AP115" s="108"/>
      <c r="AQ115" s="108"/>
      <c r="AR115" s="108"/>
      <c r="AS115" s="108"/>
      <c r="AT115" s="108"/>
      <c r="AU115" s="108"/>
      <c r="AV115" s="108"/>
      <c r="AW115" s="108"/>
      <c r="AX115" s="108"/>
      <c r="AY115" s="108"/>
      <c r="AZ115" s="108"/>
      <c r="BA115" s="108"/>
      <c r="BB115" s="108"/>
      <c r="BC115" s="108"/>
      <c r="BD115" s="108"/>
      <c r="BE115" s="108"/>
      <c r="BF115" s="108"/>
      <c r="BG115" s="108"/>
      <c r="BH115" s="108"/>
      <c r="BI115" s="108"/>
      <c r="BJ115" s="108"/>
      <c r="BK115" s="108"/>
      <c r="BL115" s="108"/>
      <c r="BM115" s="108"/>
      <c r="BN115" s="108"/>
      <c r="BO115" s="108"/>
      <c r="BP115" s="108"/>
      <c r="BQ115" s="108"/>
      <c r="BR115" s="108"/>
      <c r="BS115" s="108"/>
      <c r="BT115" s="108"/>
      <c r="BU115" s="108"/>
      <c r="BV115" s="108"/>
      <c r="BW115" s="108"/>
      <c r="BX115" s="108"/>
      <c r="BY115" s="108"/>
      <c r="BZ115" s="108"/>
      <c r="CA115" s="108"/>
      <c r="CB115" s="108"/>
      <c r="CC115" s="108"/>
      <c r="CD115" s="108"/>
      <c r="CE115" s="108"/>
      <c r="CF115" s="108"/>
      <c r="CG115" s="108"/>
      <c r="CH115" s="108"/>
      <c r="CI115" s="108"/>
      <c r="CJ115" s="108"/>
      <c r="CK115" s="108"/>
      <c r="CL115" s="108"/>
      <c r="CM115" s="108"/>
      <c r="CN115" s="108"/>
      <c r="CO115" s="108"/>
      <c r="CP115" s="108"/>
      <c r="CQ115" s="108"/>
      <c r="CR115" s="108"/>
      <c r="CS115" s="108"/>
      <c r="CT115" s="10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C30" activePane="bottomRight" state="frozen"/>
      <selection pane="topLeft" activeCell="A1" activeCellId="0" sqref="A1"/>
      <selection pane="topRight" activeCell="C1" activeCellId="0" sqref="C1"/>
      <selection pane="bottomLeft" activeCell="A30" activeCellId="0" sqref="A30"/>
      <selection pane="bottomRight" activeCell="AP14" activeCellId="0" sqref="AP14"/>
    </sheetView>
  </sheetViews>
  <sheetFormatPr defaultColWidth="8.7265625" defaultRowHeight="13.5" customHeight="false"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235.28"/>
  </cols>
  <sheetData>
    <row r="1" customFormat="false" ht="15" hidden="false" customHeight="true" outlineLevel="0" collapsed="false">
      <c r="A1" s="94" t="s">
        <v>366</v>
      </c>
    </row>
    <row r="2" customFormat="false" ht="15" hidden="false" customHeight="true" outlineLevel="0" collapsed="false">
      <c r="A2" s="72" t="s">
        <v>367</v>
      </c>
    </row>
    <row r="3" customFormat="false" ht="15" hidden="false" customHeight="true" outlineLevel="0" collapsed="false">
      <c r="A3" s="109"/>
      <c r="AP3" s="94" t="s">
        <v>368</v>
      </c>
    </row>
    <row r="4" customFormat="false" ht="19.5" hidden="false" customHeight="true" outlineLevel="0" collapsed="false">
      <c r="A4" s="94" t="s">
        <v>369</v>
      </c>
    </row>
    <row r="5" customFormat="false" ht="15" hidden="false" customHeight="true" outlineLevel="0" collapsed="false">
      <c r="A5" s="72" t="s">
        <v>370</v>
      </c>
    </row>
    <row r="6" customFormat="false" ht="15" hidden="false" customHeight="true" outlineLevel="0" collapsed="false">
      <c r="A6" s="110"/>
      <c r="B6" s="110" t="s">
        <v>371</v>
      </c>
      <c r="C6" s="110" t="s">
        <v>372</v>
      </c>
      <c r="D6" s="110" t="s">
        <v>373</v>
      </c>
      <c r="E6" s="110" t="s">
        <v>374</v>
      </c>
      <c r="F6" s="110" t="s">
        <v>375</v>
      </c>
      <c r="G6" s="110" t="s">
        <v>376</v>
      </c>
      <c r="AP6" s="111" t="s">
        <v>377</v>
      </c>
    </row>
    <row r="7" customFormat="false" ht="15" hidden="false" customHeight="true" outlineLevel="0" collapsed="false">
      <c r="A7" s="112" t="s">
        <v>378</v>
      </c>
    </row>
    <row r="8" customFormat="false" ht="15" hidden="false" customHeight="true" outlineLevel="0" collapsed="false">
      <c r="A8" s="109" t="s">
        <v>379</v>
      </c>
      <c r="B8" s="113" t="n">
        <f aca="false">SUM(Budget!$C$81:$N$81)</f>
        <v>647381.91</v>
      </c>
      <c r="C8" s="113" t="n">
        <f aca="false">SUM(Model!$B$261:$M$261)</f>
        <v>913272.31</v>
      </c>
      <c r="D8" s="113" t="n">
        <f aca="false">C8-B8</f>
        <v>265890.4</v>
      </c>
      <c r="E8" s="113" t="n">
        <f aca="false">AM105</f>
        <v>499641.54</v>
      </c>
      <c r="F8" s="113" t="n">
        <f aca="false">AL105</f>
        <v>803678.56</v>
      </c>
      <c r="G8" s="113" t="n">
        <f aca="false">F8-E8</f>
        <v>304037.02</v>
      </c>
      <c r="AP8" s="114" t="s">
        <v>380</v>
      </c>
    </row>
    <row r="9" customFormat="false" ht="15" hidden="false" customHeight="true" outlineLevel="0" collapsed="false">
      <c r="A9" s="109" t="s">
        <v>381</v>
      </c>
      <c r="B9" s="113" t="n">
        <f aca="false">SUM(Budget!$C$112:$N$112)</f>
        <v>-1657836.78</v>
      </c>
      <c r="C9" s="113" t="n">
        <f aca="false">SUM(Model!$B$292:$M$292)</f>
        <v>-2431727.65</v>
      </c>
      <c r="D9" s="113" t="n">
        <f aca="false">C9-B9</f>
        <v>-773890.87</v>
      </c>
      <c r="E9" s="113" t="n">
        <f aca="false">AM136</f>
        <v>-1244155.83</v>
      </c>
      <c r="F9" s="113" t="n">
        <f aca="false">AL136</f>
        <v>-1889927.29</v>
      </c>
      <c r="G9" s="113" t="n">
        <f aca="false">F9-E9</f>
        <v>-645771.46</v>
      </c>
      <c r="AP9" s="114" t="s">
        <v>382</v>
      </c>
    </row>
    <row r="10" customFormat="false" ht="15" hidden="false" customHeight="true" outlineLevel="0" collapsed="false">
      <c r="A10" s="115" t="s">
        <v>140</v>
      </c>
      <c r="B10" s="116" t="n">
        <f aca="false">SUM(Budget!$C$114:$N$114)</f>
        <v>-1010454.87</v>
      </c>
      <c r="C10" s="116" t="n">
        <f aca="false">SUM(Model!$B$293:$M$293)</f>
        <v>-1518455.34</v>
      </c>
      <c r="D10" s="116" t="n">
        <f aca="false">C10-B10</f>
        <v>-508000.47</v>
      </c>
      <c r="E10" s="116" t="n">
        <f aca="false">AM138</f>
        <v>-744514.29</v>
      </c>
      <c r="F10" s="116" t="n">
        <f aca="false">AL138</f>
        <v>-1035411.69</v>
      </c>
      <c r="G10" s="116" t="n">
        <f aca="false">F10-E10</f>
        <v>-290897.4</v>
      </c>
      <c r="AP10" s="114" t="s">
        <v>383</v>
      </c>
    </row>
    <row r="11" customFormat="false" ht="15" hidden="false" customHeight="true" outlineLevel="0" collapsed="false">
      <c r="A11" s="112" t="s">
        <v>384</v>
      </c>
    </row>
    <row r="12" customFormat="false" ht="15" hidden="false" customHeight="true" outlineLevel="0" collapsed="false">
      <c r="A12" s="109" t="s">
        <v>385</v>
      </c>
      <c r="B12" s="113" t="n">
        <f aca="false">SUM(Budget!$C$8:$N$11)</f>
        <v>5822291.95</v>
      </c>
      <c r="C12" s="113" t="n">
        <f aca="false">SUM(Model!$B$10:$M$11)</f>
        <v>6318146.89</v>
      </c>
      <c r="D12" s="113" t="n">
        <f aca="false">C12-B12</f>
        <v>495854.94</v>
      </c>
      <c r="E12" s="113" t="n">
        <f aca="false">SUM(AM32:AM35)</f>
        <v>4143426.93</v>
      </c>
      <c r="F12" s="113" t="n">
        <f aca="false">SUM(AL32:AL35)</f>
        <v>4444917.71</v>
      </c>
      <c r="G12" s="113" t="n">
        <f aca="false">F12-E12</f>
        <v>301490.78</v>
      </c>
      <c r="AP12" s="114" t="s">
        <v>386</v>
      </c>
    </row>
    <row r="13" customFormat="false" ht="15" hidden="false" customHeight="true" outlineLevel="0" collapsed="false">
      <c r="A13" s="109" t="s">
        <v>387</v>
      </c>
      <c r="B13" s="113" t="n">
        <f aca="false">SUM(Budget!$C$12:$N$12)+SUM(Budget!$C$14:$N$14)</f>
        <v>0</v>
      </c>
      <c r="C13" s="113" t="n">
        <f aca="false">SUM(Model!$B$57:$M$57)+SUM(Model!$B$104:$M$104)+SUM(Model!$B$197:$M$198)</f>
        <v>156578.910000003</v>
      </c>
      <c r="D13" s="113" t="n">
        <f aca="false">C13-B13</f>
        <v>156578.910000003</v>
      </c>
      <c r="E13" s="113" t="n">
        <f aca="false">AM36+AM38</f>
        <v>0</v>
      </c>
      <c r="F13" s="113" t="n">
        <f aca="false">AL36+AL38</f>
        <v>542520.770000003</v>
      </c>
      <c r="G13" s="113" t="n">
        <f aca="false">F13-E13</f>
        <v>542520.770000003</v>
      </c>
      <c r="AP13" s="114" t="s">
        <v>388</v>
      </c>
    </row>
    <row r="14" customFormat="false" ht="15" hidden="false" customHeight="true" outlineLevel="0" collapsed="false">
      <c r="A14" s="109" t="s">
        <v>389</v>
      </c>
      <c r="B14" s="113" t="n">
        <f aca="false">SUM(Budget!$C$15:$N$16)</f>
        <v>0</v>
      </c>
      <c r="C14" s="113" t="n">
        <f aca="false">SUM(Model!$B$196:$M$196)</f>
        <v>-376823.155309729</v>
      </c>
      <c r="D14" s="113" t="n">
        <f aca="false">C14-B14</f>
        <v>-376823.155309729</v>
      </c>
      <c r="E14" s="113" t="n">
        <f aca="false">AM39+AM40</f>
        <v>0</v>
      </c>
      <c r="F14" s="113" t="n">
        <f aca="false">AL39+AL40</f>
        <v>0</v>
      </c>
      <c r="G14" s="113" t="n">
        <f aca="false">F14-E14</f>
        <v>0</v>
      </c>
      <c r="AP14" s="114" t="s">
        <v>390</v>
      </c>
    </row>
    <row r="15" customFormat="false" ht="15" hidden="false" customHeight="true" outlineLevel="0" collapsed="false">
      <c r="A15" s="115" t="s">
        <v>61</v>
      </c>
      <c r="B15" s="116" t="n">
        <f aca="false">SUM(Budget!$C$17:$N$17)</f>
        <v>5822291.95</v>
      </c>
      <c r="C15" s="116" t="n">
        <f aca="false">SUM(Model!$B$199:$M$199)</f>
        <v>6097902.64469027</v>
      </c>
      <c r="D15" s="116" t="n">
        <f aca="false">C15-B15</f>
        <v>275610.694690273</v>
      </c>
      <c r="E15" s="116" t="n">
        <f aca="false">AM41</f>
        <v>4143426.93</v>
      </c>
      <c r="F15" s="116" t="n">
        <f aca="false">AL41</f>
        <v>4987438.48</v>
      </c>
      <c r="G15" s="116" t="n">
        <f aca="false">F15-E15</f>
        <v>844011.550000002</v>
      </c>
      <c r="AP15" s="114" t="s">
        <v>391</v>
      </c>
    </row>
    <row r="16" customFormat="false" ht="15" hidden="false" customHeight="true" outlineLevel="0" collapsed="false">
      <c r="A16" s="109" t="s">
        <v>392</v>
      </c>
      <c r="B16" s="113" t="n">
        <f aca="false">SUM(Budget!$C$55:$N$55)</f>
        <v>-3863881.5</v>
      </c>
      <c r="C16" s="113" t="n">
        <f aca="false">SUM(Model!$B$236:$M$236)</f>
        <v>-4091637.219</v>
      </c>
      <c r="D16" s="113" t="n">
        <f aca="false">C16-B16</f>
        <v>-227755.719</v>
      </c>
      <c r="E16" s="113" t="n">
        <f aca="false">AM79</f>
        <v>-2896936.65</v>
      </c>
      <c r="F16" s="113" t="n">
        <f aca="false">AL79</f>
        <v>-2795054.33</v>
      </c>
      <c r="G16" s="113" t="n">
        <f aca="false">F16-E16</f>
        <v>101882.32</v>
      </c>
      <c r="AP16" s="114" t="s">
        <v>393</v>
      </c>
    </row>
    <row r="17" customFormat="false" ht="15" hidden="false" customHeight="true" outlineLevel="0" collapsed="false">
      <c r="A17" s="115" t="s">
        <v>98</v>
      </c>
      <c r="B17" s="116" t="n">
        <f aca="false">SUM(Budget!$C$57:$N$57)</f>
        <v>1958410.45</v>
      </c>
      <c r="C17" s="116" t="n">
        <f aca="false">SUM(Model!$B$237:$M$237)</f>
        <v>2006265.42569027</v>
      </c>
      <c r="D17" s="116" t="n">
        <f aca="false">C17-B17</f>
        <v>47854.9756902733</v>
      </c>
      <c r="E17" s="116" t="n">
        <f aca="false">AM81</f>
        <v>1246490.28</v>
      </c>
      <c r="F17" s="116" t="n">
        <f aca="false">AL81</f>
        <v>2192384.15</v>
      </c>
      <c r="G17" s="116" t="n">
        <f aca="false">F17-E17</f>
        <v>945893.870000001</v>
      </c>
      <c r="AP17" s="114" t="s">
        <v>394</v>
      </c>
    </row>
    <row r="18" customFormat="false" ht="15" hidden="false" customHeight="true" outlineLevel="0" collapsed="false">
      <c r="A18" s="115" t="s">
        <v>395</v>
      </c>
      <c r="B18" s="117" t="n">
        <f aca="false">B10+B17</f>
        <v>947955.58</v>
      </c>
      <c r="C18" s="117" t="n">
        <f aca="false">SUM(Model!$B$308:$M$308)</f>
        <v>491134.274340273</v>
      </c>
      <c r="D18" s="117" t="n">
        <f aca="false">C18-B18</f>
        <v>-456821.305659727</v>
      </c>
      <c r="E18" s="117" t="n">
        <f aca="false">E10+E17</f>
        <v>501975.99</v>
      </c>
      <c r="F18" s="117" t="n">
        <f aca="false">AL141</f>
        <v>1156972.46</v>
      </c>
      <c r="G18" s="117" t="n">
        <f aca="false">F18-E18</f>
        <v>654996.470000001</v>
      </c>
      <c r="AP18" s="114" t="s">
        <v>396</v>
      </c>
    </row>
    <row r="19" customFormat="false" ht="15" hidden="false" customHeight="true" outlineLevel="0" collapsed="false">
      <c r="A19" s="109" t="s">
        <v>397</v>
      </c>
      <c r="C19" s="113" t="n">
        <f aca="false">AL141</f>
        <v>1156972.46</v>
      </c>
    </row>
    <row r="20" customFormat="false" ht="15" hidden="false" customHeight="true" outlineLevel="0" collapsed="false">
      <c r="A20" s="109" t="s">
        <v>398</v>
      </c>
      <c r="C20" s="113" t="n">
        <f aca="false">SUM(Model!$B$258:$M$258)</f>
        <v>299000</v>
      </c>
    </row>
    <row r="21" customFormat="false" ht="15" hidden="false" customHeight="true" outlineLevel="0" collapsed="false">
      <c r="A21" s="109" t="s">
        <v>399</v>
      </c>
      <c r="C21" s="113" t="n">
        <f aca="false">C18-C19</f>
        <v>-665838.185659728</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405</v>
      </c>
      <c r="D29" s="110" t="s">
        <v>373</v>
      </c>
      <c r="E29" s="110" t="s">
        <v>404</v>
      </c>
      <c r="F29" s="110" t="s">
        <v>405</v>
      </c>
      <c r="G29" s="110" t="s">
        <v>373</v>
      </c>
      <c r="H29" s="110" t="s">
        <v>404</v>
      </c>
      <c r="I29" s="110" t="s">
        <v>405</v>
      </c>
      <c r="J29" s="110" t="s">
        <v>373</v>
      </c>
      <c r="K29" s="110" t="s">
        <v>404</v>
      </c>
      <c r="L29" s="110" t="s">
        <v>405</v>
      </c>
      <c r="M29" s="110" t="s">
        <v>373</v>
      </c>
      <c r="N29" s="110" t="s">
        <v>404</v>
      </c>
      <c r="O29" s="110" t="s">
        <v>405</v>
      </c>
      <c r="P29" s="110" t="s">
        <v>373</v>
      </c>
      <c r="Q29" s="110" t="s">
        <v>404</v>
      </c>
      <c r="R29" s="110" t="s">
        <v>405</v>
      </c>
      <c r="S29" s="110" t="s">
        <v>373</v>
      </c>
      <c r="T29" s="110" t="s">
        <v>404</v>
      </c>
      <c r="U29" s="110" t="s">
        <v>405</v>
      </c>
      <c r="V29" s="110" t="s">
        <v>373</v>
      </c>
      <c r="W29" s="110" t="s">
        <v>404</v>
      </c>
      <c r="X29" s="110" t="s">
        <v>405</v>
      </c>
      <c r="Y29" s="110" t="s">
        <v>373</v>
      </c>
      <c r="Z29" s="110" t="s">
        <v>404</v>
      </c>
      <c r="AA29" s="110" t="s">
        <v>405</v>
      </c>
      <c r="AB29" s="110" t="s">
        <v>373</v>
      </c>
      <c r="AC29" s="110" t="s">
        <v>404</v>
      </c>
      <c r="AD29" s="110" t="s">
        <v>405</v>
      </c>
      <c r="AE29" s="110" t="s">
        <v>373</v>
      </c>
      <c r="AF29" s="110" t="s">
        <v>404</v>
      </c>
      <c r="AG29" s="110" t="s">
        <v>405</v>
      </c>
      <c r="AH29" s="110" t="s">
        <v>373</v>
      </c>
      <c r="AI29" s="110" t="s">
        <v>404</v>
      </c>
      <c r="AJ29" s="110" t="s">
        <v>405</v>
      </c>
      <c r="AK29" s="110" t="s">
        <v>373</v>
      </c>
      <c r="AL29" s="110" t="s">
        <v>404</v>
      </c>
      <c r="AM29" s="110" t="s">
        <v>405</v>
      </c>
      <c r="AN29" s="110" t="s">
        <v>373</v>
      </c>
      <c r="AP29" s="111" t="s">
        <v>406</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Budget!C8</f>
        <v>189686.63</v>
      </c>
      <c r="D32" s="113" t="n">
        <f aca="false">IF(B32="","",B32-C32)</f>
        <v>-73319.28</v>
      </c>
      <c r="E32" s="113" t="n">
        <f aca="false">IF(OR(2&gt;$B$27,ISBLANK(Actuals!D8)),"",Actuals!D8)</f>
        <v>138804.22</v>
      </c>
      <c r="F32" s="113" t="n">
        <f aca="false">Budget!D8</f>
        <v>189686.63</v>
      </c>
      <c r="G32" s="113" t="n">
        <f aca="false">IF(E32="","",E32-F32)</f>
        <v>-50882.41</v>
      </c>
      <c r="H32" s="113" t="n">
        <f aca="false">IF(OR(3&gt;$B$27,ISBLANK(Actuals!E8)),"",Actuals!E8)</f>
        <v>219366.88</v>
      </c>
      <c r="I32" s="113" t="n">
        <f aca="false">Budget!E8</f>
        <v>189686.63</v>
      </c>
      <c r="J32" s="113" t="n">
        <f aca="false">IF(H32="","",H32-I32)</f>
        <v>29680.25</v>
      </c>
      <c r="K32" s="113" t="n">
        <f aca="false">IF(OR(4&gt;$B$27,ISBLANK(Actuals!F8)),"",Actuals!F8)</f>
        <v>212079.14</v>
      </c>
      <c r="L32" s="113" t="n">
        <f aca="false">Budget!F8</f>
        <v>189686.63</v>
      </c>
      <c r="M32" s="113" t="n">
        <f aca="false">IF(K32="","",K32-L32)</f>
        <v>22392.51</v>
      </c>
      <c r="N32" s="113" t="n">
        <f aca="false">IF(OR(5&gt;$B$27,ISBLANK(Actuals!G8)),"",Actuals!G8)</f>
        <v>267726.14</v>
      </c>
      <c r="O32" s="113" t="n">
        <f aca="false">Budget!G8</f>
        <v>293206.86</v>
      </c>
      <c r="P32" s="113" t="n">
        <f aca="false">IF(N32="","",N32-O32)</f>
        <v>-25480.72</v>
      </c>
      <c r="Q32" s="113" t="n">
        <f aca="false">IF(OR(6&gt;$B$27,ISBLANK(Actuals!H8)),"",Actuals!H8)</f>
        <v>374773.89</v>
      </c>
      <c r="R32" s="113" t="n">
        <f aca="false">Budget!H8</f>
        <v>293206.86</v>
      </c>
      <c r="S32" s="113" t="n">
        <f aca="false">IF(Q32="","",Q32-R32)</f>
        <v>81567.03</v>
      </c>
      <c r="T32" s="113" t="n">
        <f aca="false">IF(OR(7&gt;$B$27,ISBLANK(Actuals!I8)),"",Actuals!I8)</f>
        <v>344954.34</v>
      </c>
      <c r="U32" s="113" t="n">
        <f aca="false">Budget!I8</f>
        <v>293206.86</v>
      </c>
      <c r="V32" s="113" t="n">
        <f aca="false">IF(T32="","",T32-U32)</f>
        <v>51747.48</v>
      </c>
      <c r="W32" s="113" t="n">
        <f aca="false">IF(OR(8&gt;$B$27,ISBLANK(Actuals!J8)),"",Actuals!J8)</f>
        <v>470819.03</v>
      </c>
      <c r="X32" s="113" t="n">
        <f aca="false">Budget!J8</f>
        <v>293206.86</v>
      </c>
      <c r="Y32" s="113" t="n">
        <f aca="false">IF(W32="","",W32-X32)</f>
        <v>177612.17</v>
      </c>
      <c r="Z32" s="113" t="n">
        <f aca="false">IF(OR(9&gt;$B$27,ISBLANK(Actuals!K8)),"",Actuals!K8)</f>
        <v>424100.15</v>
      </c>
      <c r="AA32" s="113" t="n">
        <f aca="false">Budget!K8</f>
        <v>293206.86</v>
      </c>
      <c r="AB32" s="113" t="n">
        <f aca="false">IF(Z32="","",Z32-AA32)</f>
        <v>130893.29</v>
      </c>
      <c r="AC32" s="113" t="str">
        <f aca="false">IF(OR(10&gt;$B$27,ISBLANK(Actuals!L8)),"",Actuals!L8)</f>
        <v/>
      </c>
      <c r="AD32" s="113" t="n">
        <f aca="false">Budget!L8</f>
        <v>293206.86</v>
      </c>
      <c r="AE32" s="113" t="str">
        <f aca="false">IF(AC32="","",AC32-AD32)</f>
        <v/>
      </c>
      <c r="AF32" s="113" t="str">
        <f aca="false">IF(OR(11&gt;$B$27,ISBLANK(Actuals!M8)),"",Actuals!M8)</f>
        <v/>
      </c>
      <c r="AG32" s="113" t="n">
        <f aca="false">Budget!M8</f>
        <v>293206.86</v>
      </c>
      <c r="AH32" s="113" t="str">
        <f aca="false">IF(AF32="","",AF32-AG32)</f>
        <v/>
      </c>
      <c r="AI32" s="113" t="str">
        <f aca="false">IF(OR(12&gt;$B$27,ISBLANK(Actuals!N8)),"",Actuals!N8)</f>
        <v/>
      </c>
      <c r="AJ32" s="113" t="n">
        <f aca="false">Budget!N8</f>
        <v>260706.85</v>
      </c>
      <c r="AK32" s="113" t="str">
        <f aca="false">IF(AI32="","",AI32-AJ32)</f>
        <v/>
      </c>
      <c r="AL32" s="116" t="n">
        <f aca="false">SUM(Actuals!$C8:INDEX(Actuals!$C8:$N8,$B$27))</f>
        <v>2568991.14</v>
      </c>
      <c r="AM32" s="116" t="n">
        <f aca="false">SUM(Budget!$C8:INDEX(Budget!$C8:$N8,$B$27))</f>
        <v>2224780.82</v>
      </c>
      <c r="AN32" s="116" t="n">
        <f aca="false">AL32-AM32</f>
        <v>344210.32</v>
      </c>
      <c r="AP32" s="114" t="s">
        <v>408</v>
      </c>
    </row>
    <row r="33" customFormat="false" ht="15" hidden="false" customHeight="true" outlineLevel="0" collapsed="false">
      <c r="A33" s="109" t="s">
        <v>354</v>
      </c>
      <c r="B33" s="113" t="n">
        <f aca="false">IF(OR(1&gt;$B$27,ISBLANK(Actuals!C9)),"",Actuals!C9)</f>
        <v>0</v>
      </c>
      <c r="C33" s="113" t="n">
        <f aca="false">Budget!C9</f>
        <v>0</v>
      </c>
      <c r="D33" s="113" t="n">
        <f aca="false">IF(B33="","",B33-C33)</f>
        <v>0</v>
      </c>
      <c r="E33" s="113" t="n">
        <f aca="false">IF(OR(2&gt;$B$27,ISBLANK(Actuals!D9)),"",Actuals!D9)</f>
        <v>0</v>
      </c>
      <c r="F33" s="113" t="n">
        <f aca="false">Budget!D9</f>
        <v>0</v>
      </c>
      <c r="G33" s="113" t="n">
        <f aca="false">IF(E33="","",E33-F33)</f>
        <v>0</v>
      </c>
      <c r="H33" s="113" t="n">
        <f aca="false">IF(OR(3&gt;$B$27,ISBLANK(Actuals!E9)),"",Actuals!E9)</f>
        <v>0</v>
      </c>
      <c r="I33" s="113" t="n">
        <f aca="false">Budget!E9</f>
        <v>0</v>
      </c>
      <c r="J33" s="113" t="n">
        <f aca="false">IF(H33="","",H33-I33)</f>
        <v>0</v>
      </c>
      <c r="K33" s="113" t="n">
        <f aca="false">IF(OR(4&gt;$B$27,ISBLANK(Actuals!F9)),"",Actuals!F9)</f>
        <v>0</v>
      </c>
      <c r="L33" s="113" t="n">
        <f aca="false">Budget!F9</f>
        <v>0</v>
      </c>
      <c r="M33" s="113" t="n">
        <f aca="false">IF(K33="","",K33-L33)</f>
        <v>0</v>
      </c>
      <c r="N33" s="113" t="n">
        <f aca="false">IF(OR(5&gt;$B$27,ISBLANK(Actuals!G9)),"",Actuals!G9)</f>
        <v>0</v>
      </c>
      <c r="O33" s="113" t="n">
        <f aca="false">Budget!G9</f>
        <v>0</v>
      </c>
      <c r="P33" s="113" t="n">
        <f aca="false">IF(N33="","",N33-O33)</f>
        <v>0</v>
      </c>
      <c r="Q33" s="113" t="n">
        <f aca="false">IF(OR(6&gt;$B$27,ISBLANK(Actuals!H9)),"",Actuals!H9)</f>
        <v>0</v>
      </c>
      <c r="R33" s="113" t="n">
        <f aca="false">Budget!H9</f>
        <v>0</v>
      </c>
      <c r="S33" s="113" t="n">
        <f aca="false">IF(Q33="","",Q33-R33)</f>
        <v>0</v>
      </c>
      <c r="T33" s="113" t="n">
        <f aca="false">IF(OR(7&gt;$B$27,ISBLANK(Actuals!I9)),"",Actuals!I9)</f>
        <v>0</v>
      </c>
      <c r="U33" s="113" t="n">
        <f aca="false">Budget!I9</f>
        <v>0</v>
      </c>
      <c r="V33" s="113" t="n">
        <f aca="false">IF(T33="","",T33-U33)</f>
        <v>0</v>
      </c>
      <c r="W33" s="113" t="n">
        <f aca="false">IF(OR(8&gt;$B$27,ISBLANK(Actuals!J9)),"",Actuals!J9)</f>
        <v>0</v>
      </c>
      <c r="X33" s="113" t="n">
        <f aca="false">Budget!J9</f>
        <v>0</v>
      </c>
      <c r="Y33" s="113" t="n">
        <f aca="false">IF(W33="","",W33-X33)</f>
        <v>0</v>
      </c>
      <c r="Z33" s="113" t="n">
        <f aca="false">IF(OR(9&gt;$B$27,ISBLANK(Actuals!K9)),"",Actuals!K9)</f>
        <v>0</v>
      </c>
      <c r="AA33" s="113" t="n">
        <f aca="false">Budget!K9</f>
        <v>0</v>
      </c>
      <c r="AB33" s="113" t="n">
        <f aca="false">IF(Z33="","",Z33-AA33)</f>
        <v>0</v>
      </c>
      <c r="AC33" s="113" t="str">
        <f aca="false">IF(OR(10&gt;$B$27,ISBLANK(Actuals!L9)),"",Actuals!L9)</f>
        <v/>
      </c>
      <c r="AD33" s="113" t="n">
        <f aca="false">Budget!L9</f>
        <v>0</v>
      </c>
      <c r="AE33" s="113" t="str">
        <f aca="false">IF(AC33="","",AC33-AD33)</f>
        <v/>
      </c>
      <c r="AF33" s="113" t="str">
        <f aca="false">IF(OR(11&gt;$B$27,ISBLANK(Actuals!M9)),"",Actuals!M9)</f>
        <v/>
      </c>
      <c r="AG33" s="113" t="n">
        <f aca="false">Budget!M9</f>
        <v>0</v>
      </c>
      <c r="AH33" s="113" t="str">
        <f aca="false">IF(AF33="","",AF33-AG33)</f>
        <v/>
      </c>
      <c r="AI33" s="113" t="str">
        <f aca="false">IF(OR(12&gt;$B$27,ISBLANK(Actuals!N9)),"",Actuals!N9)</f>
        <v/>
      </c>
      <c r="AJ33" s="113" t="n">
        <f aca="false">Budget!N9</f>
        <v>0</v>
      </c>
      <c r="AK33" s="113" t="str">
        <f aca="false">IF(AI33="","",AI33-AJ33)</f>
        <v/>
      </c>
      <c r="AL33" s="116" t="n">
        <f aca="false">SUM(Actuals!$C9:INDEX(Actuals!$C9:$N9,$B$27))</f>
        <v>0</v>
      </c>
      <c r="AM33" s="116" t="n">
        <f aca="false">SUM(Budget!$C9:INDEX(Budget!$C9:$N9,$B$27))</f>
        <v>0</v>
      </c>
      <c r="AN33" s="116" t="n">
        <f aca="false">AL33-AM33</f>
        <v>0</v>
      </c>
    </row>
    <row r="34" customFormat="false" ht="15" hidden="false" customHeight="true" outlineLevel="0" collapsed="false">
      <c r="A34" s="109" t="s">
        <v>5</v>
      </c>
      <c r="B34" s="113" t="n">
        <f aca="false">IF(OR(1&gt;$B$27,ISBLANK(Actuals!C10)),"",Actuals!C10)</f>
        <v>95370.25</v>
      </c>
      <c r="C34" s="113" t="n">
        <f aca="false">Budget!C10</f>
        <v>134573.26</v>
      </c>
      <c r="D34" s="113" t="n">
        <f aca="false">IF(B34="","",B34-C34)</f>
        <v>-39203.01</v>
      </c>
      <c r="E34" s="113" t="n">
        <f aca="false">IF(OR(2&gt;$B$27,ISBLANK(Actuals!D10)),"",Actuals!D10)</f>
        <v>173282.89</v>
      </c>
      <c r="F34" s="113" t="n">
        <f aca="false">Budget!D10</f>
        <v>149817.92</v>
      </c>
      <c r="G34" s="113" t="n">
        <f aca="false">IF(E34="","",E34-F34)</f>
        <v>23464.97</v>
      </c>
      <c r="H34" s="113" t="n">
        <f aca="false">IF(OR(3&gt;$B$27,ISBLANK(Actuals!E10)),"",Actuals!E10)</f>
        <v>50438.85</v>
      </c>
      <c r="I34" s="113" t="n">
        <f aca="false">Budget!E10</f>
        <v>164993.33</v>
      </c>
      <c r="J34" s="113" t="n">
        <f aca="false">IF(H34="","",H34-I34)</f>
        <v>-114554.48</v>
      </c>
      <c r="K34" s="113" t="n">
        <f aca="false">IF(OR(4&gt;$B$27,ISBLANK(Actuals!F10)),"",Actuals!F10)</f>
        <v>167518.85</v>
      </c>
      <c r="L34" s="113" t="n">
        <f aca="false">Budget!F10</f>
        <v>179495.73</v>
      </c>
      <c r="M34" s="113" t="n">
        <f aca="false">IF(K34="","",K34-L34)</f>
        <v>-11976.88</v>
      </c>
      <c r="N34" s="113" t="n">
        <f aca="false">IF(OR(5&gt;$B$27,ISBLANK(Actuals!G10)),"",Actuals!G10)</f>
        <v>209057.26</v>
      </c>
      <c r="O34" s="113" t="n">
        <f aca="false">Budget!G10</f>
        <v>230135.69</v>
      </c>
      <c r="P34" s="113" t="n">
        <f aca="false">IF(N34="","",N34-O34)</f>
        <v>-21078.43</v>
      </c>
      <c r="Q34" s="113" t="n">
        <f aca="false">IF(OR(6&gt;$B$27,ISBLANK(Actuals!H10)),"",Actuals!H10)</f>
        <v>292966.36</v>
      </c>
      <c r="R34" s="113" t="n">
        <f aca="false">Budget!H10</f>
        <v>246811.27</v>
      </c>
      <c r="S34" s="113" t="n">
        <f aca="false">IF(Q34="","",Q34-R34)</f>
        <v>46155.09</v>
      </c>
      <c r="T34" s="113" t="n">
        <f aca="false">IF(OR(7&gt;$B$27,ISBLANK(Actuals!I10)),"",Actuals!I10)</f>
        <v>271584.24</v>
      </c>
      <c r="U34" s="113" t="n">
        <f aca="false">Budget!I10</f>
        <v>261045.09</v>
      </c>
      <c r="V34" s="113" t="n">
        <f aca="false">IF(T34="","",T34-U34)</f>
        <v>10539.15</v>
      </c>
      <c r="W34" s="113" t="n">
        <f aca="false">IF(OR(8&gt;$B$27,ISBLANK(Actuals!J10)),"",Actuals!J10)</f>
        <v>289785.36</v>
      </c>
      <c r="X34" s="113" t="n">
        <f aca="false">Budget!J10</f>
        <v>272157.23</v>
      </c>
      <c r="Y34" s="113" t="n">
        <f aca="false">IF(W34="","",W34-X34)</f>
        <v>17628.13</v>
      </c>
      <c r="Z34" s="113" t="n">
        <f aca="false">IF(OR(9&gt;$B$27,ISBLANK(Actuals!K10)),"",Actuals!K10)</f>
        <v>325922.51</v>
      </c>
      <c r="AA34" s="113" t="n">
        <f aca="false">Budget!K10</f>
        <v>279616.59</v>
      </c>
      <c r="AB34" s="113" t="n">
        <f aca="false">IF(Z34="","",Z34-AA34)</f>
        <v>46305.92</v>
      </c>
      <c r="AC34" s="113" t="str">
        <f aca="false">IF(OR(10&gt;$B$27,ISBLANK(Actuals!L10)),"",Actuals!L10)</f>
        <v/>
      </c>
      <c r="AD34" s="113" t="n">
        <f aca="false">Budget!L10</f>
        <v>283097.52</v>
      </c>
      <c r="AE34" s="113" t="str">
        <f aca="false">IF(AC34="","",AC34-AD34)</f>
        <v/>
      </c>
      <c r="AF34" s="113" t="str">
        <f aca="false">IF(OR(11&gt;$B$27,ISBLANK(Actuals!M10)),"",Actuals!M10)</f>
        <v/>
      </c>
      <c r="AG34" s="113" t="n">
        <f aca="false">Budget!M10</f>
        <v>282514.62</v>
      </c>
      <c r="AH34" s="113" t="str">
        <f aca="false">IF(AF34="","",AF34-AG34)</f>
        <v/>
      </c>
      <c r="AI34" s="113" t="str">
        <f aca="false">IF(OR(12&gt;$B$27,ISBLANK(Actuals!N10)),"",Actuals!N10)</f>
        <v/>
      </c>
      <c r="AJ34" s="113" t="n">
        <f aca="false">Budget!N10</f>
        <v>266132.31</v>
      </c>
      <c r="AK34" s="113" t="str">
        <f aca="false">IF(AI34="","",AI34-AJ34)</f>
        <v/>
      </c>
      <c r="AL34" s="116" t="n">
        <f aca="false">SUM(Actuals!$C10:INDEX(Actuals!$C10:$N10,$B$27))</f>
        <v>1875926.57</v>
      </c>
      <c r="AM34" s="116" t="n">
        <f aca="false">SUM(Budget!$C10:INDEX(Budget!$C10:$N10,$B$27))</f>
        <v>1918646.11</v>
      </c>
      <c r="AN34" s="116" t="n">
        <f aca="false">AL34-AM34</f>
        <v>-42719.54</v>
      </c>
      <c r="AP34" s="114" t="s">
        <v>409</v>
      </c>
    </row>
    <row r="35" customFormat="false" ht="15" hidden="false" customHeight="true" outlineLevel="0" collapsed="false">
      <c r="A35" s="109" t="s">
        <v>355</v>
      </c>
      <c r="B35" s="113" t="n">
        <f aca="false">IF(OR(1&gt;$B$27,ISBLANK(Actuals!C11)),"",Actuals!C11)</f>
        <v>0</v>
      </c>
      <c r="C35" s="113" t="n">
        <f aca="false">Budget!C11</f>
        <v>0</v>
      </c>
      <c r="D35" s="113" t="n">
        <f aca="false">IF(B35="","",B35-C35)</f>
        <v>0</v>
      </c>
      <c r="E35" s="113" t="n">
        <f aca="false">IF(OR(2&gt;$B$27,ISBLANK(Actuals!D11)),"",Actuals!D11)</f>
        <v>0</v>
      </c>
      <c r="F35" s="113" t="n">
        <f aca="false">Budget!D11</f>
        <v>0</v>
      </c>
      <c r="G35" s="113" t="n">
        <f aca="false">IF(E35="","",E35-F35)</f>
        <v>0</v>
      </c>
      <c r="H35" s="113" t="n">
        <f aca="false">IF(OR(3&gt;$B$27,ISBLANK(Actuals!E11)),"",Actuals!E11)</f>
        <v>0</v>
      </c>
      <c r="I35" s="113" t="n">
        <f aca="false">Budget!E11</f>
        <v>0</v>
      </c>
      <c r="J35" s="113" t="n">
        <f aca="false">IF(H35="","",H35-I35)</f>
        <v>0</v>
      </c>
      <c r="K35" s="113" t="n">
        <f aca="false">IF(OR(4&gt;$B$27,ISBLANK(Actuals!F11)),"",Actuals!F11)</f>
        <v>0</v>
      </c>
      <c r="L35" s="113" t="n">
        <f aca="false">Budget!F11</f>
        <v>0</v>
      </c>
      <c r="M35" s="113" t="n">
        <f aca="false">IF(K35="","",K35-L35)</f>
        <v>0</v>
      </c>
      <c r="N35" s="113" t="n">
        <f aca="false">IF(OR(5&gt;$B$27,ISBLANK(Actuals!G11)),"",Actuals!G11)</f>
        <v>0</v>
      </c>
      <c r="O35" s="113" t="n">
        <f aca="false">Budget!G11</f>
        <v>0</v>
      </c>
      <c r="P35" s="113" t="n">
        <f aca="false">IF(N35="","",N35-O35)</f>
        <v>0</v>
      </c>
      <c r="Q35" s="113" t="n">
        <f aca="false">IF(OR(6&gt;$B$27,ISBLANK(Actuals!H11)),"",Actuals!H11)</f>
        <v>0</v>
      </c>
      <c r="R35" s="113" t="n">
        <f aca="false">Budget!H11</f>
        <v>0</v>
      </c>
      <c r="S35" s="113" t="n">
        <f aca="false">IF(Q35="","",Q35-R35)</f>
        <v>0</v>
      </c>
      <c r="T35" s="113" t="n">
        <f aca="false">IF(OR(7&gt;$B$27,ISBLANK(Actuals!I11)),"",Actuals!I11)</f>
        <v>0</v>
      </c>
      <c r="U35" s="113" t="n">
        <f aca="false">Budget!I11</f>
        <v>0</v>
      </c>
      <c r="V35" s="113" t="n">
        <f aca="false">IF(T35="","",T35-U35)</f>
        <v>0</v>
      </c>
      <c r="W35" s="113" t="n">
        <f aca="false">IF(OR(8&gt;$B$27,ISBLANK(Actuals!J11)),"",Actuals!J11)</f>
        <v>0</v>
      </c>
      <c r="X35" s="113" t="n">
        <f aca="false">Budget!J11</f>
        <v>0</v>
      </c>
      <c r="Y35" s="113" t="n">
        <f aca="false">IF(W35="","",W35-X35)</f>
        <v>0</v>
      </c>
      <c r="Z35" s="113" t="n">
        <f aca="false">IF(OR(9&gt;$B$27,ISBLANK(Actuals!K11)),"",Actuals!K11)</f>
        <v>0</v>
      </c>
      <c r="AA35" s="113" t="n">
        <f aca="false">Budget!K11</f>
        <v>0</v>
      </c>
      <c r="AB35" s="113" t="n">
        <f aca="false">IF(Z35="","",Z35-AA35)</f>
        <v>0</v>
      </c>
      <c r="AC35" s="113" t="str">
        <f aca="false">IF(OR(10&gt;$B$27,ISBLANK(Actuals!L11)),"",Actuals!L11)</f>
        <v/>
      </c>
      <c r="AD35" s="113" t="n">
        <f aca="false">Budget!L11</f>
        <v>0</v>
      </c>
      <c r="AE35" s="113" t="str">
        <f aca="false">IF(AC35="","",AC35-AD35)</f>
        <v/>
      </c>
      <c r="AF35" s="113" t="str">
        <f aca="false">IF(OR(11&gt;$B$27,ISBLANK(Actuals!M11)),"",Actuals!M11)</f>
        <v/>
      </c>
      <c r="AG35" s="113" t="n">
        <f aca="false">Budget!M11</f>
        <v>0</v>
      </c>
      <c r="AH35" s="113" t="str">
        <f aca="false">IF(AF35="","",AF35-AG35)</f>
        <v/>
      </c>
      <c r="AI35" s="113" t="str">
        <f aca="false">IF(OR(12&gt;$B$27,ISBLANK(Actuals!N11)),"",Actuals!N11)</f>
        <v/>
      </c>
      <c r="AJ35" s="113" t="n">
        <f aca="false">Budget!N11</f>
        <v>0</v>
      </c>
      <c r="AK35" s="113" t="str">
        <f aca="false">IF(AI35="","",AI35-AJ35)</f>
        <v/>
      </c>
      <c r="AL35" s="116" t="n">
        <f aca="false">SUM(Actuals!$C11:INDEX(Actuals!$C11:$N11,$B$27))</f>
        <v>0</v>
      </c>
      <c r="AM35" s="116" t="n">
        <f aca="false">SUM(Budget!$C11:INDEX(Budget!$C11:$N11,$B$27))</f>
        <v>0</v>
      </c>
      <c r="AN35" s="116" t="n">
        <f aca="false">AL35-AM35</f>
        <v>0</v>
      </c>
    </row>
    <row r="36" customFormat="false" ht="15" hidden="false" customHeight="true" outlineLevel="0" collapsed="false">
      <c r="A36" s="109" t="s">
        <v>6</v>
      </c>
      <c r="B36" s="113" t="n">
        <f aca="false">IF(OR(1&gt;$B$27,ISBLANK(Actuals!C12)),"",Actuals!C12)</f>
        <v>1242053.19</v>
      </c>
      <c r="C36" s="113" t="n">
        <f aca="false">Budget!C12</f>
        <v>2653995.85</v>
      </c>
      <c r="D36" s="113" t="n">
        <f aca="false">IF(B36="","",B36-C36)</f>
        <v>-1411942.66</v>
      </c>
      <c r="E36" s="113" t="n">
        <f aca="false">IF(OR(2&gt;$B$27,ISBLANK(Actuals!D12)),"",Actuals!D12)</f>
        <v>2710434.48</v>
      </c>
      <c r="F36" s="113" t="n">
        <f aca="false">Budget!D12</f>
        <v>2933528.7</v>
      </c>
      <c r="G36" s="113" t="n">
        <f aca="false">IF(E36="","",E36-F36)</f>
        <v>-223094.22</v>
      </c>
      <c r="H36" s="113" t="n">
        <f aca="false">IF(OR(3&gt;$B$27,ISBLANK(Actuals!E12)),"",Actuals!E12)</f>
        <v>2402410.43</v>
      </c>
      <c r="I36" s="113" t="n">
        <f aca="false">Budget!E12</f>
        <v>3209528.94</v>
      </c>
      <c r="J36" s="113" t="n">
        <f aca="false">IF(H36="","",H36-I36)</f>
        <v>-807118.51</v>
      </c>
      <c r="K36" s="113" t="n">
        <f aca="false">IF(OR(4&gt;$B$27,ISBLANK(Actuals!F12)),"",Actuals!F12)</f>
        <v>3312759.91</v>
      </c>
      <c r="L36" s="113" t="n">
        <f aca="false">Budget!F12</f>
        <v>3471205.82</v>
      </c>
      <c r="M36" s="113" t="n">
        <f aca="false">IF(K36="","",K36-L36)</f>
        <v>-158445.91</v>
      </c>
      <c r="N36" s="113" t="n">
        <f aca="false">IF(OR(5&gt;$B$27,ISBLANK(Actuals!G12)),"",Actuals!G12)</f>
        <v>3939278.23</v>
      </c>
      <c r="O36" s="113" t="n">
        <f aca="false">Budget!G12</f>
        <v>4411909.08</v>
      </c>
      <c r="P36" s="113" t="n">
        <f aca="false">IF(N36="","",N36-O36)</f>
        <v>-472630.85</v>
      </c>
      <c r="Q36" s="113" t="n">
        <f aca="false">IF(OR(6&gt;$B$27,ISBLANK(Actuals!H12)),"",Actuals!H12)</f>
        <v>5584522.73</v>
      </c>
      <c r="R36" s="113" t="n">
        <f aca="false">Budget!H12</f>
        <v>4713320.79</v>
      </c>
      <c r="S36" s="113" t="n">
        <f aca="false">IF(Q36="","",Q36-R36)</f>
        <v>871201.94</v>
      </c>
      <c r="T36" s="113" t="n">
        <f aca="false">IF(OR(7&gt;$B$27,ISBLANK(Actuals!I12)),"",Actuals!I12)</f>
        <v>6409057.07</v>
      </c>
      <c r="U36" s="113" t="n">
        <f aca="false">Budget!I12</f>
        <v>4969335.52</v>
      </c>
      <c r="V36" s="113" t="n">
        <f aca="false">IF(T36="","",T36-U36)</f>
        <v>1439721.55</v>
      </c>
      <c r="W36" s="113" t="n">
        <f aca="false">IF(OR(8&gt;$B$27,ISBLANK(Actuals!J12)),"",Actuals!J12)</f>
        <v>5304128.59</v>
      </c>
      <c r="X36" s="113" t="n">
        <f aca="false">Budget!J12</f>
        <v>5167809.94</v>
      </c>
      <c r="Y36" s="113" t="n">
        <f aca="false">IF(W36="","",W36-X36)</f>
        <v>136318.649999999</v>
      </c>
      <c r="Z36" s="113" t="n">
        <f aca="false">IF(OR(9&gt;$B$27,ISBLANK(Actuals!K12)),"",Actuals!K12)</f>
        <v>5630859.39</v>
      </c>
      <c r="AA36" s="113" t="n">
        <f aca="false">Budget!K12</f>
        <v>5299239.86</v>
      </c>
      <c r="AB36" s="113" t="n">
        <f aca="false">IF(Z36="","",Z36-AA36)</f>
        <v>331619.529999999</v>
      </c>
      <c r="AC36" s="113" t="str">
        <f aca="false">IF(OR(10&gt;$B$27,ISBLANK(Actuals!L12)),"",Actuals!L12)</f>
        <v/>
      </c>
      <c r="AD36" s="113" t="n">
        <f aca="false">Budget!L12</f>
        <v>5357779.86</v>
      </c>
      <c r="AE36" s="113" t="str">
        <f aca="false">IF(AC36="","",AC36-AD36)</f>
        <v/>
      </c>
      <c r="AF36" s="113" t="str">
        <f aca="false">IF(OR(11&gt;$B$27,ISBLANK(Actuals!M12)),"",Actuals!M12)</f>
        <v/>
      </c>
      <c r="AG36" s="113" t="n">
        <f aca="false">Budget!M12</f>
        <v>5341883.63</v>
      </c>
      <c r="AH36" s="113" t="str">
        <f aca="false">IF(AF36="","",AF36-AG36)</f>
        <v/>
      </c>
      <c r="AI36" s="113" t="str">
        <f aca="false">IF(OR(12&gt;$B$27,ISBLANK(Actuals!N12)),"",Actuals!N12)</f>
        <v/>
      </c>
      <c r="AJ36" s="113" t="n">
        <f aca="false">Budget!N12</f>
        <v>4998563.51</v>
      </c>
      <c r="AK36" s="113" t="str">
        <f aca="false">IF(AI36="","",AI36-AJ36)</f>
        <v/>
      </c>
      <c r="AL36" s="116" t="n">
        <f aca="false">SUM(Actuals!$C12:INDEX(Actuals!$C12:$N12,$B$27))</f>
        <v>36535504.02</v>
      </c>
      <c r="AM36" s="116" t="n">
        <f aca="false">SUM(Budget!$C12:INDEX(Budget!$C12:$N12,$B$27))</f>
        <v>36829874.5</v>
      </c>
      <c r="AN36" s="116" t="n">
        <f aca="false">AL36-AM36</f>
        <v>-294370.479999997</v>
      </c>
      <c r="AP36" s="114" t="s">
        <v>410</v>
      </c>
    </row>
    <row r="37" customFormat="false" ht="15" hidden="false" customHeight="true" outlineLevel="0" collapsed="false">
      <c r="A37" s="115" t="s">
        <v>52</v>
      </c>
      <c r="B37" s="116" t="n">
        <f aca="false">IF(OR(1&gt;$B$27,ISBLANK(Actuals!C13)),"",Actuals!C13)</f>
        <v>1453790.79</v>
      </c>
      <c r="C37" s="116" t="n">
        <f aca="false">Budget!C13</f>
        <v>2978255.74</v>
      </c>
      <c r="D37" s="116" t="n">
        <f aca="false">IF(B37="","",B37-C37)</f>
        <v>-1524464.95</v>
      </c>
      <c r="E37" s="116" t="n">
        <f aca="false">IF(OR(2&gt;$B$27,ISBLANK(Actuals!D13)),"",Actuals!D13)</f>
        <v>3022521.59</v>
      </c>
      <c r="F37" s="116" t="n">
        <f aca="false">Budget!D13</f>
        <v>3273033.25</v>
      </c>
      <c r="G37" s="116" t="n">
        <f aca="false">IF(E37="","",E37-F37)</f>
        <v>-250511.66</v>
      </c>
      <c r="H37" s="116" t="n">
        <f aca="false">IF(OR(3&gt;$B$27,ISBLANK(Actuals!E13)),"",Actuals!E13)</f>
        <v>2672216.16</v>
      </c>
      <c r="I37" s="116" t="n">
        <f aca="false">Budget!E13</f>
        <v>3564208.9</v>
      </c>
      <c r="J37" s="116" t="n">
        <f aca="false">IF(H37="","",H37-I37)</f>
        <v>-891992.74</v>
      </c>
      <c r="K37" s="116" t="n">
        <f aca="false">IF(OR(4&gt;$B$27,ISBLANK(Actuals!F13)),"",Actuals!F13)</f>
        <v>3692357.9</v>
      </c>
      <c r="L37" s="116" t="n">
        <f aca="false">Budget!F13</f>
        <v>3840388.18</v>
      </c>
      <c r="M37" s="116" t="n">
        <f aca="false">IF(K37="","",K37-L37)</f>
        <v>-148030.28</v>
      </c>
      <c r="N37" s="116" t="n">
        <f aca="false">IF(OR(5&gt;$B$27,ISBLANK(Actuals!G13)),"",Actuals!G13)</f>
        <v>4416061.63</v>
      </c>
      <c r="O37" s="116" t="n">
        <f aca="false">Budget!G13</f>
        <v>4935251.63</v>
      </c>
      <c r="P37" s="116" t="n">
        <f aca="false">IF(N37="","",N37-O37)</f>
        <v>-519190</v>
      </c>
      <c r="Q37" s="116" t="n">
        <f aca="false">IF(OR(6&gt;$B$27,ISBLANK(Actuals!H13)),"",Actuals!H13)</f>
        <v>6252262.98</v>
      </c>
      <c r="R37" s="116" t="n">
        <f aca="false">Budget!H13</f>
        <v>5253338.92</v>
      </c>
      <c r="S37" s="116" t="n">
        <f aca="false">IF(Q37="","",Q37-R37)</f>
        <v>998924.060000001</v>
      </c>
      <c r="T37" s="116" t="n">
        <f aca="false">IF(OR(7&gt;$B$27,ISBLANK(Actuals!I13)),"",Actuals!I13)</f>
        <v>7025595.65</v>
      </c>
      <c r="U37" s="116" t="n">
        <f aca="false">Budget!I13</f>
        <v>5523587.47</v>
      </c>
      <c r="V37" s="116" t="n">
        <f aca="false">IF(T37="","",T37-U37)</f>
        <v>1502008.18</v>
      </c>
      <c r="W37" s="116" t="n">
        <f aca="false">IF(OR(8&gt;$B$27,ISBLANK(Actuals!J13)),"",Actuals!J13)</f>
        <v>6064732.98</v>
      </c>
      <c r="X37" s="116" t="n">
        <f aca="false">Budget!J13</f>
        <v>5733174.03</v>
      </c>
      <c r="Y37" s="116" t="n">
        <f aca="false">IF(W37="","",W37-X37)</f>
        <v>331558.949999999</v>
      </c>
      <c r="Z37" s="116" t="n">
        <f aca="false">IF(OR(9&gt;$B$27,ISBLANK(Actuals!K13)),"",Actuals!K13)</f>
        <v>6380882.05</v>
      </c>
      <c r="AA37" s="116" t="n">
        <f aca="false">Budget!K13</f>
        <v>5872063.31</v>
      </c>
      <c r="AB37" s="116" t="n">
        <f aca="false">IF(Z37="","",Z37-AA37)</f>
        <v>508818.74</v>
      </c>
      <c r="AC37" s="116" t="str">
        <f aca="false">IF(OR(10&gt;$B$27,ISBLANK(Actuals!L13)),"",Actuals!L13)</f>
        <v/>
      </c>
      <c r="AD37" s="116" t="n">
        <f aca="false">Budget!L13</f>
        <v>5934084.24</v>
      </c>
      <c r="AE37" s="116" t="str">
        <f aca="false">IF(AC37="","",AC37-AD37)</f>
        <v/>
      </c>
      <c r="AF37" s="116" t="str">
        <f aca="false">IF(OR(11&gt;$B$27,ISBLANK(Actuals!M13)),"",Actuals!M13)</f>
        <v/>
      </c>
      <c r="AG37" s="116" t="n">
        <f aca="false">Budget!M13</f>
        <v>5917605.11</v>
      </c>
      <c r="AH37" s="116" t="str">
        <f aca="false">IF(AF37="","",AF37-AG37)</f>
        <v/>
      </c>
      <c r="AI37" s="116" t="str">
        <f aca="false">IF(OR(12&gt;$B$27,ISBLANK(Actuals!N13)),"",Actuals!N13)</f>
        <v/>
      </c>
      <c r="AJ37" s="116" t="n">
        <f aca="false">Budget!N13</f>
        <v>5525402.67</v>
      </c>
      <c r="AK37" s="116" t="str">
        <f aca="false">IF(AI37="","",AI37-AJ37)</f>
        <v/>
      </c>
      <c r="AL37" s="116" t="n">
        <f aca="false">SUM(Actuals!$C13:INDEX(Actuals!$C13:$N13,$B$27))</f>
        <v>40980421.73</v>
      </c>
      <c r="AM37" s="116" t="n">
        <f aca="false">SUM(Budget!$C13:INDEX(Budget!$C13:$N13,$B$27))</f>
        <v>40973301.43</v>
      </c>
      <c r="AN37" s="116" t="n">
        <f aca="false">AL37-AM37</f>
        <v>7120.29999999702</v>
      </c>
      <c r="AP37" s="114" t="s">
        <v>411</v>
      </c>
    </row>
    <row r="38" customFormat="false" ht="15" hidden="false" customHeight="true" outlineLevel="0" collapsed="false">
      <c r="A38" s="109" t="s">
        <v>356</v>
      </c>
      <c r="B38" s="113" t="n">
        <f aca="false">IF(OR(1&gt;$B$27,ISBLANK(Actuals!C14)),"",Actuals!C14)</f>
        <v>-1235033.93</v>
      </c>
      <c r="C38" s="113" t="n">
        <f aca="false">Budget!C14</f>
        <v>-2653995.85</v>
      </c>
      <c r="D38" s="113" t="n">
        <f aca="false">IF(B38="","",B38-C38)</f>
        <v>1418961.92</v>
      </c>
      <c r="E38" s="113" t="n">
        <f aca="false">IF(OR(2&gt;$B$27,ISBLANK(Actuals!D14)),"",Actuals!D14)</f>
        <v>-3073522.36</v>
      </c>
      <c r="F38" s="113" t="n">
        <f aca="false">Budget!D14</f>
        <v>-2933528.7</v>
      </c>
      <c r="G38" s="113" t="n">
        <f aca="false">IF(E38="","",E38-F38)</f>
        <v>-139993.66</v>
      </c>
      <c r="H38" s="113" t="n">
        <f aca="false">IF(OR(3&gt;$B$27,ISBLANK(Actuals!E14)),"",Actuals!E14)</f>
        <v>-2078031.64</v>
      </c>
      <c r="I38" s="113" t="n">
        <f aca="false">Budget!E14</f>
        <v>-3209528.94</v>
      </c>
      <c r="J38" s="113" t="n">
        <f aca="false">IF(H38="","",H38-I38)</f>
        <v>1131497.3</v>
      </c>
      <c r="K38" s="113" t="n">
        <f aca="false">IF(OR(4&gt;$B$27,ISBLANK(Actuals!F14)),"",Actuals!F14)</f>
        <v>-3244999.65</v>
      </c>
      <c r="L38" s="113" t="n">
        <f aca="false">Budget!F14</f>
        <v>-3471205.82</v>
      </c>
      <c r="M38" s="113" t="n">
        <f aca="false">IF(K38="","",K38-L38)</f>
        <v>226206.17</v>
      </c>
      <c r="N38" s="113" t="n">
        <f aca="false">IF(OR(5&gt;$B$27,ISBLANK(Actuals!G14)),"",Actuals!G14)</f>
        <v>-3950524.93</v>
      </c>
      <c r="O38" s="113" t="n">
        <f aca="false">Budget!G14</f>
        <v>-4411909.08</v>
      </c>
      <c r="P38" s="113" t="n">
        <f aca="false">IF(N38="","",N38-O38)</f>
        <v>461384.15</v>
      </c>
      <c r="Q38" s="113" t="n">
        <f aca="false">IF(OR(6&gt;$B$27,ISBLANK(Actuals!H14)),"",Actuals!H14)</f>
        <v>-5610911.85</v>
      </c>
      <c r="R38" s="113" t="n">
        <f aca="false">Budget!H14</f>
        <v>-4713320.79</v>
      </c>
      <c r="S38" s="113" t="n">
        <f aca="false">IF(Q38="","",Q38-R38)</f>
        <v>-897591.06</v>
      </c>
      <c r="T38" s="113" t="n">
        <f aca="false">IF(OR(7&gt;$B$27,ISBLANK(Actuals!I14)),"",Actuals!I14)</f>
        <v>-5258946.14</v>
      </c>
      <c r="U38" s="113" t="n">
        <f aca="false">Budget!I14</f>
        <v>-4969335.52</v>
      </c>
      <c r="V38" s="113" t="n">
        <f aca="false">IF(T38="","",T38-U38)</f>
        <v>-289610.62</v>
      </c>
      <c r="W38" s="113" t="n">
        <f aca="false">IF(OR(8&gt;$B$27,ISBLANK(Actuals!J14)),"",Actuals!J14)</f>
        <v>-5503997.59</v>
      </c>
      <c r="X38" s="113" t="n">
        <f aca="false">Budget!J14</f>
        <v>-5167809.94</v>
      </c>
      <c r="Y38" s="113" t="n">
        <f aca="false">IF(W38="","",W38-X38)</f>
        <v>-336187.649999999</v>
      </c>
      <c r="Z38" s="113" t="n">
        <f aca="false">IF(OR(9&gt;$B$27,ISBLANK(Actuals!K14)),"",Actuals!K14)</f>
        <v>-6037015.16</v>
      </c>
      <c r="AA38" s="113" t="n">
        <f aca="false">Budget!K14</f>
        <v>-5299239.86</v>
      </c>
      <c r="AB38" s="113" t="n">
        <f aca="false">IF(Z38="","",Z38-AA38)</f>
        <v>-737775.3</v>
      </c>
      <c r="AC38" s="113" t="str">
        <f aca="false">IF(OR(10&gt;$B$27,ISBLANK(Actuals!L14)),"",Actuals!L14)</f>
        <v/>
      </c>
      <c r="AD38" s="113" t="n">
        <f aca="false">Budget!L14</f>
        <v>-5357779.86</v>
      </c>
      <c r="AE38" s="113" t="str">
        <f aca="false">IF(AC38="","",AC38-AD38)</f>
        <v/>
      </c>
      <c r="AF38" s="113" t="str">
        <f aca="false">IF(OR(11&gt;$B$27,ISBLANK(Actuals!M14)),"",Actuals!M14)</f>
        <v/>
      </c>
      <c r="AG38" s="113" t="n">
        <f aca="false">Budget!M14</f>
        <v>-5341883.63</v>
      </c>
      <c r="AH38" s="113" t="str">
        <f aca="false">IF(AF38="","",AF38-AG38)</f>
        <v/>
      </c>
      <c r="AI38" s="113" t="str">
        <f aca="false">IF(OR(12&gt;$B$27,ISBLANK(Actuals!N14)),"",Actuals!N14)</f>
        <v/>
      </c>
      <c r="AJ38" s="113" t="n">
        <f aca="false">Budget!N14</f>
        <v>-4998563.51</v>
      </c>
      <c r="AK38" s="113" t="str">
        <f aca="false">IF(AI38="","",AI38-AJ38)</f>
        <v/>
      </c>
      <c r="AL38" s="116" t="n">
        <f aca="false">SUM(Actuals!$C14:INDEX(Actuals!$C14:$N14,$B$27))</f>
        <v>-35992983.25</v>
      </c>
      <c r="AM38" s="116" t="n">
        <f aca="false">SUM(Budget!$C14:INDEX(Budget!$C14:$N14,$B$27))</f>
        <v>-36829874.5</v>
      </c>
      <c r="AN38" s="116" t="n">
        <f aca="false">AL38-AM38</f>
        <v>836891.25</v>
      </c>
      <c r="AP38" s="114" t="s">
        <v>412</v>
      </c>
    </row>
    <row r="39" customFormat="false" ht="15" hidden="false" customHeight="true" outlineLevel="0" collapsed="false">
      <c r="A39" s="109" t="s">
        <v>413</v>
      </c>
      <c r="B39" s="113" t="n">
        <f aca="false">IF(OR(1&gt;$B$27,ISBLANK(Actuals!C15)),"",Actuals!C15)</f>
        <v>0</v>
      </c>
      <c r="C39" s="113" t="n">
        <f aca="false">Budget!C15</f>
        <v>0</v>
      </c>
      <c r="D39" s="113" t="n">
        <f aca="false">IF(B39="","",B39-C39)</f>
        <v>0</v>
      </c>
      <c r="E39" s="113" t="n">
        <f aca="false">IF(OR(2&gt;$B$27,ISBLANK(Actuals!D15)),"",Actuals!D15)</f>
        <v>0</v>
      </c>
      <c r="F39" s="113" t="n">
        <f aca="false">Budget!D15</f>
        <v>0</v>
      </c>
      <c r="G39" s="113" t="n">
        <f aca="false">IF(E39="","",E39-F39)</f>
        <v>0</v>
      </c>
      <c r="H39" s="113" t="n">
        <f aca="false">IF(OR(3&gt;$B$27,ISBLANK(Actuals!E15)),"",Actuals!E15)</f>
        <v>0</v>
      </c>
      <c r="I39" s="113" t="n">
        <f aca="false">Budget!E15</f>
        <v>0</v>
      </c>
      <c r="J39" s="113" t="n">
        <f aca="false">IF(H39="","",H39-I39)</f>
        <v>0</v>
      </c>
      <c r="K39" s="113" t="n">
        <f aca="false">IF(OR(4&gt;$B$27,ISBLANK(Actuals!F15)),"",Actuals!F15)</f>
        <v>0</v>
      </c>
      <c r="L39" s="113" t="n">
        <f aca="false">Budget!F15</f>
        <v>0</v>
      </c>
      <c r="M39" s="113" t="n">
        <f aca="false">IF(K39="","",K39-L39)</f>
        <v>0</v>
      </c>
      <c r="N39" s="113" t="n">
        <f aca="false">IF(OR(5&gt;$B$27,ISBLANK(Actuals!G15)),"",Actuals!G15)</f>
        <v>0</v>
      </c>
      <c r="O39" s="113" t="n">
        <f aca="false">Budget!G15</f>
        <v>0</v>
      </c>
      <c r="P39" s="113" t="n">
        <f aca="false">IF(N39="","",N39-O39)</f>
        <v>0</v>
      </c>
      <c r="Q39" s="113" t="n">
        <f aca="false">IF(OR(6&gt;$B$27,ISBLANK(Actuals!H15)),"",Actuals!H15)</f>
        <v>0</v>
      </c>
      <c r="R39" s="113" t="n">
        <f aca="false">Budget!H15</f>
        <v>0</v>
      </c>
      <c r="S39" s="113" t="n">
        <f aca="false">IF(Q39="","",Q39-R39)</f>
        <v>0</v>
      </c>
      <c r="T39" s="113" t="n">
        <f aca="false">IF(OR(7&gt;$B$27,ISBLANK(Actuals!I15)),"",Actuals!I15)</f>
        <v>0</v>
      </c>
      <c r="U39" s="113" t="n">
        <f aca="false">Budget!I15</f>
        <v>0</v>
      </c>
      <c r="V39" s="113" t="n">
        <f aca="false">IF(T39="","",T39-U39)</f>
        <v>0</v>
      </c>
      <c r="W39" s="113" t="n">
        <f aca="false">IF(OR(8&gt;$B$27,ISBLANK(Actuals!J15)),"",Actuals!J15)</f>
        <v>0</v>
      </c>
      <c r="X39" s="113" t="n">
        <f aca="false">Budget!J15</f>
        <v>0</v>
      </c>
      <c r="Y39" s="113" t="n">
        <f aca="false">IF(W39="","",W39-X39)</f>
        <v>0</v>
      </c>
      <c r="Z39" s="113" t="n">
        <f aca="false">IF(OR(9&gt;$B$27,ISBLANK(Actuals!K15)),"",Actuals!K15)</f>
        <v>0</v>
      </c>
      <c r="AA39" s="113" t="n">
        <f aca="false">Budget!K15</f>
        <v>0</v>
      </c>
      <c r="AB39" s="113" t="n">
        <f aca="false">IF(Z39="","",Z39-AA39)</f>
        <v>0</v>
      </c>
      <c r="AC39" s="113" t="str">
        <f aca="false">IF(OR(10&gt;$B$27,ISBLANK(Actuals!L15)),"",Actuals!L15)</f>
        <v/>
      </c>
      <c r="AD39" s="113" t="n">
        <f aca="false">Budget!L15</f>
        <v>0</v>
      </c>
      <c r="AE39" s="113" t="str">
        <f aca="false">IF(AC39="","",AC39-AD39)</f>
        <v/>
      </c>
      <c r="AF39" s="113" t="str">
        <f aca="false">IF(OR(11&gt;$B$27,ISBLANK(Actuals!M15)),"",Actuals!M15)</f>
        <v/>
      </c>
      <c r="AG39" s="113" t="n">
        <f aca="false">Budget!M15</f>
        <v>0</v>
      </c>
      <c r="AH39" s="113" t="str">
        <f aca="false">IF(AF39="","",AF39-AG39)</f>
        <v/>
      </c>
      <c r="AI39" s="113" t="str">
        <f aca="false">IF(OR(12&gt;$B$27,ISBLANK(Actuals!N15)),"",Actuals!N15)</f>
        <v/>
      </c>
      <c r="AJ39" s="113" t="n">
        <f aca="false">Budget!N15</f>
        <v>0</v>
      </c>
      <c r="AK39" s="113" t="str">
        <f aca="false">IF(AI39="","",AI39-AJ39)</f>
        <v/>
      </c>
      <c r="AL39" s="116" t="n">
        <f aca="false">SUM(Actuals!$C15:INDEX(Actuals!$C15:$N15,$B$27))</f>
        <v>0</v>
      </c>
      <c r="AM39" s="116" t="n">
        <f aca="false">SUM(Budget!$C15:INDEX(Budget!$C15:$N15,$B$27))</f>
        <v>0</v>
      </c>
      <c r="AN39" s="116" t="n">
        <f aca="false">AL39-AM39</f>
        <v>0</v>
      </c>
      <c r="AP39" s="114" t="s">
        <v>414</v>
      </c>
    </row>
    <row r="40" customFormat="false" ht="15" hidden="false" customHeight="true" outlineLevel="0" collapsed="false">
      <c r="A40" s="109" t="s">
        <v>415</v>
      </c>
      <c r="B40" s="113" t="n">
        <f aca="false">IF(OR(1&gt;$B$27,ISBLANK(Actuals!C16)),"",Actuals!C16)</f>
        <v>0</v>
      </c>
      <c r="C40" s="113" t="n">
        <f aca="false">Budget!C16</f>
        <v>0</v>
      </c>
      <c r="D40" s="113" t="n">
        <f aca="false">IF(B40="","",B40-C40)</f>
        <v>0</v>
      </c>
      <c r="E40" s="113" t="n">
        <f aca="false">IF(OR(2&gt;$B$27,ISBLANK(Actuals!D16)),"",Actuals!D16)</f>
        <v>0</v>
      </c>
      <c r="F40" s="113" t="n">
        <f aca="false">Budget!D16</f>
        <v>0</v>
      </c>
      <c r="G40" s="113" t="n">
        <f aca="false">IF(E40="","",E40-F40)</f>
        <v>0</v>
      </c>
      <c r="H40" s="113" t="n">
        <f aca="false">IF(OR(3&gt;$B$27,ISBLANK(Actuals!E16)),"",Actuals!E16)</f>
        <v>0</v>
      </c>
      <c r="I40" s="113" t="n">
        <f aca="false">Budget!E16</f>
        <v>0</v>
      </c>
      <c r="J40" s="113" t="n">
        <f aca="false">IF(H40="","",H40-I40)</f>
        <v>0</v>
      </c>
      <c r="K40" s="113" t="n">
        <f aca="false">IF(OR(4&gt;$B$27,ISBLANK(Actuals!F16)),"",Actuals!F16)</f>
        <v>0</v>
      </c>
      <c r="L40" s="113" t="n">
        <f aca="false">Budget!F16</f>
        <v>0</v>
      </c>
      <c r="M40" s="113" t="n">
        <f aca="false">IF(K40="","",K40-L40)</f>
        <v>0</v>
      </c>
      <c r="N40" s="113" t="n">
        <f aca="false">IF(OR(5&gt;$B$27,ISBLANK(Actuals!G16)),"",Actuals!G16)</f>
        <v>0</v>
      </c>
      <c r="O40" s="113" t="n">
        <f aca="false">Budget!G16</f>
        <v>0</v>
      </c>
      <c r="P40" s="113" t="n">
        <f aca="false">IF(N40="","",N40-O40)</f>
        <v>0</v>
      </c>
      <c r="Q40" s="113" t="n">
        <f aca="false">IF(OR(6&gt;$B$27,ISBLANK(Actuals!H16)),"",Actuals!H16)</f>
        <v>0</v>
      </c>
      <c r="R40" s="113" t="n">
        <f aca="false">Budget!H16</f>
        <v>0</v>
      </c>
      <c r="S40" s="113" t="n">
        <f aca="false">IF(Q40="","",Q40-R40)</f>
        <v>0</v>
      </c>
      <c r="T40" s="113" t="n">
        <f aca="false">IF(OR(7&gt;$B$27,ISBLANK(Actuals!I16)),"",Actuals!I16)</f>
        <v>0</v>
      </c>
      <c r="U40" s="113" t="n">
        <f aca="false">Budget!I16</f>
        <v>0</v>
      </c>
      <c r="V40" s="113" t="n">
        <f aca="false">IF(T40="","",T40-U40)</f>
        <v>0</v>
      </c>
      <c r="W40" s="113" t="n">
        <f aca="false">IF(OR(8&gt;$B$27,ISBLANK(Actuals!J16)),"",Actuals!J16)</f>
        <v>0</v>
      </c>
      <c r="X40" s="113" t="n">
        <f aca="false">Budget!J16</f>
        <v>0</v>
      </c>
      <c r="Y40" s="113" t="n">
        <f aca="false">IF(W40="","",W40-X40)</f>
        <v>0</v>
      </c>
      <c r="Z40" s="113" t="n">
        <f aca="false">IF(OR(9&gt;$B$27,ISBLANK(Actuals!K16)),"",Actuals!K16)</f>
        <v>0</v>
      </c>
      <c r="AA40" s="113" t="n">
        <f aca="false">Budget!K16</f>
        <v>0</v>
      </c>
      <c r="AB40" s="113" t="n">
        <f aca="false">IF(Z40="","",Z40-AA40)</f>
        <v>0</v>
      </c>
      <c r="AC40" s="113" t="str">
        <f aca="false">IF(OR(10&gt;$B$27,ISBLANK(Actuals!L16)),"",Actuals!L16)</f>
        <v/>
      </c>
      <c r="AD40" s="113" t="n">
        <f aca="false">Budget!L16</f>
        <v>0</v>
      </c>
      <c r="AE40" s="113" t="str">
        <f aca="false">IF(AC40="","",AC40-AD40)</f>
        <v/>
      </c>
      <c r="AF40" s="113" t="str">
        <f aca="false">IF(OR(11&gt;$B$27,ISBLANK(Actuals!M16)),"",Actuals!M16)</f>
        <v/>
      </c>
      <c r="AG40" s="113" t="n">
        <f aca="false">Budget!M16</f>
        <v>0</v>
      </c>
      <c r="AH40" s="113" t="str">
        <f aca="false">IF(AF40="","",AF40-AG40)</f>
        <v/>
      </c>
      <c r="AI40" s="113" t="str">
        <f aca="false">IF(OR(12&gt;$B$27,ISBLANK(Actuals!N16)),"",Actuals!N16)</f>
        <v/>
      </c>
      <c r="AJ40" s="113" t="n">
        <f aca="false">Budget!N16</f>
        <v>0</v>
      </c>
      <c r="AK40" s="113" t="str">
        <f aca="false">IF(AI40="","",AI40-AJ40)</f>
        <v/>
      </c>
      <c r="AL40" s="116" t="n">
        <f aca="false">SUM(Actuals!$C16:INDEX(Actuals!$C16:$N16,$B$27))</f>
        <v>0</v>
      </c>
      <c r="AM40" s="116" t="n">
        <f aca="false">SUM(Budget!$C16:INDEX(Budget!$C16:$N16,$B$27))</f>
        <v>0</v>
      </c>
      <c r="AN40" s="116" t="n">
        <f aca="false">AL40-AM40</f>
        <v>0</v>
      </c>
      <c r="AP40" s="114" t="s">
        <v>416</v>
      </c>
    </row>
    <row r="41" customFormat="false" ht="15" hidden="false" customHeight="true" outlineLevel="0" collapsed="false">
      <c r="A41" s="115" t="s">
        <v>61</v>
      </c>
      <c r="B41" s="116" t="n">
        <f aca="false">IF(OR(1&gt;$B$27,ISBLANK(Actuals!C17)),"",Actuals!C17)</f>
        <v>218756.86</v>
      </c>
      <c r="C41" s="116" t="n">
        <f aca="false">Budget!C17</f>
        <v>324259.89</v>
      </c>
      <c r="D41" s="116" t="n">
        <f aca="false">IF(B41="","",B41-C41)</f>
        <v>-105503.03</v>
      </c>
      <c r="E41" s="116" t="n">
        <f aca="false">IF(OR(2&gt;$B$27,ISBLANK(Actuals!D17)),"",Actuals!D17)</f>
        <v>-51000.77</v>
      </c>
      <c r="F41" s="116" t="n">
        <f aca="false">Budget!D17</f>
        <v>339504.55</v>
      </c>
      <c r="G41" s="116" t="n">
        <f aca="false">IF(E41="","",E41-F41)</f>
        <v>-390505.32</v>
      </c>
      <c r="H41" s="116" t="n">
        <f aca="false">IF(OR(3&gt;$B$27,ISBLANK(Actuals!E17)),"",Actuals!E17)</f>
        <v>594184.52</v>
      </c>
      <c r="I41" s="116" t="n">
        <f aca="false">Budget!E17</f>
        <v>354679.96</v>
      </c>
      <c r="J41" s="116" t="n">
        <f aca="false">IF(H41="","",H41-I41)</f>
        <v>239504.56</v>
      </c>
      <c r="K41" s="116" t="n">
        <f aca="false">IF(OR(4&gt;$B$27,ISBLANK(Actuals!F17)),"",Actuals!F17)</f>
        <v>447358.25</v>
      </c>
      <c r="L41" s="116" t="n">
        <f aca="false">Budget!F17</f>
        <v>369182.36</v>
      </c>
      <c r="M41" s="116" t="n">
        <f aca="false">IF(K41="","",K41-L41)</f>
        <v>78175.8900000005</v>
      </c>
      <c r="N41" s="116" t="n">
        <f aca="false">IF(OR(5&gt;$B$27,ISBLANK(Actuals!G17)),"",Actuals!G17)</f>
        <v>465536.7</v>
      </c>
      <c r="O41" s="116" t="n">
        <f aca="false">Budget!G17</f>
        <v>523342.55</v>
      </c>
      <c r="P41" s="116" t="n">
        <f aca="false">IF(N41="","",N41-O41)</f>
        <v>-57805.8500000003</v>
      </c>
      <c r="Q41" s="116" t="n">
        <f aca="false">IF(OR(6&gt;$B$27,ISBLANK(Actuals!H17)),"",Actuals!H17)</f>
        <v>641351.130000001</v>
      </c>
      <c r="R41" s="116" t="n">
        <f aca="false">Budget!H17</f>
        <v>540018.13</v>
      </c>
      <c r="S41" s="116" t="n">
        <f aca="false">IF(Q41="","",Q41-R41)</f>
        <v>101333.000000001</v>
      </c>
      <c r="T41" s="116" t="n">
        <f aca="false">IF(OR(7&gt;$B$27,ISBLANK(Actuals!I17)),"",Actuals!I17)</f>
        <v>1766649.51</v>
      </c>
      <c r="U41" s="116" t="n">
        <f aca="false">Budget!I17</f>
        <v>554251.95</v>
      </c>
      <c r="V41" s="116" t="n">
        <f aca="false">IF(T41="","",T41-U41)</f>
        <v>1212397.56</v>
      </c>
      <c r="W41" s="116" t="n">
        <f aca="false">IF(OR(8&gt;$B$27,ISBLANK(Actuals!J17)),"",Actuals!J17)</f>
        <v>560735.39</v>
      </c>
      <c r="X41" s="116" t="n">
        <f aca="false">Budget!J17</f>
        <v>565364.09</v>
      </c>
      <c r="Y41" s="116" t="n">
        <f aca="false">IF(W41="","",W41-X41)</f>
        <v>-4628.7000000003</v>
      </c>
      <c r="Z41" s="116" t="n">
        <f aca="false">IF(OR(9&gt;$B$27,ISBLANK(Actuals!K17)),"",Actuals!K17)</f>
        <v>343866.89</v>
      </c>
      <c r="AA41" s="116" t="n">
        <f aca="false">Budget!K17</f>
        <v>572823.45</v>
      </c>
      <c r="AB41" s="116" t="n">
        <f aca="false">IF(Z41="","",Z41-AA41)</f>
        <v>-228956.56</v>
      </c>
      <c r="AC41" s="116" t="str">
        <f aca="false">IF(OR(10&gt;$B$27,ISBLANK(Actuals!L17)),"",Actuals!L17)</f>
        <v/>
      </c>
      <c r="AD41" s="116" t="n">
        <f aca="false">Budget!L17</f>
        <v>576304.38</v>
      </c>
      <c r="AE41" s="116" t="str">
        <f aca="false">IF(AC41="","",AC41-AD41)</f>
        <v/>
      </c>
      <c r="AF41" s="116" t="str">
        <f aca="false">IF(OR(11&gt;$B$27,ISBLANK(Actuals!M17)),"",Actuals!M17)</f>
        <v/>
      </c>
      <c r="AG41" s="116" t="n">
        <f aca="false">Budget!M17</f>
        <v>575721.48</v>
      </c>
      <c r="AH41" s="116" t="str">
        <f aca="false">IF(AF41="","",AF41-AG41)</f>
        <v/>
      </c>
      <c r="AI41" s="116" t="str">
        <f aca="false">IF(OR(12&gt;$B$27,ISBLANK(Actuals!N17)),"",Actuals!N17)</f>
        <v/>
      </c>
      <c r="AJ41" s="116" t="n">
        <f aca="false">Budget!N17</f>
        <v>526839.16</v>
      </c>
      <c r="AK41" s="116" t="str">
        <f aca="false">IF(AI41="","",AI41-AJ41)</f>
        <v/>
      </c>
      <c r="AL41" s="116" t="n">
        <f aca="false">SUM(Actuals!$C17:INDEX(Actuals!$C17:$N17,$B$27))</f>
        <v>4987438.48</v>
      </c>
      <c r="AM41" s="116" t="n">
        <f aca="false">SUM(Budget!$C17:INDEX(Budget!$C17:$N17,$B$27))</f>
        <v>4143426.93</v>
      </c>
      <c r="AN41" s="116" t="n">
        <f aca="false">AL41-AM41</f>
        <v>844011.550000002</v>
      </c>
      <c r="AP41" s="114" t="s">
        <v>417</v>
      </c>
    </row>
    <row r="42" customFormat="false" ht="15" hidden="false" customHeight="true" outlineLevel="0" collapsed="false">
      <c r="A42" s="109" t="s">
        <v>62</v>
      </c>
      <c r="B42" s="113" t="n">
        <f aca="false">IF(OR(1&gt;$B$27,ISBLANK(Actuals!C18)),"",Actuals!C18)</f>
        <v>0.150473411652305</v>
      </c>
      <c r="C42" s="113" t="n">
        <f aca="false">Budget!C18</f>
        <v>0.11</v>
      </c>
      <c r="D42" s="113" t="n">
        <f aca="false">IF(B42="","",B42-C42)</f>
        <v>0.0404734116523053</v>
      </c>
      <c r="E42" s="113" t="n">
        <f aca="false">IF(OR(2&gt;$B$27,ISBLANK(Actuals!D18)),"",Actuals!D18)</f>
        <v>-0.0168735833579273</v>
      </c>
      <c r="F42" s="113" t="n">
        <f aca="false">Budget!D18</f>
        <v>0.1</v>
      </c>
      <c r="G42" s="113" t="n">
        <f aca="false">IF(E42="","",E42-F42)</f>
        <v>-0.116873583357927</v>
      </c>
      <c r="H42" s="113" t="n">
        <f aca="false">IF(OR(3&gt;$B$27,ISBLANK(Actuals!E18)),"",Actuals!E18)</f>
        <v>0.222356457869786</v>
      </c>
      <c r="I42" s="113" t="n">
        <f aca="false">Budget!E18</f>
        <v>0.1</v>
      </c>
      <c r="J42" s="113" t="n">
        <f aca="false">IF(H42="","",H42-I42)</f>
        <v>0.122356457869786</v>
      </c>
      <c r="K42" s="113" t="n">
        <f aca="false">IF(OR(4&gt;$B$27,ISBLANK(Actuals!F18)),"",Actuals!F18)</f>
        <v>0.121157878546931</v>
      </c>
      <c r="L42" s="113" t="n">
        <f aca="false">Budget!F18</f>
        <v>0.1</v>
      </c>
      <c r="M42" s="113" t="n">
        <f aca="false">IF(K42="","",K42-L42)</f>
        <v>0.0211578785469308</v>
      </c>
      <c r="N42" s="113" t="n">
        <f aca="false">IF(OR(5&gt;$B$27,ISBLANK(Actuals!G18)),"",Actuals!G18)</f>
        <v>0.105418977135063</v>
      </c>
      <c r="O42" s="113" t="n">
        <f aca="false">Budget!G18</f>
        <v>0.11</v>
      </c>
      <c r="P42" s="113" t="n">
        <f aca="false">IF(N42="","",N42-O42)</f>
        <v>-0.00458102286493685</v>
      </c>
      <c r="Q42" s="113" t="n">
        <f aca="false">IF(OR(6&gt;$B$27,ISBLANK(Actuals!H18)),"",Actuals!H18)</f>
        <v>0.1025790393097</v>
      </c>
      <c r="R42" s="113" t="n">
        <f aca="false">Budget!H18</f>
        <v>0.1</v>
      </c>
      <c r="S42" s="113" t="n">
        <f aca="false">IF(Q42="","",Q42-R42)</f>
        <v>0.00257903930969979</v>
      </c>
      <c r="T42" s="113" t="n">
        <f aca="false">IF(OR(7&gt;$B$27,ISBLANK(Actuals!I18)),"",Actuals!I18)</f>
        <v>0.251459036074756</v>
      </c>
      <c r="U42" s="113" t="n">
        <f aca="false">Budget!I18</f>
        <v>0.1</v>
      </c>
      <c r="V42" s="113" t="n">
        <f aca="false">IF(T42="","",T42-U42)</f>
        <v>0.151459036074756</v>
      </c>
      <c r="W42" s="113" t="n">
        <f aca="false">IF(OR(8&gt;$B$27,ISBLANK(Actuals!J18)),"",Actuals!J18)</f>
        <v>0.0924583805831464</v>
      </c>
      <c r="X42" s="113" t="n">
        <f aca="false">Budget!J18</f>
        <v>0.1</v>
      </c>
      <c r="Y42" s="113" t="n">
        <f aca="false">IF(W42="","",W42-X42)</f>
        <v>-0.00754161941685359</v>
      </c>
      <c r="Z42" s="113" t="n">
        <f aca="false">IF(OR(9&gt;$B$27,ISBLANK(Actuals!K18)),"",Actuals!K18)</f>
        <v>0.0538901812171876</v>
      </c>
      <c r="AA42" s="113" t="n">
        <f aca="false">Budget!K18</f>
        <v>0.1</v>
      </c>
      <c r="AB42" s="113" t="n">
        <f aca="false">IF(Z42="","",Z42-AA42)</f>
        <v>-0.0461098187828124</v>
      </c>
      <c r="AC42" s="113" t="str">
        <f aca="false">IF(OR(10&gt;$B$27,ISBLANK(Actuals!L18)),"",Actuals!L18)</f>
        <v/>
      </c>
      <c r="AD42" s="113" t="n">
        <f aca="false">Budget!L18</f>
        <v>0.1</v>
      </c>
      <c r="AE42" s="113" t="str">
        <f aca="false">IF(AC42="","",AC42-AD42)</f>
        <v/>
      </c>
      <c r="AF42" s="113" t="str">
        <f aca="false">IF(OR(11&gt;$B$27,ISBLANK(Actuals!M18)),"",Actuals!M18)</f>
        <v/>
      </c>
      <c r="AG42" s="113" t="n">
        <f aca="false">Budget!M18</f>
        <v>0.1</v>
      </c>
      <c r="AH42" s="113" t="str">
        <f aca="false">IF(AF42="","",AF42-AG42)</f>
        <v/>
      </c>
      <c r="AI42" s="113" t="str">
        <f aca="false">IF(OR(12&gt;$B$27,ISBLANK(Actuals!N18)),"",Actuals!N18)</f>
        <v/>
      </c>
      <c r="AJ42" s="113" t="n">
        <f aca="false">Budget!N18</f>
        <v>0.1</v>
      </c>
      <c r="AK42" s="113" t="str">
        <f aca="false">IF(AI42="","",AI42-AJ42)</f>
        <v/>
      </c>
      <c r="AL42" s="116" t="n">
        <f aca="false">SUM(Actuals!$C18:INDEX(Actuals!$C18:$N18,$B$27))</f>
        <v>1.08291977903095</v>
      </c>
      <c r="AM42" s="116" t="n">
        <f aca="false">SUM(Budget!$C18:INDEX(Budget!$C18:$N18,$B$27))</f>
        <v>0.92</v>
      </c>
      <c r="AN42" s="116" t="n">
        <f aca="false">AL42-AM42</f>
        <v>0.162919779030948</v>
      </c>
    </row>
    <row r="45" customFormat="false" ht="15" hidden="false" customHeight="true" outlineLevel="1" collapsed="false">
      <c r="A45" s="109" t="s">
        <v>123</v>
      </c>
      <c r="B45" s="113" t="n">
        <f aca="false">IF(OR(1&gt;$B$27,ISBLANK(Actuals!C21)),"",Actuals!C21)</f>
        <v>-144550.9</v>
      </c>
      <c r="C45" s="113" t="n">
        <f aca="false">Budget!C21</f>
        <v>-176250.01</v>
      </c>
      <c r="D45" s="113" t="n">
        <f aca="false">IF(B45="","",B45-C45)</f>
        <v>31699.11</v>
      </c>
      <c r="E45" s="113" t="n">
        <f aca="false">IF(OR(2&gt;$B$27,ISBLANK(Actuals!D21)),"",Actuals!D21)</f>
        <v>-150672.84</v>
      </c>
      <c r="F45" s="113" t="n">
        <f aca="false">Budget!D21</f>
        <v>-176250.01</v>
      </c>
      <c r="G45" s="113" t="n">
        <f aca="false">IF(E45="","",E45-F45)</f>
        <v>25577.17</v>
      </c>
      <c r="H45" s="113" t="n">
        <f aca="false">IF(OR(3&gt;$B$27,ISBLANK(Actuals!E21)),"",Actuals!E21)</f>
        <v>-178867.86</v>
      </c>
      <c r="I45" s="113" t="n">
        <f aca="false">Budget!E21</f>
        <v>-176250.01</v>
      </c>
      <c r="J45" s="113" t="n">
        <f aca="false">IF(H45="","",H45-I45)</f>
        <v>-2617.84999999998</v>
      </c>
      <c r="K45" s="113" t="n">
        <f aca="false">IF(OR(4&gt;$B$27,ISBLANK(Actuals!F21)),"",Actuals!F21)</f>
        <v>-187693.63</v>
      </c>
      <c r="L45" s="113" t="n">
        <f aca="false">Budget!F21</f>
        <v>-176250.01</v>
      </c>
      <c r="M45" s="113" t="n">
        <f aca="false">IF(K45="","",K45-L45)</f>
        <v>-11443.62</v>
      </c>
      <c r="N45" s="113" t="n">
        <f aca="false">IF(OR(5&gt;$B$27,ISBLANK(Actuals!G21)),"",Actuals!G21)</f>
        <v>-295949.1</v>
      </c>
      <c r="O45" s="113" t="n">
        <f aca="false">Budget!G21</f>
        <v>-176250.01</v>
      </c>
      <c r="P45" s="113" t="n">
        <f aca="false">IF(N45="","",N45-O45)</f>
        <v>-119699.09</v>
      </c>
      <c r="Q45" s="113" t="n">
        <f aca="false">IF(OR(6&gt;$B$27,ISBLANK(Actuals!H21)),"",Actuals!H21)</f>
        <v>-198645.92</v>
      </c>
      <c r="R45" s="113" t="n">
        <f aca="false">Budget!H21</f>
        <v>-176250.01</v>
      </c>
      <c r="S45" s="113" t="n">
        <f aca="false">IF(Q45="","",Q45-R45)</f>
        <v>-22395.91</v>
      </c>
      <c r="T45" s="113" t="n">
        <f aca="false">IF(OR(7&gt;$B$27,ISBLANK(Actuals!I21)),"",Actuals!I21)</f>
        <v>-215851.71</v>
      </c>
      <c r="U45" s="113" t="n">
        <f aca="false">Budget!I21</f>
        <v>-176250.01</v>
      </c>
      <c r="V45" s="113" t="n">
        <f aca="false">IF(T45="","",T45-U45)</f>
        <v>-39601.7</v>
      </c>
      <c r="W45" s="113" t="n">
        <f aca="false">IF(OR(8&gt;$B$27,ISBLANK(Actuals!J21)),"",Actuals!J21)</f>
        <v>-217610.65</v>
      </c>
      <c r="X45" s="113" t="n">
        <f aca="false">Budget!J21</f>
        <v>-176250.01</v>
      </c>
      <c r="Y45" s="113" t="n">
        <f aca="false">IF(W45="","",W45-X45)</f>
        <v>-41360.64</v>
      </c>
      <c r="Z45" s="113" t="n">
        <f aca="false">IF(OR(9&gt;$B$27,ISBLANK(Actuals!K21)),"",Actuals!K21)</f>
        <v>-223657.14</v>
      </c>
      <c r="AA45" s="113" t="n">
        <f aca="false">Budget!K21</f>
        <v>-176250.01</v>
      </c>
      <c r="AB45" s="113" t="n">
        <f aca="false">IF(Z45="","",Z45-AA45)</f>
        <v>-47407.13</v>
      </c>
      <c r="AC45" s="113" t="str">
        <f aca="false">IF(OR(10&gt;$B$27,ISBLANK(Actuals!L21)),"",Actuals!L21)</f>
        <v/>
      </c>
      <c r="AD45" s="113" t="n">
        <f aca="false">Budget!L21</f>
        <v>-176250.01</v>
      </c>
      <c r="AE45" s="113" t="str">
        <f aca="false">IF(AC45="","",AC45-AD45)</f>
        <v/>
      </c>
      <c r="AF45" s="113" t="str">
        <f aca="false">IF(OR(11&gt;$B$27,ISBLANK(Actuals!M21)),"",Actuals!M21)</f>
        <v/>
      </c>
      <c r="AG45" s="113" t="n">
        <f aca="false">Budget!M21</f>
        <v>-176250.01</v>
      </c>
      <c r="AH45" s="113" t="str">
        <f aca="false">IF(AF45="","",AF45-AG45)</f>
        <v/>
      </c>
      <c r="AI45" s="113" t="str">
        <f aca="false">IF(OR(12&gt;$B$27,ISBLANK(Actuals!N21)),"",Actuals!N21)</f>
        <v/>
      </c>
      <c r="AJ45" s="113" t="n">
        <f aca="false">Budget!N21</f>
        <v>-176250.01</v>
      </c>
      <c r="AK45" s="113" t="str">
        <f aca="false">IF(AI45="","",AI45-AJ45)</f>
        <v/>
      </c>
      <c r="AL45" s="116" t="n">
        <f aca="false">SUM(Actuals!$C21:INDEX(Actuals!$C21:$N21,$B$27))</f>
        <v>-1813499.75</v>
      </c>
      <c r="AM45" s="116" t="n">
        <f aca="false">SUM(Budget!$C21:INDEX(Budget!$C21:$N21,$B$27))</f>
        <v>-1586250.09</v>
      </c>
      <c r="AN45" s="116" t="n">
        <f aca="false">AL45-AM45</f>
        <v>-227249.66</v>
      </c>
      <c r="AP45" s="114" t="s">
        <v>418</v>
      </c>
    </row>
    <row r="46" customFormat="false" ht="15" hidden="false" customHeight="true" outlineLevel="1" collapsed="false">
      <c r="A46" s="109" t="s">
        <v>65</v>
      </c>
      <c r="B46" s="113" t="n">
        <f aca="false">IF(OR(1&gt;$B$27,ISBLANK(Actuals!C22)),"",Actuals!C22)</f>
        <v>-7450.37</v>
      </c>
      <c r="C46" s="113" t="n">
        <f aca="false">Budget!C22</f>
        <v>-26437.5</v>
      </c>
      <c r="D46" s="113" t="n">
        <f aca="false">IF(B46="","",B46-C46)</f>
        <v>18987.13</v>
      </c>
      <c r="E46" s="113" t="n">
        <f aca="false">IF(OR(2&gt;$B$27,ISBLANK(Actuals!D22)),"",Actuals!D22)</f>
        <v>-10567.2</v>
      </c>
      <c r="F46" s="113" t="n">
        <f aca="false">Budget!D22</f>
        <v>-26437.5</v>
      </c>
      <c r="G46" s="113" t="n">
        <f aca="false">IF(E46="","",E46-F46)</f>
        <v>15870.3</v>
      </c>
      <c r="H46" s="113" t="n">
        <f aca="false">IF(OR(3&gt;$B$27,ISBLANK(Actuals!E22)),"",Actuals!E22)</f>
        <v>-17033.3</v>
      </c>
      <c r="I46" s="113" t="n">
        <f aca="false">Budget!E22</f>
        <v>-26437.5</v>
      </c>
      <c r="J46" s="113" t="n">
        <f aca="false">IF(H46="","",H46-I46)</f>
        <v>9404.2</v>
      </c>
      <c r="K46" s="113" t="n">
        <f aca="false">IF(OR(4&gt;$B$27,ISBLANK(Actuals!F22)),"",Actuals!F22)</f>
        <v>-14599.57</v>
      </c>
      <c r="L46" s="113" t="n">
        <f aca="false">Budget!F22</f>
        <v>-26437.5</v>
      </c>
      <c r="M46" s="113" t="n">
        <f aca="false">IF(K46="","",K46-L46)</f>
        <v>11837.93</v>
      </c>
      <c r="N46" s="113" t="n">
        <f aca="false">IF(OR(5&gt;$B$27,ISBLANK(Actuals!G22)),"",Actuals!G22)</f>
        <v>-23689.02</v>
      </c>
      <c r="O46" s="113" t="n">
        <f aca="false">Budget!G22</f>
        <v>-26437.5</v>
      </c>
      <c r="P46" s="113" t="n">
        <f aca="false">IF(N46="","",N46-O46)</f>
        <v>2748.48</v>
      </c>
      <c r="Q46" s="113" t="n">
        <f aca="false">IF(OR(6&gt;$B$27,ISBLANK(Actuals!H22)),"",Actuals!H22)</f>
        <v>-14793.67</v>
      </c>
      <c r="R46" s="113" t="n">
        <f aca="false">Budget!H22</f>
        <v>-26437.5</v>
      </c>
      <c r="S46" s="113" t="n">
        <f aca="false">IF(Q46="","",Q46-R46)</f>
        <v>11643.83</v>
      </c>
      <c r="T46" s="113" t="n">
        <f aca="false">IF(OR(7&gt;$B$27,ISBLANK(Actuals!I22)),"",Actuals!I22)</f>
        <v>-16311.09</v>
      </c>
      <c r="U46" s="113" t="n">
        <f aca="false">Budget!I22</f>
        <v>-26437.5</v>
      </c>
      <c r="V46" s="113" t="n">
        <f aca="false">IF(T46="","",T46-U46)</f>
        <v>10126.41</v>
      </c>
      <c r="W46" s="113" t="n">
        <f aca="false">IF(OR(8&gt;$B$27,ISBLANK(Actuals!J22)),"",Actuals!J22)</f>
        <v>-16725.56</v>
      </c>
      <c r="X46" s="113" t="n">
        <f aca="false">Budget!J22</f>
        <v>-26437.5</v>
      </c>
      <c r="Y46" s="113" t="n">
        <f aca="false">IF(W46="","",W46-X46)</f>
        <v>9711.94</v>
      </c>
      <c r="Z46" s="113" t="n">
        <f aca="false">IF(OR(9&gt;$B$27,ISBLANK(Actuals!K22)),"",Actuals!K22)</f>
        <v>-16989.18</v>
      </c>
      <c r="AA46" s="113" t="n">
        <f aca="false">Budget!K22</f>
        <v>-26437.5</v>
      </c>
      <c r="AB46" s="113" t="n">
        <f aca="false">IF(Z46="","",Z46-AA46)</f>
        <v>9448.32</v>
      </c>
      <c r="AC46" s="113" t="str">
        <f aca="false">IF(OR(10&gt;$B$27,ISBLANK(Actuals!L22)),"",Actuals!L22)</f>
        <v/>
      </c>
      <c r="AD46" s="113" t="n">
        <f aca="false">Budget!L22</f>
        <v>-26437.5</v>
      </c>
      <c r="AE46" s="113" t="str">
        <f aca="false">IF(AC46="","",AC46-AD46)</f>
        <v/>
      </c>
      <c r="AF46" s="113" t="str">
        <f aca="false">IF(OR(11&gt;$B$27,ISBLANK(Actuals!M22)),"",Actuals!M22)</f>
        <v/>
      </c>
      <c r="AG46" s="113" t="n">
        <f aca="false">Budget!M22</f>
        <v>-26437.5</v>
      </c>
      <c r="AH46" s="113" t="str">
        <f aca="false">IF(AF46="","",AF46-AG46)</f>
        <v/>
      </c>
      <c r="AI46" s="113" t="str">
        <f aca="false">IF(OR(12&gt;$B$27,ISBLANK(Actuals!N22)),"",Actuals!N22)</f>
        <v/>
      </c>
      <c r="AJ46" s="113" t="n">
        <f aca="false">Budget!N22</f>
        <v>-26437.5</v>
      </c>
      <c r="AK46" s="113" t="str">
        <f aca="false">IF(AI46="","",AI46-AJ46)</f>
        <v/>
      </c>
      <c r="AL46" s="116" t="n">
        <f aca="false">SUM(Actuals!$C22:INDEX(Actuals!$C22:$N22,$B$27))</f>
        <v>-138158.96</v>
      </c>
      <c r="AM46" s="116" t="n">
        <f aca="false">SUM(Budget!$C22:INDEX(Budget!$C22:$N22,$B$27))</f>
        <v>-237937.5</v>
      </c>
      <c r="AN46" s="116" t="n">
        <f aca="false">AL46-AM46</f>
        <v>99778.54</v>
      </c>
      <c r="AP46" s="114" t="s">
        <v>419</v>
      </c>
    </row>
    <row r="47" customFormat="false" ht="15" hidden="false" customHeight="true" outlineLevel="1" collapsed="false">
      <c r="A47" s="109" t="s">
        <v>66</v>
      </c>
      <c r="B47" s="113" t="str">
        <f aca="false">IF(OR(1&gt;$B$27,ISBLANK(Actuals!C23)),"",Actuals!C23)</f>
        <v/>
      </c>
      <c r="C47" s="113" t="n">
        <f aca="false">Budget!C23</f>
        <v>-58683.33</v>
      </c>
      <c r="D47" s="113" t="str">
        <f aca="false">IF(B47="","",B47-C47)</f>
        <v/>
      </c>
      <c r="E47" s="113" t="str">
        <f aca="false">IF(OR(2&gt;$B$27,ISBLANK(Actuals!D23)),"",Actuals!D23)</f>
        <v/>
      </c>
      <c r="F47" s="113" t="n">
        <f aca="false">Budget!D23</f>
        <v>-58683.33</v>
      </c>
      <c r="G47" s="113" t="str">
        <f aca="false">IF(E47="","",E47-F47)</f>
        <v/>
      </c>
      <c r="H47" s="113" t="str">
        <f aca="false">IF(OR(3&gt;$B$27,ISBLANK(Actuals!E23)),"",Actuals!E23)</f>
        <v/>
      </c>
      <c r="I47" s="113" t="n">
        <f aca="false">Budget!E23</f>
        <v>-58683.33</v>
      </c>
      <c r="J47" s="113" t="str">
        <f aca="false">IF(H47="","",H47-I47)</f>
        <v/>
      </c>
      <c r="K47" s="113" t="n">
        <f aca="false">IF(OR(4&gt;$B$27,ISBLANK(Actuals!F23)),"",Actuals!F23)</f>
        <v>0</v>
      </c>
      <c r="L47" s="113" t="n">
        <f aca="false">Budget!F23</f>
        <v>-58683.33</v>
      </c>
      <c r="M47" s="113" t="n">
        <f aca="false">IF(K47="","",K47-L47)</f>
        <v>58683.33</v>
      </c>
      <c r="N47" s="113" t="n">
        <f aca="false">IF(OR(5&gt;$B$27,ISBLANK(Actuals!G23)),"",Actuals!G23)</f>
        <v>0</v>
      </c>
      <c r="O47" s="113" t="n">
        <f aca="false">Budget!G23</f>
        <v>-58683.33</v>
      </c>
      <c r="P47" s="113" t="n">
        <f aca="false">IF(N47="","",N47-O47)</f>
        <v>58683.33</v>
      </c>
      <c r="Q47" s="113" t="n">
        <f aca="false">IF(OR(6&gt;$B$27,ISBLANK(Actuals!H23)),"",Actuals!H23)</f>
        <v>0</v>
      </c>
      <c r="R47" s="113" t="n">
        <f aca="false">Budget!H23</f>
        <v>-58683.33</v>
      </c>
      <c r="S47" s="113" t="n">
        <f aca="false">IF(Q47="","",Q47-R47)</f>
        <v>58683.33</v>
      </c>
      <c r="T47" s="113" t="n">
        <f aca="false">IF(OR(7&gt;$B$27,ISBLANK(Actuals!I23)),"",Actuals!I23)</f>
        <v>0</v>
      </c>
      <c r="U47" s="113" t="n">
        <f aca="false">Budget!I23</f>
        <v>-58683.33</v>
      </c>
      <c r="V47" s="113" t="n">
        <f aca="false">IF(T47="","",T47-U47)</f>
        <v>58683.33</v>
      </c>
      <c r="W47" s="113" t="n">
        <f aca="false">IF(OR(8&gt;$B$27,ISBLANK(Actuals!J23)),"",Actuals!J23)</f>
        <v>0</v>
      </c>
      <c r="X47" s="113" t="n">
        <f aca="false">Budget!J23</f>
        <v>-58683.33</v>
      </c>
      <c r="Y47" s="113" t="n">
        <f aca="false">IF(W47="","",W47-X47)</f>
        <v>58683.33</v>
      </c>
      <c r="Z47" s="113" t="n">
        <f aca="false">IF(OR(9&gt;$B$27,ISBLANK(Actuals!K23)),"",Actuals!K23)</f>
        <v>0</v>
      </c>
      <c r="AA47" s="113" t="n">
        <f aca="false">Budget!K23</f>
        <v>-58683.33</v>
      </c>
      <c r="AB47" s="113" t="n">
        <f aca="false">IF(Z47="","",Z47-AA47)</f>
        <v>58683.33</v>
      </c>
      <c r="AC47" s="113" t="str">
        <f aca="false">IF(OR(10&gt;$B$27,ISBLANK(Actuals!L23)),"",Actuals!L23)</f>
        <v/>
      </c>
      <c r="AD47" s="113" t="n">
        <f aca="false">Budget!L23</f>
        <v>-58683.33</v>
      </c>
      <c r="AE47" s="113" t="str">
        <f aca="false">IF(AC47="","",AC47-AD47)</f>
        <v/>
      </c>
      <c r="AF47" s="113" t="str">
        <f aca="false">IF(OR(11&gt;$B$27,ISBLANK(Actuals!M23)),"",Actuals!M23)</f>
        <v/>
      </c>
      <c r="AG47" s="113" t="n">
        <f aca="false">Budget!M23</f>
        <v>-58683.33</v>
      </c>
      <c r="AH47" s="113" t="str">
        <f aca="false">IF(AF47="","",AF47-AG47)</f>
        <v/>
      </c>
      <c r="AI47" s="113" t="str">
        <f aca="false">IF(OR(12&gt;$B$27,ISBLANK(Actuals!N23)),"",Actuals!N23)</f>
        <v/>
      </c>
      <c r="AJ47" s="113" t="n">
        <f aca="false">Budget!N23</f>
        <v>-58683.33</v>
      </c>
      <c r="AK47" s="113" t="str">
        <f aca="false">IF(AI47="","",AI47-AJ47)</f>
        <v/>
      </c>
      <c r="AL47" s="116" t="n">
        <f aca="false">SUM(Actuals!$C23:INDEX(Actuals!$C23:$N23,$B$27))</f>
        <v>0</v>
      </c>
      <c r="AM47" s="116" t="n">
        <f aca="false">SUM(Budget!$C23:INDEX(Budget!$C23:$N23,$B$27))</f>
        <v>-528149.97</v>
      </c>
      <c r="AN47" s="116" t="n">
        <f aca="false">AL47-AM47</f>
        <v>528149.97</v>
      </c>
      <c r="AP47" s="114" t="s">
        <v>420</v>
      </c>
    </row>
    <row r="48" customFormat="false" ht="15" hidden="false" customHeight="true" outlineLevel="1" collapsed="false">
      <c r="A48" s="109" t="s">
        <v>67</v>
      </c>
      <c r="B48" s="113" t="n">
        <f aca="false">IF(OR(1&gt;$B$27,ISBLANK(Actuals!C24)),"",Actuals!C24)</f>
        <v>-9482.97</v>
      </c>
      <c r="C48" s="113" t="n">
        <f aca="false">Budget!C24</f>
        <v>-25071.7</v>
      </c>
      <c r="D48" s="113" t="n">
        <f aca="false">IF(B48="","",B48-C48)</f>
        <v>15588.73</v>
      </c>
      <c r="E48" s="113" t="n">
        <f aca="false">IF(OR(2&gt;$B$27,ISBLANK(Actuals!D24)),"",Actuals!D24)</f>
        <v>-10343.29</v>
      </c>
      <c r="F48" s="113" t="n">
        <f aca="false">Budget!D24</f>
        <v>-25071.7</v>
      </c>
      <c r="G48" s="113" t="n">
        <f aca="false">IF(E48="","",E48-F48)</f>
        <v>14728.41</v>
      </c>
      <c r="H48" s="113" t="n">
        <f aca="false">IF(OR(3&gt;$B$27,ISBLANK(Actuals!E24)),"",Actuals!E24)</f>
        <v>-3729.48</v>
      </c>
      <c r="I48" s="113" t="n">
        <f aca="false">Budget!E24</f>
        <v>-25071.7</v>
      </c>
      <c r="J48" s="113" t="n">
        <f aca="false">IF(H48="","",H48-I48)</f>
        <v>21342.22</v>
      </c>
      <c r="K48" s="113" t="n">
        <f aca="false">IF(OR(4&gt;$B$27,ISBLANK(Actuals!F24)),"",Actuals!F24)</f>
        <v>-3206.79</v>
      </c>
      <c r="L48" s="113" t="n">
        <f aca="false">Budget!F24</f>
        <v>-25071.7</v>
      </c>
      <c r="M48" s="113" t="n">
        <f aca="false">IF(K48="","",K48-L48)</f>
        <v>21864.91</v>
      </c>
      <c r="N48" s="113" t="n">
        <f aca="false">IF(OR(5&gt;$B$27,ISBLANK(Actuals!G24)),"",Actuals!G24)</f>
        <v>10942.55</v>
      </c>
      <c r="O48" s="113" t="n">
        <f aca="false">Budget!G24</f>
        <v>-25071.7</v>
      </c>
      <c r="P48" s="113" t="n">
        <f aca="false">IF(N48="","",N48-O48)</f>
        <v>36014.25</v>
      </c>
      <c r="Q48" s="113" t="n">
        <f aca="false">IF(OR(6&gt;$B$27,ISBLANK(Actuals!H24)),"",Actuals!H24)</f>
        <v>-8982.91</v>
      </c>
      <c r="R48" s="113" t="n">
        <f aca="false">Budget!H24</f>
        <v>-25071.7</v>
      </c>
      <c r="S48" s="113" t="n">
        <f aca="false">IF(Q48="","",Q48-R48)</f>
        <v>16088.79</v>
      </c>
      <c r="T48" s="113" t="n">
        <f aca="false">IF(OR(7&gt;$B$27,ISBLANK(Actuals!I24)),"",Actuals!I24)</f>
        <v>-14712.5</v>
      </c>
      <c r="U48" s="113" t="n">
        <f aca="false">Budget!I24</f>
        <v>-25071.7</v>
      </c>
      <c r="V48" s="113" t="n">
        <f aca="false">IF(T48="","",T48-U48)</f>
        <v>10359.2</v>
      </c>
      <c r="W48" s="113" t="n">
        <f aca="false">IF(OR(8&gt;$B$27,ISBLANK(Actuals!J24)),"",Actuals!J24)</f>
        <v>-12426.27</v>
      </c>
      <c r="X48" s="113" t="n">
        <f aca="false">Budget!J24</f>
        <v>-25071.7</v>
      </c>
      <c r="Y48" s="113" t="n">
        <f aca="false">IF(W48="","",W48-X48)</f>
        <v>12645.43</v>
      </c>
      <c r="Z48" s="113" t="n">
        <f aca="false">IF(OR(9&gt;$B$27,ISBLANK(Actuals!K24)),"",Actuals!K24)</f>
        <v>-11264.52</v>
      </c>
      <c r="AA48" s="113" t="n">
        <f aca="false">Budget!K24</f>
        <v>-25071.7</v>
      </c>
      <c r="AB48" s="113" t="n">
        <f aca="false">IF(Z48="","",Z48-AA48)</f>
        <v>13807.18</v>
      </c>
      <c r="AC48" s="113" t="str">
        <f aca="false">IF(OR(10&gt;$B$27,ISBLANK(Actuals!L24)),"",Actuals!L24)</f>
        <v/>
      </c>
      <c r="AD48" s="113" t="n">
        <f aca="false">Budget!L24</f>
        <v>-25071.7</v>
      </c>
      <c r="AE48" s="113" t="str">
        <f aca="false">IF(AC48="","",AC48-AD48)</f>
        <v/>
      </c>
      <c r="AF48" s="113" t="str">
        <f aca="false">IF(OR(11&gt;$B$27,ISBLANK(Actuals!M24)),"",Actuals!M24)</f>
        <v/>
      </c>
      <c r="AG48" s="113" t="n">
        <f aca="false">Budget!M24</f>
        <v>-25071.7</v>
      </c>
      <c r="AH48" s="113" t="str">
        <f aca="false">IF(AF48="","",AF48-AG48)</f>
        <v/>
      </c>
      <c r="AI48" s="113" t="str">
        <f aca="false">IF(OR(12&gt;$B$27,ISBLANK(Actuals!N24)),"",Actuals!N24)</f>
        <v/>
      </c>
      <c r="AJ48" s="113" t="n">
        <f aca="false">Budget!N24</f>
        <v>-25071.7</v>
      </c>
      <c r="AK48" s="113" t="str">
        <f aca="false">IF(AI48="","",AI48-AJ48)</f>
        <v/>
      </c>
      <c r="AL48" s="116" t="n">
        <f aca="false">SUM(Actuals!$C24:INDEX(Actuals!$C24:$N24,$B$27))</f>
        <v>-63206.18</v>
      </c>
      <c r="AM48" s="116" t="n">
        <f aca="false">SUM(Budget!$C24:INDEX(Budget!$C24:$N24,$B$27))</f>
        <v>-225645.3</v>
      </c>
      <c r="AN48" s="116" t="n">
        <f aca="false">AL48-AM48</f>
        <v>162439.12</v>
      </c>
      <c r="AP48" s="114" t="s">
        <v>421</v>
      </c>
    </row>
    <row r="49" customFormat="false" ht="15" hidden="false" customHeight="true" outlineLevel="1" collapsed="false">
      <c r="A49" s="109" t="s">
        <v>68</v>
      </c>
      <c r="B49" s="113" t="n">
        <f aca="false">IF(OR(1&gt;$B$27,ISBLANK(Actuals!C25)),"",Actuals!C25)</f>
        <v>-2542.47</v>
      </c>
      <c r="C49" s="113" t="n">
        <f aca="false">Budget!C25</f>
        <v>-1731.41</v>
      </c>
      <c r="D49" s="113" t="n">
        <f aca="false">IF(B49="","",B49-C49)</f>
        <v>-811.06</v>
      </c>
      <c r="E49" s="113" t="n">
        <f aca="false">IF(OR(2&gt;$B$27,ISBLANK(Actuals!D25)),"",Actuals!D25)</f>
        <v>-1618.75</v>
      </c>
      <c r="F49" s="113" t="n">
        <f aca="false">Budget!D25</f>
        <v>-1731.41</v>
      </c>
      <c r="G49" s="113" t="n">
        <f aca="false">IF(E49="","",E49-F49)</f>
        <v>112.66</v>
      </c>
      <c r="H49" s="113" t="n">
        <f aca="false">IF(OR(3&gt;$B$27,ISBLANK(Actuals!E25)),"",Actuals!E25)</f>
        <v>3406.77</v>
      </c>
      <c r="I49" s="113" t="n">
        <f aca="false">Budget!E25</f>
        <v>-1731.41</v>
      </c>
      <c r="J49" s="113" t="n">
        <f aca="false">IF(H49="","",H49-I49)</f>
        <v>5138.18</v>
      </c>
      <c r="K49" s="113" t="n">
        <f aca="false">IF(OR(4&gt;$B$27,ISBLANK(Actuals!F25)),"",Actuals!F25)</f>
        <v>2575.42</v>
      </c>
      <c r="L49" s="113" t="n">
        <f aca="false">Budget!F25</f>
        <v>-1731.41</v>
      </c>
      <c r="M49" s="113" t="n">
        <f aca="false">IF(K49="","",K49-L49)</f>
        <v>4306.83</v>
      </c>
      <c r="N49" s="113" t="n">
        <f aca="false">IF(OR(5&gt;$B$27,ISBLANK(Actuals!G25)),"",Actuals!G25)</f>
        <v>-1896.11</v>
      </c>
      <c r="O49" s="113" t="n">
        <f aca="false">Budget!G25</f>
        <v>-1731.41</v>
      </c>
      <c r="P49" s="113" t="n">
        <f aca="false">IF(N49="","",N49-O49)</f>
        <v>-164.7</v>
      </c>
      <c r="Q49" s="113" t="n">
        <f aca="false">IF(OR(6&gt;$B$27,ISBLANK(Actuals!H25)),"",Actuals!H25)</f>
        <v>-2888.37</v>
      </c>
      <c r="R49" s="113" t="n">
        <f aca="false">Budget!H25</f>
        <v>-1731.41</v>
      </c>
      <c r="S49" s="113" t="n">
        <f aca="false">IF(Q49="","",Q49-R49)</f>
        <v>-1156.96</v>
      </c>
      <c r="T49" s="113" t="n">
        <f aca="false">IF(OR(7&gt;$B$27,ISBLANK(Actuals!I25)),"",Actuals!I25)</f>
        <v>636.26</v>
      </c>
      <c r="U49" s="113" t="n">
        <f aca="false">Budget!I25</f>
        <v>-1731.41</v>
      </c>
      <c r="V49" s="113" t="n">
        <f aca="false">IF(T49="","",T49-U49)</f>
        <v>2367.67</v>
      </c>
      <c r="W49" s="113" t="n">
        <f aca="false">IF(OR(8&gt;$B$27,ISBLANK(Actuals!J25)),"",Actuals!J25)</f>
        <v>-2370.43</v>
      </c>
      <c r="X49" s="113" t="n">
        <f aca="false">Budget!J25</f>
        <v>-1731.41</v>
      </c>
      <c r="Y49" s="113" t="n">
        <f aca="false">IF(W49="","",W49-X49)</f>
        <v>-639.02</v>
      </c>
      <c r="Z49" s="113" t="n">
        <f aca="false">IF(OR(9&gt;$B$27,ISBLANK(Actuals!K25)),"",Actuals!K25)</f>
        <v>-2397</v>
      </c>
      <c r="AA49" s="113" t="n">
        <f aca="false">Budget!K25</f>
        <v>-1731.41</v>
      </c>
      <c r="AB49" s="113" t="n">
        <f aca="false">IF(Z49="","",Z49-AA49)</f>
        <v>-665.59</v>
      </c>
      <c r="AC49" s="113" t="str">
        <f aca="false">IF(OR(10&gt;$B$27,ISBLANK(Actuals!L25)),"",Actuals!L25)</f>
        <v/>
      </c>
      <c r="AD49" s="113" t="n">
        <f aca="false">Budget!L25</f>
        <v>-1731.41</v>
      </c>
      <c r="AE49" s="113" t="str">
        <f aca="false">IF(AC49="","",AC49-AD49)</f>
        <v/>
      </c>
      <c r="AF49" s="113" t="str">
        <f aca="false">IF(OR(11&gt;$B$27,ISBLANK(Actuals!M25)),"",Actuals!M25)</f>
        <v/>
      </c>
      <c r="AG49" s="113" t="n">
        <f aca="false">Budget!M25</f>
        <v>-1731.41</v>
      </c>
      <c r="AH49" s="113" t="str">
        <f aca="false">IF(AF49="","",AF49-AG49)</f>
        <v/>
      </c>
      <c r="AI49" s="113" t="str">
        <f aca="false">IF(OR(12&gt;$B$27,ISBLANK(Actuals!N25)),"",Actuals!N25)</f>
        <v/>
      </c>
      <c r="AJ49" s="113" t="n">
        <f aca="false">Budget!N25</f>
        <v>-1731.41</v>
      </c>
      <c r="AK49" s="113" t="str">
        <f aca="false">IF(AI49="","",AI49-AJ49)</f>
        <v/>
      </c>
      <c r="AL49" s="116" t="n">
        <f aca="false">SUM(Actuals!$C25:INDEX(Actuals!$C25:$N25,$B$27))</f>
        <v>-7094.68</v>
      </c>
      <c r="AM49" s="116" t="n">
        <f aca="false">SUM(Budget!$C25:INDEX(Budget!$C25:$N25,$B$27))</f>
        <v>-15582.69</v>
      </c>
      <c r="AN49" s="116" t="n">
        <f aca="false">AL49-AM49</f>
        <v>8488.01</v>
      </c>
    </row>
    <row r="50" customFormat="false" ht="15" hidden="false" customHeight="true" outlineLevel="1" collapsed="false">
      <c r="A50" s="109" t="s">
        <v>69</v>
      </c>
      <c r="B50" s="113" t="n">
        <f aca="false">IF(OR(1&gt;$B$27,ISBLANK(Actuals!C26)),"",Actuals!C26)</f>
        <v>-195</v>
      </c>
      <c r="C50" s="113" t="n">
        <f aca="false">Budget!C26</f>
        <v>-1008</v>
      </c>
      <c r="D50" s="113" t="n">
        <f aca="false">IF(B50="","",B50-C50)</f>
        <v>813</v>
      </c>
      <c r="E50" s="113" t="n">
        <f aca="false">IF(OR(2&gt;$B$27,ISBLANK(Actuals!D26)),"",Actuals!D26)</f>
        <v>-200</v>
      </c>
      <c r="F50" s="113" t="n">
        <f aca="false">Budget!D26</f>
        <v>-1008</v>
      </c>
      <c r="G50" s="113" t="n">
        <f aca="false">IF(E50="","",E50-F50)</f>
        <v>808</v>
      </c>
      <c r="H50" s="113" t="n">
        <f aca="false">IF(OR(3&gt;$B$27,ISBLANK(Actuals!E26)),"",Actuals!E26)</f>
        <v>0</v>
      </c>
      <c r="I50" s="113" t="n">
        <f aca="false">Budget!E26</f>
        <v>-1008</v>
      </c>
      <c r="J50" s="113" t="n">
        <f aca="false">IF(H50="","",H50-I50)</f>
        <v>1008</v>
      </c>
      <c r="K50" s="113" t="n">
        <f aca="false">IF(OR(4&gt;$B$27,ISBLANK(Actuals!F26)),"",Actuals!F26)</f>
        <v>0</v>
      </c>
      <c r="L50" s="113" t="n">
        <f aca="false">Budget!F26</f>
        <v>-1008</v>
      </c>
      <c r="M50" s="113" t="n">
        <f aca="false">IF(K50="","",K50-L50)</f>
        <v>1008</v>
      </c>
      <c r="N50" s="113" t="n">
        <f aca="false">IF(OR(5&gt;$B$27,ISBLANK(Actuals!G26)),"",Actuals!G26)</f>
        <v>0</v>
      </c>
      <c r="O50" s="113" t="n">
        <f aca="false">Budget!G26</f>
        <v>-1008</v>
      </c>
      <c r="P50" s="113" t="n">
        <f aca="false">IF(N50="","",N50-O50)</f>
        <v>1008</v>
      </c>
      <c r="Q50" s="113" t="n">
        <f aca="false">IF(OR(6&gt;$B$27,ISBLANK(Actuals!H26)),"",Actuals!H26)</f>
        <v>0</v>
      </c>
      <c r="R50" s="113" t="n">
        <f aca="false">Budget!H26</f>
        <v>-1008</v>
      </c>
      <c r="S50" s="113" t="n">
        <f aca="false">IF(Q50="","",Q50-R50)</f>
        <v>1008</v>
      </c>
      <c r="T50" s="113" t="n">
        <f aca="false">IF(OR(7&gt;$B$27,ISBLANK(Actuals!I26)),"",Actuals!I26)</f>
        <v>0</v>
      </c>
      <c r="U50" s="113" t="n">
        <f aca="false">Budget!I26</f>
        <v>-1008</v>
      </c>
      <c r="V50" s="113" t="n">
        <f aca="false">IF(T50="","",T50-U50)</f>
        <v>1008</v>
      </c>
      <c r="W50" s="113" t="n">
        <f aca="false">IF(OR(8&gt;$B$27,ISBLANK(Actuals!J26)),"",Actuals!J26)</f>
        <v>0</v>
      </c>
      <c r="X50" s="113" t="n">
        <f aca="false">Budget!J26</f>
        <v>-1008</v>
      </c>
      <c r="Y50" s="113" t="n">
        <f aca="false">IF(W50="","",W50-X50)</f>
        <v>1008</v>
      </c>
      <c r="Z50" s="113" t="n">
        <f aca="false">IF(OR(9&gt;$B$27,ISBLANK(Actuals!K26)),"",Actuals!K26)</f>
        <v>0</v>
      </c>
      <c r="AA50" s="113" t="n">
        <f aca="false">Budget!K26</f>
        <v>-1008</v>
      </c>
      <c r="AB50" s="113" t="n">
        <f aca="false">IF(Z50="","",Z50-AA50)</f>
        <v>1008</v>
      </c>
      <c r="AC50" s="113" t="str">
        <f aca="false">IF(OR(10&gt;$B$27,ISBLANK(Actuals!L26)),"",Actuals!L26)</f>
        <v/>
      </c>
      <c r="AD50" s="113" t="n">
        <f aca="false">Budget!L26</f>
        <v>-1008</v>
      </c>
      <c r="AE50" s="113" t="str">
        <f aca="false">IF(AC50="","",AC50-AD50)</f>
        <v/>
      </c>
      <c r="AF50" s="113" t="str">
        <f aca="false">IF(OR(11&gt;$B$27,ISBLANK(Actuals!M26)),"",Actuals!M26)</f>
        <v/>
      </c>
      <c r="AG50" s="113" t="n">
        <f aca="false">Budget!M26</f>
        <v>-1008</v>
      </c>
      <c r="AH50" s="113" t="str">
        <f aca="false">IF(AF50="","",AF50-AG50)</f>
        <v/>
      </c>
      <c r="AI50" s="113" t="str">
        <f aca="false">IF(OR(12&gt;$B$27,ISBLANK(Actuals!N26)),"",Actuals!N26)</f>
        <v/>
      </c>
      <c r="AJ50" s="113" t="n">
        <f aca="false">Budget!N26</f>
        <v>-1008</v>
      </c>
      <c r="AK50" s="113" t="str">
        <f aca="false">IF(AI50="","",AI50-AJ50)</f>
        <v/>
      </c>
      <c r="AL50" s="116" t="n">
        <f aca="false">SUM(Actuals!$C26:INDEX(Actuals!$C26:$N26,$B$27))</f>
        <v>-395</v>
      </c>
      <c r="AM50" s="116" t="n">
        <f aca="false">SUM(Budget!$C26:INDEX(Budget!$C26:$N26,$B$27))</f>
        <v>-9072</v>
      </c>
      <c r="AN50" s="116" t="n">
        <f aca="false">AL50-AM50</f>
        <v>8677</v>
      </c>
    </row>
    <row r="51" customFormat="false" ht="15" hidden="false" customHeight="true" outlineLevel="1" collapsed="false">
      <c r="A51" s="109" t="s">
        <v>70</v>
      </c>
      <c r="B51" s="113" t="n">
        <f aca="false">IF(OR(1&gt;$B$27,ISBLANK(Actuals!C27)),"",Actuals!C27)</f>
        <v>-33002.28</v>
      </c>
      <c r="C51" s="113" t="n">
        <f aca="false">Budget!C27</f>
        <v>0</v>
      </c>
      <c r="D51" s="113" t="n">
        <f aca="false">IF(B51="","",B51-C51)</f>
        <v>-33002.28</v>
      </c>
      <c r="E51" s="113" t="n">
        <f aca="false">IF(OR(2&gt;$B$27,ISBLANK(Actuals!D27)),"",Actuals!D27)</f>
        <v>-29166.66</v>
      </c>
      <c r="F51" s="113" t="n">
        <f aca="false">Budget!D27</f>
        <v>0</v>
      </c>
      <c r="G51" s="113" t="n">
        <f aca="false">IF(E51="","",E51-F51)</f>
        <v>-29166.66</v>
      </c>
      <c r="H51" s="113" t="n">
        <f aca="false">IF(OR(3&gt;$B$27,ISBLANK(Actuals!E27)),"",Actuals!E27)</f>
        <v>-41666.66</v>
      </c>
      <c r="I51" s="113" t="n">
        <f aca="false">Budget!E27</f>
        <v>0</v>
      </c>
      <c r="J51" s="113" t="n">
        <f aca="false">IF(H51="","",H51-I51)</f>
        <v>-41666.66</v>
      </c>
      <c r="K51" s="113" t="n">
        <f aca="false">IF(OR(4&gt;$B$27,ISBLANK(Actuals!F27)),"",Actuals!F27)</f>
        <v>-29166.66</v>
      </c>
      <c r="L51" s="113" t="n">
        <f aca="false">Budget!F27</f>
        <v>0</v>
      </c>
      <c r="M51" s="113" t="n">
        <f aca="false">IF(K51="","",K51-L51)</f>
        <v>-29166.66</v>
      </c>
      <c r="N51" s="113" t="n">
        <f aca="false">IF(OR(5&gt;$B$27,ISBLANK(Actuals!G27)),"",Actuals!G27)</f>
        <v>-29166.66</v>
      </c>
      <c r="O51" s="113" t="n">
        <f aca="false">Budget!G27</f>
        <v>0</v>
      </c>
      <c r="P51" s="113" t="n">
        <f aca="false">IF(N51="","",N51-O51)</f>
        <v>-29166.66</v>
      </c>
      <c r="Q51" s="113" t="n">
        <f aca="false">IF(OR(6&gt;$B$27,ISBLANK(Actuals!H27)),"",Actuals!H27)</f>
        <v>-29166.66</v>
      </c>
      <c r="R51" s="113" t="n">
        <f aca="false">Budget!H27</f>
        <v>0</v>
      </c>
      <c r="S51" s="113" t="n">
        <f aca="false">IF(Q51="","",Q51-R51)</f>
        <v>-29166.66</v>
      </c>
      <c r="T51" s="113" t="n">
        <f aca="false">IF(OR(7&gt;$B$27,ISBLANK(Actuals!I27)),"",Actuals!I27)</f>
        <v>-29166.66</v>
      </c>
      <c r="U51" s="113" t="n">
        <f aca="false">Budget!I27</f>
        <v>0</v>
      </c>
      <c r="V51" s="113" t="n">
        <f aca="false">IF(T51="","",T51-U51)</f>
        <v>-29166.66</v>
      </c>
      <c r="W51" s="113" t="n">
        <f aca="false">IF(OR(8&gt;$B$27,ISBLANK(Actuals!J27)),"",Actuals!J27)</f>
        <v>-29166.66</v>
      </c>
      <c r="X51" s="113" t="n">
        <f aca="false">Budget!J27</f>
        <v>0</v>
      </c>
      <c r="Y51" s="113" t="n">
        <f aca="false">IF(W51="","",W51-X51)</f>
        <v>-29166.66</v>
      </c>
      <c r="Z51" s="113" t="n">
        <f aca="false">IF(OR(9&gt;$B$27,ISBLANK(Actuals!K27)),"",Actuals!K27)</f>
        <v>-29166.66</v>
      </c>
      <c r="AA51" s="113" t="n">
        <f aca="false">Budget!K27</f>
        <v>0</v>
      </c>
      <c r="AB51" s="113" t="n">
        <f aca="false">IF(Z51="","",Z51-AA51)</f>
        <v>-29166.66</v>
      </c>
      <c r="AC51" s="113" t="str">
        <f aca="false">IF(OR(10&gt;$B$27,ISBLANK(Actuals!L27)),"",Actuals!L27)</f>
        <v/>
      </c>
      <c r="AD51" s="113" t="n">
        <f aca="false">Budget!L27</f>
        <v>0</v>
      </c>
      <c r="AE51" s="113" t="str">
        <f aca="false">IF(AC51="","",AC51-AD51)</f>
        <v/>
      </c>
      <c r="AF51" s="113" t="str">
        <f aca="false">IF(OR(11&gt;$B$27,ISBLANK(Actuals!M27)),"",Actuals!M27)</f>
        <v/>
      </c>
      <c r="AG51" s="113" t="n">
        <f aca="false">Budget!M27</f>
        <v>0</v>
      </c>
      <c r="AH51" s="113" t="str">
        <f aca="false">IF(AF51="","",AF51-AG51)</f>
        <v/>
      </c>
      <c r="AI51" s="113" t="str">
        <f aca="false">IF(OR(12&gt;$B$27,ISBLANK(Actuals!N27)),"",Actuals!N27)</f>
        <v/>
      </c>
      <c r="AJ51" s="113" t="n">
        <f aca="false">Budget!N27</f>
        <v>0</v>
      </c>
      <c r="AK51" s="113" t="str">
        <f aca="false">IF(AI51="","",AI51-AJ51)</f>
        <v/>
      </c>
      <c r="AL51" s="116" t="n">
        <f aca="false">SUM(Actuals!$C27:INDEX(Actuals!$C27:$N27,$B$27))</f>
        <v>-278835.56</v>
      </c>
      <c r="AM51" s="116" t="n">
        <f aca="false">SUM(Budget!$C27:INDEX(Budget!$C27:$N27,$B$27))</f>
        <v>0</v>
      </c>
      <c r="AN51" s="116" t="n">
        <f aca="false">AL51-AM51</f>
        <v>-278835.56</v>
      </c>
      <c r="AP51" s="114" t="s">
        <v>422</v>
      </c>
    </row>
    <row r="52" customFormat="false" ht="15" hidden="false" customHeight="true" outlineLevel="1" collapsed="false">
      <c r="A52" s="109" t="s">
        <v>71</v>
      </c>
      <c r="B52" s="113" t="n">
        <f aca="false">IF(OR(1&gt;$B$27,ISBLANK(Actuals!C28)),"",Actuals!C28)</f>
        <v>0</v>
      </c>
      <c r="C52" s="113" t="n">
        <f aca="false">Budget!C28</f>
        <v>0</v>
      </c>
      <c r="D52" s="113" t="n">
        <f aca="false">IF(B52="","",B52-C52)</f>
        <v>0</v>
      </c>
      <c r="E52" s="113" t="n">
        <f aca="false">IF(OR(2&gt;$B$27,ISBLANK(Actuals!D28)),"",Actuals!D28)</f>
        <v>0</v>
      </c>
      <c r="F52" s="113" t="n">
        <f aca="false">Budget!D28</f>
        <v>0</v>
      </c>
      <c r="G52" s="113" t="n">
        <f aca="false">IF(E52="","",E52-F52)</f>
        <v>0</v>
      </c>
      <c r="H52" s="113" t="n">
        <f aca="false">IF(OR(3&gt;$B$27,ISBLANK(Actuals!E28)),"",Actuals!E28)</f>
        <v>0</v>
      </c>
      <c r="I52" s="113" t="n">
        <f aca="false">Budget!E28</f>
        <v>0</v>
      </c>
      <c r="J52" s="113" t="n">
        <f aca="false">IF(H52="","",H52-I52)</f>
        <v>0</v>
      </c>
      <c r="K52" s="113" t="n">
        <f aca="false">IF(OR(4&gt;$B$27,ISBLANK(Actuals!F28)),"",Actuals!F28)</f>
        <v>251304.48</v>
      </c>
      <c r="L52" s="113" t="n">
        <f aca="false">Budget!F28</f>
        <v>0</v>
      </c>
      <c r="M52" s="113" t="n">
        <f aca="false">IF(K52="","",K52-L52)</f>
        <v>251304.48</v>
      </c>
      <c r="N52" s="113" t="n">
        <f aca="false">IF(OR(5&gt;$B$27,ISBLANK(Actuals!G28)),"",Actuals!G28)</f>
        <v>81510</v>
      </c>
      <c r="O52" s="113" t="n">
        <f aca="false">Budget!G28</f>
        <v>0</v>
      </c>
      <c r="P52" s="113" t="n">
        <f aca="false">IF(N52="","",N52-O52)</f>
        <v>81510</v>
      </c>
      <c r="Q52" s="113" t="n">
        <f aca="false">IF(OR(6&gt;$B$27,ISBLANK(Actuals!H28)),"",Actuals!H28)</f>
        <v>0</v>
      </c>
      <c r="R52" s="113" t="n">
        <f aca="false">Budget!H28</f>
        <v>0</v>
      </c>
      <c r="S52" s="113" t="n">
        <f aca="false">IF(Q52="","",Q52-R52)</f>
        <v>0</v>
      </c>
      <c r="T52" s="113" t="n">
        <f aca="false">IF(OR(7&gt;$B$27,ISBLANK(Actuals!I28)),"",Actuals!I28)</f>
        <v>0</v>
      </c>
      <c r="U52" s="113" t="n">
        <f aca="false">Budget!I28</f>
        <v>0</v>
      </c>
      <c r="V52" s="113" t="n">
        <f aca="false">IF(T52="","",T52-U52)</f>
        <v>0</v>
      </c>
      <c r="W52" s="113" t="n">
        <f aca="false">IF(OR(8&gt;$B$27,ISBLANK(Actuals!J28)),"",Actuals!J28)</f>
        <v>0</v>
      </c>
      <c r="X52" s="113" t="n">
        <f aca="false">Budget!J28</f>
        <v>0</v>
      </c>
      <c r="Y52" s="113" t="n">
        <f aca="false">IF(W52="","",W52-X52)</f>
        <v>0</v>
      </c>
      <c r="Z52" s="113" t="n">
        <f aca="false">IF(OR(9&gt;$B$27,ISBLANK(Actuals!K28)),"",Actuals!K28)</f>
        <v>0</v>
      </c>
      <c r="AA52" s="113" t="n">
        <f aca="false">Budget!K28</f>
        <v>0</v>
      </c>
      <c r="AB52" s="113" t="n">
        <f aca="false">IF(Z52="","",Z52-AA52)</f>
        <v>0</v>
      </c>
      <c r="AC52" s="113" t="str">
        <f aca="false">IF(OR(10&gt;$B$27,ISBLANK(Actuals!L28)),"",Actuals!L28)</f>
        <v/>
      </c>
      <c r="AD52" s="113" t="n">
        <f aca="false">Budget!L28</f>
        <v>0</v>
      </c>
      <c r="AE52" s="113" t="str">
        <f aca="false">IF(AC52="","",AC52-AD52)</f>
        <v/>
      </c>
      <c r="AF52" s="113" t="str">
        <f aca="false">IF(OR(11&gt;$B$27,ISBLANK(Actuals!M28)),"",Actuals!M28)</f>
        <v/>
      </c>
      <c r="AG52" s="113" t="n">
        <f aca="false">Budget!M28</f>
        <v>0</v>
      </c>
      <c r="AH52" s="113" t="str">
        <f aca="false">IF(AF52="","",AF52-AG52)</f>
        <v/>
      </c>
      <c r="AI52" s="113" t="str">
        <f aca="false">IF(OR(12&gt;$B$27,ISBLANK(Actuals!N28)),"",Actuals!N28)</f>
        <v/>
      </c>
      <c r="AJ52" s="113" t="n">
        <f aca="false">Budget!N28</f>
        <v>0</v>
      </c>
      <c r="AK52" s="113" t="str">
        <f aca="false">IF(AI52="","",AI52-AJ52)</f>
        <v/>
      </c>
      <c r="AL52" s="116" t="n">
        <f aca="false">SUM(Actuals!$C28:INDEX(Actuals!$C28:$N28,$B$27))</f>
        <v>332814.48</v>
      </c>
      <c r="AM52" s="116" t="n">
        <f aca="false">SUM(Budget!$C28:INDEX(Budget!$C28:$N28,$B$27))</f>
        <v>0</v>
      </c>
      <c r="AN52" s="116" t="n">
        <f aca="false">AL52-AM52</f>
        <v>332814.48</v>
      </c>
      <c r="AP52" s="114" t="s">
        <v>423</v>
      </c>
    </row>
    <row r="53" customFormat="false" ht="15" hidden="false" customHeight="true" outlineLevel="1" collapsed="false">
      <c r="A53" s="109" t="s">
        <v>72</v>
      </c>
      <c r="B53" s="113" t="n">
        <f aca="false">IF(OR(1&gt;$B$27,ISBLANK(Actuals!C29)),"",Actuals!C29)</f>
        <v>-10400</v>
      </c>
      <c r="C53" s="113" t="n">
        <f aca="false">Budget!C29</f>
        <v>-10000</v>
      </c>
      <c r="D53" s="113" t="n">
        <f aca="false">IF(B53="","",B53-C53)</f>
        <v>-400</v>
      </c>
      <c r="E53" s="113" t="n">
        <f aca="false">IF(OR(2&gt;$B$27,ISBLANK(Actuals!D29)),"",Actuals!D29)</f>
        <v>-10400</v>
      </c>
      <c r="F53" s="113" t="n">
        <f aca="false">Budget!D29</f>
        <v>-10000</v>
      </c>
      <c r="G53" s="113" t="n">
        <f aca="false">IF(E53="","",E53-F53)</f>
        <v>-400</v>
      </c>
      <c r="H53" s="113" t="n">
        <f aca="false">IF(OR(3&gt;$B$27,ISBLANK(Actuals!E29)),"",Actuals!E29)</f>
        <v>-400</v>
      </c>
      <c r="I53" s="113" t="n">
        <f aca="false">Budget!E29</f>
        <v>-10000</v>
      </c>
      <c r="J53" s="113" t="n">
        <f aca="false">IF(H53="","",H53-I53)</f>
        <v>9600</v>
      </c>
      <c r="K53" s="113" t="n">
        <f aca="false">IF(OR(4&gt;$B$27,ISBLANK(Actuals!F29)),"",Actuals!F29)</f>
        <v>-10400</v>
      </c>
      <c r="L53" s="113" t="n">
        <f aca="false">Budget!F29</f>
        <v>-10000</v>
      </c>
      <c r="M53" s="113" t="n">
        <f aca="false">IF(K53="","",K53-L53)</f>
        <v>-400</v>
      </c>
      <c r="N53" s="113" t="n">
        <f aca="false">IF(OR(5&gt;$B$27,ISBLANK(Actuals!G29)),"",Actuals!G29)</f>
        <v>-20400</v>
      </c>
      <c r="O53" s="113" t="n">
        <f aca="false">Budget!G29</f>
        <v>-10000</v>
      </c>
      <c r="P53" s="113" t="n">
        <f aca="false">IF(N53="","",N53-O53)</f>
        <v>-10400</v>
      </c>
      <c r="Q53" s="113" t="n">
        <f aca="false">IF(OR(6&gt;$B$27,ISBLANK(Actuals!H29)),"",Actuals!H29)</f>
        <v>-20405</v>
      </c>
      <c r="R53" s="113" t="n">
        <f aca="false">Budget!H29</f>
        <v>-10000</v>
      </c>
      <c r="S53" s="113" t="n">
        <f aca="false">IF(Q53="","",Q53-R53)</f>
        <v>-10405</v>
      </c>
      <c r="T53" s="113" t="n">
        <f aca="false">IF(OR(7&gt;$B$27,ISBLANK(Actuals!I29)),"",Actuals!I29)</f>
        <v>-20405</v>
      </c>
      <c r="U53" s="113" t="n">
        <f aca="false">Budget!I29</f>
        <v>-10200</v>
      </c>
      <c r="V53" s="113" t="n">
        <f aca="false">IF(T53="","",T53-U53)</f>
        <v>-10205</v>
      </c>
      <c r="W53" s="113" t="n">
        <f aca="false">IF(OR(8&gt;$B$27,ISBLANK(Actuals!J29)),"",Actuals!J29)</f>
        <v>-20405</v>
      </c>
      <c r="X53" s="113" t="n">
        <f aca="false">Budget!J29</f>
        <v>-10200</v>
      </c>
      <c r="Y53" s="113" t="n">
        <f aca="false">IF(W53="","",W53-X53)</f>
        <v>-10205</v>
      </c>
      <c r="Z53" s="113" t="n">
        <f aca="false">IF(OR(9&gt;$B$27,ISBLANK(Actuals!K29)),"",Actuals!K29)</f>
        <v>-20000</v>
      </c>
      <c r="AA53" s="113" t="n">
        <f aca="false">Budget!K29</f>
        <v>-10200</v>
      </c>
      <c r="AB53" s="113" t="n">
        <f aca="false">IF(Z53="","",Z53-AA53)</f>
        <v>-9800</v>
      </c>
      <c r="AC53" s="113" t="str">
        <f aca="false">IF(OR(10&gt;$B$27,ISBLANK(Actuals!L29)),"",Actuals!L29)</f>
        <v/>
      </c>
      <c r="AD53" s="113" t="n">
        <f aca="false">Budget!L29</f>
        <v>-10200</v>
      </c>
      <c r="AE53" s="113" t="str">
        <f aca="false">IF(AC53="","",AC53-AD53)</f>
        <v/>
      </c>
      <c r="AF53" s="113" t="str">
        <f aca="false">IF(OR(11&gt;$B$27,ISBLANK(Actuals!M29)),"",Actuals!M29)</f>
        <v/>
      </c>
      <c r="AG53" s="113" t="n">
        <f aca="false">Budget!M29</f>
        <v>-10200</v>
      </c>
      <c r="AH53" s="113" t="str">
        <f aca="false">IF(AF53="","",AF53-AG53)</f>
        <v/>
      </c>
      <c r="AI53" s="113" t="str">
        <f aca="false">IF(OR(12&gt;$B$27,ISBLANK(Actuals!N29)),"",Actuals!N29)</f>
        <v/>
      </c>
      <c r="AJ53" s="113" t="n">
        <f aca="false">Budget!N29</f>
        <v>-10200</v>
      </c>
      <c r="AK53" s="113" t="str">
        <f aca="false">IF(AI53="","",AI53-AJ53)</f>
        <v/>
      </c>
      <c r="AL53" s="116" t="n">
        <f aca="false">SUM(Actuals!$C29:INDEX(Actuals!$C29:$N29,$B$27))</f>
        <v>-133215</v>
      </c>
      <c r="AM53" s="116" t="n">
        <f aca="false">SUM(Budget!$C29:INDEX(Budget!$C29:$N29,$B$27))</f>
        <v>-90600</v>
      </c>
      <c r="AN53" s="116" t="n">
        <f aca="false">AL53-AM53</f>
        <v>-42615</v>
      </c>
      <c r="AP53" s="114" t="s">
        <v>424</v>
      </c>
    </row>
    <row r="54" customFormat="false" ht="15" hidden="false" customHeight="true" outlineLevel="1" collapsed="false">
      <c r="A54" s="109" t="s">
        <v>73</v>
      </c>
      <c r="B54" s="113" t="n">
        <f aca="false">IF(OR(1&gt;$B$27,ISBLANK(Actuals!C30)),"",Actuals!C30)</f>
        <v>-1988</v>
      </c>
      <c r="C54" s="113" t="n">
        <f aca="false">Budget!C30</f>
        <v>-2800</v>
      </c>
      <c r="D54" s="113" t="n">
        <f aca="false">IF(B54="","",B54-C54)</f>
        <v>812</v>
      </c>
      <c r="E54" s="113" t="n">
        <f aca="false">IF(OR(2&gt;$B$27,ISBLANK(Actuals!D30)),"",Actuals!D30)</f>
        <v>-955.32</v>
      </c>
      <c r="F54" s="113" t="n">
        <f aca="false">Budget!D30</f>
        <v>-2800</v>
      </c>
      <c r="G54" s="113" t="n">
        <f aca="false">IF(E54="","",E54-F54)</f>
        <v>1844.68</v>
      </c>
      <c r="H54" s="113" t="n">
        <f aca="false">IF(OR(3&gt;$B$27,ISBLANK(Actuals!E30)),"",Actuals!E30)</f>
        <v>-9130.61</v>
      </c>
      <c r="I54" s="113" t="n">
        <f aca="false">Budget!E30</f>
        <v>-2800</v>
      </c>
      <c r="J54" s="113" t="n">
        <f aca="false">IF(H54="","",H54-I54)</f>
        <v>-6330.61</v>
      </c>
      <c r="K54" s="113" t="n">
        <f aca="false">IF(OR(4&gt;$B$27,ISBLANK(Actuals!F30)),"",Actuals!F30)</f>
        <v>-1028.89</v>
      </c>
      <c r="L54" s="113" t="n">
        <f aca="false">Budget!F30</f>
        <v>-2800</v>
      </c>
      <c r="M54" s="113" t="n">
        <f aca="false">IF(K54="","",K54-L54)</f>
        <v>1771.11</v>
      </c>
      <c r="N54" s="113" t="n">
        <f aca="false">IF(OR(5&gt;$B$27,ISBLANK(Actuals!G30)),"",Actuals!G30)</f>
        <v>-7005.14</v>
      </c>
      <c r="O54" s="113" t="n">
        <f aca="false">Budget!G30</f>
        <v>-2800</v>
      </c>
      <c r="P54" s="113" t="n">
        <f aca="false">IF(N54="","",N54-O54)</f>
        <v>-4205.14</v>
      </c>
      <c r="Q54" s="113" t="n">
        <f aca="false">IF(OR(6&gt;$B$27,ISBLANK(Actuals!H30)),"",Actuals!H30)</f>
        <v>-4121.06</v>
      </c>
      <c r="R54" s="113" t="n">
        <f aca="false">Budget!H30</f>
        <v>-2800</v>
      </c>
      <c r="S54" s="113" t="n">
        <f aca="false">IF(Q54="","",Q54-R54)</f>
        <v>-1321.06</v>
      </c>
      <c r="T54" s="113" t="n">
        <f aca="false">IF(OR(7&gt;$B$27,ISBLANK(Actuals!I30)),"",Actuals!I30)</f>
        <v>-2683.91</v>
      </c>
      <c r="U54" s="113" t="n">
        <f aca="false">Budget!I30</f>
        <v>-2856</v>
      </c>
      <c r="V54" s="113" t="n">
        <f aca="false">IF(T54="","",T54-U54)</f>
        <v>172.09</v>
      </c>
      <c r="W54" s="113" t="n">
        <f aca="false">IF(OR(8&gt;$B$27,ISBLANK(Actuals!J30)),"",Actuals!J30)</f>
        <v>-17047.56</v>
      </c>
      <c r="X54" s="113" t="n">
        <f aca="false">Budget!J30</f>
        <v>-2856</v>
      </c>
      <c r="Y54" s="113" t="n">
        <f aca="false">IF(W54="","",W54-X54)</f>
        <v>-14191.56</v>
      </c>
      <c r="Z54" s="113" t="n">
        <f aca="false">IF(OR(9&gt;$B$27,ISBLANK(Actuals!K30)),"",Actuals!K30)</f>
        <v>-145.69</v>
      </c>
      <c r="AA54" s="113" t="n">
        <f aca="false">Budget!K30</f>
        <v>-2856</v>
      </c>
      <c r="AB54" s="113" t="n">
        <f aca="false">IF(Z54="","",Z54-AA54)</f>
        <v>2710.31</v>
      </c>
      <c r="AC54" s="113" t="str">
        <f aca="false">IF(OR(10&gt;$B$27,ISBLANK(Actuals!L30)),"",Actuals!L30)</f>
        <v/>
      </c>
      <c r="AD54" s="113" t="n">
        <f aca="false">Budget!L30</f>
        <v>-2856</v>
      </c>
      <c r="AE54" s="113" t="str">
        <f aca="false">IF(AC54="","",AC54-AD54)</f>
        <v/>
      </c>
      <c r="AF54" s="113" t="str">
        <f aca="false">IF(OR(11&gt;$B$27,ISBLANK(Actuals!M30)),"",Actuals!M30)</f>
        <v/>
      </c>
      <c r="AG54" s="113" t="n">
        <f aca="false">Budget!M30</f>
        <v>-2856</v>
      </c>
      <c r="AH54" s="113" t="str">
        <f aca="false">IF(AF54="","",AF54-AG54)</f>
        <v/>
      </c>
      <c r="AI54" s="113" t="str">
        <f aca="false">IF(OR(12&gt;$B$27,ISBLANK(Actuals!N30)),"",Actuals!N30)</f>
        <v/>
      </c>
      <c r="AJ54" s="113" t="n">
        <f aca="false">Budget!N30</f>
        <v>-2856</v>
      </c>
      <c r="AK54" s="113" t="str">
        <f aca="false">IF(AI54="","",AI54-AJ54)</f>
        <v/>
      </c>
      <c r="AL54" s="116" t="n">
        <f aca="false">SUM(Actuals!$C30:INDEX(Actuals!$C30:$N30,$B$27))</f>
        <v>-44106.18</v>
      </c>
      <c r="AM54" s="116" t="n">
        <f aca="false">SUM(Budget!$C30:INDEX(Budget!$C30:$N30,$B$27))</f>
        <v>-25368</v>
      </c>
      <c r="AN54" s="116" t="n">
        <f aca="false">AL54-AM54</f>
        <v>-18738.18</v>
      </c>
      <c r="AP54" s="114" t="s">
        <v>425</v>
      </c>
    </row>
    <row r="55" customFormat="false" ht="15" hidden="false" customHeight="true" outlineLevel="1" collapsed="false">
      <c r="A55" s="109" t="s">
        <v>74</v>
      </c>
      <c r="B55" s="113" t="n">
        <f aca="false">IF(OR(1&gt;$B$27,ISBLANK(Actuals!C31)),"",Actuals!C31)</f>
        <v>0</v>
      </c>
      <c r="C55" s="113" t="n">
        <f aca="false">Budget!C31</f>
        <v>0</v>
      </c>
      <c r="D55" s="113" t="n">
        <f aca="false">IF(B55="","",B55-C55)</f>
        <v>0</v>
      </c>
      <c r="E55" s="113" t="n">
        <f aca="false">IF(OR(2&gt;$B$27,ISBLANK(Actuals!D31)),"",Actuals!D31)</f>
        <v>0</v>
      </c>
      <c r="F55" s="113" t="n">
        <f aca="false">Budget!D31</f>
        <v>0</v>
      </c>
      <c r="G55" s="113" t="n">
        <f aca="false">IF(E55="","",E55-F55)</f>
        <v>0</v>
      </c>
      <c r="H55" s="113" t="n">
        <f aca="false">IF(OR(3&gt;$B$27,ISBLANK(Actuals!E31)),"",Actuals!E31)</f>
        <v>-1077.38</v>
      </c>
      <c r="I55" s="113" t="n">
        <f aca="false">Budget!E31</f>
        <v>0</v>
      </c>
      <c r="J55" s="113" t="n">
        <f aca="false">IF(H55="","",H55-I55)</f>
        <v>-1077.38</v>
      </c>
      <c r="K55" s="113" t="n">
        <f aca="false">IF(OR(4&gt;$B$27,ISBLANK(Actuals!F31)),"",Actuals!F31)</f>
        <v>-211.28</v>
      </c>
      <c r="L55" s="113" t="n">
        <f aca="false">Budget!F31</f>
        <v>0</v>
      </c>
      <c r="M55" s="113" t="n">
        <f aca="false">IF(K55="","",K55-L55)</f>
        <v>-211.28</v>
      </c>
      <c r="N55" s="113" t="n">
        <f aca="false">IF(OR(5&gt;$B$27,ISBLANK(Actuals!G31)),"",Actuals!G31)</f>
        <v>-1254.17</v>
      </c>
      <c r="O55" s="113" t="n">
        <f aca="false">Budget!G31</f>
        <v>0</v>
      </c>
      <c r="P55" s="113" t="n">
        <f aca="false">IF(N55="","",N55-O55)</f>
        <v>-1254.17</v>
      </c>
      <c r="Q55" s="113" t="n">
        <f aca="false">IF(OR(6&gt;$B$27,ISBLANK(Actuals!H31)),"",Actuals!H31)</f>
        <v>0</v>
      </c>
      <c r="R55" s="113" t="n">
        <f aca="false">Budget!H31</f>
        <v>0</v>
      </c>
      <c r="S55" s="113" t="n">
        <f aca="false">IF(Q55="","",Q55-R55)</f>
        <v>0</v>
      </c>
      <c r="T55" s="113" t="n">
        <f aca="false">IF(OR(7&gt;$B$27,ISBLANK(Actuals!I31)),"",Actuals!I31)</f>
        <v>-169.62</v>
      </c>
      <c r="U55" s="113" t="n">
        <f aca="false">Budget!I31</f>
        <v>0</v>
      </c>
      <c r="V55" s="113" t="n">
        <f aca="false">IF(T55="","",T55-U55)</f>
        <v>-169.62</v>
      </c>
      <c r="W55" s="113" t="n">
        <f aca="false">IF(OR(8&gt;$B$27,ISBLANK(Actuals!J31)),"",Actuals!J31)</f>
        <v>-2331.88</v>
      </c>
      <c r="X55" s="113" t="n">
        <f aca="false">Budget!J31</f>
        <v>0</v>
      </c>
      <c r="Y55" s="113" t="n">
        <f aca="false">IF(W55="","",W55-X55)</f>
        <v>-2331.88</v>
      </c>
      <c r="Z55" s="113" t="n">
        <f aca="false">IF(OR(9&gt;$B$27,ISBLANK(Actuals!K31)),"",Actuals!K31)</f>
        <v>-1797.24</v>
      </c>
      <c r="AA55" s="113" t="n">
        <f aca="false">Budget!K31</f>
        <v>0</v>
      </c>
      <c r="AB55" s="113" t="n">
        <f aca="false">IF(Z55="","",Z55-AA55)</f>
        <v>-1797.24</v>
      </c>
      <c r="AC55" s="113" t="str">
        <f aca="false">IF(OR(10&gt;$B$27,ISBLANK(Actuals!L31)),"",Actuals!L31)</f>
        <v/>
      </c>
      <c r="AD55" s="113" t="n">
        <f aca="false">Budget!L31</f>
        <v>0</v>
      </c>
      <c r="AE55" s="113" t="str">
        <f aca="false">IF(AC55="","",AC55-AD55)</f>
        <v/>
      </c>
      <c r="AF55" s="113" t="str">
        <f aca="false">IF(OR(11&gt;$B$27,ISBLANK(Actuals!M31)),"",Actuals!M31)</f>
        <v/>
      </c>
      <c r="AG55" s="113" t="n">
        <f aca="false">Budget!M31</f>
        <v>0</v>
      </c>
      <c r="AH55" s="113" t="str">
        <f aca="false">IF(AF55="","",AF55-AG55)</f>
        <v/>
      </c>
      <c r="AI55" s="113" t="str">
        <f aca="false">IF(OR(12&gt;$B$27,ISBLANK(Actuals!N31)),"",Actuals!N31)</f>
        <v/>
      </c>
      <c r="AJ55" s="113" t="n">
        <f aca="false">Budget!N31</f>
        <v>0</v>
      </c>
      <c r="AK55" s="113" t="str">
        <f aca="false">IF(AI55="","",AI55-AJ55)</f>
        <v/>
      </c>
      <c r="AL55" s="116" t="n">
        <f aca="false">SUM(Actuals!$C31:INDEX(Actuals!$C31:$N31,$B$27))</f>
        <v>-6841.57</v>
      </c>
      <c r="AM55" s="116" t="n">
        <f aca="false">SUM(Budget!$C31:INDEX(Budget!$C31:$N31,$B$27))</f>
        <v>0</v>
      </c>
      <c r="AN55" s="116" t="n">
        <f aca="false">AL55-AM55</f>
        <v>-6841.57</v>
      </c>
    </row>
    <row r="56" customFormat="false" ht="15" hidden="false" customHeight="true" outlineLevel="1" collapsed="false">
      <c r="A56" s="109" t="s">
        <v>75</v>
      </c>
      <c r="B56" s="113" t="n">
        <f aca="false">IF(OR(1&gt;$B$27,ISBLANK(Actuals!C32)),"",Actuals!C32)</f>
        <v>-79</v>
      </c>
      <c r="C56" s="113" t="n">
        <f aca="false">Budget!C32</f>
        <v>-3300</v>
      </c>
      <c r="D56" s="113" t="n">
        <f aca="false">IF(B56="","",B56-C56)</f>
        <v>3221</v>
      </c>
      <c r="E56" s="113" t="n">
        <f aca="false">IF(OR(2&gt;$B$27,ISBLANK(Actuals!D32)),"",Actuals!D32)</f>
        <v>0</v>
      </c>
      <c r="F56" s="113" t="n">
        <f aca="false">Budget!D32</f>
        <v>-3300</v>
      </c>
      <c r="G56" s="113" t="n">
        <f aca="false">IF(E56="","",E56-F56)</f>
        <v>3300</v>
      </c>
      <c r="H56" s="113" t="n">
        <f aca="false">IF(OR(3&gt;$B$27,ISBLANK(Actuals!E32)),"",Actuals!E32)</f>
        <v>0</v>
      </c>
      <c r="I56" s="113" t="n">
        <f aca="false">Budget!E32</f>
        <v>-3300</v>
      </c>
      <c r="J56" s="113" t="n">
        <f aca="false">IF(H56="","",H56-I56)</f>
        <v>3300</v>
      </c>
      <c r="K56" s="113" t="n">
        <f aca="false">IF(OR(4&gt;$B$27,ISBLANK(Actuals!F32)),"",Actuals!F32)</f>
        <v>0</v>
      </c>
      <c r="L56" s="113" t="n">
        <f aca="false">Budget!F32</f>
        <v>-3300</v>
      </c>
      <c r="M56" s="113" t="n">
        <f aca="false">IF(K56="","",K56-L56)</f>
        <v>3300</v>
      </c>
      <c r="N56" s="113" t="n">
        <f aca="false">IF(OR(5&gt;$B$27,ISBLANK(Actuals!G32)),"",Actuals!G32)</f>
        <v>0</v>
      </c>
      <c r="O56" s="113" t="n">
        <f aca="false">Budget!G32</f>
        <v>-3300</v>
      </c>
      <c r="P56" s="113" t="n">
        <f aca="false">IF(N56="","",N56-O56)</f>
        <v>3300</v>
      </c>
      <c r="Q56" s="113" t="n">
        <f aca="false">IF(OR(6&gt;$B$27,ISBLANK(Actuals!H32)),"",Actuals!H32)</f>
        <v>0</v>
      </c>
      <c r="R56" s="113" t="n">
        <f aca="false">Budget!H32</f>
        <v>-3300</v>
      </c>
      <c r="S56" s="113" t="n">
        <f aca="false">IF(Q56="","",Q56-R56)</f>
        <v>3300</v>
      </c>
      <c r="T56" s="113" t="n">
        <f aca="false">IF(OR(7&gt;$B$27,ISBLANK(Actuals!I32)),"",Actuals!I32)</f>
        <v>0</v>
      </c>
      <c r="U56" s="113" t="n">
        <f aca="false">Budget!I32</f>
        <v>-3366</v>
      </c>
      <c r="V56" s="113" t="n">
        <f aca="false">IF(T56="","",T56-U56)</f>
        <v>3366</v>
      </c>
      <c r="W56" s="113" t="n">
        <f aca="false">IF(OR(8&gt;$B$27,ISBLANK(Actuals!J32)),"",Actuals!J32)</f>
        <v>-89</v>
      </c>
      <c r="X56" s="113" t="n">
        <f aca="false">Budget!J32</f>
        <v>-3366</v>
      </c>
      <c r="Y56" s="113" t="n">
        <f aca="false">IF(W56="","",W56-X56)</f>
        <v>3277</v>
      </c>
      <c r="Z56" s="113" t="n">
        <f aca="false">IF(OR(9&gt;$B$27,ISBLANK(Actuals!K32)),"",Actuals!K32)</f>
        <v>0</v>
      </c>
      <c r="AA56" s="113" t="n">
        <f aca="false">Budget!K32</f>
        <v>-3366</v>
      </c>
      <c r="AB56" s="113" t="n">
        <f aca="false">IF(Z56="","",Z56-AA56)</f>
        <v>3366</v>
      </c>
      <c r="AC56" s="113" t="str">
        <f aca="false">IF(OR(10&gt;$B$27,ISBLANK(Actuals!L32)),"",Actuals!L32)</f>
        <v/>
      </c>
      <c r="AD56" s="113" t="n">
        <f aca="false">Budget!L32</f>
        <v>-3366</v>
      </c>
      <c r="AE56" s="113" t="str">
        <f aca="false">IF(AC56="","",AC56-AD56)</f>
        <v/>
      </c>
      <c r="AF56" s="113" t="str">
        <f aca="false">IF(OR(11&gt;$B$27,ISBLANK(Actuals!M32)),"",Actuals!M32)</f>
        <v/>
      </c>
      <c r="AG56" s="113" t="n">
        <f aca="false">Budget!M32</f>
        <v>-3366</v>
      </c>
      <c r="AH56" s="113" t="str">
        <f aca="false">IF(AF56="","",AF56-AG56)</f>
        <v/>
      </c>
      <c r="AI56" s="113" t="str">
        <f aca="false">IF(OR(12&gt;$B$27,ISBLANK(Actuals!N32)),"",Actuals!N32)</f>
        <v/>
      </c>
      <c r="AJ56" s="113" t="n">
        <f aca="false">Budget!N32</f>
        <v>-3366</v>
      </c>
      <c r="AK56" s="113" t="str">
        <f aca="false">IF(AI56="","",AI56-AJ56)</f>
        <v/>
      </c>
      <c r="AL56" s="116" t="n">
        <f aca="false">SUM(Actuals!$C32:INDEX(Actuals!$C32:$N32,$B$27))</f>
        <v>-168</v>
      </c>
      <c r="AM56" s="116" t="n">
        <f aca="false">SUM(Budget!$C32:INDEX(Budget!$C32:$N32,$B$27))</f>
        <v>-29898</v>
      </c>
      <c r="AN56" s="116" t="n">
        <f aca="false">AL56-AM56</f>
        <v>29730</v>
      </c>
      <c r="AP56" s="114" t="s">
        <v>426</v>
      </c>
    </row>
    <row r="57" customFormat="false" ht="15" hidden="false" customHeight="true" outlineLevel="1" collapsed="false">
      <c r="A57" s="109" t="s">
        <v>124</v>
      </c>
      <c r="B57" s="113" t="n">
        <f aca="false">IF(OR(1&gt;$B$27,ISBLANK(Actuals!C33)),"",Actuals!C33)</f>
        <v>-3405.64</v>
      </c>
      <c r="C57" s="113" t="n">
        <f aca="false">Budget!C33</f>
        <v>0</v>
      </c>
      <c r="D57" s="113" t="n">
        <f aca="false">IF(B57="","",B57-C57)</f>
        <v>-3405.64</v>
      </c>
      <c r="E57" s="113" t="n">
        <f aca="false">IF(OR(2&gt;$B$27,ISBLANK(Actuals!D33)),"",Actuals!D33)</f>
        <v>-5015.38</v>
      </c>
      <c r="F57" s="113" t="n">
        <f aca="false">Budget!D33</f>
        <v>0</v>
      </c>
      <c r="G57" s="113" t="n">
        <f aca="false">IF(E57="","",E57-F57)</f>
        <v>-5015.38</v>
      </c>
      <c r="H57" s="113" t="n">
        <f aca="false">IF(OR(3&gt;$B$27,ISBLANK(Actuals!E33)),"",Actuals!E33)</f>
        <v>-7481.39</v>
      </c>
      <c r="I57" s="113" t="n">
        <f aca="false">Budget!E33</f>
        <v>0</v>
      </c>
      <c r="J57" s="113" t="n">
        <f aca="false">IF(H57="","",H57-I57)</f>
        <v>-7481.39</v>
      </c>
      <c r="K57" s="113" t="n">
        <f aca="false">IF(OR(4&gt;$B$27,ISBLANK(Actuals!F33)),"",Actuals!F33)</f>
        <v>-5111.12</v>
      </c>
      <c r="L57" s="113" t="n">
        <f aca="false">Budget!F33</f>
        <v>0</v>
      </c>
      <c r="M57" s="113" t="n">
        <f aca="false">IF(K57="","",K57-L57)</f>
        <v>-5111.12</v>
      </c>
      <c r="N57" s="113" t="n">
        <f aca="false">IF(OR(5&gt;$B$27,ISBLANK(Actuals!G33)),"",Actuals!G33)</f>
        <v>-4038.48</v>
      </c>
      <c r="O57" s="113" t="n">
        <f aca="false">Budget!G33</f>
        <v>0</v>
      </c>
      <c r="P57" s="113" t="n">
        <f aca="false">IF(N57="","",N57-O57)</f>
        <v>-4038.48</v>
      </c>
      <c r="Q57" s="113" t="n">
        <f aca="false">IF(OR(6&gt;$B$27,ISBLANK(Actuals!H33)),"",Actuals!H33)</f>
        <v>-6114.98</v>
      </c>
      <c r="R57" s="113" t="n">
        <f aca="false">Budget!H33</f>
        <v>0</v>
      </c>
      <c r="S57" s="113" t="n">
        <f aca="false">IF(Q57="","",Q57-R57)</f>
        <v>-6114.98</v>
      </c>
      <c r="T57" s="113" t="n">
        <f aca="false">IF(OR(7&gt;$B$27,ISBLANK(Actuals!I33)),"",Actuals!I33)</f>
        <v>-12545.93</v>
      </c>
      <c r="U57" s="113" t="n">
        <f aca="false">Budget!I33</f>
        <v>0</v>
      </c>
      <c r="V57" s="113" t="n">
        <f aca="false">IF(T57="","",T57-U57)</f>
        <v>-12545.93</v>
      </c>
      <c r="W57" s="113" t="n">
        <f aca="false">IF(OR(8&gt;$B$27,ISBLANK(Actuals!J33)),"",Actuals!J33)</f>
        <v>-5885.72</v>
      </c>
      <c r="X57" s="113" t="n">
        <f aca="false">Budget!J33</f>
        <v>0</v>
      </c>
      <c r="Y57" s="113" t="n">
        <f aca="false">IF(W57="","",W57-X57)</f>
        <v>-5885.72</v>
      </c>
      <c r="Z57" s="113" t="n">
        <f aca="false">IF(OR(9&gt;$B$27,ISBLANK(Actuals!K33)),"",Actuals!K33)</f>
        <v>-4679.53</v>
      </c>
      <c r="AA57" s="113" t="n">
        <f aca="false">Budget!K33</f>
        <v>0</v>
      </c>
      <c r="AB57" s="113" t="n">
        <f aca="false">IF(Z57="","",Z57-AA57)</f>
        <v>-4679.53</v>
      </c>
      <c r="AC57" s="113" t="str">
        <f aca="false">IF(OR(10&gt;$B$27,ISBLANK(Actuals!L33)),"",Actuals!L33)</f>
        <v/>
      </c>
      <c r="AD57" s="113" t="n">
        <f aca="false">Budget!L33</f>
        <v>0</v>
      </c>
      <c r="AE57" s="113" t="str">
        <f aca="false">IF(AC57="","",AC57-AD57)</f>
        <v/>
      </c>
      <c r="AF57" s="113" t="str">
        <f aca="false">IF(OR(11&gt;$B$27,ISBLANK(Actuals!M33)),"",Actuals!M33)</f>
        <v/>
      </c>
      <c r="AG57" s="113" t="n">
        <f aca="false">Budget!M33</f>
        <v>0</v>
      </c>
      <c r="AH57" s="113" t="str">
        <f aca="false">IF(AF57="","",AF57-AG57)</f>
        <v/>
      </c>
      <c r="AI57" s="113" t="str">
        <f aca="false">IF(OR(12&gt;$B$27,ISBLANK(Actuals!N33)),"",Actuals!N33)</f>
        <v/>
      </c>
      <c r="AJ57" s="113" t="n">
        <f aca="false">Budget!N33</f>
        <v>0</v>
      </c>
      <c r="AK57" s="113" t="str">
        <f aca="false">IF(AI57="","",AI57-AJ57)</f>
        <v/>
      </c>
      <c r="AL57" s="116" t="n">
        <f aca="false">SUM(Actuals!$C33:INDEX(Actuals!$C33:$N33,$B$27))</f>
        <v>-54278.17</v>
      </c>
      <c r="AM57" s="116" t="n">
        <f aca="false">SUM(Budget!$C33:INDEX(Budget!$C33:$N33,$B$27))</f>
        <v>0</v>
      </c>
      <c r="AN57" s="116" t="n">
        <f aca="false">AL57-AM57</f>
        <v>-54278.17</v>
      </c>
      <c r="AP57" s="114" t="s">
        <v>427</v>
      </c>
    </row>
    <row r="58" customFormat="false" ht="15" hidden="false" customHeight="true" outlineLevel="1" collapsed="false">
      <c r="A58" s="109" t="s">
        <v>77</v>
      </c>
      <c r="B58" s="113" t="n">
        <f aca="false">IF(OR(1&gt;$B$27,ISBLANK(Actuals!C34)),"",Actuals!C34)</f>
        <v>0</v>
      </c>
      <c r="C58" s="113" t="n">
        <f aca="false">Budget!C34</f>
        <v>-300</v>
      </c>
      <c r="D58" s="113" t="n">
        <f aca="false">IF(B58="","",B58-C58)</f>
        <v>300</v>
      </c>
      <c r="E58" s="113" t="n">
        <f aca="false">IF(OR(2&gt;$B$27,ISBLANK(Actuals!D34)),"",Actuals!D34)</f>
        <v>-1766.48</v>
      </c>
      <c r="F58" s="113" t="n">
        <f aca="false">Budget!D34</f>
        <v>-300</v>
      </c>
      <c r="G58" s="113" t="n">
        <f aca="false">IF(E58="","",E58-F58)</f>
        <v>-1466.48</v>
      </c>
      <c r="H58" s="113" t="n">
        <f aca="false">IF(OR(3&gt;$B$27,ISBLANK(Actuals!E34)),"",Actuals!E34)</f>
        <v>-441.62</v>
      </c>
      <c r="I58" s="113" t="n">
        <f aca="false">Budget!E34</f>
        <v>-300</v>
      </c>
      <c r="J58" s="113" t="n">
        <f aca="false">IF(H58="","",H58-I58)</f>
        <v>-141.62</v>
      </c>
      <c r="K58" s="113" t="n">
        <f aca="false">IF(OR(4&gt;$B$27,ISBLANK(Actuals!F34)),"",Actuals!F34)</f>
        <v>-441.62</v>
      </c>
      <c r="L58" s="113" t="n">
        <f aca="false">Budget!F34</f>
        <v>-300</v>
      </c>
      <c r="M58" s="113" t="n">
        <f aca="false">IF(K58="","",K58-L58)</f>
        <v>-141.62</v>
      </c>
      <c r="N58" s="113" t="n">
        <f aca="false">IF(OR(5&gt;$B$27,ISBLANK(Actuals!G34)),"",Actuals!G34)</f>
        <v>-578.62</v>
      </c>
      <c r="O58" s="113" t="n">
        <f aca="false">Budget!G34</f>
        <v>-300</v>
      </c>
      <c r="P58" s="113" t="n">
        <f aca="false">IF(N58="","",N58-O58)</f>
        <v>-278.62</v>
      </c>
      <c r="Q58" s="113" t="n">
        <f aca="false">IF(OR(6&gt;$B$27,ISBLANK(Actuals!H34)),"",Actuals!H34)</f>
        <v>-491.62</v>
      </c>
      <c r="R58" s="113" t="n">
        <f aca="false">Budget!H34</f>
        <v>-300</v>
      </c>
      <c r="S58" s="113" t="n">
        <f aca="false">IF(Q58="","",Q58-R58)</f>
        <v>-191.62</v>
      </c>
      <c r="T58" s="113" t="n">
        <f aca="false">IF(OR(7&gt;$B$27,ISBLANK(Actuals!I34)),"",Actuals!I34)</f>
        <v>-491.62</v>
      </c>
      <c r="U58" s="113" t="n">
        <f aca="false">Budget!I34</f>
        <v>-306</v>
      </c>
      <c r="V58" s="113" t="n">
        <f aca="false">IF(T58="","",T58-U58)</f>
        <v>-185.62</v>
      </c>
      <c r="W58" s="113" t="n">
        <f aca="false">IF(OR(8&gt;$B$27,ISBLANK(Actuals!J34)),"",Actuals!J34)</f>
        <v>-491.62</v>
      </c>
      <c r="X58" s="113" t="n">
        <f aca="false">Budget!J34</f>
        <v>-306</v>
      </c>
      <c r="Y58" s="113" t="n">
        <f aca="false">IF(W58="","",W58-X58)</f>
        <v>-185.62</v>
      </c>
      <c r="Z58" s="113" t="n">
        <f aca="false">IF(OR(9&gt;$B$27,ISBLANK(Actuals!K34)),"",Actuals!K34)</f>
        <v>-1456.28</v>
      </c>
      <c r="AA58" s="113" t="n">
        <f aca="false">Budget!K34</f>
        <v>-306</v>
      </c>
      <c r="AB58" s="113" t="n">
        <f aca="false">IF(Z58="","",Z58-AA58)</f>
        <v>-1150.28</v>
      </c>
      <c r="AC58" s="113" t="str">
        <f aca="false">IF(OR(10&gt;$B$27,ISBLANK(Actuals!L34)),"",Actuals!L34)</f>
        <v/>
      </c>
      <c r="AD58" s="113" t="n">
        <f aca="false">Budget!L34</f>
        <v>-306</v>
      </c>
      <c r="AE58" s="113" t="str">
        <f aca="false">IF(AC58="","",AC58-AD58)</f>
        <v/>
      </c>
      <c r="AF58" s="113" t="str">
        <f aca="false">IF(OR(11&gt;$B$27,ISBLANK(Actuals!M34)),"",Actuals!M34)</f>
        <v/>
      </c>
      <c r="AG58" s="113" t="n">
        <f aca="false">Budget!M34</f>
        <v>-306</v>
      </c>
      <c r="AH58" s="113" t="str">
        <f aca="false">IF(AF58="","",AF58-AG58)</f>
        <v/>
      </c>
      <c r="AI58" s="113" t="str">
        <f aca="false">IF(OR(12&gt;$B$27,ISBLANK(Actuals!N34)),"",Actuals!N34)</f>
        <v/>
      </c>
      <c r="AJ58" s="113" t="n">
        <f aca="false">Budget!N34</f>
        <v>-306</v>
      </c>
      <c r="AK58" s="113" t="str">
        <f aca="false">IF(AI58="","",AI58-AJ58)</f>
        <v/>
      </c>
      <c r="AL58" s="116" t="n">
        <f aca="false">SUM(Actuals!$C34:INDEX(Actuals!$C34:$N34,$B$27))</f>
        <v>-6159.48</v>
      </c>
      <c r="AM58" s="116" t="n">
        <f aca="false">SUM(Budget!$C34:INDEX(Budget!$C34:$N34,$B$27))</f>
        <v>-2718</v>
      </c>
      <c r="AN58" s="116" t="n">
        <f aca="false">AL58-AM58</f>
        <v>-3441.48</v>
      </c>
    </row>
    <row r="59" customFormat="false" ht="15" hidden="false" customHeight="true" outlineLevel="1" collapsed="false">
      <c r="A59" s="109" t="s">
        <v>78</v>
      </c>
      <c r="B59" s="113" t="n">
        <f aca="false">IF(OR(1&gt;$B$27,ISBLANK(Actuals!C35)),"",Actuals!C35)</f>
        <v>-681.77</v>
      </c>
      <c r="C59" s="113" t="n">
        <f aca="false">Budget!C35</f>
        <v>-1500</v>
      </c>
      <c r="D59" s="113" t="n">
        <f aca="false">IF(B59="","",B59-C59)</f>
        <v>818.23</v>
      </c>
      <c r="E59" s="113" t="n">
        <f aca="false">IF(OR(2&gt;$B$27,ISBLANK(Actuals!D35)),"",Actuals!D35)</f>
        <v>-600.14</v>
      </c>
      <c r="F59" s="113" t="n">
        <f aca="false">Budget!D35</f>
        <v>-1500</v>
      </c>
      <c r="G59" s="113" t="n">
        <f aca="false">IF(E59="","",E59-F59)</f>
        <v>899.86</v>
      </c>
      <c r="H59" s="113" t="n">
        <f aca="false">IF(OR(3&gt;$B$27,ISBLANK(Actuals!E35)),"",Actuals!E35)</f>
        <v>-2121.95</v>
      </c>
      <c r="I59" s="113" t="n">
        <f aca="false">Budget!E35</f>
        <v>-1500</v>
      </c>
      <c r="J59" s="113" t="n">
        <f aca="false">IF(H59="","",H59-I59)</f>
        <v>-621.95</v>
      </c>
      <c r="K59" s="113" t="n">
        <f aca="false">IF(OR(4&gt;$B$27,ISBLANK(Actuals!F35)),"",Actuals!F35)</f>
        <v>-840.49</v>
      </c>
      <c r="L59" s="113" t="n">
        <f aca="false">Budget!F35</f>
        <v>-1500</v>
      </c>
      <c r="M59" s="113" t="n">
        <f aca="false">IF(K59="","",K59-L59)</f>
        <v>659.51</v>
      </c>
      <c r="N59" s="113" t="n">
        <f aca="false">IF(OR(5&gt;$B$27,ISBLANK(Actuals!G35)),"",Actuals!G35)</f>
        <v>-847.85</v>
      </c>
      <c r="O59" s="113" t="n">
        <f aca="false">Budget!G35</f>
        <v>-1500</v>
      </c>
      <c r="P59" s="113" t="n">
        <f aca="false">IF(N59="","",N59-O59)</f>
        <v>652.15</v>
      </c>
      <c r="Q59" s="113" t="n">
        <f aca="false">IF(OR(6&gt;$B$27,ISBLANK(Actuals!H35)),"",Actuals!H35)</f>
        <v>-486.63</v>
      </c>
      <c r="R59" s="113" t="n">
        <f aca="false">Budget!H35</f>
        <v>-1500</v>
      </c>
      <c r="S59" s="113" t="n">
        <f aca="false">IF(Q59="","",Q59-R59)</f>
        <v>1013.37</v>
      </c>
      <c r="T59" s="113" t="n">
        <f aca="false">IF(OR(7&gt;$B$27,ISBLANK(Actuals!I35)),"",Actuals!I35)</f>
        <v>-871.37</v>
      </c>
      <c r="U59" s="113" t="n">
        <f aca="false">Budget!I35</f>
        <v>-1530</v>
      </c>
      <c r="V59" s="113" t="n">
        <f aca="false">IF(T59="","",T59-U59)</f>
        <v>658.63</v>
      </c>
      <c r="W59" s="113" t="n">
        <f aca="false">IF(OR(8&gt;$B$27,ISBLANK(Actuals!J35)),"",Actuals!J35)</f>
        <v>-1025.7</v>
      </c>
      <c r="X59" s="113" t="n">
        <f aca="false">Budget!J35</f>
        <v>-1530</v>
      </c>
      <c r="Y59" s="113" t="n">
        <f aca="false">IF(W59="","",W59-X59)</f>
        <v>504.3</v>
      </c>
      <c r="Z59" s="113" t="n">
        <f aca="false">IF(OR(9&gt;$B$27,ISBLANK(Actuals!K35)),"",Actuals!K35)</f>
        <v>0</v>
      </c>
      <c r="AA59" s="113" t="n">
        <f aca="false">Budget!K35</f>
        <v>-1530</v>
      </c>
      <c r="AB59" s="113" t="n">
        <f aca="false">IF(Z59="","",Z59-AA59)</f>
        <v>1530</v>
      </c>
      <c r="AC59" s="113" t="str">
        <f aca="false">IF(OR(10&gt;$B$27,ISBLANK(Actuals!L35)),"",Actuals!L35)</f>
        <v/>
      </c>
      <c r="AD59" s="113" t="n">
        <f aca="false">Budget!L35</f>
        <v>-1530</v>
      </c>
      <c r="AE59" s="113" t="str">
        <f aca="false">IF(AC59="","",AC59-AD59)</f>
        <v/>
      </c>
      <c r="AF59" s="113" t="str">
        <f aca="false">IF(OR(11&gt;$B$27,ISBLANK(Actuals!M35)),"",Actuals!M35)</f>
        <v/>
      </c>
      <c r="AG59" s="113" t="n">
        <f aca="false">Budget!M35</f>
        <v>-1530</v>
      </c>
      <c r="AH59" s="113" t="str">
        <f aca="false">IF(AF59="","",AF59-AG59)</f>
        <v/>
      </c>
      <c r="AI59" s="113" t="str">
        <f aca="false">IF(OR(12&gt;$B$27,ISBLANK(Actuals!N35)),"",Actuals!N35)</f>
        <v/>
      </c>
      <c r="AJ59" s="113" t="n">
        <f aca="false">Budget!N35</f>
        <v>-1530</v>
      </c>
      <c r="AK59" s="113" t="str">
        <f aca="false">IF(AI59="","",AI59-AJ59)</f>
        <v/>
      </c>
      <c r="AL59" s="116" t="n">
        <f aca="false">SUM(Actuals!$C35:INDEX(Actuals!$C35:$N35,$B$27))</f>
        <v>-7475.9</v>
      </c>
      <c r="AM59" s="116" t="n">
        <f aca="false">SUM(Budget!$C35:INDEX(Budget!$C35:$N35,$B$27))</f>
        <v>-13590</v>
      </c>
      <c r="AN59" s="116" t="n">
        <f aca="false">AL59-AM59</f>
        <v>6114.1</v>
      </c>
    </row>
    <row r="60" customFormat="false" ht="15" hidden="false" customHeight="true" outlineLevel="1" collapsed="false">
      <c r="A60" s="109" t="s">
        <v>79</v>
      </c>
      <c r="B60" s="113" t="n">
        <f aca="false">IF(OR(1&gt;$B$27,ISBLANK(Actuals!C36)),"",Actuals!C36)</f>
        <v>-2187.5</v>
      </c>
      <c r="C60" s="113" t="n">
        <f aca="false">Budget!C36</f>
        <v>-1000</v>
      </c>
      <c r="D60" s="113" t="n">
        <f aca="false">IF(B60="","",B60-C60)</f>
        <v>-1187.5</v>
      </c>
      <c r="E60" s="113" t="n">
        <f aca="false">IF(OR(2&gt;$B$27,ISBLANK(Actuals!D36)),"",Actuals!D36)</f>
        <v>0</v>
      </c>
      <c r="F60" s="113" t="n">
        <f aca="false">Budget!D36</f>
        <v>-1000</v>
      </c>
      <c r="G60" s="113" t="n">
        <f aca="false">IF(E60="","",E60-F60)</f>
        <v>1000</v>
      </c>
      <c r="H60" s="113" t="n">
        <f aca="false">IF(OR(3&gt;$B$27,ISBLANK(Actuals!E36)),"",Actuals!E36)</f>
        <v>-1625</v>
      </c>
      <c r="I60" s="113" t="n">
        <f aca="false">Budget!E36</f>
        <v>-1000</v>
      </c>
      <c r="J60" s="113" t="n">
        <f aca="false">IF(H60="","",H60-I60)</f>
        <v>-625</v>
      </c>
      <c r="K60" s="113" t="n">
        <f aca="false">IF(OR(4&gt;$B$27,ISBLANK(Actuals!F36)),"",Actuals!F36)</f>
        <v>0</v>
      </c>
      <c r="L60" s="113" t="n">
        <f aca="false">Budget!F36</f>
        <v>-1000</v>
      </c>
      <c r="M60" s="113" t="n">
        <f aca="false">IF(K60="","",K60-L60)</f>
        <v>1000</v>
      </c>
      <c r="N60" s="113" t="n">
        <f aca="false">IF(OR(5&gt;$B$27,ISBLANK(Actuals!G36)),"",Actuals!G36)</f>
        <v>0</v>
      </c>
      <c r="O60" s="113" t="n">
        <f aca="false">Budget!G36</f>
        <v>-1000</v>
      </c>
      <c r="P60" s="113" t="n">
        <f aca="false">IF(N60="","",N60-O60)</f>
        <v>1000</v>
      </c>
      <c r="Q60" s="113" t="n">
        <f aca="false">IF(OR(6&gt;$B$27,ISBLANK(Actuals!H36)),"",Actuals!H36)</f>
        <v>0</v>
      </c>
      <c r="R60" s="113" t="n">
        <f aca="false">Budget!H36</f>
        <v>-1000</v>
      </c>
      <c r="S60" s="113" t="n">
        <f aca="false">IF(Q60="","",Q60-R60)</f>
        <v>1000</v>
      </c>
      <c r="T60" s="113" t="n">
        <f aca="false">IF(OR(7&gt;$B$27,ISBLANK(Actuals!I36)),"",Actuals!I36)</f>
        <v>0</v>
      </c>
      <c r="U60" s="113" t="n">
        <f aca="false">Budget!I36</f>
        <v>-1020</v>
      </c>
      <c r="V60" s="113" t="n">
        <f aca="false">IF(T60="","",T60-U60)</f>
        <v>1020</v>
      </c>
      <c r="W60" s="113" t="n">
        <f aca="false">IF(OR(8&gt;$B$27,ISBLANK(Actuals!J36)),"",Actuals!J36)</f>
        <v>-1560</v>
      </c>
      <c r="X60" s="113" t="n">
        <f aca="false">Budget!J36</f>
        <v>-1020</v>
      </c>
      <c r="Y60" s="113" t="n">
        <f aca="false">IF(W60="","",W60-X60)</f>
        <v>-540</v>
      </c>
      <c r="Z60" s="113" t="n">
        <f aca="false">IF(OR(9&gt;$B$27,ISBLANK(Actuals!K36)),"",Actuals!K36)</f>
        <v>0</v>
      </c>
      <c r="AA60" s="113" t="n">
        <f aca="false">Budget!K36</f>
        <v>-1020</v>
      </c>
      <c r="AB60" s="113" t="n">
        <f aca="false">IF(Z60="","",Z60-AA60)</f>
        <v>1020</v>
      </c>
      <c r="AC60" s="113" t="str">
        <f aca="false">IF(OR(10&gt;$B$27,ISBLANK(Actuals!L36)),"",Actuals!L36)</f>
        <v/>
      </c>
      <c r="AD60" s="113" t="n">
        <f aca="false">Budget!L36</f>
        <v>-1020</v>
      </c>
      <c r="AE60" s="113" t="str">
        <f aca="false">IF(AC60="","",AC60-AD60)</f>
        <v/>
      </c>
      <c r="AF60" s="113" t="str">
        <f aca="false">IF(OR(11&gt;$B$27,ISBLANK(Actuals!M36)),"",Actuals!M36)</f>
        <v/>
      </c>
      <c r="AG60" s="113" t="n">
        <f aca="false">Budget!M36</f>
        <v>-1020</v>
      </c>
      <c r="AH60" s="113" t="str">
        <f aca="false">IF(AF60="","",AF60-AG60)</f>
        <v/>
      </c>
      <c r="AI60" s="113" t="str">
        <f aca="false">IF(OR(12&gt;$B$27,ISBLANK(Actuals!N36)),"",Actuals!N36)</f>
        <v/>
      </c>
      <c r="AJ60" s="113" t="n">
        <f aca="false">Budget!N36</f>
        <v>-1020</v>
      </c>
      <c r="AK60" s="113" t="str">
        <f aca="false">IF(AI60="","",AI60-AJ60)</f>
        <v/>
      </c>
      <c r="AL60" s="116" t="n">
        <f aca="false">SUM(Actuals!$C36:INDEX(Actuals!$C36:$N36,$B$27))</f>
        <v>-5372.5</v>
      </c>
      <c r="AM60" s="116" t="n">
        <f aca="false">SUM(Budget!$C36:INDEX(Budget!$C36:$N36,$B$27))</f>
        <v>-9060</v>
      </c>
      <c r="AN60" s="116" t="n">
        <f aca="false">AL60-AM60</f>
        <v>3687.5</v>
      </c>
    </row>
    <row r="61" customFormat="false" ht="15" hidden="false" customHeight="true" outlineLevel="1" collapsed="false">
      <c r="A61" s="109" t="s">
        <v>80</v>
      </c>
      <c r="B61" s="113" t="n">
        <f aca="false">IF(OR(1&gt;$B$27,ISBLANK(Actuals!C37)),"",Actuals!C37)</f>
        <v>0</v>
      </c>
      <c r="C61" s="113" t="n">
        <f aca="false">Budget!C37</f>
        <v>-1000</v>
      </c>
      <c r="D61" s="113" t="n">
        <f aca="false">IF(B61="","",B61-C61)</f>
        <v>1000</v>
      </c>
      <c r="E61" s="113" t="n">
        <f aca="false">IF(OR(2&gt;$B$27,ISBLANK(Actuals!D37)),"",Actuals!D37)</f>
        <v>-12349</v>
      </c>
      <c r="F61" s="113" t="n">
        <f aca="false">Budget!D37</f>
        <v>-1000</v>
      </c>
      <c r="G61" s="113" t="n">
        <f aca="false">IF(E61="","",E61-F61)</f>
        <v>-11349</v>
      </c>
      <c r="H61" s="113" t="n">
        <f aca="false">IF(OR(3&gt;$B$27,ISBLANK(Actuals!E37)),"",Actuals!E37)</f>
        <v>-5400</v>
      </c>
      <c r="I61" s="113" t="n">
        <f aca="false">Budget!E37</f>
        <v>-1000</v>
      </c>
      <c r="J61" s="113" t="n">
        <f aca="false">IF(H61="","",H61-I61)</f>
        <v>-4400</v>
      </c>
      <c r="K61" s="113" t="n">
        <f aca="false">IF(OR(4&gt;$B$27,ISBLANK(Actuals!F37)),"",Actuals!F37)</f>
        <v>-4377</v>
      </c>
      <c r="L61" s="113" t="n">
        <f aca="false">Budget!F37</f>
        <v>-1000</v>
      </c>
      <c r="M61" s="113" t="n">
        <f aca="false">IF(K61="","",K61-L61)</f>
        <v>-3377</v>
      </c>
      <c r="N61" s="113" t="n">
        <f aca="false">IF(OR(5&gt;$B$27,ISBLANK(Actuals!G37)),"",Actuals!G37)</f>
        <v>-11750</v>
      </c>
      <c r="O61" s="113" t="n">
        <f aca="false">Budget!G37</f>
        <v>-1000</v>
      </c>
      <c r="P61" s="113" t="n">
        <f aca="false">IF(N61="","",N61-O61)</f>
        <v>-10750</v>
      </c>
      <c r="Q61" s="113" t="n">
        <f aca="false">IF(OR(6&gt;$B$27,ISBLANK(Actuals!H37)),"",Actuals!H37)</f>
        <v>0</v>
      </c>
      <c r="R61" s="113" t="n">
        <f aca="false">Budget!H37</f>
        <v>-1000</v>
      </c>
      <c r="S61" s="113" t="n">
        <f aca="false">IF(Q61="","",Q61-R61)</f>
        <v>1000</v>
      </c>
      <c r="T61" s="113" t="n">
        <f aca="false">IF(OR(7&gt;$B$27,ISBLANK(Actuals!I37)),"",Actuals!I37)</f>
        <v>0</v>
      </c>
      <c r="U61" s="113" t="n">
        <f aca="false">Budget!I37</f>
        <v>-1020</v>
      </c>
      <c r="V61" s="113" t="n">
        <f aca="false">IF(T61="","",T61-U61)</f>
        <v>1020</v>
      </c>
      <c r="W61" s="113" t="n">
        <f aca="false">IF(OR(8&gt;$B$27,ISBLANK(Actuals!J37)),"",Actuals!J37)</f>
        <v>-26000</v>
      </c>
      <c r="X61" s="113" t="n">
        <f aca="false">Budget!J37</f>
        <v>-1020</v>
      </c>
      <c r="Y61" s="113" t="n">
        <f aca="false">IF(W61="","",W61-X61)</f>
        <v>-24980</v>
      </c>
      <c r="Z61" s="113" t="n">
        <f aca="false">IF(OR(9&gt;$B$27,ISBLANK(Actuals!K37)),"",Actuals!K37)</f>
        <v>-5250</v>
      </c>
      <c r="AA61" s="113" t="n">
        <f aca="false">Budget!K37</f>
        <v>-1020</v>
      </c>
      <c r="AB61" s="113" t="n">
        <f aca="false">IF(Z61="","",Z61-AA61)</f>
        <v>-4230</v>
      </c>
      <c r="AC61" s="113" t="str">
        <f aca="false">IF(OR(10&gt;$B$27,ISBLANK(Actuals!L37)),"",Actuals!L37)</f>
        <v/>
      </c>
      <c r="AD61" s="113" t="n">
        <f aca="false">Budget!L37</f>
        <v>-1020</v>
      </c>
      <c r="AE61" s="113" t="str">
        <f aca="false">IF(AC61="","",AC61-AD61)</f>
        <v/>
      </c>
      <c r="AF61" s="113" t="str">
        <f aca="false">IF(OR(11&gt;$B$27,ISBLANK(Actuals!M37)),"",Actuals!M37)</f>
        <v/>
      </c>
      <c r="AG61" s="113" t="n">
        <f aca="false">Budget!M37</f>
        <v>-1020</v>
      </c>
      <c r="AH61" s="113" t="str">
        <f aca="false">IF(AF61="","",AF61-AG61)</f>
        <v/>
      </c>
      <c r="AI61" s="113" t="str">
        <f aca="false">IF(OR(12&gt;$B$27,ISBLANK(Actuals!N37)),"",Actuals!N37)</f>
        <v/>
      </c>
      <c r="AJ61" s="113" t="n">
        <f aca="false">Budget!N37</f>
        <v>-1020</v>
      </c>
      <c r="AK61" s="113" t="str">
        <f aca="false">IF(AI61="","",AI61-AJ61)</f>
        <v/>
      </c>
      <c r="AL61" s="116" t="n">
        <f aca="false">SUM(Actuals!$C37:INDEX(Actuals!$C37:$N37,$B$27))</f>
        <v>-65126</v>
      </c>
      <c r="AM61" s="116" t="n">
        <f aca="false">SUM(Budget!$C37:INDEX(Budget!$C37:$N37,$B$27))</f>
        <v>-9060</v>
      </c>
      <c r="AN61" s="116" t="n">
        <f aca="false">AL61-AM61</f>
        <v>-56066</v>
      </c>
      <c r="AP61" s="114" t="s">
        <v>428</v>
      </c>
    </row>
    <row r="62" customFormat="false" ht="15" hidden="false" customHeight="true" outlineLevel="1" collapsed="false">
      <c r="A62" s="109" t="s">
        <v>81</v>
      </c>
      <c r="B62" s="113" t="n">
        <f aca="false">IF(OR(1&gt;$B$27,ISBLANK(Actuals!C38)),"",Actuals!C38)</f>
        <v>0</v>
      </c>
      <c r="C62" s="113" t="n">
        <f aca="false">Budget!C38</f>
        <v>0</v>
      </c>
      <c r="D62" s="113" t="n">
        <f aca="false">IF(B62="","",B62-C62)</f>
        <v>0</v>
      </c>
      <c r="E62" s="113" t="n">
        <f aca="false">IF(OR(2&gt;$B$27,ISBLANK(Actuals!D38)),"",Actuals!D38)</f>
        <v>0</v>
      </c>
      <c r="F62" s="113" t="n">
        <f aca="false">Budget!D38</f>
        <v>0</v>
      </c>
      <c r="G62" s="113" t="n">
        <f aca="false">IF(E62="","",E62-F62)</f>
        <v>0</v>
      </c>
      <c r="H62" s="113" t="n">
        <f aca="false">IF(OR(3&gt;$B$27,ISBLANK(Actuals!E38)),"",Actuals!E38)</f>
        <v>-750.4</v>
      </c>
      <c r="I62" s="113" t="n">
        <f aca="false">Budget!E38</f>
        <v>0</v>
      </c>
      <c r="J62" s="113" t="n">
        <f aca="false">IF(H62="","",H62-I62)</f>
        <v>-750.4</v>
      </c>
      <c r="K62" s="113" t="n">
        <f aca="false">IF(OR(4&gt;$B$27,ISBLANK(Actuals!F38)),"",Actuals!F38)</f>
        <v>0</v>
      </c>
      <c r="L62" s="113" t="n">
        <f aca="false">Budget!F38</f>
        <v>0</v>
      </c>
      <c r="M62" s="113" t="n">
        <f aca="false">IF(K62="","",K62-L62)</f>
        <v>0</v>
      </c>
      <c r="N62" s="113" t="n">
        <f aca="false">IF(OR(5&gt;$B$27,ISBLANK(Actuals!G38)),"",Actuals!G38)</f>
        <v>0</v>
      </c>
      <c r="O62" s="113" t="n">
        <f aca="false">Budget!G38</f>
        <v>0</v>
      </c>
      <c r="P62" s="113" t="n">
        <f aca="false">IF(N62="","",N62-O62)</f>
        <v>0</v>
      </c>
      <c r="Q62" s="113" t="n">
        <f aca="false">IF(OR(6&gt;$B$27,ISBLANK(Actuals!H38)),"",Actuals!H38)</f>
        <v>0</v>
      </c>
      <c r="R62" s="113" t="n">
        <f aca="false">Budget!H38</f>
        <v>0</v>
      </c>
      <c r="S62" s="113" t="n">
        <f aca="false">IF(Q62="","",Q62-R62)</f>
        <v>0</v>
      </c>
      <c r="T62" s="113" t="n">
        <f aca="false">IF(OR(7&gt;$B$27,ISBLANK(Actuals!I38)),"",Actuals!I38)</f>
        <v>0</v>
      </c>
      <c r="U62" s="113" t="n">
        <f aca="false">Budget!I38</f>
        <v>0</v>
      </c>
      <c r="V62" s="113" t="n">
        <f aca="false">IF(T62="","",T62-U62)</f>
        <v>0</v>
      </c>
      <c r="W62" s="113" t="n">
        <f aca="false">IF(OR(8&gt;$B$27,ISBLANK(Actuals!J38)),"",Actuals!J38)</f>
        <v>0</v>
      </c>
      <c r="X62" s="113" t="n">
        <f aca="false">Budget!J38</f>
        <v>0</v>
      </c>
      <c r="Y62" s="113" t="n">
        <f aca="false">IF(W62="","",W62-X62)</f>
        <v>0</v>
      </c>
      <c r="Z62" s="113" t="n">
        <f aca="false">IF(OR(9&gt;$B$27,ISBLANK(Actuals!K38)),"",Actuals!K38)</f>
        <v>-55000</v>
      </c>
      <c r="AA62" s="113" t="n">
        <f aca="false">Budget!K38</f>
        <v>0</v>
      </c>
      <c r="AB62" s="113" t="n">
        <f aca="false">IF(Z62="","",Z62-AA62)</f>
        <v>-55000</v>
      </c>
      <c r="AC62" s="113" t="str">
        <f aca="false">IF(OR(10&gt;$B$27,ISBLANK(Actuals!L38)),"",Actuals!L38)</f>
        <v/>
      </c>
      <c r="AD62" s="113" t="n">
        <f aca="false">Budget!L38</f>
        <v>0</v>
      </c>
      <c r="AE62" s="113" t="str">
        <f aca="false">IF(AC62="","",AC62-AD62)</f>
        <v/>
      </c>
      <c r="AF62" s="113" t="str">
        <f aca="false">IF(OR(11&gt;$B$27,ISBLANK(Actuals!M38)),"",Actuals!M38)</f>
        <v/>
      </c>
      <c r="AG62" s="113" t="n">
        <f aca="false">Budget!M38</f>
        <v>0</v>
      </c>
      <c r="AH62" s="113" t="str">
        <f aca="false">IF(AF62="","",AF62-AG62)</f>
        <v/>
      </c>
      <c r="AI62" s="113" t="str">
        <f aca="false">IF(OR(12&gt;$B$27,ISBLANK(Actuals!N38)),"",Actuals!N38)</f>
        <v/>
      </c>
      <c r="AJ62" s="113" t="n">
        <f aca="false">Budget!N38</f>
        <v>0</v>
      </c>
      <c r="AK62" s="113" t="str">
        <f aca="false">IF(AI62="","",AI62-AJ62)</f>
        <v/>
      </c>
      <c r="AL62" s="116" t="n">
        <f aca="false">SUM(Actuals!$C38:INDEX(Actuals!$C38:$N38,$B$27))</f>
        <v>-55750.4</v>
      </c>
      <c r="AM62" s="116" t="n">
        <f aca="false">SUM(Budget!$C38:INDEX(Budget!$C38:$N38,$B$27))</f>
        <v>0</v>
      </c>
      <c r="AN62" s="116" t="n">
        <f aca="false">AL62-AM62</f>
        <v>-55750.4</v>
      </c>
      <c r="AP62" s="1" t="s">
        <v>429</v>
      </c>
    </row>
    <row r="63" customFormat="false" ht="15" hidden="false" customHeight="true" outlineLevel="1" collapsed="false">
      <c r="A63" s="109" t="s">
        <v>82</v>
      </c>
      <c r="B63" s="113" t="n">
        <f aca="false">IF(OR(1&gt;$B$27,ISBLANK(Actuals!C39)),"",Actuals!C39)</f>
        <v>-1474.63</v>
      </c>
      <c r="C63" s="113" t="n">
        <f aca="false">Budget!C39</f>
        <v>-1666.67</v>
      </c>
      <c r="D63" s="113" t="n">
        <f aca="false">IF(B63="","",B63-C63)</f>
        <v>192.04</v>
      </c>
      <c r="E63" s="113" t="n">
        <f aca="false">IF(OR(2&gt;$B$27,ISBLANK(Actuals!D39)),"",Actuals!D39)</f>
        <v>-1449.33</v>
      </c>
      <c r="F63" s="113" t="n">
        <f aca="false">Budget!D39</f>
        <v>-1666.67</v>
      </c>
      <c r="G63" s="113" t="n">
        <f aca="false">IF(E63="","",E63-F63)</f>
        <v>217.34</v>
      </c>
      <c r="H63" s="113" t="n">
        <f aca="false">IF(OR(3&gt;$B$27,ISBLANK(Actuals!E39)),"",Actuals!E39)</f>
        <v>-2328.76</v>
      </c>
      <c r="I63" s="113" t="n">
        <f aca="false">Budget!E39</f>
        <v>-1666.67</v>
      </c>
      <c r="J63" s="113" t="n">
        <f aca="false">IF(H63="","",H63-I63)</f>
        <v>-662.09</v>
      </c>
      <c r="K63" s="113" t="n">
        <f aca="false">IF(OR(4&gt;$B$27,ISBLANK(Actuals!F39)),"",Actuals!F39)</f>
        <v>-2249.56</v>
      </c>
      <c r="L63" s="113" t="n">
        <f aca="false">Budget!F39</f>
        <v>-1666.67</v>
      </c>
      <c r="M63" s="113" t="n">
        <f aca="false">IF(K63="","",K63-L63)</f>
        <v>-582.89</v>
      </c>
      <c r="N63" s="113" t="n">
        <f aca="false">IF(OR(5&gt;$B$27,ISBLANK(Actuals!G39)),"",Actuals!G39)</f>
        <v>-2759.48</v>
      </c>
      <c r="O63" s="113" t="n">
        <f aca="false">Budget!G39</f>
        <v>-1666.67</v>
      </c>
      <c r="P63" s="113" t="n">
        <f aca="false">IF(N63="","",N63-O63)</f>
        <v>-1092.81</v>
      </c>
      <c r="Q63" s="113" t="n">
        <f aca="false">IF(OR(6&gt;$B$27,ISBLANK(Actuals!H39)),"",Actuals!H39)</f>
        <v>-2749.12</v>
      </c>
      <c r="R63" s="113" t="n">
        <f aca="false">Budget!H39</f>
        <v>-1666.67</v>
      </c>
      <c r="S63" s="113" t="n">
        <f aca="false">IF(Q63="","",Q63-R63)</f>
        <v>-1082.45</v>
      </c>
      <c r="T63" s="113" t="n">
        <f aca="false">IF(OR(7&gt;$B$27,ISBLANK(Actuals!I39)),"",Actuals!I39)</f>
        <v>-2384.6</v>
      </c>
      <c r="U63" s="113" t="n">
        <f aca="false">Budget!I39</f>
        <v>-1700</v>
      </c>
      <c r="V63" s="113" t="n">
        <f aca="false">IF(T63="","",T63-U63)</f>
        <v>-684.6</v>
      </c>
      <c r="W63" s="113" t="n">
        <f aca="false">IF(OR(8&gt;$B$27,ISBLANK(Actuals!J39)),"",Actuals!J39)</f>
        <v>-4264.89</v>
      </c>
      <c r="X63" s="113" t="n">
        <f aca="false">Budget!J39</f>
        <v>-1700</v>
      </c>
      <c r="Y63" s="113" t="n">
        <f aca="false">IF(W63="","",W63-X63)</f>
        <v>-2564.89</v>
      </c>
      <c r="Z63" s="113" t="n">
        <f aca="false">IF(OR(9&gt;$B$27,ISBLANK(Actuals!K39)),"",Actuals!K39)</f>
        <v>-3851.12</v>
      </c>
      <c r="AA63" s="113" t="n">
        <f aca="false">Budget!K39</f>
        <v>-1700</v>
      </c>
      <c r="AB63" s="113" t="n">
        <f aca="false">IF(Z63="","",Z63-AA63)</f>
        <v>-2151.12</v>
      </c>
      <c r="AC63" s="113" t="str">
        <f aca="false">IF(OR(10&gt;$B$27,ISBLANK(Actuals!L39)),"",Actuals!L39)</f>
        <v/>
      </c>
      <c r="AD63" s="113" t="n">
        <f aca="false">Budget!L39</f>
        <v>-1700</v>
      </c>
      <c r="AE63" s="113" t="str">
        <f aca="false">IF(AC63="","",AC63-AD63)</f>
        <v/>
      </c>
      <c r="AF63" s="113" t="str">
        <f aca="false">IF(OR(11&gt;$B$27,ISBLANK(Actuals!M39)),"",Actuals!M39)</f>
        <v/>
      </c>
      <c r="AG63" s="113" t="n">
        <f aca="false">Budget!M39</f>
        <v>-1700</v>
      </c>
      <c r="AH63" s="113" t="str">
        <f aca="false">IF(AF63="","",AF63-AG63)</f>
        <v/>
      </c>
      <c r="AI63" s="113" t="str">
        <f aca="false">IF(OR(12&gt;$B$27,ISBLANK(Actuals!N39)),"",Actuals!N39)</f>
        <v/>
      </c>
      <c r="AJ63" s="113" t="n">
        <f aca="false">Budget!N39</f>
        <v>-1700</v>
      </c>
      <c r="AK63" s="113" t="str">
        <f aca="false">IF(AI63="","",AI63-AJ63)</f>
        <v/>
      </c>
      <c r="AL63" s="116" t="n">
        <f aca="false">SUM(Actuals!$C39:INDEX(Actuals!$C39:$N39,$B$27))</f>
        <v>-23511.49</v>
      </c>
      <c r="AM63" s="116" t="n">
        <f aca="false">SUM(Budget!$C39:INDEX(Budget!$C39:$N39,$B$27))</f>
        <v>-15100.02</v>
      </c>
      <c r="AN63" s="116" t="n">
        <f aca="false">AL63-AM63</f>
        <v>-8411.47</v>
      </c>
    </row>
    <row r="64" customFormat="false" ht="15" hidden="false" customHeight="true" outlineLevel="1" collapsed="false">
      <c r="A64" s="109" t="s">
        <v>83</v>
      </c>
      <c r="B64" s="113" t="n">
        <f aca="false">IF(OR(1&gt;$B$27,ISBLANK(Actuals!C40)),"",Actuals!C40)</f>
        <v>-1417.61</v>
      </c>
      <c r="C64" s="113" t="n">
        <f aca="false">Budget!C40</f>
        <v>-1000</v>
      </c>
      <c r="D64" s="113" t="n">
        <f aca="false">IF(B64="","",B64-C64)</f>
        <v>-417.61</v>
      </c>
      <c r="E64" s="113" t="n">
        <f aca="false">IF(OR(2&gt;$B$27,ISBLANK(Actuals!D40)),"",Actuals!D40)</f>
        <v>-2730.36</v>
      </c>
      <c r="F64" s="113" t="n">
        <f aca="false">Budget!D40</f>
        <v>-1000</v>
      </c>
      <c r="G64" s="113" t="n">
        <f aca="false">IF(E64="","",E64-F64)</f>
        <v>-1730.36</v>
      </c>
      <c r="H64" s="113" t="n">
        <f aca="false">IF(OR(3&gt;$B$27,ISBLANK(Actuals!E40)),"",Actuals!E40)</f>
        <v>-1818.05</v>
      </c>
      <c r="I64" s="113" t="n">
        <f aca="false">Budget!E40</f>
        <v>-1000</v>
      </c>
      <c r="J64" s="113" t="n">
        <f aca="false">IF(H64="","",H64-I64)</f>
        <v>-818.05</v>
      </c>
      <c r="K64" s="113" t="n">
        <f aca="false">IF(OR(4&gt;$B$27,ISBLANK(Actuals!F40)),"",Actuals!F40)</f>
        <v>-3307.74</v>
      </c>
      <c r="L64" s="113" t="n">
        <f aca="false">Budget!F40</f>
        <v>-1000</v>
      </c>
      <c r="M64" s="113" t="n">
        <f aca="false">IF(K64="","",K64-L64)</f>
        <v>-2307.74</v>
      </c>
      <c r="N64" s="113" t="n">
        <f aca="false">IF(OR(5&gt;$B$27,ISBLANK(Actuals!G40)),"",Actuals!G40)</f>
        <v>-1257.74</v>
      </c>
      <c r="O64" s="113" t="n">
        <f aca="false">Budget!G40</f>
        <v>-1000</v>
      </c>
      <c r="P64" s="113" t="n">
        <f aca="false">IF(N64="","",N64-O64)</f>
        <v>-257.74</v>
      </c>
      <c r="Q64" s="113" t="n">
        <f aca="false">IF(OR(6&gt;$B$27,ISBLANK(Actuals!H40)),"",Actuals!H40)</f>
        <v>-3372.74</v>
      </c>
      <c r="R64" s="113" t="n">
        <f aca="false">Budget!H40</f>
        <v>-1000</v>
      </c>
      <c r="S64" s="113" t="n">
        <f aca="false">IF(Q64="","",Q64-R64)</f>
        <v>-2372.74</v>
      </c>
      <c r="T64" s="113" t="n">
        <f aca="false">IF(OR(7&gt;$B$27,ISBLANK(Actuals!I40)),"",Actuals!I40)</f>
        <v>-1434.83</v>
      </c>
      <c r="U64" s="113" t="n">
        <f aca="false">Budget!I40</f>
        <v>-1020</v>
      </c>
      <c r="V64" s="113" t="n">
        <f aca="false">IF(T64="","",T64-U64)</f>
        <v>-414.83</v>
      </c>
      <c r="W64" s="113" t="n">
        <f aca="false">IF(OR(8&gt;$B$27,ISBLANK(Actuals!J40)),"",Actuals!J40)</f>
        <v>-3520.23</v>
      </c>
      <c r="X64" s="113" t="n">
        <f aca="false">Budget!J40</f>
        <v>-1020</v>
      </c>
      <c r="Y64" s="113" t="n">
        <f aca="false">IF(W64="","",W64-X64)</f>
        <v>-2500.23</v>
      </c>
      <c r="Z64" s="113" t="n">
        <f aca="false">IF(OR(9&gt;$B$27,ISBLANK(Actuals!K40)),"",Actuals!K40)</f>
        <v>-987.24</v>
      </c>
      <c r="AA64" s="113" t="n">
        <f aca="false">Budget!K40</f>
        <v>-1020</v>
      </c>
      <c r="AB64" s="113" t="n">
        <f aca="false">IF(Z64="","",Z64-AA64)</f>
        <v>32.76</v>
      </c>
      <c r="AC64" s="113" t="str">
        <f aca="false">IF(OR(10&gt;$B$27,ISBLANK(Actuals!L40)),"",Actuals!L40)</f>
        <v/>
      </c>
      <c r="AD64" s="113" t="n">
        <f aca="false">Budget!L40</f>
        <v>-1020</v>
      </c>
      <c r="AE64" s="113" t="str">
        <f aca="false">IF(AC64="","",AC64-AD64)</f>
        <v/>
      </c>
      <c r="AF64" s="113" t="str">
        <f aca="false">IF(OR(11&gt;$B$27,ISBLANK(Actuals!M40)),"",Actuals!M40)</f>
        <v/>
      </c>
      <c r="AG64" s="113" t="n">
        <f aca="false">Budget!M40</f>
        <v>-1020</v>
      </c>
      <c r="AH64" s="113" t="str">
        <f aca="false">IF(AF64="","",AF64-AG64)</f>
        <v/>
      </c>
      <c r="AI64" s="113" t="str">
        <f aca="false">IF(OR(12&gt;$B$27,ISBLANK(Actuals!N40)),"",Actuals!N40)</f>
        <v/>
      </c>
      <c r="AJ64" s="113" t="n">
        <f aca="false">Budget!N40</f>
        <v>-1020</v>
      </c>
      <c r="AK64" s="113" t="str">
        <f aca="false">IF(AI64="","",AI64-AJ64)</f>
        <v/>
      </c>
      <c r="AL64" s="116" t="n">
        <f aca="false">SUM(Actuals!$C40:INDEX(Actuals!$C40:$N40,$B$27))</f>
        <v>-19846.54</v>
      </c>
      <c r="AM64" s="116" t="n">
        <f aca="false">SUM(Budget!$C40:INDEX(Budget!$C40:$N40,$B$27))</f>
        <v>-9060</v>
      </c>
      <c r="AN64" s="116" t="n">
        <f aca="false">AL64-AM64</f>
        <v>-10786.54</v>
      </c>
      <c r="AP64" s="114" t="s">
        <v>430</v>
      </c>
    </row>
    <row r="65" customFormat="false" ht="15" hidden="false" customHeight="true" outlineLevel="1" collapsed="false">
      <c r="A65" s="109" t="s">
        <v>84</v>
      </c>
      <c r="B65" s="113" t="n">
        <f aca="false">IF(OR(1&gt;$B$27,ISBLANK(Actuals!C41)),"",Actuals!C41)</f>
        <v>0</v>
      </c>
      <c r="C65" s="113" t="n">
        <f aca="false">Budget!C41</f>
        <v>0</v>
      </c>
      <c r="D65" s="113" t="n">
        <f aca="false">IF(B65="","",B65-C65)</f>
        <v>0</v>
      </c>
      <c r="E65" s="113" t="n">
        <f aca="false">IF(OR(2&gt;$B$27,ISBLANK(Actuals!D41)),"",Actuals!D41)</f>
        <v>0</v>
      </c>
      <c r="F65" s="113" t="n">
        <f aca="false">Budget!D41</f>
        <v>0</v>
      </c>
      <c r="G65" s="113" t="n">
        <f aca="false">IF(E65="","",E65-F65)</f>
        <v>0</v>
      </c>
      <c r="H65" s="113" t="n">
        <f aca="false">IF(OR(3&gt;$B$27,ISBLANK(Actuals!E41)),"",Actuals!E41)</f>
        <v>-41990</v>
      </c>
      <c r="I65" s="113" t="n">
        <f aca="false">Budget!E41</f>
        <v>0</v>
      </c>
      <c r="J65" s="113" t="n">
        <f aca="false">IF(H65="","",H65-I65)</f>
        <v>-41990</v>
      </c>
      <c r="K65" s="113" t="n">
        <f aca="false">IF(OR(4&gt;$B$27,ISBLANK(Actuals!F41)),"",Actuals!F41)</f>
        <v>-42500</v>
      </c>
      <c r="L65" s="113" t="n">
        <f aca="false">Budget!F41</f>
        <v>0</v>
      </c>
      <c r="M65" s="113" t="n">
        <f aca="false">IF(K65="","",K65-L65)</f>
        <v>-42500</v>
      </c>
      <c r="N65" s="113" t="n">
        <f aca="false">IF(OR(5&gt;$B$27,ISBLANK(Actuals!G41)),"",Actuals!G41)</f>
        <v>-21000</v>
      </c>
      <c r="O65" s="113" t="n">
        <f aca="false">Budget!G41</f>
        <v>0</v>
      </c>
      <c r="P65" s="113" t="n">
        <f aca="false">IF(N65="","",N65-O65)</f>
        <v>-21000</v>
      </c>
      <c r="Q65" s="113" t="n">
        <f aca="false">IF(OR(6&gt;$B$27,ISBLANK(Actuals!H41)),"",Actuals!H41)</f>
        <v>0</v>
      </c>
      <c r="R65" s="113" t="n">
        <f aca="false">Budget!H41</f>
        <v>0</v>
      </c>
      <c r="S65" s="113" t="n">
        <f aca="false">IF(Q65="","",Q65-R65)</f>
        <v>0</v>
      </c>
      <c r="T65" s="113" t="n">
        <f aca="false">IF(OR(7&gt;$B$27,ISBLANK(Actuals!I41)),"",Actuals!I41)</f>
        <v>0</v>
      </c>
      <c r="U65" s="113" t="n">
        <f aca="false">Budget!I41</f>
        <v>0</v>
      </c>
      <c r="V65" s="113" t="n">
        <f aca="false">IF(T65="","",T65-U65)</f>
        <v>0</v>
      </c>
      <c r="W65" s="113" t="n">
        <f aca="false">IF(OR(8&gt;$B$27,ISBLANK(Actuals!J41)),"",Actuals!J41)</f>
        <v>0</v>
      </c>
      <c r="X65" s="113" t="n">
        <f aca="false">Budget!J41</f>
        <v>0</v>
      </c>
      <c r="Y65" s="113" t="n">
        <f aca="false">IF(W65="","",W65-X65)</f>
        <v>0</v>
      </c>
      <c r="Z65" s="113" t="n">
        <f aca="false">IF(OR(9&gt;$B$27,ISBLANK(Actuals!K41)),"",Actuals!K41)</f>
        <v>0</v>
      </c>
      <c r="AA65" s="113" t="n">
        <f aca="false">Budget!K41</f>
        <v>0</v>
      </c>
      <c r="AB65" s="113" t="n">
        <f aca="false">IF(Z65="","",Z65-AA65)</f>
        <v>0</v>
      </c>
      <c r="AC65" s="113" t="str">
        <f aca="false">IF(OR(10&gt;$B$27,ISBLANK(Actuals!L41)),"",Actuals!L41)</f>
        <v/>
      </c>
      <c r="AD65" s="113" t="n">
        <f aca="false">Budget!L41</f>
        <v>0</v>
      </c>
      <c r="AE65" s="113" t="str">
        <f aca="false">IF(AC65="","",AC65-AD65)</f>
        <v/>
      </c>
      <c r="AF65" s="113" t="str">
        <f aca="false">IF(OR(11&gt;$B$27,ISBLANK(Actuals!M41)),"",Actuals!M41)</f>
        <v/>
      </c>
      <c r="AG65" s="113" t="n">
        <f aca="false">Budget!M41</f>
        <v>0</v>
      </c>
      <c r="AH65" s="113" t="str">
        <f aca="false">IF(AF65="","",AF65-AG65)</f>
        <v/>
      </c>
      <c r="AI65" s="113" t="str">
        <f aca="false">IF(OR(12&gt;$B$27,ISBLANK(Actuals!N41)),"",Actuals!N41)</f>
        <v/>
      </c>
      <c r="AJ65" s="113" t="n">
        <f aca="false">Budget!N41</f>
        <v>0</v>
      </c>
      <c r="AK65" s="113" t="str">
        <f aca="false">IF(AI65="","",AI65-AJ65)</f>
        <v/>
      </c>
      <c r="AL65" s="116" t="n">
        <f aca="false">SUM(Actuals!$C41:INDEX(Actuals!$C41:$N41,$B$27))</f>
        <v>-105490</v>
      </c>
      <c r="AM65" s="116" t="n">
        <f aca="false">SUM(Budget!$C41:INDEX(Budget!$C41:$N41,$B$27))</f>
        <v>0</v>
      </c>
      <c r="AN65" s="116" t="n">
        <f aca="false">AL65-AM65</f>
        <v>-105490</v>
      </c>
      <c r="AP65" s="114" t="s">
        <v>431</v>
      </c>
    </row>
    <row r="66" customFormat="false" ht="15" hidden="false" customHeight="true" outlineLevel="1" collapsed="false">
      <c r="A66" s="109" t="s">
        <v>85</v>
      </c>
      <c r="B66" s="113" t="n">
        <f aca="false">IF(OR(1&gt;$B$27,ISBLANK(Actuals!C42)),"",Actuals!C42)</f>
        <v>-165</v>
      </c>
      <c r="C66" s="113" t="n">
        <f aca="false">Budget!C42</f>
        <v>0</v>
      </c>
      <c r="D66" s="113" t="n">
        <f aca="false">IF(B66="","",B66-C66)</f>
        <v>-165</v>
      </c>
      <c r="E66" s="113" t="n">
        <f aca="false">IF(OR(2&gt;$B$27,ISBLANK(Actuals!D42)),"",Actuals!D42)</f>
        <v>0</v>
      </c>
      <c r="F66" s="113" t="n">
        <f aca="false">Budget!D42</f>
        <v>0</v>
      </c>
      <c r="G66" s="113" t="n">
        <f aca="false">IF(E66="","",E66-F66)</f>
        <v>0</v>
      </c>
      <c r="H66" s="113" t="n">
        <f aca="false">IF(OR(3&gt;$B$27,ISBLANK(Actuals!E42)),"",Actuals!E42)</f>
        <v>0</v>
      </c>
      <c r="I66" s="113" t="n">
        <f aca="false">Budget!E42</f>
        <v>0</v>
      </c>
      <c r="J66" s="113" t="n">
        <f aca="false">IF(H66="","",H66-I66)</f>
        <v>0</v>
      </c>
      <c r="K66" s="113" t="n">
        <f aca="false">IF(OR(4&gt;$B$27,ISBLANK(Actuals!F42)),"",Actuals!F42)</f>
        <v>-165</v>
      </c>
      <c r="L66" s="113" t="n">
        <f aca="false">Budget!F42</f>
        <v>0</v>
      </c>
      <c r="M66" s="113" t="n">
        <f aca="false">IF(K66="","",K66-L66)</f>
        <v>-165</v>
      </c>
      <c r="N66" s="113" t="n">
        <f aca="false">IF(OR(5&gt;$B$27,ISBLANK(Actuals!G42)),"",Actuals!G42)</f>
        <v>0</v>
      </c>
      <c r="O66" s="113" t="n">
        <f aca="false">Budget!G42</f>
        <v>0</v>
      </c>
      <c r="P66" s="113" t="n">
        <f aca="false">IF(N66="","",N66-O66)</f>
        <v>0</v>
      </c>
      <c r="Q66" s="113" t="n">
        <f aca="false">IF(OR(6&gt;$B$27,ISBLANK(Actuals!H42)),"",Actuals!H42)</f>
        <v>-165</v>
      </c>
      <c r="R66" s="113" t="n">
        <f aca="false">Budget!H42</f>
        <v>0</v>
      </c>
      <c r="S66" s="113" t="n">
        <f aca="false">IF(Q66="","",Q66-R66)</f>
        <v>-165</v>
      </c>
      <c r="T66" s="113" t="n">
        <f aca="false">IF(OR(7&gt;$B$27,ISBLANK(Actuals!I42)),"",Actuals!I42)</f>
        <v>0</v>
      </c>
      <c r="U66" s="113" t="n">
        <f aca="false">Budget!I42</f>
        <v>0</v>
      </c>
      <c r="V66" s="113" t="n">
        <f aca="false">IF(T66="","",T66-U66)</f>
        <v>0</v>
      </c>
      <c r="W66" s="113" t="n">
        <f aca="false">IF(OR(8&gt;$B$27,ISBLANK(Actuals!J42)),"",Actuals!J42)</f>
        <v>0</v>
      </c>
      <c r="X66" s="113" t="n">
        <f aca="false">Budget!J42</f>
        <v>0</v>
      </c>
      <c r="Y66" s="113" t="n">
        <f aca="false">IF(W66="","",W66-X66)</f>
        <v>0</v>
      </c>
      <c r="Z66" s="113" t="n">
        <f aca="false">IF(OR(9&gt;$B$27,ISBLANK(Actuals!K42)),"",Actuals!K42)</f>
        <v>-330</v>
      </c>
      <c r="AA66" s="113" t="n">
        <f aca="false">Budget!K42</f>
        <v>0</v>
      </c>
      <c r="AB66" s="113" t="n">
        <f aca="false">IF(Z66="","",Z66-AA66)</f>
        <v>-330</v>
      </c>
      <c r="AC66" s="113" t="str">
        <f aca="false">IF(OR(10&gt;$B$27,ISBLANK(Actuals!L42)),"",Actuals!L42)</f>
        <v/>
      </c>
      <c r="AD66" s="113" t="n">
        <f aca="false">Budget!L42</f>
        <v>0</v>
      </c>
      <c r="AE66" s="113" t="str">
        <f aca="false">IF(AC66="","",AC66-AD66)</f>
        <v/>
      </c>
      <c r="AF66" s="113" t="str">
        <f aca="false">IF(OR(11&gt;$B$27,ISBLANK(Actuals!M42)),"",Actuals!M42)</f>
        <v/>
      </c>
      <c r="AG66" s="113" t="n">
        <f aca="false">Budget!M42</f>
        <v>0</v>
      </c>
      <c r="AH66" s="113" t="str">
        <f aca="false">IF(AF66="","",AF66-AG66)</f>
        <v/>
      </c>
      <c r="AI66" s="113" t="str">
        <f aca="false">IF(OR(12&gt;$B$27,ISBLANK(Actuals!N42)),"",Actuals!N42)</f>
        <v/>
      </c>
      <c r="AJ66" s="113" t="n">
        <f aca="false">Budget!N42</f>
        <v>0</v>
      </c>
      <c r="AK66" s="113" t="str">
        <f aca="false">IF(AI66="","",AI66-AJ66)</f>
        <v/>
      </c>
      <c r="AL66" s="116" t="n">
        <f aca="false">SUM(Actuals!$C42:INDEX(Actuals!$C42:$N42,$B$27))</f>
        <v>-825</v>
      </c>
      <c r="AM66" s="116" t="n">
        <f aca="false">SUM(Budget!$C42:INDEX(Budget!$C42:$N42,$B$27))</f>
        <v>0</v>
      </c>
      <c r="AN66" s="116" t="n">
        <f aca="false">AL66-AM66</f>
        <v>-825</v>
      </c>
    </row>
    <row r="67" customFormat="false" ht="15" hidden="false" customHeight="true" outlineLevel="1" collapsed="false">
      <c r="A67" s="109" t="s">
        <v>86</v>
      </c>
      <c r="B67" s="113" t="n">
        <f aca="false">IF(OR(1&gt;$B$27,ISBLANK(Actuals!C43)),"",Actuals!C43)</f>
        <v>0</v>
      </c>
      <c r="C67" s="113" t="n">
        <f aca="false">Budget!C43</f>
        <v>0</v>
      </c>
      <c r="D67" s="113" t="n">
        <f aca="false">IF(B67="","",B67-C67)</f>
        <v>0</v>
      </c>
      <c r="E67" s="113" t="n">
        <f aca="false">IF(OR(2&gt;$B$27,ISBLANK(Actuals!D43)),"",Actuals!D43)</f>
        <v>0</v>
      </c>
      <c r="F67" s="113" t="n">
        <f aca="false">Budget!D43</f>
        <v>0</v>
      </c>
      <c r="G67" s="113" t="n">
        <f aca="false">IF(E67="","",E67-F67)</f>
        <v>0</v>
      </c>
      <c r="H67" s="113" t="n">
        <f aca="false">IF(OR(3&gt;$B$27,ISBLANK(Actuals!E43)),"",Actuals!E43)</f>
        <v>0</v>
      </c>
      <c r="I67" s="113" t="n">
        <f aca="false">Budget!E43</f>
        <v>0</v>
      </c>
      <c r="J67" s="113" t="n">
        <f aca="false">IF(H67="","",H67-I67)</f>
        <v>0</v>
      </c>
      <c r="K67" s="113" t="n">
        <f aca="false">IF(OR(4&gt;$B$27,ISBLANK(Actuals!F43)),"",Actuals!F43)</f>
        <v>-1036.49</v>
      </c>
      <c r="L67" s="113" t="n">
        <f aca="false">Budget!F43</f>
        <v>0</v>
      </c>
      <c r="M67" s="113" t="n">
        <f aca="false">IF(K67="","",K67-L67)</f>
        <v>-1036.49</v>
      </c>
      <c r="N67" s="113" t="n">
        <f aca="false">IF(OR(5&gt;$B$27,ISBLANK(Actuals!G43)),"",Actuals!G43)</f>
        <v>0</v>
      </c>
      <c r="O67" s="113" t="n">
        <f aca="false">Budget!G43</f>
        <v>0</v>
      </c>
      <c r="P67" s="113" t="n">
        <f aca="false">IF(N67="","",N67-O67)</f>
        <v>0</v>
      </c>
      <c r="Q67" s="113" t="n">
        <f aca="false">IF(OR(6&gt;$B$27,ISBLANK(Actuals!H43)),"",Actuals!H43)</f>
        <v>-4308.58</v>
      </c>
      <c r="R67" s="113" t="n">
        <f aca="false">Budget!H43</f>
        <v>0</v>
      </c>
      <c r="S67" s="113" t="n">
        <f aca="false">IF(Q67="","",Q67-R67)</f>
        <v>-4308.58</v>
      </c>
      <c r="T67" s="113" t="n">
        <f aca="false">IF(OR(7&gt;$B$27,ISBLANK(Actuals!I43)),"",Actuals!I43)</f>
        <v>-362.98</v>
      </c>
      <c r="U67" s="113" t="n">
        <f aca="false">Budget!I43</f>
        <v>0</v>
      </c>
      <c r="V67" s="113" t="n">
        <f aca="false">IF(T67="","",T67-U67)</f>
        <v>-362.98</v>
      </c>
      <c r="W67" s="113" t="n">
        <f aca="false">IF(OR(8&gt;$B$27,ISBLANK(Actuals!J43)),"",Actuals!J43)</f>
        <v>0</v>
      </c>
      <c r="X67" s="113" t="n">
        <f aca="false">Budget!J43</f>
        <v>0</v>
      </c>
      <c r="Y67" s="113" t="n">
        <f aca="false">IF(W67="","",W67-X67)</f>
        <v>0</v>
      </c>
      <c r="Z67" s="113" t="n">
        <f aca="false">IF(OR(9&gt;$B$27,ISBLANK(Actuals!K43)),"",Actuals!K43)</f>
        <v>0</v>
      </c>
      <c r="AA67" s="113" t="n">
        <f aca="false">Budget!K43</f>
        <v>0</v>
      </c>
      <c r="AB67" s="113" t="n">
        <f aca="false">IF(Z67="","",Z67-AA67)</f>
        <v>0</v>
      </c>
      <c r="AC67" s="113" t="str">
        <f aca="false">IF(OR(10&gt;$B$27,ISBLANK(Actuals!L43)),"",Actuals!L43)</f>
        <v/>
      </c>
      <c r="AD67" s="113" t="n">
        <f aca="false">Budget!L43</f>
        <v>0</v>
      </c>
      <c r="AE67" s="113" t="str">
        <f aca="false">IF(AC67="","",AC67-AD67)</f>
        <v/>
      </c>
      <c r="AF67" s="113" t="str">
        <f aca="false">IF(OR(11&gt;$B$27,ISBLANK(Actuals!M43)),"",Actuals!M43)</f>
        <v/>
      </c>
      <c r="AG67" s="113" t="n">
        <f aca="false">Budget!M43</f>
        <v>0</v>
      </c>
      <c r="AH67" s="113" t="str">
        <f aca="false">IF(AF67="","",AF67-AG67)</f>
        <v/>
      </c>
      <c r="AI67" s="113" t="str">
        <f aca="false">IF(OR(12&gt;$B$27,ISBLANK(Actuals!N43)),"",Actuals!N43)</f>
        <v/>
      </c>
      <c r="AJ67" s="113" t="n">
        <f aca="false">Budget!N43</f>
        <v>0</v>
      </c>
      <c r="AK67" s="113" t="str">
        <f aca="false">IF(AI67="","",AI67-AJ67)</f>
        <v/>
      </c>
      <c r="AL67" s="116" t="n">
        <f aca="false">SUM(Actuals!$C43:INDEX(Actuals!$C43:$N43,$B$27))</f>
        <v>-5708.05</v>
      </c>
      <c r="AM67" s="116" t="n">
        <f aca="false">SUM(Budget!$C43:INDEX(Budget!$C43:$N43,$B$27))</f>
        <v>0</v>
      </c>
      <c r="AN67" s="116" t="n">
        <f aca="false">AL67-AM67</f>
        <v>-5708.05</v>
      </c>
    </row>
    <row r="68" customFormat="false" ht="15" hidden="false" customHeight="true" outlineLevel="1" collapsed="false">
      <c r="A68" s="109" t="s">
        <v>87</v>
      </c>
      <c r="B68" s="113" t="n">
        <f aca="false">IF(OR(1&gt;$B$27,ISBLANK(Actuals!C44)),"",Actuals!C44)</f>
        <v>-550</v>
      </c>
      <c r="C68" s="113" t="n">
        <f aca="false">Budget!C44</f>
        <v>0</v>
      </c>
      <c r="D68" s="113" t="n">
        <f aca="false">IF(B68="","",B68-C68)</f>
        <v>-550</v>
      </c>
      <c r="E68" s="113" t="n">
        <f aca="false">IF(OR(2&gt;$B$27,ISBLANK(Actuals!D44)),"",Actuals!D44)</f>
        <v>-550</v>
      </c>
      <c r="F68" s="113" t="n">
        <f aca="false">Budget!D44</f>
        <v>0</v>
      </c>
      <c r="G68" s="113" t="n">
        <f aca="false">IF(E68="","",E68-F68)</f>
        <v>-550</v>
      </c>
      <c r="H68" s="113" t="n">
        <f aca="false">IF(OR(3&gt;$B$27,ISBLANK(Actuals!E44)),"",Actuals!E44)</f>
        <v>-550</v>
      </c>
      <c r="I68" s="113" t="n">
        <f aca="false">Budget!E44</f>
        <v>0</v>
      </c>
      <c r="J68" s="113" t="n">
        <f aca="false">IF(H68="","",H68-I68)</f>
        <v>-550</v>
      </c>
      <c r="K68" s="113" t="n">
        <f aca="false">IF(OR(4&gt;$B$27,ISBLANK(Actuals!F44)),"",Actuals!F44)</f>
        <v>-600</v>
      </c>
      <c r="L68" s="113" t="n">
        <f aca="false">Budget!F44</f>
        <v>0</v>
      </c>
      <c r="M68" s="113" t="n">
        <f aca="false">IF(K68="","",K68-L68)</f>
        <v>-600</v>
      </c>
      <c r="N68" s="113" t="n">
        <f aca="false">IF(OR(5&gt;$B$27,ISBLANK(Actuals!G44)),"",Actuals!G44)</f>
        <v>-650</v>
      </c>
      <c r="O68" s="113" t="n">
        <f aca="false">Budget!G44</f>
        <v>0</v>
      </c>
      <c r="P68" s="113" t="n">
        <f aca="false">IF(N68="","",N68-O68)</f>
        <v>-650</v>
      </c>
      <c r="Q68" s="113" t="n">
        <f aca="false">IF(OR(6&gt;$B$27,ISBLANK(Actuals!H44)),"",Actuals!H44)</f>
        <v>-575</v>
      </c>
      <c r="R68" s="113" t="n">
        <f aca="false">Budget!H44</f>
        <v>0</v>
      </c>
      <c r="S68" s="113" t="n">
        <f aca="false">IF(Q68="","",Q68-R68)</f>
        <v>-575</v>
      </c>
      <c r="T68" s="113" t="n">
        <f aca="false">IF(OR(7&gt;$B$27,ISBLANK(Actuals!I44)),"",Actuals!I44)</f>
        <v>-1300</v>
      </c>
      <c r="U68" s="113" t="n">
        <f aca="false">Budget!I44</f>
        <v>0</v>
      </c>
      <c r="V68" s="113" t="n">
        <f aca="false">IF(T68="","",T68-U68)</f>
        <v>-1300</v>
      </c>
      <c r="W68" s="113" t="n">
        <f aca="false">IF(OR(8&gt;$B$27,ISBLANK(Actuals!J44)),"",Actuals!J44)</f>
        <v>-325</v>
      </c>
      <c r="X68" s="113" t="n">
        <f aca="false">Budget!J44</f>
        <v>0</v>
      </c>
      <c r="Y68" s="113" t="n">
        <f aca="false">IF(W68="","",W68-X68)</f>
        <v>-325</v>
      </c>
      <c r="Z68" s="113" t="n">
        <f aca="false">IF(OR(9&gt;$B$27,ISBLANK(Actuals!K44)),"",Actuals!K44)</f>
        <v>-975</v>
      </c>
      <c r="AA68" s="113" t="n">
        <f aca="false">Budget!K44</f>
        <v>0</v>
      </c>
      <c r="AB68" s="113" t="n">
        <f aca="false">IF(Z68="","",Z68-AA68)</f>
        <v>-975</v>
      </c>
      <c r="AC68" s="113" t="str">
        <f aca="false">IF(OR(10&gt;$B$27,ISBLANK(Actuals!L44)),"",Actuals!L44)</f>
        <v/>
      </c>
      <c r="AD68" s="113" t="n">
        <f aca="false">Budget!L44</f>
        <v>0</v>
      </c>
      <c r="AE68" s="113" t="str">
        <f aca="false">IF(AC68="","",AC68-AD68)</f>
        <v/>
      </c>
      <c r="AF68" s="113" t="str">
        <f aca="false">IF(OR(11&gt;$B$27,ISBLANK(Actuals!M44)),"",Actuals!M44)</f>
        <v/>
      </c>
      <c r="AG68" s="113" t="n">
        <f aca="false">Budget!M44</f>
        <v>0</v>
      </c>
      <c r="AH68" s="113" t="str">
        <f aca="false">IF(AF68="","",AF68-AG68)</f>
        <v/>
      </c>
      <c r="AI68" s="113" t="str">
        <f aca="false">IF(OR(12&gt;$B$27,ISBLANK(Actuals!N44)),"",Actuals!N44)</f>
        <v/>
      </c>
      <c r="AJ68" s="113" t="n">
        <f aca="false">Budget!N44</f>
        <v>0</v>
      </c>
      <c r="AK68" s="113" t="str">
        <f aca="false">IF(AI68="","",AI68-AJ68)</f>
        <v/>
      </c>
      <c r="AL68" s="116" t="n">
        <f aca="false">SUM(Actuals!$C44:INDEX(Actuals!$C44:$N44,$B$27))</f>
        <v>-6075</v>
      </c>
      <c r="AM68" s="116" t="n">
        <f aca="false">SUM(Budget!$C44:INDEX(Budget!$C44:$N44,$B$27))</f>
        <v>0</v>
      </c>
      <c r="AN68" s="116" t="n">
        <f aca="false">AL68-AM68</f>
        <v>-6075</v>
      </c>
    </row>
    <row r="69" customFormat="false" ht="15" hidden="false" customHeight="true" outlineLevel="1" collapsed="false">
      <c r="A69" s="109" t="s">
        <v>88</v>
      </c>
      <c r="B69" s="113" t="n">
        <f aca="false">IF(OR(1&gt;$B$27,ISBLANK(Actuals!C45)),"",Actuals!C45)</f>
        <v>-19223.75</v>
      </c>
      <c r="C69" s="113" t="n">
        <f aca="false">Budget!C45</f>
        <v>-4166.67</v>
      </c>
      <c r="D69" s="113" t="n">
        <f aca="false">IF(B69="","",B69-C69)</f>
        <v>-15057.08</v>
      </c>
      <c r="E69" s="113" t="n">
        <f aca="false">IF(OR(2&gt;$B$27,ISBLANK(Actuals!D45)),"",Actuals!D45)</f>
        <v>-13381.97</v>
      </c>
      <c r="F69" s="113" t="n">
        <f aca="false">Budget!D45</f>
        <v>-4166.67</v>
      </c>
      <c r="G69" s="113" t="n">
        <f aca="false">IF(E69="","",E69-F69)</f>
        <v>-9215.3</v>
      </c>
      <c r="H69" s="113" t="n">
        <f aca="false">IF(OR(3&gt;$B$27,ISBLANK(Actuals!E45)),"",Actuals!E45)</f>
        <v>-20308.69</v>
      </c>
      <c r="I69" s="113" t="n">
        <f aca="false">Budget!E45</f>
        <v>-4166.67</v>
      </c>
      <c r="J69" s="113" t="n">
        <f aca="false">IF(H69="","",H69-I69)</f>
        <v>-16142.02</v>
      </c>
      <c r="K69" s="113" t="n">
        <f aca="false">IF(OR(4&gt;$B$27,ISBLANK(Actuals!F45)),"",Actuals!F45)</f>
        <v>-16948.76</v>
      </c>
      <c r="L69" s="113" t="n">
        <f aca="false">Budget!F45</f>
        <v>-4166.67</v>
      </c>
      <c r="M69" s="113" t="n">
        <f aca="false">IF(K69="","",K69-L69)</f>
        <v>-12782.09</v>
      </c>
      <c r="N69" s="113" t="n">
        <f aca="false">IF(OR(5&gt;$B$27,ISBLANK(Actuals!G45)),"",Actuals!G45)</f>
        <v>-29716.98</v>
      </c>
      <c r="O69" s="113" t="n">
        <f aca="false">Budget!G45</f>
        <v>-4166.67</v>
      </c>
      <c r="P69" s="113" t="n">
        <f aca="false">IF(N69="","",N69-O69)</f>
        <v>-25550.31</v>
      </c>
      <c r="Q69" s="113" t="n">
        <f aca="false">IF(OR(6&gt;$B$27,ISBLANK(Actuals!H45)),"",Actuals!H45)</f>
        <v>-11335.64</v>
      </c>
      <c r="R69" s="113" t="n">
        <f aca="false">Budget!H45</f>
        <v>-4166.67</v>
      </c>
      <c r="S69" s="113" t="n">
        <f aca="false">IF(Q69="","",Q69-R69)</f>
        <v>-7168.97</v>
      </c>
      <c r="T69" s="113" t="n">
        <f aca="false">IF(OR(7&gt;$B$27,ISBLANK(Actuals!I45)),"",Actuals!I45)</f>
        <v>-11387.12</v>
      </c>
      <c r="U69" s="113" t="n">
        <f aca="false">Budget!I45</f>
        <v>-4250</v>
      </c>
      <c r="V69" s="113" t="n">
        <f aca="false">IF(T69="","",T69-U69)</f>
        <v>-7137.12</v>
      </c>
      <c r="W69" s="113" t="n">
        <f aca="false">IF(OR(8&gt;$B$27,ISBLANK(Actuals!J45)),"",Actuals!J45)</f>
        <v>-19873.14</v>
      </c>
      <c r="X69" s="113" t="n">
        <f aca="false">Budget!J45</f>
        <v>-4250</v>
      </c>
      <c r="Y69" s="113" t="n">
        <f aca="false">IF(W69="","",W69-X69)</f>
        <v>-15623.14</v>
      </c>
      <c r="Z69" s="113" t="n">
        <f aca="false">IF(OR(9&gt;$B$27,ISBLANK(Actuals!K45)),"",Actuals!K45)</f>
        <v>42.99</v>
      </c>
      <c r="AA69" s="113" t="n">
        <f aca="false">Budget!K45</f>
        <v>-4250</v>
      </c>
      <c r="AB69" s="113" t="n">
        <f aca="false">IF(Z69="","",Z69-AA69)</f>
        <v>4292.99</v>
      </c>
      <c r="AC69" s="113" t="str">
        <f aca="false">IF(OR(10&gt;$B$27,ISBLANK(Actuals!L45)),"",Actuals!L45)</f>
        <v/>
      </c>
      <c r="AD69" s="113" t="n">
        <f aca="false">Budget!L45</f>
        <v>-4250</v>
      </c>
      <c r="AE69" s="113" t="str">
        <f aca="false">IF(AC69="","",AC69-AD69)</f>
        <v/>
      </c>
      <c r="AF69" s="113" t="str">
        <f aca="false">IF(OR(11&gt;$B$27,ISBLANK(Actuals!M45)),"",Actuals!M45)</f>
        <v/>
      </c>
      <c r="AG69" s="113" t="n">
        <f aca="false">Budget!M45</f>
        <v>-4250</v>
      </c>
      <c r="AH69" s="113" t="str">
        <f aca="false">IF(AF69="","",AF69-AG69)</f>
        <v/>
      </c>
      <c r="AI69" s="113" t="str">
        <f aca="false">IF(OR(12&gt;$B$27,ISBLANK(Actuals!N45)),"",Actuals!N45)</f>
        <v/>
      </c>
      <c r="AJ69" s="113" t="n">
        <f aca="false">Budget!N45</f>
        <v>-4250</v>
      </c>
      <c r="AK69" s="113" t="str">
        <f aca="false">IF(AI69="","",AI69-AJ69)</f>
        <v/>
      </c>
      <c r="AL69" s="116" t="n">
        <f aca="false">SUM(Actuals!$C45:INDEX(Actuals!$C45:$N45,$B$27))</f>
        <v>-142133.06</v>
      </c>
      <c r="AM69" s="116" t="n">
        <f aca="false">SUM(Budget!$C45:INDEX(Budget!$C45:$N45,$B$27))</f>
        <v>-37750.02</v>
      </c>
      <c r="AN69" s="116" t="n">
        <f aca="false">AL69-AM69</f>
        <v>-104383.04</v>
      </c>
      <c r="AP69" s="114" t="s">
        <v>432</v>
      </c>
    </row>
    <row r="70" customFormat="false" ht="15" hidden="false" customHeight="true" outlineLevel="1" collapsed="false">
      <c r="A70" s="109" t="s">
        <v>89</v>
      </c>
      <c r="B70" s="113" t="n">
        <f aca="false">IF(OR(1&gt;$B$27,ISBLANK(Actuals!C46)),"",Actuals!C46)</f>
        <v>-1909.98</v>
      </c>
      <c r="C70" s="113" t="n">
        <f aca="false">Budget!C46</f>
        <v>-1000</v>
      </c>
      <c r="D70" s="113" t="n">
        <f aca="false">IF(B70="","",B70-C70)</f>
        <v>-909.98</v>
      </c>
      <c r="E70" s="113" t="n">
        <f aca="false">IF(OR(2&gt;$B$27,ISBLANK(Actuals!D46)),"",Actuals!D46)</f>
        <v>-190.1</v>
      </c>
      <c r="F70" s="113" t="n">
        <f aca="false">Budget!D46</f>
        <v>-1000</v>
      </c>
      <c r="G70" s="113" t="n">
        <f aca="false">IF(E70="","",E70-F70)</f>
        <v>809.9</v>
      </c>
      <c r="H70" s="113" t="n">
        <f aca="false">IF(OR(3&gt;$B$27,ISBLANK(Actuals!E46)),"",Actuals!E46)</f>
        <v>-2166.92</v>
      </c>
      <c r="I70" s="113" t="n">
        <f aca="false">Budget!E46</f>
        <v>-1000</v>
      </c>
      <c r="J70" s="113" t="n">
        <f aca="false">IF(H70="","",H70-I70)</f>
        <v>-1166.92</v>
      </c>
      <c r="K70" s="113" t="n">
        <f aca="false">IF(OR(4&gt;$B$27,ISBLANK(Actuals!F46)),"",Actuals!F46)</f>
        <v>-1816.95</v>
      </c>
      <c r="L70" s="113" t="n">
        <f aca="false">Budget!F46</f>
        <v>-1000</v>
      </c>
      <c r="M70" s="113" t="n">
        <f aca="false">IF(K70="","",K70-L70)</f>
        <v>-816.95</v>
      </c>
      <c r="N70" s="113" t="n">
        <f aca="false">IF(OR(5&gt;$B$27,ISBLANK(Actuals!G46)),"",Actuals!G46)</f>
        <v>-1452.9</v>
      </c>
      <c r="O70" s="113" t="n">
        <f aca="false">Budget!G46</f>
        <v>-1000</v>
      </c>
      <c r="P70" s="113" t="n">
        <f aca="false">IF(N70="","",N70-O70)</f>
        <v>-452.9</v>
      </c>
      <c r="Q70" s="113" t="n">
        <f aca="false">IF(OR(6&gt;$B$27,ISBLANK(Actuals!H46)),"",Actuals!H46)</f>
        <v>-13918.31</v>
      </c>
      <c r="R70" s="113" t="n">
        <f aca="false">Budget!H46</f>
        <v>-1000</v>
      </c>
      <c r="S70" s="113" t="n">
        <f aca="false">IF(Q70="","",Q70-R70)</f>
        <v>-12918.31</v>
      </c>
      <c r="T70" s="113" t="n">
        <f aca="false">IF(OR(7&gt;$B$27,ISBLANK(Actuals!I46)),"",Actuals!I46)</f>
        <v>9546.02</v>
      </c>
      <c r="U70" s="113" t="n">
        <f aca="false">Budget!I46</f>
        <v>-1020</v>
      </c>
      <c r="V70" s="113" t="n">
        <f aca="false">IF(T70="","",T70-U70)</f>
        <v>10566.02</v>
      </c>
      <c r="W70" s="113" t="n">
        <f aca="false">IF(OR(8&gt;$B$27,ISBLANK(Actuals!J46)),"",Actuals!J46)</f>
        <v>-840.61</v>
      </c>
      <c r="X70" s="113" t="n">
        <f aca="false">Budget!J46</f>
        <v>-1020</v>
      </c>
      <c r="Y70" s="113" t="n">
        <f aca="false">IF(W70="","",W70-X70)</f>
        <v>179.39</v>
      </c>
      <c r="Z70" s="113" t="n">
        <f aca="false">IF(OR(9&gt;$B$27,ISBLANK(Actuals!K46)),"",Actuals!K46)</f>
        <v>-941.44</v>
      </c>
      <c r="AA70" s="113" t="n">
        <f aca="false">Budget!K46</f>
        <v>-1020</v>
      </c>
      <c r="AB70" s="113" t="n">
        <f aca="false">IF(Z70="","",Z70-AA70)</f>
        <v>78.56</v>
      </c>
      <c r="AC70" s="113" t="str">
        <f aca="false">IF(OR(10&gt;$B$27,ISBLANK(Actuals!L46)),"",Actuals!L46)</f>
        <v/>
      </c>
      <c r="AD70" s="113" t="n">
        <f aca="false">Budget!L46</f>
        <v>-1020</v>
      </c>
      <c r="AE70" s="113" t="str">
        <f aca="false">IF(AC70="","",AC70-AD70)</f>
        <v/>
      </c>
      <c r="AF70" s="113" t="str">
        <f aca="false">IF(OR(11&gt;$B$27,ISBLANK(Actuals!M46)),"",Actuals!M46)</f>
        <v/>
      </c>
      <c r="AG70" s="113" t="n">
        <f aca="false">Budget!M46</f>
        <v>-1020</v>
      </c>
      <c r="AH70" s="113" t="str">
        <f aca="false">IF(AF70="","",AF70-AG70)</f>
        <v/>
      </c>
      <c r="AI70" s="113" t="str">
        <f aca="false">IF(OR(12&gt;$B$27,ISBLANK(Actuals!N46)),"",Actuals!N46)</f>
        <v/>
      </c>
      <c r="AJ70" s="113" t="n">
        <f aca="false">Budget!N46</f>
        <v>-1020</v>
      </c>
      <c r="AK70" s="113" t="str">
        <f aca="false">IF(AI70="","",AI70-AJ70)</f>
        <v/>
      </c>
      <c r="AL70" s="116" t="n">
        <f aca="false">SUM(Actuals!$C46:INDEX(Actuals!$C46:$N46,$B$27))</f>
        <v>-13691.19</v>
      </c>
      <c r="AM70" s="116" t="n">
        <f aca="false">SUM(Budget!$C46:INDEX(Budget!$C46:$N46,$B$27))</f>
        <v>-9060</v>
      </c>
      <c r="AN70" s="116" t="n">
        <f aca="false">AL70-AM70</f>
        <v>-4631.19</v>
      </c>
    </row>
    <row r="71" customFormat="false" ht="15" hidden="false" customHeight="true" outlineLevel="1" collapsed="false">
      <c r="A71" s="109" t="s">
        <v>90</v>
      </c>
      <c r="B71" s="113" t="n">
        <f aca="false">IF(OR(1&gt;$B$27,ISBLANK(Actuals!C47)),"",Actuals!C47)</f>
        <v>-320</v>
      </c>
      <c r="C71" s="113" t="n">
        <f aca="false">Budget!C47</f>
        <v>0</v>
      </c>
      <c r="D71" s="113" t="n">
        <f aca="false">IF(B71="","",B71-C71)</f>
        <v>-320</v>
      </c>
      <c r="E71" s="113" t="n">
        <f aca="false">IF(OR(2&gt;$B$27,ISBLANK(Actuals!D47)),"",Actuals!D47)</f>
        <v>-160</v>
      </c>
      <c r="F71" s="113" t="n">
        <f aca="false">Budget!D47</f>
        <v>0</v>
      </c>
      <c r="G71" s="113" t="n">
        <f aca="false">IF(E71="","",E71-F71)</f>
        <v>-160</v>
      </c>
      <c r="H71" s="113" t="n">
        <f aca="false">IF(OR(3&gt;$B$27,ISBLANK(Actuals!E47)),"",Actuals!E47)</f>
        <v>0</v>
      </c>
      <c r="I71" s="113" t="n">
        <f aca="false">Budget!E47</f>
        <v>0</v>
      </c>
      <c r="J71" s="113" t="n">
        <f aca="false">IF(H71="","",H71-I71)</f>
        <v>0</v>
      </c>
      <c r="K71" s="113" t="n">
        <f aca="false">IF(OR(4&gt;$B$27,ISBLANK(Actuals!F47)),"",Actuals!F47)</f>
        <v>0</v>
      </c>
      <c r="L71" s="113" t="n">
        <f aca="false">Budget!F47</f>
        <v>0</v>
      </c>
      <c r="M71" s="113" t="n">
        <f aca="false">IF(K71="","",K71-L71)</f>
        <v>0</v>
      </c>
      <c r="N71" s="113" t="n">
        <f aca="false">IF(OR(5&gt;$B$27,ISBLANK(Actuals!G47)),"",Actuals!G47)</f>
        <v>-320</v>
      </c>
      <c r="O71" s="113" t="n">
        <f aca="false">Budget!G47</f>
        <v>0</v>
      </c>
      <c r="P71" s="113" t="n">
        <f aca="false">IF(N71="","",N71-O71)</f>
        <v>-320</v>
      </c>
      <c r="Q71" s="113" t="n">
        <f aca="false">IF(OR(6&gt;$B$27,ISBLANK(Actuals!H47)),"",Actuals!H47)</f>
        <v>-320</v>
      </c>
      <c r="R71" s="113" t="n">
        <f aca="false">Budget!H47</f>
        <v>0</v>
      </c>
      <c r="S71" s="113" t="n">
        <f aca="false">IF(Q71="","",Q71-R71)</f>
        <v>-320</v>
      </c>
      <c r="T71" s="113" t="n">
        <f aca="false">IF(OR(7&gt;$B$27,ISBLANK(Actuals!I47)),"",Actuals!I47)</f>
        <v>0</v>
      </c>
      <c r="U71" s="113" t="n">
        <f aca="false">Budget!I47</f>
        <v>0</v>
      </c>
      <c r="V71" s="113" t="n">
        <f aca="false">IF(T71="","",T71-U71)</f>
        <v>0</v>
      </c>
      <c r="W71" s="113" t="n">
        <f aca="false">IF(OR(8&gt;$B$27,ISBLANK(Actuals!J47)),"",Actuals!J47)</f>
        <v>-160</v>
      </c>
      <c r="X71" s="113" t="n">
        <f aca="false">Budget!J47</f>
        <v>0</v>
      </c>
      <c r="Y71" s="113" t="n">
        <f aca="false">IF(W71="","",W71-X71)</f>
        <v>-160</v>
      </c>
      <c r="Z71" s="113" t="n">
        <f aca="false">IF(OR(9&gt;$B$27,ISBLANK(Actuals!K47)),"",Actuals!K47)</f>
        <v>-160</v>
      </c>
      <c r="AA71" s="113" t="n">
        <f aca="false">Budget!K47</f>
        <v>0</v>
      </c>
      <c r="AB71" s="113" t="n">
        <f aca="false">IF(Z71="","",Z71-AA71)</f>
        <v>-160</v>
      </c>
      <c r="AC71" s="113" t="str">
        <f aca="false">IF(OR(10&gt;$B$27,ISBLANK(Actuals!L47)),"",Actuals!L47)</f>
        <v/>
      </c>
      <c r="AD71" s="113" t="n">
        <f aca="false">Budget!L47</f>
        <v>0</v>
      </c>
      <c r="AE71" s="113" t="str">
        <f aca="false">IF(AC71="","",AC71-AD71)</f>
        <v/>
      </c>
      <c r="AF71" s="113" t="str">
        <f aca="false">IF(OR(11&gt;$B$27,ISBLANK(Actuals!M47)),"",Actuals!M47)</f>
        <v/>
      </c>
      <c r="AG71" s="113" t="n">
        <f aca="false">Budget!M47</f>
        <v>0</v>
      </c>
      <c r="AH71" s="113" t="str">
        <f aca="false">IF(AF71="","",AF71-AG71)</f>
        <v/>
      </c>
      <c r="AI71" s="113" t="str">
        <f aca="false">IF(OR(12&gt;$B$27,ISBLANK(Actuals!N47)),"",Actuals!N47)</f>
        <v/>
      </c>
      <c r="AJ71" s="113" t="n">
        <f aca="false">Budget!N47</f>
        <v>0</v>
      </c>
      <c r="AK71" s="113" t="str">
        <f aca="false">IF(AI71="","",AI71-AJ71)</f>
        <v/>
      </c>
      <c r="AL71" s="116" t="n">
        <f aca="false">SUM(Actuals!$C47:INDEX(Actuals!$C47:$N47,$B$27))</f>
        <v>-1440</v>
      </c>
      <c r="AM71" s="116" t="n">
        <f aca="false">SUM(Budget!$C47:INDEX(Budget!$C47:$N47,$B$27))</f>
        <v>0</v>
      </c>
      <c r="AN71" s="116" t="n">
        <f aca="false">AL71-AM71</f>
        <v>-1440</v>
      </c>
    </row>
    <row r="72" customFormat="false" ht="15" hidden="false" customHeight="true" outlineLevel="1" collapsed="false">
      <c r="A72" s="109" t="s">
        <v>91</v>
      </c>
      <c r="B72" s="113" t="n">
        <f aca="false">IF(OR(1&gt;$B$27,ISBLANK(Actuals!C48)),"",Actuals!C48)</f>
        <v>-17660.72</v>
      </c>
      <c r="C72" s="113" t="n">
        <f aca="false">Budget!C48</f>
        <v>-4166.67</v>
      </c>
      <c r="D72" s="113" t="n">
        <f aca="false">IF(B72="","",B72-C72)</f>
        <v>-13494.05</v>
      </c>
      <c r="E72" s="113" t="n">
        <f aca="false">IF(OR(2&gt;$B$27,ISBLANK(Actuals!D48)),"",Actuals!D48)</f>
        <v>-5799</v>
      </c>
      <c r="F72" s="113" t="n">
        <f aca="false">Budget!D48</f>
        <v>-4166.67</v>
      </c>
      <c r="G72" s="113" t="n">
        <f aca="false">IF(E72="","",E72-F72)</f>
        <v>-1632.33</v>
      </c>
      <c r="H72" s="113" t="n">
        <f aca="false">IF(OR(3&gt;$B$27,ISBLANK(Actuals!E48)),"",Actuals!E48)</f>
        <v>-3432.18</v>
      </c>
      <c r="I72" s="113" t="n">
        <f aca="false">Budget!E48</f>
        <v>-4166.67</v>
      </c>
      <c r="J72" s="113" t="n">
        <f aca="false">IF(H72="","",H72-I72)</f>
        <v>734.49</v>
      </c>
      <c r="K72" s="113" t="n">
        <f aca="false">IF(OR(4&gt;$B$27,ISBLANK(Actuals!F48)),"",Actuals!F48)</f>
        <v>0</v>
      </c>
      <c r="L72" s="113" t="n">
        <f aca="false">Budget!F48</f>
        <v>-4166.67</v>
      </c>
      <c r="M72" s="113" t="n">
        <f aca="false">IF(K72="","",K72-L72)</f>
        <v>4166.67</v>
      </c>
      <c r="N72" s="113" t="n">
        <f aca="false">IF(OR(5&gt;$B$27,ISBLANK(Actuals!G48)),"",Actuals!G48)</f>
        <v>-73874.29</v>
      </c>
      <c r="O72" s="113" t="n">
        <f aca="false">Budget!G48</f>
        <v>-4166.67</v>
      </c>
      <c r="P72" s="113" t="n">
        <f aca="false">IF(N72="","",N72-O72)</f>
        <v>-69707.62</v>
      </c>
      <c r="Q72" s="113" t="n">
        <f aca="false">IF(OR(6&gt;$B$27,ISBLANK(Actuals!H48)),"",Actuals!H48)</f>
        <v>0</v>
      </c>
      <c r="R72" s="113" t="n">
        <f aca="false">Budget!H48</f>
        <v>-4166.67</v>
      </c>
      <c r="S72" s="113" t="n">
        <f aca="false">IF(Q72="","",Q72-R72)</f>
        <v>4166.67</v>
      </c>
      <c r="T72" s="113" t="n">
        <f aca="false">IF(OR(7&gt;$B$27,ISBLANK(Actuals!I48)),"",Actuals!I48)</f>
        <v>0</v>
      </c>
      <c r="U72" s="113" t="n">
        <f aca="false">Budget!I48</f>
        <v>-4250</v>
      </c>
      <c r="V72" s="113" t="n">
        <f aca="false">IF(T72="","",T72-U72)</f>
        <v>4250</v>
      </c>
      <c r="W72" s="113" t="n">
        <f aca="false">IF(OR(8&gt;$B$27,ISBLANK(Actuals!J48)),"",Actuals!J48)</f>
        <v>-1372.32</v>
      </c>
      <c r="X72" s="113" t="n">
        <f aca="false">Budget!J48</f>
        <v>-4250</v>
      </c>
      <c r="Y72" s="113" t="n">
        <f aca="false">IF(W72="","",W72-X72)</f>
        <v>2877.68</v>
      </c>
      <c r="Z72" s="113" t="n">
        <f aca="false">IF(OR(9&gt;$B$27,ISBLANK(Actuals!K48)),"",Actuals!K48)</f>
        <v>0</v>
      </c>
      <c r="AA72" s="113" t="n">
        <f aca="false">Budget!K48</f>
        <v>-4250</v>
      </c>
      <c r="AB72" s="113" t="n">
        <f aca="false">IF(Z72="","",Z72-AA72)</f>
        <v>4250</v>
      </c>
      <c r="AC72" s="113" t="str">
        <f aca="false">IF(OR(10&gt;$B$27,ISBLANK(Actuals!L48)),"",Actuals!L48)</f>
        <v/>
      </c>
      <c r="AD72" s="113" t="n">
        <f aca="false">Budget!L48</f>
        <v>-4250</v>
      </c>
      <c r="AE72" s="113" t="str">
        <f aca="false">IF(AC72="","",AC72-AD72)</f>
        <v/>
      </c>
      <c r="AF72" s="113" t="str">
        <f aca="false">IF(OR(11&gt;$B$27,ISBLANK(Actuals!M48)),"",Actuals!M48)</f>
        <v/>
      </c>
      <c r="AG72" s="113" t="n">
        <f aca="false">Budget!M48</f>
        <v>-4250</v>
      </c>
      <c r="AH72" s="113" t="str">
        <f aca="false">IF(AF72="","",AF72-AG72)</f>
        <v/>
      </c>
      <c r="AI72" s="113" t="str">
        <f aca="false">IF(OR(12&gt;$B$27,ISBLANK(Actuals!N48)),"",Actuals!N48)</f>
        <v/>
      </c>
      <c r="AJ72" s="113" t="n">
        <f aca="false">Budget!N48</f>
        <v>-4250</v>
      </c>
      <c r="AK72" s="113" t="str">
        <f aca="false">IF(AI72="","",AI72-AJ72)</f>
        <v/>
      </c>
      <c r="AL72" s="116" t="n">
        <f aca="false">SUM(Actuals!$C48:INDEX(Actuals!$C48:$N48,$B$27))</f>
        <v>-102138.51</v>
      </c>
      <c r="AM72" s="116" t="n">
        <f aca="false">SUM(Budget!$C48:INDEX(Budget!$C48:$N48,$B$27))</f>
        <v>-37750.02</v>
      </c>
      <c r="AN72" s="116" t="n">
        <f aca="false">AL72-AM72</f>
        <v>-64388.49</v>
      </c>
      <c r="AP72" s="114" t="s">
        <v>433</v>
      </c>
    </row>
    <row r="73" customFormat="false" ht="15" hidden="false" customHeight="true" outlineLevel="1" collapsed="false">
      <c r="A73" s="109" t="s">
        <v>92</v>
      </c>
      <c r="B73" s="113" t="n">
        <f aca="false">IF(OR(1&gt;$B$27,ISBLANK(Actuals!C49)),"",Actuals!C49)</f>
        <v>-1913.91</v>
      </c>
      <c r="C73" s="113" t="n">
        <f aca="false">Budget!C49</f>
        <v>0</v>
      </c>
      <c r="D73" s="113" t="n">
        <f aca="false">IF(B73="","",B73-C73)</f>
        <v>-1913.91</v>
      </c>
      <c r="E73" s="113" t="n">
        <f aca="false">IF(OR(2&gt;$B$27,ISBLANK(Actuals!D49)),"",Actuals!D49)</f>
        <v>-2254.72</v>
      </c>
      <c r="F73" s="113" t="n">
        <f aca="false">Budget!D49</f>
        <v>0</v>
      </c>
      <c r="G73" s="113" t="n">
        <f aca="false">IF(E73="","",E73-F73)</f>
        <v>-2254.72</v>
      </c>
      <c r="H73" s="113" t="n">
        <f aca="false">IF(OR(3&gt;$B$27,ISBLANK(Actuals!E49)),"",Actuals!E49)</f>
        <v>-1913.91</v>
      </c>
      <c r="I73" s="113" t="n">
        <f aca="false">Budget!E49</f>
        <v>0</v>
      </c>
      <c r="J73" s="113" t="n">
        <f aca="false">IF(H73="","",H73-I73)</f>
        <v>-1913.91</v>
      </c>
      <c r="K73" s="113" t="n">
        <f aca="false">IF(OR(4&gt;$B$27,ISBLANK(Actuals!F49)),"",Actuals!F49)</f>
        <v>-1609.91</v>
      </c>
      <c r="L73" s="113" t="n">
        <f aca="false">Budget!F49</f>
        <v>0</v>
      </c>
      <c r="M73" s="113" t="n">
        <f aca="false">IF(K73="","",K73-L73)</f>
        <v>-1609.91</v>
      </c>
      <c r="N73" s="113" t="n">
        <f aca="false">IF(OR(5&gt;$B$27,ISBLANK(Actuals!G49)),"",Actuals!G49)</f>
        <v>-2760.86</v>
      </c>
      <c r="O73" s="113" t="n">
        <f aca="false">Budget!G49</f>
        <v>0</v>
      </c>
      <c r="P73" s="113" t="n">
        <f aca="false">IF(N73="","",N73-O73)</f>
        <v>-2760.86</v>
      </c>
      <c r="Q73" s="113" t="n">
        <f aca="false">IF(OR(6&gt;$B$27,ISBLANK(Actuals!H49)),"",Actuals!H49)</f>
        <v>0</v>
      </c>
      <c r="R73" s="113" t="n">
        <f aca="false">Budget!H49</f>
        <v>0</v>
      </c>
      <c r="S73" s="113" t="n">
        <f aca="false">IF(Q73="","",Q73-R73)</f>
        <v>0</v>
      </c>
      <c r="T73" s="113" t="n">
        <f aca="false">IF(OR(7&gt;$B$27,ISBLANK(Actuals!I49)),"",Actuals!I49)</f>
        <v>0</v>
      </c>
      <c r="U73" s="113" t="n">
        <f aca="false">Budget!I49</f>
        <v>0</v>
      </c>
      <c r="V73" s="113" t="n">
        <f aca="false">IF(T73="","",T73-U73)</f>
        <v>0</v>
      </c>
      <c r="W73" s="113" t="n">
        <f aca="false">IF(OR(8&gt;$B$27,ISBLANK(Actuals!J49)),"",Actuals!J49)</f>
        <v>-11.02</v>
      </c>
      <c r="X73" s="113" t="n">
        <f aca="false">Budget!J49</f>
        <v>0</v>
      </c>
      <c r="Y73" s="113" t="n">
        <f aca="false">IF(W73="","",W73-X73)</f>
        <v>-11.02</v>
      </c>
      <c r="Z73" s="113" t="n">
        <f aca="false">IF(OR(9&gt;$B$27,ISBLANK(Actuals!K49)),"",Actuals!K49)</f>
        <v>-41.55</v>
      </c>
      <c r="AA73" s="113" t="n">
        <f aca="false">Budget!K49</f>
        <v>0</v>
      </c>
      <c r="AB73" s="113" t="n">
        <f aca="false">IF(Z73="","",Z73-AA73)</f>
        <v>-41.55</v>
      </c>
      <c r="AC73" s="113" t="str">
        <f aca="false">IF(OR(10&gt;$B$27,ISBLANK(Actuals!L49)),"",Actuals!L49)</f>
        <v/>
      </c>
      <c r="AD73" s="113" t="n">
        <f aca="false">Budget!L49</f>
        <v>0</v>
      </c>
      <c r="AE73" s="113" t="str">
        <f aca="false">IF(AC73="","",AC73-AD73)</f>
        <v/>
      </c>
      <c r="AF73" s="113" t="str">
        <f aca="false">IF(OR(11&gt;$B$27,ISBLANK(Actuals!M49)),"",Actuals!M49)</f>
        <v/>
      </c>
      <c r="AG73" s="113" t="n">
        <f aca="false">Budget!M49</f>
        <v>0</v>
      </c>
      <c r="AH73" s="113" t="str">
        <f aca="false">IF(AF73="","",AF73-AG73)</f>
        <v/>
      </c>
      <c r="AI73" s="113" t="str">
        <f aca="false">IF(OR(12&gt;$B$27,ISBLANK(Actuals!N49)),"",Actuals!N49)</f>
        <v/>
      </c>
      <c r="AJ73" s="113" t="n">
        <f aca="false">Budget!N49</f>
        <v>0</v>
      </c>
      <c r="AK73" s="113" t="str">
        <f aca="false">IF(AI73="","",AI73-AJ73)</f>
        <v/>
      </c>
      <c r="AL73" s="116" t="n">
        <f aca="false">SUM(Actuals!$C49:INDEX(Actuals!$C49:$N49,$B$27))</f>
        <v>-10505.88</v>
      </c>
      <c r="AM73" s="116" t="n">
        <f aca="false">SUM(Budget!$C49:INDEX(Budget!$C49:$N49,$B$27))</f>
        <v>0</v>
      </c>
      <c r="AN73" s="116" t="n">
        <f aca="false">AL73-AM73</f>
        <v>-10505.88</v>
      </c>
      <c r="AP73" s="114" t="s">
        <v>434</v>
      </c>
    </row>
    <row r="74" customFormat="false" ht="15" hidden="false" customHeight="true" outlineLevel="1" collapsed="false">
      <c r="A74" s="109" t="s">
        <v>93</v>
      </c>
      <c r="B74" s="113" t="n">
        <f aca="false">IF(OR(1&gt;$B$27,ISBLANK(Actuals!C50)),"",Actuals!C50)</f>
        <v>0</v>
      </c>
      <c r="C74" s="113" t="n">
        <f aca="false">Budget!C50</f>
        <v>-166.67</v>
      </c>
      <c r="D74" s="113" t="n">
        <f aca="false">IF(B74="","",B74-C74)</f>
        <v>166.67</v>
      </c>
      <c r="E74" s="113" t="n">
        <f aca="false">IF(OR(2&gt;$B$27,ISBLANK(Actuals!D50)),"",Actuals!D50)</f>
        <v>-75</v>
      </c>
      <c r="F74" s="113" t="n">
        <f aca="false">Budget!D50</f>
        <v>-166.67</v>
      </c>
      <c r="G74" s="113" t="n">
        <f aca="false">IF(E74="","",E74-F74)</f>
        <v>91.67</v>
      </c>
      <c r="H74" s="113" t="n">
        <f aca="false">IF(OR(3&gt;$B$27,ISBLANK(Actuals!E50)),"",Actuals!E50)</f>
        <v>-5</v>
      </c>
      <c r="I74" s="113" t="n">
        <f aca="false">Budget!E50</f>
        <v>-166.67</v>
      </c>
      <c r="J74" s="113" t="n">
        <f aca="false">IF(H74="","",H74-I74)</f>
        <v>161.67</v>
      </c>
      <c r="K74" s="113" t="n">
        <f aca="false">IF(OR(4&gt;$B$27,ISBLANK(Actuals!F50)),"",Actuals!F50)</f>
        <v>0</v>
      </c>
      <c r="L74" s="113" t="n">
        <f aca="false">Budget!F50</f>
        <v>-166.67</v>
      </c>
      <c r="M74" s="113" t="n">
        <f aca="false">IF(K74="","",K74-L74)</f>
        <v>166.67</v>
      </c>
      <c r="N74" s="113" t="n">
        <f aca="false">IF(OR(5&gt;$B$27,ISBLANK(Actuals!G50)),"",Actuals!G50)</f>
        <v>0</v>
      </c>
      <c r="O74" s="113" t="n">
        <f aca="false">Budget!G50</f>
        <v>-166.67</v>
      </c>
      <c r="P74" s="113" t="n">
        <f aca="false">IF(N74="","",N74-O74)</f>
        <v>166.67</v>
      </c>
      <c r="Q74" s="113" t="n">
        <f aca="false">IF(OR(6&gt;$B$27,ISBLANK(Actuals!H50)),"",Actuals!H50)</f>
        <v>0</v>
      </c>
      <c r="R74" s="113" t="n">
        <f aca="false">Budget!H50</f>
        <v>-166.67</v>
      </c>
      <c r="S74" s="113" t="n">
        <f aca="false">IF(Q74="","",Q74-R74)</f>
        <v>166.67</v>
      </c>
      <c r="T74" s="113" t="n">
        <f aca="false">IF(OR(7&gt;$B$27,ISBLANK(Actuals!I50)),"",Actuals!I50)</f>
        <v>-5</v>
      </c>
      <c r="U74" s="113" t="n">
        <f aca="false">Budget!I50</f>
        <v>-170</v>
      </c>
      <c r="V74" s="113" t="n">
        <f aca="false">IF(T74="","",T74-U74)</f>
        <v>165</v>
      </c>
      <c r="W74" s="113" t="n">
        <f aca="false">IF(OR(8&gt;$B$27,ISBLANK(Actuals!J50)),"",Actuals!J50)</f>
        <v>-50</v>
      </c>
      <c r="X74" s="113" t="n">
        <f aca="false">Budget!J50</f>
        <v>-170</v>
      </c>
      <c r="Y74" s="113" t="n">
        <f aca="false">IF(W74="","",W74-X74)</f>
        <v>120</v>
      </c>
      <c r="Z74" s="113" t="n">
        <f aca="false">IF(OR(9&gt;$B$27,ISBLANK(Actuals!K50)),"",Actuals!K50)</f>
        <v>-75</v>
      </c>
      <c r="AA74" s="113" t="n">
        <f aca="false">Budget!K50</f>
        <v>-170</v>
      </c>
      <c r="AB74" s="113" t="n">
        <f aca="false">IF(Z74="","",Z74-AA74)</f>
        <v>95</v>
      </c>
      <c r="AC74" s="113" t="str">
        <f aca="false">IF(OR(10&gt;$B$27,ISBLANK(Actuals!L50)),"",Actuals!L50)</f>
        <v/>
      </c>
      <c r="AD74" s="113" t="n">
        <f aca="false">Budget!L50</f>
        <v>-170</v>
      </c>
      <c r="AE74" s="113" t="str">
        <f aca="false">IF(AC74="","",AC74-AD74)</f>
        <v/>
      </c>
      <c r="AF74" s="113" t="str">
        <f aca="false">IF(OR(11&gt;$B$27,ISBLANK(Actuals!M50)),"",Actuals!M50)</f>
        <v/>
      </c>
      <c r="AG74" s="113" t="n">
        <f aca="false">Budget!M50</f>
        <v>-170</v>
      </c>
      <c r="AH74" s="113" t="str">
        <f aca="false">IF(AF74="","",AF74-AG74)</f>
        <v/>
      </c>
      <c r="AI74" s="113" t="str">
        <f aca="false">IF(OR(12&gt;$B$27,ISBLANK(Actuals!N50)),"",Actuals!N50)</f>
        <v/>
      </c>
      <c r="AJ74" s="113" t="n">
        <f aca="false">Budget!N50</f>
        <v>-170</v>
      </c>
      <c r="AK74" s="113" t="str">
        <f aca="false">IF(AI74="","",AI74-AJ74)</f>
        <v/>
      </c>
      <c r="AL74" s="116" t="n">
        <f aca="false">SUM(Actuals!$C50:INDEX(Actuals!$C50:$N50,$B$27))</f>
        <v>-210</v>
      </c>
      <c r="AM74" s="116" t="n">
        <f aca="false">SUM(Budget!$C50:INDEX(Budget!$C50:$N50,$B$27))</f>
        <v>-1510.02</v>
      </c>
      <c r="AN74" s="116" t="n">
        <f aca="false">AL74-AM74</f>
        <v>1300.02</v>
      </c>
    </row>
    <row r="75" customFormat="false" ht="15" hidden="false" customHeight="true" outlineLevel="1" collapsed="false">
      <c r="A75" s="109" t="s">
        <v>94</v>
      </c>
      <c r="B75" s="113" t="n">
        <f aca="false">IF(OR(1&gt;$B$27,ISBLANK(Actuals!C51)),"",Actuals!C51)</f>
        <v>0</v>
      </c>
      <c r="C75" s="113" t="n">
        <f aca="false">Budget!C51</f>
        <v>0</v>
      </c>
      <c r="D75" s="113" t="n">
        <f aca="false">IF(B75="","",B75-C75)</f>
        <v>0</v>
      </c>
      <c r="E75" s="113" t="n">
        <f aca="false">IF(OR(2&gt;$B$27,ISBLANK(Actuals!D51)),"",Actuals!D51)</f>
        <v>-63</v>
      </c>
      <c r="F75" s="113" t="n">
        <f aca="false">Budget!D51</f>
        <v>0</v>
      </c>
      <c r="G75" s="113" t="n">
        <f aca="false">IF(E75="","",E75-F75)</f>
        <v>-63</v>
      </c>
      <c r="H75" s="113" t="n">
        <f aca="false">IF(OR(3&gt;$B$27,ISBLANK(Actuals!E51)),"",Actuals!E51)</f>
        <v>0</v>
      </c>
      <c r="I75" s="113" t="n">
        <f aca="false">Budget!E51</f>
        <v>0</v>
      </c>
      <c r="J75" s="113" t="n">
        <f aca="false">IF(H75="","",H75-I75)</f>
        <v>0</v>
      </c>
      <c r="K75" s="113" t="n">
        <f aca="false">IF(OR(4&gt;$B$27,ISBLANK(Actuals!F51)),"",Actuals!F51)</f>
        <v>0</v>
      </c>
      <c r="L75" s="113" t="n">
        <f aca="false">Budget!F51</f>
        <v>0</v>
      </c>
      <c r="M75" s="113" t="n">
        <f aca="false">IF(K75="","",K75-L75)</f>
        <v>0</v>
      </c>
      <c r="N75" s="113" t="n">
        <f aca="false">IF(OR(5&gt;$B$27,ISBLANK(Actuals!G51)),"",Actuals!G51)</f>
        <v>0</v>
      </c>
      <c r="O75" s="113" t="n">
        <f aca="false">Budget!G51</f>
        <v>0</v>
      </c>
      <c r="P75" s="113" t="n">
        <f aca="false">IF(N75="","",N75-O75)</f>
        <v>0</v>
      </c>
      <c r="Q75" s="113" t="n">
        <f aca="false">IF(OR(6&gt;$B$27,ISBLANK(Actuals!H51)),"",Actuals!H51)</f>
        <v>0</v>
      </c>
      <c r="R75" s="113" t="n">
        <f aca="false">Budget!H51</f>
        <v>0</v>
      </c>
      <c r="S75" s="113" t="n">
        <f aca="false">IF(Q75="","",Q75-R75)</f>
        <v>0</v>
      </c>
      <c r="T75" s="113" t="n">
        <f aca="false">IF(OR(7&gt;$B$27,ISBLANK(Actuals!I51)),"",Actuals!I51)</f>
        <v>0</v>
      </c>
      <c r="U75" s="113" t="n">
        <f aca="false">Budget!I51</f>
        <v>0</v>
      </c>
      <c r="V75" s="113" t="n">
        <f aca="false">IF(T75="","",T75-U75)</f>
        <v>0</v>
      </c>
      <c r="W75" s="113" t="n">
        <f aca="false">IF(OR(8&gt;$B$27,ISBLANK(Actuals!J51)),"",Actuals!J51)</f>
        <v>0</v>
      </c>
      <c r="X75" s="113" t="n">
        <f aca="false">Budget!J51</f>
        <v>0</v>
      </c>
      <c r="Y75" s="113" t="n">
        <f aca="false">IF(W75="","",W75-X75)</f>
        <v>0</v>
      </c>
      <c r="Z75" s="113" t="n">
        <f aca="false">IF(OR(9&gt;$B$27,ISBLANK(Actuals!K51)),"",Actuals!K51)</f>
        <v>0</v>
      </c>
      <c r="AA75" s="113" t="n">
        <f aca="false">Budget!K51</f>
        <v>0</v>
      </c>
      <c r="AB75" s="113" t="n">
        <f aca="false">IF(Z75="","",Z75-AA75)</f>
        <v>0</v>
      </c>
      <c r="AC75" s="113" t="str">
        <f aca="false">IF(OR(10&gt;$B$27,ISBLANK(Actuals!L51)),"",Actuals!L51)</f>
        <v/>
      </c>
      <c r="AD75" s="113" t="n">
        <f aca="false">Budget!L51</f>
        <v>0</v>
      </c>
      <c r="AE75" s="113" t="str">
        <f aca="false">IF(AC75="","",AC75-AD75)</f>
        <v/>
      </c>
      <c r="AF75" s="113" t="str">
        <f aca="false">IF(OR(11&gt;$B$27,ISBLANK(Actuals!M51)),"",Actuals!M51)</f>
        <v/>
      </c>
      <c r="AG75" s="113" t="n">
        <f aca="false">Budget!M51</f>
        <v>0</v>
      </c>
      <c r="AH75" s="113" t="str">
        <f aca="false">IF(AF75="","",AF75-AG75)</f>
        <v/>
      </c>
      <c r="AI75" s="113" t="str">
        <f aca="false">IF(OR(12&gt;$B$27,ISBLANK(Actuals!N51)),"",Actuals!N51)</f>
        <v/>
      </c>
      <c r="AJ75" s="113" t="n">
        <f aca="false">Budget!N51</f>
        <v>0</v>
      </c>
      <c r="AK75" s="113" t="str">
        <f aca="false">IF(AI75="","",AI75-AJ75)</f>
        <v/>
      </c>
      <c r="AL75" s="116" t="n">
        <f aca="false">SUM(Actuals!$C51:INDEX(Actuals!$C51:$N51,$B$27))</f>
        <v>-63</v>
      </c>
      <c r="AM75" s="116" t="n">
        <f aca="false">SUM(Budget!$C51:INDEX(Budget!$C51:$N51,$B$27))</f>
        <v>0</v>
      </c>
      <c r="AN75" s="116" t="n">
        <f aca="false">AL75-AM75</f>
        <v>-63</v>
      </c>
    </row>
    <row r="76" customFormat="false" ht="15" hidden="false" customHeight="true" outlineLevel="1" collapsed="false">
      <c r="A76" s="109" t="s">
        <v>95</v>
      </c>
      <c r="B76" s="113" t="str">
        <f aca="false">IF(OR(1&gt;$B$27,ISBLANK(Actuals!C52)),"",Actuals!C52)</f>
        <v/>
      </c>
      <c r="C76" s="113" t="n">
        <f aca="false">Budget!C52</f>
        <v>0</v>
      </c>
      <c r="D76" s="113" t="str">
        <f aca="false">IF(B76="","",B76-C76)</f>
        <v/>
      </c>
      <c r="E76" s="113" t="str">
        <f aca="false">IF(OR(2&gt;$B$27,ISBLANK(Actuals!D52)),"",Actuals!D52)</f>
        <v/>
      </c>
      <c r="F76" s="113" t="n">
        <f aca="false">Budget!D52</f>
        <v>0</v>
      </c>
      <c r="G76" s="113" t="str">
        <f aca="false">IF(E76="","",E76-F76)</f>
        <v/>
      </c>
      <c r="H76" s="113" t="str">
        <f aca="false">IF(OR(3&gt;$B$27,ISBLANK(Actuals!E52)),"",Actuals!E52)</f>
        <v/>
      </c>
      <c r="I76" s="113" t="n">
        <f aca="false">Budget!E52</f>
        <v>0</v>
      </c>
      <c r="J76" s="113" t="str">
        <f aca="false">IF(H76="","",H76-I76)</f>
        <v/>
      </c>
      <c r="K76" s="113" t="str">
        <f aca="false">IF(OR(4&gt;$B$27,ISBLANK(Actuals!F52)),"",Actuals!F52)</f>
        <v/>
      </c>
      <c r="L76" s="113" t="n">
        <f aca="false">Budget!F52</f>
        <v>0</v>
      </c>
      <c r="M76" s="113" t="str">
        <f aca="false">IF(K76="","",K76-L76)</f>
        <v/>
      </c>
      <c r="N76" s="113" t="str">
        <f aca="false">IF(OR(5&gt;$B$27,ISBLANK(Actuals!G52)),"",Actuals!G52)</f>
        <v/>
      </c>
      <c r="O76" s="113" t="n">
        <f aca="false">Budget!G52</f>
        <v>0</v>
      </c>
      <c r="P76" s="113" t="str">
        <f aca="false">IF(N76="","",N76-O76)</f>
        <v/>
      </c>
      <c r="Q76" s="113" t="str">
        <f aca="false">IF(OR(6&gt;$B$27,ISBLANK(Actuals!H52)),"",Actuals!H52)</f>
        <v/>
      </c>
      <c r="R76" s="113" t="n">
        <f aca="false">Budget!H52</f>
        <v>0</v>
      </c>
      <c r="S76" s="113" t="str">
        <f aca="false">IF(Q76="","",Q76-R76)</f>
        <v/>
      </c>
      <c r="T76" s="113" t="str">
        <f aca="false">IF(OR(7&gt;$B$27,ISBLANK(Actuals!I52)),"",Actuals!I52)</f>
        <v/>
      </c>
      <c r="U76" s="113" t="n">
        <f aca="false">Budget!I52</f>
        <v>0</v>
      </c>
      <c r="V76" s="113" t="str">
        <f aca="false">IF(T76="","",T76-U76)</f>
        <v/>
      </c>
      <c r="W76" s="113" t="str">
        <f aca="false">IF(OR(8&gt;$B$27,ISBLANK(Actuals!J52)),"",Actuals!J52)</f>
        <v/>
      </c>
      <c r="X76" s="113" t="n">
        <f aca="false">Budget!J52</f>
        <v>0</v>
      </c>
      <c r="Y76" s="113" t="str">
        <f aca="false">IF(W76="","",W76-X76)</f>
        <v/>
      </c>
      <c r="Z76" s="113" t="str">
        <f aca="false">IF(OR(9&gt;$B$27,ISBLANK(Actuals!K52)),"",Actuals!K52)</f>
        <v/>
      </c>
      <c r="AA76" s="113" t="n">
        <f aca="false">Budget!K52</f>
        <v>0</v>
      </c>
      <c r="AB76" s="113" t="str">
        <f aca="false">IF(Z76="","",Z76-AA76)</f>
        <v/>
      </c>
      <c r="AC76" s="113" t="str">
        <f aca="false">IF(OR(10&gt;$B$27,ISBLANK(Actuals!L52)),"",Actuals!L52)</f>
        <v/>
      </c>
      <c r="AD76" s="113" t="n">
        <f aca="false">Budget!L52</f>
        <v>0</v>
      </c>
      <c r="AE76" s="113" t="str">
        <f aca="false">IF(AC76="","",AC76-AD76)</f>
        <v/>
      </c>
      <c r="AF76" s="113" t="str">
        <f aca="false">IF(OR(11&gt;$B$27,ISBLANK(Actuals!M52)),"",Actuals!M52)</f>
        <v/>
      </c>
      <c r="AG76" s="113" t="n">
        <f aca="false">Budget!M52</f>
        <v>0</v>
      </c>
      <c r="AH76" s="113" t="str">
        <f aca="false">IF(AF76="","",AF76-AG76)</f>
        <v/>
      </c>
      <c r="AI76" s="113" t="str">
        <f aca="false">IF(OR(12&gt;$B$27,ISBLANK(Actuals!N52)),"",Actuals!N52)</f>
        <v/>
      </c>
      <c r="AJ76" s="113" t="n">
        <f aca="false">Budget!N52</f>
        <v>0</v>
      </c>
      <c r="AK76" s="113" t="str">
        <f aca="false">IF(AI76="","",AI76-AJ76)</f>
        <v/>
      </c>
      <c r="AL76" s="116" t="n">
        <f aca="false">SUM(Actuals!$C52:INDEX(Actuals!$C52:$N52,$B$27))</f>
        <v>0</v>
      </c>
      <c r="AM76" s="116" t="n">
        <f aca="false">SUM(Budget!$C52:INDEX(Budget!$C52:$N52,$B$27))</f>
        <v>0</v>
      </c>
      <c r="AN76" s="116" t="n">
        <f aca="false">AL76-AM76</f>
        <v>0</v>
      </c>
    </row>
    <row r="77" customFormat="false" ht="15" hidden="false" customHeight="true" outlineLevel="1" collapsed="false">
      <c r="A77" s="109" t="s">
        <v>96</v>
      </c>
      <c r="B77" s="113" t="n">
        <f aca="false">IF(OR(1&gt;$B$27,ISBLANK(Actuals!C53)),"",Actuals!C53)</f>
        <v>0</v>
      </c>
      <c r="C77" s="113" t="n">
        <f aca="false">Budget!C53</f>
        <v>-416.67</v>
      </c>
      <c r="D77" s="113" t="n">
        <f aca="false">IF(B77="","",B77-C77)</f>
        <v>416.67</v>
      </c>
      <c r="E77" s="113" t="n">
        <f aca="false">IF(OR(2&gt;$B$27,ISBLANK(Actuals!D53)),"",Actuals!D53)</f>
        <v>0</v>
      </c>
      <c r="F77" s="113" t="n">
        <f aca="false">Budget!D53</f>
        <v>-416.67</v>
      </c>
      <c r="G77" s="113" t="n">
        <f aca="false">IF(E77="","",E77-F77)</f>
        <v>416.67</v>
      </c>
      <c r="H77" s="113" t="n">
        <f aca="false">IF(OR(3&gt;$B$27,ISBLANK(Actuals!E53)),"",Actuals!E53)</f>
        <v>-11105.35</v>
      </c>
      <c r="I77" s="113" t="n">
        <f aca="false">Budget!E53</f>
        <v>-416.67</v>
      </c>
      <c r="J77" s="113" t="n">
        <f aca="false">IF(H77="","",H77-I77)</f>
        <v>-10688.68</v>
      </c>
      <c r="K77" s="113" t="n">
        <f aca="false">IF(OR(4&gt;$B$27,ISBLANK(Actuals!F53)),"",Actuals!F53)</f>
        <v>0</v>
      </c>
      <c r="L77" s="113" t="n">
        <f aca="false">Budget!F53</f>
        <v>-416.67</v>
      </c>
      <c r="M77" s="113" t="n">
        <f aca="false">IF(K77="","",K77-L77)</f>
        <v>416.67</v>
      </c>
      <c r="N77" s="113" t="n">
        <f aca="false">IF(OR(5&gt;$B$27,ISBLANK(Actuals!G53)),"",Actuals!G53)</f>
        <v>0</v>
      </c>
      <c r="O77" s="113" t="n">
        <f aca="false">Budget!G53</f>
        <v>-416.67</v>
      </c>
      <c r="P77" s="113" t="n">
        <f aca="false">IF(N77="","",N77-O77)</f>
        <v>416.67</v>
      </c>
      <c r="Q77" s="113" t="n">
        <f aca="false">IF(OR(6&gt;$B$27,ISBLANK(Actuals!H53)),"",Actuals!H53)</f>
        <v>0</v>
      </c>
      <c r="R77" s="113" t="n">
        <f aca="false">Budget!H53</f>
        <v>-416.67</v>
      </c>
      <c r="S77" s="113" t="n">
        <f aca="false">IF(Q77="","",Q77-R77)</f>
        <v>416.67</v>
      </c>
      <c r="T77" s="113" t="n">
        <f aca="false">IF(OR(7&gt;$B$27,ISBLANK(Actuals!I53)),"",Actuals!I53)</f>
        <v>0</v>
      </c>
      <c r="U77" s="113" t="n">
        <f aca="false">Budget!I53</f>
        <v>-425</v>
      </c>
      <c r="V77" s="113" t="n">
        <f aca="false">IF(T77="","",T77-U77)</f>
        <v>425</v>
      </c>
      <c r="W77" s="113" t="n">
        <f aca="false">IF(OR(8&gt;$B$27,ISBLANK(Actuals!J53)),"",Actuals!J53)</f>
        <v>0</v>
      </c>
      <c r="X77" s="113" t="n">
        <f aca="false">Budget!J53</f>
        <v>-425</v>
      </c>
      <c r="Y77" s="113" t="n">
        <f aca="false">IF(W77="","",W77-X77)</f>
        <v>425</v>
      </c>
      <c r="Z77" s="113" t="n">
        <f aca="false">IF(OR(9&gt;$B$27,ISBLANK(Actuals!K53)),"",Actuals!K53)</f>
        <v>0</v>
      </c>
      <c r="AA77" s="113" t="n">
        <f aca="false">Budget!K53</f>
        <v>-425</v>
      </c>
      <c r="AB77" s="113" t="n">
        <f aca="false">IF(Z77="","",Z77-AA77)</f>
        <v>425</v>
      </c>
      <c r="AC77" s="113" t="str">
        <f aca="false">IF(OR(10&gt;$B$27,ISBLANK(Actuals!L53)),"",Actuals!L53)</f>
        <v/>
      </c>
      <c r="AD77" s="113" t="n">
        <f aca="false">Budget!L53</f>
        <v>-425</v>
      </c>
      <c r="AE77" s="113" t="str">
        <f aca="false">IF(AC77="","",AC77-AD77)</f>
        <v/>
      </c>
      <c r="AF77" s="113" t="str">
        <f aca="false">IF(OR(11&gt;$B$27,ISBLANK(Actuals!M53)),"",Actuals!M53)</f>
        <v/>
      </c>
      <c r="AG77" s="113" t="n">
        <f aca="false">Budget!M53</f>
        <v>-425</v>
      </c>
      <c r="AH77" s="113" t="str">
        <f aca="false">IF(AF77="","",AF77-AG77)</f>
        <v/>
      </c>
      <c r="AI77" s="113" t="str">
        <f aca="false">IF(OR(12&gt;$B$27,ISBLANK(Actuals!N53)),"",Actuals!N53)</f>
        <v/>
      </c>
      <c r="AJ77" s="113" t="n">
        <f aca="false">Budget!N53</f>
        <v>-425</v>
      </c>
      <c r="AK77" s="113" t="str">
        <f aca="false">IF(AI77="","",AI77-AJ77)</f>
        <v/>
      </c>
      <c r="AL77" s="116" t="n">
        <f aca="false">SUM(Actuals!$C53:INDEX(Actuals!$C53:$N53,$B$27))</f>
        <v>-11105.35</v>
      </c>
      <c r="AM77" s="116" t="n">
        <f aca="false">SUM(Budget!$C53:INDEX(Budget!$C53:$N53,$B$27))</f>
        <v>-3775.02</v>
      </c>
      <c r="AN77" s="116" t="n">
        <f aca="false">AL77-AM77</f>
        <v>-7330.33</v>
      </c>
      <c r="AP77" s="114" t="s">
        <v>435</v>
      </c>
    </row>
    <row r="78" customFormat="false" ht="15" hidden="false" customHeight="true" outlineLevel="1" collapsed="false">
      <c r="A78" s="109" t="s">
        <v>359</v>
      </c>
      <c r="B78" s="113" t="str">
        <f aca="false">IF(OR(1&gt;$B$27,ISBLANK(Actuals!C54)),"",Actuals!C54)</f>
        <v/>
      </c>
      <c r="C78" s="113" t="n">
        <f aca="false">Budget!C54</f>
        <v>0</v>
      </c>
      <c r="D78" s="113" t="str">
        <f aca="false">IF(B78="","",B78-C78)</f>
        <v/>
      </c>
      <c r="E78" s="113" t="str">
        <f aca="false">IF(OR(2&gt;$B$27,ISBLANK(Actuals!D54)),"",Actuals!D54)</f>
        <v/>
      </c>
      <c r="F78" s="113" t="n">
        <f aca="false">Budget!D54</f>
        <v>0</v>
      </c>
      <c r="G78" s="113" t="str">
        <f aca="false">IF(E78="","",E78-F78)</f>
        <v/>
      </c>
      <c r="H78" s="113" t="str">
        <f aca="false">IF(OR(3&gt;$B$27,ISBLANK(Actuals!E54)),"",Actuals!E54)</f>
        <v/>
      </c>
      <c r="I78" s="113" t="n">
        <f aca="false">Budget!E54</f>
        <v>0</v>
      </c>
      <c r="J78" s="113" t="str">
        <f aca="false">IF(H78="","",H78-I78)</f>
        <v/>
      </c>
      <c r="K78" s="113" t="str">
        <f aca="false">IF(OR(4&gt;$B$27,ISBLANK(Actuals!F54)),"",Actuals!F54)</f>
        <v/>
      </c>
      <c r="L78" s="113" t="n">
        <f aca="false">Budget!F54</f>
        <v>0</v>
      </c>
      <c r="M78" s="113" t="str">
        <f aca="false">IF(K78="","",K78-L78)</f>
        <v/>
      </c>
      <c r="N78" s="113" t="str">
        <f aca="false">IF(OR(5&gt;$B$27,ISBLANK(Actuals!G54)),"",Actuals!G54)</f>
        <v/>
      </c>
      <c r="O78" s="113" t="n">
        <f aca="false">Budget!G54</f>
        <v>0</v>
      </c>
      <c r="P78" s="113" t="str">
        <f aca="false">IF(N78="","",N78-O78)</f>
        <v/>
      </c>
      <c r="Q78" s="113" t="n">
        <f aca="false">IF(OR(6&gt;$B$27,ISBLANK(Actuals!H54)),"",Actuals!H54)</f>
        <v>-612.68</v>
      </c>
      <c r="R78" s="113" t="n">
        <f aca="false">Budget!H54</f>
        <v>0</v>
      </c>
      <c r="S78" s="113" t="n">
        <f aca="false">IF(Q78="","",Q78-R78)</f>
        <v>-612.68</v>
      </c>
      <c r="T78" s="113" t="n">
        <f aca="false">IF(OR(7&gt;$B$27,ISBLANK(Actuals!I54)),"",Actuals!I54)</f>
        <v>-1609.91</v>
      </c>
      <c r="U78" s="113" t="n">
        <f aca="false">Budget!I54</f>
        <v>0</v>
      </c>
      <c r="V78" s="113" t="n">
        <f aca="false">IF(T78="","",T78-U78)</f>
        <v>-1609.91</v>
      </c>
      <c r="W78" s="113" t="n">
        <f aca="false">IF(OR(8&gt;$B$27,ISBLANK(Actuals!J54)),"",Actuals!J54)</f>
        <v>-1609.91</v>
      </c>
      <c r="X78" s="113" t="n">
        <f aca="false">Budget!J54</f>
        <v>0</v>
      </c>
      <c r="Y78" s="113" t="n">
        <f aca="false">IF(W78="","",W78-X78)</f>
        <v>-1609.91</v>
      </c>
      <c r="Z78" s="113" t="n">
        <f aca="false">IF(OR(9&gt;$B$27,ISBLANK(Actuals!K54)),"",Actuals!K54)</f>
        <v>-1609.91</v>
      </c>
      <c r="AA78" s="113" t="n">
        <f aca="false">Budget!K54</f>
        <v>0</v>
      </c>
      <c r="AB78" s="113" t="n">
        <f aca="false">IF(Z78="","",Z78-AA78)</f>
        <v>-1609.91</v>
      </c>
      <c r="AC78" s="113" t="str">
        <f aca="false">IF(OR(10&gt;$B$27,ISBLANK(Actuals!L54)),"",Actuals!L54)</f>
        <v/>
      </c>
      <c r="AD78" s="113" t="n">
        <f aca="false">Budget!L54</f>
        <v>0</v>
      </c>
      <c r="AE78" s="113" t="str">
        <f aca="false">IF(AC78="","",AC78-AD78)</f>
        <v/>
      </c>
      <c r="AF78" s="113" t="str">
        <f aca="false">IF(OR(11&gt;$B$27,ISBLANK(Actuals!M54)),"",Actuals!M54)</f>
        <v/>
      </c>
      <c r="AG78" s="113" t="n">
        <f aca="false">Budget!M54</f>
        <v>0</v>
      </c>
      <c r="AH78" s="113" t="str">
        <f aca="false">IF(AF78="","",AF78-AG78)</f>
        <v/>
      </c>
      <c r="AI78" s="113" t="str">
        <f aca="false">IF(OR(12&gt;$B$27,ISBLANK(Actuals!N54)),"",Actuals!N54)</f>
        <v/>
      </c>
      <c r="AJ78" s="113" t="n">
        <f aca="false">Budget!N54</f>
        <v>0</v>
      </c>
      <c r="AK78" s="113" t="str">
        <f aca="false">IF(AI78="","",AI78-AJ78)</f>
        <v/>
      </c>
      <c r="AL78" s="116" t="n">
        <f aca="false">SUM(Actuals!$C54:INDEX(Actuals!$C54:$N54,$B$27))</f>
        <v>-5442.41</v>
      </c>
      <c r="AM78" s="116" t="n">
        <f aca="false">SUM(Budget!$C54:INDEX(Budget!$C54:$N54,$B$27))</f>
        <v>0</v>
      </c>
      <c r="AN78" s="116" t="n">
        <f aca="false">AL78-AM78</f>
        <v>-5442.41</v>
      </c>
    </row>
    <row r="79" customFormat="false" ht="15" hidden="false" customHeight="true" outlineLevel="0" collapsed="false">
      <c r="A79" s="115" t="s">
        <v>97</v>
      </c>
      <c r="B79" s="116" t="n">
        <f aca="false">IF(OR(1&gt;$B$27,ISBLANK(Actuals!C55)),"",Actuals!C55)</f>
        <v>-260601.5</v>
      </c>
      <c r="C79" s="116" t="n">
        <f aca="false">Budget!C55</f>
        <v>-321665.3</v>
      </c>
      <c r="D79" s="116" t="n">
        <f aca="false">IF(B79="","",B79-C79)</f>
        <v>61063.8</v>
      </c>
      <c r="E79" s="116" t="n">
        <f aca="false">IF(OR(2&gt;$B$27,ISBLANK(Actuals!D55)),"",Actuals!D55)</f>
        <v>-260308.54</v>
      </c>
      <c r="F79" s="116" t="n">
        <f aca="false">Budget!D55</f>
        <v>-321665.3</v>
      </c>
      <c r="G79" s="116" t="n">
        <f aca="false">IF(E79="","",E79-F79)</f>
        <v>61356.76</v>
      </c>
      <c r="H79" s="116" t="n">
        <f aca="false">IF(OR(3&gt;$B$27,ISBLANK(Actuals!E55)),"",Actuals!E55)</f>
        <v>-351937.74</v>
      </c>
      <c r="I79" s="116" t="n">
        <f aca="false">Budget!E55</f>
        <v>-321665.3</v>
      </c>
      <c r="J79" s="116" t="n">
        <f aca="false">IF(H79="","",H79-I79)</f>
        <v>-30272.44</v>
      </c>
      <c r="K79" s="116" t="n">
        <f aca="false">IF(OR(4&gt;$B$27,ISBLANK(Actuals!F55)),"",Actuals!F55)</f>
        <v>-73431.56</v>
      </c>
      <c r="L79" s="116" t="n">
        <f aca="false">Budget!F55</f>
        <v>-321665.3</v>
      </c>
      <c r="M79" s="116" t="n">
        <f aca="false">IF(K79="","",K79-L79)</f>
        <v>248233.74</v>
      </c>
      <c r="N79" s="116" t="n">
        <f aca="false">IF(OR(5&gt;$B$27,ISBLANK(Actuals!G55)),"",Actuals!G55)</f>
        <v>-437914.85</v>
      </c>
      <c r="O79" s="116" t="n">
        <f aca="false">Budget!G55</f>
        <v>-321665.3</v>
      </c>
      <c r="P79" s="116" t="n">
        <f aca="false">IF(N79="","",N79-O79)</f>
        <v>-116249.55</v>
      </c>
      <c r="Q79" s="116" t="n">
        <f aca="false">IF(OR(6&gt;$B$27,ISBLANK(Actuals!H55)),"",Actuals!H55)</f>
        <v>-323453.89</v>
      </c>
      <c r="R79" s="116" t="n">
        <f aca="false">Budget!H55</f>
        <v>-321665.3</v>
      </c>
      <c r="S79" s="116" t="n">
        <f aca="false">IF(Q79="","",Q79-R79)</f>
        <v>-1788.59000000003</v>
      </c>
      <c r="T79" s="116" t="n">
        <f aca="false">IF(OR(7&gt;$B$27,ISBLANK(Actuals!I55)),"",Actuals!I55)</f>
        <v>-321511.57</v>
      </c>
      <c r="U79" s="116" t="n">
        <f aca="false">Budget!I55</f>
        <v>-322314.95</v>
      </c>
      <c r="V79" s="116" t="n">
        <f aca="false">IF(T79="","",T79-U79)</f>
        <v>803.380000000063</v>
      </c>
      <c r="W79" s="116" t="n">
        <f aca="false">IF(OR(8&gt;$B$27,ISBLANK(Actuals!J55)),"",Actuals!J55)</f>
        <v>-385163.17</v>
      </c>
      <c r="X79" s="116" t="n">
        <f aca="false">Budget!J55</f>
        <v>-322314.95</v>
      </c>
      <c r="Y79" s="116" t="n">
        <f aca="false">IF(W79="","",W79-X79)</f>
        <v>-62848.22</v>
      </c>
      <c r="Z79" s="116" t="n">
        <f aca="false">IF(OR(9&gt;$B$27,ISBLANK(Actuals!K55)),"",Actuals!K55)</f>
        <v>-380731.51</v>
      </c>
      <c r="AA79" s="116" t="n">
        <f aca="false">Budget!K55</f>
        <v>-322314.95</v>
      </c>
      <c r="AB79" s="116" t="n">
        <f aca="false">IF(Z79="","",Z79-AA79)</f>
        <v>-58416.56</v>
      </c>
      <c r="AC79" s="116" t="str">
        <f aca="false">IF(OR(10&gt;$B$27,ISBLANK(Actuals!L55)),"",Actuals!L55)</f>
        <v/>
      </c>
      <c r="AD79" s="116" t="n">
        <f aca="false">Budget!L55</f>
        <v>-322314.95</v>
      </c>
      <c r="AE79" s="116" t="str">
        <f aca="false">IF(AC79="","",AC79-AD79)</f>
        <v/>
      </c>
      <c r="AF79" s="116" t="str">
        <f aca="false">IF(OR(11&gt;$B$27,ISBLANK(Actuals!M55)),"",Actuals!M55)</f>
        <v/>
      </c>
      <c r="AG79" s="116" t="n">
        <f aca="false">Budget!M55</f>
        <v>-322314.95</v>
      </c>
      <c r="AH79" s="116" t="str">
        <f aca="false">IF(AF79="","",AF79-AG79)</f>
        <v/>
      </c>
      <c r="AI79" s="116" t="str">
        <f aca="false">IF(OR(12&gt;$B$27,ISBLANK(Actuals!N55)),"",Actuals!N55)</f>
        <v/>
      </c>
      <c r="AJ79" s="116" t="n">
        <f aca="false">Budget!N55</f>
        <v>-322314.95</v>
      </c>
      <c r="AK79" s="116" t="str">
        <f aca="false">IF(AI79="","",AI79-AJ79)</f>
        <v/>
      </c>
      <c r="AL79" s="116" t="n">
        <f aca="false">SUM(Actuals!$C55:INDEX(Actuals!$C55:$N55,$B$27))</f>
        <v>-2795054.33</v>
      </c>
      <c r="AM79" s="116" t="n">
        <f aca="false">SUM(Budget!$C55:INDEX(Budget!$C55:$N55,$B$27))</f>
        <v>-2896936.65</v>
      </c>
      <c r="AN79" s="116" t="n">
        <f aca="false">AL79-AM79</f>
        <v>101882.32</v>
      </c>
      <c r="AP79" s="114" t="s">
        <v>436</v>
      </c>
    </row>
    <row r="81" customFormat="false" ht="15" hidden="false" customHeight="true" outlineLevel="0" collapsed="false">
      <c r="A81" s="115" t="s">
        <v>98</v>
      </c>
      <c r="B81" s="117" t="n">
        <f aca="false">IF(OR(1&gt;$B$27,ISBLANK(Actuals!C57)),"",Actuals!C57)</f>
        <v>-41844.6399999999</v>
      </c>
      <c r="C81" s="117" t="n">
        <f aca="false">Budget!C57</f>
        <v>2594.59</v>
      </c>
      <c r="D81" s="117" t="n">
        <f aca="false">IF(B81="","",B81-C81)</f>
        <v>-44439.2299999999</v>
      </c>
      <c r="E81" s="117" t="n">
        <f aca="false">IF(OR(2&gt;$B$27,ISBLANK(Actuals!D57)),"",Actuals!D57)</f>
        <v>-311309.31</v>
      </c>
      <c r="F81" s="117" t="n">
        <f aca="false">Budget!D57</f>
        <v>17839.25</v>
      </c>
      <c r="G81" s="117" t="n">
        <f aca="false">IF(E81="","",E81-F81)</f>
        <v>-329148.56</v>
      </c>
      <c r="H81" s="117" t="n">
        <f aca="false">IF(OR(3&gt;$B$27,ISBLANK(Actuals!E57)),"",Actuals!E57)</f>
        <v>242246.78</v>
      </c>
      <c r="I81" s="117" t="n">
        <f aca="false">Budget!E57</f>
        <v>33014.66</v>
      </c>
      <c r="J81" s="117" t="n">
        <f aca="false">IF(H81="","",H81-I81)</f>
        <v>209232.12</v>
      </c>
      <c r="K81" s="117" t="n">
        <f aca="false">IF(OR(4&gt;$B$27,ISBLANK(Actuals!F57)),"",Actuals!F57)</f>
        <v>373926.69</v>
      </c>
      <c r="L81" s="117" t="n">
        <f aca="false">Budget!F57</f>
        <v>47517.06</v>
      </c>
      <c r="M81" s="117" t="n">
        <f aca="false">IF(K81="","",K81-L81)</f>
        <v>326409.63</v>
      </c>
      <c r="N81" s="117" t="n">
        <f aca="false">IF(OR(5&gt;$B$27,ISBLANK(Actuals!G57)),"",Actuals!G57)</f>
        <v>27621.8499999997</v>
      </c>
      <c r="O81" s="117" t="n">
        <f aca="false">Budget!G57</f>
        <v>201677.25</v>
      </c>
      <c r="P81" s="117" t="n">
        <f aca="false">IF(N81="","",N81-O81)</f>
        <v>-174055.4</v>
      </c>
      <c r="Q81" s="117" t="n">
        <f aca="false">IF(OR(6&gt;$B$27,ISBLANK(Actuals!H57)),"",Actuals!H57)</f>
        <v>317897.240000001</v>
      </c>
      <c r="R81" s="117" t="n">
        <f aca="false">Budget!H57</f>
        <v>218352.83</v>
      </c>
      <c r="S81" s="117" t="n">
        <f aca="false">IF(Q81="","",Q81-R81)</f>
        <v>99544.4100000008</v>
      </c>
      <c r="T81" s="117" t="n">
        <f aca="false">IF(OR(7&gt;$B$27,ISBLANK(Actuals!I57)),"",Actuals!I57)</f>
        <v>1445137.94</v>
      </c>
      <c r="U81" s="117" t="n">
        <f aca="false">Budget!I57</f>
        <v>231937</v>
      </c>
      <c r="V81" s="117" t="n">
        <f aca="false">IF(T81="","",T81-U81)</f>
        <v>1213200.94</v>
      </c>
      <c r="W81" s="117" t="n">
        <f aca="false">IF(OR(8&gt;$B$27,ISBLANK(Actuals!J57)),"",Actuals!J57)</f>
        <v>175572.22</v>
      </c>
      <c r="X81" s="117" t="n">
        <f aca="false">Budget!J57</f>
        <v>243049.14</v>
      </c>
      <c r="Y81" s="117" t="n">
        <f aca="false">IF(W81="","",W81-X81)</f>
        <v>-67476.9200000003</v>
      </c>
      <c r="Z81" s="117" t="n">
        <f aca="false">IF(OR(9&gt;$B$27,ISBLANK(Actuals!K57)),"",Actuals!K57)</f>
        <v>-36864.6200000003</v>
      </c>
      <c r="AA81" s="117" t="n">
        <f aca="false">Budget!K57</f>
        <v>250508.5</v>
      </c>
      <c r="AB81" s="117" t="n">
        <f aca="false">IF(Z81="","",Z81-AA81)</f>
        <v>-287373.12</v>
      </c>
      <c r="AC81" s="117" t="str">
        <f aca="false">IF(OR(10&gt;$B$27,ISBLANK(Actuals!L57)),"",Actuals!L57)</f>
        <v/>
      </c>
      <c r="AD81" s="117" t="n">
        <f aca="false">Budget!L57</f>
        <v>253989.43</v>
      </c>
      <c r="AE81" s="117" t="str">
        <f aca="false">IF(AC81="","",AC81-AD81)</f>
        <v/>
      </c>
      <c r="AF81" s="117" t="str">
        <f aca="false">IF(OR(11&gt;$B$27,ISBLANK(Actuals!M57)),"",Actuals!M57)</f>
        <v/>
      </c>
      <c r="AG81" s="117" t="n">
        <f aca="false">Budget!M57</f>
        <v>253406.53</v>
      </c>
      <c r="AH81" s="117" t="str">
        <f aca="false">IF(AF81="","",AF81-AG81)</f>
        <v/>
      </c>
      <c r="AI81" s="117" t="str">
        <f aca="false">IF(OR(12&gt;$B$27,ISBLANK(Actuals!N57)),"",Actuals!N57)</f>
        <v/>
      </c>
      <c r="AJ81" s="117" t="n">
        <f aca="false">Budget!N57</f>
        <v>204524.21</v>
      </c>
      <c r="AK81" s="117" t="str">
        <f aca="false">IF(AI81="","",AI81-AJ81)</f>
        <v/>
      </c>
      <c r="AL81" s="117" t="n">
        <f aca="false">SUM(Actuals!$C57:INDEX(Actuals!$C57:$N57,$B$27))</f>
        <v>2192384.15</v>
      </c>
      <c r="AM81" s="117" t="n">
        <f aca="false">SUM(Budget!$C57:INDEX(Budget!$C57:$N57,$B$27))</f>
        <v>1246490.28</v>
      </c>
      <c r="AN81" s="117" t="n">
        <f aca="false">AL81-AM81</f>
        <v>945893.870000001</v>
      </c>
      <c r="AP81" s="114" t="s">
        <v>437</v>
      </c>
    </row>
    <row r="82" customFormat="false" ht="15" hidden="false" customHeight="true" outlineLevel="0" collapsed="false">
      <c r="A82" s="109" t="s">
        <v>99</v>
      </c>
      <c r="B82" s="113" t="n">
        <f aca="false">IF(OR(1&gt;$B$27,ISBLANK(Actuals!C58)),"",Actuals!C58)</f>
        <v>-0.0287831236019867</v>
      </c>
      <c r="C82" s="113" t="n">
        <f aca="false">Budget!C58</f>
        <v>0</v>
      </c>
      <c r="D82" s="113" t="n">
        <f aca="false">IF(B82="","",B82-C82)</f>
        <v>-0.0287831236019867</v>
      </c>
      <c r="E82" s="113" t="n">
        <f aca="false">IF(OR(2&gt;$B$27,ISBLANK(Actuals!D58)),"",Actuals!D58)</f>
        <v>-0.102996554608564</v>
      </c>
      <c r="F82" s="113" t="n">
        <f aca="false">Budget!D58</f>
        <v>0.01</v>
      </c>
      <c r="G82" s="113" t="n">
        <f aca="false">IF(E82="","",E82-F82)</f>
        <v>-0.112996554608564</v>
      </c>
      <c r="H82" s="113" t="n">
        <f aca="false">IF(OR(3&gt;$B$27,ISBLANK(Actuals!E58)),"",Actuals!E58)</f>
        <v>0.0906538863233281</v>
      </c>
      <c r="I82" s="113" t="n">
        <f aca="false">Budget!E58</f>
        <v>0.01</v>
      </c>
      <c r="J82" s="113" t="n">
        <f aca="false">IF(H82="","",H82-I82)</f>
        <v>0.0806538863233281</v>
      </c>
      <c r="K82" s="113" t="n">
        <f aca="false">IF(OR(4&gt;$B$27,ISBLANK(Actuals!F58)),"",Actuals!F58)</f>
        <v>0.101270434808067</v>
      </c>
      <c r="L82" s="113" t="n">
        <f aca="false">Budget!F58</f>
        <v>0.01</v>
      </c>
      <c r="M82" s="113" t="n">
        <f aca="false">IF(K82="","",K82-L82)</f>
        <v>0.0912704348080668</v>
      </c>
      <c r="N82" s="113" t="n">
        <f aca="false">IF(OR(5&gt;$B$27,ISBLANK(Actuals!G58)),"",Actuals!G58)</f>
        <v>0.00625486062340116</v>
      </c>
      <c r="O82" s="113" t="n">
        <f aca="false">Budget!G58</f>
        <v>0.04</v>
      </c>
      <c r="P82" s="113" t="n">
        <f aca="false">IF(N82="","",N82-O82)</f>
        <v>-0.0337451393765988</v>
      </c>
      <c r="Q82" s="113" t="n">
        <f aca="false">IF(OR(6&gt;$B$27,ISBLANK(Actuals!H58)),"",Actuals!H58)</f>
        <v>0.0508451485513171</v>
      </c>
      <c r="R82" s="113" t="n">
        <f aca="false">Budget!H58</f>
        <v>0.04</v>
      </c>
      <c r="S82" s="113" t="n">
        <f aca="false">IF(Q82="","",Q82-R82)</f>
        <v>0.0108451485513171</v>
      </c>
      <c r="T82" s="113" t="n">
        <f aca="false">IF(OR(7&gt;$B$27,ISBLANK(Actuals!I58)),"",Actuals!I58)</f>
        <v>0.205696144781689</v>
      </c>
      <c r="U82" s="113" t="n">
        <f aca="false">Budget!I58</f>
        <v>0.04</v>
      </c>
      <c r="V82" s="113" t="n">
        <f aca="false">IF(T82="","",T82-U82)</f>
        <v>0.165696144781688</v>
      </c>
      <c r="W82" s="113" t="n">
        <f aca="false">IF(OR(8&gt;$B$27,ISBLANK(Actuals!J58)),"",Actuals!J58)</f>
        <v>0.0289497032398613</v>
      </c>
      <c r="X82" s="113" t="n">
        <f aca="false">Budget!J58</f>
        <v>0.04</v>
      </c>
      <c r="Y82" s="113" t="n">
        <f aca="false">IF(W82="","",W82-X82)</f>
        <v>-0.0110502967601387</v>
      </c>
      <c r="Z82" s="113" t="n">
        <f aca="false">IF(OR(9&gt;$B$27,ISBLANK(Actuals!K58)),"",Actuals!K58)</f>
        <v>-0.00577735487212154</v>
      </c>
      <c r="AA82" s="113" t="n">
        <f aca="false">Budget!K58</f>
        <v>0.04</v>
      </c>
      <c r="AB82" s="113" t="n">
        <f aca="false">IF(Z82="","",Z82-AA82)</f>
        <v>-0.0457773548721215</v>
      </c>
      <c r="AC82" s="113" t="str">
        <f aca="false">IF(OR(10&gt;$B$27,ISBLANK(Actuals!L58)),"",Actuals!L58)</f>
        <v/>
      </c>
      <c r="AD82" s="113" t="n">
        <f aca="false">Budget!L58</f>
        <v>0.04</v>
      </c>
      <c r="AE82" s="113" t="str">
        <f aca="false">IF(AC82="","",AC82-AD82)</f>
        <v/>
      </c>
      <c r="AF82" s="113" t="str">
        <f aca="false">IF(OR(11&gt;$B$27,ISBLANK(Actuals!M58)),"",Actuals!M58)</f>
        <v/>
      </c>
      <c r="AG82" s="113" t="n">
        <f aca="false">Budget!M58</f>
        <v>0.04</v>
      </c>
      <c r="AH82" s="113" t="str">
        <f aca="false">IF(AF82="","",AF82-AG82)</f>
        <v/>
      </c>
      <c r="AI82" s="113" t="str">
        <f aca="false">IF(OR(12&gt;$B$27,ISBLANK(Actuals!N58)),"",Actuals!N58)</f>
        <v/>
      </c>
      <c r="AJ82" s="113" t="n">
        <f aca="false">Budget!N58</f>
        <v>0.04</v>
      </c>
      <c r="AK82" s="113" t="str">
        <f aca="false">IF(AI82="","",AI82-AJ82)</f>
        <v/>
      </c>
      <c r="AL82" s="116" t="n">
        <f aca="false">SUM(Actuals!$C58:INDEX(Actuals!$C58:$N58,$B$27))</f>
        <v>0.34611314524499</v>
      </c>
      <c r="AM82" s="116" t="n">
        <f aca="false">SUM(Budget!$C58:INDEX(Budget!$C58:$N58,$B$27))</f>
        <v>0.23</v>
      </c>
      <c r="AN82" s="116" t="n">
        <f aca="false">AL82-AM82</f>
        <v>0.11611314524499</v>
      </c>
    </row>
    <row r="86" customFormat="false" ht="15" hidden="false" customHeight="true" outlineLevel="0" collapsed="false">
      <c r="A86" s="112" t="s">
        <v>438</v>
      </c>
    </row>
    <row r="87" customFormat="false" ht="15" hidden="true" customHeight="true" outlineLevel="1" collapsed="false">
      <c r="A87" s="109" t="s">
        <v>118</v>
      </c>
      <c r="B87" s="113" t="str">
        <f aca="false">IF(OR(1&gt;$B$27,ISBLANK(Actuals!C63)),"",Actuals!C63)</f>
        <v/>
      </c>
      <c r="C87" s="113" t="n">
        <f aca="false">Budget!C63</f>
        <v>0</v>
      </c>
      <c r="D87" s="113" t="str">
        <f aca="false">IF(B87="","",B87-C87)</f>
        <v/>
      </c>
      <c r="E87" s="113" t="str">
        <f aca="false">IF(OR(2&gt;$B$27,ISBLANK(Actuals!D63)),"",Actuals!D63)</f>
        <v/>
      </c>
      <c r="F87" s="113" t="n">
        <f aca="false">Budget!D63</f>
        <v>0</v>
      </c>
      <c r="G87" s="113" t="str">
        <f aca="false">IF(E87="","",E87-F87)</f>
        <v/>
      </c>
      <c r="H87" s="113" t="str">
        <f aca="false">IF(OR(3&gt;$B$27,ISBLANK(Actuals!E63)),"",Actuals!E63)</f>
        <v/>
      </c>
      <c r="I87" s="113" t="n">
        <f aca="false">Budget!E63</f>
        <v>0</v>
      </c>
      <c r="J87" s="113" t="str">
        <f aca="false">IF(H87="","",H87-I87)</f>
        <v/>
      </c>
      <c r="K87" s="113" t="str">
        <f aca="false">IF(OR(4&gt;$B$27,ISBLANK(Actuals!F63)),"",Actuals!F63)</f>
        <v/>
      </c>
      <c r="L87" s="113" t="n">
        <f aca="false">Budget!F63</f>
        <v>0</v>
      </c>
      <c r="M87" s="113" t="str">
        <f aca="false">IF(K87="","",K87-L87)</f>
        <v/>
      </c>
      <c r="N87" s="113" t="str">
        <f aca="false">IF(OR(5&gt;$B$27,ISBLANK(Actuals!G63)),"",Actuals!G63)</f>
        <v/>
      </c>
      <c r="O87" s="113" t="n">
        <f aca="false">Budget!G63</f>
        <v>0</v>
      </c>
      <c r="P87" s="113" t="str">
        <f aca="false">IF(N87="","",N87-O87)</f>
        <v/>
      </c>
      <c r="Q87" s="113" t="n">
        <f aca="false">IF(OR(6&gt;$B$27,ISBLANK(Actuals!H63)),"",Actuals!H63)</f>
        <v>299000</v>
      </c>
      <c r="R87" s="113" t="n">
        <f aca="false">Budget!H63</f>
        <v>0</v>
      </c>
      <c r="S87" s="113" t="n">
        <f aca="false">IF(Q87="","",Q87-R87)</f>
        <v>299000</v>
      </c>
      <c r="T87" s="113" t="n">
        <f aca="false">IF(OR(7&gt;$B$27,ISBLANK(Actuals!I63)),"",Actuals!I63)</f>
        <v>0</v>
      </c>
      <c r="U87" s="113" t="n">
        <f aca="false">Budget!I63</f>
        <v>0</v>
      </c>
      <c r="V87" s="113" t="n">
        <f aca="false">IF(T87="","",T87-U87)</f>
        <v>0</v>
      </c>
      <c r="W87" s="113" t="n">
        <f aca="false">IF(OR(8&gt;$B$27,ISBLANK(Actuals!J63)),"",Actuals!J63)</f>
        <v>0</v>
      </c>
      <c r="X87" s="113" t="n">
        <f aca="false">Budget!J63</f>
        <v>0</v>
      </c>
      <c r="Y87" s="113" t="n">
        <f aca="false">IF(W87="","",W87-X87)</f>
        <v>0</v>
      </c>
      <c r="Z87" s="113" t="n">
        <f aca="false">IF(OR(9&gt;$B$27,ISBLANK(Actuals!K63)),"",Actuals!K63)</f>
        <v>0</v>
      </c>
      <c r="AA87" s="113" t="n">
        <f aca="false">Budget!K63</f>
        <v>0</v>
      </c>
      <c r="AB87" s="113" t="n">
        <f aca="false">IF(Z87="","",Z87-AA87)</f>
        <v>0</v>
      </c>
      <c r="AC87" s="113" t="str">
        <f aca="false">IF(OR(10&gt;$B$27,ISBLANK(Actuals!L63)),"",Actuals!L63)</f>
        <v/>
      </c>
      <c r="AD87" s="113" t="n">
        <f aca="false">Budget!L63</f>
        <v>0</v>
      </c>
      <c r="AE87" s="113" t="str">
        <f aca="false">IF(AC87="","",AC87-AD87)</f>
        <v/>
      </c>
      <c r="AF87" s="113" t="str">
        <f aca="false">IF(OR(11&gt;$B$27,ISBLANK(Actuals!M63)),"",Actuals!M63)</f>
        <v/>
      </c>
      <c r="AG87" s="113" t="n">
        <f aca="false">Budget!M63</f>
        <v>0</v>
      </c>
      <c r="AH87" s="113" t="str">
        <f aca="false">IF(AF87="","",AF87-AG87)</f>
        <v/>
      </c>
      <c r="AI87" s="113" t="str">
        <f aca="false">IF(OR(12&gt;$B$27,ISBLANK(Actuals!N63)),"",Actuals!N63)</f>
        <v/>
      </c>
      <c r="AJ87" s="113" t="n">
        <f aca="false">Budget!N63</f>
        <v>0</v>
      </c>
      <c r="AK87" s="113" t="str">
        <f aca="false">IF(AI87="","",AI87-AJ87)</f>
        <v/>
      </c>
      <c r="AL87" s="116" t="n">
        <f aca="false">SUM(Actuals!$C63:INDEX(Actuals!$C63:$N63,$B$27))</f>
        <v>299000</v>
      </c>
      <c r="AM87" s="116" t="n">
        <f aca="false">SUM(Budget!$C63:INDEX(Budget!$C63:$N63,$B$27))</f>
        <v>0</v>
      </c>
      <c r="AN87" s="116" t="n">
        <f aca="false">AL87-AM87</f>
        <v>299000</v>
      </c>
      <c r="AP87" s="114" t="s">
        <v>439</v>
      </c>
    </row>
    <row r="88" customFormat="false" ht="15" hidden="true" customHeight="true" outlineLevel="1" collapsed="false">
      <c r="A88" s="109" t="s">
        <v>101</v>
      </c>
      <c r="B88" s="113" t="n">
        <f aca="false">IF(OR(1&gt;$B$27,ISBLANK(Actuals!C64)),"",Actuals!C64)</f>
        <v>833.33</v>
      </c>
      <c r="C88" s="113" t="n">
        <f aca="false">Budget!C64</f>
        <v>833.33</v>
      </c>
      <c r="D88" s="113" t="n">
        <f aca="false">IF(B88="","",B88-C88)</f>
        <v>0</v>
      </c>
      <c r="E88" s="113" t="n">
        <f aca="false">IF(OR(2&gt;$B$27,ISBLANK(Actuals!D64)),"",Actuals!D64)</f>
        <v>833.33</v>
      </c>
      <c r="F88" s="113" t="n">
        <f aca="false">Budget!D64</f>
        <v>833.33</v>
      </c>
      <c r="G88" s="113" t="n">
        <f aca="false">IF(E88="","",E88-F88)</f>
        <v>0</v>
      </c>
      <c r="H88" s="113" t="n">
        <f aca="false">IF(OR(3&gt;$B$27,ISBLANK(Actuals!E64)),"",Actuals!E64)</f>
        <v>833.33</v>
      </c>
      <c r="I88" s="113" t="n">
        <f aca="false">Budget!E64</f>
        <v>833.33</v>
      </c>
      <c r="J88" s="113" t="n">
        <f aca="false">IF(H88="","",H88-I88)</f>
        <v>0</v>
      </c>
      <c r="K88" s="113" t="n">
        <f aca="false">IF(OR(4&gt;$B$27,ISBLANK(Actuals!F64)),"",Actuals!F64)</f>
        <v>833.33</v>
      </c>
      <c r="L88" s="113" t="n">
        <f aca="false">Budget!F64</f>
        <v>833.33</v>
      </c>
      <c r="M88" s="113" t="n">
        <f aca="false">IF(K88="","",K88-L88)</f>
        <v>0</v>
      </c>
      <c r="N88" s="113" t="n">
        <f aca="false">IF(OR(5&gt;$B$27,ISBLANK(Actuals!G64)),"",Actuals!G64)</f>
        <v>833.33</v>
      </c>
      <c r="O88" s="113" t="n">
        <f aca="false">Budget!G64</f>
        <v>833.33</v>
      </c>
      <c r="P88" s="113" t="n">
        <f aca="false">IF(N88="","",N88-O88)</f>
        <v>0</v>
      </c>
      <c r="Q88" s="113" t="n">
        <f aca="false">IF(OR(6&gt;$B$27,ISBLANK(Actuals!H64)),"",Actuals!H64)</f>
        <v>833.33</v>
      </c>
      <c r="R88" s="113" t="n">
        <f aca="false">Budget!H64</f>
        <v>833.33</v>
      </c>
      <c r="S88" s="113" t="n">
        <f aca="false">IF(Q88="","",Q88-R88)</f>
        <v>0</v>
      </c>
      <c r="T88" s="113" t="n">
        <f aca="false">IF(OR(7&gt;$B$27,ISBLANK(Actuals!I64)),"",Actuals!I64)</f>
        <v>833.33</v>
      </c>
      <c r="U88" s="113" t="n">
        <f aca="false">Budget!I64</f>
        <v>833.33</v>
      </c>
      <c r="V88" s="113" t="n">
        <f aca="false">IF(T88="","",T88-U88)</f>
        <v>0</v>
      </c>
      <c r="W88" s="113" t="n">
        <f aca="false">IF(OR(8&gt;$B$27,ISBLANK(Actuals!J64)),"",Actuals!J64)</f>
        <v>833.33</v>
      </c>
      <c r="X88" s="113" t="n">
        <f aca="false">Budget!J64</f>
        <v>833.33</v>
      </c>
      <c r="Y88" s="113" t="n">
        <f aca="false">IF(W88="","",W88-X88)</f>
        <v>0</v>
      </c>
      <c r="Z88" s="113" t="n">
        <f aca="false">IF(OR(9&gt;$B$27,ISBLANK(Actuals!K64)),"",Actuals!K64)</f>
        <v>-833.33</v>
      </c>
      <c r="AA88" s="113" t="n">
        <f aca="false">Budget!K64</f>
        <v>833.33</v>
      </c>
      <c r="AB88" s="113" t="n">
        <f aca="false">IF(Z88="","",Z88-AA88)</f>
        <v>-1666.66</v>
      </c>
      <c r="AC88" s="113" t="str">
        <f aca="false">IF(OR(10&gt;$B$27,ISBLANK(Actuals!L64)),"",Actuals!L64)</f>
        <v/>
      </c>
      <c r="AD88" s="113" t="n">
        <f aca="false">Budget!L64</f>
        <v>833.33</v>
      </c>
      <c r="AE88" s="113" t="str">
        <f aca="false">IF(AC88="","",AC88-AD88)</f>
        <v/>
      </c>
      <c r="AF88" s="113" t="str">
        <f aca="false">IF(OR(11&gt;$B$27,ISBLANK(Actuals!M64)),"",Actuals!M64)</f>
        <v/>
      </c>
      <c r="AG88" s="113" t="n">
        <f aca="false">Budget!M64</f>
        <v>833.33</v>
      </c>
      <c r="AH88" s="113" t="str">
        <f aca="false">IF(AF88="","",AF88-AG88)</f>
        <v/>
      </c>
      <c r="AI88" s="113" t="str">
        <f aca="false">IF(OR(12&gt;$B$27,ISBLANK(Actuals!N64)),"",Actuals!N64)</f>
        <v/>
      </c>
      <c r="AJ88" s="113" t="n">
        <f aca="false">Budget!N64</f>
        <v>833.33</v>
      </c>
      <c r="AK88" s="113" t="str">
        <f aca="false">IF(AI88="","",AI88-AJ88)</f>
        <v/>
      </c>
      <c r="AL88" s="116" t="n">
        <f aca="false">SUM(Actuals!$C64:INDEX(Actuals!$C64:$N64,$B$27))</f>
        <v>5833.31</v>
      </c>
      <c r="AM88" s="116" t="n">
        <f aca="false">SUM(Budget!$C64:INDEX(Budget!$C64:$N64,$B$27))</f>
        <v>7499.97</v>
      </c>
      <c r="AN88" s="116" t="n">
        <f aca="false">AL88-AM88</f>
        <v>-1666.66</v>
      </c>
    </row>
    <row r="89" customFormat="false" ht="15" hidden="true" customHeight="true" outlineLevel="1" collapsed="false">
      <c r="A89" s="109" t="s">
        <v>102</v>
      </c>
      <c r="B89" s="113" t="n">
        <f aca="false">IF(OR(1&gt;$B$27,ISBLANK(Actuals!C65)),"",Actuals!C65)</f>
        <v>23906.25</v>
      </c>
      <c r="C89" s="113" t="n">
        <f aca="false">Budget!C65</f>
        <v>36538.46</v>
      </c>
      <c r="D89" s="113" t="n">
        <f aca="false">IF(B89="","",B89-C89)</f>
        <v>-12632.21</v>
      </c>
      <c r="E89" s="113" t="n">
        <f aca="false">IF(OR(2&gt;$B$27,ISBLANK(Actuals!D65)),"",Actuals!D65)</f>
        <v>23906.25</v>
      </c>
      <c r="F89" s="113" t="n">
        <f aca="false">Budget!D65</f>
        <v>36538.46</v>
      </c>
      <c r="G89" s="113" t="n">
        <f aca="false">IF(E89="","",E89-F89)</f>
        <v>-12632.21</v>
      </c>
      <c r="H89" s="113" t="n">
        <f aca="false">IF(OR(3&gt;$B$27,ISBLANK(Actuals!E65)),"",Actuals!E65)</f>
        <v>23906.25</v>
      </c>
      <c r="I89" s="113" t="n">
        <f aca="false">Budget!E65</f>
        <v>36538.46</v>
      </c>
      <c r="J89" s="113" t="n">
        <f aca="false">IF(H89="","",H89-I89)</f>
        <v>-12632.21</v>
      </c>
      <c r="K89" s="113" t="n">
        <f aca="false">IF(OR(4&gt;$B$27,ISBLANK(Actuals!F65)),"",Actuals!F65)</f>
        <v>23906.25</v>
      </c>
      <c r="L89" s="113" t="n">
        <f aca="false">Budget!F65</f>
        <v>36538.46</v>
      </c>
      <c r="M89" s="113" t="n">
        <f aca="false">IF(K89="","",K89-L89)</f>
        <v>-12632.21</v>
      </c>
      <c r="N89" s="113" t="n">
        <f aca="false">IF(OR(5&gt;$B$27,ISBLANK(Actuals!G65)),"",Actuals!G65)</f>
        <v>23906.25</v>
      </c>
      <c r="O89" s="113" t="n">
        <f aca="false">Budget!G65</f>
        <v>36538.46</v>
      </c>
      <c r="P89" s="113" t="n">
        <f aca="false">IF(N89="","",N89-O89)</f>
        <v>-12632.21</v>
      </c>
      <c r="Q89" s="113" t="n">
        <f aca="false">IF(OR(6&gt;$B$27,ISBLANK(Actuals!H65)),"",Actuals!H65)</f>
        <v>23906.25</v>
      </c>
      <c r="R89" s="113" t="n">
        <f aca="false">Budget!H65</f>
        <v>36538.46</v>
      </c>
      <c r="S89" s="113" t="n">
        <f aca="false">IF(Q89="","",Q89-R89)</f>
        <v>-12632.21</v>
      </c>
      <c r="T89" s="113" t="n">
        <f aca="false">IF(OR(7&gt;$B$27,ISBLANK(Actuals!I65)),"",Actuals!I65)</f>
        <v>23906.25</v>
      </c>
      <c r="U89" s="113" t="n">
        <f aca="false">Budget!I65</f>
        <v>36538.46</v>
      </c>
      <c r="V89" s="113" t="n">
        <f aca="false">IF(T89="","",T89-U89)</f>
        <v>-12632.21</v>
      </c>
      <c r="W89" s="113" t="n">
        <f aca="false">IF(OR(8&gt;$B$27,ISBLANK(Actuals!J65)),"",Actuals!J65)</f>
        <v>23906.25</v>
      </c>
      <c r="X89" s="113" t="n">
        <f aca="false">Budget!J65</f>
        <v>36538.46</v>
      </c>
      <c r="Y89" s="113" t="n">
        <f aca="false">IF(W89="","",W89-X89)</f>
        <v>-12632.21</v>
      </c>
      <c r="Z89" s="113" t="n">
        <f aca="false">IF(OR(9&gt;$B$27,ISBLANK(Actuals!K65)),"",Actuals!K65)</f>
        <v>23906.25</v>
      </c>
      <c r="AA89" s="113" t="n">
        <f aca="false">Budget!K65</f>
        <v>36538.46</v>
      </c>
      <c r="AB89" s="113" t="n">
        <f aca="false">IF(Z89="","",Z89-AA89)</f>
        <v>-12632.21</v>
      </c>
      <c r="AC89" s="113" t="str">
        <f aca="false">IF(OR(10&gt;$B$27,ISBLANK(Actuals!L65)),"",Actuals!L65)</f>
        <v/>
      </c>
      <c r="AD89" s="113" t="n">
        <f aca="false">Budget!L65</f>
        <v>36538.46</v>
      </c>
      <c r="AE89" s="113" t="str">
        <f aca="false">IF(AC89="","",AC89-AD89)</f>
        <v/>
      </c>
      <c r="AF89" s="113" t="str">
        <f aca="false">IF(OR(11&gt;$B$27,ISBLANK(Actuals!M65)),"",Actuals!M65)</f>
        <v/>
      </c>
      <c r="AG89" s="113" t="n">
        <f aca="false">Budget!M65</f>
        <v>36538.46</v>
      </c>
      <c r="AH89" s="113" t="str">
        <f aca="false">IF(AF89="","",AF89-AG89)</f>
        <v/>
      </c>
      <c r="AI89" s="113" t="str">
        <f aca="false">IF(OR(12&gt;$B$27,ISBLANK(Actuals!N65)),"",Actuals!N65)</f>
        <v/>
      </c>
      <c r="AJ89" s="113" t="n">
        <f aca="false">Budget!N65</f>
        <v>36538.46</v>
      </c>
      <c r="AK89" s="113" t="str">
        <f aca="false">IF(AI89="","",AI89-AJ89)</f>
        <v/>
      </c>
      <c r="AL89" s="116" t="n">
        <f aca="false">SUM(Actuals!$C65:INDEX(Actuals!$C65:$N65,$B$27))</f>
        <v>215156.25</v>
      </c>
      <c r="AM89" s="116" t="n">
        <f aca="false">SUM(Budget!$C65:INDEX(Budget!$C65:$N65,$B$27))</f>
        <v>328846.14</v>
      </c>
      <c r="AN89" s="116" t="n">
        <f aca="false">AL89-AM89</f>
        <v>-113689.89</v>
      </c>
      <c r="AP89" s="114" t="s">
        <v>440</v>
      </c>
    </row>
    <row r="90" customFormat="false" ht="15" hidden="true" customHeight="true" outlineLevel="1" collapsed="false">
      <c r="A90" s="109" t="s">
        <v>103</v>
      </c>
      <c r="B90" s="113" t="str">
        <f aca="false">IF(OR(1&gt;$B$27,ISBLANK(Actuals!C66)),"",Actuals!C66)</f>
        <v/>
      </c>
      <c r="C90" s="113" t="n">
        <f aca="false">Budget!C66</f>
        <v>0</v>
      </c>
      <c r="D90" s="113" t="str">
        <f aca="false">IF(B90="","",B90-C90)</f>
        <v/>
      </c>
      <c r="E90" s="113" t="str">
        <f aca="false">IF(OR(2&gt;$B$27,ISBLANK(Actuals!D66)),"",Actuals!D66)</f>
        <v/>
      </c>
      <c r="F90" s="113" t="n">
        <f aca="false">Budget!D66</f>
        <v>0</v>
      </c>
      <c r="G90" s="113" t="str">
        <f aca="false">IF(E90="","",E90-F90)</f>
        <v/>
      </c>
      <c r="H90" s="113" t="str">
        <f aca="false">IF(OR(3&gt;$B$27,ISBLANK(Actuals!E66)),"",Actuals!E66)</f>
        <v/>
      </c>
      <c r="I90" s="113" t="n">
        <f aca="false">Budget!E66</f>
        <v>0</v>
      </c>
      <c r="J90" s="113" t="str">
        <f aca="false">IF(H90="","",H90-I90)</f>
        <v/>
      </c>
      <c r="K90" s="113" t="str">
        <f aca="false">IF(OR(4&gt;$B$27,ISBLANK(Actuals!F66)),"",Actuals!F66)</f>
        <v/>
      </c>
      <c r="L90" s="113" t="n">
        <f aca="false">Budget!F66</f>
        <v>0</v>
      </c>
      <c r="M90" s="113" t="str">
        <f aca="false">IF(K90="","",K90-L90)</f>
        <v/>
      </c>
      <c r="N90" s="113" t="str">
        <f aca="false">IF(OR(5&gt;$B$27,ISBLANK(Actuals!G66)),"",Actuals!G66)</f>
        <v/>
      </c>
      <c r="O90" s="113" t="n">
        <f aca="false">Budget!G66</f>
        <v>0</v>
      </c>
      <c r="P90" s="113" t="str">
        <f aca="false">IF(N90="","",N90-O90)</f>
        <v/>
      </c>
      <c r="Q90" s="113" t="str">
        <f aca="false">IF(OR(6&gt;$B$27,ISBLANK(Actuals!H66)),"",Actuals!H66)</f>
        <v/>
      </c>
      <c r="R90" s="113" t="n">
        <f aca="false">Budget!H66</f>
        <v>0</v>
      </c>
      <c r="S90" s="113" t="str">
        <f aca="false">IF(Q90="","",Q90-R90)</f>
        <v/>
      </c>
      <c r="T90" s="113" t="str">
        <f aca="false">IF(OR(7&gt;$B$27,ISBLANK(Actuals!I66)),"",Actuals!I66)</f>
        <v/>
      </c>
      <c r="U90" s="113" t="n">
        <f aca="false">Budget!I66</f>
        <v>0</v>
      </c>
      <c r="V90" s="113" t="str">
        <f aca="false">IF(T90="","",T90-U90)</f>
        <v/>
      </c>
      <c r="W90" s="113" t="str">
        <f aca="false">IF(OR(8&gt;$B$27,ISBLANK(Actuals!J66)),"",Actuals!J66)</f>
        <v/>
      </c>
      <c r="X90" s="113" t="n">
        <f aca="false">Budget!J66</f>
        <v>0</v>
      </c>
      <c r="Y90" s="113" t="str">
        <f aca="false">IF(W90="","",W90-X90)</f>
        <v/>
      </c>
      <c r="Z90" s="113" t="str">
        <f aca="false">IF(OR(9&gt;$B$27,ISBLANK(Actuals!K66)),"",Actuals!K66)</f>
        <v/>
      </c>
      <c r="AA90" s="113" t="n">
        <f aca="false">Budget!K66</f>
        <v>0</v>
      </c>
      <c r="AB90" s="113" t="str">
        <f aca="false">IF(Z90="","",Z90-AA90)</f>
        <v/>
      </c>
      <c r="AC90" s="113" t="str">
        <f aca="false">IF(OR(10&gt;$B$27,ISBLANK(Actuals!L66)),"",Actuals!L66)</f>
        <v/>
      </c>
      <c r="AD90" s="113" t="n">
        <f aca="false">Budget!L66</f>
        <v>0</v>
      </c>
      <c r="AE90" s="113" t="str">
        <f aca="false">IF(AC90="","",AC90-AD90)</f>
        <v/>
      </c>
      <c r="AF90" s="113" t="str">
        <f aca="false">IF(OR(11&gt;$B$27,ISBLANK(Actuals!M66)),"",Actuals!M66)</f>
        <v/>
      </c>
      <c r="AG90" s="113" t="n">
        <f aca="false">Budget!M66</f>
        <v>0</v>
      </c>
      <c r="AH90" s="113" t="str">
        <f aca="false">IF(AF90="","",AF90-AG90)</f>
        <v/>
      </c>
      <c r="AI90" s="113" t="str">
        <f aca="false">IF(OR(12&gt;$B$27,ISBLANK(Actuals!N66)),"",Actuals!N66)</f>
        <v/>
      </c>
      <c r="AJ90" s="113" t="n">
        <f aca="false">Budget!N66</f>
        <v>0</v>
      </c>
      <c r="AK90" s="113" t="str">
        <f aca="false">IF(AI90="","",AI90-AJ90)</f>
        <v/>
      </c>
      <c r="AL90" s="116" t="n">
        <f aca="false">SUM(Actuals!$C66:INDEX(Actuals!$C66:$N66,$B$27))</f>
        <v>0</v>
      </c>
      <c r="AM90" s="116" t="n">
        <f aca="false">SUM(Budget!$C66:INDEX(Budget!$C66:$N66,$B$27))</f>
        <v>0</v>
      </c>
      <c r="AN90" s="116" t="n">
        <f aca="false">AL90-AM90</f>
        <v>0</v>
      </c>
    </row>
    <row r="91" customFormat="false" ht="15" hidden="true" customHeight="true" outlineLevel="1" collapsed="false">
      <c r="A91" s="109" t="s">
        <v>104</v>
      </c>
      <c r="B91" s="113" t="str">
        <f aca="false">IF(OR(1&gt;$B$27,ISBLANK(Actuals!C67)),"",Actuals!C67)</f>
        <v/>
      </c>
      <c r="C91" s="113" t="n">
        <f aca="false">Budget!C67</f>
        <v>0</v>
      </c>
      <c r="D91" s="113" t="str">
        <f aca="false">IF(B91="","",B91-C91)</f>
        <v/>
      </c>
      <c r="E91" s="113" t="str">
        <f aca="false">IF(OR(2&gt;$B$27,ISBLANK(Actuals!D67)),"",Actuals!D67)</f>
        <v/>
      </c>
      <c r="F91" s="113" t="n">
        <f aca="false">Budget!D67</f>
        <v>0</v>
      </c>
      <c r="G91" s="113" t="str">
        <f aca="false">IF(E91="","",E91-F91)</f>
        <v/>
      </c>
      <c r="H91" s="113" t="str">
        <f aca="false">IF(OR(3&gt;$B$27,ISBLANK(Actuals!E67)),"",Actuals!E67)</f>
        <v/>
      </c>
      <c r="I91" s="113" t="n">
        <f aca="false">Budget!E67</f>
        <v>0</v>
      </c>
      <c r="J91" s="113" t="str">
        <f aca="false">IF(H91="","",H91-I91)</f>
        <v/>
      </c>
      <c r="K91" s="113" t="str">
        <f aca="false">IF(OR(4&gt;$B$27,ISBLANK(Actuals!F67)),"",Actuals!F67)</f>
        <v/>
      </c>
      <c r="L91" s="113" t="n">
        <f aca="false">Budget!F67</f>
        <v>0</v>
      </c>
      <c r="M91" s="113" t="str">
        <f aca="false">IF(K91="","",K91-L91)</f>
        <v/>
      </c>
      <c r="N91" s="113" t="str">
        <f aca="false">IF(OR(5&gt;$B$27,ISBLANK(Actuals!G67)),"",Actuals!G67)</f>
        <v/>
      </c>
      <c r="O91" s="113" t="n">
        <f aca="false">Budget!G67</f>
        <v>0</v>
      </c>
      <c r="P91" s="113" t="str">
        <f aca="false">IF(N91="","",N91-O91)</f>
        <v/>
      </c>
      <c r="Q91" s="113" t="str">
        <f aca="false">IF(OR(6&gt;$B$27,ISBLANK(Actuals!H67)),"",Actuals!H67)</f>
        <v/>
      </c>
      <c r="R91" s="113" t="n">
        <f aca="false">Budget!H67</f>
        <v>0</v>
      </c>
      <c r="S91" s="113" t="str">
        <f aca="false">IF(Q91="","",Q91-R91)</f>
        <v/>
      </c>
      <c r="T91" s="113" t="str">
        <f aca="false">IF(OR(7&gt;$B$27,ISBLANK(Actuals!I67)),"",Actuals!I67)</f>
        <v/>
      </c>
      <c r="U91" s="113" t="n">
        <f aca="false">Budget!I67</f>
        <v>0</v>
      </c>
      <c r="V91" s="113" t="str">
        <f aca="false">IF(T91="","",T91-U91)</f>
        <v/>
      </c>
      <c r="W91" s="113" t="str">
        <f aca="false">IF(OR(8&gt;$B$27,ISBLANK(Actuals!J67)),"",Actuals!J67)</f>
        <v/>
      </c>
      <c r="X91" s="113" t="n">
        <f aca="false">Budget!J67</f>
        <v>0</v>
      </c>
      <c r="Y91" s="113" t="str">
        <f aca="false">IF(W91="","",W91-X91)</f>
        <v/>
      </c>
      <c r="Z91" s="113" t="str">
        <f aca="false">IF(OR(9&gt;$B$27,ISBLANK(Actuals!K67)),"",Actuals!K67)</f>
        <v/>
      </c>
      <c r="AA91" s="113" t="n">
        <f aca="false">Budget!K67</f>
        <v>0</v>
      </c>
      <c r="AB91" s="113" t="str">
        <f aca="false">IF(Z91="","",Z91-AA91)</f>
        <v/>
      </c>
      <c r="AC91" s="113" t="str">
        <f aca="false">IF(OR(10&gt;$B$27,ISBLANK(Actuals!L67)),"",Actuals!L67)</f>
        <v/>
      </c>
      <c r="AD91" s="113" t="n">
        <f aca="false">Budget!L67</f>
        <v>0</v>
      </c>
      <c r="AE91" s="113" t="str">
        <f aca="false">IF(AC91="","",AC91-AD91)</f>
        <v/>
      </c>
      <c r="AF91" s="113" t="str">
        <f aca="false">IF(OR(11&gt;$B$27,ISBLANK(Actuals!M67)),"",Actuals!M67)</f>
        <v/>
      </c>
      <c r="AG91" s="113" t="n">
        <f aca="false">Budget!M67</f>
        <v>0</v>
      </c>
      <c r="AH91" s="113" t="str">
        <f aca="false">IF(AF91="","",AF91-AG91)</f>
        <v/>
      </c>
      <c r="AI91" s="113" t="str">
        <f aca="false">IF(OR(12&gt;$B$27,ISBLANK(Actuals!N67)),"",Actuals!N67)</f>
        <v/>
      </c>
      <c r="AJ91" s="113" t="n">
        <f aca="false">Budget!N67</f>
        <v>0</v>
      </c>
      <c r="AK91" s="113" t="str">
        <f aca="false">IF(AI91="","",AI91-AJ91)</f>
        <v/>
      </c>
      <c r="AL91" s="116" t="n">
        <f aca="false">SUM(Actuals!$C67:INDEX(Actuals!$C67:$N67,$B$27))</f>
        <v>0</v>
      </c>
      <c r="AM91" s="116" t="n">
        <f aca="false">SUM(Budget!$C67:INDEX(Budget!$C67:$N67,$B$27))</f>
        <v>0</v>
      </c>
      <c r="AN91" s="116" t="n">
        <f aca="false">AL91-AM91</f>
        <v>0</v>
      </c>
    </row>
    <row r="92" customFormat="false" ht="15" hidden="true" customHeight="true" outlineLevel="1" collapsed="false">
      <c r="A92" s="109" t="s">
        <v>105</v>
      </c>
      <c r="B92" s="113" t="str">
        <f aca="false">IF(OR(1&gt;$B$27,ISBLANK(Actuals!C68)),"",Actuals!C68)</f>
        <v/>
      </c>
      <c r="C92" s="113" t="n">
        <f aca="false">Budget!C68</f>
        <v>0</v>
      </c>
      <c r="D92" s="113" t="str">
        <f aca="false">IF(B92="","",B92-C92)</f>
        <v/>
      </c>
      <c r="E92" s="113" t="str">
        <f aca="false">IF(OR(2&gt;$B$27,ISBLANK(Actuals!D68)),"",Actuals!D68)</f>
        <v/>
      </c>
      <c r="F92" s="113" t="n">
        <f aca="false">Budget!D68</f>
        <v>0</v>
      </c>
      <c r="G92" s="113" t="str">
        <f aca="false">IF(E92="","",E92-F92)</f>
        <v/>
      </c>
      <c r="H92" s="113" t="str">
        <f aca="false">IF(OR(3&gt;$B$27,ISBLANK(Actuals!E68)),"",Actuals!E68)</f>
        <v/>
      </c>
      <c r="I92" s="113" t="n">
        <f aca="false">Budget!E68</f>
        <v>0</v>
      </c>
      <c r="J92" s="113" t="str">
        <f aca="false">IF(H92="","",H92-I92)</f>
        <v/>
      </c>
      <c r="K92" s="113" t="str">
        <f aca="false">IF(OR(4&gt;$B$27,ISBLANK(Actuals!F68)),"",Actuals!F68)</f>
        <v/>
      </c>
      <c r="L92" s="113" t="n">
        <f aca="false">Budget!F68</f>
        <v>0</v>
      </c>
      <c r="M92" s="113" t="str">
        <f aca="false">IF(K92="","",K92-L92)</f>
        <v/>
      </c>
      <c r="N92" s="113" t="str">
        <f aca="false">IF(OR(5&gt;$B$27,ISBLANK(Actuals!G68)),"",Actuals!G68)</f>
        <v/>
      </c>
      <c r="O92" s="113" t="n">
        <f aca="false">Budget!G68</f>
        <v>0</v>
      </c>
      <c r="P92" s="113" t="str">
        <f aca="false">IF(N92="","",N92-O92)</f>
        <v/>
      </c>
      <c r="Q92" s="113" t="str">
        <f aca="false">IF(OR(6&gt;$B$27,ISBLANK(Actuals!H68)),"",Actuals!H68)</f>
        <v/>
      </c>
      <c r="R92" s="113" t="n">
        <f aca="false">Budget!H68</f>
        <v>0</v>
      </c>
      <c r="S92" s="113" t="str">
        <f aca="false">IF(Q92="","",Q92-R92)</f>
        <v/>
      </c>
      <c r="T92" s="113" t="str">
        <f aca="false">IF(OR(7&gt;$B$27,ISBLANK(Actuals!I68)),"",Actuals!I68)</f>
        <v/>
      </c>
      <c r="U92" s="113" t="n">
        <f aca="false">Budget!I68</f>
        <v>0</v>
      </c>
      <c r="V92" s="113" t="str">
        <f aca="false">IF(T92="","",T92-U92)</f>
        <v/>
      </c>
      <c r="W92" s="113" t="str">
        <f aca="false">IF(OR(8&gt;$B$27,ISBLANK(Actuals!J68)),"",Actuals!J68)</f>
        <v/>
      </c>
      <c r="X92" s="113" t="n">
        <f aca="false">Budget!J68</f>
        <v>0</v>
      </c>
      <c r="Y92" s="113" t="str">
        <f aca="false">IF(W92="","",W92-X92)</f>
        <v/>
      </c>
      <c r="Z92" s="113" t="str">
        <f aca="false">IF(OR(9&gt;$B$27,ISBLANK(Actuals!K68)),"",Actuals!K68)</f>
        <v/>
      </c>
      <c r="AA92" s="113" t="n">
        <f aca="false">Budget!K68</f>
        <v>0</v>
      </c>
      <c r="AB92" s="113" t="str">
        <f aca="false">IF(Z92="","",Z92-AA92)</f>
        <v/>
      </c>
      <c r="AC92" s="113" t="str">
        <f aca="false">IF(OR(10&gt;$B$27,ISBLANK(Actuals!L68)),"",Actuals!L68)</f>
        <v/>
      </c>
      <c r="AD92" s="113" t="n">
        <f aca="false">Budget!L68</f>
        <v>0</v>
      </c>
      <c r="AE92" s="113" t="str">
        <f aca="false">IF(AC92="","",AC92-AD92)</f>
        <v/>
      </c>
      <c r="AF92" s="113" t="str">
        <f aca="false">IF(OR(11&gt;$B$27,ISBLANK(Actuals!M68)),"",Actuals!M68)</f>
        <v/>
      </c>
      <c r="AG92" s="113" t="n">
        <f aca="false">Budget!M68</f>
        <v>0</v>
      </c>
      <c r="AH92" s="113" t="str">
        <f aca="false">IF(AF92="","",AF92-AG92)</f>
        <v/>
      </c>
      <c r="AI92" s="113" t="str">
        <f aca="false">IF(OR(12&gt;$B$27,ISBLANK(Actuals!N68)),"",Actuals!N68)</f>
        <v/>
      </c>
      <c r="AJ92" s="113" t="n">
        <f aca="false">Budget!N68</f>
        <v>0</v>
      </c>
      <c r="AK92" s="113" t="str">
        <f aca="false">IF(AI92="","",AI92-AJ92)</f>
        <v/>
      </c>
      <c r="AL92" s="116" t="n">
        <f aca="false">SUM(Actuals!$C68:INDEX(Actuals!$C68:$N68,$B$27))</f>
        <v>0</v>
      </c>
      <c r="AM92" s="116" t="n">
        <f aca="false">SUM(Budget!$C68:INDEX(Budget!$C68:$N68,$B$27))</f>
        <v>0</v>
      </c>
      <c r="AN92" s="116" t="n">
        <f aca="false">AL92-AM92</f>
        <v>0</v>
      </c>
    </row>
    <row r="93" customFormat="false" ht="15" hidden="true" customHeight="true" outlineLevel="1" collapsed="false">
      <c r="A93" s="109" t="s">
        <v>106</v>
      </c>
      <c r="B93" s="113" t="n">
        <f aca="false">IF(OR(1&gt;$B$27,ISBLANK(Actuals!C69)),"",Actuals!C69)</f>
        <v>9375</v>
      </c>
      <c r="C93" s="113" t="n">
        <f aca="false">Budget!C69</f>
        <v>10227.27</v>
      </c>
      <c r="D93" s="113" t="n">
        <f aca="false">IF(B93="","",B93-C93)</f>
        <v>-852.27</v>
      </c>
      <c r="E93" s="113" t="n">
        <f aca="false">IF(OR(2&gt;$B$27,ISBLANK(Actuals!D69)),"",Actuals!D69)</f>
        <v>9375</v>
      </c>
      <c r="F93" s="113" t="n">
        <f aca="false">Budget!D69</f>
        <v>10227.27</v>
      </c>
      <c r="G93" s="113" t="n">
        <f aca="false">IF(E93="","",E93-F93)</f>
        <v>-852.27</v>
      </c>
      <c r="H93" s="113" t="n">
        <f aca="false">IF(OR(3&gt;$B$27,ISBLANK(Actuals!E69)),"",Actuals!E69)</f>
        <v>9375</v>
      </c>
      <c r="I93" s="113" t="n">
        <f aca="false">Budget!E69</f>
        <v>10227.27</v>
      </c>
      <c r="J93" s="113" t="n">
        <f aca="false">IF(H93="","",H93-I93)</f>
        <v>-852.27</v>
      </c>
      <c r="K93" s="113" t="n">
        <f aca="false">IF(OR(4&gt;$B$27,ISBLANK(Actuals!F69)),"",Actuals!F69)</f>
        <v>9375</v>
      </c>
      <c r="L93" s="113" t="n">
        <f aca="false">Budget!F69</f>
        <v>10227.27</v>
      </c>
      <c r="M93" s="113" t="n">
        <f aca="false">IF(K93="","",K93-L93)</f>
        <v>-852.27</v>
      </c>
      <c r="N93" s="113" t="n">
        <f aca="false">IF(OR(5&gt;$B$27,ISBLANK(Actuals!G69)),"",Actuals!G69)</f>
        <v>9375</v>
      </c>
      <c r="O93" s="113" t="n">
        <f aca="false">Budget!G69</f>
        <v>10227.27</v>
      </c>
      <c r="P93" s="113" t="n">
        <f aca="false">IF(N93="","",N93-O93)</f>
        <v>-852.27</v>
      </c>
      <c r="Q93" s="113" t="n">
        <f aca="false">IF(OR(6&gt;$B$27,ISBLANK(Actuals!H69)),"",Actuals!H69)</f>
        <v>9375</v>
      </c>
      <c r="R93" s="113" t="n">
        <f aca="false">Budget!H69</f>
        <v>10227.27</v>
      </c>
      <c r="S93" s="113" t="n">
        <f aca="false">IF(Q93="","",Q93-R93)</f>
        <v>-852.27</v>
      </c>
      <c r="T93" s="113" t="n">
        <f aca="false">IF(OR(7&gt;$B$27,ISBLANK(Actuals!I69)),"",Actuals!I69)</f>
        <v>9375</v>
      </c>
      <c r="U93" s="113" t="n">
        <f aca="false">Budget!I69</f>
        <v>10227.27</v>
      </c>
      <c r="V93" s="113" t="n">
        <f aca="false">IF(T93="","",T93-U93)</f>
        <v>-852.27</v>
      </c>
      <c r="W93" s="113" t="n">
        <f aca="false">IF(OR(8&gt;$B$27,ISBLANK(Actuals!J69)),"",Actuals!J69)</f>
        <v>9375</v>
      </c>
      <c r="X93" s="113" t="n">
        <f aca="false">Budget!J69</f>
        <v>10227.27</v>
      </c>
      <c r="Y93" s="113" t="n">
        <f aca="false">IF(W93="","",W93-X93)</f>
        <v>-852.27</v>
      </c>
      <c r="Z93" s="113" t="n">
        <f aca="false">IF(OR(9&gt;$B$27,ISBLANK(Actuals!K69)),"",Actuals!K69)</f>
        <v>9375</v>
      </c>
      <c r="AA93" s="113" t="n">
        <f aca="false">Budget!K69</f>
        <v>10227.27</v>
      </c>
      <c r="AB93" s="113" t="n">
        <f aca="false">IF(Z93="","",Z93-AA93)</f>
        <v>-852.27</v>
      </c>
      <c r="AC93" s="113" t="str">
        <f aca="false">IF(OR(10&gt;$B$27,ISBLANK(Actuals!L69)),"",Actuals!L69)</f>
        <v/>
      </c>
      <c r="AD93" s="113" t="n">
        <f aca="false">Budget!L69</f>
        <v>0</v>
      </c>
      <c r="AE93" s="113" t="str">
        <f aca="false">IF(AC93="","",AC93-AD93)</f>
        <v/>
      </c>
      <c r="AF93" s="113" t="str">
        <f aca="false">IF(OR(11&gt;$B$27,ISBLANK(Actuals!M69)),"",Actuals!M69)</f>
        <v/>
      </c>
      <c r="AG93" s="113" t="n">
        <f aca="false">Budget!M69</f>
        <v>0</v>
      </c>
      <c r="AH93" s="113" t="str">
        <f aca="false">IF(AF93="","",AF93-AG93)</f>
        <v/>
      </c>
      <c r="AI93" s="113" t="str">
        <f aca="false">IF(OR(12&gt;$B$27,ISBLANK(Actuals!N69)),"",Actuals!N69)</f>
        <v/>
      </c>
      <c r="AJ93" s="113" t="n">
        <f aca="false">Budget!N69</f>
        <v>0</v>
      </c>
      <c r="AK93" s="113" t="str">
        <f aca="false">IF(AI93="","",AI93-AJ93)</f>
        <v/>
      </c>
      <c r="AL93" s="116" t="n">
        <f aca="false">SUM(Actuals!$C69:INDEX(Actuals!$C69:$N69,$B$27))</f>
        <v>84375</v>
      </c>
      <c r="AM93" s="116" t="n">
        <f aca="false">SUM(Budget!$C69:INDEX(Budget!$C69:$N69,$B$27))</f>
        <v>92045.43</v>
      </c>
      <c r="AN93" s="116" t="n">
        <f aca="false">AL93-AM93</f>
        <v>-7670.43000000001</v>
      </c>
      <c r="AP93" s="114" t="s">
        <v>441</v>
      </c>
    </row>
    <row r="94" customFormat="false" ht="15" hidden="true" customHeight="true" outlineLevel="1" collapsed="false">
      <c r="A94" s="109" t="s">
        <v>107</v>
      </c>
      <c r="B94" s="113" t="str">
        <f aca="false">IF(OR(1&gt;$B$27,ISBLANK(Actuals!C70)),"",Actuals!C70)</f>
        <v/>
      </c>
      <c r="C94" s="113" t="n">
        <f aca="false">Budget!C70</f>
        <v>0</v>
      </c>
      <c r="D94" s="113" t="str">
        <f aca="false">IF(B94="","",B94-C94)</f>
        <v/>
      </c>
      <c r="E94" s="113" t="str">
        <f aca="false">IF(OR(2&gt;$B$27,ISBLANK(Actuals!D70)),"",Actuals!D70)</f>
        <v/>
      </c>
      <c r="F94" s="113" t="n">
        <f aca="false">Budget!D70</f>
        <v>0</v>
      </c>
      <c r="G94" s="113" t="str">
        <f aca="false">IF(E94="","",E94-F94)</f>
        <v/>
      </c>
      <c r="H94" s="113" t="str">
        <f aca="false">IF(OR(3&gt;$B$27,ISBLANK(Actuals!E70)),"",Actuals!E70)</f>
        <v/>
      </c>
      <c r="I94" s="113" t="n">
        <f aca="false">Budget!E70</f>
        <v>0</v>
      </c>
      <c r="J94" s="113" t="str">
        <f aca="false">IF(H94="","",H94-I94)</f>
        <v/>
      </c>
      <c r="K94" s="113" t="str">
        <f aca="false">IF(OR(4&gt;$B$27,ISBLANK(Actuals!F70)),"",Actuals!F70)</f>
        <v/>
      </c>
      <c r="L94" s="113" t="n">
        <f aca="false">Budget!F70</f>
        <v>11875</v>
      </c>
      <c r="M94" s="113" t="str">
        <f aca="false">IF(K94="","",K94-L94)</f>
        <v/>
      </c>
      <c r="N94" s="113" t="str">
        <f aca="false">IF(OR(5&gt;$B$27,ISBLANK(Actuals!G70)),"",Actuals!G70)</f>
        <v/>
      </c>
      <c r="O94" s="113" t="n">
        <f aca="false">Budget!G70</f>
        <v>11875</v>
      </c>
      <c r="P94" s="113" t="str">
        <f aca="false">IF(N94="","",N94-O94)</f>
        <v/>
      </c>
      <c r="Q94" s="113" t="str">
        <f aca="false">IF(OR(6&gt;$B$27,ISBLANK(Actuals!H70)),"",Actuals!H70)</f>
        <v/>
      </c>
      <c r="R94" s="113" t="n">
        <f aca="false">Budget!H70</f>
        <v>11875</v>
      </c>
      <c r="S94" s="113" t="str">
        <f aca="false">IF(Q94="","",Q94-R94)</f>
        <v/>
      </c>
      <c r="T94" s="113" t="n">
        <f aca="false">IF(OR(7&gt;$B$27,ISBLANK(Actuals!I70)),"",Actuals!I70)</f>
        <v>44000</v>
      </c>
      <c r="U94" s="113" t="n">
        <f aca="false">Budget!I70</f>
        <v>11875</v>
      </c>
      <c r="V94" s="113" t="n">
        <f aca="false">IF(T94="","",T94-U94)</f>
        <v>32125</v>
      </c>
      <c r="W94" s="113" t="n">
        <f aca="false">IF(OR(8&gt;$B$27,ISBLANK(Actuals!J70)),"",Actuals!J70)</f>
        <v>19000</v>
      </c>
      <c r="X94" s="113" t="n">
        <f aca="false">Budget!J70</f>
        <v>11875</v>
      </c>
      <c r="Y94" s="113" t="n">
        <f aca="false">IF(W94="","",W94-X94)</f>
        <v>7125</v>
      </c>
      <c r="Z94" s="113" t="n">
        <f aca="false">IF(OR(9&gt;$B$27,ISBLANK(Actuals!K70)),"",Actuals!K70)</f>
        <v>8800</v>
      </c>
      <c r="AA94" s="113" t="n">
        <f aca="false">Budget!K70</f>
        <v>11875</v>
      </c>
      <c r="AB94" s="113" t="n">
        <f aca="false">IF(Z94="","",Z94-AA94)</f>
        <v>-3075</v>
      </c>
      <c r="AC94" s="113" t="str">
        <f aca="false">IF(OR(10&gt;$B$27,ISBLANK(Actuals!L70)),"",Actuals!L70)</f>
        <v/>
      </c>
      <c r="AD94" s="113" t="n">
        <f aca="false">Budget!L70</f>
        <v>11875</v>
      </c>
      <c r="AE94" s="113" t="str">
        <f aca="false">IF(AC94="","",AC94-AD94)</f>
        <v/>
      </c>
      <c r="AF94" s="113" t="str">
        <f aca="false">IF(OR(11&gt;$B$27,ISBLANK(Actuals!M70)),"",Actuals!M70)</f>
        <v/>
      </c>
      <c r="AG94" s="113" t="n">
        <f aca="false">Budget!M70</f>
        <v>11875</v>
      </c>
      <c r="AH94" s="113" t="str">
        <f aca="false">IF(AF94="","",AF94-AG94)</f>
        <v/>
      </c>
      <c r="AI94" s="113" t="str">
        <f aca="false">IF(OR(12&gt;$B$27,ISBLANK(Actuals!N70)),"",Actuals!N70)</f>
        <v/>
      </c>
      <c r="AJ94" s="113" t="n">
        <f aca="false">Budget!N70</f>
        <v>11875</v>
      </c>
      <c r="AK94" s="113" t="str">
        <f aca="false">IF(AI94="","",AI94-AJ94)</f>
        <v/>
      </c>
      <c r="AL94" s="116" t="n">
        <f aca="false">SUM(Actuals!$C70:INDEX(Actuals!$C70:$N70,$B$27))</f>
        <v>71800</v>
      </c>
      <c r="AM94" s="116" t="n">
        <f aca="false">SUM(Budget!$C70:INDEX(Budget!$C70:$N70,$B$27))</f>
        <v>71250</v>
      </c>
      <c r="AN94" s="116" t="n">
        <f aca="false">AL94-AM94</f>
        <v>550</v>
      </c>
      <c r="AP94" s="114" t="s">
        <v>442</v>
      </c>
    </row>
    <row r="95" customFormat="false" ht="15" hidden="true" customHeight="true" outlineLevel="1" collapsed="false">
      <c r="A95" s="109" t="s">
        <v>360</v>
      </c>
      <c r="B95" s="113" t="str">
        <f aca="false">IF(OR(1&gt;$B$27,ISBLANK(Actuals!C71)),"",Actuals!C71)</f>
        <v/>
      </c>
      <c r="C95" s="113" t="n">
        <f aca="false">Budget!C71</f>
        <v>0</v>
      </c>
      <c r="D95" s="113" t="str">
        <f aca="false">IF(B95="","",B95-C95)</f>
        <v/>
      </c>
      <c r="E95" s="113" t="str">
        <f aca="false">IF(OR(2&gt;$B$27,ISBLANK(Actuals!D71)),"",Actuals!D71)</f>
        <v/>
      </c>
      <c r="F95" s="113" t="n">
        <f aca="false">Budget!D71</f>
        <v>0</v>
      </c>
      <c r="G95" s="113" t="str">
        <f aca="false">IF(E95="","",E95-F95)</f>
        <v/>
      </c>
      <c r="H95" s="113" t="str">
        <f aca="false">IF(OR(3&gt;$B$27,ISBLANK(Actuals!E71)),"",Actuals!E71)</f>
        <v/>
      </c>
      <c r="I95" s="113" t="n">
        <f aca="false">Budget!E71</f>
        <v>0</v>
      </c>
      <c r="J95" s="113" t="str">
        <f aca="false">IF(H95="","",H95-I95)</f>
        <v/>
      </c>
      <c r="K95" s="113" t="str">
        <f aca="false">IF(OR(4&gt;$B$27,ISBLANK(Actuals!F71)),"",Actuals!F71)</f>
        <v/>
      </c>
      <c r="L95" s="113" t="n">
        <f aca="false">Budget!F71</f>
        <v>0</v>
      </c>
      <c r="M95" s="113" t="str">
        <f aca="false">IF(K95="","",K95-L95)</f>
        <v/>
      </c>
      <c r="N95" s="113" t="str">
        <f aca="false">IF(OR(5&gt;$B$27,ISBLANK(Actuals!G71)),"",Actuals!G71)</f>
        <v/>
      </c>
      <c r="O95" s="113" t="n">
        <f aca="false">Budget!G71</f>
        <v>0</v>
      </c>
      <c r="P95" s="113" t="str">
        <f aca="false">IF(N95="","",N95-O95)</f>
        <v/>
      </c>
      <c r="Q95" s="113" t="str">
        <f aca="false">IF(OR(6&gt;$B$27,ISBLANK(Actuals!H71)),"",Actuals!H71)</f>
        <v/>
      </c>
      <c r="R95" s="113" t="n">
        <f aca="false">Budget!H71</f>
        <v>0</v>
      </c>
      <c r="S95" s="113" t="str">
        <f aca="false">IF(Q95="","",Q95-R95)</f>
        <v/>
      </c>
      <c r="T95" s="113" t="str">
        <f aca="false">IF(OR(7&gt;$B$27,ISBLANK(Actuals!I71)),"",Actuals!I71)</f>
        <v/>
      </c>
      <c r="U95" s="113" t="n">
        <f aca="false">Budget!I71</f>
        <v>0</v>
      </c>
      <c r="V95" s="113" t="str">
        <f aca="false">IF(T95="","",T95-U95)</f>
        <v/>
      </c>
      <c r="W95" s="113" t="str">
        <f aca="false">IF(OR(8&gt;$B$27,ISBLANK(Actuals!J71)),"",Actuals!J71)</f>
        <v/>
      </c>
      <c r="X95" s="113" t="n">
        <f aca="false">Budget!J71</f>
        <v>0</v>
      </c>
      <c r="Y95" s="113" t="str">
        <f aca="false">IF(W95="","",W95-X95)</f>
        <v/>
      </c>
      <c r="Z95" s="113" t="str">
        <f aca="false">IF(OR(9&gt;$B$27,ISBLANK(Actuals!K71)),"",Actuals!K71)</f>
        <v/>
      </c>
      <c r="AA95" s="113" t="n">
        <f aca="false">Budget!K71</f>
        <v>0</v>
      </c>
      <c r="AB95" s="113" t="str">
        <f aca="false">IF(Z95="","",Z95-AA95)</f>
        <v/>
      </c>
      <c r="AC95" s="113" t="str">
        <f aca="false">IF(OR(10&gt;$B$27,ISBLANK(Actuals!L71)),"",Actuals!L71)</f>
        <v/>
      </c>
      <c r="AD95" s="113" t="n">
        <f aca="false">Budget!L71</f>
        <v>0</v>
      </c>
      <c r="AE95" s="113" t="str">
        <f aca="false">IF(AC95="","",AC95-AD95)</f>
        <v/>
      </c>
      <c r="AF95" s="113" t="str">
        <f aca="false">IF(OR(11&gt;$B$27,ISBLANK(Actuals!M71)),"",Actuals!M71)</f>
        <v/>
      </c>
      <c r="AG95" s="113" t="n">
        <f aca="false">Budget!M71</f>
        <v>0</v>
      </c>
      <c r="AH95" s="113" t="str">
        <f aca="false">IF(AF95="","",AF95-AG95)</f>
        <v/>
      </c>
      <c r="AI95" s="113" t="str">
        <f aca="false">IF(OR(12&gt;$B$27,ISBLANK(Actuals!N71)),"",Actuals!N71)</f>
        <v/>
      </c>
      <c r="AJ95" s="113" t="n">
        <f aca="false">Budget!N71</f>
        <v>0</v>
      </c>
      <c r="AK95" s="113" t="str">
        <f aca="false">IF(AI95="","",AI95-AJ95)</f>
        <v/>
      </c>
      <c r="AL95" s="116" t="n">
        <f aca="false">SUM(Actuals!$C71:INDEX(Actuals!$C71:$N71,$B$27))</f>
        <v>0</v>
      </c>
      <c r="AM95" s="116" t="n">
        <f aca="false">SUM(Budget!$C71:INDEX(Budget!$C71:$N71,$B$27))</f>
        <v>0</v>
      </c>
      <c r="AN95" s="116" t="n">
        <f aca="false">AL95-AM95</f>
        <v>0</v>
      </c>
    </row>
    <row r="96" customFormat="false" ht="15" hidden="true" customHeight="true" outlineLevel="1" collapsed="false">
      <c r="A96" s="109" t="s">
        <v>109</v>
      </c>
      <c r="B96" s="113" t="str">
        <f aca="false">IF(OR(1&gt;$B$27,ISBLANK(Actuals!C72)),"",Actuals!C72)</f>
        <v/>
      </c>
      <c r="C96" s="113" t="n">
        <f aca="false">Budget!C72</f>
        <v>0</v>
      </c>
      <c r="D96" s="113" t="str">
        <f aca="false">IF(B96="","",B96-C96)</f>
        <v/>
      </c>
      <c r="E96" s="113" t="str">
        <f aca="false">IF(OR(2&gt;$B$27,ISBLANK(Actuals!D72)),"",Actuals!D72)</f>
        <v/>
      </c>
      <c r="F96" s="113" t="n">
        <f aca="false">Budget!D72</f>
        <v>0</v>
      </c>
      <c r="G96" s="113" t="str">
        <f aca="false">IF(E96="","",E96-F96)</f>
        <v/>
      </c>
      <c r="H96" s="113" t="str">
        <f aca="false">IF(OR(3&gt;$B$27,ISBLANK(Actuals!E72)),"",Actuals!E72)</f>
        <v/>
      </c>
      <c r="I96" s="113" t="n">
        <f aca="false">Budget!E72</f>
        <v>0</v>
      </c>
      <c r="J96" s="113" t="str">
        <f aca="false">IF(H96="","",H96-I96)</f>
        <v/>
      </c>
      <c r="K96" s="113" t="str">
        <f aca="false">IF(OR(4&gt;$B$27,ISBLANK(Actuals!F72)),"",Actuals!F72)</f>
        <v/>
      </c>
      <c r="L96" s="113" t="n">
        <f aca="false">Budget!F72</f>
        <v>0</v>
      </c>
      <c r="M96" s="113" t="str">
        <f aca="false">IF(K96="","",K96-L96)</f>
        <v/>
      </c>
      <c r="N96" s="113" t="str">
        <f aca="false">IF(OR(5&gt;$B$27,ISBLANK(Actuals!G72)),"",Actuals!G72)</f>
        <v/>
      </c>
      <c r="O96" s="113" t="n">
        <f aca="false">Budget!G72</f>
        <v>0</v>
      </c>
      <c r="P96" s="113" t="str">
        <f aca="false">IF(N96="","",N96-O96)</f>
        <v/>
      </c>
      <c r="Q96" s="113" t="str">
        <f aca="false">IF(OR(6&gt;$B$27,ISBLANK(Actuals!H72)),"",Actuals!H72)</f>
        <v/>
      </c>
      <c r="R96" s="113" t="n">
        <f aca="false">Budget!H72</f>
        <v>0</v>
      </c>
      <c r="S96" s="113" t="str">
        <f aca="false">IF(Q96="","",Q96-R96)</f>
        <v/>
      </c>
      <c r="T96" s="113" t="str">
        <f aca="false">IF(OR(7&gt;$B$27,ISBLANK(Actuals!I72)),"",Actuals!I72)</f>
        <v/>
      </c>
      <c r="U96" s="113" t="n">
        <f aca="false">Budget!I72</f>
        <v>0</v>
      </c>
      <c r="V96" s="113" t="str">
        <f aca="false">IF(T96="","",T96-U96)</f>
        <v/>
      </c>
      <c r="W96" s="113" t="str">
        <f aca="false">IF(OR(8&gt;$B$27,ISBLANK(Actuals!J72)),"",Actuals!J72)</f>
        <v/>
      </c>
      <c r="X96" s="113" t="n">
        <f aca="false">Budget!J72</f>
        <v>0</v>
      </c>
      <c r="Y96" s="113" t="str">
        <f aca="false">IF(W96="","",W96-X96)</f>
        <v/>
      </c>
      <c r="Z96" s="113" t="str">
        <f aca="false">IF(OR(9&gt;$B$27,ISBLANK(Actuals!K72)),"",Actuals!K72)</f>
        <v/>
      </c>
      <c r="AA96" s="113" t="n">
        <f aca="false">Budget!K72</f>
        <v>0</v>
      </c>
      <c r="AB96" s="113" t="str">
        <f aca="false">IF(Z96="","",Z96-AA96)</f>
        <v/>
      </c>
      <c r="AC96" s="113" t="str">
        <f aca="false">IF(OR(10&gt;$B$27,ISBLANK(Actuals!L72)),"",Actuals!L72)</f>
        <v/>
      </c>
      <c r="AD96" s="113" t="n">
        <f aca="false">Budget!L72</f>
        <v>0</v>
      </c>
      <c r="AE96" s="113" t="str">
        <f aca="false">IF(AC96="","",AC96-AD96)</f>
        <v/>
      </c>
      <c r="AF96" s="113" t="str">
        <f aca="false">IF(OR(11&gt;$B$27,ISBLANK(Actuals!M72)),"",Actuals!M72)</f>
        <v/>
      </c>
      <c r="AG96" s="113" t="n">
        <f aca="false">Budget!M72</f>
        <v>0</v>
      </c>
      <c r="AH96" s="113" t="str">
        <f aca="false">IF(AF96="","",AF96-AG96)</f>
        <v/>
      </c>
      <c r="AI96" s="113" t="str">
        <f aca="false">IF(OR(12&gt;$B$27,ISBLANK(Actuals!N72)),"",Actuals!N72)</f>
        <v/>
      </c>
      <c r="AJ96" s="113" t="n">
        <f aca="false">Budget!N72</f>
        <v>0</v>
      </c>
      <c r="AK96" s="113" t="str">
        <f aca="false">IF(AI96="","",AI96-AJ96)</f>
        <v/>
      </c>
      <c r="AL96" s="116" t="n">
        <f aca="false">SUM(Actuals!$C72:INDEX(Actuals!$C72:$N72,$B$27))</f>
        <v>0</v>
      </c>
      <c r="AM96" s="116" t="n">
        <f aca="false">SUM(Budget!$C72:INDEX(Budget!$C72:$N72,$B$27))</f>
        <v>0</v>
      </c>
      <c r="AN96" s="116" t="n">
        <f aca="false">AL96-AM96</f>
        <v>0</v>
      </c>
    </row>
    <row r="97" customFormat="false" ht="15" hidden="true" customHeight="true" outlineLevel="1" collapsed="false">
      <c r="A97" s="109" t="s">
        <v>361</v>
      </c>
      <c r="B97" s="113" t="str">
        <f aca="false">IF(OR(1&gt;$B$27,ISBLANK(Actuals!C73)),"",Actuals!C73)</f>
        <v/>
      </c>
      <c r="C97" s="113" t="n">
        <f aca="false">Budget!C73</f>
        <v>0</v>
      </c>
      <c r="D97" s="113" t="str">
        <f aca="false">IF(B97="","",B97-C97)</f>
        <v/>
      </c>
      <c r="E97" s="113" t="str">
        <f aca="false">IF(OR(2&gt;$B$27,ISBLANK(Actuals!D73)),"",Actuals!D73)</f>
        <v/>
      </c>
      <c r="F97" s="113" t="n">
        <f aca="false">Budget!D73</f>
        <v>0</v>
      </c>
      <c r="G97" s="113" t="str">
        <f aca="false">IF(E97="","",E97-F97)</f>
        <v/>
      </c>
      <c r="H97" s="113" t="str">
        <f aca="false">IF(OR(3&gt;$B$27,ISBLANK(Actuals!E73)),"",Actuals!E73)</f>
        <v/>
      </c>
      <c r="I97" s="113" t="n">
        <f aca="false">Budget!E73</f>
        <v>0</v>
      </c>
      <c r="J97" s="113" t="str">
        <f aca="false">IF(H97="","",H97-I97)</f>
        <v/>
      </c>
      <c r="K97" s="113" t="str">
        <f aca="false">IF(OR(4&gt;$B$27,ISBLANK(Actuals!F73)),"",Actuals!F73)</f>
        <v/>
      </c>
      <c r="L97" s="113" t="n">
        <f aca="false">Budget!F73</f>
        <v>0</v>
      </c>
      <c r="M97" s="113" t="str">
        <f aca="false">IF(K97="","",K97-L97)</f>
        <v/>
      </c>
      <c r="N97" s="113" t="str">
        <f aca="false">IF(OR(5&gt;$B$27,ISBLANK(Actuals!G73)),"",Actuals!G73)</f>
        <v/>
      </c>
      <c r="O97" s="113" t="n">
        <f aca="false">Budget!G73</f>
        <v>0</v>
      </c>
      <c r="P97" s="113" t="str">
        <f aca="false">IF(N97="","",N97-O97)</f>
        <v/>
      </c>
      <c r="Q97" s="113" t="str">
        <f aca="false">IF(OR(6&gt;$B$27,ISBLANK(Actuals!H73)),"",Actuals!H73)</f>
        <v/>
      </c>
      <c r="R97" s="113" t="n">
        <f aca="false">Budget!H73</f>
        <v>0</v>
      </c>
      <c r="S97" s="113" t="str">
        <f aca="false">IF(Q97="","",Q97-R97)</f>
        <v/>
      </c>
      <c r="T97" s="113" t="str">
        <f aca="false">IF(OR(7&gt;$B$27,ISBLANK(Actuals!I73)),"",Actuals!I73)</f>
        <v/>
      </c>
      <c r="U97" s="113" t="n">
        <f aca="false">Budget!I73</f>
        <v>0</v>
      </c>
      <c r="V97" s="113" t="str">
        <f aca="false">IF(T97="","",T97-U97)</f>
        <v/>
      </c>
      <c r="W97" s="113" t="str">
        <f aca="false">IF(OR(8&gt;$B$27,ISBLANK(Actuals!J73)),"",Actuals!J73)</f>
        <v/>
      </c>
      <c r="X97" s="113" t="n">
        <f aca="false">Budget!J73</f>
        <v>0</v>
      </c>
      <c r="Y97" s="113" t="str">
        <f aca="false">IF(W97="","",W97-X97)</f>
        <v/>
      </c>
      <c r="Z97" s="113" t="str">
        <f aca="false">IF(OR(9&gt;$B$27,ISBLANK(Actuals!K73)),"",Actuals!K73)</f>
        <v/>
      </c>
      <c r="AA97" s="113" t="n">
        <f aca="false">Budget!K73</f>
        <v>0</v>
      </c>
      <c r="AB97" s="113" t="str">
        <f aca="false">IF(Z97="","",Z97-AA97)</f>
        <v/>
      </c>
      <c r="AC97" s="113" t="str">
        <f aca="false">IF(OR(10&gt;$B$27,ISBLANK(Actuals!L73)),"",Actuals!L73)</f>
        <v/>
      </c>
      <c r="AD97" s="113" t="n">
        <f aca="false">Budget!L73</f>
        <v>0</v>
      </c>
      <c r="AE97" s="113" t="str">
        <f aca="false">IF(AC97="","",AC97-AD97)</f>
        <v/>
      </c>
      <c r="AF97" s="113" t="str">
        <f aca="false">IF(OR(11&gt;$B$27,ISBLANK(Actuals!M73)),"",Actuals!M73)</f>
        <v/>
      </c>
      <c r="AG97" s="113" t="n">
        <f aca="false">Budget!M73</f>
        <v>0</v>
      </c>
      <c r="AH97" s="113" t="str">
        <f aca="false">IF(AF97="","",AF97-AG97)</f>
        <v/>
      </c>
      <c r="AI97" s="113" t="str">
        <f aca="false">IF(OR(12&gt;$B$27,ISBLANK(Actuals!N73)),"",Actuals!N73)</f>
        <v/>
      </c>
      <c r="AJ97" s="113" t="n">
        <f aca="false">Budget!N73</f>
        <v>0</v>
      </c>
      <c r="AK97" s="113" t="str">
        <f aca="false">IF(AI97="","",AI97-AJ97)</f>
        <v/>
      </c>
      <c r="AL97" s="116" t="n">
        <f aca="false">SUM(Actuals!$C73:INDEX(Actuals!$C73:$N73,$B$27))</f>
        <v>0</v>
      </c>
      <c r="AM97" s="116" t="n">
        <f aca="false">SUM(Budget!$C73:INDEX(Budget!$C73:$N73,$B$27))</f>
        <v>0</v>
      </c>
      <c r="AN97" s="116" t="n">
        <f aca="false">AL97-AM97</f>
        <v>0</v>
      </c>
    </row>
    <row r="98" customFormat="false" ht="15" hidden="true" customHeight="true" outlineLevel="1" collapsed="false">
      <c r="A98" s="109" t="s">
        <v>362</v>
      </c>
      <c r="B98" s="113" t="str">
        <f aca="false">IF(OR(1&gt;$B$27,ISBLANK(Actuals!C74)),"",Actuals!C74)</f>
        <v/>
      </c>
      <c r="C98" s="113" t="n">
        <f aca="false">Budget!C74</f>
        <v>0</v>
      </c>
      <c r="D98" s="113" t="str">
        <f aca="false">IF(B98="","",B98-C98)</f>
        <v/>
      </c>
      <c r="E98" s="113" t="str">
        <f aca="false">IF(OR(2&gt;$B$27,ISBLANK(Actuals!D74)),"",Actuals!D74)</f>
        <v/>
      </c>
      <c r="F98" s="113" t="n">
        <f aca="false">Budget!D74</f>
        <v>0</v>
      </c>
      <c r="G98" s="113" t="str">
        <f aca="false">IF(E98="","",E98-F98)</f>
        <v/>
      </c>
      <c r="H98" s="113" t="str">
        <f aca="false">IF(OR(3&gt;$B$27,ISBLANK(Actuals!E74)),"",Actuals!E74)</f>
        <v/>
      </c>
      <c r="I98" s="113" t="n">
        <f aca="false">Budget!E74</f>
        <v>0</v>
      </c>
      <c r="J98" s="113" t="str">
        <f aca="false">IF(H98="","",H98-I98)</f>
        <v/>
      </c>
      <c r="K98" s="113" t="str">
        <f aca="false">IF(OR(4&gt;$B$27,ISBLANK(Actuals!F74)),"",Actuals!F74)</f>
        <v/>
      </c>
      <c r="L98" s="113" t="n">
        <f aca="false">Budget!F74</f>
        <v>0</v>
      </c>
      <c r="M98" s="113" t="str">
        <f aca="false">IF(K98="","",K98-L98)</f>
        <v/>
      </c>
      <c r="N98" s="113" t="str">
        <f aca="false">IF(OR(5&gt;$B$27,ISBLANK(Actuals!G74)),"",Actuals!G74)</f>
        <v/>
      </c>
      <c r="O98" s="113" t="n">
        <f aca="false">Budget!G74</f>
        <v>0</v>
      </c>
      <c r="P98" s="113" t="str">
        <f aca="false">IF(N98="","",N98-O98)</f>
        <v/>
      </c>
      <c r="Q98" s="113" t="str">
        <f aca="false">IF(OR(6&gt;$B$27,ISBLANK(Actuals!H74)),"",Actuals!H74)</f>
        <v/>
      </c>
      <c r="R98" s="113" t="n">
        <f aca="false">Budget!H74</f>
        <v>0</v>
      </c>
      <c r="S98" s="113" t="str">
        <f aca="false">IF(Q98="","",Q98-R98)</f>
        <v/>
      </c>
      <c r="T98" s="113" t="str">
        <f aca="false">IF(OR(7&gt;$B$27,ISBLANK(Actuals!I74)),"",Actuals!I74)</f>
        <v/>
      </c>
      <c r="U98" s="113" t="n">
        <f aca="false">Budget!I74</f>
        <v>0</v>
      </c>
      <c r="V98" s="113" t="str">
        <f aca="false">IF(T98="","",T98-U98)</f>
        <v/>
      </c>
      <c r="W98" s="113" t="str">
        <f aca="false">IF(OR(8&gt;$B$27,ISBLANK(Actuals!J74)),"",Actuals!J74)</f>
        <v/>
      </c>
      <c r="X98" s="113" t="n">
        <f aca="false">Budget!J74</f>
        <v>0</v>
      </c>
      <c r="Y98" s="113" t="str">
        <f aca="false">IF(W98="","",W98-X98)</f>
        <v/>
      </c>
      <c r="Z98" s="113" t="str">
        <f aca="false">IF(OR(9&gt;$B$27,ISBLANK(Actuals!K74)),"",Actuals!K74)</f>
        <v/>
      </c>
      <c r="AA98" s="113" t="n">
        <f aca="false">Budget!K74</f>
        <v>0</v>
      </c>
      <c r="AB98" s="113" t="str">
        <f aca="false">IF(Z98="","",Z98-AA98)</f>
        <v/>
      </c>
      <c r="AC98" s="113" t="str">
        <f aca="false">IF(OR(10&gt;$B$27,ISBLANK(Actuals!L74)),"",Actuals!L74)</f>
        <v/>
      </c>
      <c r="AD98" s="113" t="n">
        <f aca="false">Budget!L74</f>
        <v>0</v>
      </c>
      <c r="AE98" s="113" t="str">
        <f aca="false">IF(AC98="","",AC98-AD98)</f>
        <v/>
      </c>
      <c r="AF98" s="113" t="str">
        <f aca="false">IF(OR(11&gt;$B$27,ISBLANK(Actuals!M74)),"",Actuals!M74)</f>
        <v/>
      </c>
      <c r="AG98" s="113" t="n">
        <f aca="false">Budget!M74</f>
        <v>0</v>
      </c>
      <c r="AH98" s="113" t="str">
        <f aca="false">IF(AF98="","",AF98-AG98)</f>
        <v/>
      </c>
      <c r="AI98" s="113" t="str">
        <f aca="false">IF(OR(12&gt;$B$27,ISBLANK(Actuals!N74)),"",Actuals!N74)</f>
        <v/>
      </c>
      <c r="AJ98" s="113" t="n">
        <f aca="false">Budget!N74</f>
        <v>0</v>
      </c>
      <c r="AK98" s="113" t="str">
        <f aca="false">IF(AI98="","",AI98-AJ98)</f>
        <v/>
      </c>
      <c r="AL98" s="116" t="n">
        <f aca="false">SUM(Actuals!$C74:INDEX(Actuals!$C74:$N74,$B$27))</f>
        <v>0</v>
      </c>
      <c r="AM98" s="116" t="n">
        <f aca="false">SUM(Budget!$C74:INDEX(Budget!$C74:$N74,$B$27))</f>
        <v>0</v>
      </c>
      <c r="AN98" s="116" t="n">
        <f aca="false">AL98-AM98</f>
        <v>0</v>
      </c>
    </row>
    <row r="99" customFormat="false" ht="15" hidden="true" customHeight="true" outlineLevel="1" collapsed="false">
      <c r="A99" s="109" t="s">
        <v>112</v>
      </c>
      <c r="B99" s="113" t="str">
        <f aca="false">IF(OR(1&gt;$B$27,ISBLANK(Actuals!C75)),"",Actuals!C75)</f>
        <v/>
      </c>
      <c r="C99" s="113" t="n">
        <f aca="false">Budget!C75</f>
        <v>0</v>
      </c>
      <c r="D99" s="113" t="str">
        <f aca="false">IF(B99="","",B99-C99)</f>
        <v/>
      </c>
      <c r="E99" s="113" t="str">
        <f aca="false">IF(OR(2&gt;$B$27,ISBLANK(Actuals!D75)),"",Actuals!D75)</f>
        <v/>
      </c>
      <c r="F99" s="113" t="n">
        <f aca="false">Budget!D75</f>
        <v>0</v>
      </c>
      <c r="G99" s="113" t="str">
        <f aca="false">IF(E99="","",E99-F99)</f>
        <v/>
      </c>
      <c r="H99" s="113" t="str">
        <f aca="false">IF(OR(3&gt;$B$27,ISBLANK(Actuals!E75)),"",Actuals!E75)</f>
        <v/>
      </c>
      <c r="I99" s="113" t="n">
        <f aca="false">Budget!E75</f>
        <v>0</v>
      </c>
      <c r="J99" s="113" t="str">
        <f aca="false">IF(H99="","",H99-I99)</f>
        <v/>
      </c>
      <c r="K99" s="113" t="str">
        <f aca="false">IF(OR(4&gt;$B$27,ISBLANK(Actuals!F75)),"",Actuals!F75)</f>
        <v/>
      </c>
      <c r="L99" s="113" t="n">
        <f aca="false">Budget!F75</f>
        <v>0</v>
      </c>
      <c r="M99" s="113" t="str">
        <f aca="false">IF(K99="","",K99-L99)</f>
        <v/>
      </c>
      <c r="N99" s="113" t="str">
        <f aca="false">IF(OR(5&gt;$B$27,ISBLANK(Actuals!G75)),"",Actuals!G75)</f>
        <v/>
      </c>
      <c r="O99" s="113" t="n">
        <f aca="false">Budget!G75</f>
        <v>0</v>
      </c>
      <c r="P99" s="113" t="str">
        <f aca="false">IF(N99="","",N99-O99)</f>
        <v/>
      </c>
      <c r="Q99" s="113" t="str">
        <f aca="false">IF(OR(6&gt;$B$27,ISBLANK(Actuals!H75)),"",Actuals!H75)</f>
        <v/>
      </c>
      <c r="R99" s="113" t="n">
        <f aca="false">Budget!H75</f>
        <v>0</v>
      </c>
      <c r="S99" s="113" t="str">
        <f aca="false">IF(Q99="","",Q99-R99)</f>
        <v/>
      </c>
      <c r="T99" s="113" t="str">
        <f aca="false">IF(OR(7&gt;$B$27,ISBLANK(Actuals!I75)),"",Actuals!I75)</f>
        <v/>
      </c>
      <c r="U99" s="113" t="n">
        <f aca="false">Budget!I75</f>
        <v>0</v>
      </c>
      <c r="V99" s="113" t="str">
        <f aca="false">IF(T99="","",T99-U99)</f>
        <v/>
      </c>
      <c r="W99" s="113" t="str">
        <f aca="false">IF(OR(8&gt;$B$27,ISBLANK(Actuals!J75)),"",Actuals!J75)</f>
        <v/>
      </c>
      <c r="X99" s="113" t="n">
        <f aca="false">Budget!J75</f>
        <v>0</v>
      </c>
      <c r="Y99" s="113" t="str">
        <f aca="false">IF(W99="","",W99-X99)</f>
        <v/>
      </c>
      <c r="Z99" s="113" t="str">
        <f aca="false">IF(OR(9&gt;$B$27,ISBLANK(Actuals!K75)),"",Actuals!K75)</f>
        <v/>
      </c>
      <c r="AA99" s="113" t="n">
        <f aca="false">Budget!K75</f>
        <v>0</v>
      </c>
      <c r="AB99" s="113" t="str">
        <f aca="false">IF(Z99="","",Z99-AA99)</f>
        <v/>
      </c>
      <c r="AC99" s="113" t="str">
        <f aca="false">IF(OR(10&gt;$B$27,ISBLANK(Actuals!L75)),"",Actuals!L75)</f>
        <v/>
      </c>
      <c r="AD99" s="113" t="n">
        <f aca="false">Budget!L75</f>
        <v>0</v>
      </c>
      <c r="AE99" s="113" t="str">
        <f aca="false">IF(AC99="","",AC99-AD99)</f>
        <v/>
      </c>
      <c r="AF99" s="113" t="str">
        <f aca="false">IF(OR(11&gt;$B$27,ISBLANK(Actuals!M75)),"",Actuals!M75)</f>
        <v/>
      </c>
      <c r="AG99" s="113" t="n">
        <f aca="false">Budget!M75</f>
        <v>0</v>
      </c>
      <c r="AH99" s="113" t="str">
        <f aca="false">IF(AF99="","",AF99-AG99)</f>
        <v/>
      </c>
      <c r="AI99" s="113" t="str">
        <f aca="false">IF(OR(12&gt;$B$27,ISBLANK(Actuals!N75)),"",Actuals!N75)</f>
        <v/>
      </c>
      <c r="AJ99" s="113" t="n">
        <f aca="false">Budget!N75</f>
        <v>0</v>
      </c>
      <c r="AK99" s="113" t="str">
        <f aca="false">IF(AI99="","",AI99-AJ99)</f>
        <v/>
      </c>
      <c r="AL99" s="116" t="n">
        <f aca="false">SUM(Actuals!$C75:INDEX(Actuals!$C75:$N75,$B$27))</f>
        <v>0</v>
      </c>
      <c r="AM99" s="116" t="n">
        <f aca="false">SUM(Budget!$C75:INDEX(Budget!$C75:$N75,$B$27))</f>
        <v>0</v>
      </c>
      <c r="AN99" s="116" t="n">
        <f aca="false">AL99-AM99</f>
        <v>0</v>
      </c>
    </row>
    <row r="100" customFormat="false" ht="15" hidden="true" customHeight="true" outlineLevel="1" collapsed="false">
      <c r="A100" s="109" t="s">
        <v>363</v>
      </c>
      <c r="B100" s="113" t="str">
        <f aca="false">IF(OR(1&gt;$B$27,ISBLANK(Actuals!C76)),"",Actuals!C76)</f>
        <v/>
      </c>
      <c r="C100" s="113" t="n">
        <f aca="false">Budget!C76</f>
        <v>0</v>
      </c>
      <c r="D100" s="113" t="str">
        <f aca="false">IF(B100="","",B100-C100)</f>
        <v/>
      </c>
      <c r="E100" s="113" t="str">
        <f aca="false">IF(OR(2&gt;$B$27,ISBLANK(Actuals!D76)),"",Actuals!D76)</f>
        <v/>
      </c>
      <c r="F100" s="113" t="n">
        <f aca="false">Budget!D76</f>
        <v>0</v>
      </c>
      <c r="G100" s="113" t="str">
        <f aca="false">IF(E100="","",E100-F100)</f>
        <v/>
      </c>
      <c r="H100" s="113" t="str">
        <f aca="false">IF(OR(3&gt;$B$27,ISBLANK(Actuals!E76)),"",Actuals!E76)</f>
        <v/>
      </c>
      <c r="I100" s="113" t="n">
        <f aca="false">Budget!E76</f>
        <v>0</v>
      </c>
      <c r="J100" s="113" t="str">
        <f aca="false">IF(H100="","",H100-I100)</f>
        <v/>
      </c>
      <c r="K100" s="113" t="str">
        <f aca="false">IF(OR(4&gt;$B$27,ISBLANK(Actuals!F76)),"",Actuals!F76)</f>
        <v/>
      </c>
      <c r="L100" s="113" t="n">
        <f aca="false">Budget!F76</f>
        <v>0</v>
      </c>
      <c r="M100" s="113" t="str">
        <f aca="false">IF(K100="","",K100-L100)</f>
        <v/>
      </c>
      <c r="N100" s="113" t="str">
        <f aca="false">IF(OR(5&gt;$B$27,ISBLANK(Actuals!G76)),"",Actuals!G76)</f>
        <v/>
      </c>
      <c r="O100" s="113" t="n">
        <f aca="false">Budget!G76</f>
        <v>0</v>
      </c>
      <c r="P100" s="113" t="str">
        <f aca="false">IF(N100="","",N100-O100)</f>
        <v/>
      </c>
      <c r="Q100" s="113" t="str">
        <f aca="false">IF(OR(6&gt;$B$27,ISBLANK(Actuals!H76)),"",Actuals!H76)</f>
        <v/>
      </c>
      <c r="R100" s="113" t="n">
        <f aca="false">Budget!H76</f>
        <v>0</v>
      </c>
      <c r="S100" s="113" t="str">
        <f aca="false">IF(Q100="","",Q100-R100)</f>
        <v/>
      </c>
      <c r="T100" s="113" t="str">
        <f aca="false">IF(OR(7&gt;$B$27,ISBLANK(Actuals!I76)),"",Actuals!I76)</f>
        <v/>
      </c>
      <c r="U100" s="113" t="n">
        <f aca="false">Budget!I76</f>
        <v>0</v>
      </c>
      <c r="V100" s="113" t="str">
        <f aca="false">IF(T100="","",T100-U100)</f>
        <v/>
      </c>
      <c r="W100" s="113" t="str">
        <f aca="false">IF(OR(8&gt;$B$27,ISBLANK(Actuals!J76)),"",Actuals!J76)</f>
        <v/>
      </c>
      <c r="X100" s="113" t="n">
        <f aca="false">Budget!J76</f>
        <v>0</v>
      </c>
      <c r="Y100" s="113" t="str">
        <f aca="false">IF(W100="","",W100-X100)</f>
        <v/>
      </c>
      <c r="Z100" s="113" t="str">
        <f aca="false">IF(OR(9&gt;$B$27,ISBLANK(Actuals!K76)),"",Actuals!K76)</f>
        <v/>
      </c>
      <c r="AA100" s="113" t="n">
        <f aca="false">Budget!K76</f>
        <v>0</v>
      </c>
      <c r="AB100" s="113" t="str">
        <f aca="false">IF(Z100="","",Z100-AA100)</f>
        <v/>
      </c>
      <c r="AC100" s="113" t="str">
        <f aca="false">IF(OR(10&gt;$B$27,ISBLANK(Actuals!L76)),"",Actuals!L76)</f>
        <v/>
      </c>
      <c r="AD100" s="113" t="n">
        <f aca="false">Budget!L76</f>
        <v>0</v>
      </c>
      <c r="AE100" s="113" t="str">
        <f aca="false">IF(AC100="","",AC100-AD100)</f>
        <v/>
      </c>
      <c r="AF100" s="113" t="str">
        <f aca="false">IF(OR(11&gt;$B$27,ISBLANK(Actuals!M76)),"",Actuals!M76)</f>
        <v/>
      </c>
      <c r="AG100" s="113" t="n">
        <f aca="false">Budget!M76</f>
        <v>0</v>
      </c>
      <c r="AH100" s="113" t="str">
        <f aca="false">IF(AF100="","",AF100-AG100)</f>
        <v/>
      </c>
      <c r="AI100" s="113" t="str">
        <f aca="false">IF(OR(12&gt;$B$27,ISBLANK(Actuals!N76)),"",Actuals!N76)</f>
        <v/>
      </c>
      <c r="AJ100" s="113" t="n">
        <f aca="false">Budget!N76</f>
        <v>0</v>
      </c>
      <c r="AK100" s="113" t="str">
        <f aca="false">IF(AI100="","",AI100-AJ100)</f>
        <v/>
      </c>
      <c r="AL100" s="116" t="n">
        <f aca="false">SUM(Actuals!$C76:INDEX(Actuals!$C76:$N76,$B$27))</f>
        <v>0</v>
      </c>
      <c r="AM100" s="116" t="n">
        <f aca="false">SUM(Budget!$C76:INDEX(Budget!$C76:$N76,$B$27))</f>
        <v>0</v>
      </c>
      <c r="AN100" s="116" t="n">
        <f aca="false">AL100-AM100</f>
        <v>0</v>
      </c>
    </row>
    <row r="101" customFormat="false" ht="15" hidden="true" customHeight="true" outlineLevel="1" collapsed="false">
      <c r="A101" s="109" t="s">
        <v>114</v>
      </c>
      <c r="B101" s="113" t="str">
        <f aca="false">IF(OR(1&gt;$B$27,ISBLANK(Actuals!C77)),"",Actuals!C77)</f>
        <v/>
      </c>
      <c r="C101" s="113" t="n">
        <f aca="false">Budget!C77</f>
        <v>0</v>
      </c>
      <c r="D101" s="113" t="str">
        <f aca="false">IF(B101="","",B101-C101)</f>
        <v/>
      </c>
      <c r="E101" s="113" t="str">
        <f aca="false">IF(OR(2&gt;$B$27,ISBLANK(Actuals!D77)),"",Actuals!D77)</f>
        <v/>
      </c>
      <c r="F101" s="113" t="n">
        <f aca="false">Budget!D77</f>
        <v>0</v>
      </c>
      <c r="G101" s="113" t="str">
        <f aca="false">IF(E101="","",E101-F101)</f>
        <v/>
      </c>
      <c r="H101" s="113" t="str">
        <f aca="false">IF(OR(3&gt;$B$27,ISBLANK(Actuals!E77)),"",Actuals!E77)</f>
        <v/>
      </c>
      <c r="I101" s="113" t="n">
        <f aca="false">Budget!E77</f>
        <v>0</v>
      </c>
      <c r="J101" s="113" t="str">
        <f aca="false">IF(H101="","",H101-I101)</f>
        <v/>
      </c>
      <c r="K101" s="113" t="str">
        <f aca="false">IF(OR(4&gt;$B$27,ISBLANK(Actuals!F77)),"",Actuals!F77)</f>
        <v/>
      </c>
      <c r="L101" s="113" t="n">
        <f aca="false">Budget!F77</f>
        <v>0</v>
      </c>
      <c r="M101" s="113" t="str">
        <f aca="false">IF(K101="","",K101-L101)</f>
        <v/>
      </c>
      <c r="N101" s="113" t="str">
        <f aca="false">IF(OR(5&gt;$B$27,ISBLANK(Actuals!G77)),"",Actuals!G77)</f>
        <v/>
      </c>
      <c r="O101" s="113" t="n">
        <f aca="false">Budget!G77</f>
        <v>0</v>
      </c>
      <c r="P101" s="113" t="str">
        <f aca="false">IF(N101="","",N101-O101)</f>
        <v/>
      </c>
      <c r="Q101" s="113" t="str">
        <f aca="false">IF(OR(6&gt;$B$27,ISBLANK(Actuals!H77)),"",Actuals!H77)</f>
        <v/>
      </c>
      <c r="R101" s="113" t="n">
        <f aca="false">Budget!H77</f>
        <v>0</v>
      </c>
      <c r="S101" s="113" t="str">
        <f aca="false">IF(Q101="","",Q101-R101)</f>
        <v/>
      </c>
      <c r="T101" s="113" t="str">
        <f aca="false">IF(OR(7&gt;$B$27,ISBLANK(Actuals!I77)),"",Actuals!I77)</f>
        <v/>
      </c>
      <c r="U101" s="113" t="n">
        <f aca="false">Budget!I77</f>
        <v>0</v>
      </c>
      <c r="V101" s="113" t="str">
        <f aca="false">IF(T101="","",T101-U101)</f>
        <v/>
      </c>
      <c r="W101" s="113" t="n">
        <f aca="false">IF(OR(8&gt;$B$27,ISBLANK(Actuals!J77)),"",Actuals!J77)</f>
        <v>127514</v>
      </c>
      <c r="X101" s="113" t="n">
        <f aca="false">Budget!J77</f>
        <v>0</v>
      </c>
      <c r="Y101" s="113" t="n">
        <f aca="false">IF(W101="","",W101-X101)</f>
        <v>127514</v>
      </c>
      <c r="Z101" s="113" t="str">
        <f aca="false">IF(OR(9&gt;$B$27,ISBLANK(Actuals!K77)),"",Actuals!K77)</f>
        <v/>
      </c>
      <c r="AA101" s="113" t="n">
        <f aca="false">Budget!K77</f>
        <v>0</v>
      </c>
      <c r="AB101" s="113" t="str">
        <f aca="false">IF(Z101="","",Z101-AA101)</f>
        <v/>
      </c>
      <c r="AC101" s="113" t="str">
        <f aca="false">IF(OR(10&gt;$B$27,ISBLANK(Actuals!L77)),"",Actuals!L77)</f>
        <v/>
      </c>
      <c r="AD101" s="113" t="n">
        <f aca="false">Budget!L77</f>
        <v>0</v>
      </c>
      <c r="AE101" s="113" t="str">
        <f aca="false">IF(AC101="","",AC101-AD101)</f>
        <v/>
      </c>
      <c r="AF101" s="113" t="str">
        <f aca="false">IF(OR(11&gt;$B$27,ISBLANK(Actuals!M77)),"",Actuals!M77)</f>
        <v/>
      </c>
      <c r="AG101" s="113" t="n">
        <f aca="false">Budget!M77</f>
        <v>0</v>
      </c>
      <c r="AH101" s="113" t="str">
        <f aca="false">IF(AF101="","",AF101-AG101)</f>
        <v/>
      </c>
      <c r="AI101" s="113" t="str">
        <f aca="false">IF(OR(12&gt;$B$27,ISBLANK(Actuals!N77)),"",Actuals!N77)</f>
        <v/>
      </c>
      <c r="AJ101" s="113" t="n">
        <f aca="false">Budget!N77</f>
        <v>0</v>
      </c>
      <c r="AK101" s="113" t="str">
        <f aca="false">IF(AI101="","",AI101-AJ101)</f>
        <v/>
      </c>
      <c r="AL101" s="116" t="n">
        <f aca="false">SUM(Actuals!$C77:INDEX(Actuals!$C77:$N77,$B$27))</f>
        <v>127514</v>
      </c>
      <c r="AM101" s="116" t="n">
        <f aca="false">SUM(Budget!$C77:INDEX(Budget!$C77:$N77,$B$27))</f>
        <v>0</v>
      </c>
      <c r="AN101" s="116" t="n">
        <f aca="false">AL101-AM101</f>
        <v>127514</v>
      </c>
      <c r="AP101" s="114" t="s">
        <v>443</v>
      </c>
    </row>
    <row r="102" customFormat="false" ht="15" hidden="true" customHeight="true" outlineLevel="1" collapsed="false">
      <c r="A102" s="109" t="s">
        <v>115</v>
      </c>
      <c r="B102" s="113" t="str">
        <f aca="false">IF(OR(1&gt;$B$27,ISBLANK(Actuals!C78)),"",Actuals!C78)</f>
        <v/>
      </c>
      <c r="C102" s="113" t="n">
        <f aca="false">Budget!C78</f>
        <v>0</v>
      </c>
      <c r="D102" s="113" t="str">
        <f aca="false">IF(B102="","",B102-C102)</f>
        <v/>
      </c>
      <c r="E102" s="113" t="str">
        <f aca="false">IF(OR(2&gt;$B$27,ISBLANK(Actuals!D78)),"",Actuals!D78)</f>
        <v/>
      </c>
      <c r="F102" s="113" t="n">
        <f aca="false">Budget!D78</f>
        <v>0</v>
      </c>
      <c r="G102" s="113" t="str">
        <f aca="false">IF(E102="","",E102-F102)</f>
        <v/>
      </c>
      <c r="H102" s="113" t="str">
        <f aca="false">IF(OR(3&gt;$B$27,ISBLANK(Actuals!E78)),"",Actuals!E78)</f>
        <v/>
      </c>
      <c r="I102" s="113" t="n">
        <f aca="false">Budget!E78</f>
        <v>0</v>
      </c>
      <c r="J102" s="113" t="str">
        <f aca="false">IF(H102="","",H102-I102)</f>
        <v/>
      </c>
      <c r="K102" s="113" t="str">
        <f aca="false">IF(OR(4&gt;$B$27,ISBLANK(Actuals!F78)),"",Actuals!F78)</f>
        <v/>
      </c>
      <c r="L102" s="113" t="n">
        <f aca="false">Budget!F78</f>
        <v>0</v>
      </c>
      <c r="M102" s="113" t="str">
        <f aca="false">IF(K102="","",K102-L102)</f>
        <v/>
      </c>
      <c r="N102" s="113" t="str">
        <f aca="false">IF(OR(5&gt;$B$27,ISBLANK(Actuals!G78)),"",Actuals!G78)</f>
        <v/>
      </c>
      <c r="O102" s="113" t="n">
        <f aca="false">Budget!G78</f>
        <v>0</v>
      </c>
      <c r="P102" s="113" t="str">
        <f aca="false">IF(N102="","",N102-O102)</f>
        <v/>
      </c>
      <c r="Q102" s="113" t="str">
        <f aca="false">IF(OR(6&gt;$B$27,ISBLANK(Actuals!H78)),"",Actuals!H78)</f>
        <v/>
      </c>
      <c r="R102" s="113" t="n">
        <f aca="false">Budget!H78</f>
        <v>0</v>
      </c>
      <c r="S102" s="113" t="str">
        <f aca="false">IF(Q102="","",Q102-R102)</f>
        <v/>
      </c>
      <c r="T102" s="113" t="str">
        <f aca="false">IF(OR(7&gt;$B$27,ISBLANK(Actuals!I78)),"",Actuals!I78)</f>
        <v/>
      </c>
      <c r="U102" s="113" t="n">
        <f aca="false">Budget!I78</f>
        <v>0</v>
      </c>
      <c r="V102" s="113" t="str">
        <f aca="false">IF(T102="","",T102-U102)</f>
        <v/>
      </c>
      <c r="W102" s="113" t="str">
        <f aca="false">IF(OR(8&gt;$B$27,ISBLANK(Actuals!J78)),"",Actuals!J78)</f>
        <v/>
      </c>
      <c r="X102" s="113" t="n">
        <f aca="false">Budget!J78</f>
        <v>0</v>
      </c>
      <c r="Y102" s="113" t="str">
        <f aca="false">IF(W102="","",W102-X102)</f>
        <v/>
      </c>
      <c r="Z102" s="113" t="str">
        <f aca="false">IF(OR(9&gt;$B$27,ISBLANK(Actuals!K78)),"",Actuals!K78)</f>
        <v/>
      </c>
      <c r="AA102" s="113" t="n">
        <f aca="false">Budget!K78</f>
        <v>0</v>
      </c>
      <c r="AB102" s="113" t="str">
        <f aca="false">IF(Z102="","",Z102-AA102)</f>
        <v/>
      </c>
      <c r="AC102" s="113" t="str">
        <f aca="false">IF(OR(10&gt;$B$27,ISBLANK(Actuals!L78)),"",Actuals!L78)</f>
        <v/>
      </c>
      <c r="AD102" s="113" t="n">
        <f aca="false">Budget!L78</f>
        <v>0</v>
      </c>
      <c r="AE102" s="113" t="str">
        <f aca="false">IF(AC102="","",AC102-AD102)</f>
        <v/>
      </c>
      <c r="AF102" s="113" t="str">
        <f aca="false">IF(OR(11&gt;$B$27,ISBLANK(Actuals!M78)),"",Actuals!M78)</f>
        <v/>
      </c>
      <c r="AG102" s="113" t="n">
        <f aca="false">Budget!M78</f>
        <v>0</v>
      </c>
      <c r="AH102" s="113" t="str">
        <f aca="false">IF(AF102="","",AF102-AG102)</f>
        <v/>
      </c>
      <c r="AI102" s="113" t="str">
        <f aca="false">IF(OR(12&gt;$B$27,ISBLANK(Actuals!N78)),"",Actuals!N78)</f>
        <v/>
      </c>
      <c r="AJ102" s="113" t="n">
        <f aca="false">Budget!N78</f>
        <v>0</v>
      </c>
      <c r="AK102" s="113" t="str">
        <f aca="false">IF(AI102="","",AI102-AJ102)</f>
        <v/>
      </c>
      <c r="AL102" s="116" t="n">
        <f aca="false">SUM(Actuals!$C78:INDEX(Actuals!$C78:$N78,$B$27))</f>
        <v>0</v>
      </c>
      <c r="AM102" s="116" t="n">
        <f aca="false">SUM(Budget!$C78:INDEX(Budget!$C78:$N78,$B$27))</f>
        <v>0</v>
      </c>
      <c r="AN102" s="116" t="n">
        <f aca="false">AL102-AM102</f>
        <v>0</v>
      </c>
    </row>
    <row r="103" customFormat="false" ht="15" hidden="true" customHeight="true" outlineLevel="1" collapsed="false">
      <c r="A103" s="109" t="s">
        <v>116</v>
      </c>
      <c r="B103" s="113" t="str">
        <f aca="false">IF(OR(1&gt;$B$27,ISBLANK(Actuals!C79)),"",Actuals!C79)</f>
        <v/>
      </c>
      <c r="C103" s="113" t="n">
        <f aca="false">Budget!C79</f>
        <v>0</v>
      </c>
      <c r="D103" s="113" t="str">
        <f aca="false">IF(B103="","",B103-C103)</f>
        <v/>
      </c>
      <c r="E103" s="113" t="str">
        <f aca="false">IF(OR(2&gt;$B$27,ISBLANK(Actuals!D79)),"",Actuals!D79)</f>
        <v/>
      </c>
      <c r="F103" s="113" t="n">
        <f aca="false">Budget!D79</f>
        <v>0</v>
      </c>
      <c r="G103" s="113" t="str">
        <f aca="false">IF(E103="","",E103-F103)</f>
        <v/>
      </c>
      <c r="H103" s="113" t="str">
        <f aca="false">IF(OR(3&gt;$B$27,ISBLANK(Actuals!E79)),"",Actuals!E79)</f>
        <v/>
      </c>
      <c r="I103" s="113" t="n">
        <f aca="false">Budget!E79</f>
        <v>0</v>
      </c>
      <c r="J103" s="113" t="str">
        <f aca="false">IF(H103="","",H103-I103)</f>
        <v/>
      </c>
      <c r="K103" s="113" t="str">
        <f aca="false">IF(OR(4&gt;$B$27,ISBLANK(Actuals!F79)),"",Actuals!F79)</f>
        <v/>
      </c>
      <c r="L103" s="113" t="n">
        <f aca="false">Budget!F79</f>
        <v>0</v>
      </c>
      <c r="M103" s="113" t="str">
        <f aca="false">IF(K103="","",K103-L103)</f>
        <v/>
      </c>
      <c r="N103" s="113" t="str">
        <f aca="false">IF(OR(5&gt;$B$27,ISBLANK(Actuals!G79)),"",Actuals!G79)</f>
        <v/>
      </c>
      <c r="O103" s="113" t="n">
        <f aca="false">Budget!G79</f>
        <v>0</v>
      </c>
      <c r="P103" s="113" t="str">
        <f aca="false">IF(N103="","",N103-O103)</f>
        <v/>
      </c>
      <c r="Q103" s="113" t="str">
        <f aca="false">IF(OR(6&gt;$B$27,ISBLANK(Actuals!H79)),"",Actuals!H79)</f>
        <v/>
      </c>
      <c r="R103" s="113" t="n">
        <f aca="false">Budget!H79</f>
        <v>0</v>
      </c>
      <c r="S103" s="113" t="str">
        <f aca="false">IF(Q103="","",Q103-R103)</f>
        <v/>
      </c>
      <c r="T103" s="113" t="str">
        <f aca="false">IF(OR(7&gt;$B$27,ISBLANK(Actuals!I79)),"",Actuals!I79)</f>
        <v/>
      </c>
      <c r="U103" s="113" t="n">
        <f aca="false">Budget!I79</f>
        <v>0</v>
      </c>
      <c r="V103" s="113" t="str">
        <f aca="false">IF(T103="","",T103-U103)</f>
        <v/>
      </c>
      <c r="W103" s="113" t="str">
        <f aca="false">IF(OR(8&gt;$B$27,ISBLANK(Actuals!J79)),"",Actuals!J79)</f>
        <v/>
      </c>
      <c r="X103" s="113" t="n">
        <f aca="false">Budget!J79</f>
        <v>0</v>
      </c>
      <c r="Y103" s="113" t="str">
        <f aca="false">IF(W103="","",W103-X103)</f>
        <v/>
      </c>
      <c r="Z103" s="113" t="str">
        <f aca="false">IF(OR(9&gt;$B$27,ISBLANK(Actuals!K79)),"",Actuals!K79)</f>
        <v/>
      </c>
      <c r="AA103" s="113" t="n">
        <f aca="false">Budget!K79</f>
        <v>0</v>
      </c>
      <c r="AB103" s="113" t="str">
        <f aca="false">IF(Z103="","",Z103-AA103)</f>
        <v/>
      </c>
      <c r="AC103" s="113" t="str">
        <f aca="false">IF(OR(10&gt;$B$27,ISBLANK(Actuals!L79)),"",Actuals!L79)</f>
        <v/>
      </c>
      <c r="AD103" s="113" t="n">
        <f aca="false">Budget!L79</f>
        <v>0</v>
      </c>
      <c r="AE103" s="113" t="str">
        <f aca="false">IF(AC103="","",AC103-AD103)</f>
        <v/>
      </c>
      <c r="AF103" s="113" t="str">
        <f aca="false">IF(OR(11&gt;$B$27,ISBLANK(Actuals!M79)),"",Actuals!M79)</f>
        <v/>
      </c>
      <c r="AG103" s="113" t="n">
        <f aca="false">Budget!M79</f>
        <v>0</v>
      </c>
      <c r="AH103" s="113" t="str">
        <f aca="false">IF(AF103="","",AF103-AG103)</f>
        <v/>
      </c>
      <c r="AI103" s="113" t="str">
        <f aca="false">IF(OR(12&gt;$B$27,ISBLANK(Actuals!N79)),"",Actuals!N79)</f>
        <v/>
      </c>
      <c r="AJ103" s="113" t="n">
        <f aca="false">Budget!N79</f>
        <v>0</v>
      </c>
      <c r="AK103" s="113" t="str">
        <f aca="false">IF(AI103="","",AI103-AJ103)</f>
        <v/>
      </c>
      <c r="AL103" s="116" t="n">
        <f aca="false">SUM(Actuals!$C79:INDEX(Actuals!$C79:$N79,$B$27))</f>
        <v>0</v>
      </c>
      <c r="AM103" s="116" t="n">
        <f aca="false">SUM(Budget!$C79:INDEX(Budget!$C79:$N79,$B$27))</f>
        <v>0</v>
      </c>
      <c r="AN103" s="116" t="n">
        <f aca="false">AL103-AM103</f>
        <v>0</v>
      </c>
    </row>
    <row r="104" customFormat="false" ht="15" hidden="true" customHeight="true" outlineLevel="1" collapsed="false">
      <c r="A104" s="109" t="s">
        <v>364</v>
      </c>
      <c r="B104" s="113" t="str">
        <f aca="false">IF(OR(1&gt;$B$27,ISBLANK(Actuals!C80)),"",Actuals!C80)</f>
        <v/>
      </c>
      <c r="C104" s="113" t="n">
        <f aca="false">Budget!C80</f>
        <v>0</v>
      </c>
      <c r="D104" s="113" t="str">
        <f aca="false">IF(B104="","",B104-C104)</f>
        <v/>
      </c>
      <c r="E104" s="113" t="str">
        <f aca="false">IF(OR(2&gt;$B$27,ISBLANK(Actuals!D80)),"",Actuals!D80)</f>
        <v/>
      </c>
      <c r="F104" s="113" t="n">
        <f aca="false">Budget!D80</f>
        <v>0</v>
      </c>
      <c r="G104" s="113" t="str">
        <f aca="false">IF(E104="","",E104-F104)</f>
        <v/>
      </c>
      <c r="H104" s="113" t="str">
        <f aca="false">IF(OR(3&gt;$B$27,ISBLANK(Actuals!E80)),"",Actuals!E80)</f>
        <v/>
      </c>
      <c r="I104" s="113" t="n">
        <f aca="false">Budget!E80</f>
        <v>0</v>
      </c>
      <c r="J104" s="113" t="str">
        <f aca="false">IF(H104="","",H104-I104)</f>
        <v/>
      </c>
      <c r="K104" s="113" t="str">
        <f aca="false">IF(OR(4&gt;$B$27,ISBLANK(Actuals!F80)),"",Actuals!F80)</f>
        <v/>
      </c>
      <c r="L104" s="113" t="n">
        <f aca="false">Budget!F80</f>
        <v>0</v>
      </c>
      <c r="M104" s="113" t="str">
        <f aca="false">IF(K104="","",K104-L104)</f>
        <v/>
      </c>
      <c r="N104" s="113" t="str">
        <f aca="false">IF(OR(5&gt;$B$27,ISBLANK(Actuals!G80)),"",Actuals!G80)</f>
        <v/>
      </c>
      <c r="O104" s="113" t="n">
        <f aca="false">Budget!G80</f>
        <v>0</v>
      </c>
      <c r="P104" s="113" t="str">
        <f aca="false">IF(N104="","",N104-O104)</f>
        <v/>
      </c>
      <c r="Q104" s="113" t="str">
        <f aca="false">IF(OR(6&gt;$B$27,ISBLANK(Actuals!H80)),"",Actuals!H80)</f>
        <v/>
      </c>
      <c r="R104" s="113" t="n">
        <f aca="false">Budget!H80</f>
        <v>0</v>
      </c>
      <c r="S104" s="113" t="str">
        <f aca="false">IF(Q104="","",Q104-R104)</f>
        <v/>
      </c>
      <c r="T104" s="113" t="str">
        <f aca="false">IF(OR(7&gt;$B$27,ISBLANK(Actuals!I80)),"",Actuals!I80)</f>
        <v/>
      </c>
      <c r="U104" s="113" t="n">
        <f aca="false">Budget!I80</f>
        <v>0</v>
      </c>
      <c r="V104" s="113" t="str">
        <f aca="false">IF(T104="","",T104-U104)</f>
        <v/>
      </c>
      <c r="W104" s="113" t="str">
        <f aca="false">IF(OR(8&gt;$B$27,ISBLANK(Actuals!J80)),"",Actuals!J80)</f>
        <v/>
      </c>
      <c r="X104" s="113" t="n">
        <f aca="false">Budget!J80</f>
        <v>0</v>
      </c>
      <c r="Y104" s="113" t="str">
        <f aca="false">IF(W104="","",W104-X104)</f>
        <v/>
      </c>
      <c r="Z104" s="113" t="str">
        <f aca="false">IF(OR(9&gt;$B$27,ISBLANK(Actuals!K80)),"",Actuals!K80)</f>
        <v/>
      </c>
      <c r="AA104" s="113" t="n">
        <f aca="false">Budget!K80</f>
        <v>0</v>
      </c>
      <c r="AB104" s="113" t="str">
        <f aca="false">IF(Z104="","",Z104-AA104)</f>
        <v/>
      </c>
      <c r="AC104" s="113" t="str">
        <f aca="false">IF(OR(10&gt;$B$27,ISBLANK(Actuals!L80)),"",Actuals!L80)</f>
        <v/>
      </c>
      <c r="AD104" s="113" t="n">
        <f aca="false">Budget!L80</f>
        <v>0</v>
      </c>
      <c r="AE104" s="113" t="str">
        <f aca="false">IF(AC104="","",AC104-AD104)</f>
        <v/>
      </c>
      <c r="AF104" s="113" t="str">
        <f aca="false">IF(OR(11&gt;$B$27,ISBLANK(Actuals!M80)),"",Actuals!M80)</f>
        <v/>
      </c>
      <c r="AG104" s="113" t="n">
        <f aca="false">Budget!M80</f>
        <v>0</v>
      </c>
      <c r="AH104" s="113" t="str">
        <f aca="false">IF(AF104="","",AF104-AG104)</f>
        <v/>
      </c>
      <c r="AI104" s="113" t="str">
        <f aca="false">IF(OR(12&gt;$B$27,ISBLANK(Actuals!N80)),"",Actuals!N80)</f>
        <v/>
      </c>
      <c r="AJ104" s="113" t="n">
        <f aca="false">Budget!N80</f>
        <v>0</v>
      </c>
      <c r="AK104" s="113" t="str">
        <f aca="false">IF(AI104="","",AI104-AJ104)</f>
        <v/>
      </c>
      <c r="AL104" s="116" t="n">
        <f aca="false">SUM(Actuals!$C80:INDEX(Actuals!$C80:$N80,$B$27))</f>
        <v>0</v>
      </c>
      <c r="AM104" s="116" t="n">
        <f aca="false">SUM(Budget!$C80:INDEX(Budget!$C80:$N80,$B$27))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Budget!C81</f>
        <v>47599.06</v>
      </c>
      <c r="D105" s="116" t="n">
        <f aca="false">IF(B105="","",B105-C105)</f>
        <v>-13484.48</v>
      </c>
      <c r="E105" s="116" t="n">
        <f aca="false">IF(OR(2&gt;$B$27,ISBLANK(Actuals!D81)),"",Actuals!D81)</f>
        <v>34114.58</v>
      </c>
      <c r="F105" s="116" t="n">
        <f aca="false">Budget!D81</f>
        <v>47599.06</v>
      </c>
      <c r="G105" s="116" t="n">
        <f aca="false">IF(E105="","",E105-F105)</f>
        <v>-13484.48</v>
      </c>
      <c r="H105" s="116" t="n">
        <f aca="false">IF(OR(3&gt;$B$27,ISBLANK(Actuals!E81)),"",Actuals!E81)</f>
        <v>34114.58</v>
      </c>
      <c r="I105" s="116" t="n">
        <f aca="false">Budget!E81</f>
        <v>47599.06</v>
      </c>
      <c r="J105" s="116" t="n">
        <f aca="false">IF(H105="","",H105-I105)</f>
        <v>-13484.48</v>
      </c>
      <c r="K105" s="116" t="n">
        <f aca="false">IF(OR(4&gt;$B$27,ISBLANK(Actuals!F81)),"",Actuals!F81)</f>
        <v>34114.58</v>
      </c>
      <c r="L105" s="116" t="n">
        <f aca="false">Budget!F81</f>
        <v>59474.06</v>
      </c>
      <c r="M105" s="116" t="n">
        <f aca="false">IF(K105="","",K105-L105)</f>
        <v>-25359.48</v>
      </c>
      <c r="N105" s="116" t="n">
        <f aca="false">IF(OR(5&gt;$B$27,ISBLANK(Actuals!G81)),"",Actuals!G81)</f>
        <v>34114.58</v>
      </c>
      <c r="O105" s="116" t="n">
        <f aca="false">Budget!G81</f>
        <v>59474.06</v>
      </c>
      <c r="P105" s="116" t="n">
        <f aca="false">IF(N105="","",N105-O105)</f>
        <v>-25359.48</v>
      </c>
      <c r="Q105" s="116" t="n">
        <f aca="false">IF(OR(6&gt;$B$27,ISBLANK(Actuals!H81)),"",Actuals!H81)</f>
        <v>333114.58</v>
      </c>
      <c r="R105" s="116" t="n">
        <f aca="false">Budget!H81</f>
        <v>59474.06</v>
      </c>
      <c r="S105" s="116" t="n">
        <f aca="false">IF(Q105="","",Q105-R105)</f>
        <v>273640.52</v>
      </c>
      <c r="T105" s="116" t="n">
        <f aca="false">IF(OR(7&gt;$B$27,ISBLANK(Actuals!I81)),"",Actuals!I81)</f>
        <v>78114.58</v>
      </c>
      <c r="U105" s="116" t="n">
        <f aca="false">Budget!I81</f>
        <v>59474.06</v>
      </c>
      <c r="V105" s="116" t="n">
        <f aca="false">IF(T105="","",T105-U105)</f>
        <v>18640.52</v>
      </c>
      <c r="W105" s="116" t="n">
        <f aca="false">IF(OR(8&gt;$B$27,ISBLANK(Actuals!J81)),"",Actuals!J81)</f>
        <v>180628.58</v>
      </c>
      <c r="X105" s="116" t="n">
        <f aca="false">Budget!J81</f>
        <v>59474.06</v>
      </c>
      <c r="Y105" s="116" t="n">
        <f aca="false">IF(W105="","",W105-X105)</f>
        <v>121154.52</v>
      </c>
      <c r="Z105" s="116" t="n">
        <f aca="false">IF(OR(9&gt;$B$27,ISBLANK(Actuals!K81)),"",Actuals!K81)</f>
        <v>41247.92</v>
      </c>
      <c r="AA105" s="116" t="n">
        <f aca="false">Budget!K81</f>
        <v>59474.06</v>
      </c>
      <c r="AB105" s="116" t="n">
        <f aca="false">IF(Z105="","",Z105-AA105)</f>
        <v>-18226.14</v>
      </c>
      <c r="AC105" s="116" t="str">
        <f aca="false">IF(OR(10&gt;$B$27,ISBLANK(Actuals!L81)),"",Actuals!L81)</f>
        <v/>
      </c>
      <c r="AD105" s="116" t="n">
        <f aca="false">Budget!L81</f>
        <v>49246.79</v>
      </c>
      <c r="AE105" s="116" t="str">
        <f aca="false">IF(AC105="","",AC105-AD105)</f>
        <v/>
      </c>
      <c r="AF105" s="116" t="str">
        <f aca="false">IF(OR(11&gt;$B$27,ISBLANK(Actuals!M81)),"",Actuals!M81)</f>
        <v/>
      </c>
      <c r="AG105" s="116" t="n">
        <f aca="false">Budget!M81</f>
        <v>49246.79</v>
      </c>
      <c r="AH105" s="116" t="str">
        <f aca="false">IF(AF105="","",AF105-AG105)</f>
        <v/>
      </c>
      <c r="AI105" s="116" t="str">
        <f aca="false">IF(OR(12&gt;$B$27,ISBLANK(Actuals!N81)),"",Actuals!N81)</f>
        <v/>
      </c>
      <c r="AJ105" s="116" t="n">
        <f aca="false">Budget!N81</f>
        <v>49246.79</v>
      </c>
      <c r="AK105" s="116" t="str">
        <f aca="false">IF(AI105="","",AI105-AJ105)</f>
        <v/>
      </c>
      <c r="AL105" s="116" t="n">
        <f aca="false">SUM(Actuals!$C81:INDEX(Actuals!$C81:$N81,$B$27))</f>
        <v>803678.56</v>
      </c>
      <c r="AM105" s="116" t="n">
        <f aca="false">SUM(Budget!$C81:INDEX(Budget!$C81:$N81,$B$27))</f>
        <v>499641.54</v>
      </c>
      <c r="AN105" s="116" t="n">
        <f aca="false">AL105-AM105</f>
        <v>304037.02</v>
      </c>
      <c r="AP105" s="114" t="s">
        <v>444</v>
      </c>
    </row>
    <row r="107" customFormat="false" ht="15" hidden="true" customHeight="true" outlineLevel="1" collapsed="false">
      <c r="A107" s="109" t="s">
        <v>123</v>
      </c>
      <c r="B107" s="113" t="n">
        <f aca="false">IF(OR(1&gt;$B$27,ISBLANK(Actuals!C83)),"",Actuals!C83)</f>
        <v>-54421</v>
      </c>
      <c r="C107" s="113" t="n">
        <f aca="false">Budget!C83</f>
        <v>-90233.32</v>
      </c>
      <c r="D107" s="113" t="n">
        <f aca="false">IF(B107="","",B107-C107)</f>
        <v>35812.32</v>
      </c>
      <c r="E107" s="113" t="n">
        <f aca="false">IF(OR(2&gt;$B$27,ISBLANK(Actuals!D83)),"",Actuals!D83)</f>
        <v>-54166.68</v>
      </c>
      <c r="F107" s="113" t="n">
        <f aca="false">Budget!D83</f>
        <v>-90233.32</v>
      </c>
      <c r="G107" s="113" t="n">
        <f aca="false">IF(E107="","",E107-F107)</f>
        <v>36066.64</v>
      </c>
      <c r="H107" s="113" t="n">
        <f aca="false">IF(OR(3&gt;$B$27,ISBLANK(Actuals!E83)),"",Actuals!E83)</f>
        <v>-54166.68</v>
      </c>
      <c r="I107" s="113" t="n">
        <f aca="false">Budget!E83</f>
        <v>-90233.32</v>
      </c>
      <c r="J107" s="113" t="n">
        <f aca="false">IF(H107="","",H107-I107)</f>
        <v>36066.64</v>
      </c>
      <c r="K107" s="113" t="n">
        <f aca="false">IF(OR(4&gt;$B$27,ISBLANK(Actuals!F83)),"",Actuals!F83)</f>
        <v>-54166.68</v>
      </c>
      <c r="L107" s="113" t="n">
        <f aca="false">Budget!F83</f>
        <v>-90233.32</v>
      </c>
      <c r="M107" s="113" t="n">
        <f aca="false">IF(K107="","",K107-L107)</f>
        <v>36066.64</v>
      </c>
      <c r="N107" s="113" t="n">
        <f aca="false">IF(OR(5&gt;$B$27,ISBLANK(Actuals!G83)),"",Actuals!G83)</f>
        <v>-54166.68</v>
      </c>
      <c r="O107" s="113" t="n">
        <f aca="false">Budget!G83</f>
        <v>-90233.32</v>
      </c>
      <c r="P107" s="113" t="n">
        <f aca="false">IF(N107="","",N107-O107)</f>
        <v>36066.64</v>
      </c>
      <c r="Q107" s="113" t="n">
        <f aca="false">IF(OR(6&gt;$B$27,ISBLANK(Actuals!H83)),"",Actuals!H83)</f>
        <v>-54166.68</v>
      </c>
      <c r="R107" s="113" t="n">
        <f aca="false">Budget!H83</f>
        <v>-90233.32</v>
      </c>
      <c r="S107" s="113" t="n">
        <f aca="false">IF(Q107="","",Q107-R107)</f>
        <v>36066.64</v>
      </c>
      <c r="T107" s="113" t="n">
        <f aca="false">IF(OR(7&gt;$B$27,ISBLANK(Actuals!I83)),"",Actuals!I83)</f>
        <v>-54166.68</v>
      </c>
      <c r="U107" s="113" t="n">
        <f aca="false">Budget!I83</f>
        <v>-89059.65</v>
      </c>
      <c r="V107" s="113" t="n">
        <f aca="false">IF(T107="","",T107-U107)</f>
        <v>34892.97</v>
      </c>
      <c r="W107" s="113" t="n">
        <f aca="false">IF(OR(8&gt;$B$27,ISBLANK(Actuals!J83)),"",Actuals!J83)</f>
        <v>-54166.68</v>
      </c>
      <c r="X107" s="113" t="n">
        <f aca="false">Budget!J83</f>
        <v>-89059.65</v>
      </c>
      <c r="Y107" s="113" t="n">
        <f aca="false">IF(W107="","",W107-X107)</f>
        <v>34892.97</v>
      </c>
      <c r="Z107" s="113" t="n">
        <f aca="false">IF(OR(9&gt;$B$27,ISBLANK(Actuals!K83)),"",Actuals!K83)</f>
        <v>-54166.68</v>
      </c>
      <c r="AA107" s="113" t="n">
        <f aca="false">Budget!K83</f>
        <v>-89059.65</v>
      </c>
      <c r="AB107" s="113" t="n">
        <f aca="false">IF(Z107="","",Z107-AA107)</f>
        <v>34892.97</v>
      </c>
      <c r="AC107" s="113" t="str">
        <f aca="false">IF(OR(10&gt;$B$27,ISBLANK(Actuals!L83)),"",Actuals!L83)</f>
        <v/>
      </c>
      <c r="AD107" s="113" t="n">
        <f aca="false">Budget!L83</f>
        <v>-89059.65</v>
      </c>
      <c r="AE107" s="113" t="str">
        <f aca="false">IF(AC107="","",AC107-AD107)</f>
        <v/>
      </c>
      <c r="AF107" s="113" t="str">
        <f aca="false">IF(OR(11&gt;$B$27,ISBLANK(Actuals!M83)),"",Actuals!M83)</f>
        <v/>
      </c>
      <c r="AG107" s="113" t="n">
        <f aca="false">Budget!M83</f>
        <v>-89059.65</v>
      </c>
      <c r="AH107" s="113" t="str">
        <f aca="false">IF(AF107="","",AF107-AG107)</f>
        <v/>
      </c>
      <c r="AI107" s="113" t="str">
        <f aca="false">IF(OR(12&gt;$B$27,ISBLANK(Actuals!N83)),"",Actuals!N83)</f>
        <v/>
      </c>
      <c r="AJ107" s="113" t="n">
        <f aca="false">Budget!N83</f>
        <v>-89059.65</v>
      </c>
      <c r="AK107" s="113" t="str">
        <f aca="false">IF(AI107="","",AI107-AJ107)</f>
        <v/>
      </c>
      <c r="AL107" s="116" t="n">
        <f aca="false">SUM(Actuals!$C83:INDEX(Actuals!$C83:$N83,$B$27))</f>
        <v>-487754.44</v>
      </c>
      <c r="AM107" s="116" t="n">
        <f aca="false">SUM(Budget!$C83:INDEX(Budget!$C83:$N83,$B$27))</f>
        <v>-808578.87</v>
      </c>
      <c r="AN107" s="116" t="n">
        <f aca="false">AL107-AM107</f>
        <v>320824.43</v>
      </c>
      <c r="AP107" s="114" t="s">
        <v>445</v>
      </c>
    </row>
    <row r="108" customFormat="false" ht="15" hidden="true" customHeight="true" outlineLevel="1" collapsed="false">
      <c r="A108" s="109" t="s">
        <v>65</v>
      </c>
      <c r="B108" s="113" t="n">
        <f aca="false">IF(OR(1&gt;$B$27,ISBLANK(Actuals!C84)),"",Actuals!C84)</f>
        <v>-5302</v>
      </c>
      <c r="C108" s="113" t="n">
        <f aca="false">Budget!C84</f>
        <v>-8125</v>
      </c>
      <c r="D108" s="113" t="n">
        <f aca="false">IF(B108="","",B108-C108)</f>
        <v>2823</v>
      </c>
      <c r="E108" s="113" t="n">
        <f aca="false">IF(OR(2&gt;$B$27,ISBLANK(Actuals!D84)),"",Actuals!D84)</f>
        <v>-4279.79</v>
      </c>
      <c r="F108" s="113" t="n">
        <f aca="false">Budget!D84</f>
        <v>-8125</v>
      </c>
      <c r="G108" s="113" t="n">
        <f aca="false">IF(E108="","",E108-F108)</f>
        <v>3845.21</v>
      </c>
      <c r="H108" s="113" t="n">
        <f aca="false">IF(OR(3&gt;$B$27,ISBLANK(Actuals!E84)),"",Actuals!E84)</f>
        <v>-4145.97</v>
      </c>
      <c r="I108" s="113" t="n">
        <f aca="false">Budget!E84</f>
        <v>-8125</v>
      </c>
      <c r="J108" s="113" t="n">
        <f aca="false">IF(H108="","",H108-I108)</f>
        <v>3979.03</v>
      </c>
      <c r="K108" s="113" t="n">
        <f aca="false">IF(OR(4&gt;$B$27,ISBLANK(Actuals!F84)),"",Actuals!F84)</f>
        <v>-4145.96</v>
      </c>
      <c r="L108" s="113" t="n">
        <f aca="false">Budget!F84</f>
        <v>-8125</v>
      </c>
      <c r="M108" s="113" t="n">
        <f aca="false">IF(K108="","",K108-L108)</f>
        <v>3979.04</v>
      </c>
      <c r="N108" s="113" t="n">
        <f aca="false">IF(OR(5&gt;$B$27,ISBLANK(Actuals!G84)),"",Actuals!G84)</f>
        <v>-4145.99</v>
      </c>
      <c r="O108" s="113" t="n">
        <f aca="false">Budget!G84</f>
        <v>-8125</v>
      </c>
      <c r="P108" s="113" t="n">
        <f aca="false">IF(N108="","",N108-O108)</f>
        <v>3979.01</v>
      </c>
      <c r="Q108" s="113" t="n">
        <f aca="false">IF(OR(6&gt;$B$27,ISBLANK(Actuals!H84)),"",Actuals!H84)</f>
        <v>-4145.95</v>
      </c>
      <c r="R108" s="113" t="n">
        <f aca="false">Budget!H84</f>
        <v>-8125</v>
      </c>
      <c r="S108" s="113" t="n">
        <f aca="false">IF(Q108="","",Q108-R108)</f>
        <v>3979.05</v>
      </c>
      <c r="T108" s="113" t="n">
        <f aca="false">IF(OR(7&gt;$B$27,ISBLANK(Actuals!I84)),"",Actuals!I84)</f>
        <v>-4145.97</v>
      </c>
      <c r="U108" s="113" t="n">
        <f aca="false">Budget!I84</f>
        <v>-8125</v>
      </c>
      <c r="V108" s="113" t="n">
        <f aca="false">IF(T108="","",T108-U108)</f>
        <v>3979.03</v>
      </c>
      <c r="W108" s="113" t="n">
        <f aca="false">IF(OR(8&gt;$B$27,ISBLANK(Actuals!J84)),"",Actuals!J84)</f>
        <v>-4145.97</v>
      </c>
      <c r="X108" s="113" t="n">
        <f aca="false">Budget!J84</f>
        <v>-8125</v>
      </c>
      <c r="Y108" s="113" t="n">
        <f aca="false">IF(W108="","",W108-X108)</f>
        <v>3979.03</v>
      </c>
      <c r="Z108" s="113" t="n">
        <f aca="false">IF(OR(9&gt;$B$27,ISBLANK(Actuals!K84)),"",Actuals!K84)</f>
        <v>-3786.97</v>
      </c>
      <c r="AA108" s="113" t="n">
        <f aca="false">Budget!K84</f>
        <v>-8125</v>
      </c>
      <c r="AB108" s="113" t="n">
        <f aca="false">IF(Z108="","",Z108-AA108)</f>
        <v>4338.03</v>
      </c>
      <c r="AC108" s="113" t="str">
        <f aca="false">IF(OR(10&gt;$B$27,ISBLANK(Actuals!L84)),"",Actuals!L84)</f>
        <v/>
      </c>
      <c r="AD108" s="113" t="n">
        <f aca="false">Budget!L84</f>
        <v>-8125</v>
      </c>
      <c r="AE108" s="113" t="str">
        <f aca="false">IF(AC108="","",AC108-AD108)</f>
        <v/>
      </c>
      <c r="AF108" s="113" t="str">
        <f aca="false">IF(OR(11&gt;$B$27,ISBLANK(Actuals!M84)),"",Actuals!M84)</f>
        <v/>
      </c>
      <c r="AG108" s="113" t="n">
        <f aca="false">Budget!M84</f>
        <v>-8125</v>
      </c>
      <c r="AH108" s="113" t="str">
        <f aca="false">IF(AF108="","",AF108-AG108)</f>
        <v/>
      </c>
      <c r="AI108" s="113" t="str">
        <f aca="false">IF(OR(12&gt;$B$27,ISBLANK(Actuals!N84)),"",Actuals!N84)</f>
        <v/>
      </c>
      <c r="AJ108" s="113" t="n">
        <f aca="false">Budget!N84</f>
        <v>-8125</v>
      </c>
      <c r="AK108" s="113" t="str">
        <f aca="false">IF(AI108="","",AI108-AJ108)</f>
        <v/>
      </c>
      <c r="AL108" s="116" t="n">
        <f aca="false">SUM(Actuals!$C84:INDEX(Actuals!$C84:$N84,$B$27))</f>
        <v>-38244.57</v>
      </c>
      <c r="AM108" s="116" t="n">
        <f aca="false">SUM(Budget!$C84:INDEX(Budget!$C84:$N84,$B$27))</f>
        <v>-73125</v>
      </c>
      <c r="AN108" s="116" t="n">
        <f aca="false">AL108-AM108</f>
        <v>34880.43</v>
      </c>
    </row>
    <row r="109" customFormat="false" ht="15" hidden="true" customHeight="true" outlineLevel="1" collapsed="false">
      <c r="A109" s="109" t="s">
        <v>67</v>
      </c>
      <c r="B109" s="113" t="n">
        <f aca="false">IF(OR(1&gt;$B$27,ISBLANK(Actuals!C85)),"",Actuals!C85)</f>
        <v>-12137.77</v>
      </c>
      <c r="C109" s="113" t="n">
        <f aca="false">Budget!C85</f>
        <v>-6554.17</v>
      </c>
      <c r="D109" s="113" t="n">
        <f aca="false">IF(B109="","",B109-C109)</f>
        <v>-5583.6</v>
      </c>
      <c r="E109" s="113" t="n">
        <f aca="false">IF(OR(2&gt;$B$27,ISBLANK(Actuals!D85)),"",Actuals!D85)</f>
        <v>-12137.78</v>
      </c>
      <c r="F109" s="113" t="n">
        <f aca="false">Budget!D85</f>
        <v>-6554.17</v>
      </c>
      <c r="G109" s="113" t="n">
        <f aca="false">IF(E109="","",E109-F109)</f>
        <v>-5583.61</v>
      </c>
      <c r="H109" s="113" t="n">
        <f aca="false">IF(OR(3&gt;$B$27,ISBLANK(Actuals!E85)),"",Actuals!E85)</f>
        <v>-12137.78</v>
      </c>
      <c r="I109" s="113" t="n">
        <f aca="false">Budget!E85</f>
        <v>-6554.17</v>
      </c>
      <c r="J109" s="113" t="n">
        <f aca="false">IF(H109="","",H109-I109)</f>
        <v>-5583.61</v>
      </c>
      <c r="K109" s="113" t="n">
        <f aca="false">IF(OR(4&gt;$B$27,ISBLANK(Actuals!F85)),"",Actuals!F85)</f>
        <v>-12137.78</v>
      </c>
      <c r="L109" s="113" t="n">
        <f aca="false">Budget!F85</f>
        <v>-6554.17</v>
      </c>
      <c r="M109" s="113" t="n">
        <f aca="false">IF(K109="","",K109-L109)</f>
        <v>-5583.61</v>
      </c>
      <c r="N109" s="113" t="n">
        <f aca="false">IF(OR(5&gt;$B$27,ISBLANK(Actuals!G85)),"",Actuals!G85)</f>
        <v>-12137.78</v>
      </c>
      <c r="O109" s="113" t="n">
        <f aca="false">Budget!G85</f>
        <v>-6554.17</v>
      </c>
      <c r="P109" s="113" t="n">
        <f aca="false">IF(N109="","",N109-O109)</f>
        <v>-5583.61</v>
      </c>
      <c r="Q109" s="113" t="n">
        <f aca="false">IF(OR(6&gt;$B$27,ISBLANK(Actuals!H85)),"",Actuals!H85)</f>
        <v>-12137.78</v>
      </c>
      <c r="R109" s="113" t="n">
        <f aca="false">Budget!H85</f>
        <v>-6554.17</v>
      </c>
      <c r="S109" s="113" t="n">
        <f aca="false">IF(Q109="","",Q109-R109)</f>
        <v>-5583.61</v>
      </c>
      <c r="T109" s="113" t="n">
        <f aca="false">IF(OR(7&gt;$B$27,ISBLANK(Actuals!I85)),"",Actuals!I85)</f>
        <v>-12137.78</v>
      </c>
      <c r="U109" s="113" t="n">
        <f aca="false">Budget!I85</f>
        <v>-6554.17</v>
      </c>
      <c r="V109" s="113" t="n">
        <f aca="false">IF(T109="","",T109-U109)</f>
        <v>-5583.61</v>
      </c>
      <c r="W109" s="113" t="n">
        <f aca="false">IF(OR(8&gt;$B$27,ISBLANK(Actuals!J85)),"",Actuals!J85)</f>
        <v>-12137.78</v>
      </c>
      <c r="X109" s="113" t="n">
        <f aca="false">Budget!J85</f>
        <v>-6554.17</v>
      </c>
      <c r="Y109" s="113" t="n">
        <f aca="false">IF(W109="","",W109-X109)</f>
        <v>-5583.61</v>
      </c>
      <c r="Z109" s="113" t="n">
        <f aca="false">IF(OR(9&gt;$B$27,ISBLANK(Actuals!K85)),"",Actuals!K85)</f>
        <v>-12137.78</v>
      </c>
      <c r="AA109" s="113" t="n">
        <f aca="false">Budget!K85</f>
        <v>-6554.17</v>
      </c>
      <c r="AB109" s="113" t="n">
        <f aca="false">IF(Z109="","",Z109-AA109)</f>
        <v>-5583.61</v>
      </c>
      <c r="AC109" s="113" t="str">
        <f aca="false">IF(OR(10&gt;$B$27,ISBLANK(Actuals!L85)),"",Actuals!L85)</f>
        <v/>
      </c>
      <c r="AD109" s="113" t="n">
        <f aca="false">Budget!L85</f>
        <v>-6554.17</v>
      </c>
      <c r="AE109" s="113" t="str">
        <f aca="false">IF(AC109="","",AC109-AD109)</f>
        <v/>
      </c>
      <c r="AF109" s="113" t="str">
        <f aca="false">IF(OR(11&gt;$B$27,ISBLANK(Actuals!M85)),"",Actuals!M85)</f>
        <v/>
      </c>
      <c r="AG109" s="113" t="n">
        <f aca="false">Budget!M85</f>
        <v>-6554.17</v>
      </c>
      <c r="AH109" s="113" t="str">
        <f aca="false">IF(AF109="","",AF109-AG109)</f>
        <v/>
      </c>
      <c r="AI109" s="113" t="str">
        <f aca="false">IF(OR(12&gt;$B$27,ISBLANK(Actuals!N85)),"",Actuals!N85)</f>
        <v/>
      </c>
      <c r="AJ109" s="113" t="n">
        <f aca="false">Budget!N85</f>
        <v>-6554.17</v>
      </c>
      <c r="AK109" s="113" t="str">
        <f aca="false">IF(AI109="","",AI109-AJ109)</f>
        <v/>
      </c>
      <c r="AL109" s="116" t="n">
        <f aca="false">SUM(Actuals!$C85:INDEX(Actuals!$C85:$N85,$B$27))</f>
        <v>-109240.01</v>
      </c>
      <c r="AM109" s="116" t="n">
        <f aca="false">SUM(Budget!$C85:INDEX(Budget!$C85:$N85,$B$27))</f>
        <v>-58987.53</v>
      </c>
      <c r="AN109" s="116" t="n">
        <f aca="false">AL109-AM109</f>
        <v>-50252.48</v>
      </c>
      <c r="AP109" s="114" t="s">
        <v>446</v>
      </c>
    </row>
    <row r="110" customFormat="false" ht="15" hidden="true" customHeight="true" outlineLevel="1" collapsed="false">
      <c r="A110" s="109" t="s">
        <v>68</v>
      </c>
      <c r="B110" s="113" t="n">
        <f aca="false">IF(OR(1&gt;$B$27,ISBLANK(Actuals!C86)),"",Actuals!C86)</f>
        <v>-475.76</v>
      </c>
      <c r="C110" s="113" t="n">
        <f aca="false">Budget!C86</f>
        <v>-487.5</v>
      </c>
      <c r="D110" s="113" t="n">
        <f aca="false">IF(B110="","",B110-C110)</f>
        <v>11.74</v>
      </c>
      <c r="E110" s="113" t="n">
        <f aca="false">IF(OR(2&gt;$B$27,ISBLANK(Actuals!D86)),"",Actuals!D86)</f>
        <v>-475.76</v>
      </c>
      <c r="F110" s="113" t="n">
        <f aca="false">Budget!D86</f>
        <v>-487.5</v>
      </c>
      <c r="G110" s="113" t="n">
        <f aca="false">IF(E110="","",E110-F110)</f>
        <v>11.74</v>
      </c>
      <c r="H110" s="113" t="n">
        <f aca="false">IF(OR(3&gt;$B$27,ISBLANK(Actuals!E86)),"",Actuals!E86)</f>
        <v>-475.76</v>
      </c>
      <c r="I110" s="113" t="n">
        <f aca="false">Budget!E86</f>
        <v>-487.5</v>
      </c>
      <c r="J110" s="113" t="n">
        <f aca="false">IF(H110="","",H110-I110)</f>
        <v>11.74</v>
      </c>
      <c r="K110" s="113" t="n">
        <f aca="false">IF(OR(4&gt;$B$27,ISBLANK(Actuals!F86)),"",Actuals!F86)</f>
        <v>-475.76</v>
      </c>
      <c r="L110" s="113" t="n">
        <f aca="false">Budget!F86</f>
        <v>-487.5</v>
      </c>
      <c r="M110" s="113" t="n">
        <f aca="false">IF(K110="","",K110-L110)</f>
        <v>11.74</v>
      </c>
      <c r="N110" s="113" t="n">
        <f aca="false">IF(OR(5&gt;$B$27,ISBLANK(Actuals!G86)),"",Actuals!G86)</f>
        <v>-475.76</v>
      </c>
      <c r="O110" s="113" t="n">
        <f aca="false">Budget!G86</f>
        <v>-487.5</v>
      </c>
      <c r="P110" s="113" t="n">
        <f aca="false">IF(N110="","",N110-O110)</f>
        <v>11.74</v>
      </c>
      <c r="Q110" s="113" t="n">
        <f aca="false">IF(OR(6&gt;$B$27,ISBLANK(Actuals!H86)),"",Actuals!H86)</f>
        <v>-475.76</v>
      </c>
      <c r="R110" s="113" t="n">
        <f aca="false">Budget!H86</f>
        <v>-487.5</v>
      </c>
      <c r="S110" s="113" t="n">
        <f aca="false">IF(Q110="","",Q110-R110)</f>
        <v>11.74</v>
      </c>
      <c r="T110" s="113" t="n">
        <f aca="false">IF(OR(7&gt;$B$27,ISBLANK(Actuals!I86)),"",Actuals!I86)</f>
        <v>-475.76</v>
      </c>
      <c r="U110" s="113" t="n">
        <f aca="false">Budget!I86</f>
        <v>-487.5</v>
      </c>
      <c r="V110" s="113" t="n">
        <f aca="false">IF(T110="","",T110-U110)</f>
        <v>11.74</v>
      </c>
      <c r="W110" s="113" t="n">
        <f aca="false">IF(OR(8&gt;$B$27,ISBLANK(Actuals!J86)),"",Actuals!J86)</f>
        <v>-475.76</v>
      </c>
      <c r="X110" s="113" t="n">
        <f aca="false">Budget!J86</f>
        <v>-487.5</v>
      </c>
      <c r="Y110" s="113" t="n">
        <f aca="false">IF(W110="","",W110-X110)</f>
        <v>11.74</v>
      </c>
      <c r="Z110" s="113" t="n">
        <f aca="false">IF(OR(9&gt;$B$27,ISBLANK(Actuals!K86)),"",Actuals!K86)</f>
        <v>-475.76</v>
      </c>
      <c r="AA110" s="113" t="n">
        <f aca="false">Budget!K86</f>
        <v>-487.5</v>
      </c>
      <c r="AB110" s="113" t="n">
        <f aca="false">IF(Z110="","",Z110-AA110)</f>
        <v>11.74</v>
      </c>
      <c r="AC110" s="113" t="str">
        <f aca="false">IF(OR(10&gt;$B$27,ISBLANK(Actuals!L86)),"",Actuals!L86)</f>
        <v/>
      </c>
      <c r="AD110" s="113" t="n">
        <f aca="false">Budget!L86</f>
        <v>-487.5</v>
      </c>
      <c r="AE110" s="113" t="str">
        <f aca="false">IF(AC110="","",AC110-AD110)</f>
        <v/>
      </c>
      <c r="AF110" s="113" t="str">
        <f aca="false">IF(OR(11&gt;$B$27,ISBLANK(Actuals!M86)),"",Actuals!M86)</f>
        <v/>
      </c>
      <c r="AG110" s="113" t="n">
        <f aca="false">Budget!M86</f>
        <v>-487.5</v>
      </c>
      <c r="AH110" s="113" t="str">
        <f aca="false">IF(AF110="","",AF110-AG110)</f>
        <v/>
      </c>
      <c r="AI110" s="113" t="str">
        <f aca="false">IF(OR(12&gt;$B$27,ISBLANK(Actuals!N86)),"",Actuals!N86)</f>
        <v/>
      </c>
      <c r="AJ110" s="113" t="n">
        <f aca="false">Budget!N86</f>
        <v>-487.5</v>
      </c>
      <c r="AK110" s="113" t="str">
        <f aca="false">IF(AI110="","",AI110-AJ110)</f>
        <v/>
      </c>
      <c r="AL110" s="116" t="n">
        <f aca="false">SUM(Actuals!$C86:INDEX(Actuals!$C86:$N86,$B$27))</f>
        <v>-4281.84</v>
      </c>
      <c r="AM110" s="116" t="n">
        <f aca="false">SUM(Budget!$C86:INDEX(Budget!$C86:$N86,$B$27))</f>
        <v>-4387.5</v>
      </c>
      <c r="AN110" s="116" t="n">
        <f aca="false">AL110-AM110</f>
        <v>105.66</v>
      </c>
    </row>
    <row r="111" customFormat="false" ht="15" hidden="true" customHeight="true" outlineLevel="1" collapsed="false">
      <c r="A111" s="109" t="s">
        <v>69</v>
      </c>
      <c r="B111" s="113" t="n">
        <f aca="false">IF(OR(1&gt;$B$27,ISBLANK(Actuals!C87)),"",Actuals!C87)</f>
        <v>-2200.12</v>
      </c>
      <c r="C111" s="113" t="n">
        <f aca="false">Budget!C87</f>
        <v>-270.83</v>
      </c>
      <c r="D111" s="113" t="n">
        <f aca="false">IF(B111="","",B111-C111)</f>
        <v>-1929.29</v>
      </c>
      <c r="E111" s="113" t="n">
        <f aca="false">IF(OR(2&gt;$B$27,ISBLANK(Actuals!D87)),"",Actuals!D87)</f>
        <v>-2200.12</v>
      </c>
      <c r="F111" s="113" t="n">
        <f aca="false">Budget!D87</f>
        <v>-270.83</v>
      </c>
      <c r="G111" s="113" t="n">
        <f aca="false">IF(E111="","",E111-F111)</f>
        <v>-1929.29</v>
      </c>
      <c r="H111" s="113" t="n">
        <f aca="false">IF(OR(3&gt;$B$27,ISBLANK(Actuals!E87)),"",Actuals!E87)</f>
        <v>-2200.12</v>
      </c>
      <c r="I111" s="113" t="n">
        <f aca="false">Budget!E87</f>
        <v>-270.83</v>
      </c>
      <c r="J111" s="113" t="n">
        <f aca="false">IF(H111="","",H111-I111)</f>
        <v>-1929.29</v>
      </c>
      <c r="K111" s="113" t="n">
        <f aca="false">IF(OR(4&gt;$B$27,ISBLANK(Actuals!F87)),"",Actuals!F87)</f>
        <v>-2200.12</v>
      </c>
      <c r="L111" s="113" t="n">
        <f aca="false">Budget!F87</f>
        <v>-270.83</v>
      </c>
      <c r="M111" s="113" t="n">
        <f aca="false">IF(K111="","",K111-L111)</f>
        <v>-1929.29</v>
      </c>
      <c r="N111" s="113" t="n">
        <f aca="false">IF(OR(5&gt;$B$27,ISBLANK(Actuals!G87)),"",Actuals!G87)</f>
        <v>-2200.12</v>
      </c>
      <c r="O111" s="113" t="n">
        <f aca="false">Budget!G87</f>
        <v>-270.83</v>
      </c>
      <c r="P111" s="113" t="n">
        <f aca="false">IF(N111="","",N111-O111)</f>
        <v>-1929.29</v>
      </c>
      <c r="Q111" s="113" t="n">
        <f aca="false">IF(OR(6&gt;$B$27,ISBLANK(Actuals!H87)),"",Actuals!H87)</f>
        <v>-2200.12</v>
      </c>
      <c r="R111" s="113" t="n">
        <f aca="false">Budget!H87</f>
        <v>-270.83</v>
      </c>
      <c r="S111" s="113" t="n">
        <f aca="false">IF(Q111="","",Q111-R111)</f>
        <v>-1929.29</v>
      </c>
      <c r="T111" s="113" t="n">
        <f aca="false">IF(OR(7&gt;$B$27,ISBLANK(Actuals!I87)),"",Actuals!I87)</f>
        <v>-2200.12</v>
      </c>
      <c r="U111" s="113" t="n">
        <f aca="false">Budget!I87</f>
        <v>-270.83</v>
      </c>
      <c r="V111" s="113" t="n">
        <f aca="false">IF(T111="","",T111-U111)</f>
        <v>-1929.29</v>
      </c>
      <c r="W111" s="113" t="n">
        <f aca="false">IF(OR(8&gt;$B$27,ISBLANK(Actuals!J87)),"",Actuals!J87)</f>
        <v>-2200.12</v>
      </c>
      <c r="X111" s="113" t="n">
        <f aca="false">Budget!J87</f>
        <v>-270.83</v>
      </c>
      <c r="Y111" s="113" t="n">
        <f aca="false">IF(W111="","",W111-X111)</f>
        <v>-1929.29</v>
      </c>
      <c r="Z111" s="113" t="n">
        <f aca="false">IF(OR(9&gt;$B$27,ISBLANK(Actuals!K87)),"",Actuals!K87)</f>
        <v>-2200.12</v>
      </c>
      <c r="AA111" s="113" t="n">
        <f aca="false">Budget!K87</f>
        <v>-270.83</v>
      </c>
      <c r="AB111" s="113" t="n">
        <f aca="false">IF(Z111="","",Z111-AA111)</f>
        <v>-1929.29</v>
      </c>
      <c r="AC111" s="113" t="str">
        <f aca="false">IF(OR(10&gt;$B$27,ISBLANK(Actuals!L87)),"",Actuals!L87)</f>
        <v/>
      </c>
      <c r="AD111" s="113" t="n">
        <f aca="false">Budget!L87</f>
        <v>-270.83</v>
      </c>
      <c r="AE111" s="113" t="str">
        <f aca="false">IF(AC111="","",AC111-AD111)</f>
        <v/>
      </c>
      <c r="AF111" s="113" t="str">
        <f aca="false">IF(OR(11&gt;$B$27,ISBLANK(Actuals!M87)),"",Actuals!M87)</f>
        <v/>
      </c>
      <c r="AG111" s="113" t="n">
        <f aca="false">Budget!M87</f>
        <v>-270.83</v>
      </c>
      <c r="AH111" s="113" t="str">
        <f aca="false">IF(AF111="","",AF111-AG111)</f>
        <v/>
      </c>
      <c r="AI111" s="113" t="str">
        <f aca="false">IF(OR(12&gt;$B$27,ISBLANK(Actuals!N87)),"",Actuals!N87)</f>
        <v/>
      </c>
      <c r="AJ111" s="113" t="n">
        <f aca="false">Budget!N87</f>
        <v>-270.83</v>
      </c>
      <c r="AK111" s="113" t="str">
        <f aca="false">IF(AI111="","",AI111-AJ111)</f>
        <v/>
      </c>
      <c r="AL111" s="116" t="n">
        <f aca="false">SUM(Actuals!$C87:INDEX(Actuals!$C87:$N87,$B$27))</f>
        <v>-19801.08</v>
      </c>
      <c r="AM111" s="116" t="n">
        <f aca="false">SUM(Budget!$C87:INDEX(Budget!$C87:$N87,$B$27))</f>
        <v>-2437.47</v>
      </c>
      <c r="AN111" s="116" t="n">
        <f aca="false">AL111-AM111</f>
        <v>-17363.61</v>
      </c>
      <c r="AP111" s="114" t="s">
        <v>447</v>
      </c>
    </row>
    <row r="112" customFormat="false" ht="15" hidden="true" customHeight="true" outlineLevel="1" collapsed="false">
      <c r="A112" s="109" t="s">
        <v>72</v>
      </c>
      <c r="B112" s="113" t="n">
        <f aca="false">IF(OR(1&gt;$B$27,ISBLANK(Actuals!C88)),"",Actuals!C88)</f>
        <v>-8848.65</v>
      </c>
      <c r="C112" s="113" t="n">
        <f aca="false">Budget!C88</f>
        <v>-8000</v>
      </c>
      <c r="D112" s="113" t="n">
        <f aca="false">IF(B112="","",B112-C112)</f>
        <v>-848.65</v>
      </c>
      <c r="E112" s="113" t="n">
        <f aca="false">IF(OR(2&gt;$B$27,ISBLANK(Actuals!D88)),"",Actuals!D88)</f>
        <v>-8817.63</v>
      </c>
      <c r="F112" s="113" t="n">
        <f aca="false">Budget!D88</f>
        <v>-8000</v>
      </c>
      <c r="G112" s="113" t="n">
        <f aca="false">IF(E112="","",E112-F112)</f>
        <v>-817.629999999999</v>
      </c>
      <c r="H112" s="113" t="n">
        <f aca="false">IF(OR(3&gt;$B$27,ISBLANK(Actuals!E88)),"",Actuals!E88)</f>
        <v>-3775.91</v>
      </c>
      <c r="I112" s="113" t="n">
        <f aca="false">Budget!E88</f>
        <v>-8000</v>
      </c>
      <c r="J112" s="113" t="n">
        <f aca="false">IF(H112="","",H112-I112)</f>
        <v>4224.09</v>
      </c>
      <c r="K112" s="113" t="n">
        <f aca="false">IF(OR(4&gt;$B$27,ISBLANK(Actuals!F88)),"",Actuals!F88)</f>
        <v>-8731.12</v>
      </c>
      <c r="L112" s="113" t="n">
        <f aca="false">Budget!F88</f>
        <v>-8000</v>
      </c>
      <c r="M112" s="113" t="n">
        <f aca="false">IF(K112="","",K112-L112)</f>
        <v>-731.120000000001</v>
      </c>
      <c r="N112" s="113" t="n">
        <f aca="false">IF(OR(5&gt;$B$27,ISBLANK(Actuals!G88)),"",Actuals!G88)</f>
        <v>-8739.17</v>
      </c>
      <c r="O112" s="113" t="n">
        <f aca="false">Budget!G88</f>
        <v>-8000</v>
      </c>
      <c r="P112" s="113" t="n">
        <f aca="false">IF(N112="","",N112-O112)</f>
        <v>-739.17</v>
      </c>
      <c r="Q112" s="113" t="n">
        <f aca="false">IF(OR(6&gt;$B$27,ISBLANK(Actuals!H88)),"",Actuals!H88)</f>
        <v>-8771.99</v>
      </c>
      <c r="R112" s="113" t="n">
        <f aca="false">Budget!H88</f>
        <v>-8000</v>
      </c>
      <c r="S112" s="113" t="n">
        <f aca="false">IF(Q112="","",Q112-R112)</f>
        <v>-771.99</v>
      </c>
      <c r="T112" s="113" t="n">
        <f aca="false">IF(OR(7&gt;$B$27,ISBLANK(Actuals!I88)),"",Actuals!I88)</f>
        <v>-13832.56</v>
      </c>
      <c r="U112" s="113" t="n">
        <f aca="false">Budget!I88</f>
        <v>-8160</v>
      </c>
      <c r="V112" s="113" t="n">
        <f aca="false">IF(T112="","",T112-U112)</f>
        <v>-5672.56</v>
      </c>
      <c r="W112" s="113" t="n">
        <f aca="false">IF(OR(8&gt;$B$27,ISBLANK(Actuals!J88)),"",Actuals!J88)</f>
        <v>-3870.05</v>
      </c>
      <c r="X112" s="113" t="n">
        <f aca="false">Budget!J88</f>
        <v>-8160</v>
      </c>
      <c r="Y112" s="113" t="n">
        <f aca="false">IF(W112="","",W112-X112)</f>
        <v>4289.95</v>
      </c>
      <c r="Z112" s="113" t="n">
        <f aca="false">IF(OR(9&gt;$B$27,ISBLANK(Actuals!K88)),"",Actuals!K88)</f>
        <v>-8909.61</v>
      </c>
      <c r="AA112" s="113" t="n">
        <f aca="false">Budget!K88</f>
        <v>-8160</v>
      </c>
      <c r="AB112" s="113" t="n">
        <f aca="false">IF(Z112="","",Z112-AA112)</f>
        <v>-749.610000000001</v>
      </c>
      <c r="AC112" s="113" t="str">
        <f aca="false">IF(OR(10&gt;$B$27,ISBLANK(Actuals!L88)),"",Actuals!L88)</f>
        <v/>
      </c>
      <c r="AD112" s="113" t="n">
        <f aca="false">Budget!L88</f>
        <v>-8160</v>
      </c>
      <c r="AE112" s="113" t="str">
        <f aca="false">IF(AC112="","",AC112-AD112)</f>
        <v/>
      </c>
      <c r="AF112" s="113" t="str">
        <f aca="false">IF(OR(11&gt;$B$27,ISBLANK(Actuals!M88)),"",Actuals!M88)</f>
        <v/>
      </c>
      <c r="AG112" s="113" t="n">
        <f aca="false">Budget!M88</f>
        <v>-8160</v>
      </c>
      <c r="AH112" s="113" t="str">
        <f aca="false">IF(AF112="","",AF112-AG112)</f>
        <v/>
      </c>
      <c r="AI112" s="113" t="str">
        <f aca="false">IF(OR(12&gt;$B$27,ISBLANK(Actuals!N88)),"",Actuals!N88)</f>
        <v/>
      </c>
      <c r="AJ112" s="113" t="n">
        <f aca="false">Budget!N88</f>
        <v>-8160</v>
      </c>
      <c r="AK112" s="113" t="str">
        <f aca="false">IF(AI112="","",AI112-AJ112)</f>
        <v/>
      </c>
      <c r="AL112" s="116" t="n">
        <f aca="false">SUM(Actuals!$C88:INDEX(Actuals!$C88:$N88,$B$27))</f>
        <v>-74296.69</v>
      </c>
      <c r="AM112" s="116" t="n">
        <f aca="false">SUM(Budget!$C88:INDEX(Budget!$C88:$N88,$B$27))</f>
        <v>-72480</v>
      </c>
      <c r="AN112" s="116" t="n">
        <f aca="false">AL112-AM112</f>
        <v>-1816.69</v>
      </c>
    </row>
    <row r="113" customFormat="false" ht="15" hidden="true" customHeight="true" outlineLevel="1" collapsed="false">
      <c r="A113" s="109" t="s">
        <v>73</v>
      </c>
      <c r="B113" s="113" t="n">
        <f aca="false">IF(OR(1&gt;$B$27,ISBLANK(Actuals!C89)),"",Actuals!C89)</f>
        <v>-1722.9</v>
      </c>
      <c r="C113" s="113" t="n">
        <f aca="false">Budget!C89</f>
        <v>-183.33</v>
      </c>
      <c r="D113" s="113" t="n">
        <f aca="false">IF(B113="","",B113-C113)</f>
        <v>-1539.57</v>
      </c>
      <c r="E113" s="113" t="n">
        <f aca="false">IF(OR(2&gt;$B$27,ISBLANK(Actuals!D89)),"",Actuals!D89)</f>
        <v>0</v>
      </c>
      <c r="F113" s="113" t="n">
        <f aca="false">Budget!D89</f>
        <v>-183.33</v>
      </c>
      <c r="G113" s="113" t="n">
        <f aca="false">IF(E113="","",E113-F113)</f>
        <v>183.33</v>
      </c>
      <c r="H113" s="113" t="n">
        <f aca="false">IF(OR(3&gt;$B$27,ISBLANK(Actuals!E89)),"",Actuals!E89)</f>
        <v>-28.51</v>
      </c>
      <c r="I113" s="113" t="n">
        <f aca="false">Budget!E89</f>
        <v>-183.33</v>
      </c>
      <c r="J113" s="113" t="n">
        <f aca="false">IF(H113="","",H113-I113)</f>
        <v>154.82</v>
      </c>
      <c r="K113" s="113" t="n">
        <f aca="false">IF(OR(4&gt;$B$27,ISBLANK(Actuals!F89)),"",Actuals!F89)</f>
        <v>0</v>
      </c>
      <c r="L113" s="113" t="n">
        <f aca="false">Budget!F89</f>
        <v>-183.33</v>
      </c>
      <c r="M113" s="113" t="n">
        <f aca="false">IF(K113="","",K113-L113)</f>
        <v>183.33</v>
      </c>
      <c r="N113" s="113" t="n">
        <f aca="false">IF(OR(5&gt;$B$27,ISBLANK(Actuals!G89)),"",Actuals!G89)</f>
        <v>-212.12</v>
      </c>
      <c r="O113" s="113" t="n">
        <f aca="false">Budget!G89</f>
        <v>-183.33</v>
      </c>
      <c r="P113" s="113" t="n">
        <f aca="false">IF(N113="","",N113-O113)</f>
        <v>-28.79</v>
      </c>
      <c r="Q113" s="113" t="n">
        <f aca="false">IF(OR(6&gt;$B$27,ISBLANK(Actuals!H89)),"",Actuals!H89)</f>
        <v>-83.92</v>
      </c>
      <c r="R113" s="113" t="n">
        <f aca="false">Budget!H89</f>
        <v>-183.33</v>
      </c>
      <c r="S113" s="113" t="n">
        <f aca="false">IF(Q113="","",Q113-R113)</f>
        <v>99.41</v>
      </c>
      <c r="T113" s="113" t="n">
        <f aca="false">IF(OR(7&gt;$B$27,ISBLANK(Actuals!I89)),"",Actuals!I89)</f>
        <v>-530</v>
      </c>
      <c r="U113" s="113" t="n">
        <f aca="false">Budget!I89</f>
        <v>-187</v>
      </c>
      <c r="V113" s="113" t="n">
        <f aca="false">IF(T113="","",T113-U113)</f>
        <v>-343</v>
      </c>
      <c r="W113" s="113" t="n">
        <f aca="false">IF(OR(8&gt;$B$27,ISBLANK(Actuals!J89)),"",Actuals!J89)</f>
        <v>-180.23</v>
      </c>
      <c r="X113" s="113" t="n">
        <f aca="false">Budget!J89</f>
        <v>-187</v>
      </c>
      <c r="Y113" s="113" t="n">
        <f aca="false">IF(W113="","",W113-X113)</f>
        <v>6.77000000000001</v>
      </c>
      <c r="Z113" s="113" t="n">
        <f aca="false">IF(OR(9&gt;$B$27,ISBLANK(Actuals!K89)),"",Actuals!K89)</f>
        <v>-952.23</v>
      </c>
      <c r="AA113" s="113" t="n">
        <f aca="false">Budget!K89</f>
        <v>-187</v>
      </c>
      <c r="AB113" s="113" t="n">
        <f aca="false">IF(Z113="","",Z113-AA113)</f>
        <v>-765.23</v>
      </c>
      <c r="AC113" s="113" t="str">
        <f aca="false">IF(OR(10&gt;$B$27,ISBLANK(Actuals!L89)),"",Actuals!L89)</f>
        <v/>
      </c>
      <c r="AD113" s="113" t="n">
        <f aca="false">Budget!L89</f>
        <v>-187</v>
      </c>
      <c r="AE113" s="113" t="str">
        <f aca="false">IF(AC113="","",AC113-AD113)</f>
        <v/>
      </c>
      <c r="AF113" s="113" t="str">
        <f aca="false">IF(OR(11&gt;$B$27,ISBLANK(Actuals!M89)),"",Actuals!M89)</f>
        <v/>
      </c>
      <c r="AG113" s="113" t="n">
        <f aca="false">Budget!M89</f>
        <v>-187</v>
      </c>
      <c r="AH113" s="113" t="str">
        <f aca="false">IF(AF113="","",AF113-AG113)</f>
        <v/>
      </c>
      <c r="AI113" s="113" t="str">
        <f aca="false">IF(OR(12&gt;$B$27,ISBLANK(Actuals!N89)),"",Actuals!N89)</f>
        <v/>
      </c>
      <c r="AJ113" s="113" t="n">
        <f aca="false">Budget!N89</f>
        <v>-187</v>
      </c>
      <c r="AK113" s="113" t="str">
        <f aca="false">IF(AI113="","",AI113-AJ113)</f>
        <v/>
      </c>
      <c r="AL113" s="116" t="n">
        <f aca="false">SUM(Actuals!$C89:INDEX(Actuals!$C89:$N89,$B$27))</f>
        <v>-3709.91</v>
      </c>
      <c r="AM113" s="116" t="n">
        <f aca="false">SUM(Budget!$C89:INDEX(Budget!$C89:$N89,$B$27))</f>
        <v>-1660.98</v>
      </c>
      <c r="AN113" s="116" t="n">
        <f aca="false">AL113-AM113</f>
        <v>-2048.93</v>
      </c>
    </row>
    <row r="114" customFormat="false" ht="15" hidden="true" customHeight="true" outlineLevel="1" collapsed="false">
      <c r="A114" s="109" t="s">
        <v>124</v>
      </c>
      <c r="B114" s="113" t="n">
        <f aca="false">IF(OR(1&gt;$B$27,ISBLANK(Actuals!C90)),"",Actuals!C90)</f>
        <v>-246.85</v>
      </c>
      <c r="C114" s="113" t="n">
        <f aca="false">Budget!C90</f>
        <v>-3000</v>
      </c>
      <c r="D114" s="113" t="n">
        <f aca="false">IF(B114="","",B114-C114)</f>
        <v>2753.15</v>
      </c>
      <c r="E114" s="113" t="n">
        <f aca="false">IF(OR(2&gt;$B$27,ISBLANK(Actuals!D90)),"",Actuals!D90)</f>
        <v>0</v>
      </c>
      <c r="F114" s="113" t="n">
        <f aca="false">Budget!D90</f>
        <v>-3000</v>
      </c>
      <c r="G114" s="113" t="n">
        <f aca="false">IF(E114="","",E114-F114)</f>
        <v>3000</v>
      </c>
      <c r="H114" s="113" t="n">
        <f aca="false">IF(OR(3&gt;$B$27,ISBLANK(Actuals!E90)),"",Actuals!E90)</f>
        <v>-4246.73</v>
      </c>
      <c r="I114" s="113" t="n">
        <f aca="false">Budget!E90</f>
        <v>-3000</v>
      </c>
      <c r="J114" s="113" t="n">
        <f aca="false">IF(H114="","",H114-I114)</f>
        <v>-1246.73</v>
      </c>
      <c r="K114" s="113" t="n">
        <f aca="false">IF(OR(4&gt;$B$27,ISBLANK(Actuals!F90)),"",Actuals!F90)</f>
        <v>-3123.87</v>
      </c>
      <c r="L114" s="113" t="n">
        <f aca="false">Budget!F90</f>
        <v>-3000</v>
      </c>
      <c r="M114" s="113" t="n">
        <f aca="false">IF(K114="","",K114-L114)</f>
        <v>-123.87</v>
      </c>
      <c r="N114" s="113" t="n">
        <f aca="false">IF(OR(5&gt;$B$27,ISBLANK(Actuals!G90)),"",Actuals!G90)</f>
        <v>-3184.88</v>
      </c>
      <c r="O114" s="113" t="n">
        <f aca="false">Budget!G90</f>
        <v>-3000</v>
      </c>
      <c r="P114" s="113" t="n">
        <f aca="false">IF(N114="","",N114-O114)</f>
        <v>-184.88</v>
      </c>
      <c r="Q114" s="113" t="n">
        <f aca="false">IF(OR(6&gt;$B$27,ISBLANK(Actuals!H90)),"",Actuals!H90)</f>
        <v>-4015.94</v>
      </c>
      <c r="R114" s="113" t="n">
        <f aca="false">Budget!H90</f>
        <v>-3000</v>
      </c>
      <c r="S114" s="113" t="n">
        <f aca="false">IF(Q114="","",Q114-R114)</f>
        <v>-1015.94</v>
      </c>
      <c r="T114" s="113" t="n">
        <f aca="false">IF(OR(7&gt;$B$27,ISBLANK(Actuals!I90)),"",Actuals!I90)</f>
        <v>-759.45</v>
      </c>
      <c r="U114" s="113" t="n">
        <f aca="false">Budget!I90</f>
        <v>-3060</v>
      </c>
      <c r="V114" s="113" t="n">
        <f aca="false">IF(T114="","",T114-U114)</f>
        <v>2300.55</v>
      </c>
      <c r="W114" s="113" t="n">
        <f aca="false">IF(OR(8&gt;$B$27,ISBLANK(Actuals!J90)),"",Actuals!J90)</f>
        <v>-6023.52</v>
      </c>
      <c r="X114" s="113" t="n">
        <f aca="false">Budget!J90</f>
        <v>-3060</v>
      </c>
      <c r="Y114" s="113" t="n">
        <f aca="false">IF(W114="","",W114-X114)</f>
        <v>-2963.52</v>
      </c>
      <c r="Z114" s="113" t="n">
        <f aca="false">IF(OR(9&gt;$B$27,ISBLANK(Actuals!K90)),"",Actuals!K90)</f>
        <v>-1177.72</v>
      </c>
      <c r="AA114" s="113" t="n">
        <f aca="false">Budget!K90</f>
        <v>-3060</v>
      </c>
      <c r="AB114" s="113" t="n">
        <f aca="false">IF(Z114="","",Z114-AA114)</f>
        <v>1882.28</v>
      </c>
      <c r="AC114" s="113" t="str">
        <f aca="false">IF(OR(10&gt;$B$27,ISBLANK(Actuals!L90)),"",Actuals!L90)</f>
        <v/>
      </c>
      <c r="AD114" s="113" t="n">
        <f aca="false">Budget!L90</f>
        <v>-3060</v>
      </c>
      <c r="AE114" s="113" t="str">
        <f aca="false">IF(AC114="","",AC114-AD114)</f>
        <v/>
      </c>
      <c r="AF114" s="113" t="str">
        <f aca="false">IF(OR(11&gt;$B$27,ISBLANK(Actuals!M90)),"",Actuals!M90)</f>
        <v/>
      </c>
      <c r="AG114" s="113" t="n">
        <f aca="false">Budget!M90</f>
        <v>-3060</v>
      </c>
      <c r="AH114" s="113" t="str">
        <f aca="false">IF(AF114="","",AF114-AG114)</f>
        <v/>
      </c>
      <c r="AI114" s="113" t="str">
        <f aca="false">IF(OR(12&gt;$B$27,ISBLANK(Actuals!N90)),"",Actuals!N90)</f>
        <v/>
      </c>
      <c r="AJ114" s="113" t="n">
        <f aca="false">Budget!N90</f>
        <v>-3060</v>
      </c>
      <c r="AK114" s="113" t="str">
        <f aca="false">IF(AI114="","",AI114-AJ114)</f>
        <v/>
      </c>
      <c r="AL114" s="116" t="n">
        <f aca="false">SUM(Actuals!$C90:INDEX(Actuals!$C90:$N90,$B$27))</f>
        <v>-22778.96</v>
      </c>
      <c r="AM114" s="116" t="n">
        <f aca="false">SUM(Budget!$C90:INDEX(Budget!$C90:$N90,$B$27))</f>
        <v>-27180</v>
      </c>
      <c r="AN114" s="116" t="n">
        <f aca="false">AL114-AM114</f>
        <v>4401.04</v>
      </c>
    </row>
    <row r="115" customFormat="false" ht="15" hidden="true" customHeight="true" outlineLevel="1" collapsed="false">
      <c r="A115" s="109" t="s">
        <v>125</v>
      </c>
      <c r="B115" s="113" t="n">
        <f aca="false">IF(OR(1&gt;$B$27,ISBLANK(Actuals!C91)),"",Actuals!C91)</f>
        <v>0</v>
      </c>
      <c r="C115" s="113" t="n">
        <f aca="false">Budget!C91</f>
        <v>0</v>
      </c>
      <c r="D115" s="113" t="n">
        <f aca="false">IF(B115="","",B115-C115)</f>
        <v>0</v>
      </c>
      <c r="E115" s="113" t="n">
        <f aca="false">IF(OR(2&gt;$B$27,ISBLANK(Actuals!D91)),"",Actuals!D91)</f>
        <v>0</v>
      </c>
      <c r="F115" s="113" t="n">
        <f aca="false">Budget!D91</f>
        <v>0</v>
      </c>
      <c r="G115" s="113" t="n">
        <f aca="false">IF(E115="","",E115-F115)</f>
        <v>0</v>
      </c>
      <c r="H115" s="113" t="n">
        <f aca="false">IF(OR(3&gt;$B$27,ISBLANK(Actuals!E91)),"",Actuals!E91)</f>
        <v>-870</v>
      </c>
      <c r="I115" s="113" t="n">
        <f aca="false">Budget!E91</f>
        <v>0</v>
      </c>
      <c r="J115" s="113" t="n">
        <f aca="false">IF(H115="","",H115-I115)</f>
        <v>-870</v>
      </c>
      <c r="K115" s="113" t="n">
        <f aca="false">IF(OR(4&gt;$B$27,ISBLANK(Actuals!F91)),"",Actuals!F91)</f>
        <v>0</v>
      </c>
      <c r="L115" s="113" t="n">
        <f aca="false">Budget!F91</f>
        <v>0</v>
      </c>
      <c r="M115" s="113" t="n">
        <f aca="false">IF(K115="","",K115-L115)</f>
        <v>0</v>
      </c>
      <c r="N115" s="113" t="n">
        <f aca="false">IF(OR(5&gt;$B$27,ISBLANK(Actuals!G91)),"",Actuals!G91)</f>
        <v>0</v>
      </c>
      <c r="O115" s="113" t="n">
        <f aca="false">Budget!G91</f>
        <v>0</v>
      </c>
      <c r="P115" s="113" t="n">
        <f aca="false">IF(N115="","",N115-O115)</f>
        <v>0</v>
      </c>
      <c r="Q115" s="113" t="n">
        <f aca="false">IF(OR(6&gt;$B$27,ISBLANK(Actuals!H91)),"",Actuals!H91)</f>
        <v>0</v>
      </c>
      <c r="R115" s="113" t="n">
        <f aca="false">Budget!H91</f>
        <v>0</v>
      </c>
      <c r="S115" s="113" t="n">
        <f aca="false">IF(Q115="","",Q115-R115)</f>
        <v>0</v>
      </c>
      <c r="T115" s="113" t="n">
        <f aca="false">IF(OR(7&gt;$B$27,ISBLANK(Actuals!I91)),"",Actuals!I91)</f>
        <v>0</v>
      </c>
      <c r="U115" s="113" t="n">
        <f aca="false">Budget!I91</f>
        <v>0</v>
      </c>
      <c r="V115" s="113" t="n">
        <f aca="false">IF(T115="","",T115-U115)</f>
        <v>0</v>
      </c>
      <c r="W115" s="113" t="n">
        <f aca="false">IF(OR(8&gt;$B$27,ISBLANK(Actuals!J91)),"",Actuals!J91)</f>
        <v>0</v>
      </c>
      <c r="X115" s="113" t="n">
        <f aca="false">Budget!J91</f>
        <v>0</v>
      </c>
      <c r="Y115" s="113" t="n">
        <f aca="false">IF(W115="","",W115-X115)</f>
        <v>0</v>
      </c>
      <c r="Z115" s="113" t="n">
        <f aca="false">IF(OR(9&gt;$B$27,ISBLANK(Actuals!K91)),"",Actuals!K91)</f>
        <v>0</v>
      </c>
      <c r="AA115" s="113" t="n">
        <f aca="false">Budget!K91</f>
        <v>0</v>
      </c>
      <c r="AB115" s="113" t="n">
        <f aca="false">IF(Z115="","",Z115-AA115)</f>
        <v>0</v>
      </c>
      <c r="AC115" s="113" t="str">
        <f aca="false">IF(OR(10&gt;$B$27,ISBLANK(Actuals!L91)),"",Actuals!L91)</f>
        <v/>
      </c>
      <c r="AD115" s="113" t="n">
        <f aca="false">Budget!L91</f>
        <v>0</v>
      </c>
      <c r="AE115" s="113" t="str">
        <f aca="false">IF(AC115="","",AC115-AD115)</f>
        <v/>
      </c>
      <c r="AF115" s="113" t="str">
        <f aca="false">IF(OR(11&gt;$B$27,ISBLANK(Actuals!M91)),"",Actuals!M91)</f>
        <v/>
      </c>
      <c r="AG115" s="113" t="n">
        <f aca="false">Budget!M91</f>
        <v>0</v>
      </c>
      <c r="AH115" s="113" t="str">
        <f aca="false">IF(AF115="","",AF115-AG115)</f>
        <v/>
      </c>
      <c r="AI115" s="113" t="str">
        <f aca="false">IF(OR(12&gt;$B$27,ISBLANK(Actuals!N91)),"",Actuals!N91)</f>
        <v/>
      </c>
      <c r="AJ115" s="113" t="n">
        <f aca="false">Budget!N91</f>
        <v>0</v>
      </c>
      <c r="AK115" s="113" t="str">
        <f aca="false">IF(AI115="","",AI115-AJ115)</f>
        <v/>
      </c>
      <c r="AL115" s="116" t="n">
        <f aca="false">SUM(Actuals!$C91:INDEX(Actuals!$C91:$N91,$B$27))</f>
        <v>-870</v>
      </c>
      <c r="AM115" s="116" t="n">
        <f aca="false">SUM(Budget!$C91:INDEX(Budget!$C91:$N91,$B$27))</f>
        <v>0</v>
      </c>
      <c r="AN115" s="116" t="n">
        <f aca="false">AL115-AM115</f>
        <v>-870</v>
      </c>
    </row>
    <row r="116" customFormat="false" ht="15" hidden="true" customHeight="true" outlineLevel="1" collapsed="false">
      <c r="A116" s="109" t="s">
        <v>126</v>
      </c>
      <c r="B116" s="113" t="n">
        <f aca="false">IF(OR(1&gt;$B$27,ISBLANK(Actuals!C92)),"",Actuals!C92)</f>
        <v>-245</v>
      </c>
      <c r="C116" s="113" t="n">
        <f aca="false">Budget!C92</f>
        <v>0</v>
      </c>
      <c r="D116" s="113" t="n">
        <f aca="false">IF(B116="","",B116-C116)</f>
        <v>-245</v>
      </c>
      <c r="E116" s="113" t="n">
        <f aca="false">IF(OR(2&gt;$B$27,ISBLANK(Actuals!D92)),"",Actuals!D92)</f>
        <v>-245</v>
      </c>
      <c r="F116" s="113" t="n">
        <f aca="false">Budget!D92</f>
        <v>0</v>
      </c>
      <c r="G116" s="113" t="n">
        <f aca="false">IF(E116="","",E116-F116)</f>
        <v>-245</v>
      </c>
      <c r="H116" s="113" t="n">
        <f aca="false">IF(OR(3&gt;$B$27,ISBLANK(Actuals!E92)),"",Actuals!E92)</f>
        <v>-245</v>
      </c>
      <c r="I116" s="113" t="n">
        <f aca="false">Budget!E92</f>
        <v>0</v>
      </c>
      <c r="J116" s="113" t="n">
        <f aca="false">IF(H116="","",H116-I116)</f>
        <v>-245</v>
      </c>
      <c r="K116" s="113" t="n">
        <f aca="false">IF(OR(4&gt;$B$27,ISBLANK(Actuals!F92)),"",Actuals!F92)</f>
        <v>-245</v>
      </c>
      <c r="L116" s="113" t="n">
        <f aca="false">Budget!F92</f>
        <v>0</v>
      </c>
      <c r="M116" s="113" t="n">
        <f aca="false">IF(K116="","",K116-L116)</f>
        <v>-245</v>
      </c>
      <c r="N116" s="113" t="n">
        <f aca="false">IF(OR(5&gt;$B$27,ISBLANK(Actuals!G92)),"",Actuals!G92)</f>
        <v>-245</v>
      </c>
      <c r="O116" s="113" t="n">
        <f aca="false">Budget!G92</f>
        <v>0</v>
      </c>
      <c r="P116" s="113" t="n">
        <f aca="false">IF(N116="","",N116-O116)</f>
        <v>-245</v>
      </c>
      <c r="Q116" s="113" t="n">
        <f aca="false">IF(OR(6&gt;$B$27,ISBLANK(Actuals!H92)),"",Actuals!H92)</f>
        <v>-245</v>
      </c>
      <c r="R116" s="113" t="n">
        <f aca="false">Budget!H92</f>
        <v>0</v>
      </c>
      <c r="S116" s="113" t="n">
        <f aca="false">IF(Q116="","",Q116-R116)</f>
        <v>-245</v>
      </c>
      <c r="T116" s="113" t="n">
        <f aca="false">IF(OR(7&gt;$B$27,ISBLANK(Actuals!I92)),"",Actuals!I92)</f>
        <v>-245</v>
      </c>
      <c r="U116" s="113" t="n">
        <f aca="false">Budget!I92</f>
        <v>0</v>
      </c>
      <c r="V116" s="113" t="n">
        <f aca="false">IF(T116="","",T116-U116)</f>
        <v>-245</v>
      </c>
      <c r="W116" s="113" t="n">
        <f aca="false">IF(OR(8&gt;$B$27,ISBLANK(Actuals!J92)),"",Actuals!J92)</f>
        <v>0</v>
      </c>
      <c r="X116" s="113" t="n">
        <f aca="false">Budget!J92</f>
        <v>0</v>
      </c>
      <c r="Y116" s="113" t="n">
        <f aca="false">IF(W116="","",W116-X116)</f>
        <v>0</v>
      </c>
      <c r="Z116" s="113" t="n">
        <f aca="false">IF(OR(9&gt;$B$27,ISBLANK(Actuals!K92)),"",Actuals!K92)</f>
        <v>-245</v>
      </c>
      <c r="AA116" s="113" t="n">
        <f aca="false">Budget!K92</f>
        <v>0</v>
      </c>
      <c r="AB116" s="113" t="n">
        <f aca="false">IF(Z116="","",Z116-AA116)</f>
        <v>-245</v>
      </c>
      <c r="AC116" s="113" t="str">
        <f aca="false">IF(OR(10&gt;$B$27,ISBLANK(Actuals!L92)),"",Actuals!L92)</f>
        <v/>
      </c>
      <c r="AD116" s="113" t="n">
        <f aca="false">Budget!L92</f>
        <v>0</v>
      </c>
      <c r="AE116" s="113" t="str">
        <f aca="false">IF(AC116="","",AC116-AD116)</f>
        <v/>
      </c>
      <c r="AF116" s="113" t="str">
        <f aca="false">IF(OR(11&gt;$B$27,ISBLANK(Actuals!M92)),"",Actuals!M92)</f>
        <v/>
      </c>
      <c r="AG116" s="113" t="n">
        <f aca="false">Budget!M92</f>
        <v>0</v>
      </c>
      <c r="AH116" s="113" t="str">
        <f aca="false">IF(AF116="","",AF116-AG116)</f>
        <v/>
      </c>
      <c r="AI116" s="113" t="str">
        <f aca="false">IF(OR(12&gt;$B$27,ISBLANK(Actuals!N92)),"",Actuals!N92)</f>
        <v/>
      </c>
      <c r="AJ116" s="113" t="n">
        <f aca="false">Budget!N92</f>
        <v>0</v>
      </c>
      <c r="AK116" s="113" t="str">
        <f aca="false">IF(AI116="","",AI116-AJ116)</f>
        <v/>
      </c>
      <c r="AL116" s="116" t="n">
        <f aca="false">SUM(Actuals!$C92:INDEX(Actuals!$C92:$N92,$B$27))</f>
        <v>-1960</v>
      </c>
      <c r="AM116" s="116" t="n">
        <f aca="false">SUM(Budget!$C92:INDEX(Budget!$C92:$N92,$B$27))</f>
        <v>0</v>
      </c>
      <c r="AN116" s="116" t="n">
        <f aca="false">AL116-AM116</f>
        <v>-1960</v>
      </c>
    </row>
    <row r="117" customFormat="false" ht="15" hidden="true" customHeight="true" outlineLevel="1" collapsed="false">
      <c r="A117" s="109" t="s">
        <v>127</v>
      </c>
      <c r="B117" s="113" t="n">
        <f aca="false">IF(OR(1&gt;$B$27,ISBLANK(Actuals!C93)),"",Actuals!C93)</f>
        <v>-986.57</v>
      </c>
      <c r="C117" s="113" t="n">
        <f aca="false">Budget!C93</f>
        <v>-3000</v>
      </c>
      <c r="D117" s="113" t="n">
        <f aca="false">IF(B117="","",B117-C117)</f>
        <v>2013.43</v>
      </c>
      <c r="E117" s="113" t="n">
        <f aca="false">IF(OR(2&gt;$B$27,ISBLANK(Actuals!D93)),"",Actuals!D93)</f>
        <v>-1254.61</v>
      </c>
      <c r="F117" s="113" t="n">
        <f aca="false">Budget!D93</f>
        <v>-3000</v>
      </c>
      <c r="G117" s="113" t="n">
        <f aca="false">IF(E117="","",E117-F117)</f>
        <v>1745.39</v>
      </c>
      <c r="H117" s="113" t="n">
        <f aca="false">IF(OR(3&gt;$B$27,ISBLANK(Actuals!E93)),"",Actuals!E93)</f>
        <v>-1297.31</v>
      </c>
      <c r="I117" s="113" t="n">
        <f aca="false">Budget!E93</f>
        <v>-3000</v>
      </c>
      <c r="J117" s="113" t="n">
        <f aca="false">IF(H117="","",H117-I117)</f>
        <v>1702.69</v>
      </c>
      <c r="K117" s="113" t="n">
        <f aca="false">IF(OR(4&gt;$B$27,ISBLANK(Actuals!F93)),"",Actuals!F93)</f>
        <v>-48.78</v>
      </c>
      <c r="L117" s="113" t="n">
        <f aca="false">Budget!F93</f>
        <v>-3000</v>
      </c>
      <c r="M117" s="113" t="n">
        <f aca="false">IF(K117="","",K117-L117)</f>
        <v>2951.22</v>
      </c>
      <c r="N117" s="113" t="n">
        <f aca="false">IF(OR(5&gt;$B$27,ISBLANK(Actuals!G93)),"",Actuals!G93)</f>
        <v>-4199.86</v>
      </c>
      <c r="O117" s="113" t="n">
        <f aca="false">Budget!G93</f>
        <v>-3000</v>
      </c>
      <c r="P117" s="113" t="n">
        <f aca="false">IF(N117="","",N117-O117)</f>
        <v>-1199.86</v>
      </c>
      <c r="Q117" s="113" t="n">
        <f aca="false">IF(OR(6&gt;$B$27,ISBLANK(Actuals!H93)),"",Actuals!H93)</f>
        <v>-3433.39</v>
      </c>
      <c r="R117" s="113" t="n">
        <f aca="false">Budget!H93</f>
        <v>-3000</v>
      </c>
      <c r="S117" s="113" t="n">
        <f aca="false">IF(Q117="","",Q117-R117)</f>
        <v>-433.39</v>
      </c>
      <c r="T117" s="113" t="n">
        <f aca="false">IF(OR(7&gt;$B$27,ISBLANK(Actuals!I93)),"",Actuals!I93)</f>
        <v>0</v>
      </c>
      <c r="U117" s="113" t="n">
        <f aca="false">Budget!I93</f>
        <v>-3060</v>
      </c>
      <c r="V117" s="113" t="n">
        <f aca="false">IF(T117="","",T117-U117)</f>
        <v>3060</v>
      </c>
      <c r="W117" s="113" t="n">
        <f aca="false">IF(OR(8&gt;$B$27,ISBLANK(Actuals!J93)),"",Actuals!J93)</f>
        <v>-9.99</v>
      </c>
      <c r="X117" s="113" t="n">
        <f aca="false">Budget!J93</f>
        <v>-3060</v>
      </c>
      <c r="Y117" s="113" t="n">
        <f aca="false">IF(W117="","",W117-X117)</f>
        <v>3050.01</v>
      </c>
      <c r="Z117" s="113" t="n">
        <f aca="false">IF(OR(9&gt;$B$27,ISBLANK(Actuals!K93)),"",Actuals!K93)</f>
        <v>-3772.85</v>
      </c>
      <c r="AA117" s="113" t="n">
        <f aca="false">Budget!K93</f>
        <v>-3060</v>
      </c>
      <c r="AB117" s="113" t="n">
        <f aca="false">IF(Z117="","",Z117-AA117)</f>
        <v>-712.85</v>
      </c>
      <c r="AC117" s="113" t="str">
        <f aca="false">IF(OR(10&gt;$B$27,ISBLANK(Actuals!L93)),"",Actuals!L93)</f>
        <v/>
      </c>
      <c r="AD117" s="113" t="n">
        <f aca="false">Budget!L93</f>
        <v>-3060</v>
      </c>
      <c r="AE117" s="113" t="str">
        <f aca="false">IF(AC117="","",AC117-AD117)</f>
        <v/>
      </c>
      <c r="AF117" s="113" t="str">
        <f aca="false">IF(OR(11&gt;$B$27,ISBLANK(Actuals!M93)),"",Actuals!M93)</f>
        <v/>
      </c>
      <c r="AG117" s="113" t="n">
        <f aca="false">Budget!M93</f>
        <v>-3060</v>
      </c>
      <c r="AH117" s="113" t="str">
        <f aca="false">IF(AF117="","",AF117-AG117)</f>
        <v/>
      </c>
      <c r="AI117" s="113" t="str">
        <f aca="false">IF(OR(12&gt;$B$27,ISBLANK(Actuals!N93)),"",Actuals!N93)</f>
        <v/>
      </c>
      <c r="AJ117" s="113" t="n">
        <f aca="false">Budget!N93</f>
        <v>-3060</v>
      </c>
      <c r="AK117" s="113" t="str">
        <f aca="false">IF(AI117="","",AI117-AJ117)</f>
        <v/>
      </c>
      <c r="AL117" s="116" t="n">
        <f aca="false">SUM(Actuals!$C93:INDEX(Actuals!$C93:$N93,$B$27))</f>
        <v>-15003.36</v>
      </c>
      <c r="AM117" s="116" t="n">
        <f aca="false">SUM(Budget!$C93:INDEX(Budget!$C93:$N93,$B$27))</f>
        <v>-27180</v>
      </c>
      <c r="AN117" s="116" t="n">
        <f aca="false">AL117-AM117</f>
        <v>12176.64</v>
      </c>
      <c r="AP117" s="114" t="s">
        <v>448</v>
      </c>
    </row>
    <row r="118" customFormat="false" ht="15" hidden="true" customHeight="true" outlineLevel="1" collapsed="false">
      <c r="A118" s="109" t="s">
        <v>128</v>
      </c>
      <c r="B118" s="113" t="n">
        <f aca="false">IF(OR(1&gt;$B$27,ISBLANK(Actuals!C94)),"",Actuals!C94)</f>
        <v>-588.66</v>
      </c>
      <c r="C118" s="113" t="n">
        <f aca="false">Budget!C94</f>
        <v>-833.33</v>
      </c>
      <c r="D118" s="113" t="n">
        <f aca="false">IF(B118="","",B118-C118)</f>
        <v>244.67</v>
      </c>
      <c r="E118" s="113" t="n">
        <f aca="false">IF(OR(2&gt;$B$27,ISBLANK(Actuals!D94)),"",Actuals!D94)</f>
        <v>-22.94</v>
      </c>
      <c r="F118" s="113" t="n">
        <f aca="false">Budget!D94</f>
        <v>-833.33</v>
      </c>
      <c r="G118" s="113" t="n">
        <f aca="false">IF(E118="","",E118-F118)</f>
        <v>810.39</v>
      </c>
      <c r="H118" s="113" t="n">
        <f aca="false">IF(OR(3&gt;$B$27,ISBLANK(Actuals!E94)),"",Actuals!E94)</f>
        <v>-487.3</v>
      </c>
      <c r="I118" s="113" t="n">
        <f aca="false">Budget!E94</f>
        <v>-833.33</v>
      </c>
      <c r="J118" s="113" t="n">
        <f aca="false">IF(H118="","",H118-I118)</f>
        <v>346.03</v>
      </c>
      <c r="K118" s="113" t="n">
        <f aca="false">IF(OR(4&gt;$B$27,ISBLANK(Actuals!F94)),"",Actuals!F94)</f>
        <v>-399.98</v>
      </c>
      <c r="L118" s="113" t="n">
        <f aca="false">Budget!F94</f>
        <v>-833.33</v>
      </c>
      <c r="M118" s="113" t="n">
        <f aca="false">IF(K118="","",K118-L118)</f>
        <v>433.35</v>
      </c>
      <c r="N118" s="113" t="n">
        <f aca="false">IF(OR(5&gt;$B$27,ISBLANK(Actuals!G94)),"",Actuals!G94)</f>
        <v>-216.15</v>
      </c>
      <c r="O118" s="113" t="n">
        <f aca="false">Budget!G94</f>
        <v>-833.33</v>
      </c>
      <c r="P118" s="113" t="n">
        <f aca="false">IF(N118="","",N118-O118)</f>
        <v>617.18</v>
      </c>
      <c r="Q118" s="113" t="n">
        <f aca="false">IF(OR(6&gt;$B$27,ISBLANK(Actuals!H94)),"",Actuals!H94)</f>
        <v>-936.05</v>
      </c>
      <c r="R118" s="113" t="n">
        <f aca="false">Budget!H94</f>
        <v>-833.33</v>
      </c>
      <c r="S118" s="113" t="n">
        <f aca="false">IF(Q118="","",Q118-R118)</f>
        <v>-102.72</v>
      </c>
      <c r="T118" s="113" t="n">
        <f aca="false">IF(OR(7&gt;$B$27,ISBLANK(Actuals!I94)),"",Actuals!I94)</f>
        <v>-9.99</v>
      </c>
      <c r="U118" s="113" t="n">
        <f aca="false">Budget!I94</f>
        <v>-850</v>
      </c>
      <c r="V118" s="113" t="n">
        <f aca="false">IF(T118="","",T118-U118)</f>
        <v>840.01</v>
      </c>
      <c r="W118" s="113" t="n">
        <f aca="false">IF(OR(8&gt;$B$27,ISBLANK(Actuals!J94)),"",Actuals!J94)</f>
        <v>-32.2</v>
      </c>
      <c r="X118" s="113" t="n">
        <f aca="false">Budget!J94</f>
        <v>-850</v>
      </c>
      <c r="Y118" s="113" t="n">
        <f aca="false">IF(W118="","",W118-X118)</f>
        <v>817.8</v>
      </c>
      <c r="Z118" s="113" t="n">
        <f aca="false">IF(OR(9&gt;$B$27,ISBLANK(Actuals!K94)),"",Actuals!K94)</f>
        <v>-436.42</v>
      </c>
      <c r="AA118" s="113" t="n">
        <f aca="false">Budget!K94</f>
        <v>-850</v>
      </c>
      <c r="AB118" s="113" t="n">
        <f aca="false">IF(Z118="","",Z118-AA118)</f>
        <v>413.58</v>
      </c>
      <c r="AC118" s="113" t="str">
        <f aca="false">IF(OR(10&gt;$B$27,ISBLANK(Actuals!L94)),"",Actuals!L94)</f>
        <v/>
      </c>
      <c r="AD118" s="113" t="n">
        <f aca="false">Budget!L94</f>
        <v>-850</v>
      </c>
      <c r="AE118" s="113" t="str">
        <f aca="false">IF(AC118="","",AC118-AD118)</f>
        <v/>
      </c>
      <c r="AF118" s="113" t="str">
        <f aca="false">IF(OR(11&gt;$B$27,ISBLANK(Actuals!M94)),"",Actuals!M94)</f>
        <v/>
      </c>
      <c r="AG118" s="113" t="n">
        <f aca="false">Budget!M94</f>
        <v>-850</v>
      </c>
      <c r="AH118" s="113" t="str">
        <f aca="false">IF(AF118="","",AF118-AG118)</f>
        <v/>
      </c>
      <c r="AI118" s="113" t="str">
        <f aca="false">IF(OR(12&gt;$B$27,ISBLANK(Actuals!N94)),"",Actuals!N94)</f>
        <v/>
      </c>
      <c r="AJ118" s="113" t="n">
        <f aca="false">Budget!N94</f>
        <v>-850</v>
      </c>
      <c r="AK118" s="113" t="str">
        <f aca="false">IF(AI118="","",AI118-AJ118)</f>
        <v/>
      </c>
      <c r="AL118" s="116" t="n">
        <f aca="false">SUM(Actuals!$C94:INDEX(Actuals!$C94:$N94,$B$27))</f>
        <v>-3129.69</v>
      </c>
      <c r="AM118" s="116" t="n">
        <f aca="false">SUM(Budget!$C94:INDEX(Budget!$C94:$N94,$B$27))</f>
        <v>-7549.98</v>
      </c>
      <c r="AN118" s="116" t="n">
        <f aca="false">AL118-AM118</f>
        <v>4420.29</v>
      </c>
    </row>
    <row r="119" customFormat="false" ht="15" hidden="true" customHeight="true" outlineLevel="1" collapsed="false">
      <c r="A119" s="109" t="s">
        <v>129</v>
      </c>
      <c r="B119" s="113" t="n">
        <f aca="false">IF(OR(1&gt;$B$27,ISBLANK(Actuals!C95)),"",Actuals!C95)</f>
        <v>0</v>
      </c>
      <c r="C119" s="113" t="n">
        <f aca="false">Budget!C95</f>
        <v>0</v>
      </c>
      <c r="D119" s="113" t="n">
        <f aca="false">IF(B119="","",B119-C119)</f>
        <v>0</v>
      </c>
      <c r="E119" s="113" t="n">
        <f aca="false">IF(OR(2&gt;$B$27,ISBLANK(Actuals!D95)),"",Actuals!D95)</f>
        <v>-92.75</v>
      </c>
      <c r="F119" s="113" t="n">
        <f aca="false">Budget!D95</f>
        <v>0</v>
      </c>
      <c r="G119" s="113" t="n">
        <f aca="false">IF(E119="","",E119-F119)</f>
        <v>-92.75</v>
      </c>
      <c r="H119" s="113" t="n">
        <f aca="false">IF(OR(3&gt;$B$27,ISBLANK(Actuals!E95)),"",Actuals!E95)</f>
        <v>-57.46</v>
      </c>
      <c r="I119" s="113" t="n">
        <f aca="false">Budget!E95</f>
        <v>0</v>
      </c>
      <c r="J119" s="113" t="n">
        <f aca="false">IF(H119="","",H119-I119)</f>
        <v>-57.46</v>
      </c>
      <c r="K119" s="113" t="n">
        <f aca="false">IF(OR(4&gt;$B$27,ISBLANK(Actuals!F95)),"",Actuals!F95)</f>
        <v>0</v>
      </c>
      <c r="L119" s="113" t="n">
        <f aca="false">Budget!F95</f>
        <v>0</v>
      </c>
      <c r="M119" s="113" t="n">
        <f aca="false">IF(K119="","",K119-L119)</f>
        <v>0</v>
      </c>
      <c r="N119" s="113" t="n">
        <f aca="false">IF(OR(5&gt;$B$27,ISBLANK(Actuals!G95)),"",Actuals!G95)</f>
        <v>-24.3</v>
      </c>
      <c r="O119" s="113" t="n">
        <f aca="false">Budget!G95</f>
        <v>0</v>
      </c>
      <c r="P119" s="113" t="n">
        <f aca="false">IF(N119="","",N119-O119)</f>
        <v>-24.3</v>
      </c>
      <c r="Q119" s="113" t="n">
        <f aca="false">IF(OR(6&gt;$B$27,ISBLANK(Actuals!H95)),"",Actuals!H95)</f>
        <v>-917.7</v>
      </c>
      <c r="R119" s="113" t="n">
        <f aca="false">Budget!H95</f>
        <v>0</v>
      </c>
      <c r="S119" s="113" t="n">
        <f aca="false">IF(Q119="","",Q119-R119)</f>
        <v>-917.7</v>
      </c>
      <c r="T119" s="113" t="n">
        <f aca="false">IF(OR(7&gt;$B$27,ISBLANK(Actuals!I95)),"",Actuals!I95)</f>
        <v>0</v>
      </c>
      <c r="U119" s="113" t="n">
        <f aca="false">Budget!I95</f>
        <v>0</v>
      </c>
      <c r="V119" s="113" t="n">
        <f aca="false">IF(T119="","",T119-U119)</f>
        <v>0</v>
      </c>
      <c r="W119" s="113" t="n">
        <f aca="false">IF(OR(8&gt;$B$27,ISBLANK(Actuals!J95)),"",Actuals!J95)</f>
        <v>-70.35</v>
      </c>
      <c r="X119" s="113" t="n">
        <f aca="false">Budget!J95</f>
        <v>0</v>
      </c>
      <c r="Y119" s="113" t="n">
        <f aca="false">IF(W119="","",W119-X119)</f>
        <v>-70.35</v>
      </c>
      <c r="Z119" s="113" t="n">
        <f aca="false">IF(OR(9&gt;$B$27,ISBLANK(Actuals!K95)),"",Actuals!K95)</f>
        <v>-160</v>
      </c>
      <c r="AA119" s="113" t="n">
        <f aca="false">Budget!K95</f>
        <v>0</v>
      </c>
      <c r="AB119" s="113" t="n">
        <f aca="false">IF(Z119="","",Z119-AA119)</f>
        <v>-160</v>
      </c>
      <c r="AC119" s="113" t="str">
        <f aca="false">IF(OR(10&gt;$B$27,ISBLANK(Actuals!L95)),"",Actuals!L95)</f>
        <v/>
      </c>
      <c r="AD119" s="113" t="n">
        <f aca="false">Budget!L95</f>
        <v>0</v>
      </c>
      <c r="AE119" s="113" t="str">
        <f aca="false">IF(AC119="","",AC119-AD119)</f>
        <v/>
      </c>
      <c r="AF119" s="113" t="str">
        <f aca="false">IF(OR(11&gt;$B$27,ISBLANK(Actuals!M95)),"",Actuals!M95)</f>
        <v/>
      </c>
      <c r="AG119" s="113" t="n">
        <f aca="false">Budget!M95</f>
        <v>0</v>
      </c>
      <c r="AH119" s="113" t="str">
        <f aca="false">IF(AF119="","",AF119-AG119)</f>
        <v/>
      </c>
      <c r="AI119" s="113" t="str">
        <f aca="false">IF(OR(12&gt;$B$27,ISBLANK(Actuals!N95)),"",Actuals!N95)</f>
        <v/>
      </c>
      <c r="AJ119" s="113" t="n">
        <f aca="false">Budget!N95</f>
        <v>0</v>
      </c>
      <c r="AK119" s="113" t="str">
        <f aca="false">IF(AI119="","",AI119-AJ119)</f>
        <v/>
      </c>
      <c r="AL119" s="116" t="n">
        <f aca="false">SUM(Actuals!$C95:INDEX(Actuals!$C95:$N95,$B$27))</f>
        <v>-1322.56</v>
      </c>
      <c r="AM119" s="116" t="n">
        <f aca="false">SUM(Budget!$C95:INDEX(Budget!$C95:$N95,$B$27))</f>
        <v>0</v>
      </c>
      <c r="AN119" s="116" t="n">
        <f aca="false">AL119-AM119</f>
        <v>-1322.56</v>
      </c>
    </row>
    <row r="120" customFormat="false" ht="15" hidden="true" customHeight="true" outlineLevel="1" collapsed="false">
      <c r="A120" s="109" t="s">
        <v>78</v>
      </c>
      <c r="B120" s="113" t="n">
        <f aca="false">IF(OR(1&gt;$B$27,ISBLANK(Actuals!C96)),"",Actuals!C96)</f>
        <v>-640.88</v>
      </c>
      <c r="C120" s="113" t="n">
        <f aca="false">Budget!C96</f>
        <v>-3000</v>
      </c>
      <c r="D120" s="113" t="n">
        <f aca="false">IF(B120="","",B120-C120)</f>
        <v>2359.12</v>
      </c>
      <c r="E120" s="113" t="n">
        <f aca="false">IF(OR(2&gt;$B$27,ISBLANK(Actuals!D96)),"",Actuals!D96)</f>
        <v>-872.64</v>
      </c>
      <c r="F120" s="113" t="n">
        <f aca="false">Budget!D96</f>
        <v>-3000</v>
      </c>
      <c r="G120" s="113" t="n">
        <f aca="false">IF(E120="","",E120-F120)</f>
        <v>2127.36</v>
      </c>
      <c r="H120" s="113" t="n">
        <f aca="false">IF(OR(3&gt;$B$27,ISBLANK(Actuals!E96)),"",Actuals!E96)</f>
        <v>-1175.78</v>
      </c>
      <c r="I120" s="113" t="n">
        <f aca="false">Budget!E96</f>
        <v>-3000</v>
      </c>
      <c r="J120" s="113" t="n">
        <f aca="false">IF(H120="","",H120-I120)</f>
        <v>1824.22</v>
      </c>
      <c r="K120" s="113" t="n">
        <f aca="false">IF(OR(4&gt;$B$27,ISBLANK(Actuals!F96)),"",Actuals!F96)</f>
        <v>-471.38</v>
      </c>
      <c r="L120" s="113" t="n">
        <f aca="false">Budget!F96</f>
        <v>-3000</v>
      </c>
      <c r="M120" s="113" t="n">
        <f aca="false">IF(K120="","",K120-L120)</f>
        <v>2528.62</v>
      </c>
      <c r="N120" s="113" t="n">
        <f aca="false">IF(OR(5&gt;$B$27,ISBLANK(Actuals!G96)),"",Actuals!G96)</f>
        <v>-1307.57</v>
      </c>
      <c r="O120" s="113" t="n">
        <f aca="false">Budget!G96</f>
        <v>-3000</v>
      </c>
      <c r="P120" s="113" t="n">
        <f aca="false">IF(N120="","",N120-O120)</f>
        <v>1692.43</v>
      </c>
      <c r="Q120" s="113" t="n">
        <f aca="false">IF(OR(6&gt;$B$27,ISBLANK(Actuals!H96)),"",Actuals!H96)</f>
        <v>-3067.11</v>
      </c>
      <c r="R120" s="113" t="n">
        <f aca="false">Budget!H96</f>
        <v>-3000</v>
      </c>
      <c r="S120" s="113" t="n">
        <f aca="false">IF(Q120="","",Q120-R120)</f>
        <v>-67.1100000000001</v>
      </c>
      <c r="T120" s="113" t="n">
        <f aca="false">IF(OR(7&gt;$B$27,ISBLANK(Actuals!I96)),"",Actuals!I96)</f>
        <v>-131.02</v>
      </c>
      <c r="U120" s="113" t="n">
        <f aca="false">Budget!I96</f>
        <v>-3060</v>
      </c>
      <c r="V120" s="113" t="n">
        <f aca="false">IF(T120="","",T120-U120)</f>
        <v>2928.98</v>
      </c>
      <c r="W120" s="113" t="n">
        <f aca="false">IF(OR(8&gt;$B$27,ISBLANK(Actuals!J96)),"",Actuals!J96)</f>
        <v>-13.5</v>
      </c>
      <c r="X120" s="113" t="n">
        <f aca="false">Budget!J96</f>
        <v>-3060</v>
      </c>
      <c r="Y120" s="113" t="n">
        <f aca="false">IF(W120="","",W120-X120)</f>
        <v>3046.5</v>
      </c>
      <c r="Z120" s="113" t="n">
        <f aca="false">IF(OR(9&gt;$B$27,ISBLANK(Actuals!K96)),"",Actuals!K96)</f>
        <v>-1504.31</v>
      </c>
      <c r="AA120" s="113" t="n">
        <f aca="false">Budget!K96</f>
        <v>-3060</v>
      </c>
      <c r="AB120" s="113" t="n">
        <f aca="false">IF(Z120="","",Z120-AA120)</f>
        <v>1555.69</v>
      </c>
      <c r="AC120" s="113" t="str">
        <f aca="false">IF(OR(10&gt;$B$27,ISBLANK(Actuals!L96)),"",Actuals!L96)</f>
        <v/>
      </c>
      <c r="AD120" s="113" t="n">
        <f aca="false">Budget!L96</f>
        <v>-3060</v>
      </c>
      <c r="AE120" s="113" t="str">
        <f aca="false">IF(AC120="","",AC120-AD120)</f>
        <v/>
      </c>
      <c r="AF120" s="113" t="str">
        <f aca="false">IF(OR(11&gt;$B$27,ISBLANK(Actuals!M96)),"",Actuals!M96)</f>
        <v/>
      </c>
      <c r="AG120" s="113" t="n">
        <f aca="false">Budget!M96</f>
        <v>-3060</v>
      </c>
      <c r="AH120" s="113" t="str">
        <f aca="false">IF(AF120="","",AF120-AG120)</f>
        <v/>
      </c>
      <c r="AI120" s="113" t="str">
        <f aca="false">IF(OR(12&gt;$B$27,ISBLANK(Actuals!N96)),"",Actuals!N96)</f>
        <v/>
      </c>
      <c r="AJ120" s="113" t="n">
        <f aca="false">Budget!N96</f>
        <v>-3060</v>
      </c>
      <c r="AK120" s="113" t="str">
        <f aca="false">IF(AI120="","",AI120-AJ120)</f>
        <v/>
      </c>
      <c r="AL120" s="116" t="n">
        <f aca="false">SUM(Actuals!$C96:INDEX(Actuals!$C96:$N96,$B$27))</f>
        <v>-9184.19</v>
      </c>
      <c r="AM120" s="116" t="n">
        <f aca="false">SUM(Budget!$C96:INDEX(Budget!$C96:$N96,$B$27))</f>
        <v>-27180</v>
      </c>
      <c r="AN120" s="116" t="n">
        <f aca="false">AL120-AM120</f>
        <v>17995.81</v>
      </c>
      <c r="AP120" s="114" t="s">
        <v>449</v>
      </c>
    </row>
    <row r="121" customFormat="false" ht="15" hidden="true" customHeight="true" outlineLevel="1" collapsed="false">
      <c r="A121" s="109" t="s">
        <v>79</v>
      </c>
      <c r="B121" s="113" t="n">
        <f aca="false">IF(OR(1&gt;$B$27,ISBLANK(Actuals!C97)),"",Actuals!C97)</f>
        <v>0</v>
      </c>
      <c r="C121" s="113" t="n">
        <f aca="false">Budget!C97</f>
        <v>-500</v>
      </c>
      <c r="D121" s="113" t="n">
        <f aca="false">IF(B121="","",B121-C121)</f>
        <v>500</v>
      </c>
      <c r="E121" s="113" t="n">
        <f aca="false">IF(OR(2&gt;$B$27,ISBLANK(Actuals!D97)),"",Actuals!D97)</f>
        <v>0</v>
      </c>
      <c r="F121" s="113" t="n">
        <f aca="false">Budget!D97</f>
        <v>-500</v>
      </c>
      <c r="G121" s="113" t="n">
        <f aca="false">IF(E121="","",E121-F121)</f>
        <v>500</v>
      </c>
      <c r="H121" s="113" t="n">
        <f aca="false">IF(OR(3&gt;$B$27,ISBLANK(Actuals!E97)),"",Actuals!E97)</f>
        <v>-38050.5</v>
      </c>
      <c r="I121" s="113" t="n">
        <f aca="false">Budget!E97</f>
        <v>-500</v>
      </c>
      <c r="J121" s="113" t="n">
        <f aca="false">IF(H121="","",H121-I121)</f>
        <v>-37550.5</v>
      </c>
      <c r="K121" s="113" t="n">
        <f aca="false">IF(OR(4&gt;$B$27,ISBLANK(Actuals!F97)),"",Actuals!F97)</f>
        <v>0</v>
      </c>
      <c r="L121" s="113" t="n">
        <f aca="false">Budget!F97</f>
        <v>-500</v>
      </c>
      <c r="M121" s="113" t="n">
        <f aca="false">IF(K121="","",K121-L121)</f>
        <v>500</v>
      </c>
      <c r="N121" s="113" t="n">
        <f aca="false">IF(OR(5&gt;$B$27,ISBLANK(Actuals!G97)),"",Actuals!G97)</f>
        <v>-986.5</v>
      </c>
      <c r="O121" s="113" t="n">
        <f aca="false">Budget!G97</f>
        <v>-500</v>
      </c>
      <c r="P121" s="113" t="n">
        <f aca="false">IF(N121="","",N121-O121)</f>
        <v>-486.5</v>
      </c>
      <c r="Q121" s="113" t="n">
        <f aca="false">IF(OR(6&gt;$B$27,ISBLANK(Actuals!H97)),"",Actuals!H97)</f>
        <v>-4830</v>
      </c>
      <c r="R121" s="113" t="n">
        <f aca="false">Budget!H97</f>
        <v>-500</v>
      </c>
      <c r="S121" s="113" t="n">
        <f aca="false">IF(Q121="","",Q121-R121)</f>
        <v>-4330</v>
      </c>
      <c r="T121" s="113" t="n">
        <f aca="false">IF(OR(7&gt;$B$27,ISBLANK(Actuals!I97)),"",Actuals!I97)</f>
        <v>0</v>
      </c>
      <c r="U121" s="113" t="n">
        <f aca="false">Budget!I97</f>
        <v>-510</v>
      </c>
      <c r="V121" s="113" t="n">
        <f aca="false">IF(T121="","",T121-U121)</f>
        <v>510</v>
      </c>
      <c r="W121" s="113" t="n">
        <f aca="false">IF(OR(8&gt;$B$27,ISBLANK(Actuals!J97)),"",Actuals!J97)</f>
        <v>0</v>
      </c>
      <c r="X121" s="113" t="n">
        <f aca="false">Budget!J97</f>
        <v>-510</v>
      </c>
      <c r="Y121" s="113" t="n">
        <f aca="false">IF(W121="","",W121-X121)</f>
        <v>510</v>
      </c>
      <c r="Z121" s="113" t="n">
        <f aca="false">IF(OR(9&gt;$B$27,ISBLANK(Actuals!K97)),"",Actuals!K97)</f>
        <v>0</v>
      </c>
      <c r="AA121" s="113" t="n">
        <f aca="false">Budget!K97</f>
        <v>-510</v>
      </c>
      <c r="AB121" s="113" t="n">
        <f aca="false">IF(Z121="","",Z121-AA121)</f>
        <v>510</v>
      </c>
      <c r="AC121" s="113" t="str">
        <f aca="false">IF(OR(10&gt;$B$27,ISBLANK(Actuals!L97)),"",Actuals!L97)</f>
        <v/>
      </c>
      <c r="AD121" s="113" t="n">
        <f aca="false">Budget!L97</f>
        <v>-510</v>
      </c>
      <c r="AE121" s="113" t="str">
        <f aca="false">IF(AC121="","",AC121-AD121)</f>
        <v/>
      </c>
      <c r="AF121" s="113" t="str">
        <f aca="false">IF(OR(11&gt;$B$27,ISBLANK(Actuals!M97)),"",Actuals!M97)</f>
        <v/>
      </c>
      <c r="AG121" s="113" t="n">
        <f aca="false">Budget!M97</f>
        <v>-510</v>
      </c>
      <c r="AH121" s="113" t="str">
        <f aca="false">IF(AF121="","",AF121-AG121)</f>
        <v/>
      </c>
      <c r="AI121" s="113" t="str">
        <f aca="false">IF(OR(12&gt;$B$27,ISBLANK(Actuals!N97)),"",Actuals!N97)</f>
        <v/>
      </c>
      <c r="AJ121" s="113" t="n">
        <f aca="false">Budget!N97</f>
        <v>-510</v>
      </c>
      <c r="AK121" s="113" t="str">
        <f aca="false">IF(AI121="","",AI121-AJ121)</f>
        <v/>
      </c>
      <c r="AL121" s="116" t="n">
        <f aca="false">SUM(Actuals!$C97:INDEX(Actuals!$C97:$N97,$B$27))</f>
        <v>-43867</v>
      </c>
      <c r="AM121" s="116" t="n">
        <f aca="false">SUM(Budget!$C97:INDEX(Budget!$C97:$N97,$B$27))</f>
        <v>-4530</v>
      </c>
      <c r="AN121" s="116" t="n">
        <f aca="false">AL121-AM121</f>
        <v>-39337</v>
      </c>
      <c r="AP121" s="114" t="s">
        <v>450</v>
      </c>
    </row>
    <row r="122" customFormat="false" ht="15" hidden="true" customHeight="true" outlineLevel="1" collapsed="false">
      <c r="A122" s="109" t="s">
        <v>80</v>
      </c>
      <c r="B122" s="113" t="n">
        <f aca="false">IF(OR(1&gt;$B$27,ISBLANK(Actuals!C98)),"",Actuals!C98)</f>
        <v>-4097.78</v>
      </c>
      <c r="C122" s="113" t="n">
        <f aca="false">Budget!C98</f>
        <v>-5500</v>
      </c>
      <c r="D122" s="113" t="n">
        <f aca="false">IF(B122="","",B122-C122)</f>
        <v>1402.22</v>
      </c>
      <c r="E122" s="113" t="n">
        <f aca="false">IF(OR(2&gt;$B$27,ISBLANK(Actuals!D98)),"",Actuals!D98)</f>
        <v>-1950.2</v>
      </c>
      <c r="F122" s="113" t="n">
        <f aca="false">Budget!D98</f>
        <v>-5500</v>
      </c>
      <c r="G122" s="113" t="n">
        <f aca="false">IF(E122="","",E122-F122)</f>
        <v>3549.8</v>
      </c>
      <c r="H122" s="113" t="n">
        <f aca="false">IF(OR(3&gt;$B$27,ISBLANK(Actuals!E98)),"",Actuals!E98)</f>
        <v>-1978.2</v>
      </c>
      <c r="I122" s="113" t="n">
        <f aca="false">Budget!E98</f>
        <v>-5500</v>
      </c>
      <c r="J122" s="113" t="n">
        <f aca="false">IF(H122="","",H122-I122)</f>
        <v>3521.8</v>
      </c>
      <c r="K122" s="113" t="n">
        <f aca="false">IF(OR(4&gt;$B$27,ISBLANK(Actuals!F98)),"",Actuals!F98)</f>
        <v>-1970.2</v>
      </c>
      <c r="L122" s="113" t="n">
        <f aca="false">Budget!F98</f>
        <v>-5500</v>
      </c>
      <c r="M122" s="113" t="n">
        <f aca="false">IF(K122="","",K122-L122)</f>
        <v>3529.8</v>
      </c>
      <c r="N122" s="113" t="n">
        <f aca="false">IF(OR(5&gt;$B$27,ISBLANK(Actuals!G98)),"",Actuals!G98)</f>
        <v>-6126.2</v>
      </c>
      <c r="O122" s="113" t="n">
        <f aca="false">Budget!G98</f>
        <v>-5500</v>
      </c>
      <c r="P122" s="113" t="n">
        <f aca="false">IF(N122="","",N122-O122)</f>
        <v>-626.2</v>
      </c>
      <c r="Q122" s="113" t="n">
        <f aca="false">IF(OR(6&gt;$B$27,ISBLANK(Actuals!H98)),"",Actuals!H98)</f>
        <v>-1993.2</v>
      </c>
      <c r="R122" s="113" t="n">
        <f aca="false">Budget!H98</f>
        <v>-5500</v>
      </c>
      <c r="S122" s="113" t="n">
        <f aca="false">IF(Q122="","",Q122-R122)</f>
        <v>3506.8</v>
      </c>
      <c r="T122" s="113" t="n">
        <f aca="false">IF(OR(7&gt;$B$27,ISBLANK(Actuals!I98)),"",Actuals!I98)</f>
        <v>-2040.2</v>
      </c>
      <c r="U122" s="113" t="n">
        <f aca="false">Budget!I98</f>
        <v>-5610</v>
      </c>
      <c r="V122" s="113" t="n">
        <f aca="false">IF(T122="","",T122-U122)</f>
        <v>3569.8</v>
      </c>
      <c r="W122" s="113" t="n">
        <f aca="false">IF(OR(8&gt;$B$27,ISBLANK(Actuals!J98)),"",Actuals!J98)</f>
        <v>-2271.2</v>
      </c>
      <c r="X122" s="113" t="n">
        <f aca="false">Budget!J98</f>
        <v>-5610</v>
      </c>
      <c r="Y122" s="113" t="n">
        <f aca="false">IF(W122="","",W122-X122)</f>
        <v>3338.8</v>
      </c>
      <c r="Z122" s="113" t="n">
        <f aca="false">IF(OR(9&gt;$B$27,ISBLANK(Actuals!K98)),"",Actuals!K98)</f>
        <v>-21969.2</v>
      </c>
      <c r="AA122" s="113" t="n">
        <f aca="false">Budget!K98</f>
        <v>-5610</v>
      </c>
      <c r="AB122" s="113" t="n">
        <f aca="false">IF(Z122="","",Z122-AA122)</f>
        <v>-16359.2</v>
      </c>
      <c r="AC122" s="113" t="str">
        <f aca="false">IF(OR(10&gt;$B$27,ISBLANK(Actuals!L98)),"",Actuals!L98)</f>
        <v/>
      </c>
      <c r="AD122" s="113" t="n">
        <f aca="false">Budget!L98</f>
        <v>-5610</v>
      </c>
      <c r="AE122" s="113" t="str">
        <f aca="false">IF(AC122="","",AC122-AD122)</f>
        <v/>
      </c>
      <c r="AF122" s="113" t="str">
        <f aca="false">IF(OR(11&gt;$B$27,ISBLANK(Actuals!M98)),"",Actuals!M98)</f>
        <v/>
      </c>
      <c r="AG122" s="113" t="n">
        <f aca="false">Budget!M98</f>
        <v>-5610</v>
      </c>
      <c r="AH122" s="113" t="str">
        <f aca="false">IF(AF122="","",AF122-AG122)</f>
        <v/>
      </c>
      <c r="AI122" s="113" t="str">
        <f aca="false">IF(OR(12&gt;$B$27,ISBLANK(Actuals!N98)),"",Actuals!N98)</f>
        <v/>
      </c>
      <c r="AJ122" s="113" t="n">
        <f aca="false">Budget!N98</f>
        <v>-5610</v>
      </c>
      <c r="AK122" s="113" t="str">
        <f aca="false">IF(AI122="","",AI122-AJ122)</f>
        <v/>
      </c>
      <c r="AL122" s="116" t="n">
        <f aca="false">SUM(Actuals!$C98:INDEX(Actuals!$C98:$N98,$B$27))</f>
        <v>-44396.38</v>
      </c>
      <c r="AM122" s="116" t="n">
        <f aca="false">SUM(Budget!$C98:INDEX(Budget!$C98:$N98,$B$27))</f>
        <v>-49830</v>
      </c>
      <c r="AN122" s="116" t="n">
        <f aca="false">AL122-AM122</f>
        <v>5433.62</v>
      </c>
      <c r="AP122" s="114" t="s">
        <v>451</v>
      </c>
    </row>
    <row r="123" customFormat="false" ht="15" hidden="true" customHeight="true" outlineLevel="1" collapsed="false">
      <c r="A123" s="109" t="s">
        <v>81</v>
      </c>
      <c r="B123" s="113" t="n">
        <f aca="false">IF(OR(1&gt;$B$27,ISBLANK(Actuals!C99)),"",Actuals!C99)</f>
        <v>-28038</v>
      </c>
      <c r="C123" s="113" t="n">
        <f aca="false">Budget!C99</f>
        <v>-2083.33</v>
      </c>
      <c r="D123" s="113" t="n">
        <f aca="false">IF(B123="","",B123-C123)</f>
        <v>-25954.67</v>
      </c>
      <c r="E123" s="113" t="n">
        <f aca="false">IF(OR(2&gt;$B$27,ISBLANK(Actuals!D99)),"",Actuals!D99)</f>
        <v>-29387.5</v>
      </c>
      <c r="F123" s="113" t="n">
        <f aca="false">Budget!D99</f>
        <v>-2083.33</v>
      </c>
      <c r="G123" s="113" t="n">
        <f aca="false">IF(E123="","",E123-F123)</f>
        <v>-27304.17</v>
      </c>
      <c r="H123" s="113" t="n">
        <f aca="false">IF(OR(3&gt;$B$27,ISBLANK(Actuals!E99)),"",Actuals!E99)</f>
        <v>-28083</v>
      </c>
      <c r="I123" s="113" t="n">
        <f aca="false">Budget!E99</f>
        <v>-2083.33</v>
      </c>
      <c r="J123" s="113" t="n">
        <f aca="false">IF(H123="","",H123-I123)</f>
        <v>-25999.67</v>
      </c>
      <c r="K123" s="113" t="n">
        <f aca="false">IF(OR(4&gt;$B$27,ISBLANK(Actuals!F99)),"",Actuals!F99)</f>
        <v>-28083</v>
      </c>
      <c r="L123" s="113" t="n">
        <f aca="false">Budget!F99</f>
        <v>-2083.33</v>
      </c>
      <c r="M123" s="113" t="n">
        <f aca="false">IF(K123="","",K123-L123)</f>
        <v>-25999.67</v>
      </c>
      <c r="N123" s="113" t="n">
        <f aca="false">IF(OR(5&gt;$B$27,ISBLANK(Actuals!G99)),"",Actuals!G99)</f>
        <v>-69333</v>
      </c>
      <c r="O123" s="113" t="n">
        <f aca="false">Budget!G99</f>
        <v>-2083.33</v>
      </c>
      <c r="P123" s="113" t="n">
        <f aca="false">IF(N123="","",N123-O123)</f>
        <v>-67249.67</v>
      </c>
      <c r="Q123" s="113" t="n">
        <f aca="false">IF(OR(6&gt;$B$27,ISBLANK(Actuals!H99)),"",Actuals!H99)</f>
        <v>-28083</v>
      </c>
      <c r="R123" s="113" t="n">
        <f aca="false">Budget!H99</f>
        <v>-2083.33</v>
      </c>
      <c r="S123" s="113" t="n">
        <f aca="false">IF(Q123="","",Q123-R123)</f>
        <v>-25999.67</v>
      </c>
      <c r="T123" s="113" t="n">
        <f aca="false">IF(OR(7&gt;$B$27,ISBLANK(Actuals!I99)),"",Actuals!I99)</f>
        <v>-28628</v>
      </c>
      <c r="U123" s="113" t="n">
        <f aca="false">Budget!I99</f>
        <v>-2125</v>
      </c>
      <c r="V123" s="113" t="n">
        <f aca="false">IF(T123="","",T123-U123)</f>
        <v>-26503</v>
      </c>
      <c r="W123" s="113" t="n">
        <f aca="false">IF(OR(8&gt;$B$27,ISBLANK(Actuals!J99)),"",Actuals!J99)</f>
        <v>-28083</v>
      </c>
      <c r="X123" s="113" t="n">
        <f aca="false">Budget!J99</f>
        <v>-2125</v>
      </c>
      <c r="Y123" s="113" t="n">
        <f aca="false">IF(W123="","",W123-X123)</f>
        <v>-25958</v>
      </c>
      <c r="Z123" s="113" t="n">
        <f aca="false">IF(OR(9&gt;$B$27,ISBLANK(Actuals!K99)),"",Actuals!K99)</f>
        <v>-28083</v>
      </c>
      <c r="AA123" s="113" t="n">
        <f aca="false">Budget!K99</f>
        <v>-2125</v>
      </c>
      <c r="AB123" s="113" t="n">
        <f aca="false">IF(Z123="","",Z123-AA123)</f>
        <v>-25958</v>
      </c>
      <c r="AC123" s="113" t="str">
        <f aca="false">IF(OR(10&gt;$B$27,ISBLANK(Actuals!L99)),"",Actuals!L99)</f>
        <v/>
      </c>
      <c r="AD123" s="113" t="n">
        <f aca="false">Budget!L99</f>
        <v>-2125</v>
      </c>
      <c r="AE123" s="113" t="str">
        <f aca="false">IF(AC123="","",AC123-AD123)</f>
        <v/>
      </c>
      <c r="AF123" s="113" t="str">
        <f aca="false">IF(OR(11&gt;$B$27,ISBLANK(Actuals!M99)),"",Actuals!M99)</f>
        <v/>
      </c>
      <c r="AG123" s="113" t="n">
        <f aca="false">Budget!M99</f>
        <v>-2125</v>
      </c>
      <c r="AH123" s="113" t="str">
        <f aca="false">IF(AF123="","",AF123-AG123)</f>
        <v/>
      </c>
      <c r="AI123" s="113" t="str">
        <f aca="false">IF(OR(12&gt;$B$27,ISBLANK(Actuals!N99)),"",Actuals!N99)</f>
        <v/>
      </c>
      <c r="AJ123" s="113" t="n">
        <f aca="false">Budget!N99</f>
        <v>-2125</v>
      </c>
      <c r="AK123" s="113" t="str">
        <f aca="false">IF(AI123="","",AI123-AJ123)</f>
        <v/>
      </c>
      <c r="AL123" s="116" t="n">
        <f aca="false">SUM(Actuals!$C99:INDEX(Actuals!$C99:$N99,$B$27))</f>
        <v>-295801.5</v>
      </c>
      <c r="AM123" s="116" t="n">
        <f aca="false">SUM(Budget!$C99:INDEX(Budget!$C99:$N99,$B$27))</f>
        <v>-18874.98</v>
      </c>
      <c r="AN123" s="116" t="n">
        <f aca="false">AL123-AM123</f>
        <v>-276926.52</v>
      </c>
      <c r="AP123" s="114" t="s">
        <v>452</v>
      </c>
    </row>
    <row r="124" customFormat="false" ht="15" hidden="true" customHeight="true" outlineLevel="1" collapsed="false">
      <c r="A124" s="109" t="s">
        <v>130</v>
      </c>
      <c r="B124" s="113" t="n">
        <f aca="false">IF(OR(1&gt;$B$27,ISBLANK(Actuals!C100)),"",Actuals!C100)</f>
        <v>-268</v>
      </c>
      <c r="C124" s="113" t="n">
        <f aca="false">Budget!C100</f>
        <v>-500</v>
      </c>
      <c r="D124" s="113" t="n">
        <f aca="false">IF(B124="","",B124-C124)</f>
        <v>232</v>
      </c>
      <c r="E124" s="113" t="n">
        <f aca="false">IF(OR(2&gt;$B$27,ISBLANK(Actuals!D100)),"",Actuals!D100)</f>
        <v>-2088.75</v>
      </c>
      <c r="F124" s="113" t="n">
        <f aca="false">Budget!D100</f>
        <v>-500</v>
      </c>
      <c r="G124" s="113" t="n">
        <f aca="false">IF(E124="","",E124-F124)</f>
        <v>-1588.75</v>
      </c>
      <c r="H124" s="113" t="n">
        <f aca="false">IF(OR(3&gt;$B$27,ISBLANK(Actuals!E100)),"",Actuals!E100)</f>
        <v>-2401.75</v>
      </c>
      <c r="I124" s="113" t="n">
        <f aca="false">Budget!E100</f>
        <v>-500</v>
      </c>
      <c r="J124" s="113" t="n">
        <f aca="false">IF(H124="","",H124-I124)</f>
        <v>-1901.75</v>
      </c>
      <c r="K124" s="113" t="n">
        <f aca="false">IF(OR(4&gt;$B$27,ISBLANK(Actuals!F100)),"",Actuals!F100)</f>
        <v>-4209.5</v>
      </c>
      <c r="L124" s="113" t="n">
        <f aca="false">Budget!F100</f>
        <v>-500</v>
      </c>
      <c r="M124" s="113" t="n">
        <f aca="false">IF(K124="","",K124-L124)</f>
        <v>-3709.5</v>
      </c>
      <c r="N124" s="113" t="n">
        <f aca="false">IF(OR(5&gt;$B$27,ISBLANK(Actuals!G100)),"",Actuals!G100)</f>
        <v>-2377.59</v>
      </c>
      <c r="O124" s="113" t="n">
        <f aca="false">Budget!G100</f>
        <v>-500</v>
      </c>
      <c r="P124" s="113" t="n">
        <f aca="false">IF(N124="","",N124-O124)</f>
        <v>-1877.59</v>
      </c>
      <c r="Q124" s="113" t="n">
        <f aca="false">IF(OR(6&gt;$B$27,ISBLANK(Actuals!H100)),"",Actuals!H100)</f>
        <v>-16</v>
      </c>
      <c r="R124" s="113" t="n">
        <f aca="false">Budget!H100</f>
        <v>-500</v>
      </c>
      <c r="S124" s="113" t="n">
        <f aca="false">IF(Q124="","",Q124-R124)</f>
        <v>484</v>
      </c>
      <c r="T124" s="113" t="n">
        <f aca="false">IF(OR(7&gt;$B$27,ISBLANK(Actuals!I100)),"",Actuals!I100)</f>
        <v>-4592.5</v>
      </c>
      <c r="U124" s="113" t="n">
        <f aca="false">Budget!I100</f>
        <v>-510</v>
      </c>
      <c r="V124" s="113" t="n">
        <f aca="false">IF(T124="","",T124-U124)</f>
        <v>-4082.5</v>
      </c>
      <c r="W124" s="113" t="n">
        <f aca="false">IF(OR(8&gt;$B$27,ISBLANK(Actuals!J100)),"",Actuals!J100)</f>
        <v>-268</v>
      </c>
      <c r="X124" s="113" t="n">
        <f aca="false">Budget!J100</f>
        <v>-510</v>
      </c>
      <c r="Y124" s="113" t="n">
        <f aca="false">IF(W124="","",W124-X124)</f>
        <v>242</v>
      </c>
      <c r="Z124" s="113" t="n">
        <f aca="false">IF(OR(9&gt;$B$27,ISBLANK(Actuals!K100)),"",Actuals!K100)</f>
        <v>-16</v>
      </c>
      <c r="AA124" s="113" t="n">
        <f aca="false">Budget!K100</f>
        <v>-510</v>
      </c>
      <c r="AB124" s="113" t="n">
        <f aca="false">IF(Z124="","",Z124-AA124)</f>
        <v>494</v>
      </c>
      <c r="AC124" s="113" t="str">
        <f aca="false">IF(OR(10&gt;$B$27,ISBLANK(Actuals!L100)),"",Actuals!L100)</f>
        <v/>
      </c>
      <c r="AD124" s="113" t="n">
        <f aca="false">Budget!L100</f>
        <v>-510</v>
      </c>
      <c r="AE124" s="113" t="str">
        <f aca="false">IF(AC124="","",AC124-AD124)</f>
        <v/>
      </c>
      <c r="AF124" s="113" t="str">
        <f aca="false">IF(OR(11&gt;$B$27,ISBLANK(Actuals!M100)),"",Actuals!M100)</f>
        <v/>
      </c>
      <c r="AG124" s="113" t="n">
        <f aca="false">Budget!M100</f>
        <v>-510</v>
      </c>
      <c r="AH124" s="113" t="str">
        <f aca="false">IF(AF124="","",AF124-AG124)</f>
        <v/>
      </c>
      <c r="AI124" s="113" t="str">
        <f aca="false">IF(OR(12&gt;$B$27,ISBLANK(Actuals!N100)),"",Actuals!N100)</f>
        <v/>
      </c>
      <c r="AJ124" s="113" t="n">
        <f aca="false">Budget!N100</f>
        <v>-510</v>
      </c>
      <c r="AK124" s="113" t="str">
        <f aca="false">IF(AI124="","",AI124-AJ124)</f>
        <v/>
      </c>
      <c r="AL124" s="116" t="n">
        <f aca="false">SUM(Actuals!$C100:INDEX(Actuals!$C100:$N100,$B$27))</f>
        <v>-16238.09</v>
      </c>
      <c r="AM124" s="116" t="n">
        <f aca="false">SUM(Budget!$C100:INDEX(Budget!$C100:$N100,$B$27))</f>
        <v>-4530</v>
      </c>
      <c r="AN124" s="116" t="n">
        <f aca="false">AL124-AM124</f>
        <v>-11708.09</v>
      </c>
      <c r="AP124" s="114" t="s">
        <v>453</v>
      </c>
    </row>
    <row r="125" customFormat="false" ht="15" hidden="true" customHeight="true" outlineLevel="1" collapsed="false">
      <c r="A125" s="109" t="s">
        <v>131</v>
      </c>
      <c r="B125" s="113" t="n">
        <f aca="false">IF(OR(1&gt;$B$27,ISBLANK(Actuals!C101)),"",Actuals!C101)</f>
        <v>-341.83</v>
      </c>
      <c r="C125" s="113" t="n">
        <f aca="false">Budget!C101</f>
        <v>-2000</v>
      </c>
      <c r="D125" s="113" t="n">
        <f aca="false">IF(B125="","",B125-C125)</f>
        <v>1658.17</v>
      </c>
      <c r="E125" s="113" t="n">
        <f aca="false">IF(OR(2&gt;$B$27,ISBLANK(Actuals!D101)),"",Actuals!D101)</f>
        <v>-728</v>
      </c>
      <c r="F125" s="113" t="n">
        <f aca="false">Budget!D101</f>
        <v>-2000</v>
      </c>
      <c r="G125" s="113" t="n">
        <f aca="false">IF(E125="","",E125-F125)</f>
        <v>1272</v>
      </c>
      <c r="H125" s="113" t="n">
        <f aca="false">IF(OR(3&gt;$B$27,ISBLANK(Actuals!E101)),"",Actuals!E101)</f>
        <v>-15256.75</v>
      </c>
      <c r="I125" s="113" t="n">
        <f aca="false">Budget!E101</f>
        <v>-2000</v>
      </c>
      <c r="J125" s="113" t="n">
        <f aca="false">IF(H125="","",H125-I125)</f>
        <v>-13256.75</v>
      </c>
      <c r="K125" s="113" t="n">
        <f aca="false">IF(OR(4&gt;$B$27,ISBLANK(Actuals!F101)),"",Actuals!F101)</f>
        <v>-1033.41</v>
      </c>
      <c r="L125" s="113" t="n">
        <f aca="false">Budget!F101</f>
        <v>-2000</v>
      </c>
      <c r="M125" s="113" t="n">
        <f aca="false">IF(K125="","",K125-L125)</f>
        <v>966.59</v>
      </c>
      <c r="N125" s="113" t="n">
        <f aca="false">IF(OR(5&gt;$B$27,ISBLANK(Actuals!G101)),"",Actuals!G101)</f>
        <v>-3499</v>
      </c>
      <c r="O125" s="113" t="n">
        <f aca="false">Budget!G101</f>
        <v>-2000</v>
      </c>
      <c r="P125" s="113" t="n">
        <f aca="false">IF(N125="","",N125-O125)</f>
        <v>-1499</v>
      </c>
      <c r="Q125" s="113" t="n">
        <f aca="false">IF(OR(6&gt;$B$27,ISBLANK(Actuals!H101)),"",Actuals!H101)</f>
        <v>-1033.41</v>
      </c>
      <c r="R125" s="113" t="n">
        <f aca="false">Budget!H101</f>
        <v>-2000</v>
      </c>
      <c r="S125" s="113" t="n">
        <f aca="false">IF(Q125="","",Q125-R125)</f>
        <v>966.59</v>
      </c>
      <c r="T125" s="113" t="n">
        <f aca="false">IF(OR(7&gt;$B$27,ISBLANK(Actuals!I101)),"",Actuals!I101)</f>
        <v>-537.06</v>
      </c>
      <c r="U125" s="113" t="n">
        <f aca="false">Budget!I101</f>
        <v>-2040</v>
      </c>
      <c r="V125" s="113" t="n">
        <f aca="false">IF(T125="","",T125-U125)</f>
        <v>1502.94</v>
      </c>
      <c r="W125" s="113" t="n">
        <f aca="false">IF(OR(8&gt;$B$27,ISBLANK(Actuals!J101)),"",Actuals!J101)</f>
        <v>-1903.22</v>
      </c>
      <c r="X125" s="113" t="n">
        <f aca="false">Budget!J101</f>
        <v>-2040</v>
      </c>
      <c r="Y125" s="113" t="n">
        <f aca="false">IF(W125="","",W125-X125)</f>
        <v>136.78</v>
      </c>
      <c r="Z125" s="113" t="n">
        <f aca="false">IF(OR(9&gt;$B$27,ISBLANK(Actuals!K101)),"",Actuals!K101)</f>
        <v>-192</v>
      </c>
      <c r="AA125" s="113" t="n">
        <f aca="false">Budget!K101</f>
        <v>-2040</v>
      </c>
      <c r="AB125" s="113" t="n">
        <f aca="false">IF(Z125="","",Z125-AA125)</f>
        <v>1848</v>
      </c>
      <c r="AC125" s="113" t="str">
        <f aca="false">IF(OR(10&gt;$B$27,ISBLANK(Actuals!L101)),"",Actuals!L101)</f>
        <v/>
      </c>
      <c r="AD125" s="113" t="n">
        <f aca="false">Budget!L101</f>
        <v>-2040</v>
      </c>
      <c r="AE125" s="113" t="str">
        <f aca="false">IF(AC125="","",AC125-AD125)</f>
        <v/>
      </c>
      <c r="AF125" s="113" t="str">
        <f aca="false">IF(OR(11&gt;$B$27,ISBLANK(Actuals!M101)),"",Actuals!M101)</f>
        <v/>
      </c>
      <c r="AG125" s="113" t="n">
        <f aca="false">Budget!M101</f>
        <v>-2040</v>
      </c>
      <c r="AH125" s="113" t="str">
        <f aca="false">IF(AF125="","",AF125-AG125)</f>
        <v/>
      </c>
      <c r="AI125" s="113" t="str">
        <f aca="false">IF(OR(12&gt;$B$27,ISBLANK(Actuals!N101)),"",Actuals!N101)</f>
        <v/>
      </c>
      <c r="AJ125" s="113" t="n">
        <f aca="false">Budget!N101</f>
        <v>-2040</v>
      </c>
      <c r="AK125" s="113" t="str">
        <f aca="false">IF(AI125="","",AI125-AJ125)</f>
        <v/>
      </c>
      <c r="AL125" s="116" t="n">
        <f aca="false">SUM(Actuals!$C101:INDEX(Actuals!$C101:$N101,$B$27))</f>
        <v>-24524.68</v>
      </c>
      <c r="AM125" s="116" t="n">
        <f aca="false">SUM(Budget!$C101:INDEX(Budget!$C101:$N101,$B$27))</f>
        <v>-18120</v>
      </c>
      <c r="AN125" s="116" t="n">
        <f aca="false">AL125-AM125</f>
        <v>-6404.68</v>
      </c>
      <c r="AP125" s="114" t="s">
        <v>454</v>
      </c>
    </row>
    <row r="126" customFormat="false" ht="15" hidden="true" customHeight="true" outlineLevel="1" collapsed="false">
      <c r="A126" s="109" t="s">
        <v>132</v>
      </c>
      <c r="B126" s="113" t="n">
        <f aca="false">IF(OR(1&gt;$B$27,ISBLANK(Actuals!C102)),"",Actuals!C102)</f>
        <v>-1905.31</v>
      </c>
      <c r="C126" s="113" t="n">
        <f aca="false">Budget!C102</f>
        <v>-1541.67</v>
      </c>
      <c r="D126" s="113" t="n">
        <f aca="false">IF(B126="","",B126-C126)</f>
        <v>-363.64</v>
      </c>
      <c r="E126" s="113" t="n">
        <f aca="false">IF(OR(2&gt;$B$27,ISBLANK(Actuals!D102)),"",Actuals!D102)</f>
        <v>-1905.31</v>
      </c>
      <c r="F126" s="113" t="n">
        <f aca="false">Budget!D102</f>
        <v>-1541.67</v>
      </c>
      <c r="G126" s="113" t="n">
        <f aca="false">IF(E126="","",E126-F126)</f>
        <v>-363.64</v>
      </c>
      <c r="H126" s="113" t="n">
        <f aca="false">IF(OR(3&gt;$B$27,ISBLANK(Actuals!E102)),"",Actuals!E102)</f>
        <v>-1905.31</v>
      </c>
      <c r="I126" s="113" t="n">
        <f aca="false">Budget!E102</f>
        <v>-1541.67</v>
      </c>
      <c r="J126" s="113" t="n">
        <f aca="false">IF(H126="","",H126-I126)</f>
        <v>-363.64</v>
      </c>
      <c r="K126" s="113" t="n">
        <f aca="false">IF(OR(4&gt;$B$27,ISBLANK(Actuals!F102)),"",Actuals!F102)</f>
        <v>-1905.31</v>
      </c>
      <c r="L126" s="113" t="n">
        <f aca="false">Budget!F102</f>
        <v>-1541.67</v>
      </c>
      <c r="M126" s="113" t="n">
        <f aca="false">IF(K126="","",K126-L126)</f>
        <v>-363.64</v>
      </c>
      <c r="N126" s="113" t="n">
        <f aca="false">IF(OR(5&gt;$B$27,ISBLANK(Actuals!G102)),"",Actuals!G102)</f>
        <v>-1905.31</v>
      </c>
      <c r="O126" s="113" t="n">
        <f aca="false">Budget!G102</f>
        <v>-1541.67</v>
      </c>
      <c r="P126" s="113" t="n">
        <f aca="false">IF(N126="","",N126-O126)</f>
        <v>-363.64</v>
      </c>
      <c r="Q126" s="113" t="n">
        <f aca="false">IF(OR(6&gt;$B$27,ISBLANK(Actuals!H102)),"",Actuals!H102)</f>
        <v>-1905.31</v>
      </c>
      <c r="R126" s="113" t="n">
        <f aca="false">Budget!H102</f>
        <v>-1541.67</v>
      </c>
      <c r="S126" s="113" t="n">
        <f aca="false">IF(Q126="","",Q126-R126)</f>
        <v>-363.64</v>
      </c>
      <c r="T126" s="113" t="n">
        <f aca="false">IF(OR(7&gt;$B$27,ISBLANK(Actuals!I102)),"",Actuals!I102)</f>
        <v>-1905.31</v>
      </c>
      <c r="U126" s="113" t="n">
        <f aca="false">Budget!I102</f>
        <v>-1572.5</v>
      </c>
      <c r="V126" s="113" t="n">
        <f aca="false">IF(T126="","",T126-U126)</f>
        <v>-332.81</v>
      </c>
      <c r="W126" s="113" t="n">
        <f aca="false">IF(OR(8&gt;$B$27,ISBLANK(Actuals!J102)),"",Actuals!J102)</f>
        <v>-1905.31</v>
      </c>
      <c r="X126" s="113" t="n">
        <f aca="false">Budget!J102</f>
        <v>-1572.5</v>
      </c>
      <c r="Y126" s="113" t="n">
        <f aca="false">IF(W126="","",W126-X126)</f>
        <v>-332.81</v>
      </c>
      <c r="Z126" s="113" t="n">
        <f aca="false">IF(OR(9&gt;$B$27,ISBLANK(Actuals!K102)),"",Actuals!K102)</f>
        <v>-1451.67</v>
      </c>
      <c r="AA126" s="113" t="n">
        <f aca="false">Budget!K102</f>
        <v>-1572.5</v>
      </c>
      <c r="AB126" s="113" t="n">
        <f aca="false">IF(Z126="","",Z126-AA126)</f>
        <v>120.83</v>
      </c>
      <c r="AC126" s="113" t="str">
        <f aca="false">IF(OR(10&gt;$B$27,ISBLANK(Actuals!L102)),"",Actuals!L102)</f>
        <v/>
      </c>
      <c r="AD126" s="113" t="n">
        <f aca="false">Budget!L102</f>
        <v>-1572.5</v>
      </c>
      <c r="AE126" s="113" t="str">
        <f aca="false">IF(AC126="","",AC126-AD126)</f>
        <v/>
      </c>
      <c r="AF126" s="113" t="str">
        <f aca="false">IF(OR(11&gt;$B$27,ISBLANK(Actuals!M102)),"",Actuals!M102)</f>
        <v/>
      </c>
      <c r="AG126" s="113" t="n">
        <f aca="false">Budget!M102</f>
        <v>-1572.5</v>
      </c>
      <c r="AH126" s="113" t="str">
        <f aca="false">IF(AF126="","",AF126-AG126)</f>
        <v/>
      </c>
      <c r="AI126" s="113" t="str">
        <f aca="false">IF(OR(12&gt;$B$27,ISBLANK(Actuals!N102)),"",Actuals!N102)</f>
        <v/>
      </c>
      <c r="AJ126" s="113" t="n">
        <f aca="false">Budget!N102</f>
        <v>-1572.5</v>
      </c>
      <c r="AK126" s="113" t="str">
        <f aca="false">IF(AI126="","",AI126-AJ126)</f>
        <v/>
      </c>
      <c r="AL126" s="116" t="n">
        <f aca="false">SUM(Actuals!$C102:INDEX(Actuals!$C102:$N102,$B$27))</f>
        <v>-16694.15</v>
      </c>
      <c r="AM126" s="116" t="n">
        <f aca="false">SUM(Budget!$C102:INDEX(Budget!$C102:$N102,$B$27))</f>
        <v>-13967.52</v>
      </c>
      <c r="AN126" s="116" t="n">
        <f aca="false">AL126-AM126</f>
        <v>-2726.63</v>
      </c>
    </row>
    <row r="127" customFormat="false" ht="15" hidden="true" customHeight="true" outlineLevel="1" collapsed="false">
      <c r="A127" s="109" t="s">
        <v>133</v>
      </c>
      <c r="B127" s="113" t="n">
        <f aca="false">IF(OR(1&gt;$B$27,ISBLANK(Actuals!C103)),"",Actuals!C103)</f>
        <v>-2100</v>
      </c>
      <c r="C127" s="113" t="n">
        <f aca="false">Budget!C103</f>
        <v>-2100</v>
      </c>
      <c r="D127" s="113" t="n">
        <f aca="false">IF(B127="","",B127-C127)</f>
        <v>0</v>
      </c>
      <c r="E127" s="113" t="n">
        <f aca="false">IF(OR(2&gt;$B$27,ISBLANK(Actuals!D103)),"",Actuals!D103)</f>
        <v>-2100</v>
      </c>
      <c r="F127" s="113" t="n">
        <f aca="false">Budget!D103</f>
        <v>-2100</v>
      </c>
      <c r="G127" s="113" t="n">
        <f aca="false">IF(E127="","",E127-F127)</f>
        <v>0</v>
      </c>
      <c r="H127" s="113" t="n">
        <f aca="false">IF(OR(3&gt;$B$27,ISBLANK(Actuals!E103)),"",Actuals!E103)</f>
        <v>-2100</v>
      </c>
      <c r="I127" s="113" t="n">
        <f aca="false">Budget!E103</f>
        <v>-2100</v>
      </c>
      <c r="J127" s="113" t="n">
        <f aca="false">IF(H127="","",H127-I127)</f>
        <v>0</v>
      </c>
      <c r="K127" s="113" t="n">
        <f aca="false">IF(OR(4&gt;$B$27,ISBLANK(Actuals!F103)),"",Actuals!F103)</f>
        <v>-2100</v>
      </c>
      <c r="L127" s="113" t="n">
        <f aca="false">Budget!F103</f>
        <v>-2100</v>
      </c>
      <c r="M127" s="113" t="n">
        <f aca="false">IF(K127="","",K127-L127)</f>
        <v>0</v>
      </c>
      <c r="N127" s="113" t="n">
        <f aca="false">IF(OR(5&gt;$B$27,ISBLANK(Actuals!G103)),"",Actuals!G103)</f>
        <v>-2100</v>
      </c>
      <c r="O127" s="113" t="n">
        <f aca="false">Budget!G103</f>
        <v>-2100</v>
      </c>
      <c r="P127" s="113" t="n">
        <f aca="false">IF(N127="","",N127-O127)</f>
        <v>0</v>
      </c>
      <c r="Q127" s="113" t="n">
        <f aca="false">IF(OR(6&gt;$B$27,ISBLANK(Actuals!H103)),"",Actuals!H103)</f>
        <v>-2100</v>
      </c>
      <c r="R127" s="113" t="n">
        <f aca="false">Budget!H103</f>
        <v>-2100</v>
      </c>
      <c r="S127" s="113" t="n">
        <f aca="false">IF(Q127="","",Q127-R127)</f>
        <v>0</v>
      </c>
      <c r="T127" s="113" t="n">
        <f aca="false">IF(OR(7&gt;$B$27,ISBLANK(Actuals!I103)),"",Actuals!I103)</f>
        <v>-2100</v>
      </c>
      <c r="U127" s="113" t="n">
        <f aca="false">Budget!I103</f>
        <v>-2142</v>
      </c>
      <c r="V127" s="113" t="n">
        <f aca="false">IF(T127="","",T127-U127)</f>
        <v>42</v>
      </c>
      <c r="W127" s="113" t="n">
        <f aca="false">IF(OR(8&gt;$B$27,ISBLANK(Actuals!J103)),"",Actuals!J103)</f>
        <v>-2100</v>
      </c>
      <c r="X127" s="113" t="n">
        <f aca="false">Budget!J103</f>
        <v>-2142</v>
      </c>
      <c r="Y127" s="113" t="n">
        <f aca="false">IF(W127="","",W127-X127)</f>
        <v>42</v>
      </c>
      <c r="Z127" s="113" t="n">
        <f aca="false">IF(OR(9&gt;$B$27,ISBLANK(Actuals!K103)),"",Actuals!K103)</f>
        <v>-2100</v>
      </c>
      <c r="AA127" s="113" t="n">
        <f aca="false">Budget!K103</f>
        <v>-2142</v>
      </c>
      <c r="AB127" s="113" t="n">
        <f aca="false">IF(Z127="","",Z127-AA127)</f>
        <v>42</v>
      </c>
      <c r="AC127" s="113" t="str">
        <f aca="false">IF(OR(10&gt;$B$27,ISBLANK(Actuals!L103)),"",Actuals!L103)</f>
        <v/>
      </c>
      <c r="AD127" s="113" t="n">
        <f aca="false">Budget!L103</f>
        <v>-2142</v>
      </c>
      <c r="AE127" s="113" t="str">
        <f aca="false">IF(AC127="","",AC127-AD127)</f>
        <v/>
      </c>
      <c r="AF127" s="113" t="str">
        <f aca="false">IF(OR(11&gt;$B$27,ISBLANK(Actuals!M103)),"",Actuals!M103)</f>
        <v/>
      </c>
      <c r="AG127" s="113" t="n">
        <f aca="false">Budget!M103</f>
        <v>-2142</v>
      </c>
      <c r="AH127" s="113" t="str">
        <f aca="false">IF(AF127="","",AF127-AG127)</f>
        <v/>
      </c>
      <c r="AI127" s="113" t="str">
        <f aca="false">IF(OR(12&gt;$B$27,ISBLANK(Actuals!N103)),"",Actuals!N103)</f>
        <v/>
      </c>
      <c r="AJ127" s="113" t="n">
        <f aca="false">Budget!N103</f>
        <v>-2142</v>
      </c>
      <c r="AK127" s="113" t="str">
        <f aca="false">IF(AI127="","",AI127-AJ127)</f>
        <v/>
      </c>
      <c r="AL127" s="116" t="n">
        <f aca="false">SUM(Actuals!$C103:INDEX(Actuals!$C103:$N103,$B$27))</f>
        <v>-18900</v>
      </c>
      <c r="AM127" s="116" t="n">
        <f aca="false">SUM(Budget!$C103:INDEX(Budget!$C103:$N103,$B$27))</f>
        <v>-19026</v>
      </c>
      <c r="AN127" s="116" t="n">
        <f aca="false">AL127-AM127</f>
        <v>126</v>
      </c>
    </row>
    <row r="128" customFormat="false" ht="15" hidden="true" customHeight="true" outlineLevel="1" collapsed="false">
      <c r="A128" s="109" t="s">
        <v>84</v>
      </c>
      <c r="B128" s="113" t="n">
        <f aca="false">IF(OR(1&gt;$B$27,ISBLANK(Actuals!C104)),"",Actuals!C104)</f>
        <v>-66666.66</v>
      </c>
      <c r="C128" s="113" t="n">
        <f aca="false">Budget!C104</f>
        <v>0</v>
      </c>
      <c r="D128" s="113" t="n">
        <f aca="false">IF(B128="","",B128-C128)</f>
        <v>-66666.66</v>
      </c>
      <c r="E128" s="113" t="n">
        <f aca="false">IF(OR(2&gt;$B$27,ISBLANK(Actuals!D104)),"",Actuals!D104)</f>
        <v>-66666.66</v>
      </c>
      <c r="F128" s="113" t="n">
        <f aca="false">Budget!D104</f>
        <v>0</v>
      </c>
      <c r="G128" s="113" t="n">
        <f aca="false">IF(E128="","",E128-F128)</f>
        <v>-66666.66</v>
      </c>
      <c r="H128" s="113" t="n">
        <f aca="false">IF(OR(3&gt;$B$27,ISBLANK(Actuals!E104)),"",Actuals!E104)</f>
        <v>-66666.66</v>
      </c>
      <c r="I128" s="113" t="n">
        <f aca="false">Budget!E104</f>
        <v>0</v>
      </c>
      <c r="J128" s="113" t="n">
        <f aca="false">IF(H128="","",H128-I128)</f>
        <v>-66666.66</v>
      </c>
      <c r="K128" s="113" t="n">
        <f aca="false">IF(OR(4&gt;$B$27,ISBLANK(Actuals!F104)),"",Actuals!F104)</f>
        <v>-66666.66</v>
      </c>
      <c r="L128" s="113" t="n">
        <f aca="false">Budget!F104</f>
        <v>0</v>
      </c>
      <c r="M128" s="113" t="n">
        <f aca="false">IF(K128="","",K128-L128)</f>
        <v>-66666.66</v>
      </c>
      <c r="N128" s="113" t="n">
        <f aca="false">IF(OR(5&gt;$B$27,ISBLANK(Actuals!G104)),"",Actuals!G104)</f>
        <v>-66666.66</v>
      </c>
      <c r="O128" s="113" t="n">
        <f aca="false">Budget!G104</f>
        <v>0</v>
      </c>
      <c r="P128" s="113" t="n">
        <f aca="false">IF(N128="","",N128-O128)</f>
        <v>-66666.66</v>
      </c>
      <c r="Q128" s="113" t="n">
        <f aca="false">IF(OR(6&gt;$B$27,ISBLANK(Actuals!H104)),"",Actuals!H104)</f>
        <v>-66666.66</v>
      </c>
      <c r="R128" s="113" t="n">
        <f aca="false">Budget!H104</f>
        <v>0</v>
      </c>
      <c r="S128" s="113" t="n">
        <f aca="false">IF(Q128="","",Q128-R128)</f>
        <v>-66666.66</v>
      </c>
      <c r="T128" s="113" t="n">
        <f aca="false">IF(OR(7&gt;$B$27,ISBLANK(Actuals!I104)),"",Actuals!I104)</f>
        <v>-66666.66</v>
      </c>
      <c r="U128" s="113" t="n">
        <f aca="false">Budget!I104</f>
        <v>0</v>
      </c>
      <c r="V128" s="113" t="n">
        <f aca="false">IF(T128="","",T128-U128)</f>
        <v>-66666.66</v>
      </c>
      <c r="W128" s="113" t="n">
        <f aca="false">IF(OR(8&gt;$B$27,ISBLANK(Actuals!J104)),"",Actuals!J104)</f>
        <v>-66666.66</v>
      </c>
      <c r="X128" s="113" t="n">
        <f aca="false">Budget!J104</f>
        <v>0</v>
      </c>
      <c r="Y128" s="113" t="n">
        <f aca="false">IF(W128="","",W128-X128)</f>
        <v>-66666.66</v>
      </c>
      <c r="Z128" s="113" t="n">
        <f aca="false">IF(OR(9&gt;$B$27,ISBLANK(Actuals!K104)),"",Actuals!K104)</f>
        <v>-66666.66</v>
      </c>
      <c r="AA128" s="113" t="n">
        <f aca="false">Budget!K104</f>
        <v>0</v>
      </c>
      <c r="AB128" s="113" t="n">
        <f aca="false">IF(Z128="","",Z128-AA128)</f>
        <v>-66666.66</v>
      </c>
      <c r="AC128" s="113" t="str">
        <f aca="false">IF(OR(10&gt;$B$27,ISBLANK(Actuals!L104)),"",Actuals!L104)</f>
        <v/>
      </c>
      <c r="AD128" s="113" t="n">
        <f aca="false">Budget!L104</f>
        <v>0</v>
      </c>
      <c r="AE128" s="113" t="str">
        <f aca="false">IF(AC128="","",AC128-AD128)</f>
        <v/>
      </c>
      <c r="AF128" s="113" t="str">
        <f aca="false">IF(OR(11&gt;$B$27,ISBLANK(Actuals!M104)),"",Actuals!M104)</f>
        <v/>
      </c>
      <c r="AG128" s="113" t="n">
        <f aca="false">Budget!M104</f>
        <v>0</v>
      </c>
      <c r="AH128" s="113" t="str">
        <f aca="false">IF(AF128="","",AF128-AG128)</f>
        <v/>
      </c>
      <c r="AI128" s="113" t="str">
        <f aca="false">IF(OR(12&gt;$B$27,ISBLANK(Actuals!N104)),"",Actuals!N104)</f>
        <v/>
      </c>
      <c r="AJ128" s="113" t="n">
        <f aca="false">Budget!N104</f>
        <v>0</v>
      </c>
      <c r="AK128" s="113" t="str">
        <f aca="false">IF(AI128="","",AI128-AJ128)</f>
        <v/>
      </c>
      <c r="AL128" s="116" t="n">
        <f aca="false">SUM(Actuals!$C104:INDEX(Actuals!$C104:$N104,$B$27))</f>
        <v>-599999.94</v>
      </c>
      <c r="AM128" s="116" t="n">
        <f aca="false">SUM(Budget!$C104:INDEX(Budget!$C104:$N104,$B$27))</f>
        <v>0</v>
      </c>
      <c r="AN128" s="116" t="n">
        <f aca="false">AL128-AM128</f>
        <v>-599999.94</v>
      </c>
      <c r="AP128" s="114" t="s">
        <v>455</v>
      </c>
    </row>
    <row r="129" customFormat="false" ht="15" hidden="true" customHeight="true" outlineLevel="1" collapsed="false">
      <c r="A129" s="109" t="s">
        <v>92</v>
      </c>
      <c r="B129" s="113" t="n">
        <f aca="false">IF(OR(1&gt;$B$27,ISBLANK(Actuals!C105)),"",Actuals!C105)</f>
        <v>-6935.84</v>
      </c>
      <c r="C129" s="113" t="n">
        <f aca="false">Budget!C105</f>
        <v>0</v>
      </c>
      <c r="D129" s="113" t="n">
        <f aca="false">IF(B129="","",B129-C129)</f>
        <v>-6935.84</v>
      </c>
      <c r="E129" s="113" t="n">
        <f aca="false">IF(OR(2&gt;$B$27,ISBLANK(Actuals!D105)),"",Actuals!D105)</f>
        <v>-2799.88</v>
      </c>
      <c r="F129" s="113" t="n">
        <f aca="false">Budget!D105</f>
        <v>0</v>
      </c>
      <c r="G129" s="113" t="n">
        <f aca="false">IF(E129="","",E129-F129)</f>
        <v>-2799.88</v>
      </c>
      <c r="H129" s="113" t="n">
        <f aca="false">IF(OR(3&gt;$B$27,ISBLANK(Actuals!E105)),"",Actuals!E105)</f>
        <v>-12899.88</v>
      </c>
      <c r="I129" s="113" t="n">
        <f aca="false">Budget!E105</f>
        <v>0</v>
      </c>
      <c r="J129" s="113" t="n">
        <f aca="false">IF(H129="","",H129-I129)</f>
        <v>-12899.88</v>
      </c>
      <c r="K129" s="113" t="n">
        <f aca="false">IF(OR(4&gt;$B$27,ISBLANK(Actuals!F105)),"",Actuals!F105)</f>
        <v>-2932.88</v>
      </c>
      <c r="L129" s="113" t="n">
        <f aca="false">Budget!F105</f>
        <v>0</v>
      </c>
      <c r="M129" s="113" t="n">
        <f aca="false">IF(K129="","",K129-L129)</f>
        <v>-2932.88</v>
      </c>
      <c r="N129" s="113" t="n">
        <f aca="false">IF(OR(5&gt;$B$27,ISBLANK(Actuals!G105)),"",Actuals!G105)</f>
        <v>-5474.88</v>
      </c>
      <c r="O129" s="113" t="n">
        <f aca="false">Budget!G105</f>
        <v>0</v>
      </c>
      <c r="P129" s="113" t="n">
        <f aca="false">IF(N129="","",N129-O129)</f>
        <v>-5474.88</v>
      </c>
      <c r="Q129" s="113" t="n">
        <f aca="false">IF(OR(6&gt;$B$27,ISBLANK(Actuals!H105)),"",Actuals!H105)</f>
        <v>-5</v>
      </c>
      <c r="R129" s="113" t="n">
        <f aca="false">Budget!H105</f>
        <v>0</v>
      </c>
      <c r="S129" s="113" t="n">
        <f aca="false">IF(Q129="","",Q129-R129)</f>
        <v>-5</v>
      </c>
      <c r="T129" s="113" t="n">
        <f aca="false">IF(OR(7&gt;$B$27,ISBLANK(Actuals!I105)),"",Actuals!I105)</f>
        <v>-255</v>
      </c>
      <c r="U129" s="113" t="n">
        <f aca="false">Budget!I105</f>
        <v>0</v>
      </c>
      <c r="V129" s="113" t="n">
        <f aca="false">IF(T129="","",T129-U129)</f>
        <v>-255</v>
      </c>
      <c r="W129" s="113" t="n">
        <f aca="false">IF(OR(8&gt;$B$27,ISBLANK(Actuals!J105)),"",Actuals!J105)</f>
        <v>4520.8</v>
      </c>
      <c r="X129" s="113" t="n">
        <f aca="false">Budget!J105</f>
        <v>0</v>
      </c>
      <c r="Y129" s="113" t="n">
        <f aca="false">IF(W129="","",W129-X129)</f>
        <v>4520.8</v>
      </c>
      <c r="Z129" s="113" t="n">
        <f aca="false">IF(OR(9&gt;$B$27,ISBLANK(Actuals!K105)),"",Actuals!K105)</f>
        <v>-5476.82</v>
      </c>
      <c r="AA129" s="113" t="n">
        <f aca="false">Budget!K105</f>
        <v>0</v>
      </c>
      <c r="AB129" s="113" t="n">
        <f aca="false">IF(Z129="","",Z129-AA129)</f>
        <v>-5476.82</v>
      </c>
      <c r="AC129" s="113" t="str">
        <f aca="false">IF(OR(10&gt;$B$27,ISBLANK(Actuals!L105)),"",Actuals!L105)</f>
        <v/>
      </c>
      <c r="AD129" s="113" t="n">
        <f aca="false">Budget!L105</f>
        <v>0</v>
      </c>
      <c r="AE129" s="113" t="str">
        <f aca="false">IF(AC129="","",AC129-AD129)</f>
        <v/>
      </c>
      <c r="AF129" s="113" t="str">
        <f aca="false">IF(OR(11&gt;$B$27,ISBLANK(Actuals!M105)),"",Actuals!M105)</f>
        <v/>
      </c>
      <c r="AG129" s="113" t="n">
        <f aca="false">Budget!M105</f>
        <v>0</v>
      </c>
      <c r="AH129" s="113" t="str">
        <f aca="false">IF(AF129="","",AF129-AG129)</f>
        <v/>
      </c>
      <c r="AI129" s="113" t="str">
        <f aca="false">IF(OR(12&gt;$B$27,ISBLANK(Actuals!N105)),"",Actuals!N105)</f>
        <v/>
      </c>
      <c r="AJ129" s="113" t="n">
        <f aca="false">Budget!N105</f>
        <v>0</v>
      </c>
      <c r="AK129" s="113" t="str">
        <f aca="false">IF(AI129="","",AI129-AJ129)</f>
        <v/>
      </c>
      <c r="AL129" s="116" t="n">
        <f aca="false">SUM(Actuals!$C105:INDEX(Actuals!$C105:$N105,$B$27))</f>
        <v>-32259.38</v>
      </c>
      <c r="AM129" s="116" t="n">
        <f aca="false">SUM(Budget!$C105:INDEX(Budget!$C105:$N105,$B$27))</f>
        <v>0</v>
      </c>
      <c r="AN129" s="116" t="n">
        <f aca="false">AL129-AM129</f>
        <v>-32259.38</v>
      </c>
      <c r="AP129" s="114" t="s">
        <v>456</v>
      </c>
    </row>
    <row r="130" customFormat="false" ht="15" hidden="true" customHeight="true" outlineLevel="1" collapsed="false">
      <c r="A130" s="109" t="s">
        <v>93</v>
      </c>
      <c r="B130" s="113" t="n">
        <f aca="false">IF(OR(1&gt;$B$27,ISBLANK(Actuals!C106)),"",Actuals!C106)</f>
        <v>-658.14</v>
      </c>
      <c r="C130" s="113" t="n">
        <f aca="false">Budget!C106</f>
        <v>-500</v>
      </c>
      <c r="D130" s="113" t="n">
        <f aca="false">IF(B130="","",B130-C130)</f>
        <v>-158.14</v>
      </c>
      <c r="E130" s="113" t="n">
        <f aca="false">IF(OR(2&gt;$B$27,ISBLANK(Actuals!D106)),"",Actuals!D106)</f>
        <v>-310</v>
      </c>
      <c r="F130" s="113" t="n">
        <f aca="false">Budget!D106</f>
        <v>-500</v>
      </c>
      <c r="G130" s="113" t="n">
        <f aca="false">IF(E130="","",E130-F130)</f>
        <v>190</v>
      </c>
      <c r="H130" s="113" t="n">
        <f aca="false">IF(OR(3&gt;$B$27,ISBLANK(Actuals!E106)),"",Actuals!E106)</f>
        <v>-371.74</v>
      </c>
      <c r="I130" s="113" t="n">
        <f aca="false">Budget!E106</f>
        <v>-500</v>
      </c>
      <c r="J130" s="113" t="n">
        <f aca="false">IF(H130="","",H130-I130)</f>
        <v>128.26</v>
      </c>
      <c r="K130" s="113" t="n">
        <f aca="false">IF(OR(4&gt;$B$27,ISBLANK(Actuals!F106)),"",Actuals!F106)</f>
        <v>-857.33</v>
      </c>
      <c r="L130" s="113" t="n">
        <f aca="false">Budget!F106</f>
        <v>-500</v>
      </c>
      <c r="M130" s="113" t="n">
        <f aca="false">IF(K130="","",K130-L130)</f>
        <v>-357.33</v>
      </c>
      <c r="N130" s="113" t="n">
        <f aca="false">IF(OR(5&gt;$B$27,ISBLANK(Actuals!G106)),"",Actuals!G106)</f>
        <v>-305</v>
      </c>
      <c r="O130" s="113" t="n">
        <f aca="false">Budget!G106</f>
        <v>-500</v>
      </c>
      <c r="P130" s="113" t="n">
        <f aca="false">IF(N130="","",N130-O130)</f>
        <v>195</v>
      </c>
      <c r="Q130" s="113" t="n">
        <f aca="false">IF(OR(6&gt;$B$27,ISBLANK(Actuals!H106)),"",Actuals!H106)</f>
        <v>-352.5</v>
      </c>
      <c r="R130" s="113" t="n">
        <f aca="false">Budget!H106</f>
        <v>-500</v>
      </c>
      <c r="S130" s="113" t="n">
        <f aca="false">IF(Q130="","",Q130-R130)</f>
        <v>147.5</v>
      </c>
      <c r="T130" s="113" t="n">
        <f aca="false">IF(OR(7&gt;$B$27,ISBLANK(Actuals!I106)),"",Actuals!I106)</f>
        <v>-204</v>
      </c>
      <c r="U130" s="113" t="n">
        <f aca="false">Budget!I106</f>
        <v>-510</v>
      </c>
      <c r="V130" s="113" t="n">
        <f aca="false">IF(T130="","",T130-U130)</f>
        <v>306</v>
      </c>
      <c r="W130" s="113" t="n">
        <f aca="false">IF(OR(8&gt;$B$27,ISBLANK(Actuals!J106)),"",Actuals!J106)</f>
        <v>-1477.65</v>
      </c>
      <c r="X130" s="113" t="n">
        <f aca="false">Budget!J106</f>
        <v>-510</v>
      </c>
      <c r="Y130" s="113" t="n">
        <f aca="false">IF(W130="","",W130-X130)</f>
        <v>-967.65</v>
      </c>
      <c r="Z130" s="113" t="n">
        <f aca="false">IF(OR(9&gt;$B$27,ISBLANK(Actuals!K106)),"",Actuals!K106)</f>
        <v>-1132.51</v>
      </c>
      <c r="AA130" s="113" t="n">
        <f aca="false">Budget!K106</f>
        <v>-510</v>
      </c>
      <c r="AB130" s="113" t="n">
        <f aca="false">IF(Z130="","",Z130-AA130)</f>
        <v>-622.51</v>
      </c>
      <c r="AC130" s="113" t="str">
        <f aca="false">IF(OR(10&gt;$B$27,ISBLANK(Actuals!L106)),"",Actuals!L106)</f>
        <v/>
      </c>
      <c r="AD130" s="113" t="n">
        <f aca="false">Budget!L106</f>
        <v>-510</v>
      </c>
      <c r="AE130" s="113" t="str">
        <f aca="false">IF(AC130="","",AC130-AD130)</f>
        <v/>
      </c>
      <c r="AF130" s="113" t="str">
        <f aca="false">IF(OR(11&gt;$B$27,ISBLANK(Actuals!M106)),"",Actuals!M106)</f>
        <v/>
      </c>
      <c r="AG130" s="113" t="n">
        <f aca="false">Budget!M106</f>
        <v>-510</v>
      </c>
      <c r="AH130" s="113" t="str">
        <f aca="false">IF(AF130="","",AF130-AG130)</f>
        <v/>
      </c>
      <c r="AI130" s="113" t="str">
        <f aca="false">IF(OR(12&gt;$B$27,ISBLANK(Actuals!N106)),"",Actuals!N106)</f>
        <v/>
      </c>
      <c r="AJ130" s="113" t="n">
        <f aca="false">Budget!N106</f>
        <v>-510</v>
      </c>
      <c r="AK130" s="113" t="str">
        <f aca="false">IF(AI130="","",AI130-AJ130)</f>
        <v/>
      </c>
      <c r="AL130" s="116" t="n">
        <f aca="false">SUM(Actuals!$C106:INDEX(Actuals!$C106:$N106,$B$27))</f>
        <v>-5668.87</v>
      </c>
      <c r="AM130" s="116" t="n">
        <f aca="false">SUM(Budget!$C106:INDEX(Budget!$C106:$N106,$B$27))</f>
        <v>-4530</v>
      </c>
      <c r="AN130" s="116" t="n">
        <f aca="false">AL130-AM130</f>
        <v>-1138.87</v>
      </c>
    </row>
    <row r="131" customFormat="false" ht="15" hidden="true" customHeight="true" outlineLevel="1" collapsed="false">
      <c r="A131" s="109" t="s">
        <v>134</v>
      </c>
      <c r="B131" s="113" t="str">
        <f aca="false">IF(OR(1&gt;$B$27,ISBLANK(Actuals!C107)),"",Actuals!C107)</f>
        <v/>
      </c>
      <c r="C131" s="113" t="n">
        <f aca="false">Budget!C107</f>
        <v>0</v>
      </c>
      <c r="D131" s="113" t="str">
        <f aca="false">IF(B131="","",B131-C131)</f>
        <v/>
      </c>
      <c r="E131" s="113" t="str">
        <f aca="false">IF(OR(2&gt;$B$27,ISBLANK(Actuals!D107)),"",Actuals!D107)</f>
        <v/>
      </c>
      <c r="F131" s="113" t="n">
        <f aca="false">Budget!D107</f>
        <v>0</v>
      </c>
      <c r="G131" s="113" t="str">
        <f aca="false">IF(E131="","",E131-F131)</f>
        <v/>
      </c>
      <c r="H131" s="113" t="str">
        <f aca="false">IF(OR(3&gt;$B$27,ISBLANK(Actuals!E107)),"",Actuals!E107)</f>
        <v/>
      </c>
      <c r="I131" s="113" t="n">
        <f aca="false">Budget!E107</f>
        <v>0</v>
      </c>
      <c r="J131" s="113" t="str">
        <f aca="false">IF(H131="","",H131-I131)</f>
        <v/>
      </c>
      <c r="K131" s="113" t="str">
        <f aca="false">IF(OR(4&gt;$B$27,ISBLANK(Actuals!F107)),"",Actuals!F107)</f>
        <v/>
      </c>
      <c r="L131" s="113" t="n">
        <f aca="false">Budget!F107</f>
        <v>0</v>
      </c>
      <c r="M131" s="113" t="str">
        <f aca="false">IF(K131="","",K131-L131)</f>
        <v/>
      </c>
      <c r="N131" s="113" t="str">
        <f aca="false">IF(OR(5&gt;$B$27,ISBLANK(Actuals!G107)),"",Actuals!G107)</f>
        <v/>
      </c>
      <c r="O131" s="113" t="n">
        <f aca="false">Budget!G107</f>
        <v>0</v>
      </c>
      <c r="P131" s="113" t="str">
        <f aca="false">IF(N131="","",N131-O131)</f>
        <v/>
      </c>
      <c r="Q131" s="113" t="str">
        <f aca="false">IF(OR(6&gt;$B$27,ISBLANK(Actuals!H107)),"",Actuals!H107)</f>
        <v/>
      </c>
      <c r="R131" s="113" t="n">
        <f aca="false">Budget!H107</f>
        <v>0</v>
      </c>
      <c r="S131" s="113" t="str">
        <f aca="false">IF(Q131="","",Q131-R131)</f>
        <v/>
      </c>
      <c r="T131" s="113" t="str">
        <f aca="false">IF(OR(7&gt;$B$27,ISBLANK(Actuals!I107)),"",Actuals!I107)</f>
        <v/>
      </c>
      <c r="U131" s="113" t="n">
        <f aca="false">Budget!I107</f>
        <v>0</v>
      </c>
      <c r="V131" s="113" t="str">
        <f aca="false">IF(T131="","",T131-U131)</f>
        <v/>
      </c>
      <c r="W131" s="113" t="str">
        <f aca="false">IF(OR(8&gt;$B$27,ISBLANK(Actuals!J107)),"",Actuals!J107)</f>
        <v/>
      </c>
      <c r="X131" s="113" t="n">
        <f aca="false">Budget!J107</f>
        <v>0</v>
      </c>
      <c r="Y131" s="113" t="str">
        <f aca="false">IF(W131="","",W131-X131)</f>
        <v/>
      </c>
      <c r="Z131" s="113" t="str">
        <f aca="false">IF(OR(9&gt;$B$27,ISBLANK(Actuals!K107)),"",Actuals!K107)</f>
        <v/>
      </c>
      <c r="AA131" s="113" t="n">
        <f aca="false">Budget!K107</f>
        <v>0</v>
      </c>
      <c r="AB131" s="113" t="str">
        <f aca="false">IF(Z131="","",Z131-AA131)</f>
        <v/>
      </c>
      <c r="AC131" s="113" t="str">
        <f aca="false">IF(OR(10&gt;$B$27,ISBLANK(Actuals!L107)),"",Actuals!L107)</f>
        <v/>
      </c>
      <c r="AD131" s="113" t="n">
        <f aca="false">Budget!L107</f>
        <v>0</v>
      </c>
      <c r="AE131" s="113" t="str">
        <f aca="false">IF(AC131="","",AC131-AD131)</f>
        <v/>
      </c>
      <c r="AF131" s="113" t="str">
        <f aca="false">IF(OR(11&gt;$B$27,ISBLANK(Actuals!M107)),"",Actuals!M107)</f>
        <v/>
      </c>
      <c r="AG131" s="113" t="n">
        <f aca="false">Budget!M107</f>
        <v>0</v>
      </c>
      <c r="AH131" s="113" t="str">
        <f aca="false">IF(AF131="","",AF131-AG131)</f>
        <v/>
      </c>
      <c r="AI131" s="113" t="str">
        <f aca="false">IF(OR(12&gt;$B$27,ISBLANK(Actuals!N107)),"",Actuals!N107)</f>
        <v/>
      </c>
      <c r="AJ131" s="113" t="n">
        <f aca="false">Budget!N107</f>
        <v>0</v>
      </c>
      <c r="AK131" s="113" t="str">
        <f aca="false">IF(AI131="","",AI131-AJ131)</f>
        <v/>
      </c>
      <c r="AL131" s="116" t="n">
        <f aca="false">SUM(Actuals!$C107:INDEX(Actuals!$C107:$N107,$B$27))</f>
        <v>0</v>
      </c>
      <c r="AM131" s="116" t="n">
        <f aca="false">SUM(Budget!$C107:INDEX(Budget!$C107:$N107,$B$27))</f>
        <v>0</v>
      </c>
      <c r="AN131" s="116" t="n">
        <f aca="false">AL131-AM131</f>
        <v>0</v>
      </c>
    </row>
    <row r="132" customFormat="false" ht="15" hidden="true" customHeight="true" outlineLevel="1" collapsed="false">
      <c r="A132" s="109" t="s">
        <v>135</v>
      </c>
      <c r="B132" s="113" t="str">
        <f aca="false">IF(OR(1&gt;$B$27,ISBLANK(Actuals!C108)),"",Actuals!C108)</f>
        <v/>
      </c>
      <c r="C132" s="113" t="n">
        <f aca="false">Budget!C108</f>
        <v>0</v>
      </c>
      <c r="D132" s="113" t="str">
        <f aca="false">IF(B132="","",B132-C132)</f>
        <v/>
      </c>
      <c r="E132" s="113" t="str">
        <f aca="false">IF(OR(2&gt;$B$27,ISBLANK(Actuals!D108)),"",Actuals!D108)</f>
        <v/>
      </c>
      <c r="F132" s="113" t="n">
        <f aca="false">Budget!D108</f>
        <v>0</v>
      </c>
      <c r="G132" s="113" t="str">
        <f aca="false">IF(E132="","",E132-F132)</f>
        <v/>
      </c>
      <c r="H132" s="113" t="str">
        <f aca="false">IF(OR(3&gt;$B$27,ISBLANK(Actuals!E108)),"",Actuals!E108)</f>
        <v/>
      </c>
      <c r="I132" s="113" t="n">
        <f aca="false">Budget!E108</f>
        <v>0</v>
      </c>
      <c r="J132" s="113" t="str">
        <f aca="false">IF(H132="","",H132-I132)</f>
        <v/>
      </c>
      <c r="K132" s="113" t="str">
        <f aca="false">IF(OR(4&gt;$B$27,ISBLANK(Actuals!F108)),"",Actuals!F108)</f>
        <v/>
      </c>
      <c r="L132" s="113" t="n">
        <f aca="false">Budget!F108</f>
        <v>0</v>
      </c>
      <c r="M132" s="113" t="str">
        <f aca="false">IF(K132="","",K132-L132)</f>
        <v/>
      </c>
      <c r="N132" s="113" t="str">
        <f aca="false">IF(OR(5&gt;$B$27,ISBLANK(Actuals!G108)),"",Actuals!G108)</f>
        <v/>
      </c>
      <c r="O132" s="113" t="n">
        <f aca="false">Budget!G108</f>
        <v>0</v>
      </c>
      <c r="P132" s="113" t="str">
        <f aca="false">IF(N132="","",N132-O132)</f>
        <v/>
      </c>
      <c r="Q132" s="113" t="str">
        <f aca="false">IF(OR(6&gt;$B$27,ISBLANK(Actuals!H108)),"",Actuals!H108)</f>
        <v/>
      </c>
      <c r="R132" s="113" t="n">
        <f aca="false">Budget!H108</f>
        <v>0</v>
      </c>
      <c r="S132" s="113" t="str">
        <f aca="false">IF(Q132="","",Q132-R132)</f>
        <v/>
      </c>
      <c r="T132" s="113" t="str">
        <f aca="false">IF(OR(7&gt;$B$27,ISBLANK(Actuals!I108)),"",Actuals!I108)</f>
        <v/>
      </c>
      <c r="U132" s="113" t="n">
        <f aca="false">Budget!I108</f>
        <v>0</v>
      </c>
      <c r="V132" s="113" t="str">
        <f aca="false">IF(T132="","",T132-U132)</f>
        <v/>
      </c>
      <c r="W132" s="113" t="str">
        <f aca="false">IF(OR(8&gt;$B$27,ISBLANK(Actuals!J108)),"",Actuals!J108)</f>
        <v/>
      </c>
      <c r="X132" s="113" t="n">
        <f aca="false">Budget!J108</f>
        <v>0</v>
      </c>
      <c r="Y132" s="113" t="str">
        <f aca="false">IF(W132="","",W132-X132)</f>
        <v/>
      </c>
      <c r="Z132" s="113" t="str">
        <f aca="false">IF(OR(9&gt;$B$27,ISBLANK(Actuals!K108)),"",Actuals!K108)</f>
        <v/>
      </c>
      <c r="AA132" s="113" t="n">
        <f aca="false">Budget!K108</f>
        <v>0</v>
      </c>
      <c r="AB132" s="113" t="str">
        <f aca="false">IF(Z132="","",Z132-AA132)</f>
        <v/>
      </c>
      <c r="AC132" s="113" t="str">
        <f aca="false">IF(OR(10&gt;$B$27,ISBLANK(Actuals!L108)),"",Actuals!L108)</f>
        <v/>
      </c>
      <c r="AD132" s="113" t="n">
        <f aca="false">Budget!L108</f>
        <v>0</v>
      </c>
      <c r="AE132" s="113" t="str">
        <f aca="false">IF(AC132="","",AC132-AD132)</f>
        <v/>
      </c>
      <c r="AF132" s="113" t="str">
        <f aca="false">IF(OR(11&gt;$B$27,ISBLANK(Actuals!M108)),"",Actuals!M108)</f>
        <v/>
      </c>
      <c r="AG132" s="113" t="n">
        <f aca="false">Budget!M108</f>
        <v>0</v>
      </c>
      <c r="AH132" s="113" t="str">
        <f aca="false">IF(AF132="","",AF132-AG132)</f>
        <v/>
      </c>
      <c r="AI132" s="113" t="str">
        <f aca="false">IF(OR(12&gt;$B$27,ISBLANK(Actuals!N108)),"",Actuals!N108)</f>
        <v/>
      </c>
      <c r="AJ132" s="113" t="n">
        <f aca="false">Budget!N108</f>
        <v>0</v>
      </c>
      <c r="AK132" s="113" t="str">
        <f aca="false">IF(AI132="","",AI132-AJ132)</f>
        <v/>
      </c>
      <c r="AL132" s="116" t="n">
        <f aca="false">SUM(Actuals!$C108:INDEX(Actuals!$C108:$N108,$B$27))</f>
        <v>0</v>
      </c>
      <c r="AM132" s="116" t="n">
        <f aca="false">SUM(Budget!$C108:INDEX(Budget!$C108:$N108,$B$27))</f>
        <v>0</v>
      </c>
      <c r="AN132" s="116" t="n">
        <f aca="false">AL132-AM132</f>
        <v>0</v>
      </c>
    </row>
    <row r="133" customFormat="false" ht="15" hidden="true" customHeight="true" outlineLevel="1" collapsed="false">
      <c r="A133" s="109" t="s">
        <v>136</v>
      </c>
      <c r="B133" s="113" t="str">
        <f aca="false">IF(OR(1&gt;$B$27,ISBLANK(Actuals!C109)),"",Actuals!C109)</f>
        <v/>
      </c>
      <c r="C133" s="113" t="n">
        <f aca="false">Budget!C109</f>
        <v>0</v>
      </c>
      <c r="D133" s="113" t="str">
        <f aca="false">IF(B133="","",B133-C133)</f>
        <v/>
      </c>
      <c r="E133" s="113" t="str">
        <f aca="false">IF(OR(2&gt;$B$27,ISBLANK(Actuals!D109)),"",Actuals!D109)</f>
        <v/>
      </c>
      <c r="F133" s="113" t="n">
        <f aca="false">Budget!D109</f>
        <v>0</v>
      </c>
      <c r="G133" s="113" t="str">
        <f aca="false">IF(E133="","",E133-F133)</f>
        <v/>
      </c>
      <c r="H133" s="113" t="str">
        <f aca="false">IF(OR(3&gt;$B$27,ISBLANK(Actuals!E109)),"",Actuals!E109)</f>
        <v/>
      </c>
      <c r="I133" s="113" t="n">
        <f aca="false">Budget!E109</f>
        <v>0</v>
      </c>
      <c r="J133" s="113" t="str">
        <f aca="false">IF(H133="","",H133-I133)</f>
        <v/>
      </c>
      <c r="K133" s="113" t="str">
        <f aca="false">IF(OR(4&gt;$B$27,ISBLANK(Actuals!F109)),"",Actuals!F109)</f>
        <v/>
      </c>
      <c r="L133" s="113" t="n">
        <f aca="false">Budget!F109</f>
        <v>0</v>
      </c>
      <c r="M133" s="113" t="str">
        <f aca="false">IF(K133="","",K133-L133)</f>
        <v/>
      </c>
      <c r="N133" s="113" t="str">
        <f aca="false">IF(OR(5&gt;$B$27,ISBLANK(Actuals!G109)),"",Actuals!G109)</f>
        <v/>
      </c>
      <c r="O133" s="113" t="n">
        <f aca="false">Budget!G109</f>
        <v>0</v>
      </c>
      <c r="P133" s="113" t="str">
        <f aca="false">IF(N133="","",N133-O133)</f>
        <v/>
      </c>
      <c r="Q133" s="113" t="str">
        <f aca="false">IF(OR(6&gt;$B$27,ISBLANK(Actuals!H109)),"",Actuals!H109)</f>
        <v/>
      </c>
      <c r="R133" s="113" t="n">
        <f aca="false">Budget!H109</f>
        <v>0</v>
      </c>
      <c r="S133" s="113" t="str">
        <f aca="false">IF(Q133="","",Q133-R133)</f>
        <v/>
      </c>
      <c r="T133" s="113" t="str">
        <f aca="false">IF(OR(7&gt;$B$27,ISBLANK(Actuals!I109)),"",Actuals!I109)</f>
        <v/>
      </c>
      <c r="U133" s="113" t="n">
        <f aca="false">Budget!I109</f>
        <v>0</v>
      </c>
      <c r="V133" s="113" t="str">
        <f aca="false">IF(T133="","",T133-U133)</f>
        <v/>
      </c>
      <c r="W133" s="113" t="n">
        <f aca="false">IF(OR(8&gt;$B$27,ISBLANK(Actuals!J109)),"",Actuals!J109)</f>
        <v>0</v>
      </c>
      <c r="X133" s="113" t="n">
        <f aca="false">Budget!J109</f>
        <v>0</v>
      </c>
      <c r="Y133" s="113" t="n">
        <f aca="false">IF(W133="","",W133-X133)</f>
        <v>0</v>
      </c>
      <c r="Z133" s="113" t="str">
        <f aca="false">IF(OR(9&gt;$B$27,ISBLANK(Actuals!K109)),"",Actuals!K109)</f>
        <v/>
      </c>
      <c r="AA133" s="113" t="n">
        <f aca="false">Budget!K109</f>
        <v>0</v>
      </c>
      <c r="AB133" s="113" t="str">
        <f aca="false">IF(Z133="","",Z133-AA133)</f>
        <v/>
      </c>
      <c r="AC133" s="113" t="str">
        <f aca="false">IF(OR(10&gt;$B$27,ISBLANK(Actuals!L109)),"",Actuals!L109)</f>
        <v/>
      </c>
      <c r="AD133" s="113" t="n">
        <f aca="false">Budget!L109</f>
        <v>0</v>
      </c>
      <c r="AE133" s="113" t="str">
        <f aca="false">IF(AC133="","",AC133-AD133)</f>
        <v/>
      </c>
      <c r="AF133" s="113" t="str">
        <f aca="false">IF(OR(11&gt;$B$27,ISBLANK(Actuals!M109)),"",Actuals!M109)</f>
        <v/>
      </c>
      <c r="AG133" s="113" t="n">
        <f aca="false">Budget!M109</f>
        <v>0</v>
      </c>
      <c r="AH133" s="113" t="str">
        <f aca="false">IF(AF133="","",AF133-AG133)</f>
        <v/>
      </c>
      <c r="AI133" s="113" t="str">
        <f aca="false">IF(OR(12&gt;$B$27,ISBLANK(Actuals!N109)),"",Actuals!N109)</f>
        <v/>
      </c>
      <c r="AJ133" s="113" t="n">
        <f aca="false">Budget!N109</f>
        <v>0</v>
      </c>
      <c r="AK133" s="113" t="str">
        <f aca="false">IF(AI133="","",AI133-AJ133)</f>
        <v/>
      </c>
      <c r="AL133" s="116" t="n">
        <f aca="false">SUM(Actuals!$C109:INDEX(Actuals!$C109:$N109,$B$27))</f>
        <v>0</v>
      </c>
      <c r="AM133" s="116" t="n">
        <f aca="false">SUM(Budget!$C109:INDEX(Budget!$C109:$N109,$B$27))</f>
        <v>0</v>
      </c>
      <c r="AN133" s="116" t="n">
        <f aca="false">AL133-AM133</f>
        <v>0</v>
      </c>
    </row>
    <row r="134" customFormat="false" ht="15" hidden="true" customHeight="true" outlineLevel="1" collapsed="false">
      <c r="A134" s="109" t="s">
        <v>137</v>
      </c>
      <c r="B134" s="113" t="str">
        <f aca="false">IF(OR(1&gt;$B$27,ISBLANK(Actuals!C110)),"",Actuals!C110)</f>
        <v/>
      </c>
      <c r="C134" s="113" t="n">
        <f aca="false">Budget!C110</f>
        <v>0</v>
      </c>
      <c r="D134" s="113" t="str">
        <f aca="false">IF(B134="","",B134-C134)</f>
        <v/>
      </c>
      <c r="E134" s="113" t="str">
        <f aca="false">IF(OR(2&gt;$B$27,ISBLANK(Actuals!D110)),"",Actuals!D110)</f>
        <v/>
      </c>
      <c r="F134" s="113" t="n">
        <f aca="false">Budget!D110</f>
        <v>0</v>
      </c>
      <c r="G134" s="113" t="str">
        <f aca="false">IF(E134="","",E134-F134)</f>
        <v/>
      </c>
      <c r="H134" s="113" t="str">
        <f aca="false">IF(OR(3&gt;$B$27,ISBLANK(Actuals!E110)),"",Actuals!E110)</f>
        <v/>
      </c>
      <c r="I134" s="113" t="n">
        <f aca="false">Budget!E110</f>
        <v>0</v>
      </c>
      <c r="J134" s="113" t="str">
        <f aca="false">IF(H134="","",H134-I134)</f>
        <v/>
      </c>
      <c r="K134" s="113" t="str">
        <f aca="false">IF(OR(4&gt;$B$27,ISBLANK(Actuals!F110)),"",Actuals!F110)</f>
        <v/>
      </c>
      <c r="L134" s="113" t="n">
        <f aca="false">Budget!F110</f>
        <v>0</v>
      </c>
      <c r="M134" s="113" t="str">
        <f aca="false">IF(K134="","",K134-L134)</f>
        <v/>
      </c>
      <c r="N134" s="113" t="str">
        <f aca="false">IF(OR(5&gt;$B$27,ISBLANK(Actuals!G110)),"",Actuals!G110)</f>
        <v/>
      </c>
      <c r="O134" s="113" t="n">
        <f aca="false">Budget!G110</f>
        <v>0</v>
      </c>
      <c r="P134" s="113" t="str">
        <f aca="false">IF(N134="","",N134-O134)</f>
        <v/>
      </c>
      <c r="Q134" s="113" t="str">
        <f aca="false">IF(OR(6&gt;$B$27,ISBLANK(Actuals!H110)),"",Actuals!H110)</f>
        <v/>
      </c>
      <c r="R134" s="113" t="n">
        <f aca="false">Budget!H110</f>
        <v>0</v>
      </c>
      <c r="S134" s="113" t="str">
        <f aca="false">IF(Q134="","",Q134-R134)</f>
        <v/>
      </c>
      <c r="T134" s="113" t="str">
        <f aca="false">IF(OR(7&gt;$B$27,ISBLANK(Actuals!I110)),"",Actuals!I110)</f>
        <v/>
      </c>
      <c r="U134" s="113" t="n">
        <f aca="false">Budget!I110</f>
        <v>0</v>
      </c>
      <c r="V134" s="113" t="str">
        <f aca="false">IF(T134="","",T134-U134)</f>
        <v/>
      </c>
      <c r="W134" s="113" t="str">
        <f aca="false">IF(OR(8&gt;$B$27,ISBLANK(Actuals!J110)),"",Actuals!J110)</f>
        <v/>
      </c>
      <c r="X134" s="113" t="n">
        <f aca="false">Budget!J110</f>
        <v>0</v>
      </c>
      <c r="Y134" s="113" t="str">
        <f aca="false">IF(W134="","",W134-X134)</f>
        <v/>
      </c>
      <c r="Z134" s="113" t="str">
        <f aca="false">IF(OR(9&gt;$B$27,ISBLANK(Actuals!K110)),"",Actuals!K110)</f>
        <v/>
      </c>
      <c r="AA134" s="113" t="n">
        <f aca="false">Budget!K110</f>
        <v>0</v>
      </c>
      <c r="AB134" s="113" t="str">
        <f aca="false">IF(Z134="","",Z134-AA134)</f>
        <v/>
      </c>
      <c r="AC134" s="113" t="str">
        <f aca="false">IF(OR(10&gt;$B$27,ISBLANK(Actuals!L110)),"",Actuals!L110)</f>
        <v/>
      </c>
      <c r="AD134" s="113" t="n">
        <f aca="false">Budget!L110</f>
        <v>0</v>
      </c>
      <c r="AE134" s="113" t="str">
        <f aca="false">IF(AC134="","",AC134-AD134)</f>
        <v/>
      </c>
      <c r="AF134" s="113" t="str">
        <f aca="false">IF(OR(11&gt;$B$27,ISBLANK(Actuals!M110)),"",Actuals!M110)</f>
        <v/>
      </c>
      <c r="AG134" s="113" t="n">
        <f aca="false">Budget!M110</f>
        <v>0</v>
      </c>
      <c r="AH134" s="113" t="str">
        <f aca="false">IF(AF134="","",AF134-AG134)</f>
        <v/>
      </c>
      <c r="AI134" s="113" t="str">
        <f aca="false">IF(OR(12&gt;$B$27,ISBLANK(Actuals!N110)),"",Actuals!N110)</f>
        <v/>
      </c>
      <c r="AJ134" s="113" t="n">
        <f aca="false">Budget!N110</f>
        <v>0</v>
      </c>
      <c r="AK134" s="113" t="str">
        <f aca="false">IF(AI134="","",AI134-AJ134)</f>
        <v/>
      </c>
      <c r="AL134" s="116" t="n">
        <f aca="false">SUM(Actuals!$C110:INDEX(Actuals!$C110:$N110,$B$27))</f>
        <v>0</v>
      </c>
      <c r="AM134" s="116" t="n">
        <f aca="false">SUM(Budget!$C110:INDEX(Budget!$C110:$N110,$B$27))</f>
        <v>0</v>
      </c>
      <c r="AN134" s="116" t="n">
        <f aca="false">AL134-AM134</f>
        <v>0</v>
      </c>
    </row>
    <row r="135" customFormat="false" ht="15" hidden="true" customHeight="true" outlineLevel="1" collapsed="false">
      <c r="A135" s="109" t="s">
        <v>138</v>
      </c>
      <c r="B135" s="113" t="str">
        <f aca="false">IF(OR(1&gt;$B$27,ISBLANK(Actuals!C111)),"",Actuals!C111)</f>
        <v/>
      </c>
      <c r="C135" s="113" t="n">
        <f aca="false">Budget!C111</f>
        <v>0</v>
      </c>
      <c r="D135" s="113" t="str">
        <f aca="false">IF(B135="","",B135-C135)</f>
        <v/>
      </c>
      <c r="E135" s="113" t="str">
        <f aca="false">IF(OR(2&gt;$B$27,ISBLANK(Actuals!D111)),"",Actuals!D111)</f>
        <v/>
      </c>
      <c r="F135" s="113" t="n">
        <f aca="false">Budget!D111</f>
        <v>0</v>
      </c>
      <c r="G135" s="113" t="str">
        <f aca="false">IF(E135="","",E135-F135)</f>
        <v/>
      </c>
      <c r="H135" s="113" t="str">
        <f aca="false">IF(OR(3&gt;$B$27,ISBLANK(Actuals!E111)),"",Actuals!E111)</f>
        <v/>
      </c>
      <c r="I135" s="113" t="n">
        <f aca="false">Budget!E111</f>
        <v>0</v>
      </c>
      <c r="J135" s="113" t="str">
        <f aca="false">IF(H135="","",H135-I135)</f>
        <v/>
      </c>
      <c r="K135" s="113" t="str">
        <f aca="false">IF(OR(4&gt;$B$27,ISBLANK(Actuals!F111)),"",Actuals!F111)</f>
        <v/>
      </c>
      <c r="L135" s="113" t="n">
        <f aca="false">Budget!F111</f>
        <v>0</v>
      </c>
      <c r="M135" s="113" t="str">
        <f aca="false">IF(K135="","",K135-L135)</f>
        <v/>
      </c>
      <c r="N135" s="113" t="str">
        <f aca="false">IF(OR(5&gt;$B$27,ISBLANK(Actuals!G111)),"",Actuals!G111)</f>
        <v/>
      </c>
      <c r="O135" s="113" t="n">
        <f aca="false">Budget!G111</f>
        <v>0</v>
      </c>
      <c r="P135" s="113" t="str">
        <f aca="false">IF(N135="","",N135-O135)</f>
        <v/>
      </c>
      <c r="Q135" s="113" t="str">
        <f aca="false">IF(OR(6&gt;$B$27,ISBLANK(Actuals!H111)),"",Actuals!H111)</f>
        <v/>
      </c>
      <c r="R135" s="113" t="n">
        <f aca="false">Budget!H111</f>
        <v>0</v>
      </c>
      <c r="S135" s="113" t="str">
        <f aca="false">IF(Q135="","",Q135-R135)</f>
        <v/>
      </c>
      <c r="T135" s="113" t="str">
        <f aca="false">IF(OR(7&gt;$B$27,ISBLANK(Actuals!I111)),"",Actuals!I111)</f>
        <v/>
      </c>
      <c r="U135" s="113" t="n">
        <f aca="false">Budget!I111</f>
        <v>0</v>
      </c>
      <c r="V135" s="113" t="str">
        <f aca="false">IF(T135="","",T135-U135)</f>
        <v/>
      </c>
      <c r="W135" s="113" t="str">
        <f aca="false">IF(OR(8&gt;$B$27,ISBLANK(Actuals!J111)),"",Actuals!J111)</f>
        <v/>
      </c>
      <c r="X135" s="113" t="n">
        <f aca="false">Budget!J111</f>
        <v>0</v>
      </c>
      <c r="Y135" s="113" t="str">
        <f aca="false">IF(W135="","",W135-X135)</f>
        <v/>
      </c>
      <c r="Z135" s="113" t="str">
        <f aca="false">IF(OR(9&gt;$B$27,ISBLANK(Actuals!K111)),"",Actuals!K111)</f>
        <v/>
      </c>
      <c r="AA135" s="113" t="n">
        <f aca="false">Budget!K111</f>
        <v>0</v>
      </c>
      <c r="AB135" s="113" t="str">
        <f aca="false">IF(Z135="","",Z135-AA135)</f>
        <v/>
      </c>
      <c r="AC135" s="113" t="str">
        <f aca="false">IF(OR(10&gt;$B$27,ISBLANK(Actuals!L111)),"",Actuals!L111)</f>
        <v/>
      </c>
      <c r="AD135" s="113" t="n">
        <f aca="false">Budget!L111</f>
        <v>0</v>
      </c>
      <c r="AE135" s="113" t="str">
        <f aca="false">IF(AC135="","",AC135-AD135)</f>
        <v/>
      </c>
      <c r="AF135" s="113" t="str">
        <f aca="false">IF(OR(11&gt;$B$27,ISBLANK(Actuals!M111)),"",Actuals!M111)</f>
        <v/>
      </c>
      <c r="AG135" s="113" t="n">
        <f aca="false">Budget!M111</f>
        <v>0</v>
      </c>
      <c r="AH135" s="113" t="str">
        <f aca="false">IF(AF135="","",AF135-AG135)</f>
        <v/>
      </c>
      <c r="AI135" s="113" t="str">
        <f aca="false">IF(OR(12&gt;$B$27,ISBLANK(Actuals!N111)),"",Actuals!N111)</f>
        <v/>
      </c>
      <c r="AJ135" s="113" t="n">
        <f aca="false">Budget!N111</f>
        <v>0</v>
      </c>
      <c r="AK135" s="113" t="str">
        <f aca="false">IF(AI135="","",AI135-AJ135)</f>
        <v/>
      </c>
      <c r="AL135" s="116" t="n">
        <f aca="false">SUM(Actuals!$C111:INDEX(Actuals!$C111:$N111,$B$27))</f>
        <v>0</v>
      </c>
      <c r="AM135" s="116" t="n">
        <f aca="false">SUM(Budget!$C111:INDEX(Budget!$C111:$N111,$B$27))</f>
        <v>0</v>
      </c>
      <c r="AN135" s="116" t="n">
        <f aca="false">AL135-AM135</f>
        <v>0</v>
      </c>
    </row>
    <row r="136" customFormat="false" ht="15" hidden="false" customHeight="true" outlineLevel="0" collapsed="true">
      <c r="A136" s="115" t="s">
        <v>139</v>
      </c>
      <c r="B136" s="116" t="n">
        <f aca="false">IF(OR(1&gt;$B$27,ISBLANK(Actuals!C112)),"",Actuals!C112)</f>
        <v>-198827.72</v>
      </c>
      <c r="C136" s="116" t="n">
        <f aca="false">Budget!C112</f>
        <v>-138412.48</v>
      </c>
      <c r="D136" s="116" t="n">
        <f aca="false">IF(B136="","",B136-C136)</f>
        <v>-60415.24</v>
      </c>
      <c r="E136" s="116" t="n">
        <f aca="false">IF(OR(2&gt;$B$27,ISBLANK(Actuals!D112)),"",Actuals!D112)</f>
        <v>-192502</v>
      </c>
      <c r="F136" s="116" t="n">
        <f aca="false">Budget!D112</f>
        <v>-138412.48</v>
      </c>
      <c r="G136" s="116" t="n">
        <f aca="false">IF(E136="","",E136-F136)</f>
        <v>-54089.52</v>
      </c>
      <c r="H136" s="116" t="n">
        <f aca="false">IF(OR(3&gt;$B$27,ISBLANK(Actuals!E112)),"",Actuals!E112)</f>
        <v>-255024.1</v>
      </c>
      <c r="I136" s="116" t="n">
        <f aca="false">Budget!E112</f>
        <v>-138412.48</v>
      </c>
      <c r="J136" s="116" t="n">
        <f aca="false">IF(H136="","",H136-I136)</f>
        <v>-116611.62</v>
      </c>
      <c r="K136" s="116" t="n">
        <f aca="false">IF(OR(4&gt;$B$27,ISBLANK(Actuals!F112)),"",Actuals!F112)</f>
        <v>-195904.72</v>
      </c>
      <c r="L136" s="116" t="n">
        <f aca="false">Budget!F112</f>
        <v>-138412.48</v>
      </c>
      <c r="M136" s="116" t="n">
        <f aca="false">IF(K136="","",K136-L136)</f>
        <v>-57492.24</v>
      </c>
      <c r="N136" s="116" t="n">
        <f aca="false">IF(OR(5&gt;$B$27,ISBLANK(Actuals!G112)),"",Actuals!G112)</f>
        <v>-250029.52</v>
      </c>
      <c r="O136" s="116" t="n">
        <f aca="false">Budget!G112</f>
        <v>-138412.48</v>
      </c>
      <c r="P136" s="116" t="n">
        <f aca="false">IF(N136="","",N136-O136)</f>
        <v>-111617.04</v>
      </c>
      <c r="Q136" s="116" t="n">
        <f aca="false">IF(OR(6&gt;$B$27,ISBLANK(Actuals!H112)),"",Actuals!H112)</f>
        <v>-201582.47</v>
      </c>
      <c r="R136" s="116" t="n">
        <f aca="false">Budget!H112</f>
        <v>-138412.48</v>
      </c>
      <c r="S136" s="116" t="n">
        <f aca="false">IF(Q136="","",Q136-R136)</f>
        <v>-63169.99</v>
      </c>
      <c r="T136" s="116" t="n">
        <f aca="false">IF(OR(7&gt;$B$27,ISBLANK(Actuals!I112)),"",Actuals!I112)</f>
        <v>-195563.06</v>
      </c>
      <c r="U136" s="116" t="n">
        <f aca="false">Budget!I112</f>
        <v>-137893.65</v>
      </c>
      <c r="V136" s="116" t="n">
        <f aca="false">IF(T136="","",T136-U136)</f>
        <v>-57669.41</v>
      </c>
      <c r="W136" s="116" t="n">
        <f aca="false">IF(OR(8&gt;$B$27,ISBLANK(Actuals!J112)),"",Actuals!J112)</f>
        <v>-183480.39</v>
      </c>
      <c r="X136" s="116" t="n">
        <f aca="false">Budget!J112</f>
        <v>-137893.65</v>
      </c>
      <c r="Y136" s="116" t="n">
        <f aca="false">IF(W136="","",W136-X136)</f>
        <v>-45586.74</v>
      </c>
      <c r="Z136" s="116" t="n">
        <f aca="false">IF(OR(9&gt;$B$27,ISBLANK(Actuals!K112)),"",Actuals!K112)</f>
        <v>-217013.31</v>
      </c>
      <c r="AA136" s="116" t="n">
        <f aca="false">Budget!K112</f>
        <v>-137893.65</v>
      </c>
      <c r="AB136" s="116" t="n">
        <f aca="false">IF(Z136="","",Z136-AA136)</f>
        <v>-79119.66</v>
      </c>
      <c r="AC136" s="116" t="str">
        <f aca="false">IF(OR(10&gt;$B$27,ISBLANK(Actuals!L112)),"",Actuals!L112)</f>
        <v/>
      </c>
      <c r="AD136" s="116" t="n">
        <f aca="false">Budget!L112</f>
        <v>-137893.65</v>
      </c>
      <c r="AE136" s="116" t="str">
        <f aca="false">IF(AC136="","",AC136-AD136)</f>
        <v/>
      </c>
      <c r="AF136" s="116" t="str">
        <f aca="false">IF(OR(11&gt;$B$27,ISBLANK(Actuals!M112)),"",Actuals!M112)</f>
        <v/>
      </c>
      <c r="AG136" s="116" t="n">
        <f aca="false">Budget!M112</f>
        <v>-137893.65</v>
      </c>
      <c r="AH136" s="116" t="str">
        <f aca="false">IF(AF136="","",AF136-AG136)</f>
        <v/>
      </c>
      <c r="AI136" s="116" t="str">
        <f aca="false">IF(OR(12&gt;$B$27,ISBLANK(Actuals!N112)),"",Actuals!N112)</f>
        <v/>
      </c>
      <c r="AJ136" s="116" t="n">
        <f aca="false">Budget!N112</f>
        <v>-137893.65</v>
      </c>
      <c r="AK136" s="116" t="str">
        <f aca="false">IF(AI136="","",AI136-AJ136)</f>
        <v/>
      </c>
      <c r="AL136" s="116" t="n">
        <f aca="false">SUM(Actuals!$C112:INDEX(Actuals!$C112:$N112,$B$27))</f>
        <v>-1889927.29</v>
      </c>
      <c r="AM136" s="116" t="n">
        <f aca="false">SUM(Budget!$C112:INDEX(Budget!$C112:$N112,$B$27))</f>
        <v>-1244155.83</v>
      </c>
      <c r="AN136" s="116" t="n">
        <f aca="false">AL136-AM136</f>
        <v>-645771.46</v>
      </c>
      <c r="AP136" s="114" t="s">
        <v>457</v>
      </c>
    </row>
    <row r="137" customFormat="false" ht="15" hidden="false" customHeight="true" outlineLevel="0" collapsed="false">
      <c r="A137" s="109" t="s">
        <v>365</v>
      </c>
      <c r="B137" s="113" t="str">
        <f aca="false">IF(OR(1&gt;$B$27,ISBLANK(Actuals!C113)),"",Actuals!C113)</f>
        <v/>
      </c>
      <c r="C137" s="113" t="n">
        <f aca="false">Budget!C113</f>
        <v>0</v>
      </c>
      <c r="D137" s="113" t="str">
        <f aca="false">IF(B137="","",B137-C137)</f>
        <v/>
      </c>
      <c r="E137" s="113" t="str">
        <f aca="false">IF(OR(2&gt;$B$27,ISBLANK(Actuals!D113)),"",Actuals!D113)</f>
        <v/>
      </c>
      <c r="F137" s="113" t="n">
        <f aca="false">Budget!D113</f>
        <v>0</v>
      </c>
      <c r="G137" s="113" t="str">
        <f aca="false">IF(E137="","",E137-F137)</f>
        <v/>
      </c>
      <c r="H137" s="113" t="str">
        <f aca="false">IF(OR(3&gt;$B$27,ISBLANK(Actuals!E113)),"",Actuals!E113)</f>
        <v/>
      </c>
      <c r="I137" s="113" t="n">
        <f aca="false">Budget!E113</f>
        <v>0</v>
      </c>
      <c r="J137" s="113" t="str">
        <f aca="false">IF(H137="","",H137-I137)</f>
        <v/>
      </c>
      <c r="K137" s="113" t="str">
        <f aca="false">IF(OR(4&gt;$B$27,ISBLANK(Actuals!F113)),"",Actuals!F113)</f>
        <v/>
      </c>
      <c r="L137" s="113" t="n">
        <f aca="false">Budget!F113</f>
        <v>0</v>
      </c>
      <c r="M137" s="113" t="str">
        <f aca="false">IF(K137="","",K137-L137)</f>
        <v/>
      </c>
      <c r="N137" s="113" t="str">
        <f aca="false">IF(OR(5&gt;$B$27,ISBLANK(Actuals!G113)),"",Actuals!G113)</f>
        <v/>
      </c>
      <c r="O137" s="113" t="n">
        <f aca="false">Budget!G113</f>
        <v>0</v>
      </c>
      <c r="P137" s="113" t="str">
        <f aca="false">IF(N137="","",N137-O137)</f>
        <v/>
      </c>
      <c r="Q137" s="113" t="n">
        <f aca="false">IF(OR(6&gt;$B$27,ISBLANK(Actuals!H113)),"",Actuals!H113)</f>
        <v>53641.68</v>
      </c>
      <c r="R137" s="113" t="n">
        <f aca="false">Budget!H113</f>
        <v>0</v>
      </c>
      <c r="S137" s="113" t="n">
        <f aca="false">IF(Q137="","",Q137-R137)</f>
        <v>53641.68</v>
      </c>
      <c r="T137" s="113" t="n">
        <f aca="false">IF(OR(7&gt;$B$27,ISBLANK(Actuals!I113)),"",Actuals!I113)</f>
        <v>-934.88</v>
      </c>
      <c r="U137" s="113" t="n">
        <f aca="false">Budget!I113</f>
        <v>0</v>
      </c>
      <c r="V137" s="113" t="n">
        <f aca="false">IF(T137="","",T137-U137)</f>
        <v>-934.88</v>
      </c>
      <c r="W137" s="113" t="n">
        <f aca="false">IF(OR(8&gt;$B$27,ISBLANK(Actuals!J113)),"",Actuals!J113)</f>
        <v>-934.88</v>
      </c>
      <c r="X137" s="113" t="n">
        <f aca="false">Budget!J113</f>
        <v>0</v>
      </c>
      <c r="Y137" s="113" t="n">
        <f aca="false">IF(W137="","",W137-X137)</f>
        <v>-934.88</v>
      </c>
      <c r="Z137" s="113" t="n">
        <f aca="false">IF(OR(9&gt;$B$27,ISBLANK(Actuals!K113)),"",Actuals!K113)</f>
        <v>-934.88</v>
      </c>
      <c r="AA137" s="113" t="n">
        <f aca="false">Budget!K113</f>
        <v>0</v>
      </c>
      <c r="AB137" s="113" t="n">
        <f aca="false">IF(Z137="","",Z137-AA137)</f>
        <v>-934.88</v>
      </c>
      <c r="AC137" s="113" t="str">
        <f aca="false">IF(OR(10&gt;$B$27,ISBLANK(Actuals!L113)),"",Actuals!L113)</f>
        <v/>
      </c>
      <c r="AD137" s="113" t="n">
        <f aca="false">Budget!L113</f>
        <v>0</v>
      </c>
      <c r="AE137" s="113" t="str">
        <f aca="false">IF(AC137="","",AC137-AD137)</f>
        <v/>
      </c>
      <c r="AF137" s="113" t="str">
        <f aca="false">IF(OR(11&gt;$B$27,ISBLANK(Actuals!M113)),"",Actuals!M113)</f>
        <v/>
      </c>
      <c r="AG137" s="113" t="n">
        <f aca="false">Budget!M113</f>
        <v>0</v>
      </c>
      <c r="AH137" s="113" t="str">
        <f aca="false">IF(AF137="","",AF137-AG137)</f>
        <v/>
      </c>
      <c r="AI137" s="113" t="str">
        <f aca="false">IF(OR(12&gt;$B$27,ISBLANK(Actuals!N113)),"",Actuals!N113)</f>
        <v/>
      </c>
      <c r="AJ137" s="113" t="n">
        <f aca="false">Budget!N113</f>
        <v>0</v>
      </c>
      <c r="AK137" s="113" t="str">
        <f aca="false">IF(AI137="","",AI137-AJ137)</f>
        <v/>
      </c>
      <c r="AL137" s="116" t="n">
        <f aca="false">SUM(Actuals!$C113:INDEX(Actuals!$C113:$N113,$B$27))</f>
        <v>50837.04</v>
      </c>
      <c r="AM137" s="116" t="n">
        <f aca="false">SUM(Budget!$C113:INDEX(Budget!$C113:$N113,$B$27))</f>
        <v>0</v>
      </c>
      <c r="AN137" s="116" t="n">
        <f aca="false">AL137-AM137</f>
        <v>50837.04</v>
      </c>
      <c r="AP137" s="114" t="s">
        <v>458</v>
      </c>
    </row>
    <row r="138" customFormat="false" ht="15" hidden="false" customHeight="true" outlineLevel="0" collapsed="false">
      <c r="A138" s="115" t="s">
        <v>140</v>
      </c>
      <c r="B138" s="117" t="n">
        <f aca="false">IF(OR(1&gt;$B$27,ISBLANK(Actuals!C114)),"",Actuals!C114)</f>
        <v>-164713.14</v>
      </c>
      <c r="C138" s="117" t="n">
        <f aca="false">Budget!C114</f>
        <v>-90813.42</v>
      </c>
      <c r="D138" s="117" t="n">
        <f aca="false">IF(B138="","",B138-C138)</f>
        <v>-73899.72</v>
      </c>
      <c r="E138" s="117" t="n">
        <f aca="false">IF(OR(2&gt;$B$27,ISBLANK(Actuals!D114)),"",Actuals!D114)</f>
        <v>-158387.42</v>
      </c>
      <c r="F138" s="117" t="n">
        <f aca="false">Budget!D114</f>
        <v>-90813.42</v>
      </c>
      <c r="G138" s="117" t="n">
        <f aca="false">IF(E138="","",E138-F138)</f>
        <v>-67574</v>
      </c>
      <c r="H138" s="117" t="n">
        <f aca="false">IF(OR(3&gt;$B$27,ISBLANK(Actuals!E114)),"",Actuals!E114)</f>
        <v>-220909.52</v>
      </c>
      <c r="I138" s="117" t="n">
        <f aca="false">Budget!E114</f>
        <v>-90813.42</v>
      </c>
      <c r="J138" s="117" t="n">
        <f aca="false">IF(H138="","",H138-I138)</f>
        <v>-130096.1</v>
      </c>
      <c r="K138" s="117" t="n">
        <f aca="false">IF(OR(4&gt;$B$27,ISBLANK(Actuals!F114)),"",Actuals!F114)</f>
        <v>-161790.14</v>
      </c>
      <c r="L138" s="117" t="n">
        <f aca="false">Budget!F114</f>
        <v>-78938.42</v>
      </c>
      <c r="M138" s="117" t="n">
        <f aca="false">IF(K138="","",K138-L138)</f>
        <v>-82851.72</v>
      </c>
      <c r="N138" s="117" t="n">
        <f aca="false">IF(OR(5&gt;$B$27,ISBLANK(Actuals!G114)),"",Actuals!G114)</f>
        <v>-215914.94</v>
      </c>
      <c r="O138" s="117" t="n">
        <f aca="false">Budget!G114</f>
        <v>-78938.42</v>
      </c>
      <c r="P138" s="117" t="n">
        <f aca="false">IF(N138="","",N138-O138)</f>
        <v>-136976.52</v>
      </c>
      <c r="Q138" s="117" t="n">
        <f aca="false">IF(OR(6&gt;$B$27,ISBLANK(Actuals!H114)),"",Actuals!H114)</f>
        <v>185173.79</v>
      </c>
      <c r="R138" s="117" t="n">
        <f aca="false">Budget!H114</f>
        <v>-78938.42</v>
      </c>
      <c r="S138" s="117" t="n">
        <f aca="false">IF(Q138="","",Q138-R138)</f>
        <v>264112.21</v>
      </c>
      <c r="T138" s="117" t="n">
        <f aca="false">IF(OR(7&gt;$B$27,ISBLANK(Actuals!I114)),"",Actuals!I114)</f>
        <v>-118383.36</v>
      </c>
      <c r="U138" s="117" t="n">
        <f aca="false">Budget!I114</f>
        <v>-78419.59</v>
      </c>
      <c r="V138" s="117" t="n">
        <f aca="false">IF(T138="","",T138-U138)</f>
        <v>-39963.77</v>
      </c>
      <c r="W138" s="117" t="n">
        <f aca="false">IF(OR(8&gt;$B$27,ISBLANK(Actuals!J114)),"",Actuals!J114)</f>
        <v>-3786.69</v>
      </c>
      <c r="X138" s="117" t="n">
        <f aca="false">Budget!J114</f>
        <v>-78419.59</v>
      </c>
      <c r="Y138" s="117" t="n">
        <f aca="false">IF(W138="","",W138-X138)</f>
        <v>74632.9</v>
      </c>
      <c r="Z138" s="117" t="n">
        <f aca="false">IF(OR(9&gt;$B$27,ISBLANK(Actuals!K114)),"",Actuals!K114)</f>
        <v>-176700.27</v>
      </c>
      <c r="AA138" s="117" t="n">
        <f aca="false">Budget!K114</f>
        <v>-78419.59</v>
      </c>
      <c r="AB138" s="117" t="n">
        <f aca="false">IF(Z138="","",Z138-AA138)</f>
        <v>-98280.68</v>
      </c>
      <c r="AC138" s="117" t="str">
        <f aca="false">IF(OR(10&gt;$B$27,ISBLANK(Actuals!L114)),"",Actuals!L114)</f>
        <v/>
      </c>
      <c r="AD138" s="117" t="n">
        <f aca="false">Budget!L114</f>
        <v>-88646.86</v>
      </c>
      <c r="AE138" s="117" t="str">
        <f aca="false">IF(AC138="","",AC138-AD138)</f>
        <v/>
      </c>
      <c r="AF138" s="117" t="str">
        <f aca="false">IF(OR(11&gt;$B$27,ISBLANK(Actuals!M114)),"",Actuals!M114)</f>
        <v/>
      </c>
      <c r="AG138" s="117" t="n">
        <f aca="false">Budget!M114</f>
        <v>-88646.86</v>
      </c>
      <c r="AH138" s="117" t="str">
        <f aca="false">IF(AF138="","",AF138-AG138)</f>
        <v/>
      </c>
      <c r="AI138" s="117" t="str">
        <f aca="false">IF(OR(12&gt;$B$27,ISBLANK(Actuals!N114)),"",Actuals!N114)</f>
        <v/>
      </c>
      <c r="AJ138" s="117" t="n">
        <f aca="false">Budget!N114</f>
        <v>-88646.86</v>
      </c>
      <c r="AK138" s="117" t="str">
        <f aca="false">IF(AI138="","",AI138-AJ138)</f>
        <v/>
      </c>
      <c r="AL138" s="117" t="n">
        <f aca="false">SUM(Actuals!$C114:INDEX(Actuals!$C114:$N114,$B$27))</f>
        <v>-1035411.69</v>
      </c>
      <c r="AM138" s="117" t="n">
        <f aca="false">SUM(Budget!$C114:INDEX(Budget!$C114:$N114,$B$27))</f>
        <v>-744514.29</v>
      </c>
      <c r="AN138" s="117" t="n">
        <f aca="false">AL138-AM138</f>
        <v>-290897.4</v>
      </c>
      <c r="AP138" s="114" t="s">
        <v>459</v>
      </c>
    </row>
    <row r="140" customFormat="false" ht="15" hidden="false" customHeight="true" outlineLevel="0" collapsed="false">
      <c r="A140" s="112" t="s">
        <v>460</v>
      </c>
    </row>
    <row r="141" customFormat="false" ht="15" hidden="false" customHeight="true" outlineLevel="0" collapsed="false">
      <c r="A141" s="109" t="s">
        <v>461</v>
      </c>
      <c r="B141" s="116" t="n">
        <f aca="false">IF(B81="","",B81+B138)</f>
        <v>-206557.78</v>
      </c>
      <c r="C141" s="116" t="n">
        <f aca="false">C81+C138</f>
        <v>-88218.83</v>
      </c>
      <c r="D141" s="116" t="n">
        <f aca="false">IF(B141="","",B141-C141)</f>
        <v>-118338.95</v>
      </c>
      <c r="E141" s="116" t="n">
        <f aca="false">IF(E81="","",E81+E138)</f>
        <v>-469696.73</v>
      </c>
      <c r="F141" s="116" t="n">
        <f aca="false">F81+F138</f>
        <v>-72974.17</v>
      </c>
      <c r="G141" s="116" t="n">
        <f aca="false">IF(E141="","",E141-F141)</f>
        <v>-396722.56</v>
      </c>
      <c r="H141" s="116" t="n">
        <f aca="false">IF(H81="","",H81+H138)</f>
        <v>21337.2600000002</v>
      </c>
      <c r="I141" s="116" t="n">
        <f aca="false">I81+I138</f>
        <v>-57798.76</v>
      </c>
      <c r="J141" s="116" t="n">
        <f aca="false">IF(H141="","",H141-I141)</f>
        <v>79136.0200000002</v>
      </c>
      <c r="K141" s="116" t="n">
        <f aca="false">IF(K81="","",K81+K138)</f>
        <v>212136.55</v>
      </c>
      <c r="L141" s="116" t="n">
        <f aca="false">L81+L138</f>
        <v>-31421.36</v>
      </c>
      <c r="M141" s="116" t="n">
        <f aca="false">IF(K141="","",K141-L141)</f>
        <v>243557.91</v>
      </c>
      <c r="N141" s="116" t="n">
        <f aca="false">IF(N81="","",N81+N138)</f>
        <v>-188293.09</v>
      </c>
      <c r="O141" s="116" t="n">
        <f aca="false">O81+O138</f>
        <v>122738.83</v>
      </c>
      <c r="P141" s="116" t="n">
        <f aca="false">IF(N141="","",N141-O141)</f>
        <v>-311031.92</v>
      </c>
      <c r="Q141" s="116" t="n">
        <f aca="false">IF(Q81="","",Q81+Q138)</f>
        <v>503071.030000001</v>
      </c>
      <c r="R141" s="116" t="n">
        <f aca="false">R81+R138</f>
        <v>139414.41</v>
      </c>
      <c r="S141" s="116" t="n">
        <f aca="false">IF(Q141="","",Q141-R141)</f>
        <v>363656.620000001</v>
      </c>
      <c r="T141" s="116" t="n">
        <f aca="false">IF(T81="","",T81+T138)</f>
        <v>1326754.58</v>
      </c>
      <c r="U141" s="116" t="n">
        <f aca="false">U81+U138</f>
        <v>153517.41</v>
      </c>
      <c r="V141" s="116" t="n">
        <f aca="false">IF(T141="","",T141-U141)</f>
        <v>1173237.17</v>
      </c>
      <c r="W141" s="116" t="n">
        <f aca="false">IF(W81="","",W81+W138)</f>
        <v>171785.53</v>
      </c>
      <c r="X141" s="116" t="n">
        <f aca="false">X81+X138</f>
        <v>164629.55</v>
      </c>
      <c r="Y141" s="116" t="n">
        <f aca="false">IF(W141="","",W141-X141)</f>
        <v>7155.97999999966</v>
      </c>
      <c r="Z141" s="116" t="n">
        <f aca="false">IF(Z81="","",Z81+Z138)</f>
        <v>-213564.89</v>
      </c>
      <c r="AA141" s="116" t="n">
        <f aca="false">AA81+AA138</f>
        <v>172088.91</v>
      </c>
      <c r="AB141" s="116" t="n">
        <f aca="false">IF(Z141="","",Z141-AA141)</f>
        <v>-385653.8</v>
      </c>
      <c r="AC141" s="116" t="str">
        <f aca="false">IF(AC81="","",AC81+AC138)</f>
        <v/>
      </c>
      <c r="AD141" s="116" t="n">
        <f aca="false">AD81+AD138</f>
        <v>165342.57</v>
      </c>
      <c r="AE141" s="116" t="str">
        <f aca="false">IF(AC141="","",AC141-AD141)</f>
        <v/>
      </c>
      <c r="AF141" s="116" t="str">
        <f aca="false">IF(AF81="","",AF81+AF138)</f>
        <v/>
      </c>
      <c r="AG141" s="116" t="n">
        <f aca="false">AG81+AG138</f>
        <v>164759.67</v>
      </c>
      <c r="AH141" s="116" t="str">
        <f aca="false">IF(AF141="","",AF141-AG141)</f>
        <v/>
      </c>
      <c r="AI141" s="116" t="str">
        <f aca="false">IF(AI81="","",AI81+AI138)</f>
        <v/>
      </c>
      <c r="AJ141" s="116" t="n">
        <f aca="false">AJ81+AJ138</f>
        <v>115877.35</v>
      </c>
      <c r="AK141" s="116" t="str">
        <f aca="false">IF(AI141="","",AI141-AJ141)</f>
        <v/>
      </c>
      <c r="AL141" s="116" t="n">
        <f aca="false">AL81+AL138</f>
        <v>1156972.46</v>
      </c>
      <c r="AM141" s="116" t="n">
        <f aca="false">AM81+AM138</f>
        <v>501975.99</v>
      </c>
      <c r="AN141" s="116" t="n">
        <f aca="false">AL141-AM141</f>
        <v>654996.470000001</v>
      </c>
      <c r="AP141" s="114" t="s">
        <v>462</v>
      </c>
    </row>
    <row r="142" customFormat="false" ht="15" hidden="false" customHeight="true" outlineLevel="0" collapsed="false">
      <c r="A142" s="121" t="s">
        <v>463</v>
      </c>
      <c r="B142" s="113" t="n">
        <f aca="false">IF(B141="","",Model!B308-B141)</f>
        <v>0</v>
      </c>
      <c r="C142" s="113" t="s">
        <v>464</v>
      </c>
      <c r="D142" s="113" t="n">
        <f aca="false">IF(B142="","",B142-C142)</f>
        <v>0</v>
      </c>
      <c r="E142" s="113" t="n">
        <f aca="false">IF(E141="","",Model!C308-E141)</f>
        <v>0</v>
      </c>
      <c r="F142" s="113" t="s">
        <v>464</v>
      </c>
      <c r="G142" s="113" t="n">
        <f aca="false">IF(E142="","",E142-F142)</f>
        <v>0</v>
      </c>
      <c r="H142" s="113" t="n">
        <f aca="false">IF(H141="","",Model!D308-H141)</f>
        <v>-2.3283064365387E-010</v>
      </c>
      <c r="I142" s="113" t="s">
        <v>464</v>
      </c>
      <c r="J142" s="113" t="n">
        <f aca="false">IF(H142="","",H142-I142)</f>
        <v>-2.3283064365387E-010</v>
      </c>
      <c r="K142" s="113" t="n">
        <f aca="false">IF(K141="","",Model!E308-K141)</f>
        <v>0</v>
      </c>
      <c r="L142" s="113" t="s">
        <v>464</v>
      </c>
      <c r="M142" s="113" t="n">
        <f aca="false">IF(K142="","",K142-L142)</f>
        <v>0</v>
      </c>
      <c r="N142" s="113" t="n">
        <f aca="false">IF(N141="","",Model!F308-N141)</f>
        <v>0</v>
      </c>
      <c r="O142" s="113" t="s">
        <v>464</v>
      </c>
      <c r="P142" s="113" t="n">
        <f aca="false">IF(N142="","",N142-O142)</f>
        <v>0</v>
      </c>
      <c r="Q142" s="113" t="n">
        <f aca="false">IF(Q141="","",Model!G308-Q141)</f>
        <v>0</v>
      </c>
      <c r="R142" s="113" t="s">
        <v>464</v>
      </c>
      <c r="S142" s="113" t="n">
        <f aca="false">IF(Q142="","",Q142-R142)</f>
        <v>0</v>
      </c>
      <c r="T142" s="113" t="n">
        <f aca="false">IF(T141="","",Model!H308-T141)</f>
        <v>0</v>
      </c>
      <c r="U142" s="113" t="s">
        <v>464</v>
      </c>
      <c r="V142" s="113" t="n">
        <f aca="false">IF(T142="","",T142-U142)</f>
        <v>0</v>
      </c>
      <c r="W142" s="113" t="n">
        <f aca="false">IF(W141="","",Model!I308-W141)</f>
        <v>0</v>
      </c>
      <c r="X142" s="113" t="s">
        <v>464</v>
      </c>
      <c r="Y142" s="113" t="n">
        <f aca="false">IF(W142="","",W142-X142)</f>
        <v>0</v>
      </c>
      <c r="Z142" s="113" t="n">
        <f aca="false">IF(Z141="","",Model!J308-Z141)</f>
        <v>-0.00512500019976869</v>
      </c>
      <c r="AA142" s="113" t="s">
        <v>464</v>
      </c>
      <c r="AB142" s="113" t="n">
        <f aca="false">IF(Z142="","",Z142-AA142)</f>
        <v>-0.00512500019976869</v>
      </c>
      <c r="AC142" s="113" t="str">
        <f aca="false">IF(AC141="","",Model!K308-AC141)</f>
        <v/>
      </c>
      <c r="AD142" s="113" t="s">
        <v>464</v>
      </c>
      <c r="AE142" s="113" t="str">
        <f aca="false">IF(AC142="","",AC142-AD142)</f>
        <v/>
      </c>
      <c r="AF142" s="113" t="str">
        <f aca="false">IF(AF141="","",Model!L308-AF141)</f>
        <v/>
      </c>
      <c r="AG142" s="113" t="s">
        <v>464</v>
      </c>
      <c r="AH142" s="113" t="str">
        <f aca="false">IF(AF142="","",AF142-AG142)</f>
        <v/>
      </c>
      <c r="AI142" s="113" t="str">
        <f aca="false">IF(AI141="","",Model!M308-AI141)</f>
        <v/>
      </c>
      <c r="AJ142" s="113" t="s">
        <v>464</v>
      </c>
      <c r="AK142" s="113" t="str">
        <f aca="false">IF(AI142="","",AI142-AJ142)</f>
        <v/>
      </c>
      <c r="AL142" s="116" t="n">
        <f aca="false">SUM(Model!$B308:INDEX(Model!$B308:$M308,$B$27))-AL141</f>
        <v>-0.00512500060722232</v>
      </c>
      <c r="AM142" s="116" t="s">
        <v>464</v>
      </c>
      <c r="AN142" s="116" t="n">
        <f aca="false">AL142-AM142</f>
        <v>-0.00512500060722232</v>
      </c>
      <c r="AP142" s="114" t="s">
        <v>465</v>
      </c>
    </row>
    <row r="143" customFormat="false" ht="15" hidden="false" customHeight="true" outlineLevel="0" collapsed="false">
      <c r="A143" s="115" t="s">
        <v>466</v>
      </c>
      <c r="B143" s="117" t="n">
        <f aca="false">IF(B141="","",B141+B142)</f>
        <v>-206557.78</v>
      </c>
      <c r="C143" s="117" t="n">
        <f aca="false">C141</f>
        <v>-88218.83</v>
      </c>
      <c r="D143" s="117" t="n">
        <f aca="false">IF(B143="","",B143-C143)</f>
        <v>-118338.95</v>
      </c>
      <c r="E143" s="117" t="n">
        <f aca="false">IF(E141="","",E141+E142)</f>
        <v>-469696.73</v>
      </c>
      <c r="F143" s="117" t="n">
        <f aca="false">F141</f>
        <v>-72974.17</v>
      </c>
      <c r="G143" s="117" t="n">
        <f aca="false">IF(E143="","",E143-F143)</f>
        <v>-396722.56</v>
      </c>
      <c r="H143" s="117" t="n">
        <f aca="false">IF(H141="","",H141+H142)</f>
        <v>21337.26</v>
      </c>
      <c r="I143" s="117" t="n">
        <f aca="false">I141</f>
        <v>-57798.76</v>
      </c>
      <c r="J143" s="117" t="n">
        <f aca="false">IF(H143="","",H143-I143)</f>
        <v>79136.02</v>
      </c>
      <c r="K143" s="117" t="n">
        <f aca="false">IF(K141="","",K141+K142)</f>
        <v>212136.55</v>
      </c>
      <c r="L143" s="117" t="n">
        <f aca="false">L141</f>
        <v>-31421.36</v>
      </c>
      <c r="M143" s="117" t="n">
        <f aca="false">IF(K143="","",K143-L143)</f>
        <v>243557.91</v>
      </c>
      <c r="N143" s="117" t="n">
        <f aca="false">IF(N141="","",N141+N142)</f>
        <v>-188293.09</v>
      </c>
      <c r="O143" s="117" t="n">
        <f aca="false">O141</f>
        <v>122738.83</v>
      </c>
      <c r="P143" s="117" t="n">
        <f aca="false">IF(N143="","",N143-O143)</f>
        <v>-311031.92</v>
      </c>
      <c r="Q143" s="117" t="n">
        <f aca="false">IF(Q141="","",Q141+Q142)</f>
        <v>503071.030000001</v>
      </c>
      <c r="R143" s="117" t="n">
        <f aca="false">R141</f>
        <v>139414.41</v>
      </c>
      <c r="S143" s="117" t="n">
        <f aca="false">IF(Q143="","",Q143-R143)</f>
        <v>363656.620000001</v>
      </c>
      <c r="T143" s="117" t="n">
        <f aca="false">IF(T141="","",T141+T142)</f>
        <v>1326754.58</v>
      </c>
      <c r="U143" s="117" t="n">
        <f aca="false">U141</f>
        <v>153517.41</v>
      </c>
      <c r="V143" s="117" t="n">
        <f aca="false">IF(T143="","",T143-U143)</f>
        <v>1173237.17</v>
      </c>
      <c r="W143" s="117" t="n">
        <f aca="false">IF(W141="","",W141+W142)</f>
        <v>171785.53</v>
      </c>
      <c r="X143" s="117" t="n">
        <f aca="false">X141</f>
        <v>164629.55</v>
      </c>
      <c r="Y143" s="117" t="n">
        <f aca="false">IF(W143="","",W143-X143)</f>
        <v>7155.97999999966</v>
      </c>
      <c r="Z143" s="117" t="n">
        <f aca="false">IF(Z141="","",Z141+Z142)</f>
        <v>-213564.895125001</v>
      </c>
      <c r="AA143" s="117" t="n">
        <f aca="false">AA141</f>
        <v>172088.91</v>
      </c>
      <c r="AB143" s="117" t="n">
        <f aca="false">IF(Z143="","",Z143-AA143)</f>
        <v>-385653.805125001</v>
      </c>
      <c r="AC143" s="117" t="str">
        <f aca="false">IF(AC141="","",AC141+AC142)</f>
        <v/>
      </c>
      <c r="AD143" s="117" t="n">
        <f aca="false">AD141</f>
        <v>165342.57</v>
      </c>
      <c r="AE143" s="117" t="str">
        <f aca="false">IF(AC143="","",AC143-AD143)</f>
        <v/>
      </c>
      <c r="AF143" s="117" t="str">
        <f aca="false">IF(AF141="","",AF141+AF142)</f>
        <v/>
      </c>
      <c r="AG143" s="117" t="n">
        <f aca="false">AG141</f>
        <v>164759.67</v>
      </c>
      <c r="AH143" s="117" t="str">
        <f aca="false">IF(AF143="","",AF143-AG143)</f>
        <v/>
      </c>
      <c r="AI143" s="117" t="str">
        <f aca="false">IF(AI141="","",AI141+AI142)</f>
        <v/>
      </c>
      <c r="AJ143" s="117" t="n">
        <f aca="false">AJ141</f>
        <v>115877.35</v>
      </c>
      <c r="AK143" s="117" t="str">
        <f aca="false">IF(AI143="","",AI143-AJ143)</f>
        <v/>
      </c>
      <c r="AL143" s="117" t="n">
        <f aca="false">AL141+AL142</f>
        <v>1156972.454875</v>
      </c>
      <c r="AM143" s="117" t="n">
        <f aca="false">AM141</f>
        <v>501975.99</v>
      </c>
      <c r="AN143" s="117" t="n">
        <f aca="false">AL143-AM143</f>
        <v>654996.464875001</v>
      </c>
      <c r="AP143" s="114" t="s">
        <v>467</v>
      </c>
    </row>
    <row r="146" customFormat="false" ht="13.5" hidden="false" customHeight="true" outlineLevel="0" collapsed="false">
      <c r="A146" s="94" t="s">
        <v>468</v>
      </c>
    </row>
    <row r="147" customFormat="false" ht="13.5" hidden="false" customHeight="true" outlineLevel="0" collapsed="false">
      <c r="A147" s="72" t="s">
        <v>469</v>
      </c>
    </row>
    <row r="148" customFormat="false" ht="30" hidden="false" customHeight="true" outlineLevel="0" collapsed="false">
      <c r="A148" s="122" t="s">
        <v>470</v>
      </c>
      <c r="B148" s="122" t="s">
        <v>471</v>
      </c>
      <c r="C148" s="122" t="s">
        <v>472</v>
      </c>
      <c r="D148" s="122" t="s">
        <v>373</v>
      </c>
      <c r="E148" s="122" t="s">
        <v>473</v>
      </c>
      <c r="F148" s="122" t="s">
        <v>474</v>
      </c>
      <c r="G148" s="122" t="s">
        <v>373</v>
      </c>
      <c r="H148" s="122" t="s">
        <v>475</v>
      </c>
      <c r="I148" s="122" t="s">
        <v>476</v>
      </c>
      <c r="J148" s="122" t="s">
        <v>477</v>
      </c>
      <c r="K148" s="122" t="s">
        <v>478</v>
      </c>
    </row>
    <row r="149" customFormat="false" ht="13.5" hidden="false" customHeight="true" outlineLevel="0" collapsed="false">
      <c r="A149" s="123" t="s">
        <v>8</v>
      </c>
      <c r="B149" s="124" t="n">
        <v>11689116.26</v>
      </c>
      <c r="C149" s="124" t="n">
        <v>11679862</v>
      </c>
      <c r="D149" s="124" t="n">
        <v>-9254.26</v>
      </c>
      <c r="E149" s="124" t="n">
        <v>967731.17</v>
      </c>
      <c r="F149" s="124" t="n">
        <v>1194617</v>
      </c>
      <c r="G149" s="124" t="n">
        <v>226885.83</v>
      </c>
      <c r="H149" s="124" t="n">
        <v>194348</v>
      </c>
      <c r="I149" s="124" t="n">
        <v>0</v>
      </c>
      <c r="J149" s="124" t="n">
        <v>421233.83</v>
      </c>
      <c r="K149" s="123" t="s">
        <v>479</v>
      </c>
    </row>
    <row r="150" customFormat="false" ht="13.5" hidden="false" customHeight="true" outlineLevel="0" collapsed="false">
      <c r="A150" s="123" t="s">
        <v>7</v>
      </c>
      <c r="B150" s="124" t="n">
        <v>5988349.59</v>
      </c>
      <c r="C150" s="124" t="n">
        <v>6519474</v>
      </c>
      <c r="D150" s="124" t="n">
        <v>531124.41</v>
      </c>
      <c r="E150" s="124" t="n">
        <v>570930.76</v>
      </c>
      <c r="F150" s="124" t="n">
        <v>646560</v>
      </c>
      <c r="G150" s="124" t="n">
        <v>75629.24</v>
      </c>
      <c r="H150" s="124" t="n">
        <v>203261</v>
      </c>
      <c r="I150" s="124" t="n">
        <v>0</v>
      </c>
      <c r="J150" s="124" t="n">
        <v>278890.24</v>
      </c>
      <c r="K150" s="123" t="s">
        <v>480</v>
      </c>
    </row>
    <row r="151" customFormat="false" ht="13.5" hidden="false" customHeight="true" outlineLevel="0" collapsed="false">
      <c r="A151" s="123" t="s">
        <v>9</v>
      </c>
      <c r="B151" s="124" t="n">
        <v>5961772.17</v>
      </c>
      <c r="C151" s="124" t="n">
        <v>6528368</v>
      </c>
      <c r="D151" s="124" t="n">
        <v>566595.83</v>
      </c>
      <c r="E151" s="124" t="n">
        <v>734724.48</v>
      </c>
      <c r="F151" s="124" t="n">
        <v>890484</v>
      </c>
      <c r="G151" s="124" t="n">
        <v>155759.52</v>
      </c>
      <c r="H151" s="124" t="n">
        <v>53073.9</v>
      </c>
      <c r="I151" s="124" t="n">
        <v>0</v>
      </c>
      <c r="J151" s="124" t="n">
        <v>208833.42</v>
      </c>
      <c r="K151" s="123" t="s">
        <v>481</v>
      </c>
    </row>
    <row r="152" customFormat="false" ht="13.5" hidden="false" customHeight="true" outlineLevel="0" collapsed="false">
      <c r="A152" s="123" t="s">
        <v>10</v>
      </c>
      <c r="B152" s="124" t="n">
        <v>6689501.85</v>
      </c>
      <c r="C152" s="124" t="n">
        <v>7256752</v>
      </c>
      <c r="D152" s="124" t="n">
        <v>567250.15</v>
      </c>
      <c r="E152" s="124" t="n">
        <v>820840.12</v>
      </c>
      <c r="F152" s="124" t="n">
        <v>986809</v>
      </c>
      <c r="G152" s="124" t="n">
        <v>165968.88</v>
      </c>
      <c r="H152" s="124" t="n">
        <v>66153.2</v>
      </c>
      <c r="I152" s="124" t="n">
        <v>0</v>
      </c>
      <c r="J152" s="124" t="n">
        <v>232122.08</v>
      </c>
      <c r="K152" s="123" t="s">
        <v>482</v>
      </c>
    </row>
    <row r="153" customFormat="false" ht="13.5" hidden="false" customHeight="true" outlineLevel="0" collapsed="false">
      <c r="A153" s="123" t="s">
        <v>11</v>
      </c>
      <c r="B153" s="124" t="n">
        <v>1854831.95</v>
      </c>
      <c r="C153" s="124" t="n">
        <v>2132100</v>
      </c>
      <c r="D153" s="124" t="n">
        <v>277268.05</v>
      </c>
      <c r="E153" s="124" t="n">
        <v>284673.49</v>
      </c>
      <c r="F153" s="124" t="n">
        <v>245376</v>
      </c>
      <c r="G153" s="124" t="n">
        <v>-39297.49</v>
      </c>
      <c r="H153" s="124" t="n">
        <v>2920</v>
      </c>
      <c r="I153" s="124" t="n">
        <v>0</v>
      </c>
      <c r="J153" s="124" t="n">
        <v>-36377.49</v>
      </c>
      <c r="K153" s="123" t="s">
        <v>483</v>
      </c>
    </row>
    <row r="154" customFormat="false" ht="13.5" hidden="false" customHeight="true" outlineLevel="0" collapsed="false">
      <c r="A154" s="123" t="s">
        <v>12</v>
      </c>
      <c r="B154" s="124" t="n">
        <v>4646302.67</v>
      </c>
      <c r="C154" s="124" t="n">
        <v>611464</v>
      </c>
      <c r="D154" s="124" t="n">
        <v>-4034838.67</v>
      </c>
      <c r="E154" s="124" t="n">
        <v>764526.9</v>
      </c>
      <c r="F154" s="124" t="n">
        <v>331583.48</v>
      </c>
      <c r="G154" s="124" t="n">
        <v>-432943.42</v>
      </c>
      <c r="H154" s="124" t="n">
        <v>-10941.42</v>
      </c>
      <c r="I154" s="124" t="n">
        <v>159764.83</v>
      </c>
      <c r="J154" s="124" t="n">
        <v>-284120.01</v>
      </c>
      <c r="K154" s="123" t="s">
        <v>484</v>
      </c>
    </row>
    <row r="155" customFormat="false" ht="13.5" hidden="false" customHeight="true" outlineLevel="0" collapsed="false">
      <c r="A155" s="123" t="s">
        <v>14</v>
      </c>
      <c r="B155" s="124" t="n">
        <v>0</v>
      </c>
      <c r="C155" s="124" t="n">
        <v>401042</v>
      </c>
      <c r="D155" s="124" t="n">
        <v>401042</v>
      </c>
      <c r="E155" s="124" t="n">
        <v>0</v>
      </c>
      <c r="F155" s="124" t="n">
        <v>69735.21</v>
      </c>
      <c r="G155" s="124" t="n">
        <v>69735.21</v>
      </c>
      <c r="H155" s="124" t="n">
        <v>-107430.7</v>
      </c>
      <c r="I155" s="124" t="n">
        <v>211877</v>
      </c>
      <c r="J155" s="124" t="n">
        <v>174181.51</v>
      </c>
      <c r="K155" s="123" t="s">
        <v>485</v>
      </c>
    </row>
    <row r="156" customFormat="false" ht="13.5" hidden="false" customHeight="true" outlineLevel="0" collapsed="false">
      <c r="A156" s="123" t="s">
        <v>13</v>
      </c>
      <c r="B156" s="124" t="n">
        <v>0</v>
      </c>
      <c r="C156" s="124" t="n">
        <v>163426.21</v>
      </c>
      <c r="D156" s="124" t="n">
        <v>163426.21</v>
      </c>
      <c r="E156" s="124" t="n">
        <v>0</v>
      </c>
      <c r="F156" s="124" t="n">
        <v>80248.47</v>
      </c>
      <c r="G156" s="124" t="n">
        <v>80248.47</v>
      </c>
      <c r="H156" s="124" t="n">
        <v>-597.48</v>
      </c>
      <c r="I156" s="124" t="n">
        <v>-230271.47</v>
      </c>
      <c r="J156" s="124" t="n">
        <v>-150620.48</v>
      </c>
      <c r="K156" s="123" t="s">
        <v>486</v>
      </c>
    </row>
    <row r="157" customFormat="false" ht="13.5" hidden="false" customHeight="true" outlineLevel="0" collapsed="false">
      <c r="A157" s="123" t="s">
        <v>487</v>
      </c>
      <c r="B157" s="124" t="n">
        <v>0</v>
      </c>
      <c r="C157" s="124" t="n">
        <v>0</v>
      </c>
      <c r="D157" s="124" t="n">
        <v>0</v>
      </c>
      <c r="E157" s="124" t="n">
        <v>0</v>
      </c>
      <c r="F157" s="124" t="n">
        <v>0</v>
      </c>
      <c r="G157" s="124" t="n">
        <v>0</v>
      </c>
      <c r="H157" s="124" t="n">
        <v>2330</v>
      </c>
      <c r="I157" s="124" t="n">
        <v>-1966.5</v>
      </c>
      <c r="J157" s="124" t="n">
        <v>363.5</v>
      </c>
      <c r="K157" s="123" t="s">
        <v>488</v>
      </c>
    </row>
    <row r="158" customFormat="false" ht="13.5" hidden="false" customHeight="true" outlineLevel="0" collapsed="false">
      <c r="A158" s="94" t="s">
        <v>489</v>
      </c>
      <c r="B158" s="125" t="n">
        <v>36829874.49</v>
      </c>
      <c r="C158" s="125" t="n">
        <v>35292488.21</v>
      </c>
      <c r="D158" s="125" t="n">
        <v>-1537386.28</v>
      </c>
      <c r="E158" s="125" t="n">
        <v>4143426.92</v>
      </c>
      <c r="F158" s="125" t="n">
        <v>4445413.16</v>
      </c>
      <c r="G158" s="125" t="n">
        <v>301986.24</v>
      </c>
      <c r="H158" s="125" t="n">
        <v>403116.5</v>
      </c>
      <c r="I158" s="125" t="n">
        <v>139403.86</v>
      </c>
      <c r="J158" s="125" t="n">
        <v>844506.6</v>
      </c>
      <c r="K158" s="72" t="s">
        <v>490</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265625" defaultRowHeight="13.5" customHeight="false"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491</v>
      </c>
    </row>
    <row r="2" customFormat="false" ht="15" hidden="false" customHeight="true" outlineLevel="0" collapsed="false">
      <c r="A2" s="72" t="s">
        <v>492</v>
      </c>
    </row>
    <row r="3" customFormat="false" ht="15" hidden="false" customHeight="true" outlineLevel="0" collapsed="false">
      <c r="A3" s="109"/>
    </row>
    <row r="4" customFormat="false" ht="19.5" hidden="false" customHeight="true" outlineLevel="0" collapsed="false">
      <c r="A4" s="94" t="s">
        <v>493</v>
      </c>
    </row>
    <row r="5" customFormat="false" ht="15" hidden="false" customHeight="true" outlineLevel="0" collapsed="false">
      <c r="A5" s="72" t="s">
        <v>494</v>
      </c>
    </row>
    <row r="6" customFormat="false" ht="15" hidden="false" customHeight="true" outlineLevel="0" collapsed="false">
      <c r="A6" s="110"/>
      <c r="B6" s="110" t="s">
        <v>495</v>
      </c>
      <c r="C6" s="110" t="s">
        <v>372</v>
      </c>
      <c r="D6" s="110" t="s">
        <v>373</v>
      </c>
      <c r="E6" s="110" t="s">
        <v>496</v>
      </c>
      <c r="F6" s="110" t="s">
        <v>375</v>
      </c>
      <c r="G6" s="110" t="s">
        <v>376</v>
      </c>
    </row>
    <row r="7" customFormat="false" ht="15" hidden="false" customHeight="true" outlineLevel="0" collapsed="false">
      <c r="A7" s="112" t="s">
        <v>378</v>
      </c>
    </row>
    <row r="8" customFormat="false" ht="15" hidden="false" customHeight="true" outlineLevel="0" collapsed="false">
      <c r="A8" s="109" t="s">
        <v>379</v>
      </c>
      <c r="B8" s="113" t="n">
        <f aca="false">SUM('Reforecast Q1 2026'!$C$81:$N$81)</f>
        <v>472791.64</v>
      </c>
      <c r="C8" s="113" t="n">
        <f aca="false">SUM(Model!$B$261:$M$261)</f>
        <v>913272.31</v>
      </c>
      <c r="D8" s="113" t="n">
        <f aca="false">C8-B8</f>
        <v>440480.67</v>
      </c>
      <c r="E8" s="113" t="n">
        <f aca="false">AM105</f>
        <v>363197.89</v>
      </c>
      <c r="F8" s="113" t="n">
        <f aca="false">AL105</f>
        <v>803678.56</v>
      </c>
      <c r="G8" s="113" t="n">
        <f aca="false">F8-E8</f>
        <v>440480.67</v>
      </c>
    </row>
    <row r="9" customFormat="false" ht="15" hidden="false" customHeight="true" outlineLevel="0" collapsed="false">
      <c r="A9" s="109" t="s">
        <v>381</v>
      </c>
      <c r="B9" s="113" t="n">
        <f aca="false">SUM('Reforecast Q1 2026'!$C$112:$N$112)</f>
        <v>-1331271.005</v>
      </c>
      <c r="C9" s="113" t="n">
        <f aca="false">SUM(Model!$B$292:$M$292)</f>
        <v>-2431727.65</v>
      </c>
      <c r="D9" s="113" t="n">
        <f aca="false">C9-B9</f>
        <v>-1100456.645</v>
      </c>
      <c r="E9" s="113" t="n">
        <f aca="false">AM136</f>
        <v>-1097000.73</v>
      </c>
      <c r="F9" s="113" t="n">
        <f aca="false">AL136</f>
        <v>-1889927.29</v>
      </c>
      <c r="G9" s="113" t="n">
        <f aca="false">F9-E9</f>
        <v>-792926.560000001</v>
      </c>
    </row>
    <row r="10" customFormat="false" ht="15" hidden="false" customHeight="true" outlineLevel="0" collapsed="false">
      <c r="A10" s="115" t="s">
        <v>140</v>
      </c>
      <c r="B10" s="116" t="n">
        <f aca="false">SUM('Reforecast Q1 2026'!$C$114:$N$114)</f>
        <v>-858479.364999999</v>
      </c>
      <c r="C10" s="116" t="n">
        <f aca="false">SUM(Model!$B$293:$M$293)</f>
        <v>-1518455.34</v>
      </c>
      <c r="D10" s="116" t="n">
        <f aca="false">C10-B10</f>
        <v>-659975.975000001</v>
      </c>
      <c r="E10" s="116" t="n">
        <f aca="false">AM138</f>
        <v>-733802.84</v>
      </c>
      <c r="F10" s="116" t="n">
        <f aca="false">AL138</f>
        <v>-1035411.69</v>
      </c>
      <c r="G10" s="116" t="n">
        <f aca="false">F10-E10</f>
        <v>-301608.85</v>
      </c>
    </row>
    <row r="11" customFormat="false" ht="15" hidden="false" customHeight="true" outlineLevel="0" collapsed="false">
      <c r="A11" s="112" t="s">
        <v>384</v>
      </c>
    </row>
    <row r="12" customFormat="false" ht="15" hidden="false" customHeight="true" outlineLevel="0" collapsed="false">
      <c r="A12" s="109" t="s">
        <v>385</v>
      </c>
      <c r="B12" s="113" t="n">
        <f aca="false">SUM('Reforecast Q1 2026'!$C$8:$N$11)</f>
        <v>6567424.1605258</v>
      </c>
      <c r="C12" s="113" t="n">
        <f aca="false">SUM(Model!$B$10:$M$11)</f>
        <v>6318146.89</v>
      </c>
      <c r="D12" s="113" t="n">
        <f aca="false">C12-B12</f>
        <v>-249277.270525798</v>
      </c>
      <c r="E12" s="113" t="n">
        <f aca="false">SUM(AM32:AM35)</f>
        <v>4098370.45772654</v>
      </c>
      <c r="F12" s="113" t="n">
        <f aca="false">SUM(AL32:AL35)</f>
        <v>4444917.71</v>
      </c>
      <c r="G12" s="113" t="n">
        <f aca="false">F12-E12</f>
        <v>346547.252273462</v>
      </c>
    </row>
    <row r="13" customFormat="false" ht="15" hidden="false" customHeight="true" outlineLevel="0" collapsed="false">
      <c r="A13" s="109" t="s">
        <v>387</v>
      </c>
      <c r="B13" s="113" t="n">
        <f aca="false">SUM('Reforecast Q1 2026'!$C$12:$N$12)+SUM('Reforecast Q1 2026'!$C$14:$N$14)</f>
        <v>-29723.3403436914</v>
      </c>
      <c r="C13" s="113" t="n">
        <f aca="false">SUM(Model!$B$57:$M$57)+SUM(Model!$B$104:$M$104)+SUM(Model!$B$197:$M$198)</f>
        <v>156578.910000003</v>
      </c>
      <c r="D13" s="113" t="n">
        <f aca="false">C13-B13</f>
        <v>186302.250343695</v>
      </c>
      <c r="E13" s="113" t="n">
        <f aca="false">AM36+AM38</f>
        <v>-29723.3392681703</v>
      </c>
      <c r="F13" s="113" t="n">
        <f aca="false">AL36+AL38</f>
        <v>542520.770000003</v>
      </c>
      <c r="G13" s="113" t="n">
        <f aca="false">F13-E13</f>
        <v>572244.109268174</v>
      </c>
    </row>
    <row r="14" customFormat="false" ht="15" hidden="false" customHeight="true" outlineLevel="0" collapsed="false">
      <c r="A14" s="109" t="s">
        <v>389</v>
      </c>
      <c r="B14" s="113" t="n">
        <f aca="false">SUM('Reforecast Q1 2026'!$C$15:$N$16)</f>
        <v>710172.5608</v>
      </c>
      <c r="C14" s="113" t="n">
        <f aca="false">SUM(Model!$B$196:$M$196)</f>
        <v>-376823.155309729</v>
      </c>
      <c r="D14" s="113" t="n">
        <f aca="false">C14-B14</f>
        <v>-1086995.71610973</v>
      </c>
      <c r="E14" s="113" t="n">
        <f aca="false">AM39+AM40</f>
        <v>324593.7048</v>
      </c>
      <c r="F14" s="113" t="n">
        <f aca="false">AL39+AL40</f>
        <v>0</v>
      </c>
      <c r="G14" s="113" t="n">
        <f aca="false">F14-E14</f>
        <v>-324593.7048</v>
      </c>
    </row>
    <row r="15" customFormat="false" ht="15" hidden="false" customHeight="true" outlineLevel="0" collapsed="false">
      <c r="A15" s="115" t="s">
        <v>61</v>
      </c>
      <c r="B15" s="116" t="n">
        <f aca="false">SUM('Reforecast Q1 2026'!$C$17:$N$17)</f>
        <v>7247873.38098211</v>
      </c>
      <c r="C15" s="116" t="n">
        <f aca="false">SUM(Model!$B$199:$M$199)</f>
        <v>6097902.64469027</v>
      </c>
      <c r="D15" s="116" t="n">
        <f aca="false">C15-B15</f>
        <v>-1149970.73629184</v>
      </c>
      <c r="E15" s="116" t="n">
        <f aca="false">AM41</f>
        <v>4393240.82325837</v>
      </c>
      <c r="F15" s="116" t="n">
        <f aca="false">AL41</f>
        <v>4987438.48</v>
      </c>
      <c r="G15" s="116" t="n">
        <f aca="false">F15-E15</f>
        <v>594197.656741633</v>
      </c>
    </row>
    <row r="16" customFormat="false" ht="15" hidden="false" customHeight="true" outlineLevel="0" collapsed="false">
      <c r="A16" s="109" t="s">
        <v>392</v>
      </c>
      <c r="B16" s="113" t="n">
        <f aca="false">SUM('Reforecast Q1 2026'!$C$55:$N$55)</f>
        <v>-5233737.90833333</v>
      </c>
      <c r="C16" s="113" t="n">
        <f aca="false">SUM(Model!$B$236:$M$236)</f>
        <v>-4091637.219</v>
      </c>
      <c r="D16" s="113" t="n">
        <f aca="false">C16-B16</f>
        <v>1142100.68933333</v>
      </c>
      <c r="E16" s="113" t="n">
        <f aca="false">AM79</f>
        <v>-3619369.48333333</v>
      </c>
      <c r="F16" s="113" t="n">
        <f aca="false">AL79</f>
        <v>-2795054.33</v>
      </c>
      <c r="G16" s="113" t="n">
        <f aca="false">F16-E16</f>
        <v>824315.153333331</v>
      </c>
    </row>
    <row r="17" customFormat="false" ht="15" hidden="false" customHeight="true" outlineLevel="0" collapsed="false">
      <c r="A17" s="115" t="s">
        <v>98</v>
      </c>
      <c r="B17" s="116" t="n">
        <f aca="false">SUM('Reforecast Q1 2026'!$C$57:$N$57)</f>
        <v>2014135.48299245</v>
      </c>
      <c r="C17" s="116" t="n">
        <f aca="false">SUM(Model!$B$237:$M$237)</f>
        <v>2006265.42569027</v>
      </c>
      <c r="D17" s="116" t="n">
        <f aca="false">C17-B17</f>
        <v>-7870.05730217299</v>
      </c>
      <c r="E17" s="116" t="n">
        <f aca="false">AM81</f>
        <v>773871.349193196</v>
      </c>
      <c r="F17" s="116" t="n">
        <f aca="false">AL81</f>
        <v>2192384.15</v>
      </c>
      <c r="G17" s="116" t="n">
        <f aca="false">F17-E17</f>
        <v>1418512.80080681</v>
      </c>
    </row>
    <row r="18" customFormat="false" ht="15" hidden="false" customHeight="true" outlineLevel="0" collapsed="false">
      <c r="A18" s="115" t="s">
        <v>395</v>
      </c>
      <c r="B18" s="117" t="n">
        <f aca="false">B10+B17</f>
        <v>1155656.11799245</v>
      </c>
      <c r="C18" s="117" t="n">
        <f aca="false">SUM(Model!$B$308:$M$308)</f>
        <v>491134.274340273</v>
      </c>
      <c r="D18" s="117" t="n">
        <f aca="false">C18-B18</f>
        <v>-664521.843652173</v>
      </c>
      <c r="E18" s="117" t="n">
        <f aca="false">E10+E17</f>
        <v>40068.5091931968</v>
      </c>
      <c r="F18" s="117" t="n">
        <f aca="false">AL141</f>
        <v>1156972.46</v>
      </c>
      <c r="G18" s="117" t="n">
        <f aca="false">F18-E18</f>
        <v>1116903.9508068</v>
      </c>
    </row>
    <row r="19" customFormat="false" ht="15" hidden="false" customHeight="true" outlineLevel="0" collapsed="false">
      <c r="A19" s="109" t="s">
        <v>397</v>
      </c>
      <c r="C19" s="113" t="n">
        <f aca="false">AL141</f>
        <v>1156972.46</v>
      </c>
    </row>
    <row r="20" customFormat="false" ht="15" hidden="false" customHeight="true" outlineLevel="0" collapsed="false">
      <c r="A20" s="109" t="s">
        <v>398</v>
      </c>
      <c r="C20" s="113" t="n">
        <f aca="false">SUM(Model!$B$258:$M$258)</f>
        <v>299000</v>
      </c>
    </row>
    <row r="21" customFormat="false" ht="15" hidden="false" customHeight="true" outlineLevel="0" collapsed="false">
      <c r="A21" s="109" t="s">
        <v>399</v>
      </c>
      <c r="C21" s="113" t="n">
        <f aca="false">C18-C19</f>
        <v>-665838.185659728</v>
      </c>
    </row>
    <row r="22" customFormat="false" ht="15" hidden="false" customHeight="true" outlineLevel="0" collapsed="false">
      <c r="A22" s="72" t="s">
        <v>400</v>
      </c>
    </row>
    <row r="23" customFormat="false" ht="15" hidden="false" customHeight="true" outlineLevel="0" collapsed="false">
      <c r="A23" s="109"/>
    </row>
    <row r="24" customFormat="false" ht="15" hidden="false" customHeight="true" outlineLevel="0" collapsed="false">
      <c r="A24" s="109"/>
    </row>
    <row r="25" customFormat="false" ht="15" hidden="false" customHeight="true" outlineLevel="0" collapsed="false">
      <c r="A25" s="109"/>
    </row>
    <row r="26" customFormat="false" ht="15" hidden="false" customHeight="true" outlineLevel="0" collapsed="false">
      <c r="A26" s="109"/>
    </row>
    <row r="27" customFormat="false" ht="15" hidden="false" customHeight="true" outlineLevel="0" collapsed="false">
      <c r="A27" s="118" t="s">
        <v>401</v>
      </c>
      <c r="B27" s="119" t="n">
        <f aca="false">SUMPRODUCT(--(Actuals!$C$21:$N$21&lt;&gt;""))</f>
        <v>9</v>
      </c>
    </row>
    <row r="28" customFormat="false" ht="15" hidden="false" customHeight="true" outlineLevel="0" collapsed="false">
      <c r="B28" s="120" t="n">
        <v>46023</v>
      </c>
      <c r="C28" s="120"/>
      <c r="D28" s="120"/>
      <c r="E28" s="120" t="n">
        <v>46054</v>
      </c>
      <c r="F28" s="120"/>
      <c r="G28" s="120"/>
      <c r="H28" s="120" t="n">
        <v>46082</v>
      </c>
      <c r="I28" s="120"/>
      <c r="J28" s="120"/>
      <c r="K28" s="120" t="n">
        <v>46113</v>
      </c>
      <c r="L28" s="120"/>
      <c r="M28" s="120"/>
      <c r="N28" s="120" t="n">
        <v>46143</v>
      </c>
      <c r="O28" s="120"/>
      <c r="P28" s="120"/>
      <c r="Q28" s="120" t="n">
        <v>46174</v>
      </c>
      <c r="R28" s="120"/>
      <c r="S28" s="120"/>
      <c r="T28" s="120" t="n">
        <v>46204</v>
      </c>
      <c r="U28" s="120"/>
      <c r="V28" s="120"/>
      <c r="W28" s="120" t="n">
        <v>46235</v>
      </c>
      <c r="X28" s="120"/>
      <c r="Y28" s="120"/>
      <c r="Z28" s="120" t="n">
        <v>46266</v>
      </c>
      <c r="AA28" s="120"/>
      <c r="AB28" s="120"/>
      <c r="AC28" s="120" t="n">
        <v>46296</v>
      </c>
      <c r="AD28" s="120"/>
      <c r="AE28" s="120"/>
      <c r="AF28" s="120" t="n">
        <v>46327</v>
      </c>
      <c r="AG28" s="120"/>
      <c r="AH28" s="120"/>
      <c r="AI28" s="120" t="n">
        <v>46357</v>
      </c>
      <c r="AJ28" s="120"/>
      <c r="AK28" s="120"/>
      <c r="AL28" s="110" t="s">
        <v>402</v>
      </c>
      <c r="AM28" s="110"/>
      <c r="AN28" s="110"/>
    </row>
    <row r="29" customFormat="false" ht="15" hidden="false" customHeight="true" outlineLevel="0" collapsed="false">
      <c r="A29" s="110" t="s">
        <v>403</v>
      </c>
      <c r="B29" s="110" t="s">
        <v>404</v>
      </c>
      <c r="C29" s="110" t="s">
        <v>497</v>
      </c>
      <c r="D29" s="110" t="s">
        <v>373</v>
      </c>
      <c r="E29" s="110" t="s">
        <v>404</v>
      </c>
      <c r="F29" s="110" t="s">
        <v>497</v>
      </c>
      <c r="G29" s="110" t="s">
        <v>373</v>
      </c>
      <c r="H29" s="110" t="s">
        <v>404</v>
      </c>
      <c r="I29" s="110" t="s">
        <v>497</v>
      </c>
      <c r="J29" s="110" t="s">
        <v>373</v>
      </c>
      <c r="K29" s="110" t="s">
        <v>404</v>
      </c>
      <c r="L29" s="110" t="s">
        <v>497</v>
      </c>
      <c r="M29" s="110" t="s">
        <v>373</v>
      </c>
      <c r="N29" s="110" t="s">
        <v>404</v>
      </c>
      <c r="O29" s="110" t="s">
        <v>497</v>
      </c>
      <c r="P29" s="110" t="s">
        <v>373</v>
      </c>
      <c r="Q29" s="110" t="s">
        <v>404</v>
      </c>
      <c r="R29" s="110" t="s">
        <v>497</v>
      </c>
      <c r="S29" s="110" t="s">
        <v>373</v>
      </c>
      <c r="T29" s="110" t="s">
        <v>404</v>
      </c>
      <c r="U29" s="110" t="s">
        <v>497</v>
      </c>
      <c r="V29" s="110" t="s">
        <v>373</v>
      </c>
      <c r="W29" s="110" t="s">
        <v>404</v>
      </c>
      <c r="X29" s="110" t="s">
        <v>497</v>
      </c>
      <c r="Y29" s="110" t="s">
        <v>373</v>
      </c>
      <c r="Z29" s="110" t="s">
        <v>404</v>
      </c>
      <c r="AA29" s="110" t="s">
        <v>497</v>
      </c>
      <c r="AB29" s="110" t="s">
        <v>373</v>
      </c>
      <c r="AC29" s="110" t="s">
        <v>404</v>
      </c>
      <c r="AD29" s="110" t="s">
        <v>497</v>
      </c>
      <c r="AE29" s="110" t="s">
        <v>373</v>
      </c>
      <c r="AF29" s="110" t="s">
        <v>404</v>
      </c>
      <c r="AG29" s="110" t="s">
        <v>497</v>
      </c>
      <c r="AH29" s="110" t="s">
        <v>373</v>
      </c>
      <c r="AI29" s="110" t="s">
        <v>404</v>
      </c>
      <c r="AJ29" s="110" t="s">
        <v>497</v>
      </c>
      <c r="AK29" s="110" t="s">
        <v>373</v>
      </c>
      <c r="AL29" s="110" t="s">
        <v>404</v>
      </c>
      <c r="AM29" s="110" t="s">
        <v>497</v>
      </c>
      <c r="AN29" s="110" t="s">
        <v>373</v>
      </c>
    </row>
    <row r="31" customFormat="false" ht="15" hidden="false" customHeight="true" outlineLevel="0" collapsed="false">
      <c r="A31" s="112" t="s">
        <v>407</v>
      </c>
    </row>
    <row r="32" customFormat="false" ht="15" hidden="false" customHeight="true" outlineLevel="0" collapsed="false">
      <c r="A32" s="109" t="s">
        <v>4</v>
      </c>
      <c r="B32" s="113" t="n">
        <f aca="false">IF(OR(1&gt;$B$27,ISBLANK(Actuals!C8)),"",Actuals!C8)</f>
        <v>116367.35</v>
      </c>
      <c r="C32" s="113" t="n">
        <f aca="false">'Reforecast Q1 2026'!C8</f>
        <v>116363.3</v>
      </c>
      <c r="D32" s="113" t="n">
        <f aca="false">IF(B32="","",B32-C32)</f>
        <v>4.05000000000291</v>
      </c>
      <c r="E32" s="113" t="n">
        <f aca="false">IF(OR(2&gt;$B$27,ISBLANK(Actuals!D8)),"",Actuals!D8)</f>
        <v>138804.22</v>
      </c>
      <c r="F32" s="113" t="n">
        <f aca="false">'Reforecast Q1 2026'!D8</f>
        <v>138801.52</v>
      </c>
      <c r="G32" s="113" t="n">
        <f aca="false">IF(E32="","",E32-F32)</f>
        <v>2.70000000001164</v>
      </c>
      <c r="H32" s="113" t="n">
        <f aca="false">IF(OR(3&gt;$B$27,ISBLANK(Actuals!E8)),"",Actuals!E8)</f>
        <v>219366.88</v>
      </c>
      <c r="I32" s="113" t="n">
        <f aca="false">'Reforecast Q1 2026'!E8</f>
        <v>219366.88</v>
      </c>
      <c r="J32" s="113" t="n">
        <f aca="false">IF(H32="","",H32-I32)</f>
        <v>0</v>
      </c>
      <c r="K32" s="113" t="n">
        <f aca="false">IF(OR(4&gt;$B$27,ISBLANK(Actuals!F8)),"",Actuals!F8)</f>
        <v>212079.14</v>
      </c>
      <c r="L32" s="113" t="n">
        <f aca="false">'Reforecast Q1 2026'!F8</f>
        <v>267934.879957489</v>
      </c>
      <c r="M32" s="113" t="n">
        <f aca="false">IF(K32="","",K32-L32)</f>
        <v>-55855.739957489</v>
      </c>
      <c r="N32" s="113" t="n">
        <f aca="false">IF(OR(5&gt;$B$27,ISBLANK(Actuals!G8)),"",Actuals!G8)</f>
        <v>267726.14</v>
      </c>
      <c r="O32" s="113" t="n">
        <f aca="false">'Reforecast Q1 2026'!G8</f>
        <v>267934.879957489</v>
      </c>
      <c r="P32" s="113" t="n">
        <f aca="false">IF(N32="","",N32-O32)</f>
        <v>-208.739957489015</v>
      </c>
      <c r="Q32" s="113" t="n">
        <f aca="false">IF(OR(6&gt;$B$27,ISBLANK(Actuals!H8)),"",Actuals!H8)</f>
        <v>374773.89</v>
      </c>
      <c r="R32" s="113" t="n">
        <f aca="false">'Reforecast Q1 2026'!H8</f>
        <v>267934.879957489</v>
      </c>
      <c r="S32" s="113" t="n">
        <f aca="false">IF(Q32="","",Q32-R32)</f>
        <v>106839.010042511</v>
      </c>
      <c r="T32" s="113" t="n">
        <f aca="false">IF(OR(7&gt;$B$27,ISBLANK(Actuals!I8)),"",Actuals!I8)</f>
        <v>344954.34</v>
      </c>
      <c r="U32" s="113" t="n">
        <f aca="false">'Reforecast Q1 2026'!I8</f>
        <v>361542.001995889</v>
      </c>
      <c r="V32" s="113" t="n">
        <f aca="false">IF(T32="","",T32-U32)</f>
        <v>-16587.661995889</v>
      </c>
      <c r="W32" s="113" t="n">
        <f aca="false">IF(OR(8&gt;$B$27,ISBLANK(Actuals!J8)),"",Actuals!J8)</f>
        <v>470819.03</v>
      </c>
      <c r="X32" s="113" t="n">
        <f aca="false">'Reforecast Q1 2026'!J8</f>
        <v>361542.001995889</v>
      </c>
      <c r="Y32" s="113" t="n">
        <f aca="false">IF(W32="","",W32-X32)</f>
        <v>109277.028004111</v>
      </c>
      <c r="Z32" s="113" t="n">
        <f aca="false">IF(OR(9&gt;$B$27,ISBLANK(Actuals!K8)),"",Actuals!K8)</f>
        <v>424100.15</v>
      </c>
      <c r="AA32" s="113" t="n">
        <f aca="false">'Reforecast Q1 2026'!K8</f>
        <v>361542.001995889</v>
      </c>
      <c r="AB32" s="113" t="n">
        <f aca="false">IF(Z32="","",Z32-AA32)</f>
        <v>62558.148004111</v>
      </c>
      <c r="AC32" s="113" t="str">
        <f aca="false">IF(OR(10&gt;$B$27,ISBLANK(Actuals!L8)),"",Actuals!L8)</f>
        <v/>
      </c>
      <c r="AD32" s="113" t="n">
        <f aca="false">'Reforecast Q1 2026'!L8</f>
        <v>442929.46088908</v>
      </c>
      <c r="AE32" s="113" t="str">
        <f aca="false">IF(AC32="","",AC32-AD32)</f>
        <v/>
      </c>
      <c r="AF32" s="113" t="str">
        <f aca="false">IF(OR(11&gt;$B$27,ISBLANK(Actuals!M8)),"",Actuals!M8)</f>
        <v/>
      </c>
      <c r="AG32" s="113" t="n">
        <f aca="false">'Reforecast Q1 2026'!M8</f>
        <v>525344.508604757</v>
      </c>
      <c r="AH32" s="113" t="str">
        <f aca="false">IF(AF32="","",AF32-AG32)</f>
        <v/>
      </c>
      <c r="AI32" s="113" t="str">
        <f aca="false">IF(OR(12&gt;$B$27,ISBLANK(Actuals!N8)),"",Actuals!N8)</f>
        <v/>
      </c>
      <c r="AJ32" s="113" t="n">
        <f aca="false">'Reforecast Q1 2026'!N8</f>
        <v>442616.790480539</v>
      </c>
      <c r="AK32" s="113" t="str">
        <f aca="false">IF(AI32="","",AI32-AJ32)</f>
        <v/>
      </c>
      <c r="AL32" s="116" t="n">
        <f aca="false">SUM(Actuals!$C8:INDEX(Actuals!$C8:$N8,$B$27))</f>
        <v>2568991.14</v>
      </c>
      <c r="AM32" s="116" t="n">
        <f aca="false">SUM('Reforecast Q1 2026'!$C8:INDEX('Reforecast Q1 2026'!$C8:$N8,$B$27))</f>
        <v>2362962.34586013</v>
      </c>
      <c r="AN32" s="116" t="n">
        <f aca="false">AL32-AM32</f>
        <v>206028.794139866</v>
      </c>
    </row>
    <row r="33" customFormat="false" ht="15" hidden="false" customHeight="true" outlineLevel="0" collapsed="false">
      <c r="A33" s="109" t="s">
        <v>354</v>
      </c>
      <c r="B33" s="113" t="n">
        <f aca="false">IF(OR(1&gt;$B$27,ISBLANK(Actuals!C9)),"",Actuals!C9)</f>
        <v>0</v>
      </c>
      <c r="C33" s="113" t="n">
        <f aca="false">'Reforecast Q1 2026'!C9</f>
        <v>0</v>
      </c>
      <c r="D33" s="113" t="n">
        <f aca="false">IF(B33="","",B33-C33)</f>
        <v>0</v>
      </c>
      <c r="E33" s="113" t="n">
        <f aca="false">IF(OR(2&gt;$B$27,ISBLANK(Actuals!D9)),"",Actuals!D9)</f>
        <v>0</v>
      </c>
      <c r="F33" s="113" t="n">
        <f aca="false">'Reforecast Q1 2026'!D9</f>
        <v>0</v>
      </c>
      <c r="G33" s="113" t="n">
        <f aca="false">IF(E33="","",E33-F33)</f>
        <v>0</v>
      </c>
      <c r="H33" s="113" t="n">
        <f aca="false">IF(OR(3&gt;$B$27,ISBLANK(Actuals!E9)),"",Actuals!E9)</f>
        <v>0</v>
      </c>
      <c r="I33" s="113" t="n">
        <f aca="false">'Reforecast Q1 2026'!E9</f>
        <v>0</v>
      </c>
      <c r="J33" s="113" t="n">
        <f aca="false">IF(H33="","",H33-I33)</f>
        <v>0</v>
      </c>
      <c r="K33" s="113" t="n">
        <f aca="false">IF(OR(4&gt;$B$27,ISBLANK(Actuals!F9)),"",Actuals!F9)</f>
        <v>0</v>
      </c>
      <c r="L33" s="113" t="n">
        <f aca="false">'Reforecast Q1 2026'!F9</f>
        <v>0</v>
      </c>
      <c r="M33" s="113" t="n">
        <f aca="false">IF(K33="","",K33-L33)</f>
        <v>0</v>
      </c>
      <c r="N33" s="113" t="n">
        <f aca="false">IF(OR(5&gt;$B$27,ISBLANK(Actuals!G9)),"",Actuals!G9)</f>
        <v>0</v>
      </c>
      <c r="O33" s="113" t="n">
        <f aca="false">'Reforecast Q1 2026'!G9</f>
        <v>0</v>
      </c>
      <c r="P33" s="113" t="n">
        <f aca="false">IF(N33="","",N33-O33)</f>
        <v>0</v>
      </c>
      <c r="Q33" s="113" t="n">
        <f aca="false">IF(OR(6&gt;$B$27,ISBLANK(Actuals!H9)),"",Actuals!H9)</f>
        <v>0</v>
      </c>
      <c r="R33" s="113" t="n">
        <f aca="false">'Reforecast Q1 2026'!H9</f>
        <v>0</v>
      </c>
      <c r="S33" s="113" t="n">
        <f aca="false">IF(Q33="","",Q33-R33)</f>
        <v>0</v>
      </c>
      <c r="T33" s="113" t="n">
        <f aca="false">IF(OR(7&gt;$B$27,ISBLANK(Actuals!I9)),"",Actuals!I9)</f>
        <v>0</v>
      </c>
      <c r="U33" s="113" t="n">
        <f aca="false">'Reforecast Q1 2026'!I9</f>
        <v>0</v>
      </c>
      <c r="V33" s="113" t="n">
        <f aca="false">IF(T33="","",T33-U33)</f>
        <v>0</v>
      </c>
      <c r="W33" s="113" t="n">
        <f aca="false">IF(OR(8&gt;$B$27,ISBLANK(Actuals!J9)),"",Actuals!J9)</f>
        <v>0</v>
      </c>
      <c r="X33" s="113" t="n">
        <f aca="false">'Reforecast Q1 2026'!J9</f>
        <v>0</v>
      </c>
      <c r="Y33" s="113" t="n">
        <f aca="false">IF(W33="","",W33-X33)</f>
        <v>0</v>
      </c>
      <c r="Z33" s="113" t="n">
        <f aca="false">IF(OR(9&gt;$B$27,ISBLANK(Actuals!K9)),"",Actuals!K9)</f>
        <v>0</v>
      </c>
      <c r="AA33" s="113" t="n">
        <f aca="false">'Reforecast Q1 2026'!K9</f>
        <v>0</v>
      </c>
      <c r="AB33" s="113" t="n">
        <f aca="false">IF(Z33="","",Z33-AA33)</f>
        <v>0</v>
      </c>
      <c r="AC33" s="113" t="str">
        <f aca="false">IF(OR(10&gt;$B$27,ISBLANK(Actuals!L9)),"",Actuals!L9)</f>
        <v/>
      </c>
      <c r="AD33" s="113" t="n">
        <f aca="false">'Reforecast Q1 2026'!L9</f>
        <v>0</v>
      </c>
      <c r="AE33" s="113" t="str">
        <f aca="false">IF(AC33="","",AC33-AD33)</f>
        <v/>
      </c>
      <c r="AF33" s="113" t="str">
        <f aca="false">IF(OR(11&gt;$B$27,ISBLANK(Actuals!M9)),"",Actuals!M9)</f>
        <v/>
      </c>
      <c r="AG33" s="113" t="n">
        <f aca="false">'Reforecast Q1 2026'!M9</f>
        <v>0</v>
      </c>
      <c r="AH33" s="113" t="str">
        <f aca="false">IF(AF33="","",AF33-AG33)</f>
        <v/>
      </c>
      <c r="AI33" s="113" t="str">
        <f aca="false">IF(OR(12&gt;$B$27,ISBLANK(Actuals!N9)),"",Actuals!N9)</f>
        <v/>
      </c>
      <c r="AJ33" s="113" t="n">
        <f aca="false">'Reforecast Q1 2026'!N9</f>
        <v>0</v>
      </c>
      <c r="AK33" s="113" t="str">
        <f aca="false">IF(AI33="","",AI33-AJ33)</f>
        <v/>
      </c>
      <c r="AL33" s="116" t="n">
        <f aca="false">SUM(Actuals!$C9:INDEX(Actuals!$C9:$N9,$B$27))</f>
        <v>0</v>
      </c>
      <c r="AM33" s="116" t="n">
        <f aca="false">SUM('Reforecast Q1 2026'!$C9:INDEX('Reforecast Q1 2026'!$C9:$N9,$B$27))</f>
        <v>0</v>
      </c>
      <c r="AN33" s="116" t="n">
        <f aca="false">AL33-AM33</f>
        <v>0</v>
      </c>
    </row>
    <row r="34" customFormat="false" ht="15" hidden="false" customHeight="true" outlineLevel="0" collapsed="false">
      <c r="A34" s="109" t="s">
        <v>5</v>
      </c>
      <c r="B34" s="113" t="n">
        <f aca="false">IF(OR(1&gt;$B$27,ISBLANK(Actuals!C10)),"",Actuals!C10)</f>
        <v>95370.25</v>
      </c>
      <c r="C34" s="113" t="n">
        <f aca="false">'Reforecast Q1 2026'!C10</f>
        <v>95370.25</v>
      </c>
      <c r="D34" s="113" t="n">
        <f aca="false">IF(B34="","",B34-C34)</f>
        <v>0</v>
      </c>
      <c r="E34" s="113" t="n">
        <f aca="false">IF(OR(2&gt;$B$27,ISBLANK(Actuals!D10)),"",Actuals!D10)</f>
        <v>173282.89</v>
      </c>
      <c r="F34" s="113" t="n">
        <f aca="false">'Reforecast Q1 2026'!D10</f>
        <v>173282.89</v>
      </c>
      <c r="G34" s="113" t="n">
        <f aca="false">IF(E34="","",E34-F34)</f>
        <v>0</v>
      </c>
      <c r="H34" s="113" t="n">
        <f aca="false">IF(OR(3&gt;$B$27,ISBLANK(Actuals!E10)),"",Actuals!E10)</f>
        <v>50438.85</v>
      </c>
      <c r="I34" s="113" t="n">
        <f aca="false">'Reforecast Q1 2026'!E10</f>
        <v>50438.85</v>
      </c>
      <c r="J34" s="113" t="n">
        <f aca="false">IF(H34="","",H34-I34)</f>
        <v>0</v>
      </c>
      <c r="K34" s="113" t="n">
        <f aca="false">IF(OR(4&gt;$B$27,ISBLANK(Actuals!F10)),"",Actuals!F10)</f>
        <v>167518.85</v>
      </c>
      <c r="L34" s="113" t="n">
        <f aca="false">'Reforecast Q1 2026'!F10</f>
        <v>200950.186296774</v>
      </c>
      <c r="M34" s="113" t="n">
        <f aca="false">IF(K34="","",K34-L34)</f>
        <v>-33431.336296774</v>
      </c>
      <c r="N34" s="113" t="n">
        <f aca="false">IF(OR(5&gt;$B$27,ISBLANK(Actuals!G10)),"",Actuals!G10)</f>
        <v>209057.26</v>
      </c>
      <c r="O34" s="113" t="n">
        <f aca="false">'Reforecast Q1 2026'!G10</f>
        <v>200950.186296774</v>
      </c>
      <c r="P34" s="113" t="n">
        <f aca="false">IF(N34="","",N34-O34)</f>
        <v>8107.07370322602</v>
      </c>
      <c r="Q34" s="113" t="n">
        <f aca="false">IF(OR(6&gt;$B$27,ISBLANK(Actuals!H10)),"",Actuals!H10)</f>
        <v>292966.36</v>
      </c>
      <c r="R34" s="113" t="n">
        <f aca="false">'Reforecast Q1 2026'!H10</f>
        <v>200950.186296774</v>
      </c>
      <c r="S34" s="113" t="n">
        <f aca="false">IF(Q34="","",Q34-R34)</f>
        <v>92016.173703226</v>
      </c>
      <c r="T34" s="113" t="n">
        <f aca="false">IF(OR(7&gt;$B$27,ISBLANK(Actuals!I10)),"",Actuals!I10)</f>
        <v>271584.24</v>
      </c>
      <c r="U34" s="113" t="n">
        <f aca="false">'Reforecast Q1 2026'!I10</f>
        <v>271155.187658694</v>
      </c>
      <c r="V34" s="113" t="n">
        <f aca="false">IF(T34="","",T34-U34)</f>
        <v>429.052341306</v>
      </c>
      <c r="W34" s="113" t="n">
        <f aca="false">IF(OR(8&gt;$B$27,ISBLANK(Actuals!J10)),"",Actuals!J10)</f>
        <v>289785.36</v>
      </c>
      <c r="X34" s="113" t="n">
        <f aca="false">'Reforecast Q1 2026'!J10</f>
        <v>271155.187658694</v>
      </c>
      <c r="Y34" s="113" t="n">
        <f aca="false">IF(W34="","",W34-X34)</f>
        <v>18630.172341306</v>
      </c>
      <c r="Z34" s="113" t="n">
        <f aca="false">IF(OR(9&gt;$B$27,ISBLANK(Actuals!K10)),"",Actuals!K10)</f>
        <v>325922.51</v>
      </c>
      <c r="AA34" s="113" t="n">
        <f aca="false">'Reforecast Q1 2026'!K10</f>
        <v>271155.187658694</v>
      </c>
      <c r="AB34" s="113" t="n">
        <f aca="false">IF(Z34="","",Z34-AA34)</f>
        <v>54767.322341306</v>
      </c>
      <c r="AC34" s="113" t="str">
        <f aca="false">IF(OR(10&gt;$B$27,ISBLANK(Actuals!L10)),"",Actuals!L10)</f>
        <v/>
      </c>
      <c r="AD34" s="113" t="n">
        <f aca="false">'Reforecast Q1 2026'!L10</f>
        <v>332195.486067781</v>
      </c>
      <c r="AE34" s="113" t="str">
        <f aca="false">IF(AC34="","",AC34-AD34)</f>
        <v/>
      </c>
      <c r="AF34" s="113" t="str">
        <f aca="false">IF(OR(11&gt;$B$27,ISBLANK(Actuals!M10)),"",Actuals!M10)</f>
        <v/>
      </c>
      <c r="AG34" s="113" t="n">
        <f aca="false">'Reforecast Q1 2026'!M10</f>
        <v>394006.472359489</v>
      </c>
      <c r="AH34" s="113" t="str">
        <f aca="false">IF(AF34="","",AF34-AG34)</f>
        <v/>
      </c>
      <c r="AI34" s="113" t="str">
        <f aca="false">IF(OR(12&gt;$B$27,ISBLANK(Actuals!N10)),"",Actuals!N10)</f>
        <v/>
      </c>
      <c r="AJ34" s="113" t="n">
        <f aca="false">'Reforecast Q1 2026'!N10</f>
        <v>331960.984397614</v>
      </c>
      <c r="AK34" s="113" t="str">
        <f aca="false">IF(AI34="","",AI34-AJ34)</f>
        <v/>
      </c>
      <c r="AL34" s="116" t="n">
        <f aca="false">SUM(Actuals!$C10:INDEX(Actuals!$C10:$N10,$B$27))</f>
        <v>1875926.57</v>
      </c>
      <c r="AM34" s="116" t="n">
        <f aca="false">SUM('Reforecast Q1 2026'!$C10:INDEX('Reforecast Q1 2026'!$C10:$N10,$B$27))</f>
        <v>1735408.1118664</v>
      </c>
      <c r="AN34" s="116" t="n">
        <f aca="false">AL34-AM34</f>
        <v>140518.458133596</v>
      </c>
    </row>
    <row r="35" customFormat="false" ht="15" hidden="false" customHeight="true" outlineLevel="0" collapsed="false">
      <c r="A35" s="109" t="s">
        <v>355</v>
      </c>
      <c r="B35" s="113" t="n">
        <f aca="false">IF(OR(1&gt;$B$27,ISBLANK(Actuals!C11)),"",Actuals!C11)</f>
        <v>0</v>
      </c>
      <c r="C35" s="113" t="n">
        <f aca="false">'Reforecast Q1 2026'!C11</f>
        <v>0</v>
      </c>
      <c r="D35" s="113" t="n">
        <f aca="false">IF(B35="","",B35-C35)</f>
        <v>0</v>
      </c>
      <c r="E35" s="113" t="n">
        <f aca="false">IF(OR(2&gt;$B$27,ISBLANK(Actuals!D11)),"",Actuals!D11)</f>
        <v>0</v>
      </c>
      <c r="F35" s="113" t="n">
        <f aca="false">'Reforecast Q1 2026'!D11</f>
        <v>0</v>
      </c>
      <c r="G35" s="113" t="n">
        <f aca="false">IF(E35="","",E35-F35)</f>
        <v>0</v>
      </c>
      <c r="H35" s="113" t="n">
        <f aca="false">IF(OR(3&gt;$B$27,ISBLANK(Actuals!E11)),"",Actuals!E11)</f>
        <v>0</v>
      </c>
      <c r="I35" s="113" t="n">
        <f aca="false">'Reforecast Q1 2026'!E11</f>
        <v>0</v>
      </c>
      <c r="J35" s="113" t="n">
        <f aca="false">IF(H35="","",H35-I35)</f>
        <v>0</v>
      </c>
      <c r="K35" s="113" t="n">
        <f aca="false">IF(OR(4&gt;$B$27,ISBLANK(Actuals!F11)),"",Actuals!F11)</f>
        <v>0</v>
      </c>
      <c r="L35" s="113" t="n">
        <f aca="false">'Reforecast Q1 2026'!F11</f>
        <v>0</v>
      </c>
      <c r="M35" s="113" t="n">
        <f aca="false">IF(K35="","",K35-L35)</f>
        <v>0</v>
      </c>
      <c r="N35" s="113" t="n">
        <f aca="false">IF(OR(5&gt;$B$27,ISBLANK(Actuals!G11)),"",Actuals!G11)</f>
        <v>0</v>
      </c>
      <c r="O35" s="113" t="n">
        <f aca="false">'Reforecast Q1 2026'!G11</f>
        <v>0</v>
      </c>
      <c r="P35" s="113" t="n">
        <f aca="false">IF(N35="","",N35-O35)</f>
        <v>0</v>
      </c>
      <c r="Q35" s="113" t="n">
        <f aca="false">IF(OR(6&gt;$B$27,ISBLANK(Actuals!H11)),"",Actuals!H11)</f>
        <v>0</v>
      </c>
      <c r="R35" s="113" t="n">
        <f aca="false">'Reforecast Q1 2026'!H11</f>
        <v>0</v>
      </c>
      <c r="S35" s="113" t="n">
        <f aca="false">IF(Q35="","",Q35-R35)</f>
        <v>0</v>
      </c>
      <c r="T35" s="113" t="n">
        <f aca="false">IF(OR(7&gt;$B$27,ISBLANK(Actuals!I11)),"",Actuals!I11)</f>
        <v>0</v>
      </c>
      <c r="U35" s="113" t="n">
        <f aca="false">'Reforecast Q1 2026'!I11</f>
        <v>0</v>
      </c>
      <c r="V35" s="113" t="n">
        <f aca="false">IF(T35="","",T35-U35)</f>
        <v>0</v>
      </c>
      <c r="W35" s="113" t="n">
        <f aca="false">IF(OR(8&gt;$B$27,ISBLANK(Actuals!J11)),"",Actuals!J11)</f>
        <v>0</v>
      </c>
      <c r="X35" s="113" t="n">
        <f aca="false">'Reforecast Q1 2026'!J11</f>
        <v>0</v>
      </c>
      <c r="Y35" s="113" t="n">
        <f aca="false">IF(W35="","",W35-X35)</f>
        <v>0</v>
      </c>
      <c r="Z35" s="113" t="n">
        <f aca="false">IF(OR(9&gt;$B$27,ISBLANK(Actuals!K11)),"",Actuals!K11)</f>
        <v>0</v>
      </c>
      <c r="AA35" s="113" t="n">
        <f aca="false">'Reforecast Q1 2026'!K11</f>
        <v>0</v>
      </c>
      <c r="AB35" s="113" t="n">
        <f aca="false">IF(Z35="","",Z35-AA35)</f>
        <v>0</v>
      </c>
      <c r="AC35" s="113" t="str">
        <f aca="false">IF(OR(10&gt;$B$27,ISBLANK(Actuals!L11)),"",Actuals!L11)</f>
        <v/>
      </c>
      <c r="AD35" s="113" t="n">
        <f aca="false">'Reforecast Q1 2026'!L11</f>
        <v>0</v>
      </c>
      <c r="AE35" s="113" t="str">
        <f aca="false">IF(AC35="","",AC35-AD35)</f>
        <v/>
      </c>
      <c r="AF35" s="113" t="str">
        <f aca="false">IF(OR(11&gt;$B$27,ISBLANK(Actuals!M11)),"",Actuals!M11)</f>
        <v/>
      </c>
      <c r="AG35" s="113" t="n">
        <f aca="false">'Reforecast Q1 2026'!M11</f>
        <v>0</v>
      </c>
      <c r="AH35" s="113" t="str">
        <f aca="false">IF(AF35="","",AF35-AG35)</f>
        <v/>
      </c>
      <c r="AI35" s="113" t="str">
        <f aca="false">IF(OR(12&gt;$B$27,ISBLANK(Actuals!N11)),"",Actuals!N11)</f>
        <v/>
      </c>
      <c r="AJ35" s="113" t="n">
        <f aca="false">'Reforecast Q1 2026'!N11</f>
        <v>0</v>
      </c>
      <c r="AK35" s="113" t="str">
        <f aca="false">IF(AI35="","",AI35-AJ35)</f>
        <v/>
      </c>
      <c r="AL35" s="116" t="n">
        <f aca="false">SUM(Actuals!$C11:INDEX(Actuals!$C11:$N11,$B$27))</f>
        <v>0</v>
      </c>
      <c r="AM35" s="116" t="n">
        <f aca="false">SUM('Reforecast Q1 2026'!$C11:INDEX('Reforecast Q1 2026'!$C11:$N11,$B$27))</f>
        <v>0</v>
      </c>
      <c r="AN35" s="116" t="n">
        <f aca="false">AL35-AM35</f>
        <v>0</v>
      </c>
    </row>
    <row r="36" customFormat="false" ht="15" hidden="false" customHeight="true" outlineLevel="0" collapsed="false">
      <c r="A36" s="109" t="s">
        <v>6</v>
      </c>
      <c r="B36" s="113" t="n">
        <f aca="false">IF(OR(1&gt;$B$27,ISBLANK(Actuals!C12)),"",Actuals!C12)</f>
        <v>1242053.19</v>
      </c>
      <c r="C36" s="113" t="n">
        <f aca="false">'Reforecast Q1 2026'!C12</f>
        <v>1242053.19</v>
      </c>
      <c r="D36" s="113" t="n">
        <f aca="false">IF(B36="","",B36-C36)</f>
        <v>0</v>
      </c>
      <c r="E36" s="113" t="n">
        <f aca="false">IF(OR(2&gt;$B$27,ISBLANK(Actuals!D12)),"",Actuals!D12)</f>
        <v>2710434.48</v>
      </c>
      <c r="F36" s="113" t="n">
        <f aca="false">'Reforecast Q1 2026'!D12</f>
        <v>2710434.48</v>
      </c>
      <c r="G36" s="113" t="n">
        <f aca="false">IF(E36="","",E36-F36)</f>
        <v>0</v>
      </c>
      <c r="H36" s="113" t="n">
        <f aca="false">IF(OR(3&gt;$B$27,ISBLANK(Actuals!E12)),"",Actuals!E12)</f>
        <v>2402410.43</v>
      </c>
      <c r="I36" s="113" t="n">
        <f aca="false">'Reforecast Q1 2026'!E12</f>
        <v>2402410.43</v>
      </c>
      <c r="J36" s="113" t="n">
        <f aca="false">IF(H36="","",H36-I36)</f>
        <v>0</v>
      </c>
      <c r="K36" s="113" t="n">
        <f aca="false">IF(OR(4&gt;$B$27,ISBLANK(Actuals!F12)),"",Actuals!F12)</f>
        <v>3312759.91</v>
      </c>
      <c r="L36" s="113" t="n">
        <f aca="false">'Reforecast Q1 2026'!F12</f>
        <v>3985482.58</v>
      </c>
      <c r="M36" s="113" t="n">
        <f aca="false">IF(K36="","",K36-L36)</f>
        <v>-672722.67</v>
      </c>
      <c r="N36" s="113" t="n">
        <f aca="false">IF(OR(5&gt;$B$27,ISBLANK(Actuals!G12)),"",Actuals!G12)</f>
        <v>3939278.23</v>
      </c>
      <c r="O36" s="113" t="n">
        <f aca="false">'Reforecast Q1 2026'!G12</f>
        <v>4178441.93</v>
      </c>
      <c r="P36" s="113" t="n">
        <f aca="false">IF(N36="","",N36-O36)</f>
        <v>-239163.7</v>
      </c>
      <c r="Q36" s="113" t="n">
        <f aca="false">IF(OR(6&gt;$B$27,ISBLANK(Actuals!H12)),"",Actuals!H12)</f>
        <v>5584522.73</v>
      </c>
      <c r="R36" s="113" t="n">
        <f aca="false">'Reforecast Q1 2026'!H12</f>
        <v>4314673.98</v>
      </c>
      <c r="S36" s="113" t="n">
        <f aca="false">IF(Q36="","",Q36-R36)</f>
        <v>1269848.75</v>
      </c>
      <c r="T36" s="113" t="n">
        <f aca="false">IF(OR(7&gt;$B$27,ISBLANK(Actuals!I12)),"",Actuals!I12)</f>
        <v>6409057.07</v>
      </c>
      <c r="U36" s="113" t="n">
        <f aca="false">'Reforecast Q1 2026'!I12</f>
        <v>5100719.4</v>
      </c>
      <c r="V36" s="113" t="n">
        <f aca="false">IF(T36="","",T36-U36)</f>
        <v>1308337.67</v>
      </c>
      <c r="W36" s="113" t="n">
        <f aca="false">IF(OR(8&gt;$B$27,ISBLANK(Actuals!J12)),"",Actuals!J12)</f>
        <v>5304128.59</v>
      </c>
      <c r="X36" s="113" t="n">
        <f aca="false">'Reforecast Q1 2026'!J12</f>
        <v>5260214.26</v>
      </c>
      <c r="Y36" s="113" t="n">
        <f aca="false">IF(W36="","",W36-X36)</f>
        <v>43914.3300000001</v>
      </c>
      <c r="Z36" s="113" t="n">
        <f aca="false">IF(OR(9&gt;$B$27,ISBLANK(Actuals!K12)),"",Actuals!K12)</f>
        <v>5630859.39</v>
      </c>
      <c r="AA36" s="113" t="n">
        <f aca="false">'Reforecast Q1 2026'!K12</f>
        <v>5352854.32</v>
      </c>
      <c r="AB36" s="113" t="n">
        <f aca="false">IF(Z36="","",Z36-AA36)</f>
        <v>278005.069999999</v>
      </c>
      <c r="AC36" s="113" t="str">
        <f aca="false">IF(OR(10&gt;$B$27,ISBLANK(Actuals!L12)),"",Actuals!L12)</f>
        <v/>
      </c>
      <c r="AD36" s="113" t="n">
        <f aca="false">'Reforecast Q1 2026'!L12</f>
        <v>5849570.15</v>
      </c>
      <c r="AE36" s="113" t="str">
        <f aca="false">IF(AC36="","",AC36-AD36)</f>
        <v/>
      </c>
      <c r="AF36" s="113" t="str">
        <f aca="false">IF(OR(11&gt;$B$27,ISBLANK(Actuals!M12)),"",Actuals!M12)</f>
        <v/>
      </c>
      <c r="AG36" s="113" t="n">
        <f aca="false">'Reforecast Q1 2026'!M12</f>
        <v>6345476.13</v>
      </c>
      <c r="AH36" s="113" t="str">
        <f aca="false">IF(AF36="","",AF36-AG36)</f>
        <v/>
      </c>
      <c r="AI36" s="113" t="str">
        <f aca="false">IF(OR(12&gt;$B$27,ISBLANK(Actuals!N12)),"",Actuals!N12)</f>
        <v/>
      </c>
      <c r="AJ36" s="113" t="n">
        <f aca="false">'Reforecast Q1 2026'!N12</f>
        <v>6208239.26</v>
      </c>
      <c r="AK36" s="113" t="str">
        <f aca="false">IF(AI36="","",AI36-AJ36)</f>
        <v/>
      </c>
      <c r="AL36" s="116" t="n">
        <f aca="false">SUM(Actuals!$C12:INDEX(Actuals!$C12:$N12,$B$27))</f>
        <v>36535504.02</v>
      </c>
      <c r="AM36" s="116" t="n">
        <f aca="false">SUM('Reforecast Q1 2026'!$C12:INDEX('Reforecast Q1 2026'!$C12:$N12,$B$27))</f>
        <v>34547284.57</v>
      </c>
      <c r="AN36" s="116" t="n">
        <f aca="false">AL36-AM36</f>
        <v>1988219.45</v>
      </c>
    </row>
    <row r="37" customFormat="false" ht="15" hidden="false" customHeight="true" outlineLevel="0" collapsed="false">
      <c r="A37" s="115" t="s">
        <v>52</v>
      </c>
      <c r="B37" s="116" t="n">
        <f aca="false">IF(OR(1&gt;$B$27,ISBLANK(Actuals!C13)),"",Actuals!C13)</f>
        <v>1453790.79</v>
      </c>
      <c r="C37" s="116" t="n">
        <f aca="false">'Reforecast Q1 2026'!C13</f>
        <v>1453786.74</v>
      </c>
      <c r="D37" s="116" t="n">
        <f aca="false">IF(B37="","",B37-C37)</f>
        <v>4.05000000004657</v>
      </c>
      <c r="E37" s="116" t="n">
        <f aca="false">IF(OR(2&gt;$B$27,ISBLANK(Actuals!D13)),"",Actuals!D13)</f>
        <v>3022521.59</v>
      </c>
      <c r="F37" s="116" t="n">
        <f aca="false">'Reforecast Q1 2026'!D13</f>
        <v>3022518.89</v>
      </c>
      <c r="G37" s="116" t="n">
        <f aca="false">IF(E37="","",E37-F37)</f>
        <v>2.6999999997206</v>
      </c>
      <c r="H37" s="116" t="n">
        <f aca="false">IF(OR(3&gt;$B$27,ISBLANK(Actuals!E13)),"",Actuals!E13)</f>
        <v>2672216.16</v>
      </c>
      <c r="I37" s="116" t="n">
        <f aca="false">'Reforecast Q1 2026'!E13</f>
        <v>2672216.16</v>
      </c>
      <c r="J37" s="116" t="n">
        <f aca="false">IF(H37="","",H37-I37)</f>
        <v>0</v>
      </c>
      <c r="K37" s="116" t="n">
        <f aca="false">IF(OR(4&gt;$B$27,ISBLANK(Actuals!F13)),"",Actuals!F13)</f>
        <v>3692357.9</v>
      </c>
      <c r="L37" s="116" t="n">
        <f aca="false">'Reforecast Q1 2026'!F13</f>
        <v>4454367.64625426</v>
      </c>
      <c r="M37" s="116" t="n">
        <f aca="false">IF(K37="","",K37-L37)</f>
        <v>-762009.746254263</v>
      </c>
      <c r="N37" s="116" t="n">
        <f aca="false">IF(OR(5&gt;$B$27,ISBLANK(Actuals!G13)),"",Actuals!G13)</f>
        <v>4416061.63</v>
      </c>
      <c r="O37" s="116" t="n">
        <f aca="false">'Reforecast Q1 2026'!G13</f>
        <v>4647326.99625426</v>
      </c>
      <c r="P37" s="116" t="n">
        <f aca="false">IF(N37="","",N37-O37)</f>
        <v>-231265.366254264</v>
      </c>
      <c r="Q37" s="116" t="n">
        <f aca="false">IF(OR(6&gt;$B$27,ISBLANK(Actuals!H13)),"",Actuals!H13)</f>
        <v>6252262.98</v>
      </c>
      <c r="R37" s="116" t="n">
        <f aca="false">'Reforecast Q1 2026'!H13</f>
        <v>4783559.04625426</v>
      </c>
      <c r="S37" s="116" t="n">
        <f aca="false">IF(Q37="","",Q37-R37)</f>
        <v>1468703.93374574</v>
      </c>
      <c r="T37" s="116" t="n">
        <f aca="false">IF(OR(7&gt;$B$27,ISBLANK(Actuals!I13)),"",Actuals!I13)</f>
        <v>7025595.65</v>
      </c>
      <c r="U37" s="116" t="n">
        <f aca="false">'Reforecast Q1 2026'!I13</f>
        <v>5733416.58965458</v>
      </c>
      <c r="V37" s="116" t="n">
        <f aca="false">IF(T37="","",T37-U37)</f>
        <v>1292179.06034542</v>
      </c>
      <c r="W37" s="116" t="n">
        <f aca="false">IF(OR(8&gt;$B$27,ISBLANK(Actuals!J13)),"",Actuals!J13)</f>
        <v>6064732.98</v>
      </c>
      <c r="X37" s="116" t="n">
        <f aca="false">'Reforecast Q1 2026'!J13</f>
        <v>5892911.44965458</v>
      </c>
      <c r="Y37" s="116" t="n">
        <f aca="false">IF(W37="","",W37-X37)</f>
        <v>171821.530345417</v>
      </c>
      <c r="Z37" s="116" t="n">
        <f aca="false">IF(OR(9&gt;$B$27,ISBLANK(Actuals!K13)),"",Actuals!K13)</f>
        <v>6380882.05</v>
      </c>
      <c r="AA37" s="116" t="n">
        <f aca="false">'Reforecast Q1 2026'!K13</f>
        <v>5985551.50965458</v>
      </c>
      <c r="AB37" s="116" t="n">
        <f aca="false">IF(Z37="","",Z37-AA37)</f>
        <v>395330.540345416</v>
      </c>
      <c r="AC37" s="116" t="str">
        <f aca="false">IF(OR(10&gt;$B$27,ISBLANK(Actuals!L13)),"",Actuals!L13)</f>
        <v/>
      </c>
      <c r="AD37" s="116" t="n">
        <f aca="false">'Reforecast Q1 2026'!L13</f>
        <v>6624695.09695686</v>
      </c>
      <c r="AE37" s="116" t="str">
        <f aca="false">IF(AC37="","",AC37-AD37)</f>
        <v/>
      </c>
      <c r="AF37" s="116" t="str">
        <f aca="false">IF(OR(11&gt;$B$27,ISBLANK(Actuals!M13)),"",Actuals!M13)</f>
        <v/>
      </c>
      <c r="AG37" s="116" t="n">
        <f aca="false">'Reforecast Q1 2026'!M13</f>
        <v>7264827.11096425</v>
      </c>
      <c r="AH37" s="116" t="str">
        <f aca="false">IF(AF37="","",AF37-AG37)</f>
        <v/>
      </c>
      <c r="AI37" s="116" t="str">
        <f aca="false">IF(OR(12&gt;$B$27,ISBLANK(Actuals!N13)),"",Actuals!N13)</f>
        <v/>
      </c>
      <c r="AJ37" s="116" t="n">
        <f aca="false">'Reforecast Q1 2026'!N13</f>
        <v>6982817.03487815</v>
      </c>
      <c r="AK37" s="116" t="str">
        <f aca="false">IF(AI37="","",AI37-AJ37)</f>
        <v/>
      </c>
      <c r="AL37" s="116" t="n">
        <f aca="false">SUM(Actuals!$C13:INDEX(Actuals!$C13:$N13,$B$27))</f>
        <v>40980421.73</v>
      </c>
      <c r="AM37" s="116" t="n">
        <f aca="false">SUM('Reforecast Q1 2026'!$C13:INDEX('Reforecast Q1 2026'!$C13:$N13,$B$27))</f>
        <v>38645655.0277265</v>
      </c>
      <c r="AN37" s="116" t="n">
        <f aca="false">AL37-AM37</f>
        <v>2334766.70227346</v>
      </c>
    </row>
    <row r="38" customFormat="false" ht="15" hidden="false" customHeight="true" outlineLevel="0" collapsed="false">
      <c r="A38" s="109" t="s">
        <v>356</v>
      </c>
      <c r="B38" s="113" t="n">
        <f aca="false">IF(OR(1&gt;$B$27,ISBLANK(Actuals!C14)),"",Actuals!C14)</f>
        <v>-1235033.93</v>
      </c>
      <c r="C38" s="113" t="n">
        <f aca="false">'Reforecast Q1 2026'!C14</f>
        <v>-1233067.43</v>
      </c>
      <c r="D38" s="113" t="n">
        <f aca="false">IF(B38="","",B38-C38)</f>
        <v>-1966.5</v>
      </c>
      <c r="E38" s="113" t="n">
        <f aca="false">IF(OR(2&gt;$B$27,ISBLANK(Actuals!D14)),"",Actuals!D14)</f>
        <v>-3073522.36</v>
      </c>
      <c r="F38" s="113" t="n">
        <f aca="false">'Reforecast Q1 2026'!D14</f>
        <v>-3073522.36</v>
      </c>
      <c r="G38" s="113" t="n">
        <f aca="false">IF(E38="","",E38-F38)</f>
        <v>0</v>
      </c>
      <c r="H38" s="113" t="n">
        <f aca="false">IF(OR(3&gt;$B$27,ISBLANK(Actuals!E14)),"",Actuals!E14)</f>
        <v>-2078031.64</v>
      </c>
      <c r="I38" s="113" t="n">
        <f aca="false">'Reforecast Q1 2026'!E14</f>
        <v>-2078031.64</v>
      </c>
      <c r="J38" s="113" t="n">
        <f aca="false">IF(H38="","",H38-I38)</f>
        <v>0</v>
      </c>
      <c r="K38" s="113" t="n">
        <f aca="false">IF(OR(4&gt;$B$27,ISBLANK(Actuals!F14)),"",Actuals!F14)</f>
        <v>-3244999.65</v>
      </c>
      <c r="L38" s="113" t="n">
        <f aca="false">'Reforecast Q1 2026'!F14</f>
        <v>-3985482.58403402</v>
      </c>
      <c r="M38" s="113" t="n">
        <f aca="false">IF(K38="","",K38-L38)</f>
        <v>740482.93403402</v>
      </c>
      <c r="N38" s="113" t="n">
        <f aca="false">IF(OR(5&gt;$B$27,ISBLANK(Actuals!G14)),"",Actuals!G14)</f>
        <v>-3950524.93</v>
      </c>
      <c r="O38" s="113" t="n">
        <f aca="false">'Reforecast Q1 2026'!G14</f>
        <v>-4178441.93467641</v>
      </c>
      <c r="P38" s="113" t="n">
        <f aca="false">IF(N38="","",N38-O38)</f>
        <v>227917.00467641</v>
      </c>
      <c r="Q38" s="113" t="n">
        <f aca="false">IF(OR(6&gt;$B$27,ISBLANK(Actuals!H14)),"",Actuals!H14)</f>
        <v>-5610911.85</v>
      </c>
      <c r="R38" s="113" t="n">
        <f aca="false">'Reforecast Q1 2026'!H14</f>
        <v>-4314673.98179329</v>
      </c>
      <c r="S38" s="113" t="n">
        <f aca="false">IF(Q38="","",Q38-R38)</f>
        <v>-1296237.86820671</v>
      </c>
      <c r="T38" s="113" t="n">
        <f aca="false">IF(OR(7&gt;$B$27,ISBLANK(Actuals!I14)),"",Actuals!I14)</f>
        <v>-5258946.14</v>
      </c>
      <c r="U38" s="113" t="n">
        <f aca="false">'Reforecast Q1 2026'!I14</f>
        <v>-5100719.40418529</v>
      </c>
      <c r="V38" s="113" t="n">
        <f aca="false">IF(T38="","",T38-U38)</f>
        <v>-158226.735814709</v>
      </c>
      <c r="W38" s="113" t="n">
        <f aca="false">IF(OR(8&gt;$B$27,ISBLANK(Actuals!J14)),"",Actuals!J14)</f>
        <v>-5503997.59</v>
      </c>
      <c r="X38" s="113" t="n">
        <f aca="false">'Reforecast Q1 2026'!J14</f>
        <v>-5260214.25623971</v>
      </c>
      <c r="Y38" s="113" t="n">
        <f aca="false">IF(W38="","",W38-X38)</f>
        <v>-243783.333760289</v>
      </c>
      <c r="Z38" s="113" t="n">
        <f aca="false">IF(OR(9&gt;$B$27,ISBLANK(Actuals!K14)),"",Actuals!K14)</f>
        <v>-6037015.16</v>
      </c>
      <c r="AA38" s="113" t="n">
        <f aca="false">'Reforecast Q1 2026'!K14</f>
        <v>-5352854.31833945</v>
      </c>
      <c r="AB38" s="113" t="n">
        <f aca="false">IF(Z38="","",Z38-AA38)</f>
        <v>-684160.84166055</v>
      </c>
      <c r="AC38" s="113" t="str">
        <f aca="false">IF(OR(10&gt;$B$27,ISBLANK(Actuals!L14)),"",Actuals!L14)</f>
        <v/>
      </c>
      <c r="AD38" s="113" t="n">
        <f aca="false">'Reforecast Q1 2026'!L14</f>
        <v>-5849570.14613038</v>
      </c>
      <c r="AE38" s="113" t="str">
        <f aca="false">IF(AC38="","",AC38-AD38)</f>
        <v/>
      </c>
      <c r="AF38" s="113" t="str">
        <f aca="false">IF(OR(11&gt;$B$27,ISBLANK(Actuals!M14)),"",Actuals!M14)</f>
        <v/>
      </c>
      <c r="AG38" s="113" t="n">
        <f aca="false">'Reforecast Q1 2026'!M14</f>
        <v>-6345476.13239193</v>
      </c>
      <c r="AH38" s="113" t="str">
        <f aca="false">IF(AF38="","",AF38-AG38)</f>
        <v/>
      </c>
      <c r="AI38" s="113" t="str">
        <f aca="false">IF(OR(12&gt;$B$27,ISBLANK(Actuals!N14)),"",Actuals!N14)</f>
        <v/>
      </c>
      <c r="AJ38" s="113" t="n">
        <f aca="false">'Reforecast Q1 2026'!N14</f>
        <v>-6208239.26255321</v>
      </c>
      <c r="AK38" s="113" t="str">
        <f aca="false">IF(AI38="","",AI38-AJ38)</f>
        <v/>
      </c>
      <c r="AL38" s="116" t="n">
        <f aca="false">SUM(Actuals!$C14:INDEX(Actuals!$C14:$N14,$B$27))</f>
        <v>-35992983.25</v>
      </c>
      <c r="AM38" s="116" t="n">
        <f aca="false">SUM('Reforecast Q1 2026'!$C14:INDEX('Reforecast Q1 2026'!$C14:$N14,$B$27))</f>
        <v>-34577007.9092682</v>
      </c>
      <c r="AN38" s="116" t="n">
        <f aca="false">AL38-AM38</f>
        <v>-1415975.34073183</v>
      </c>
    </row>
    <row r="39" customFormat="false" ht="15" hidden="false" customHeight="true" outlineLevel="0" collapsed="false">
      <c r="A39" s="109" t="s">
        <v>413</v>
      </c>
      <c r="B39" s="113" t="n">
        <f aca="false">IF(OR(1&gt;$B$27,ISBLANK(Actuals!C15)),"",Actuals!C15)</f>
        <v>0</v>
      </c>
      <c r="C39" s="113" t="n">
        <f aca="false">'Reforecast Q1 2026'!C15</f>
        <v>0</v>
      </c>
      <c r="D39" s="113" t="n">
        <f aca="false">IF(B39="","",B39-C39)</f>
        <v>0</v>
      </c>
      <c r="E39" s="113" t="n">
        <f aca="false">IF(OR(2&gt;$B$27,ISBLANK(Actuals!D15)),"",Actuals!D15)</f>
        <v>0</v>
      </c>
      <c r="F39" s="113" t="n">
        <f aca="false">'Reforecast Q1 2026'!D15</f>
        <v>0</v>
      </c>
      <c r="G39" s="113" t="n">
        <f aca="false">IF(E39="","",E39-F39)</f>
        <v>0</v>
      </c>
      <c r="H39" s="113" t="n">
        <f aca="false">IF(OR(3&gt;$B$27,ISBLANK(Actuals!E15)),"",Actuals!E15)</f>
        <v>0</v>
      </c>
      <c r="I39" s="113" t="n">
        <f aca="false">'Reforecast Q1 2026'!E15</f>
        <v>0</v>
      </c>
      <c r="J39" s="113" t="n">
        <f aca="false">IF(H39="","",H39-I39)</f>
        <v>0</v>
      </c>
      <c r="K39" s="113" t="n">
        <f aca="false">IF(OR(4&gt;$B$27,ISBLANK(Actuals!F15)),"",Actuals!F15)</f>
        <v>0</v>
      </c>
      <c r="L39" s="113" t="n">
        <f aca="false">'Reforecast Q1 2026'!F15</f>
        <v>0</v>
      </c>
      <c r="M39" s="113" t="n">
        <f aca="false">IF(K39="","",K39-L39)</f>
        <v>0</v>
      </c>
      <c r="N39" s="113" t="n">
        <f aca="false">IF(OR(5&gt;$B$27,ISBLANK(Actuals!G15)),"",Actuals!G15)</f>
        <v>0</v>
      </c>
      <c r="O39" s="113" t="n">
        <f aca="false">'Reforecast Q1 2026'!G15</f>
        <v>0</v>
      </c>
      <c r="P39" s="113" t="n">
        <f aca="false">IF(N39="","",N39-O39)</f>
        <v>0</v>
      </c>
      <c r="Q39" s="113" t="n">
        <f aca="false">IF(OR(6&gt;$B$27,ISBLANK(Actuals!H15)),"",Actuals!H15)</f>
        <v>0</v>
      </c>
      <c r="R39" s="113" t="n">
        <f aca="false">'Reforecast Q1 2026'!H15</f>
        <v>0</v>
      </c>
      <c r="S39" s="113" t="n">
        <f aca="false">IF(Q39="","",Q39-R39)</f>
        <v>0</v>
      </c>
      <c r="T39" s="113" t="n">
        <f aca="false">IF(OR(7&gt;$B$27,ISBLANK(Actuals!I15)),"",Actuals!I15)</f>
        <v>0</v>
      </c>
      <c r="U39" s="113" t="n">
        <f aca="false">'Reforecast Q1 2026'!I15</f>
        <v>644526.72</v>
      </c>
      <c r="V39" s="113" t="n">
        <f aca="false">IF(T39="","",T39-U39)</f>
        <v>-644526.72</v>
      </c>
      <c r="W39" s="113" t="n">
        <f aca="false">IF(OR(8&gt;$B$27,ISBLANK(Actuals!J15)),"",Actuals!J15)</f>
        <v>0</v>
      </c>
      <c r="X39" s="113" t="n">
        <f aca="false">'Reforecast Q1 2026'!J15</f>
        <v>0</v>
      </c>
      <c r="Y39" s="113" t="n">
        <f aca="false">IF(W39="","",W39-X39)</f>
        <v>0</v>
      </c>
      <c r="Z39" s="113" t="n">
        <f aca="false">IF(OR(9&gt;$B$27,ISBLANK(Actuals!K15)),"",Actuals!K15)</f>
        <v>0</v>
      </c>
      <c r="AA39" s="113" t="n">
        <f aca="false">'Reforecast Q1 2026'!K15</f>
        <v>0</v>
      </c>
      <c r="AB39" s="113" t="n">
        <f aca="false">IF(Z39="","",Z39-AA39)</f>
        <v>0</v>
      </c>
      <c r="AC39" s="113" t="str">
        <f aca="false">IF(OR(10&gt;$B$27,ISBLANK(Actuals!L15)),"",Actuals!L15)</f>
        <v/>
      </c>
      <c r="AD39" s="113" t="n">
        <f aca="false">'Reforecast Q1 2026'!L15</f>
        <v>442059.825</v>
      </c>
      <c r="AE39" s="113" t="str">
        <f aca="false">IF(AC39="","",AC39-AD39)</f>
        <v/>
      </c>
      <c r="AF39" s="113" t="str">
        <f aca="false">IF(OR(11&gt;$B$27,ISBLANK(Actuals!M15)),"",Actuals!M15)</f>
        <v/>
      </c>
      <c r="AG39" s="113" t="n">
        <f aca="false">'Reforecast Q1 2026'!M15</f>
        <v>318951.075</v>
      </c>
      <c r="AH39" s="113" t="str">
        <f aca="false">IF(AF39="","",AF39-AG39)</f>
        <v/>
      </c>
      <c r="AI39" s="113" t="str">
        <f aca="false">IF(OR(12&gt;$B$27,ISBLANK(Actuals!N15)),"",Actuals!N15)</f>
        <v/>
      </c>
      <c r="AJ39" s="113" t="n">
        <f aca="false">'Reforecast Q1 2026'!N15</f>
        <v>0</v>
      </c>
      <c r="AK39" s="113" t="str">
        <f aca="false">IF(AI39="","",AI39-AJ39)</f>
        <v/>
      </c>
      <c r="AL39" s="116" t="n">
        <f aca="false">SUM(Actuals!$C15:INDEX(Actuals!$C15:$N15,$B$27))</f>
        <v>0</v>
      </c>
      <c r="AM39" s="116" t="n">
        <f aca="false">SUM('Reforecast Q1 2026'!$C15:INDEX('Reforecast Q1 2026'!$C15:$N15,$B$27))</f>
        <v>644526.72</v>
      </c>
      <c r="AN39" s="116" t="n">
        <f aca="false">AL39-AM39</f>
        <v>-644526.72</v>
      </c>
    </row>
    <row r="40" customFormat="false" ht="15" hidden="false" customHeight="true" outlineLevel="0" collapsed="false">
      <c r="A40" s="109" t="s">
        <v>415</v>
      </c>
      <c r="B40" s="113" t="n">
        <f aca="false">IF(OR(1&gt;$B$27,ISBLANK(Actuals!C16)),"",Actuals!C16)</f>
        <v>0</v>
      </c>
      <c r="C40" s="113" t="n">
        <f aca="false">'Reforecast Q1 2026'!C16</f>
        <v>-1966.5</v>
      </c>
      <c r="D40" s="113" t="n">
        <f aca="false">IF(B40="","",B40-C40)</f>
        <v>1966.5</v>
      </c>
      <c r="E40" s="113" t="n">
        <f aca="false">IF(OR(2&gt;$B$27,ISBLANK(Actuals!D16)),"",Actuals!D16)</f>
        <v>0</v>
      </c>
      <c r="F40" s="113" t="n">
        <f aca="false">'Reforecast Q1 2026'!D16</f>
        <v>0</v>
      </c>
      <c r="G40" s="113" t="n">
        <f aca="false">IF(E40="","",E40-F40)</f>
        <v>0</v>
      </c>
      <c r="H40" s="113" t="n">
        <f aca="false">IF(OR(3&gt;$B$27,ISBLANK(Actuals!E16)),"",Actuals!E16)</f>
        <v>0</v>
      </c>
      <c r="I40" s="113" t="n">
        <f aca="false">'Reforecast Q1 2026'!E16</f>
        <v>0</v>
      </c>
      <c r="J40" s="113" t="n">
        <f aca="false">IF(H40="","",H40-I40)</f>
        <v>0</v>
      </c>
      <c r="K40" s="113" t="n">
        <f aca="false">IF(OR(4&gt;$B$27,ISBLANK(Actuals!F16)),"",Actuals!F16)</f>
        <v>0</v>
      </c>
      <c r="L40" s="113" t="n">
        <f aca="false">'Reforecast Q1 2026'!F16</f>
        <v>0</v>
      </c>
      <c r="M40" s="113" t="n">
        <f aca="false">IF(K40="","",K40-L40)</f>
        <v>0</v>
      </c>
      <c r="N40" s="113" t="n">
        <f aca="false">IF(OR(5&gt;$B$27,ISBLANK(Actuals!G16)),"",Actuals!G16)</f>
        <v>0</v>
      </c>
      <c r="O40" s="113" t="n">
        <f aca="false">'Reforecast Q1 2026'!G16</f>
        <v>0</v>
      </c>
      <c r="P40" s="113" t="n">
        <f aca="false">IF(N40="","",N40-O40)</f>
        <v>0</v>
      </c>
      <c r="Q40" s="113" t="n">
        <f aca="false">IF(OR(6&gt;$B$27,ISBLANK(Actuals!H16)),"",Actuals!H16)</f>
        <v>0</v>
      </c>
      <c r="R40" s="113" t="n">
        <f aca="false">'Reforecast Q1 2026'!H16</f>
        <v>0</v>
      </c>
      <c r="S40" s="113" t="n">
        <f aca="false">IF(Q40="","",Q40-R40)</f>
        <v>0</v>
      </c>
      <c r="T40" s="113" t="n">
        <f aca="false">IF(OR(7&gt;$B$27,ISBLANK(Actuals!I16)),"",Actuals!I16)</f>
        <v>0</v>
      </c>
      <c r="U40" s="113" t="n">
        <f aca="false">'Reforecast Q1 2026'!I16</f>
        <v>-317966.5152</v>
      </c>
      <c r="V40" s="113" t="n">
        <f aca="false">IF(T40="","",T40-U40)</f>
        <v>317966.5152</v>
      </c>
      <c r="W40" s="113" t="n">
        <f aca="false">IF(OR(8&gt;$B$27,ISBLANK(Actuals!J16)),"",Actuals!J16)</f>
        <v>0</v>
      </c>
      <c r="X40" s="113" t="n">
        <f aca="false">'Reforecast Q1 2026'!J16</f>
        <v>0</v>
      </c>
      <c r="Y40" s="113" t="n">
        <f aca="false">IF(W40="","",W40-X40)</f>
        <v>0</v>
      </c>
      <c r="Z40" s="113" t="n">
        <f aca="false">IF(OR(9&gt;$B$27,ISBLANK(Actuals!K16)),"",Actuals!K16)</f>
        <v>0</v>
      </c>
      <c r="AA40" s="113" t="n">
        <f aca="false">'Reforecast Q1 2026'!K16</f>
        <v>0</v>
      </c>
      <c r="AB40" s="113" t="n">
        <f aca="false">IF(Z40="","",Z40-AA40)</f>
        <v>0</v>
      </c>
      <c r="AC40" s="113" t="str">
        <f aca="false">IF(OR(10&gt;$B$27,ISBLANK(Actuals!L16)),"",Actuals!L16)</f>
        <v/>
      </c>
      <c r="AD40" s="113" t="n">
        <f aca="false">'Reforecast Q1 2026'!L16</f>
        <v>-218082.847</v>
      </c>
      <c r="AE40" s="113" t="str">
        <f aca="false">IF(AC40="","",AC40-AD40)</f>
        <v/>
      </c>
      <c r="AF40" s="113" t="str">
        <f aca="false">IF(OR(11&gt;$B$27,ISBLANK(Actuals!M16)),"",Actuals!M16)</f>
        <v/>
      </c>
      <c r="AG40" s="113" t="n">
        <f aca="false">'Reforecast Q1 2026'!M16</f>
        <v>-157349.197</v>
      </c>
      <c r="AH40" s="113" t="str">
        <f aca="false">IF(AF40="","",AF40-AG40)</f>
        <v/>
      </c>
      <c r="AI40" s="113" t="str">
        <f aca="false">IF(OR(12&gt;$B$27,ISBLANK(Actuals!N16)),"",Actuals!N16)</f>
        <v/>
      </c>
      <c r="AJ40" s="113" t="n">
        <f aca="false">'Reforecast Q1 2026'!N16</f>
        <v>0</v>
      </c>
      <c r="AK40" s="113" t="str">
        <f aca="false">IF(AI40="","",AI40-AJ40)</f>
        <v/>
      </c>
      <c r="AL40" s="116" t="n">
        <f aca="false">SUM(Actuals!$C16:INDEX(Actuals!$C16:$N16,$B$27))</f>
        <v>0</v>
      </c>
      <c r="AM40" s="116" t="n">
        <f aca="false">SUM('Reforecast Q1 2026'!$C16:INDEX('Reforecast Q1 2026'!$C16:$N16,$B$27))</f>
        <v>-319933.0152</v>
      </c>
      <c r="AN40" s="116" t="n">
        <f aca="false">AL40-AM40</f>
        <v>319933.0152</v>
      </c>
    </row>
    <row r="41" customFormat="false" ht="15" hidden="false" customHeight="true" outlineLevel="0" collapsed="false">
      <c r="A41" s="115" t="s">
        <v>61</v>
      </c>
      <c r="B41" s="116" t="n">
        <f aca="false">IF(OR(1&gt;$B$27,ISBLANK(Actuals!C17)),"",Actuals!C17)</f>
        <v>218756.86</v>
      </c>
      <c r="C41" s="116" t="n">
        <f aca="false">'Reforecast Q1 2026'!C17</f>
        <v>218752.81</v>
      </c>
      <c r="D41" s="116" t="n">
        <f aca="false">IF(B41="","",B41-C41)</f>
        <v>4.05000000004657</v>
      </c>
      <c r="E41" s="116" t="n">
        <f aca="false">IF(OR(2&gt;$B$27,ISBLANK(Actuals!D17)),"",Actuals!D17)</f>
        <v>-51000.77</v>
      </c>
      <c r="F41" s="116" t="n">
        <f aca="false">'Reforecast Q1 2026'!D17</f>
        <v>-51003.4699999997</v>
      </c>
      <c r="G41" s="116" t="n">
        <f aca="false">IF(E41="","",E41-F41)</f>
        <v>2.6999999997206</v>
      </c>
      <c r="H41" s="116" t="n">
        <f aca="false">IF(OR(3&gt;$B$27,ISBLANK(Actuals!E17)),"",Actuals!E17)</f>
        <v>594184.52</v>
      </c>
      <c r="I41" s="116" t="n">
        <f aca="false">'Reforecast Q1 2026'!E17</f>
        <v>594184.52</v>
      </c>
      <c r="J41" s="116" t="n">
        <f aca="false">IF(H41="","",H41-I41)</f>
        <v>0</v>
      </c>
      <c r="K41" s="116" t="n">
        <f aca="false">IF(OR(4&gt;$B$27,ISBLANK(Actuals!F17)),"",Actuals!F17)</f>
        <v>447358.25</v>
      </c>
      <c r="L41" s="116" t="n">
        <f aca="false">'Reforecast Q1 2026'!F17</f>
        <v>468885.062220243</v>
      </c>
      <c r="M41" s="116" t="n">
        <f aca="false">IF(K41="","",K41-L41)</f>
        <v>-21526.8122202423</v>
      </c>
      <c r="N41" s="116" t="n">
        <f aca="false">IF(OR(5&gt;$B$27,ISBLANK(Actuals!G17)),"",Actuals!G17)</f>
        <v>465536.7</v>
      </c>
      <c r="O41" s="116" t="n">
        <f aca="false">'Reforecast Q1 2026'!G17</f>
        <v>468885.061577853</v>
      </c>
      <c r="P41" s="116" t="n">
        <f aca="false">IF(N41="","",N41-O41)</f>
        <v>-3348.36157785356</v>
      </c>
      <c r="Q41" s="116" t="n">
        <f aca="false">IF(OR(6&gt;$B$27,ISBLANK(Actuals!H17)),"",Actuals!H17)</f>
        <v>641351.130000001</v>
      </c>
      <c r="R41" s="116" t="n">
        <f aca="false">'Reforecast Q1 2026'!H17</f>
        <v>468885.064460973</v>
      </c>
      <c r="S41" s="116" t="n">
        <f aca="false">IF(Q41="","",Q41-R41)</f>
        <v>172466.065539028</v>
      </c>
      <c r="T41" s="116" t="n">
        <f aca="false">IF(OR(7&gt;$B$27,ISBLANK(Actuals!I17)),"",Actuals!I17)</f>
        <v>1766649.51</v>
      </c>
      <c r="U41" s="116" t="n">
        <f aca="false">'Reforecast Q1 2026'!I17</f>
        <v>959257.390269293</v>
      </c>
      <c r="V41" s="116" t="n">
        <f aca="false">IF(T41="","",T41-U41)</f>
        <v>807392.119730708</v>
      </c>
      <c r="W41" s="116" t="n">
        <f aca="false">IF(OR(8&gt;$B$27,ISBLANK(Actuals!J17)),"",Actuals!J17)</f>
        <v>560735.39</v>
      </c>
      <c r="X41" s="116" t="n">
        <f aca="false">'Reforecast Q1 2026'!J17</f>
        <v>632697.193414873</v>
      </c>
      <c r="Y41" s="116" t="n">
        <f aca="false">IF(W41="","",W41-X41)</f>
        <v>-71961.8034148729</v>
      </c>
      <c r="Z41" s="116" t="n">
        <f aca="false">IF(OR(9&gt;$B$27,ISBLANK(Actuals!K17)),"",Actuals!K17)</f>
        <v>343866.89</v>
      </c>
      <c r="AA41" s="116" t="n">
        <f aca="false">'Reforecast Q1 2026'!K17</f>
        <v>632697.191315133</v>
      </c>
      <c r="AB41" s="116" t="n">
        <f aca="false">IF(Z41="","",Z41-AA41)</f>
        <v>-288830.301315133</v>
      </c>
      <c r="AC41" s="116" t="str">
        <f aca="false">IF(OR(10&gt;$B$27,ISBLANK(Actuals!L17)),"",Actuals!L17)</f>
        <v/>
      </c>
      <c r="AD41" s="116" t="n">
        <f aca="false">'Reforecast Q1 2026'!L17</f>
        <v>999101.928826481</v>
      </c>
      <c r="AE41" s="116" t="str">
        <f aca="false">IF(AC41="","",AC41-AD41)</f>
        <v/>
      </c>
      <c r="AF41" s="116" t="str">
        <f aca="false">IF(OR(11&gt;$B$27,ISBLANK(Actuals!M17)),"",Actuals!M17)</f>
        <v/>
      </c>
      <c r="AG41" s="116" t="n">
        <f aca="false">'Reforecast Q1 2026'!M17</f>
        <v>1080952.85657232</v>
      </c>
      <c r="AH41" s="116" t="str">
        <f aca="false">IF(AF41="","",AF41-AG41)</f>
        <v/>
      </c>
      <c r="AI41" s="116" t="str">
        <f aca="false">IF(OR(12&gt;$B$27,ISBLANK(Actuals!N17)),"",Actuals!N17)</f>
        <v/>
      </c>
      <c r="AJ41" s="116" t="n">
        <f aca="false">'Reforecast Q1 2026'!N17</f>
        <v>774577.772324943</v>
      </c>
      <c r="AK41" s="116" t="str">
        <f aca="false">IF(AI41="","",AI41-AJ41)</f>
        <v/>
      </c>
      <c r="AL41" s="116" t="n">
        <f aca="false">SUM(Actuals!$C17:INDEX(Actuals!$C17:$N17,$B$27))</f>
        <v>4987438.48</v>
      </c>
      <c r="AM41" s="116" t="n">
        <f aca="false">SUM('Reforecast Q1 2026'!$C17:INDEX('Reforecast Q1 2026'!$C17:$N17,$B$27))</f>
        <v>4393240.82325837</v>
      </c>
      <c r="AN41" s="116" t="n">
        <f aca="false">AL41-AM41</f>
        <v>594197.656741633</v>
      </c>
    </row>
    <row r="42" customFormat="false" ht="15" hidden="false" customHeight="true" outlineLevel="0" collapsed="false">
      <c r="A42" s="109" t="s">
        <v>62</v>
      </c>
      <c r="B42" s="113" t="n">
        <f aca="false">IF(OR(1&gt;$B$27,ISBLANK(Actuals!C18)),"",Actuals!C18)</f>
        <v>0.150473411652305</v>
      </c>
      <c r="C42" s="113" t="n">
        <f aca="false">'Reforecast Q1 2026'!C18</f>
        <v>0.150471045017236</v>
      </c>
      <c r="D42" s="113" t="n">
        <f aca="false">IF(B42="","",B42-C42)</f>
        <v>2.36663506975043E-006</v>
      </c>
      <c r="E42" s="113" t="n">
        <f aca="false">IF(OR(2&gt;$B$27,ISBLANK(Actuals!D18)),"",Actuals!D18)</f>
        <v>-0.0168735833579273</v>
      </c>
      <c r="F42" s="113" t="n">
        <f aca="false">'Reforecast Q1 2026'!D18</f>
        <v>-0.0168744917256745</v>
      </c>
      <c r="G42" s="113" t="n">
        <f aca="false">IF(E42="","",E42-F42)</f>
        <v>9.08367747132211E-007</v>
      </c>
      <c r="H42" s="113" t="n">
        <f aca="false">IF(OR(3&gt;$B$27,ISBLANK(Actuals!E18)),"",Actuals!E18)</f>
        <v>0.222356457869786</v>
      </c>
      <c r="I42" s="113" t="n">
        <f aca="false">'Reforecast Q1 2026'!E18</f>
        <v>0.222356457869786</v>
      </c>
      <c r="J42" s="113" t="n">
        <f aca="false">IF(H42="","",H42-I42)</f>
        <v>0</v>
      </c>
      <c r="K42" s="113" t="n">
        <f aca="false">IF(OR(4&gt;$B$27,ISBLANK(Actuals!F18)),"",Actuals!F18)</f>
        <v>0.121157878546931</v>
      </c>
      <c r="L42" s="113" t="n">
        <f aca="false">'Reforecast Q1 2026'!F18</f>
        <v>0.105264113664828</v>
      </c>
      <c r="M42" s="113" t="n">
        <f aca="false">IF(K42="","",K42-L42)</f>
        <v>0.0158937648821024</v>
      </c>
      <c r="N42" s="113" t="n">
        <f aca="false">IF(OR(5&gt;$B$27,ISBLANK(Actuals!G18)),"",Actuals!G18)</f>
        <v>0.105418977135063</v>
      </c>
      <c r="O42" s="113" t="n">
        <f aca="false">'Reforecast Q1 2026'!G18</f>
        <v>0.100893494681087</v>
      </c>
      <c r="P42" s="113" t="n">
        <f aca="false">IF(N42="","",N42-O42)</f>
        <v>0.00452548245397579</v>
      </c>
      <c r="Q42" s="113" t="n">
        <f aca="false">IF(OR(6&gt;$B$27,ISBLANK(Actuals!H18)),"",Actuals!H18)</f>
        <v>0.1025790393097</v>
      </c>
      <c r="R42" s="113" t="n">
        <f aca="false">'Reforecast Q1 2026'!H18</f>
        <v>0.0980201268401047</v>
      </c>
      <c r="S42" s="113" t="n">
        <f aca="false">IF(Q42="","",Q42-R42)</f>
        <v>0.00455891246959507</v>
      </c>
      <c r="T42" s="113" t="n">
        <f aca="false">IF(OR(7&gt;$B$27,ISBLANK(Actuals!I18)),"",Actuals!I18)</f>
        <v>0.251459036074756</v>
      </c>
      <c r="U42" s="113" t="n">
        <f aca="false">'Reforecast Q1 2026'!I18</f>
        <v>0.167309905929422</v>
      </c>
      <c r="V42" s="113" t="n">
        <f aca="false">IF(T42="","",T42-U42)</f>
        <v>0.0841491301453348</v>
      </c>
      <c r="W42" s="113" t="n">
        <f aca="false">IF(OR(8&gt;$B$27,ISBLANK(Actuals!J18)),"",Actuals!J18)</f>
        <v>0.0924583805831464</v>
      </c>
      <c r="X42" s="113" t="n">
        <f aca="false">'Reforecast Q1 2026'!J18</f>
        <v>0.107365807007325</v>
      </c>
      <c r="Y42" s="113" t="n">
        <f aca="false">IF(W42="","",W42-X42)</f>
        <v>-0.0149074264241791</v>
      </c>
      <c r="Z42" s="113" t="n">
        <f aca="false">IF(OR(9&gt;$B$27,ISBLANK(Actuals!K18)),"",Actuals!K18)</f>
        <v>0.0538901812171876</v>
      </c>
      <c r="AA42" s="113" t="n">
        <f aca="false">'Reforecast Q1 2026'!K18</f>
        <v>0.105704075939302</v>
      </c>
      <c r="AB42" s="113" t="n">
        <f aca="false">IF(Z42="","",Z42-AA42)</f>
        <v>-0.0518138947221146</v>
      </c>
      <c r="AC42" s="113" t="str">
        <f aca="false">IF(OR(10&gt;$B$27,ISBLANK(Actuals!L18)),"",Actuals!L18)</f>
        <v/>
      </c>
      <c r="AD42" s="113" t="n">
        <f aca="false">'Reforecast Q1 2026'!L18</f>
        <v>0.150814779277228</v>
      </c>
      <c r="AE42" s="113" t="str">
        <f aca="false">IF(AC42="","",AC42-AD42)</f>
        <v/>
      </c>
      <c r="AF42" s="113" t="str">
        <f aca="false">IF(OR(11&gt;$B$27,ISBLANK(Actuals!M18)),"",Actuals!M18)</f>
        <v/>
      </c>
      <c r="AG42" s="113" t="n">
        <f aca="false">'Reforecast Q1 2026'!M18</f>
        <v>0.148792647101115</v>
      </c>
      <c r="AH42" s="113" t="str">
        <f aca="false">IF(AF42="","",AF42-AG42)</f>
        <v/>
      </c>
      <c r="AI42" s="113" t="str">
        <f aca="false">IF(OR(12&gt;$B$27,ISBLANK(Actuals!N18)),"",Actuals!N18)</f>
        <v/>
      </c>
      <c r="AJ42" s="113" t="n">
        <f aca="false">'Reforecast Q1 2026'!N18</f>
        <v>0.110926259195399</v>
      </c>
      <c r="AK42" s="113" t="str">
        <f aca="false">IF(AI42="","",AI42-AJ42)</f>
        <v/>
      </c>
      <c r="AL42" s="116" t="n">
        <f aca="false">SUM(Actuals!$C18:INDEX(Actuals!$C18:$N18,$B$27))</f>
        <v>1.08291977903095</v>
      </c>
      <c r="AM42" s="116" t="n">
        <f aca="false">SUM('Reforecast Q1 2026'!$C18:INDEX('Reforecast Q1 2026'!$C18:$N18,$B$27))</f>
        <v>1.04051053522342</v>
      </c>
      <c r="AN42" s="116" t="n">
        <f aca="false">AL42-AM42</f>
        <v>0.0424092438075314</v>
      </c>
    </row>
    <row r="45" customFormat="false" ht="15" hidden="true" customHeight="true" outlineLevel="1" collapsed="false">
      <c r="A45" s="109" t="s">
        <v>123</v>
      </c>
      <c r="B45" s="113" t="n">
        <f aca="false">IF(OR(1&gt;$B$27,ISBLANK(Actuals!C21)),"",Actuals!C21)</f>
        <v>-144550.9</v>
      </c>
      <c r="C45" s="113" t="n">
        <f aca="false">'Reforecast Q1 2026'!C21</f>
        <v>-144550.9</v>
      </c>
      <c r="D45" s="113" t="n">
        <f aca="false">IF(B45="","",B45-C45)</f>
        <v>0</v>
      </c>
      <c r="E45" s="113" t="n">
        <f aca="false">IF(OR(2&gt;$B$27,ISBLANK(Actuals!D21)),"",Actuals!D21)</f>
        <v>-150672.84</v>
      </c>
      <c r="F45" s="113" t="n">
        <f aca="false">'Reforecast Q1 2026'!D21</f>
        <v>-150672.84</v>
      </c>
      <c r="G45" s="113" t="n">
        <f aca="false">IF(E45="","",E45-F45)</f>
        <v>0</v>
      </c>
      <c r="H45" s="113" t="n">
        <f aca="false">IF(OR(3&gt;$B$27,ISBLANK(Actuals!E21)),"",Actuals!E21)</f>
        <v>-178867.86</v>
      </c>
      <c r="I45" s="113" t="n">
        <f aca="false">'Reforecast Q1 2026'!E21</f>
        <v>-178867.86</v>
      </c>
      <c r="J45" s="113" t="n">
        <f aca="false">IF(H45="","",H45-I45)</f>
        <v>0</v>
      </c>
      <c r="K45" s="113" t="n">
        <f aca="false">IF(OR(4&gt;$B$27,ISBLANK(Actuals!F21)),"",Actuals!F21)</f>
        <v>-187693.63</v>
      </c>
      <c r="L45" s="113" t="n">
        <f aca="false">'Reforecast Q1 2026'!F21</f>
        <v>-164791.666666667</v>
      </c>
      <c r="M45" s="113" t="n">
        <f aca="false">IF(K45="","",K45-L45)</f>
        <v>-22901.963333333</v>
      </c>
      <c r="N45" s="113" t="n">
        <f aca="false">IF(OR(5&gt;$B$27,ISBLANK(Actuals!G21)),"",Actuals!G21)</f>
        <v>-295949.1</v>
      </c>
      <c r="O45" s="113" t="n">
        <f aca="false">'Reforecast Q1 2026'!G21</f>
        <v>-189375</v>
      </c>
      <c r="P45" s="113" t="n">
        <f aca="false">IF(N45="","",N45-O45)</f>
        <v>-106574.1</v>
      </c>
      <c r="Q45" s="113" t="n">
        <f aca="false">IF(OR(6&gt;$B$27,ISBLANK(Actuals!H21)),"",Actuals!H21)</f>
        <v>-198645.92</v>
      </c>
      <c r="R45" s="113" t="n">
        <f aca="false">'Reforecast Q1 2026'!H21</f>
        <v>-214375</v>
      </c>
      <c r="S45" s="113" t="n">
        <f aca="false">IF(Q45="","",Q45-R45)</f>
        <v>15729.08</v>
      </c>
      <c r="T45" s="113" t="n">
        <f aca="false">IF(OR(7&gt;$B$27,ISBLANK(Actuals!I21)),"",Actuals!I21)</f>
        <v>-215851.71</v>
      </c>
      <c r="U45" s="113" t="n">
        <f aca="false">'Reforecast Q1 2026'!I21</f>
        <v>-225208.333333333</v>
      </c>
      <c r="V45" s="113" t="n">
        <f aca="false">IF(T45="","",T45-U45)</f>
        <v>9356.623333333</v>
      </c>
      <c r="W45" s="113" t="n">
        <f aca="false">IF(OR(8&gt;$B$27,ISBLANK(Actuals!J21)),"",Actuals!J21)</f>
        <v>-217610.65</v>
      </c>
      <c r="X45" s="113" t="n">
        <f aca="false">'Reforecast Q1 2026'!J21</f>
        <v>-225208.333333333</v>
      </c>
      <c r="Y45" s="113" t="n">
        <f aca="false">IF(W45="","",W45-X45)</f>
        <v>7597.683333333</v>
      </c>
      <c r="Z45" s="113" t="n">
        <f aca="false">IF(OR(9&gt;$B$27,ISBLANK(Actuals!K21)),"",Actuals!K21)</f>
        <v>-223657.14</v>
      </c>
      <c r="AA45" s="113" t="n">
        <f aca="false">'Reforecast Q1 2026'!K21</f>
        <v>-225208.333333333</v>
      </c>
      <c r="AB45" s="113" t="n">
        <f aca="false">IF(Z45="","",Z45-AA45)</f>
        <v>1551.19333333298</v>
      </c>
      <c r="AC45" s="113" t="str">
        <f aca="false">IF(OR(10&gt;$B$27,ISBLANK(Actuals!L21)),"",Actuals!L21)</f>
        <v/>
      </c>
      <c r="AD45" s="113" t="n">
        <f aca="false">'Reforecast Q1 2026'!L21</f>
        <v>-246041.666666667</v>
      </c>
      <c r="AE45" s="113" t="str">
        <f aca="false">IF(AC45="","",AC45-AD45)</f>
        <v/>
      </c>
      <c r="AF45" s="113" t="str">
        <f aca="false">IF(OR(11&gt;$B$27,ISBLANK(Actuals!M21)),"",Actuals!M21)</f>
        <v/>
      </c>
      <c r="AG45" s="113" t="n">
        <f aca="false">'Reforecast Q1 2026'!M21</f>
        <v>-276041.666666667</v>
      </c>
      <c r="AH45" s="113" t="str">
        <f aca="false">IF(AF45="","",AF45-AG45)</f>
        <v/>
      </c>
      <c r="AI45" s="113" t="str">
        <f aca="false">IF(OR(12&gt;$B$27,ISBLANK(Actuals!N21)),"",Actuals!N21)</f>
        <v/>
      </c>
      <c r="AJ45" s="113" t="n">
        <f aca="false">'Reforecast Q1 2026'!N21</f>
        <v>-276041.666666667</v>
      </c>
      <c r="AK45" s="113" t="str">
        <f aca="false">IF(AI45="","",AI45-AJ45)</f>
        <v/>
      </c>
      <c r="AL45" s="116" t="n">
        <f aca="false">SUM(Actuals!$C21:INDEX(Actuals!$C21:$N21,$B$27))</f>
        <v>-1813499.75</v>
      </c>
      <c r="AM45" s="116" t="n">
        <f aca="false">SUM('Reforecast Q1 2026'!$C21:INDEX('Reforecast Q1 2026'!$C21:$N21,$B$27))</f>
        <v>-1718258.26666667</v>
      </c>
      <c r="AN45" s="116" t="n">
        <f aca="false">AL45-AM45</f>
        <v>-95241.4833333341</v>
      </c>
    </row>
    <row r="46" customFormat="false" ht="15" hidden="true" customHeight="true" outlineLevel="1" collapsed="false">
      <c r="A46" s="109" t="s">
        <v>65</v>
      </c>
      <c r="B46" s="113" t="n">
        <f aca="false">IF(OR(1&gt;$B$27,ISBLANK(Actuals!C22)),"",Actuals!C22)</f>
        <v>-7450.37</v>
      </c>
      <c r="C46" s="113" t="n">
        <f aca="false">'Reforecast Q1 2026'!C22</f>
        <v>-7450.37</v>
      </c>
      <c r="D46" s="113" t="n">
        <f aca="false">IF(B46="","",B46-C46)</f>
        <v>0</v>
      </c>
      <c r="E46" s="113" t="n">
        <f aca="false">IF(OR(2&gt;$B$27,ISBLANK(Actuals!D22)),"",Actuals!D22)</f>
        <v>-10567.2</v>
      </c>
      <c r="F46" s="113" t="n">
        <f aca="false">'Reforecast Q1 2026'!D22</f>
        <v>-10567.2</v>
      </c>
      <c r="G46" s="113" t="n">
        <f aca="false">IF(E46="","",E46-F46)</f>
        <v>0</v>
      </c>
      <c r="H46" s="113" t="n">
        <f aca="false">IF(OR(3&gt;$B$27,ISBLANK(Actuals!E22)),"",Actuals!E22)</f>
        <v>-17033.3</v>
      </c>
      <c r="I46" s="113" t="n">
        <f aca="false">'Reforecast Q1 2026'!E22</f>
        <v>-17033.3</v>
      </c>
      <c r="J46" s="113" t="n">
        <f aca="false">IF(H46="","",H46-I46)</f>
        <v>0</v>
      </c>
      <c r="K46" s="113" t="n">
        <f aca="false">IF(OR(4&gt;$B$27,ISBLANK(Actuals!F22)),"",Actuals!F22)</f>
        <v>-14599.57</v>
      </c>
      <c r="L46" s="113" t="n">
        <f aca="false">'Reforecast Q1 2026'!F22</f>
        <v>-15327.0833333333</v>
      </c>
      <c r="M46" s="113" t="n">
        <f aca="false">IF(K46="","",K46-L46)</f>
        <v>727.5133333333</v>
      </c>
      <c r="N46" s="113" t="n">
        <f aca="false">IF(OR(5&gt;$B$27,ISBLANK(Actuals!G22)),"",Actuals!G22)</f>
        <v>-23689.02</v>
      </c>
      <c r="O46" s="113" t="n">
        <f aca="false">'Reforecast Q1 2026'!G22</f>
        <v>-17047.9166666667</v>
      </c>
      <c r="P46" s="113" t="n">
        <f aca="false">IF(N46="","",N46-O46)</f>
        <v>-6641.1033333333</v>
      </c>
      <c r="Q46" s="113" t="n">
        <f aca="false">IF(OR(6&gt;$B$27,ISBLANK(Actuals!H22)),"",Actuals!H22)</f>
        <v>-14793.67</v>
      </c>
      <c r="R46" s="113" t="n">
        <f aca="false">'Reforecast Q1 2026'!H22</f>
        <v>-18797.9166666667</v>
      </c>
      <c r="S46" s="113" t="n">
        <f aca="false">IF(Q46="","",Q46-R46)</f>
        <v>4004.2466666667</v>
      </c>
      <c r="T46" s="113" t="n">
        <f aca="false">IF(OR(7&gt;$B$27,ISBLANK(Actuals!I22)),"",Actuals!I22)</f>
        <v>-16311.09</v>
      </c>
      <c r="U46" s="113" t="n">
        <f aca="false">'Reforecast Q1 2026'!I22</f>
        <v>-19556.25</v>
      </c>
      <c r="V46" s="113" t="n">
        <f aca="false">IF(T46="","",T46-U46)</f>
        <v>3245.16</v>
      </c>
      <c r="W46" s="113" t="n">
        <f aca="false">IF(OR(8&gt;$B$27,ISBLANK(Actuals!J22)),"",Actuals!J22)</f>
        <v>-16725.56</v>
      </c>
      <c r="X46" s="113" t="n">
        <f aca="false">'Reforecast Q1 2026'!J22</f>
        <v>-19556.25</v>
      </c>
      <c r="Y46" s="113" t="n">
        <f aca="false">IF(W46="","",W46-X46)</f>
        <v>2830.69</v>
      </c>
      <c r="Z46" s="113" t="n">
        <f aca="false">IF(OR(9&gt;$B$27,ISBLANK(Actuals!K22)),"",Actuals!K22)</f>
        <v>-16989.18</v>
      </c>
      <c r="AA46" s="113" t="n">
        <f aca="false">'Reforecast Q1 2026'!K22</f>
        <v>-19556.25</v>
      </c>
      <c r="AB46" s="113" t="n">
        <f aca="false">IF(Z46="","",Z46-AA46)</f>
        <v>2567.07</v>
      </c>
      <c r="AC46" s="113" t="str">
        <f aca="false">IF(OR(10&gt;$B$27,ISBLANK(Actuals!L22)),"",Actuals!L22)</f>
        <v/>
      </c>
      <c r="AD46" s="113" t="n">
        <f aca="false">'Reforecast Q1 2026'!L22</f>
        <v>-21014.5833333333</v>
      </c>
      <c r="AE46" s="113" t="str">
        <f aca="false">IF(AC46="","",AC46-AD46)</f>
        <v/>
      </c>
      <c r="AF46" s="113" t="str">
        <f aca="false">IF(OR(11&gt;$B$27,ISBLANK(Actuals!M22)),"",Actuals!M22)</f>
        <v/>
      </c>
      <c r="AG46" s="113" t="n">
        <f aca="false">'Reforecast Q1 2026'!M22</f>
        <v>-23114.5833333333</v>
      </c>
      <c r="AH46" s="113" t="str">
        <f aca="false">IF(AF46="","",AF46-AG46)</f>
        <v/>
      </c>
      <c r="AI46" s="113" t="str">
        <f aca="false">IF(OR(12&gt;$B$27,ISBLANK(Actuals!N22)),"",Actuals!N22)</f>
        <v/>
      </c>
      <c r="AJ46" s="113" t="n">
        <f aca="false">'Reforecast Q1 2026'!N22</f>
        <v>-23114.5833333333</v>
      </c>
      <c r="AK46" s="113" t="str">
        <f aca="false">IF(AI46="","",AI46-AJ46)</f>
        <v/>
      </c>
      <c r="AL46" s="116" t="n">
        <f aca="false">SUM(Actuals!$C22:INDEX(Actuals!$C22:$N22,$B$27))</f>
        <v>-138158.96</v>
      </c>
      <c r="AM46" s="116" t="n">
        <f aca="false">SUM('Reforecast Q1 2026'!$C22:INDEX('Reforecast Q1 2026'!$C22:$N22,$B$27))</f>
        <v>-144892.536666667</v>
      </c>
      <c r="AN46" s="116" t="n">
        <f aca="false">AL46-AM46</f>
        <v>6733.57666666669</v>
      </c>
    </row>
    <row r="47" customFormat="false" ht="15" hidden="true" customHeight="true" outlineLevel="1" collapsed="false">
      <c r="A47" s="109" t="s">
        <v>66</v>
      </c>
      <c r="B47" s="113" t="str">
        <f aca="false">IF(OR(1&gt;$B$27,ISBLANK(Actuals!C23)),"",Actuals!C23)</f>
        <v/>
      </c>
      <c r="C47" s="113" t="n">
        <f aca="false">'Reforecast Q1 2026'!C23</f>
        <v>0</v>
      </c>
      <c r="D47" s="113" t="str">
        <f aca="false">IF(B47="","",B47-C47)</f>
        <v/>
      </c>
      <c r="E47" s="113" t="str">
        <f aca="false">IF(OR(2&gt;$B$27,ISBLANK(Actuals!D23)),"",Actuals!D23)</f>
        <v/>
      </c>
      <c r="F47" s="113" t="n">
        <f aca="false">'Reforecast Q1 2026'!D23</f>
        <v>0</v>
      </c>
      <c r="G47" s="113" t="str">
        <f aca="false">IF(E47="","",E47-F47)</f>
        <v/>
      </c>
      <c r="H47" s="113" t="str">
        <f aca="false">IF(OR(3&gt;$B$27,ISBLANK(Actuals!E23)),"",Actuals!E23)</f>
        <v/>
      </c>
      <c r="I47" s="113" t="n">
        <f aca="false">'Reforecast Q1 2026'!E23</f>
        <v>0</v>
      </c>
      <c r="J47" s="113" t="str">
        <f aca="false">IF(H47="","",H47-I47)</f>
        <v/>
      </c>
      <c r="K47" s="113" t="n">
        <f aca="false">IF(OR(4&gt;$B$27,ISBLANK(Actuals!F23)),"",Actuals!F23)</f>
        <v>0</v>
      </c>
      <c r="L47" s="113" t="n">
        <f aca="false">'Reforecast Q1 2026'!F23</f>
        <v>-103833.333333333</v>
      </c>
      <c r="M47" s="113" t="n">
        <f aca="false">IF(K47="","",K47-L47)</f>
        <v>103833.333333333</v>
      </c>
      <c r="N47" s="113" t="n">
        <f aca="false">IF(OR(5&gt;$B$27,ISBLANK(Actuals!G23)),"",Actuals!G23)</f>
        <v>0</v>
      </c>
      <c r="O47" s="113" t="n">
        <f aca="false">'Reforecast Q1 2026'!G23</f>
        <v>-103833.333333333</v>
      </c>
      <c r="P47" s="113" t="n">
        <f aca="false">IF(N47="","",N47-O47)</f>
        <v>103833.333333333</v>
      </c>
      <c r="Q47" s="113" t="n">
        <f aca="false">IF(OR(6&gt;$B$27,ISBLANK(Actuals!H23)),"",Actuals!H23)</f>
        <v>0</v>
      </c>
      <c r="R47" s="113" t="n">
        <f aca="false">'Reforecast Q1 2026'!H23</f>
        <v>-103833.333333333</v>
      </c>
      <c r="S47" s="113" t="n">
        <f aca="false">IF(Q47="","",Q47-R47)</f>
        <v>103833.333333333</v>
      </c>
      <c r="T47" s="113" t="n">
        <f aca="false">IF(OR(7&gt;$B$27,ISBLANK(Actuals!I23)),"",Actuals!I23)</f>
        <v>0</v>
      </c>
      <c r="U47" s="113" t="n">
        <f aca="false">'Reforecast Q1 2026'!I23</f>
        <v>-103833.333333333</v>
      </c>
      <c r="V47" s="113" t="n">
        <f aca="false">IF(T47="","",T47-U47)</f>
        <v>103833.333333333</v>
      </c>
      <c r="W47" s="113" t="n">
        <f aca="false">IF(OR(8&gt;$B$27,ISBLANK(Actuals!J23)),"",Actuals!J23)</f>
        <v>0</v>
      </c>
      <c r="X47" s="113" t="n">
        <f aca="false">'Reforecast Q1 2026'!J23</f>
        <v>-103833.333333333</v>
      </c>
      <c r="Y47" s="113" t="n">
        <f aca="false">IF(W47="","",W47-X47)</f>
        <v>103833.333333333</v>
      </c>
      <c r="Z47" s="113" t="n">
        <f aca="false">IF(OR(9&gt;$B$27,ISBLANK(Actuals!K23)),"",Actuals!K23)</f>
        <v>0</v>
      </c>
      <c r="AA47" s="113" t="n">
        <f aca="false">'Reforecast Q1 2026'!K23</f>
        <v>-103833.333333333</v>
      </c>
      <c r="AB47" s="113" t="n">
        <f aca="false">IF(Z47="","",Z47-AA47)</f>
        <v>103833.333333333</v>
      </c>
      <c r="AC47" s="113" t="str">
        <f aca="false">IF(OR(10&gt;$B$27,ISBLANK(Actuals!L23)),"",Actuals!L23)</f>
        <v/>
      </c>
      <c r="AD47" s="113" t="n">
        <f aca="false">'Reforecast Q1 2026'!L23</f>
        <v>-103833.333333333</v>
      </c>
      <c r="AE47" s="113" t="str">
        <f aca="false">IF(AC47="","",AC47-AD47)</f>
        <v/>
      </c>
      <c r="AF47" s="113" t="str">
        <f aca="false">IF(OR(11&gt;$B$27,ISBLANK(Actuals!M23)),"",Actuals!M23)</f>
        <v/>
      </c>
      <c r="AG47" s="113" t="n">
        <f aca="false">'Reforecast Q1 2026'!M23</f>
        <v>-103833.333333333</v>
      </c>
      <c r="AH47" s="113" t="str">
        <f aca="false">IF(AF47="","",AF47-AG47)</f>
        <v/>
      </c>
      <c r="AI47" s="113" t="str">
        <f aca="false">IF(OR(12&gt;$B$27,ISBLANK(Actuals!N23)),"",Actuals!N23)</f>
        <v/>
      </c>
      <c r="AJ47" s="113" t="n">
        <f aca="false">'Reforecast Q1 2026'!N23</f>
        <v>-103833.333333333</v>
      </c>
      <c r="AK47" s="113" t="str">
        <f aca="false">IF(AI47="","",AI47-AJ47)</f>
        <v/>
      </c>
      <c r="AL47" s="116" t="n">
        <f aca="false">SUM(Actuals!$C23:INDEX(Actuals!$C23:$N23,$B$27))</f>
        <v>0</v>
      </c>
      <c r="AM47" s="116" t="n">
        <f aca="false">SUM('Reforecast Q1 2026'!$C23:INDEX('Reforecast Q1 2026'!$C23:$N23,$B$27))</f>
        <v>-622999.999999998</v>
      </c>
      <c r="AN47" s="116" t="n">
        <f aca="false">AL47-AM47</f>
        <v>622999.999999998</v>
      </c>
    </row>
    <row r="48" customFormat="false" ht="15" hidden="true" customHeight="true" outlineLevel="1" collapsed="false">
      <c r="A48" s="109" t="s">
        <v>67</v>
      </c>
      <c r="B48" s="113" t="n">
        <f aca="false">IF(OR(1&gt;$B$27,ISBLANK(Actuals!C24)),"",Actuals!C24)</f>
        <v>-9482.97</v>
      </c>
      <c r="C48" s="113" t="n">
        <f aca="false">'Reforecast Q1 2026'!C24</f>
        <v>-9482.97</v>
      </c>
      <c r="D48" s="113" t="n">
        <f aca="false">IF(B48="","",B48-C48)</f>
        <v>0</v>
      </c>
      <c r="E48" s="113" t="n">
        <f aca="false">IF(OR(2&gt;$B$27,ISBLANK(Actuals!D24)),"",Actuals!D24)</f>
        <v>-10343.29</v>
      </c>
      <c r="F48" s="113" t="n">
        <f aca="false">'Reforecast Q1 2026'!D24</f>
        <v>-10343.29</v>
      </c>
      <c r="G48" s="113" t="n">
        <f aca="false">IF(E48="","",E48-F48)</f>
        <v>0</v>
      </c>
      <c r="H48" s="113" t="n">
        <f aca="false">IF(OR(3&gt;$B$27,ISBLANK(Actuals!E24)),"",Actuals!E24)</f>
        <v>-3729.48</v>
      </c>
      <c r="I48" s="113" t="n">
        <f aca="false">'Reforecast Q1 2026'!E24</f>
        <v>-3729.48</v>
      </c>
      <c r="J48" s="113" t="n">
        <f aca="false">IF(H48="","",H48-I48)</f>
        <v>0</v>
      </c>
      <c r="K48" s="113" t="n">
        <f aca="false">IF(OR(4&gt;$B$27,ISBLANK(Actuals!F24)),"",Actuals!F24)</f>
        <v>-3206.79</v>
      </c>
      <c r="L48" s="113" t="n">
        <f aca="false">'Reforecast Q1 2026'!F24</f>
        <v>-10947.9166666667</v>
      </c>
      <c r="M48" s="113" t="n">
        <f aca="false">IF(K48="","",K48-L48)</f>
        <v>7741.1266666667</v>
      </c>
      <c r="N48" s="113" t="n">
        <f aca="false">IF(OR(5&gt;$B$27,ISBLANK(Actuals!G24)),"",Actuals!G24)</f>
        <v>10942.55</v>
      </c>
      <c r="O48" s="113" t="n">
        <f aca="false">'Reforecast Q1 2026'!G24</f>
        <v>-12177.0833333333</v>
      </c>
      <c r="P48" s="113" t="n">
        <f aca="false">IF(N48="","",N48-O48)</f>
        <v>23119.6333333333</v>
      </c>
      <c r="Q48" s="113" t="n">
        <f aca="false">IF(OR(6&gt;$B$27,ISBLANK(Actuals!H24)),"",Actuals!H24)</f>
        <v>-8982.91</v>
      </c>
      <c r="R48" s="113" t="n">
        <f aca="false">'Reforecast Q1 2026'!H24</f>
        <v>-13427.0833333333</v>
      </c>
      <c r="S48" s="113" t="n">
        <f aca="false">IF(Q48="","",Q48-R48)</f>
        <v>4444.1733333333</v>
      </c>
      <c r="T48" s="113" t="n">
        <f aca="false">IF(OR(7&gt;$B$27,ISBLANK(Actuals!I24)),"",Actuals!I24)</f>
        <v>-14712.5</v>
      </c>
      <c r="U48" s="113" t="n">
        <f aca="false">'Reforecast Q1 2026'!I24</f>
        <v>-13968.75</v>
      </c>
      <c r="V48" s="113" t="n">
        <f aca="false">IF(T48="","",T48-U48)</f>
        <v>-743.75</v>
      </c>
      <c r="W48" s="113" t="n">
        <f aca="false">IF(OR(8&gt;$B$27,ISBLANK(Actuals!J24)),"",Actuals!J24)</f>
        <v>-12426.27</v>
      </c>
      <c r="X48" s="113" t="n">
        <f aca="false">'Reforecast Q1 2026'!J24</f>
        <v>-13968.75</v>
      </c>
      <c r="Y48" s="113" t="n">
        <f aca="false">IF(W48="","",W48-X48)</f>
        <v>1542.48</v>
      </c>
      <c r="Z48" s="113" t="n">
        <f aca="false">IF(OR(9&gt;$B$27,ISBLANK(Actuals!K24)),"",Actuals!K24)</f>
        <v>-11264.52</v>
      </c>
      <c r="AA48" s="113" t="n">
        <f aca="false">'Reforecast Q1 2026'!K24</f>
        <v>-13968.75</v>
      </c>
      <c r="AB48" s="113" t="n">
        <f aca="false">IF(Z48="","",Z48-AA48)</f>
        <v>2704.23</v>
      </c>
      <c r="AC48" s="113" t="str">
        <f aca="false">IF(OR(10&gt;$B$27,ISBLANK(Actuals!L24)),"",Actuals!L24)</f>
        <v/>
      </c>
      <c r="AD48" s="113" t="n">
        <f aca="false">'Reforecast Q1 2026'!L24</f>
        <v>-15010.4166666667</v>
      </c>
      <c r="AE48" s="113" t="str">
        <f aca="false">IF(AC48="","",AC48-AD48)</f>
        <v/>
      </c>
      <c r="AF48" s="113" t="str">
        <f aca="false">IF(OR(11&gt;$B$27,ISBLANK(Actuals!M24)),"",Actuals!M24)</f>
        <v/>
      </c>
      <c r="AG48" s="113" t="n">
        <f aca="false">'Reforecast Q1 2026'!M24</f>
        <v>-16510.4166666667</v>
      </c>
      <c r="AH48" s="113" t="str">
        <f aca="false">IF(AF48="","",AF48-AG48)</f>
        <v/>
      </c>
      <c r="AI48" s="113" t="str">
        <f aca="false">IF(OR(12&gt;$B$27,ISBLANK(Actuals!N24)),"",Actuals!N24)</f>
        <v/>
      </c>
      <c r="AJ48" s="113" t="n">
        <f aca="false">'Reforecast Q1 2026'!N24</f>
        <v>-16510.4166666667</v>
      </c>
      <c r="AK48" s="113" t="str">
        <f aca="false">IF(AI48="","",AI48-AJ48)</f>
        <v/>
      </c>
      <c r="AL48" s="116" t="n">
        <f aca="false">SUM(Actuals!$C24:INDEX(Actuals!$C24:$N24,$B$27))</f>
        <v>-63206.18</v>
      </c>
      <c r="AM48" s="116" t="n">
        <f aca="false">SUM('Reforecast Q1 2026'!$C24:INDEX('Reforecast Q1 2026'!$C24:$N24,$B$27))</f>
        <v>-102014.073333333</v>
      </c>
      <c r="AN48" s="116" t="n">
        <f aca="false">AL48-AM48</f>
        <v>38807.8933333333</v>
      </c>
    </row>
    <row r="49" customFormat="false" ht="15" hidden="true" customHeight="true" outlineLevel="1" collapsed="false">
      <c r="A49" s="109" t="s">
        <v>68</v>
      </c>
      <c r="B49" s="113" t="n">
        <f aca="false">IF(OR(1&gt;$B$27,ISBLANK(Actuals!C25)),"",Actuals!C25)</f>
        <v>-2542.47</v>
      </c>
      <c r="C49" s="113" t="n">
        <f aca="false">'Reforecast Q1 2026'!C25</f>
        <v>-2542.47</v>
      </c>
      <c r="D49" s="113" t="n">
        <f aca="false">IF(B49="","",B49-C49)</f>
        <v>0</v>
      </c>
      <c r="E49" s="113" t="n">
        <f aca="false">IF(OR(2&gt;$B$27,ISBLANK(Actuals!D25)),"",Actuals!D25)</f>
        <v>-1618.75</v>
      </c>
      <c r="F49" s="113" t="n">
        <f aca="false">'Reforecast Q1 2026'!D25</f>
        <v>-1618.75</v>
      </c>
      <c r="G49" s="113" t="n">
        <f aca="false">IF(E49="","",E49-F49)</f>
        <v>0</v>
      </c>
      <c r="H49" s="113" t="n">
        <f aca="false">IF(OR(3&gt;$B$27,ISBLANK(Actuals!E25)),"",Actuals!E25)</f>
        <v>3406.77</v>
      </c>
      <c r="I49" s="113" t="n">
        <f aca="false">'Reforecast Q1 2026'!E25</f>
        <v>3406.77</v>
      </c>
      <c r="J49" s="113" t="n">
        <f aca="false">IF(H49="","",H49-I49)</f>
        <v>0</v>
      </c>
      <c r="K49" s="113" t="n">
        <f aca="false">IF(OR(4&gt;$B$27,ISBLANK(Actuals!F25)),"",Actuals!F25)</f>
        <v>2575.42</v>
      </c>
      <c r="L49" s="113" t="n">
        <f aca="false">'Reforecast Q1 2026'!F25</f>
        <v>-4379.16666666667</v>
      </c>
      <c r="M49" s="113" t="n">
        <f aca="false">IF(K49="","",K49-L49)</f>
        <v>6954.58666666667</v>
      </c>
      <c r="N49" s="113" t="n">
        <f aca="false">IF(OR(5&gt;$B$27,ISBLANK(Actuals!G25)),"",Actuals!G25)</f>
        <v>-1896.11</v>
      </c>
      <c r="O49" s="113" t="n">
        <f aca="false">'Reforecast Q1 2026'!G25</f>
        <v>-4870.83333333333</v>
      </c>
      <c r="P49" s="113" t="n">
        <f aca="false">IF(N49="","",N49-O49)</f>
        <v>2974.72333333333</v>
      </c>
      <c r="Q49" s="113" t="n">
        <f aca="false">IF(OR(6&gt;$B$27,ISBLANK(Actuals!H25)),"",Actuals!H25)</f>
        <v>-2888.37</v>
      </c>
      <c r="R49" s="113" t="n">
        <f aca="false">'Reforecast Q1 2026'!H25</f>
        <v>-5370.83333333333</v>
      </c>
      <c r="S49" s="113" t="n">
        <f aca="false">IF(Q49="","",Q49-R49)</f>
        <v>2482.46333333333</v>
      </c>
      <c r="T49" s="113" t="n">
        <f aca="false">IF(OR(7&gt;$B$27,ISBLANK(Actuals!I25)),"",Actuals!I25)</f>
        <v>636.26</v>
      </c>
      <c r="U49" s="113" t="n">
        <f aca="false">'Reforecast Q1 2026'!I25</f>
        <v>-5587.5</v>
      </c>
      <c r="V49" s="113" t="n">
        <f aca="false">IF(T49="","",T49-U49)</f>
        <v>6223.76</v>
      </c>
      <c r="W49" s="113" t="n">
        <f aca="false">IF(OR(8&gt;$B$27,ISBLANK(Actuals!J25)),"",Actuals!J25)</f>
        <v>-2370.43</v>
      </c>
      <c r="X49" s="113" t="n">
        <f aca="false">'Reforecast Q1 2026'!J25</f>
        <v>-5587.5</v>
      </c>
      <c r="Y49" s="113" t="n">
        <f aca="false">IF(W49="","",W49-X49)</f>
        <v>3217.07</v>
      </c>
      <c r="Z49" s="113" t="n">
        <f aca="false">IF(OR(9&gt;$B$27,ISBLANK(Actuals!K25)),"",Actuals!K25)</f>
        <v>-2397</v>
      </c>
      <c r="AA49" s="113" t="n">
        <f aca="false">'Reforecast Q1 2026'!K25</f>
        <v>-5587.5</v>
      </c>
      <c r="AB49" s="113" t="n">
        <f aca="false">IF(Z49="","",Z49-AA49)</f>
        <v>3190.5</v>
      </c>
      <c r="AC49" s="113" t="str">
        <f aca="false">IF(OR(10&gt;$B$27,ISBLANK(Actuals!L25)),"",Actuals!L25)</f>
        <v/>
      </c>
      <c r="AD49" s="113" t="n">
        <f aca="false">'Reforecast Q1 2026'!L25</f>
        <v>-6004.16666666667</v>
      </c>
      <c r="AE49" s="113" t="str">
        <f aca="false">IF(AC49="","",AC49-AD49)</f>
        <v/>
      </c>
      <c r="AF49" s="113" t="str">
        <f aca="false">IF(OR(11&gt;$B$27,ISBLANK(Actuals!M25)),"",Actuals!M25)</f>
        <v/>
      </c>
      <c r="AG49" s="113" t="n">
        <f aca="false">'Reforecast Q1 2026'!M25</f>
        <v>-6604.16666666666</v>
      </c>
      <c r="AH49" s="113" t="str">
        <f aca="false">IF(AF49="","",AF49-AG49)</f>
        <v/>
      </c>
      <c r="AI49" s="113" t="str">
        <f aca="false">IF(OR(12&gt;$B$27,ISBLANK(Actuals!N25)),"",Actuals!N25)</f>
        <v/>
      </c>
      <c r="AJ49" s="113" t="n">
        <f aca="false">'Reforecast Q1 2026'!N25</f>
        <v>-6604.16666666666</v>
      </c>
      <c r="AK49" s="113" t="str">
        <f aca="false">IF(AI49="","",AI49-AJ49)</f>
        <v/>
      </c>
      <c r="AL49" s="116" t="n">
        <f aca="false">SUM(Actuals!$C25:INDEX(Actuals!$C25:$N25,$B$27))</f>
        <v>-7094.68</v>
      </c>
      <c r="AM49" s="116" t="n">
        <f aca="false">SUM('Reforecast Q1 2026'!$C25:INDEX('Reforecast Q1 2026'!$C25:$N25,$B$27))</f>
        <v>-32137.7833333333</v>
      </c>
      <c r="AN49" s="116" t="n">
        <f aca="false">AL49-AM49</f>
        <v>25043.1033333333</v>
      </c>
    </row>
    <row r="50" customFormat="false" ht="15" hidden="true" customHeight="true" outlineLevel="1" collapsed="false">
      <c r="A50" s="109" t="s">
        <v>69</v>
      </c>
      <c r="B50" s="113" t="n">
        <f aca="false">IF(OR(1&gt;$B$27,ISBLANK(Actuals!C26)),"",Actuals!C26)</f>
        <v>-195</v>
      </c>
      <c r="C50" s="113" t="n">
        <f aca="false">'Reforecast Q1 2026'!C26</f>
        <v>-195</v>
      </c>
      <c r="D50" s="113" t="n">
        <f aca="false">IF(B50="","",B50-C50)</f>
        <v>0</v>
      </c>
      <c r="E50" s="113" t="n">
        <f aca="false">IF(OR(2&gt;$B$27,ISBLANK(Actuals!D26)),"",Actuals!D26)</f>
        <v>-200</v>
      </c>
      <c r="F50" s="113" t="n">
        <f aca="false">'Reforecast Q1 2026'!D26</f>
        <v>-200</v>
      </c>
      <c r="G50" s="113" t="n">
        <f aca="false">IF(E50="","",E50-F50)</f>
        <v>0</v>
      </c>
      <c r="H50" s="113" t="n">
        <f aca="false">IF(OR(3&gt;$B$27,ISBLANK(Actuals!E26)),"",Actuals!E26)</f>
        <v>0</v>
      </c>
      <c r="I50" s="113" t="n">
        <f aca="false">'Reforecast Q1 2026'!E26</f>
        <v>0</v>
      </c>
      <c r="J50" s="113" t="n">
        <f aca="false">IF(H50="","",H50-I50)</f>
        <v>0</v>
      </c>
      <c r="K50" s="113" t="n">
        <f aca="false">IF(OR(4&gt;$B$27,ISBLANK(Actuals!F26)),"",Actuals!F26)</f>
        <v>0</v>
      </c>
      <c r="L50" s="113" t="n">
        <f aca="false">'Reforecast Q1 2026'!F26</f>
        <v>-1094.79166666667</v>
      </c>
      <c r="M50" s="113" t="n">
        <f aca="false">IF(K50="","",K50-L50)</f>
        <v>1094.79166666667</v>
      </c>
      <c r="N50" s="113" t="n">
        <f aca="false">IF(OR(5&gt;$B$27,ISBLANK(Actuals!G26)),"",Actuals!G26)</f>
        <v>0</v>
      </c>
      <c r="O50" s="113" t="n">
        <f aca="false">'Reforecast Q1 2026'!G26</f>
        <v>-1217.70833333333</v>
      </c>
      <c r="P50" s="113" t="n">
        <f aca="false">IF(N50="","",N50-O50)</f>
        <v>1217.70833333333</v>
      </c>
      <c r="Q50" s="113" t="n">
        <f aca="false">IF(OR(6&gt;$B$27,ISBLANK(Actuals!H26)),"",Actuals!H26)</f>
        <v>0</v>
      </c>
      <c r="R50" s="113" t="n">
        <f aca="false">'Reforecast Q1 2026'!H26</f>
        <v>-1342.70833333333</v>
      </c>
      <c r="S50" s="113" t="n">
        <f aca="false">IF(Q50="","",Q50-R50)</f>
        <v>1342.70833333333</v>
      </c>
      <c r="T50" s="113" t="n">
        <f aca="false">IF(OR(7&gt;$B$27,ISBLANK(Actuals!I26)),"",Actuals!I26)</f>
        <v>0</v>
      </c>
      <c r="U50" s="113" t="n">
        <f aca="false">'Reforecast Q1 2026'!I26</f>
        <v>-1396.875</v>
      </c>
      <c r="V50" s="113" t="n">
        <f aca="false">IF(T50="","",T50-U50)</f>
        <v>1396.875</v>
      </c>
      <c r="W50" s="113" t="n">
        <f aca="false">IF(OR(8&gt;$B$27,ISBLANK(Actuals!J26)),"",Actuals!J26)</f>
        <v>0</v>
      </c>
      <c r="X50" s="113" t="n">
        <f aca="false">'Reforecast Q1 2026'!J26</f>
        <v>-1396.875</v>
      </c>
      <c r="Y50" s="113" t="n">
        <f aca="false">IF(W50="","",W50-X50)</f>
        <v>1396.875</v>
      </c>
      <c r="Z50" s="113" t="n">
        <f aca="false">IF(OR(9&gt;$B$27,ISBLANK(Actuals!K26)),"",Actuals!K26)</f>
        <v>0</v>
      </c>
      <c r="AA50" s="113" t="n">
        <f aca="false">'Reforecast Q1 2026'!K26</f>
        <v>-1396.875</v>
      </c>
      <c r="AB50" s="113" t="n">
        <f aca="false">IF(Z50="","",Z50-AA50)</f>
        <v>1396.875</v>
      </c>
      <c r="AC50" s="113" t="str">
        <f aca="false">IF(OR(10&gt;$B$27,ISBLANK(Actuals!L26)),"",Actuals!L26)</f>
        <v/>
      </c>
      <c r="AD50" s="113" t="n">
        <f aca="false">'Reforecast Q1 2026'!L26</f>
        <v>-1501.04166666667</v>
      </c>
      <c r="AE50" s="113" t="str">
        <f aca="false">IF(AC50="","",AC50-AD50)</f>
        <v/>
      </c>
      <c r="AF50" s="113" t="str">
        <f aca="false">IF(OR(11&gt;$B$27,ISBLANK(Actuals!M26)),"",Actuals!M26)</f>
        <v/>
      </c>
      <c r="AG50" s="113" t="n">
        <f aca="false">'Reforecast Q1 2026'!M26</f>
        <v>-1651.04166666667</v>
      </c>
      <c r="AH50" s="113" t="str">
        <f aca="false">IF(AF50="","",AF50-AG50)</f>
        <v/>
      </c>
      <c r="AI50" s="113" t="str">
        <f aca="false">IF(OR(12&gt;$B$27,ISBLANK(Actuals!N26)),"",Actuals!N26)</f>
        <v/>
      </c>
      <c r="AJ50" s="113" t="n">
        <f aca="false">'Reforecast Q1 2026'!N26</f>
        <v>-1651.04166666667</v>
      </c>
      <c r="AK50" s="113" t="str">
        <f aca="false">IF(AI50="","",AI50-AJ50)</f>
        <v/>
      </c>
      <c r="AL50" s="116" t="n">
        <f aca="false">SUM(Actuals!$C26:INDEX(Actuals!$C26:$N26,$B$27))</f>
        <v>-395</v>
      </c>
      <c r="AM50" s="116" t="n">
        <f aca="false">SUM('Reforecast Q1 2026'!$C26:INDEX('Reforecast Q1 2026'!$C26:$N26,$B$27))</f>
        <v>-8240.83333333333</v>
      </c>
      <c r="AN50" s="116" t="n">
        <f aca="false">AL50-AM50</f>
        <v>7845.83333333333</v>
      </c>
    </row>
    <row r="51" customFormat="false" ht="15" hidden="true" customHeight="true" outlineLevel="1" collapsed="false">
      <c r="A51" s="109" t="s">
        <v>70</v>
      </c>
      <c r="B51" s="113" t="n">
        <f aca="false">IF(OR(1&gt;$B$27,ISBLANK(Actuals!C27)),"",Actuals!C27)</f>
        <v>-33002.28</v>
      </c>
      <c r="C51" s="113" t="n">
        <f aca="false">'Reforecast Q1 2026'!C27</f>
        <v>-33002.28</v>
      </c>
      <c r="D51" s="113" t="n">
        <f aca="false">IF(B51="","",B51-C51)</f>
        <v>0</v>
      </c>
      <c r="E51" s="113" t="n">
        <f aca="false">IF(OR(2&gt;$B$27,ISBLANK(Actuals!D27)),"",Actuals!D27)</f>
        <v>-29166.66</v>
      </c>
      <c r="F51" s="113" t="n">
        <f aca="false">'Reforecast Q1 2026'!D27</f>
        <v>-29166.66</v>
      </c>
      <c r="G51" s="113" t="n">
        <f aca="false">IF(E51="","",E51-F51)</f>
        <v>0</v>
      </c>
      <c r="H51" s="113" t="n">
        <f aca="false">IF(OR(3&gt;$B$27,ISBLANK(Actuals!E27)),"",Actuals!E27)</f>
        <v>-41666.66</v>
      </c>
      <c r="I51" s="113" t="n">
        <f aca="false">'Reforecast Q1 2026'!E27</f>
        <v>-41666.66</v>
      </c>
      <c r="J51" s="113" t="n">
        <f aca="false">IF(H51="","",H51-I51)</f>
        <v>0</v>
      </c>
      <c r="K51" s="113" t="n">
        <f aca="false">IF(OR(4&gt;$B$27,ISBLANK(Actuals!F27)),"",Actuals!F27)</f>
        <v>-29166.66</v>
      </c>
      <c r="L51" s="113" t="n">
        <f aca="false">'Reforecast Q1 2026'!F27</f>
        <v>-29166.66</v>
      </c>
      <c r="M51" s="113" t="n">
        <f aca="false">IF(K51="","",K51-L51)</f>
        <v>0</v>
      </c>
      <c r="N51" s="113" t="n">
        <f aca="false">IF(OR(5&gt;$B$27,ISBLANK(Actuals!G27)),"",Actuals!G27)</f>
        <v>-29166.66</v>
      </c>
      <c r="O51" s="113" t="n">
        <f aca="false">'Reforecast Q1 2026'!G27</f>
        <v>-29166.66</v>
      </c>
      <c r="P51" s="113" t="n">
        <f aca="false">IF(N51="","",N51-O51)</f>
        <v>0</v>
      </c>
      <c r="Q51" s="113" t="n">
        <f aca="false">IF(OR(6&gt;$B$27,ISBLANK(Actuals!H27)),"",Actuals!H27)</f>
        <v>-29166.66</v>
      </c>
      <c r="R51" s="113" t="n">
        <f aca="false">'Reforecast Q1 2026'!H27</f>
        <v>-29166.66</v>
      </c>
      <c r="S51" s="113" t="n">
        <f aca="false">IF(Q51="","",Q51-R51)</f>
        <v>0</v>
      </c>
      <c r="T51" s="113" t="n">
        <f aca="false">IF(OR(7&gt;$B$27,ISBLANK(Actuals!I27)),"",Actuals!I27)</f>
        <v>-29166.66</v>
      </c>
      <c r="U51" s="113" t="n">
        <f aca="false">'Reforecast Q1 2026'!I27</f>
        <v>-29166.66</v>
      </c>
      <c r="V51" s="113" t="n">
        <f aca="false">IF(T51="","",T51-U51)</f>
        <v>0</v>
      </c>
      <c r="W51" s="113" t="n">
        <f aca="false">IF(OR(8&gt;$B$27,ISBLANK(Actuals!J27)),"",Actuals!J27)</f>
        <v>-29166.66</v>
      </c>
      <c r="X51" s="113" t="n">
        <f aca="false">'Reforecast Q1 2026'!J27</f>
        <v>-29166.66</v>
      </c>
      <c r="Y51" s="113" t="n">
        <f aca="false">IF(W51="","",W51-X51)</f>
        <v>0</v>
      </c>
      <c r="Z51" s="113" t="n">
        <f aca="false">IF(OR(9&gt;$B$27,ISBLANK(Actuals!K27)),"",Actuals!K27)</f>
        <v>-29166.66</v>
      </c>
      <c r="AA51" s="113" t="n">
        <f aca="false">'Reforecast Q1 2026'!K27</f>
        <v>-29166.66</v>
      </c>
      <c r="AB51" s="113" t="n">
        <f aca="false">IF(Z51="","",Z51-AA51)</f>
        <v>0</v>
      </c>
      <c r="AC51" s="113" t="str">
        <f aca="false">IF(OR(10&gt;$B$27,ISBLANK(Actuals!L27)),"",Actuals!L27)</f>
        <v/>
      </c>
      <c r="AD51" s="113" t="n">
        <f aca="false">'Reforecast Q1 2026'!L27</f>
        <v>-29166.66</v>
      </c>
      <c r="AE51" s="113" t="str">
        <f aca="false">IF(AC51="","",AC51-AD51)</f>
        <v/>
      </c>
      <c r="AF51" s="113" t="str">
        <f aca="false">IF(OR(11&gt;$B$27,ISBLANK(Actuals!M27)),"",Actuals!M27)</f>
        <v/>
      </c>
      <c r="AG51" s="113" t="n">
        <f aca="false">'Reforecast Q1 2026'!M27</f>
        <v>-29166.66</v>
      </c>
      <c r="AH51" s="113" t="str">
        <f aca="false">IF(AF51="","",AF51-AG51)</f>
        <v/>
      </c>
      <c r="AI51" s="113" t="str">
        <f aca="false">IF(OR(12&gt;$B$27,ISBLANK(Actuals!N27)),"",Actuals!N27)</f>
        <v/>
      </c>
      <c r="AJ51" s="113" t="n">
        <f aca="false">'Reforecast Q1 2026'!N27</f>
        <v>-29166.66</v>
      </c>
      <c r="AK51" s="113" t="str">
        <f aca="false">IF(AI51="","",AI51-AJ51)</f>
        <v/>
      </c>
      <c r="AL51" s="116" t="n">
        <f aca="false">SUM(Actuals!$C27:INDEX(Actuals!$C27:$N27,$B$27))</f>
        <v>-278835.56</v>
      </c>
      <c r="AM51" s="116" t="n">
        <f aca="false">SUM('Reforecast Q1 2026'!$C27:INDEX('Reforecast Q1 2026'!$C27:$N27,$B$27))</f>
        <v>-278835.56</v>
      </c>
      <c r="AN51" s="116" t="n">
        <f aca="false">AL51-AM51</f>
        <v>0</v>
      </c>
    </row>
    <row r="52" customFormat="false" ht="15" hidden="true" customHeight="true" outlineLevel="1" collapsed="false">
      <c r="A52" s="109" t="s">
        <v>71</v>
      </c>
      <c r="B52" s="113" t="n">
        <f aca="false">IF(OR(1&gt;$B$27,ISBLANK(Actuals!C28)),"",Actuals!C28)</f>
        <v>0</v>
      </c>
      <c r="C52" s="113" t="n">
        <f aca="false">'Reforecast Q1 2026'!C28</f>
        <v>0</v>
      </c>
      <c r="D52" s="113" t="n">
        <f aca="false">IF(B52="","",B52-C52)</f>
        <v>0</v>
      </c>
      <c r="E52" s="113" t="n">
        <f aca="false">IF(OR(2&gt;$B$27,ISBLANK(Actuals!D28)),"",Actuals!D28)</f>
        <v>0</v>
      </c>
      <c r="F52" s="113" t="n">
        <f aca="false">'Reforecast Q1 2026'!D28</f>
        <v>0</v>
      </c>
      <c r="G52" s="113" t="n">
        <f aca="false">IF(E52="","",E52-F52)</f>
        <v>0</v>
      </c>
      <c r="H52" s="113" t="n">
        <f aca="false">IF(OR(3&gt;$B$27,ISBLANK(Actuals!E28)),"",Actuals!E28)</f>
        <v>0</v>
      </c>
      <c r="I52" s="113" t="n">
        <f aca="false">'Reforecast Q1 2026'!E28</f>
        <v>0</v>
      </c>
      <c r="J52" s="113" t="n">
        <f aca="false">IF(H52="","",H52-I52)</f>
        <v>0</v>
      </c>
      <c r="K52" s="113" t="n">
        <f aca="false">IF(OR(4&gt;$B$27,ISBLANK(Actuals!F28)),"",Actuals!F28)</f>
        <v>251304.48</v>
      </c>
      <c r="L52" s="113" t="n">
        <f aca="false">'Reforecast Q1 2026'!F28</f>
        <v>0</v>
      </c>
      <c r="M52" s="113" t="n">
        <f aca="false">IF(K52="","",K52-L52)</f>
        <v>251304.48</v>
      </c>
      <c r="N52" s="113" t="n">
        <f aca="false">IF(OR(5&gt;$B$27,ISBLANK(Actuals!G28)),"",Actuals!G28)</f>
        <v>81510</v>
      </c>
      <c r="O52" s="113" t="n">
        <f aca="false">'Reforecast Q1 2026'!G28</f>
        <v>0</v>
      </c>
      <c r="P52" s="113" t="n">
        <f aca="false">IF(N52="","",N52-O52)</f>
        <v>81510</v>
      </c>
      <c r="Q52" s="113" t="n">
        <f aca="false">IF(OR(6&gt;$B$27,ISBLANK(Actuals!H28)),"",Actuals!H28)</f>
        <v>0</v>
      </c>
      <c r="R52" s="113" t="n">
        <f aca="false">'Reforecast Q1 2026'!H28</f>
        <v>0</v>
      </c>
      <c r="S52" s="113" t="n">
        <f aca="false">IF(Q52="","",Q52-R52)</f>
        <v>0</v>
      </c>
      <c r="T52" s="113" t="n">
        <f aca="false">IF(OR(7&gt;$B$27,ISBLANK(Actuals!I28)),"",Actuals!I28)</f>
        <v>0</v>
      </c>
      <c r="U52" s="113" t="n">
        <f aca="false">'Reforecast Q1 2026'!I28</f>
        <v>0</v>
      </c>
      <c r="V52" s="113" t="n">
        <f aca="false">IF(T52="","",T52-U52)</f>
        <v>0</v>
      </c>
      <c r="W52" s="113" t="n">
        <f aca="false">IF(OR(8&gt;$B$27,ISBLANK(Actuals!J28)),"",Actuals!J28)</f>
        <v>0</v>
      </c>
      <c r="X52" s="113" t="n">
        <f aca="false">'Reforecast Q1 2026'!J28</f>
        <v>0</v>
      </c>
      <c r="Y52" s="113" t="n">
        <f aca="false">IF(W52="","",W52-X52)</f>
        <v>0</v>
      </c>
      <c r="Z52" s="113" t="n">
        <f aca="false">IF(OR(9&gt;$B$27,ISBLANK(Actuals!K28)),"",Actuals!K28)</f>
        <v>0</v>
      </c>
      <c r="AA52" s="113" t="n">
        <f aca="false">'Reforecast Q1 2026'!K28</f>
        <v>0</v>
      </c>
      <c r="AB52" s="113" t="n">
        <f aca="false">IF(Z52="","",Z52-AA52)</f>
        <v>0</v>
      </c>
      <c r="AC52" s="113" t="str">
        <f aca="false">IF(OR(10&gt;$B$27,ISBLANK(Actuals!L28)),"",Actuals!L28)</f>
        <v/>
      </c>
      <c r="AD52" s="113" t="n">
        <f aca="false">'Reforecast Q1 2026'!L28</f>
        <v>0</v>
      </c>
      <c r="AE52" s="113" t="str">
        <f aca="false">IF(AC52="","",AC52-AD52)</f>
        <v/>
      </c>
      <c r="AF52" s="113" t="str">
        <f aca="false">IF(OR(11&gt;$B$27,ISBLANK(Actuals!M28)),"",Actuals!M28)</f>
        <v/>
      </c>
      <c r="AG52" s="113" t="n">
        <f aca="false">'Reforecast Q1 2026'!M28</f>
        <v>0</v>
      </c>
      <c r="AH52" s="113" t="str">
        <f aca="false">IF(AF52="","",AF52-AG52)</f>
        <v/>
      </c>
      <c r="AI52" s="113" t="str">
        <f aca="false">IF(OR(12&gt;$B$27,ISBLANK(Actuals!N28)),"",Actuals!N28)</f>
        <v/>
      </c>
      <c r="AJ52" s="113" t="n">
        <f aca="false">'Reforecast Q1 2026'!N28</f>
        <v>0</v>
      </c>
      <c r="AK52" s="113" t="str">
        <f aca="false">IF(AI52="","",AI52-AJ52)</f>
        <v/>
      </c>
      <c r="AL52" s="116" t="n">
        <f aca="false">SUM(Actuals!$C28:INDEX(Actuals!$C28:$N28,$B$27))</f>
        <v>332814.48</v>
      </c>
      <c r="AM52" s="116" t="n">
        <f aca="false">SUM('Reforecast Q1 2026'!$C28:INDEX('Reforecast Q1 2026'!$C28:$N28,$B$27))</f>
        <v>0</v>
      </c>
      <c r="AN52" s="116" t="n">
        <f aca="false">AL52-AM52</f>
        <v>332814.48</v>
      </c>
    </row>
    <row r="53" customFormat="false" ht="15" hidden="true" customHeight="true" outlineLevel="1" collapsed="false">
      <c r="A53" s="109" t="s">
        <v>72</v>
      </c>
      <c r="B53" s="113" t="n">
        <f aca="false">IF(OR(1&gt;$B$27,ISBLANK(Actuals!C29)),"",Actuals!C29)</f>
        <v>-10400</v>
      </c>
      <c r="C53" s="113" t="n">
        <f aca="false">'Reforecast Q1 2026'!C29</f>
        <v>-10400</v>
      </c>
      <c r="D53" s="113" t="n">
        <f aca="false">IF(B53="","",B53-C53)</f>
        <v>0</v>
      </c>
      <c r="E53" s="113" t="n">
        <f aca="false">IF(OR(2&gt;$B$27,ISBLANK(Actuals!D29)),"",Actuals!D29)</f>
        <v>-10400</v>
      </c>
      <c r="F53" s="113" t="n">
        <f aca="false">'Reforecast Q1 2026'!D29</f>
        <v>-10400</v>
      </c>
      <c r="G53" s="113" t="n">
        <f aca="false">IF(E53="","",E53-F53)</f>
        <v>0</v>
      </c>
      <c r="H53" s="113" t="n">
        <f aca="false">IF(OR(3&gt;$B$27,ISBLANK(Actuals!E29)),"",Actuals!E29)</f>
        <v>-400</v>
      </c>
      <c r="I53" s="113" t="n">
        <f aca="false">'Reforecast Q1 2026'!E29</f>
        <v>-400</v>
      </c>
      <c r="J53" s="113" t="n">
        <f aca="false">IF(H53="","",H53-I53)</f>
        <v>0</v>
      </c>
      <c r="K53" s="113" t="n">
        <f aca="false">IF(OR(4&gt;$B$27,ISBLANK(Actuals!F29)),"",Actuals!F29)</f>
        <v>-10400</v>
      </c>
      <c r="L53" s="113" t="n">
        <f aca="false">'Reforecast Q1 2026'!F29</f>
        <v>-10400</v>
      </c>
      <c r="M53" s="113" t="n">
        <f aca="false">IF(K53="","",K53-L53)</f>
        <v>0</v>
      </c>
      <c r="N53" s="113" t="n">
        <f aca="false">IF(OR(5&gt;$B$27,ISBLANK(Actuals!G29)),"",Actuals!G29)</f>
        <v>-20400</v>
      </c>
      <c r="O53" s="113" t="n">
        <f aca="false">'Reforecast Q1 2026'!G29</f>
        <v>-10400</v>
      </c>
      <c r="P53" s="113" t="n">
        <f aca="false">IF(N53="","",N53-O53)</f>
        <v>-10000</v>
      </c>
      <c r="Q53" s="113" t="n">
        <f aca="false">IF(OR(6&gt;$B$27,ISBLANK(Actuals!H29)),"",Actuals!H29)</f>
        <v>-20405</v>
      </c>
      <c r="R53" s="113" t="n">
        <f aca="false">'Reforecast Q1 2026'!H29</f>
        <v>-10400</v>
      </c>
      <c r="S53" s="113" t="n">
        <f aca="false">IF(Q53="","",Q53-R53)</f>
        <v>-10005</v>
      </c>
      <c r="T53" s="113" t="n">
        <f aca="false">IF(OR(7&gt;$B$27,ISBLANK(Actuals!I29)),"",Actuals!I29)</f>
        <v>-20405</v>
      </c>
      <c r="U53" s="113" t="n">
        <f aca="false">'Reforecast Q1 2026'!I29</f>
        <v>-10400</v>
      </c>
      <c r="V53" s="113" t="n">
        <f aca="false">IF(T53="","",T53-U53)</f>
        <v>-10005</v>
      </c>
      <c r="W53" s="113" t="n">
        <f aca="false">IF(OR(8&gt;$B$27,ISBLANK(Actuals!J29)),"",Actuals!J29)</f>
        <v>-20405</v>
      </c>
      <c r="X53" s="113" t="n">
        <f aca="false">'Reforecast Q1 2026'!J29</f>
        <v>-10400</v>
      </c>
      <c r="Y53" s="113" t="n">
        <f aca="false">IF(W53="","",W53-X53)</f>
        <v>-10005</v>
      </c>
      <c r="Z53" s="113" t="n">
        <f aca="false">IF(OR(9&gt;$B$27,ISBLANK(Actuals!K29)),"",Actuals!K29)</f>
        <v>-20000</v>
      </c>
      <c r="AA53" s="113" t="n">
        <f aca="false">'Reforecast Q1 2026'!K29</f>
        <v>-10400</v>
      </c>
      <c r="AB53" s="113" t="n">
        <f aca="false">IF(Z53="","",Z53-AA53)</f>
        <v>-9600</v>
      </c>
      <c r="AC53" s="113" t="str">
        <f aca="false">IF(OR(10&gt;$B$27,ISBLANK(Actuals!L29)),"",Actuals!L29)</f>
        <v/>
      </c>
      <c r="AD53" s="113" t="n">
        <f aca="false">'Reforecast Q1 2026'!L29</f>
        <v>-10400</v>
      </c>
      <c r="AE53" s="113" t="str">
        <f aca="false">IF(AC53="","",AC53-AD53)</f>
        <v/>
      </c>
      <c r="AF53" s="113" t="str">
        <f aca="false">IF(OR(11&gt;$B$27,ISBLANK(Actuals!M29)),"",Actuals!M29)</f>
        <v/>
      </c>
      <c r="AG53" s="113" t="n">
        <f aca="false">'Reforecast Q1 2026'!M29</f>
        <v>-10400</v>
      </c>
      <c r="AH53" s="113" t="str">
        <f aca="false">IF(AF53="","",AF53-AG53)</f>
        <v/>
      </c>
      <c r="AI53" s="113" t="str">
        <f aca="false">IF(OR(12&gt;$B$27,ISBLANK(Actuals!N29)),"",Actuals!N29)</f>
        <v/>
      </c>
      <c r="AJ53" s="113" t="n">
        <f aca="false">'Reforecast Q1 2026'!N29</f>
        <v>-10400</v>
      </c>
      <c r="AK53" s="113" t="str">
        <f aca="false">IF(AI53="","",AI53-AJ53)</f>
        <v/>
      </c>
      <c r="AL53" s="116" t="n">
        <f aca="false">SUM(Actuals!$C29:INDEX(Actuals!$C29:$N29,$B$27))</f>
        <v>-133215</v>
      </c>
      <c r="AM53" s="116" t="n">
        <f aca="false">SUM('Reforecast Q1 2026'!$C29:INDEX('Reforecast Q1 2026'!$C29:$N29,$B$27))</f>
        <v>-83600</v>
      </c>
      <c r="AN53" s="116" t="n">
        <f aca="false">AL53-AM53</f>
        <v>-49615</v>
      </c>
    </row>
    <row r="54" customFormat="false" ht="15" hidden="true" customHeight="true" outlineLevel="1" collapsed="false">
      <c r="A54" s="109" t="s">
        <v>73</v>
      </c>
      <c r="B54" s="113" t="n">
        <f aca="false">IF(OR(1&gt;$B$27,ISBLANK(Actuals!C30)),"",Actuals!C30)</f>
        <v>-1988</v>
      </c>
      <c r="C54" s="113" t="n">
        <f aca="false">'Reforecast Q1 2026'!C30</f>
        <v>-1988</v>
      </c>
      <c r="D54" s="113" t="n">
        <f aca="false">IF(B54="","",B54-C54)</f>
        <v>0</v>
      </c>
      <c r="E54" s="113" t="n">
        <f aca="false">IF(OR(2&gt;$B$27,ISBLANK(Actuals!D30)),"",Actuals!D30)</f>
        <v>-955.32</v>
      </c>
      <c r="F54" s="113" t="n">
        <f aca="false">'Reforecast Q1 2026'!D30</f>
        <v>-955.32</v>
      </c>
      <c r="G54" s="113" t="n">
        <f aca="false">IF(E54="","",E54-F54)</f>
        <v>0</v>
      </c>
      <c r="H54" s="113" t="n">
        <f aca="false">IF(OR(3&gt;$B$27,ISBLANK(Actuals!E30)),"",Actuals!E30)</f>
        <v>-9130.61</v>
      </c>
      <c r="I54" s="113" t="n">
        <f aca="false">'Reforecast Q1 2026'!E30</f>
        <v>-9130.61</v>
      </c>
      <c r="J54" s="113" t="n">
        <f aca="false">IF(H54="","",H54-I54)</f>
        <v>0</v>
      </c>
      <c r="K54" s="113" t="n">
        <f aca="false">IF(OR(4&gt;$B$27,ISBLANK(Actuals!F30)),"",Actuals!F30)</f>
        <v>-1028.89</v>
      </c>
      <c r="L54" s="113" t="n">
        <f aca="false">'Reforecast Q1 2026'!F30</f>
        <v>-4024.64</v>
      </c>
      <c r="M54" s="113" t="n">
        <f aca="false">IF(K54="","",K54-L54)</f>
        <v>2995.75</v>
      </c>
      <c r="N54" s="113" t="n">
        <f aca="false">IF(OR(5&gt;$B$27,ISBLANK(Actuals!G30)),"",Actuals!G30)</f>
        <v>-7005.14</v>
      </c>
      <c r="O54" s="113" t="n">
        <f aca="false">'Reforecast Q1 2026'!G30</f>
        <v>-4024.64</v>
      </c>
      <c r="P54" s="113" t="n">
        <f aca="false">IF(N54="","",N54-O54)</f>
        <v>-2980.5</v>
      </c>
      <c r="Q54" s="113" t="n">
        <f aca="false">IF(OR(6&gt;$B$27,ISBLANK(Actuals!H30)),"",Actuals!H30)</f>
        <v>-4121.06</v>
      </c>
      <c r="R54" s="113" t="n">
        <f aca="false">'Reforecast Q1 2026'!H30</f>
        <v>-4024.64</v>
      </c>
      <c r="S54" s="113" t="n">
        <f aca="false">IF(Q54="","",Q54-R54)</f>
        <v>-96.4200000000005</v>
      </c>
      <c r="T54" s="113" t="n">
        <f aca="false">IF(OR(7&gt;$B$27,ISBLANK(Actuals!I30)),"",Actuals!I30)</f>
        <v>-2683.91</v>
      </c>
      <c r="U54" s="113" t="n">
        <f aca="false">'Reforecast Q1 2026'!I30</f>
        <v>-4024.64</v>
      </c>
      <c r="V54" s="113" t="n">
        <f aca="false">IF(T54="","",T54-U54)</f>
        <v>1340.73</v>
      </c>
      <c r="W54" s="113" t="n">
        <f aca="false">IF(OR(8&gt;$B$27,ISBLANK(Actuals!J30)),"",Actuals!J30)</f>
        <v>-17047.56</v>
      </c>
      <c r="X54" s="113" t="n">
        <f aca="false">'Reforecast Q1 2026'!J30</f>
        <v>-4024.64</v>
      </c>
      <c r="Y54" s="113" t="n">
        <f aca="false">IF(W54="","",W54-X54)</f>
        <v>-13022.92</v>
      </c>
      <c r="Z54" s="113" t="n">
        <f aca="false">IF(OR(9&gt;$B$27,ISBLANK(Actuals!K30)),"",Actuals!K30)</f>
        <v>-145.69</v>
      </c>
      <c r="AA54" s="113" t="n">
        <f aca="false">'Reforecast Q1 2026'!K30</f>
        <v>-4024.64</v>
      </c>
      <c r="AB54" s="113" t="n">
        <f aca="false">IF(Z54="","",Z54-AA54)</f>
        <v>3878.95</v>
      </c>
      <c r="AC54" s="113" t="str">
        <f aca="false">IF(OR(10&gt;$B$27,ISBLANK(Actuals!L30)),"",Actuals!L30)</f>
        <v/>
      </c>
      <c r="AD54" s="113" t="n">
        <f aca="false">'Reforecast Q1 2026'!L30</f>
        <v>-4024.64</v>
      </c>
      <c r="AE54" s="113" t="str">
        <f aca="false">IF(AC54="","",AC54-AD54)</f>
        <v/>
      </c>
      <c r="AF54" s="113" t="str">
        <f aca="false">IF(OR(11&gt;$B$27,ISBLANK(Actuals!M30)),"",Actuals!M30)</f>
        <v/>
      </c>
      <c r="AG54" s="113" t="n">
        <f aca="false">'Reforecast Q1 2026'!M30</f>
        <v>-4024.64</v>
      </c>
      <c r="AH54" s="113" t="str">
        <f aca="false">IF(AF54="","",AF54-AG54)</f>
        <v/>
      </c>
      <c r="AI54" s="113" t="str">
        <f aca="false">IF(OR(12&gt;$B$27,ISBLANK(Actuals!N30)),"",Actuals!N30)</f>
        <v/>
      </c>
      <c r="AJ54" s="113" t="n">
        <f aca="false">'Reforecast Q1 2026'!N30</f>
        <v>-4024.64</v>
      </c>
      <c r="AK54" s="113" t="str">
        <f aca="false">IF(AI54="","",AI54-AJ54)</f>
        <v/>
      </c>
      <c r="AL54" s="116" t="n">
        <f aca="false">SUM(Actuals!$C30:INDEX(Actuals!$C30:$N30,$B$27))</f>
        <v>-44106.18</v>
      </c>
      <c r="AM54" s="116" t="n">
        <f aca="false">SUM('Reforecast Q1 2026'!$C30:INDEX('Reforecast Q1 2026'!$C30:$N30,$B$27))</f>
        <v>-36221.77</v>
      </c>
      <c r="AN54" s="116" t="n">
        <f aca="false">AL54-AM54</f>
        <v>-7884.41</v>
      </c>
    </row>
    <row r="55" customFormat="false" ht="15" hidden="true" customHeight="true" outlineLevel="1" collapsed="false">
      <c r="A55" s="109" t="s">
        <v>74</v>
      </c>
      <c r="B55" s="113" t="n">
        <f aca="false">IF(OR(1&gt;$B$27,ISBLANK(Actuals!C31)),"",Actuals!C31)</f>
        <v>0</v>
      </c>
      <c r="C55" s="113" t="n">
        <f aca="false">'Reforecast Q1 2026'!C31</f>
        <v>0</v>
      </c>
      <c r="D55" s="113" t="n">
        <f aca="false">IF(B55="","",B55-C55)</f>
        <v>0</v>
      </c>
      <c r="E55" s="113" t="n">
        <f aca="false">IF(OR(2&gt;$B$27,ISBLANK(Actuals!D31)),"",Actuals!D31)</f>
        <v>0</v>
      </c>
      <c r="F55" s="113" t="n">
        <f aca="false">'Reforecast Q1 2026'!D31</f>
        <v>0</v>
      </c>
      <c r="G55" s="113" t="n">
        <f aca="false">IF(E55="","",E55-F55)</f>
        <v>0</v>
      </c>
      <c r="H55" s="113" t="n">
        <f aca="false">IF(OR(3&gt;$B$27,ISBLANK(Actuals!E31)),"",Actuals!E31)</f>
        <v>-1077.38</v>
      </c>
      <c r="I55" s="113" t="n">
        <f aca="false">'Reforecast Q1 2026'!E31</f>
        <v>-1077.38</v>
      </c>
      <c r="J55" s="113" t="n">
        <f aca="false">IF(H55="","",H55-I55)</f>
        <v>0</v>
      </c>
      <c r="K55" s="113" t="n">
        <f aca="false">IF(OR(4&gt;$B$27,ISBLANK(Actuals!F31)),"",Actuals!F31)</f>
        <v>-211.28</v>
      </c>
      <c r="L55" s="113" t="n">
        <f aca="false">'Reforecast Q1 2026'!F31</f>
        <v>-359.13</v>
      </c>
      <c r="M55" s="113" t="n">
        <f aca="false">IF(K55="","",K55-L55)</f>
        <v>147.85</v>
      </c>
      <c r="N55" s="113" t="n">
        <f aca="false">IF(OR(5&gt;$B$27,ISBLANK(Actuals!G31)),"",Actuals!G31)</f>
        <v>-1254.17</v>
      </c>
      <c r="O55" s="113" t="n">
        <f aca="false">'Reforecast Q1 2026'!G31</f>
        <v>-359.13</v>
      </c>
      <c r="P55" s="113" t="n">
        <f aca="false">IF(N55="","",N55-O55)</f>
        <v>-895.04</v>
      </c>
      <c r="Q55" s="113" t="n">
        <f aca="false">IF(OR(6&gt;$B$27,ISBLANK(Actuals!H31)),"",Actuals!H31)</f>
        <v>0</v>
      </c>
      <c r="R55" s="113" t="n">
        <f aca="false">'Reforecast Q1 2026'!H31</f>
        <v>-359.13</v>
      </c>
      <c r="S55" s="113" t="n">
        <f aca="false">IF(Q55="","",Q55-R55)</f>
        <v>359.13</v>
      </c>
      <c r="T55" s="113" t="n">
        <f aca="false">IF(OR(7&gt;$B$27,ISBLANK(Actuals!I31)),"",Actuals!I31)</f>
        <v>-169.62</v>
      </c>
      <c r="U55" s="113" t="n">
        <f aca="false">'Reforecast Q1 2026'!I31</f>
        <v>-359.13</v>
      </c>
      <c r="V55" s="113" t="n">
        <f aca="false">IF(T55="","",T55-U55)</f>
        <v>189.51</v>
      </c>
      <c r="W55" s="113" t="n">
        <f aca="false">IF(OR(8&gt;$B$27,ISBLANK(Actuals!J31)),"",Actuals!J31)</f>
        <v>-2331.88</v>
      </c>
      <c r="X55" s="113" t="n">
        <f aca="false">'Reforecast Q1 2026'!J31</f>
        <v>-359.13</v>
      </c>
      <c r="Y55" s="113" t="n">
        <f aca="false">IF(W55="","",W55-X55)</f>
        <v>-1972.75</v>
      </c>
      <c r="Z55" s="113" t="n">
        <f aca="false">IF(OR(9&gt;$B$27,ISBLANK(Actuals!K31)),"",Actuals!K31)</f>
        <v>-1797.24</v>
      </c>
      <c r="AA55" s="113" t="n">
        <f aca="false">'Reforecast Q1 2026'!K31</f>
        <v>-359.13</v>
      </c>
      <c r="AB55" s="113" t="n">
        <f aca="false">IF(Z55="","",Z55-AA55)</f>
        <v>-1438.11</v>
      </c>
      <c r="AC55" s="113" t="str">
        <f aca="false">IF(OR(10&gt;$B$27,ISBLANK(Actuals!L31)),"",Actuals!L31)</f>
        <v/>
      </c>
      <c r="AD55" s="113" t="n">
        <f aca="false">'Reforecast Q1 2026'!L31</f>
        <v>-359.13</v>
      </c>
      <c r="AE55" s="113" t="str">
        <f aca="false">IF(AC55="","",AC55-AD55)</f>
        <v/>
      </c>
      <c r="AF55" s="113" t="str">
        <f aca="false">IF(OR(11&gt;$B$27,ISBLANK(Actuals!M31)),"",Actuals!M31)</f>
        <v/>
      </c>
      <c r="AG55" s="113" t="n">
        <f aca="false">'Reforecast Q1 2026'!M31</f>
        <v>-359.13</v>
      </c>
      <c r="AH55" s="113" t="str">
        <f aca="false">IF(AF55="","",AF55-AG55)</f>
        <v/>
      </c>
      <c r="AI55" s="113" t="str">
        <f aca="false">IF(OR(12&gt;$B$27,ISBLANK(Actuals!N31)),"",Actuals!N31)</f>
        <v/>
      </c>
      <c r="AJ55" s="113" t="n">
        <f aca="false">'Reforecast Q1 2026'!N31</f>
        <v>-359.13</v>
      </c>
      <c r="AK55" s="113" t="str">
        <f aca="false">IF(AI55="","",AI55-AJ55)</f>
        <v/>
      </c>
      <c r="AL55" s="116" t="n">
        <f aca="false">SUM(Actuals!$C31:INDEX(Actuals!$C31:$N31,$B$27))</f>
        <v>-6841.57</v>
      </c>
      <c r="AM55" s="116" t="n">
        <f aca="false">SUM('Reforecast Q1 2026'!$C31:INDEX('Reforecast Q1 2026'!$C31:$N31,$B$27))</f>
        <v>-3232.16</v>
      </c>
      <c r="AN55" s="116" t="n">
        <f aca="false">AL55-AM55</f>
        <v>-3609.41</v>
      </c>
    </row>
    <row r="56" customFormat="false" ht="15" hidden="true" customHeight="true" outlineLevel="1" collapsed="false">
      <c r="A56" s="109" t="s">
        <v>75</v>
      </c>
      <c r="B56" s="113" t="n">
        <f aca="false">IF(OR(1&gt;$B$27,ISBLANK(Actuals!C32)),"",Actuals!C32)</f>
        <v>-79</v>
      </c>
      <c r="C56" s="113" t="n">
        <f aca="false">'Reforecast Q1 2026'!C32</f>
        <v>-79</v>
      </c>
      <c r="D56" s="113" t="n">
        <f aca="false">IF(B56="","",B56-C56)</f>
        <v>0</v>
      </c>
      <c r="E56" s="113" t="n">
        <f aca="false">IF(OR(2&gt;$B$27,ISBLANK(Actuals!D32)),"",Actuals!D32)</f>
        <v>0</v>
      </c>
      <c r="F56" s="113" t="n">
        <f aca="false">'Reforecast Q1 2026'!D32</f>
        <v>0</v>
      </c>
      <c r="G56" s="113" t="n">
        <f aca="false">IF(E56="","",E56-F56)</f>
        <v>0</v>
      </c>
      <c r="H56" s="113" t="n">
        <f aca="false">IF(OR(3&gt;$B$27,ISBLANK(Actuals!E32)),"",Actuals!E32)</f>
        <v>0</v>
      </c>
      <c r="I56" s="113" t="n">
        <f aca="false">'Reforecast Q1 2026'!E32</f>
        <v>0</v>
      </c>
      <c r="J56" s="113" t="n">
        <f aca="false">IF(H56="","",H56-I56)</f>
        <v>0</v>
      </c>
      <c r="K56" s="113" t="n">
        <f aca="false">IF(OR(4&gt;$B$27,ISBLANK(Actuals!F32)),"",Actuals!F32)</f>
        <v>0</v>
      </c>
      <c r="L56" s="113" t="n">
        <f aca="false">'Reforecast Q1 2026'!F32</f>
        <v>-26.33</v>
      </c>
      <c r="M56" s="113" t="n">
        <f aca="false">IF(K56="","",K56-L56)</f>
        <v>26.33</v>
      </c>
      <c r="N56" s="113" t="n">
        <f aca="false">IF(OR(5&gt;$B$27,ISBLANK(Actuals!G32)),"",Actuals!G32)</f>
        <v>0</v>
      </c>
      <c r="O56" s="113" t="n">
        <f aca="false">'Reforecast Q1 2026'!G32</f>
        <v>-26.33</v>
      </c>
      <c r="P56" s="113" t="n">
        <f aca="false">IF(N56="","",N56-O56)</f>
        <v>26.33</v>
      </c>
      <c r="Q56" s="113" t="n">
        <f aca="false">IF(OR(6&gt;$B$27,ISBLANK(Actuals!H32)),"",Actuals!H32)</f>
        <v>0</v>
      </c>
      <c r="R56" s="113" t="n">
        <f aca="false">'Reforecast Q1 2026'!H32</f>
        <v>-26.33</v>
      </c>
      <c r="S56" s="113" t="n">
        <f aca="false">IF(Q56="","",Q56-R56)</f>
        <v>26.33</v>
      </c>
      <c r="T56" s="113" t="n">
        <f aca="false">IF(OR(7&gt;$B$27,ISBLANK(Actuals!I32)),"",Actuals!I32)</f>
        <v>0</v>
      </c>
      <c r="U56" s="113" t="n">
        <f aca="false">'Reforecast Q1 2026'!I32</f>
        <v>-26.33</v>
      </c>
      <c r="V56" s="113" t="n">
        <f aca="false">IF(T56="","",T56-U56)</f>
        <v>26.33</v>
      </c>
      <c r="W56" s="113" t="n">
        <f aca="false">IF(OR(8&gt;$B$27,ISBLANK(Actuals!J32)),"",Actuals!J32)</f>
        <v>-89</v>
      </c>
      <c r="X56" s="113" t="n">
        <f aca="false">'Reforecast Q1 2026'!J32</f>
        <v>-26.33</v>
      </c>
      <c r="Y56" s="113" t="n">
        <f aca="false">IF(W56="","",W56-X56)</f>
        <v>-62.67</v>
      </c>
      <c r="Z56" s="113" t="n">
        <f aca="false">IF(OR(9&gt;$B$27,ISBLANK(Actuals!K32)),"",Actuals!K32)</f>
        <v>0</v>
      </c>
      <c r="AA56" s="113" t="n">
        <f aca="false">'Reforecast Q1 2026'!K32</f>
        <v>-26.33</v>
      </c>
      <c r="AB56" s="113" t="n">
        <f aca="false">IF(Z56="","",Z56-AA56)</f>
        <v>26.33</v>
      </c>
      <c r="AC56" s="113" t="str">
        <f aca="false">IF(OR(10&gt;$B$27,ISBLANK(Actuals!L32)),"",Actuals!L32)</f>
        <v/>
      </c>
      <c r="AD56" s="113" t="n">
        <f aca="false">'Reforecast Q1 2026'!L32</f>
        <v>-26.33</v>
      </c>
      <c r="AE56" s="113" t="str">
        <f aca="false">IF(AC56="","",AC56-AD56)</f>
        <v/>
      </c>
      <c r="AF56" s="113" t="str">
        <f aca="false">IF(OR(11&gt;$B$27,ISBLANK(Actuals!M32)),"",Actuals!M32)</f>
        <v/>
      </c>
      <c r="AG56" s="113" t="n">
        <f aca="false">'Reforecast Q1 2026'!M32</f>
        <v>-26.33</v>
      </c>
      <c r="AH56" s="113" t="str">
        <f aca="false">IF(AF56="","",AF56-AG56)</f>
        <v/>
      </c>
      <c r="AI56" s="113" t="str">
        <f aca="false">IF(OR(12&gt;$B$27,ISBLANK(Actuals!N32)),"",Actuals!N32)</f>
        <v/>
      </c>
      <c r="AJ56" s="113" t="n">
        <f aca="false">'Reforecast Q1 2026'!N32</f>
        <v>-26.33</v>
      </c>
      <c r="AK56" s="113" t="str">
        <f aca="false">IF(AI56="","",AI56-AJ56)</f>
        <v/>
      </c>
      <c r="AL56" s="116" t="n">
        <f aca="false">SUM(Actuals!$C32:INDEX(Actuals!$C32:$N32,$B$27))</f>
        <v>-168</v>
      </c>
      <c r="AM56" s="116" t="n">
        <f aca="false">SUM('Reforecast Q1 2026'!$C32:INDEX('Reforecast Q1 2026'!$C32:$N32,$B$27))</f>
        <v>-236.98</v>
      </c>
      <c r="AN56" s="116" t="n">
        <f aca="false">AL56-AM56</f>
        <v>68.98</v>
      </c>
    </row>
    <row r="57" customFormat="false" ht="15" hidden="true" customHeight="true" outlineLevel="1" collapsed="false">
      <c r="A57" s="109" t="s">
        <v>124</v>
      </c>
      <c r="B57" s="113" t="n">
        <f aca="false">IF(OR(1&gt;$B$27,ISBLANK(Actuals!C33)),"",Actuals!C33)</f>
        <v>-3405.64</v>
      </c>
      <c r="C57" s="113" t="n">
        <f aca="false">'Reforecast Q1 2026'!C33</f>
        <v>-3405.64</v>
      </c>
      <c r="D57" s="113" t="n">
        <f aca="false">IF(B57="","",B57-C57)</f>
        <v>0</v>
      </c>
      <c r="E57" s="113" t="n">
        <f aca="false">IF(OR(2&gt;$B$27,ISBLANK(Actuals!D33)),"",Actuals!D33)</f>
        <v>-5015.38</v>
      </c>
      <c r="F57" s="113" t="n">
        <f aca="false">'Reforecast Q1 2026'!D33</f>
        <v>-5015.38</v>
      </c>
      <c r="G57" s="113" t="n">
        <f aca="false">IF(E57="","",E57-F57)</f>
        <v>0</v>
      </c>
      <c r="H57" s="113" t="n">
        <f aca="false">IF(OR(3&gt;$B$27,ISBLANK(Actuals!E33)),"",Actuals!E33)</f>
        <v>-7481.39</v>
      </c>
      <c r="I57" s="113" t="n">
        <f aca="false">'Reforecast Q1 2026'!E33</f>
        <v>-7481.39</v>
      </c>
      <c r="J57" s="113" t="n">
        <f aca="false">IF(H57="","",H57-I57)</f>
        <v>0</v>
      </c>
      <c r="K57" s="113" t="n">
        <f aca="false">IF(OR(4&gt;$B$27,ISBLANK(Actuals!F33)),"",Actuals!F33)</f>
        <v>-5111.12</v>
      </c>
      <c r="L57" s="113" t="n">
        <f aca="false">'Reforecast Q1 2026'!F33</f>
        <v>-5300.8</v>
      </c>
      <c r="M57" s="113" t="n">
        <f aca="false">IF(K57="","",K57-L57)</f>
        <v>189.68</v>
      </c>
      <c r="N57" s="113" t="n">
        <f aca="false">IF(OR(5&gt;$B$27,ISBLANK(Actuals!G33)),"",Actuals!G33)</f>
        <v>-4038.48</v>
      </c>
      <c r="O57" s="113" t="n">
        <f aca="false">'Reforecast Q1 2026'!G33</f>
        <v>-5300.8</v>
      </c>
      <c r="P57" s="113" t="n">
        <f aca="false">IF(N57="","",N57-O57)</f>
        <v>1262.32</v>
      </c>
      <c r="Q57" s="113" t="n">
        <f aca="false">IF(OR(6&gt;$B$27,ISBLANK(Actuals!H33)),"",Actuals!H33)</f>
        <v>-6114.98</v>
      </c>
      <c r="R57" s="113" t="n">
        <f aca="false">'Reforecast Q1 2026'!H33</f>
        <v>-5300.8</v>
      </c>
      <c r="S57" s="113" t="n">
        <f aca="false">IF(Q57="","",Q57-R57)</f>
        <v>-814.179999999999</v>
      </c>
      <c r="T57" s="113" t="n">
        <f aca="false">IF(OR(7&gt;$B$27,ISBLANK(Actuals!I33)),"",Actuals!I33)</f>
        <v>-12545.93</v>
      </c>
      <c r="U57" s="113" t="n">
        <f aca="false">'Reforecast Q1 2026'!I33</f>
        <v>-5300.8</v>
      </c>
      <c r="V57" s="113" t="n">
        <f aca="false">IF(T57="","",T57-U57)</f>
        <v>-7245.13</v>
      </c>
      <c r="W57" s="113" t="n">
        <f aca="false">IF(OR(8&gt;$B$27,ISBLANK(Actuals!J33)),"",Actuals!J33)</f>
        <v>-5885.72</v>
      </c>
      <c r="X57" s="113" t="n">
        <f aca="false">'Reforecast Q1 2026'!J33</f>
        <v>-5300.8</v>
      </c>
      <c r="Y57" s="113" t="n">
        <f aca="false">IF(W57="","",W57-X57)</f>
        <v>-584.92</v>
      </c>
      <c r="Z57" s="113" t="n">
        <f aca="false">IF(OR(9&gt;$B$27,ISBLANK(Actuals!K33)),"",Actuals!K33)</f>
        <v>-4679.53</v>
      </c>
      <c r="AA57" s="113" t="n">
        <f aca="false">'Reforecast Q1 2026'!K33</f>
        <v>-5300.8</v>
      </c>
      <c r="AB57" s="113" t="n">
        <f aca="false">IF(Z57="","",Z57-AA57)</f>
        <v>621.27</v>
      </c>
      <c r="AC57" s="113" t="str">
        <f aca="false">IF(OR(10&gt;$B$27,ISBLANK(Actuals!L33)),"",Actuals!L33)</f>
        <v/>
      </c>
      <c r="AD57" s="113" t="n">
        <f aca="false">'Reforecast Q1 2026'!L33</f>
        <v>-5300.8</v>
      </c>
      <c r="AE57" s="113" t="str">
        <f aca="false">IF(AC57="","",AC57-AD57)</f>
        <v/>
      </c>
      <c r="AF57" s="113" t="str">
        <f aca="false">IF(OR(11&gt;$B$27,ISBLANK(Actuals!M33)),"",Actuals!M33)</f>
        <v/>
      </c>
      <c r="AG57" s="113" t="n">
        <f aca="false">'Reforecast Q1 2026'!M33</f>
        <v>-5300.8</v>
      </c>
      <c r="AH57" s="113" t="str">
        <f aca="false">IF(AF57="","",AF57-AG57)</f>
        <v/>
      </c>
      <c r="AI57" s="113" t="str">
        <f aca="false">IF(OR(12&gt;$B$27,ISBLANK(Actuals!N33)),"",Actuals!N33)</f>
        <v/>
      </c>
      <c r="AJ57" s="113" t="n">
        <f aca="false">'Reforecast Q1 2026'!N33</f>
        <v>-5300.8</v>
      </c>
      <c r="AK57" s="113" t="str">
        <f aca="false">IF(AI57="","",AI57-AJ57)</f>
        <v/>
      </c>
      <c r="AL57" s="116" t="n">
        <f aca="false">SUM(Actuals!$C33:INDEX(Actuals!$C33:$N33,$B$27))</f>
        <v>-54278.17</v>
      </c>
      <c r="AM57" s="116" t="n">
        <f aca="false">SUM('Reforecast Q1 2026'!$C33:INDEX('Reforecast Q1 2026'!$C33:$N33,$B$27))</f>
        <v>-47707.21</v>
      </c>
      <c r="AN57" s="116" t="n">
        <f aca="false">AL57-AM57</f>
        <v>-6570.95999999999</v>
      </c>
    </row>
    <row r="58" customFormat="false" ht="15" hidden="true" customHeight="true" outlineLevel="1" collapsed="false">
      <c r="A58" s="109" t="s">
        <v>77</v>
      </c>
      <c r="B58" s="113" t="n">
        <f aca="false">IF(OR(1&gt;$B$27,ISBLANK(Actuals!C34)),"",Actuals!C34)</f>
        <v>0</v>
      </c>
      <c r="C58" s="113" t="n">
        <f aca="false">'Reforecast Q1 2026'!C34</f>
        <v>0</v>
      </c>
      <c r="D58" s="113" t="n">
        <f aca="false">IF(B58="","",B58-C58)</f>
        <v>0</v>
      </c>
      <c r="E58" s="113" t="n">
        <f aca="false">IF(OR(2&gt;$B$27,ISBLANK(Actuals!D34)),"",Actuals!D34)</f>
        <v>-1766.48</v>
      </c>
      <c r="F58" s="113" t="n">
        <f aca="false">'Reforecast Q1 2026'!D34</f>
        <v>-1766.48</v>
      </c>
      <c r="G58" s="113" t="n">
        <f aca="false">IF(E58="","",E58-F58)</f>
        <v>0</v>
      </c>
      <c r="H58" s="113" t="n">
        <f aca="false">IF(OR(3&gt;$B$27,ISBLANK(Actuals!E34)),"",Actuals!E34)</f>
        <v>-441.62</v>
      </c>
      <c r="I58" s="113" t="n">
        <f aca="false">'Reforecast Q1 2026'!E34</f>
        <v>-441.62</v>
      </c>
      <c r="J58" s="113" t="n">
        <f aca="false">IF(H58="","",H58-I58)</f>
        <v>0</v>
      </c>
      <c r="K58" s="113" t="n">
        <f aca="false">IF(OR(4&gt;$B$27,ISBLANK(Actuals!F34)),"",Actuals!F34)</f>
        <v>-441.62</v>
      </c>
      <c r="L58" s="113" t="n">
        <f aca="false">'Reforecast Q1 2026'!F34</f>
        <v>-736.03</v>
      </c>
      <c r="M58" s="113" t="n">
        <f aca="false">IF(K58="","",K58-L58)</f>
        <v>294.41</v>
      </c>
      <c r="N58" s="113" t="n">
        <f aca="false">IF(OR(5&gt;$B$27,ISBLANK(Actuals!G34)),"",Actuals!G34)</f>
        <v>-578.62</v>
      </c>
      <c r="O58" s="113" t="n">
        <f aca="false">'Reforecast Q1 2026'!G34</f>
        <v>-736.03</v>
      </c>
      <c r="P58" s="113" t="n">
        <f aca="false">IF(N58="","",N58-O58)</f>
        <v>157.41</v>
      </c>
      <c r="Q58" s="113" t="n">
        <f aca="false">IF(OR(6&gt;$B$27,ISBLANK(Actuals!H34)),"",Actuals!H34)</f>
        <v>-491.62</v>
      </c>
      <c r="R58" s="113" t="n">
        <f aca="false">'Reforecast Q1 2026'!H34</f>
        <v>-736.03</v>
      </c>
      <c r="S58" s="113" t="n">
        <f aca="false">IF(Q58="","",Q58-R58)</f>
        <v>244.41</v>
      </c>
      <c r="T58" s="113" t="n">
        <f aca="false">IF(OR(7&gt;$B$27,ISBLANK(Actuals!I34)),"",Actuals!I34)</f>
        <v>-491.62</v>
      </c>
      <c r="U58" s="113" t="n">
        <f aca="false">'Reforecast Q1 2026'!I34</f>
        <v>-736.03</v>
      </c>
      <c r="V58" s="113" t="n">
        <f aca="false">IF(T58="","",T58-U58)</f>
        <v>244.41</v>
      </c>
      <c r="W58" s="113" t="n">
        <f aca="false">IF(OR(8&gt;$B$27,ISBLANK(Actuals!J34)),"",Actuals!J34)</f>
        <v>-491.62</v>
      </c>
      <c r="X58" s="113" t="n">
        <f aca="false">'Reforecast Q1 2026'!J34</f>
        <v>-736.03</v>
      </c>
      <c r="Y58" s="113" t="n">
        <f aca="false">IF(W58="","",W58-X58)</f>
        <v>244.41</v>
      </c>
      <c r="Z58" s="113" t="n">
        <f aca="false">IF(OR(9&gt;$B$27,ISBLANK(Actuals!K34)),"",Actuals!K34)</f>
        <v>-1456.28</v>
      </c>
      <c r="AA58" s="113" t="n">
        <f aca="false">'Reforecast Q1 2026'!K34</f>
        <v>-736.03</v>
      </c>
      <c r="AB58" s="113" t="n">
        <f aca="false">IF(Z58="","",Z58-AA58)</f>
        <v>-720.25</v>
      </c>
      <c r="AC58" s="113" t="str">
        <f aca="false">IF(OR(10&gt;$B$27,ISBLANK(Actuals!L34)),"",Actuals!L34)</f>
        <v/>
      </c>
      <c r="AD58" s="113" t="n">
        <f aca="false">'Reforecast Q1 2026'!L34</f>
        <v>-736.03</v>
      </c>
      <c r="AE58" s="113" t="str">
        <f aca="false">IF(AC58="","",AC58-AD58)</f>
        <v/>
      </c>
      <c r="AF58" s="113" t="str">
        <f aca="false">IF(OR(11&gt;$B$27,ISBLANK(Actuals!M34)),"",Actuals!M34)</f>
        <v/>
      </c>
      <c r="AG58" s="113" t="n">
        <f aca="false">'Reforecast Q1 2026'!M34</f>
        <v>-736.03</v>
      </c>
      <c r="AH58" s="113" t="str">
        <f aca="false">IF(AF58="","",AF58-AG58)</f>
        <v/>
      </c>
      <c r="AI58" s="113" t="str">
        <f aca="false">IF(OR(12&gt;$B$27,ISBLANK(Actuals!N34)),"",Actuals!N34)</f>
        <v/>
      </c>
      <c r="AJ58" s="113" t="n">
        <f aca="false">'Reforecast Q1 2026'!N34</f>
        <v>-736.03</v>
      </c>
      <c r="AK58" s="113" t="str">
        <f aca="false">IF(AI58="","",AI58-AJ58)</f>
        <v/>
      </c>
      <c r="AL58" s="116" t="n">
        <f aca="false">SUM(Actuals!$C34:INDEX(Actuals!$C34:$N34,$B$27))</f>
        <v>-6159.48</v>
      </c>
      <c r="AM58" s="116" t="n">
        <f aca="false">SUM('Reforecast Q1 2026'!$C34:INDEX('Reforecast Q1 2026'!$C34:$N34,$B$27))</f>
        <v>-6624.28</v>
      </c>
      <c r="AN58" s="116" t="n">
        <f aca="false">AL58-AM58</f>
        <v>464.8</v>
      </c>
    </row>
    <row r="59" customFormat="false" ht="15" hidden="true" customHeight="true" outlineLevel="1" collapsed="false">
      <c r="A59" s="109" t="s">
        <v>78</v>
      </c>
      <c r="B59" s="113" t="n">
        <f aca="false">IF(OR(1&gt;$B$27,ISBLANK(Actuals!C35)),"",Actuals!C35)</f>
        <v>-681.77</v>
      </c>
      <c r="C59" s="113" t="n">
        <f aca="false">'Reforecast Q1 2026'!C35</f>
        <v>-681.77</v>
      </c>
      <c r="D59" s="113" t="n">
        <f aca="false">IF(B59="","",B59-C59)</f>
        <v>0</v>
      </c>
      <c r="E59" s="113" t="n">
        <f aca="false">IF(OR(2&gt;$B$27,ISBLANK(Actuals!D35)),"",Actuals!D35)</f>
        <v>-600.14</v>
      </c>
      <c r="F59" s="113" t="n">
        <f aca="false">'Reforecast Q1 2026'!D35</f>
        <v>-600.14</v>
      </c>
      <c r="G59" s="113" t="n">
        <f aca="false">IF(E59="","",E59-F59)</f>
        <v>0</v>
      </c>
      <c r="H59" s="113" t="n">
        <f aca="false">IF(OR(3&gt;$B$27,ISBLANK(Actuals!E35)),"",Actuals!E35)</f>
        <v>-2121.95</v>
      </c>
      <c r="I59" s="113" t="n">
        <f aca="false">'Reforecast Q1 2026'!E35</f>
        <v>-2121.95</v>
      </c>
      <c r="J59" s="113" t="n">
        <f aca="false">IF(H59="","",H59-I59)</f>
        <v>0</v>
      </c>
      <c r="K59" s="113" t="n">
        <f aca="false">IF(OR(4&gt;$B$27,ISBLANK(Actuals!F35)),"",Actuals!F35)</f>
        <v>-840.49</v>
      </c>
      <c r="L59" s="113" t="n">
        <f aca="false">'Reforecast Q1 2026'!F35</f>
        <v>-1134.62</v>
      </c>
      <c r="M59" s="113" t="n">
        <f aca="false">IF(K59="","",K59-L59)</f>
        <v>294.13</v>
      </c>
      <c r="N59" s="113" t="n">
        <f aca="false">IF(OR(5&gt;$B$27,ISBLANK(Actuals!G35)),"",Actuals!G35)</f>
        <v>-847.85</v>
      </c>
      <c r="O59" s="113" t="n">
        <f aca="false">'Reforecast Q1 2026'!G35</f>
        <v>-1134.62</v>
      </c>
      <c r="P59" s="113" t="n">
        <f aca="false">IF(N59="","",N59-O59)</f>
        <v>286.77</v>
      </c>
      <c r="Q59" s="113" t="n">
        <f aca="false">IF(OR(6&gt;$B$27,ISBLANK(Actuals!H35)),"",Actuals!H35)</f>
        <v>-486.63</v>
      </c>
      <c r="R59" s="113" t="n">
        <f aca="false">'Reforecast Q1 2026'!H35</f>
        <v>-1134.62</v>
      </c>
      <c r="S59" s="113" t="n">
        <f aca="false">IF(Q59="","",Q59-R59)</f>
        <v>647.99</v>
      </c>
      <c r="T59" s="113" t="n">
        <f aca="false">IF(OR(7&gt;$B$27,ISBLANK(Actuals!I35)),"",Actuals!I35)</f>
        <v>-871.37</v>
      </c>
      <c r="U59" s="113" t="n">
        <f aca="false">'Reforecast Q1 2026'!I35</f>
        <v>-1134.62</v>
      </c>
      <c r="V59" s="113" t="n">
        <f aca="false">IF(T59="","",T59-U59)</f>
        <v>263.25</v>
      </c>
      <c r="W59" s="113" t="n">
        <f aca="false">IF(OR(8&gt;$B$27,ISBLANK(Actuals!J35)),"",Actuals!J35)</f>
        <v>-1025.7</v>
      </c>
      <c r="X59" s="113" t="n">
        <f aca="false">'Reforecast Q1 2026'!J35</f>
        <v>-1134.62</v>
      </c>
      <c r="Y59" s="113" t="n">
        <f aca="false">IF(W59="","",W59-X59)</f>
        <v>108.92</v>
      </c>
      <c r="Z59" s="113" t="n">
        <f aca="false">IF(OR(9&gt;$B$27,ISBLANK(Actuals!K35)),"",Actuals!K35)</f>
        <v>0</v>
      </c>
      <c r="AA59" s="113" t="n">
        <f aca="false">'Reforecast Q1 2026'!K35</f>
        <v>-1134.62</v>
      </c>
      <c r="AB59" s="113" t="n">
        <f aca="false">IF(Z59="","",Z59-AA59)</f>
        <v>1134.62</v>
      </c>
      <c r="AC59" s="113" t="str">
        <f aca="false">IF(OR(10&gt;$B$27,ISBLANK(Actuals!L35)),"",Actuals!L35)</f>
        <v/>
      </c>
      <c r="AD59" s="113" t="n">
        <f aca="false">'Reforecast Q1 2026'!L35</f>
        <v>-1134.62</v>
      </c>
      <c r="AE59" s="113" t="str">
        <f aca="false">IF(AC59="","",AC59-AD59)</f>
        <v/>
      </c>
      <c r="AF59" s="113" t="str">
        <f aca="false">IF(OR(11&gt;$B$27,ISBLANK(Actuals!M35)),"",Actuals!M35)</f>
        <v/>
      </c>
      <c r="AG59" s="113" t="n">
        <f aca="false">'Reforecast Q1 2026'!M35</f>
        <v>-1134.62</v>
      </c>
      <c r="AH59" s="113" t="str">
        <f aca="false">IF(AF59="","",AF59-AG59)</f>
        <v/>
      </c>
      <c r="AI59" s="113" t="str">
        <f aca="false">IF(OR(12&gt;$B$27,ISBLANK(Actuals!N35)),"",Actuals!N35)</f>
        <v/>
      </c>
      <c r="AJ59" s="113" t="n">
        <f aca="false">'Reforecast Q1 2026'!N35</f>
        <v>-1134.62</v>
      </c>
      <c r="AK59" s="113" t="str">
        <f aca="false">IF(AI59="","",AI59-AJ59)</f>
        <v/>
      </c>
      <c r="AL59" s="116" t="n">
        <f aca="false">SUM(Actuals!$C35:INDEX(Actuals!$C35:$N35,$B$27))</f>
        <v>-7475.9</v>
      </c>
      <c r="AM59" s="116" t="n">
        <f aca="false">SUM('Reforecast Q1 2026'!$C35:INDEX('Reforecast Q1 2026'!$C35:$N35,$B$27))</f>
        <v>-10211.58</v>
      </c>
      <c r="AN59" s="116" t="n">
        <f aca="false">AL59-AM59</f>
        <v>2735.68</v>
      </c>
    </row>
    <row r="60" customFormat="false" ht="15" hidden="true" customHeight="true" outlineLevel="1" collapsed="false">
      <c r="A60" s="109" t="s">
        <v>79</v>
      </c>
      <c r="B60" s="113" t="n">
        <f aca="false">IF(OR(1&gt;$B$27,ISBLANK(Actuals!C36)),"",Actuals!C36)</f>
        <v>-2187.5</v>
      </c>
      <c r="C60" s="113" t="n">
        <f aca="false">'Reforecast Q1 2026'!C36</f>
        <v>-2187.5</v>
      </c>
      <c r="D60" s="113" t="n">
        <f aca="false">IF(B60="","",B60-C60)</f>
        <v>0</v>
      </c>
      <c r="E60" s="113" t="n">
        <f aca="false">IF(OR(2&gt;$B$27,ISBLANK(Actuals!D36)),"",Actuals!D36)</f>
        <v>0</v>
      </c>
      <c r="F60" s="113" t="n">
        <f aca="false">'Reforecast Q1 2026'!D36</f>
        <v>0</v>
      </c>
      <c r="G60" s="113" t="n">
        <f aca="false">IF(E60="","",E60-F60)</f>
        <v>0</v>
      </c>
      <c r="H60" s="113" t="n">
        <f aca="false">IF(OR(3&gt;$B$27,ISBLANK(Actuals!E36)),"",Actuals!E36)</f>
        <v>-1625</v>
      </c>
      <c r="I60" s="113" t="n">
        <f aca="false">'Reforecast Q1 2026'!E36</f>
        <v>-1625</v>
      </c>
      <c r="J60" s="113" t="n">
        <f aca="false">IF(H60="","",H60-I60)</f>
        <v>0</v>
      </c>
      <c r="K60" s="113" t="n">
        <f aca="false">IF(OR(4&gt;$B$27,ISBLANK(Actuals!F36)),"",Actuals!F36)</f>
        <v>0</v>
      </c>
      <c r="L60" s="113" t="n">
        <f aca="false">'Reforecast Q1 2026'!F36</f>
        <v>-1270.83</v>
      </c>
      <c r="M60" s="113" t="n">
        <f aca="false">IF(K60="","",K60-L60)</f>
        <v>1270.83</v>
      </c>
      <c r="N60" s="113" t="n">
        <f aca="false">IF(OR(5&gt;$B$27,ISBLANK(Actuals!G36)),"",Actuals!G36)</f>
        <v>0</v>
      </c>
      <c r="O60" s="113" t="n">
        <f aca="false">'Reforecast Q1 2026'!G36</f>
        <v>-1270.83</v>
      </c>
      <c r="P60" s="113" t="n">
        <f aca="false">IF(N60="","",N60-O60)</f>
        <v>1270.83</v>
      </c>
      <c r="Q60" s="113" t="n">
        <f aca="false">IF(OR(6&gt;$B$27,ISBLANK(Actuals!H36)),"",Actuals!H36)</f>
        <v>0</v>
      </c>
      <c r="R60" s="113" t="n">
        <f aca="false">'Reforecast Q1 2026'!H36</f>
        <v>-1270.83</v>
      </c>
      <c r="S60" s="113" t="n">
        <f aca="false">IF(Q60="","",Q60-R60)</f>
        <v>1270.83</v>
      </c>
      <c r="T60" s="113" t="n">
        <f aca="false">IF(OR(7&gt;$B$27,ISBLANK(Actuals!I36)),"",Actuals!I36)</f>
        <v>0</v>
      </c>
      <c r="U60" s="113" t="n">
        <f aca="false">'Reforecast Q1 2026'!I36</f>
        <v>-1270.83</v>
      </c>
      <c r="V60" s="113" t="n">
        <f aca="false">IF(T60="","",T60-U60)</f>
        <v>1270.83</v>
      </c>
      <c r="W60" s="113" t="n">
        <f aca="false">IF(OR(8&gt;$B$27,ISBLANK(Actuals!J36)),"",Actuals!J36)</f>
        <v>-1560</v>
      </c>
      <c r="X60" s="113" t="n">
        <f aca="false">'Reforecast Q1 2026'!J36</f>
        <v>-1270.83</v>
      </c>
      <c r="Y60" s="113" t="n">
        <f aca="false">IF(W60="","",W60-X60)</f>
        <v>-289.17</v>
      </c>
      <c r="Z60" s="113" t="n">
        <f aca="false">IF(OR(9&gt;$B$27,ISBLANK(Actuals!K36)),"",Actuals!K36)</f>
        <v>0</v>
      </c>
      <c r="AA60" s="113" t="n">
        <f aca="false">'Reforecast Q1 2026'!K36</f>
        <v>-1270.83</v>
      </c>
      <c r="AB60" s="113" t="n">
        <f aca="false">IF(Z60="","",Z60-AA60)</f>
        <v>1270.83</v>
      </c>
      <c r="AC60" s="113" t="str">
        <f aca="false">IF(OR(10&gt;$B$27,ISBLANK(Actuals!L36)),"",Actuals!L36)</f>
        <v/>
      </c>
      <c r="AD60" s="113" t="n">
        <f aca="false">'Reforecast Q1 2026'!L36</f>
        <v>-1270.83</v>
      </c>
      <c r="AE60" s="113" t="str">
        <f aca="false">IF(AC60="","",AC60-AD60)</f>
        <v/>
      </c>
      <c r="AF60" s="113" t="str">
        <f aca="false">IF(OR(11&gt;$B$27,ISBLANK(Actuals!M36)),"",Actuals!M36)</f>
        <v/>
      </c>
      <c r="AG60" s="113" t="n">
        <f aca="false">'Reforecast Q1 2026'!M36</f>
        <v>-1270.83</v>
      </c>
      <c r="AH60" s="113" t="str">
        <f aca="false">IF(AF60="","",AF60-AG60)</f>
        <v/>
      </c>
      <c r="AI60" s="113" t="str">
        <f aca="false">IF(OR(12&gt;$B$27,ISBLANK(Actuals!N36)),"",Actuals!N36)</f>
        <v/>
      </c>
      <c r="AJ60" s="113" t="n">
        <f aca="false">'Reforecast Q1 2026'!N36</f>
        <v>-1270.83</v>
      </c>
      <c r="AK60" s="113" t="str">
        <f aca="false">IF(AI60="","",AI60-AJ60)</f>
        <v/>
      </c>
      <c r="AL60" s="116" t="n">
        <f aca="false">SUM(Actuals!$C36:INDEX(Actuals!$C36:$N36,$B$27))</f>
        <v>-5372.5</v>
      </c>
      <c r="AM60" s="116" t="n">
        <f aca="false">SUM('Reforecast Q1 2026'!$C36:INDEX('Reforecast Q1 2026'!$C36:$N36,$B$27))</f>
        <v>-11437.48</v>
      </c>
      <c r="AN60" s="116" t="n">
        <f aca="false">AL60-AM60</f>
        <v>6064.98</v>
      </c>
    </row>
    <row r="61" customFormat="false" ht="15" hidden="true" customHeight="true" outlineLevel="1" collapsed="false">
      <c r="A61" s="109" t="s">
        <v>80</v>
      </c>
      <c r="B61" s="113" t="n">
        <f aca="false">IF(OR(1&gt;$B$27,ISBLANK(Actuals!C37)),"",Actuals!C37)</f>
        <v>0</v>
      </c>
      <c r="C61" s="113" t="n">
        <f aca="false">'Reforecast Q1 2026'!C37</f>
        <v>0</v>
      </c>
      <c r="D61" s="113" t="n">
        <f aca="false">IF(B61="","",B61-C61)</f>
        <v>0</v>
      </c>
      <c r="E61" s="113" t="n">
        <f aca="false">IF(OR(2&gt;$B$27,ISBLANK(Actuals!D37)),"",Actuals!D37)</f>
        <v>-12349</v>
      </c>
      <c r="F61" s="113" t="n">
        <f aca="false">'Reforecast Q1 2026'!D37</f>
        <v>-12349</v>
      </c>
      <c r="G61" s="113" t="n">
        <f aca="false">IF(E61="","",E61-F61)</f>
        <v>0</v>
      </c>
      <c r="H61" s="113" t="n">
        <f aca="false">IF(OR(3&gt;$B$27,ISBLANK(Actuals!E37)),"",Actuals!E37)</f>
        <v>-5400</v>
      </c>
      <c r="I61" s="113" t="n">
        <f aca="false">'Reforecast Q1 2026'!E37</f>
        <v>-5400</v>
      </c>
      <c r="J61" s="113" t="n">
        <f aca="false">IF(H61="","",H61-I61)</f>
        <v>0</v>
      </c>
      <c r="K61" s="113" t="n">
        <f aca="false">IF(OR(4&gt;$B$27,ISBLANK(Actuals!F37)),"",Actuals!F37)</f>
        <v>-4377</v>
      </c>
      <c r="L61" s="113" t="n">
        <f aca="false">'Reforecast Q1 2026'!F37</f>
        <v>-5916.33</v>
      </c>
      <c r="M61" s="113" t="n">
        <f aca="false">IF(K61="","",K61-L61)</f>
        <v>1539.33</v>
      </c>
      <c r="N61" s="113" t="n">
        <f aca="false">IF(OR(5&gt;$B$27,ISBLANK(Actuals!G37)),"",Actuals!G37)</f>
        <v>-11750</v>
      </c>
      <c r="O61" s="113" t="n">
        <f aca="false">'Reforecast Q1 2026'!G37</f>
        <v>-5916.33</v>
      </c>
      <c r="P61" s="113" t="n">
        <f aca="false">IF(N61="","",N61-O61)</f>
        <v>-5833.67</v>
      </c>
      <c r="Q61" s="113" t="n">
        <f aca="false">IF(OR(6&gt;$B$27,ISBLANK(Actuals!H37)),"",Actuals!H37)</f>
        <v>0</v>
      </c>
      <c r="R61" s="113" t="n">
        <f aca="false">'Reforecast Q1 2026'!H37</f>
        <v>-5916.33</v>
      </c>
      <c r="S61" s="113" t="n">
        <f aca="false">IF(Q61="","",Q61-R61)</f>
        <v>5916.33</v>
      </c>
      <c r="T61" s="113" t="n">
        <f aca="false">IF(OR(7&gt;$B$27,ISBLANK(Actuals!I37)),"",Actuals!I37)</f>
        <v>0</v>
      </c>
      <c r="U61" s="113" t="n">
        <f aca="false">'Reforecast Q1 2026'!I37</f>
        <v>-5916.33</v>
      </c>
      <c r="V61" s="113" t="n">
        <f aca="false">IF(T61="","",T61-U61)</f>
        <v>5916.33</v>
      </c>
      <c r="W61" s="113" t="n">
        <f aca="false">IF(OR(8&gt;$B$27,ISBLANK(Actuals!J37)),"",Actuals!J37)</f>
        <v>-26000</v>
      </c>
      <c r="X61" s="113" t="n">
        <f aca="false">'Reforecast Q1 2026'!J37</f>
        <v>-5916.33</v>
      </c>
      <c r="Y61" s="113" t="n">
        <f aca="false">IF(W61="","",W61-X61)</f>
        <v>-20083.67</v>
      </c>
      <c r="Z61" s="113" t="n">
        <f aca="false">IF(OR(9&gt;$B$27,ISBLANK(Actuals!K37)),"",Actuals!K37)</f>
        <v>-5250</v>
      </c>
      <c r="AA61" s="113" t="n">
        <f aca="false">'Reforecast Q1 2026'!K37</f>
        <v>-5916.33</v>
      </c>
      <c r="AB61" s="113" t="n">
        <f aca="false">IF(Z61="","",Z61-AA61)</f>
        <v>666.33</v>
      </c>
      <c r="AC61" s="113" t="str">
        <f aca="false">IF(OR(10&gt;$B$27,ISBLANK(Actuals!L37)),"",Actuals!L37)</f>
        <v/>
      </c>
      <c r="AD61" s="113" t="n">
        <f aca="false">'Reforecast Q1 2026'!L37</f>
        <v>-5916.33</v>
      </c>
      <c r="AE61" s="113" t="str">
        <f aca="false">IF(AC61="","",AC61-AD61)</f>
        <v/>
      </c>
      <c r="AF61" s="113" t="str">
        <f aca="false">IF(OR(11&gt;$B$27,ISBLANK(Actuals!M37)),"",Actuals!M37)</f>
        <v/>
      </c>
      <c r="AG61" s="113" t="n">
        <f aca="false">'Reforecast Q1 2026'!M37</f>
        <v>-5916.33</v>
      </c>
      <c r="AH61" s="113" t="str">
        <f aca="false">IF(AF61="","",AF61-AG61)</f>
        <v/>
      </c>
      <c r="AI61" s="113" t="str">
        <f aca="false">IF(OR(12&gt;$B$27,ISBLANK(Actuals!N37)),"",Actuals!N37)</f>
        <v/>
      </c>
      <c r="AJ61" s="113" t="n">
        <f aca="false">'Reforecast Q1 2026'!N37</f>
        <v>-5916.33</v>
      </c>
      <c r="AK61" s="113" t="str">
        <f aca="false">IF(AI61="","",AI61-AJ61)</f>
        <v/>
      </c>
      <c r="AL61" s="116" t="n">
        <f aca="false">SUM(Actuals!$C37:INDEX(Actuals!$C37:$N37,$B$27))</f>
        <v>-65126</v>
      </c>
      <c r="AM61" s="116" t="n">
        <f aca="false">SUM('Reforecast Q1 2026'!$C37:INDEX('Reforecast Q1 2026'!$C37:$N37,$B$27))</f>
        <v>-53246.98</v>
      </c>
      <c r="AN61" s="116" t="n">
        <f aca="false">AL61-AM61</f>
        <v>-11879.02</v>
      </c>
    </row>
    <row r="62" customFormat="false" ht="15" hidden="true" customHeight="true" outlineLevel="1" collapsed="false">
      <c r="A62" s="109" t="s">
        <v>81</v>
      </c>
      <c r="B62" s="113" t="n">
        <f aca="false">IF(OR(1&gt;$B$27,ISBLANK(Actuals!C38)),"",Actuals!C38)</f>
        <v>0</v>
      </c>
      <c r="C62" s="113" t="n">
        <f aca="false">'Reforecast Q1 2026'!C38</f>
        <v>0</v>
      </c>
      <c r="D62" s="113" t="n">
        <f aca="false">IF(B62="","",B62-C62)</f>
        <v>0</v>
      </c>
      <c r="E62" s="113" t="n">
        <f aca="false">IF(OR(2&gt;$B$27,ISBLANK(Actuals!D38)),"",Actuals!D38)</f>
        <v>0</v>
      </c>
      <c r="F62" s="113" t="n">
        <f aca="false">'Reforecast Q1 2026'!D38</f>
        <v>0</v>
      </c>
      <c r="G62" s="113" t="n">
        <f aca="false">IF(E62="","",E62-F62)</f>
        <v>0</v>
      </c>
      <c r="H62" s="113" t="n">
        <f aca="false">IF(OR(3&gt;$B$27,ISBLANK(Actuals!E38)),"",Actuals!E38)</f>
        <v>-750.4</v>
      </c>
      <c r="I62" s="113" t="n">
        <f aca="false">'Reforecast Q1 2026'!E38</f>
        <v>-750.4</v>
      </c>
      <c r="J62" s="113" t="n">
        <f aca="false">IF(H62="","",H62-I62)</f>
        <v>0</v>
      </c>
      <c r="K62" s="113" t="n">
        <f aca="false">IF(OR(4&gt;$B$27,ISBLANK(Actuals!F38)),"",Actuals!F38)</f>
        <v>0</v>
      </c>
      <c r="L62" s="113" t="n">
        <f aca="false">'Reforecast Q1 2026'!F38</f>
        <v>-250.13</v>
      </c>
      <c r="M62" s="113" t="n">
        <f aca="false">IF(K62="","",K62-L62)</f>
        <v>250.13</v>
      </c>
      <c r="N62" s="113" t="n">
        <f aca="false">IF(OR(5&gt;$B$27,ISBLANK(Actuals!G38)),"",Actuals!G38)</f>
        <v>0</v>
      </c>
      <c r="O62" s="113" t="n">
        <f aca="false">'Reforecast Q1 2026'!G38</f>
        <v>-250.13</v>
      </c>
      <c r="P62" s="113" t="n">
        <f aca="false">IF(N62="","",N62-O62)</f>
        <v>250.13</v>
      </c>
      <c r="Q62" s="113" t="n">
        <f aca="false">IF(OR(6&gt;$B$27,ISBLANK(Actuals!H38)),"",Actuals!H38)</f>
        <v>0</v>
      </c>
      <c r="R62" s="113" t="n">
        <f aca="false">'Reforecast Q1 2026'!H38</f>
        <v>-250.13</v>
      </c>
      <c r="S62" s="113" t="n">
        <f aca="false">IF(Q62="","",Q62-R62)</f>
        <v>250.13</v>
      </c>
      <c r="T62" s="113" t="n">
        <f aca="false">IF(OR(7&gt;$B$27,ISBLANK(Actuals!I38)),"",Actuals!I38)</f>
        <v>0</v>
      </c>
      <c r="U62" s="113" t="n">
        <f aca="false">'Reforecast Q1 2026'!I38</f>
        <v>-250.13</v>
      </c>
      <c r="V62" s="113" t="n">
        <f aca="false">IF(T62="","",T62-U62)</f>
        <v>250.13</v>
      </c>
      <c r="W62" s="113" t="n">
        <f aca="false">IF(OR(8&gt;$B$27,ISBLANK(Actuals!J38)),"",Actuals!J38)</f>
        <v>0</v>
      </c>
      <c r="X62" s="113" t="n">
        <f aca="false">'Reforecast Q1 2026'!J38</f>
        <v>-250.13</v>
      </c>
      <c r="Y62" s="113" t="n">
        <f aca="false">IF(W62="","",W62-X62)</f>
        <v>250.13</v>
      </c>
      <c r="Z62" s="113" t="n">
        <f aca="false">IF(OR(9&gt;$B$27,ISBLANK(Actuals!K38)),"",Actuals!K38)</f>
        <v>-55000</v>
      </c>
      <c r="AA62" s="113" t="n">
        <f aca="false">'Reforecast Q1 2026'!K38</f>
        <v>-250.13</v>
      </c>
      <c r="AB62" s="113" t="n">
        <f aca="false">IF(Z62="","",Z62-AA62)</f>
        <v>-54749.87</v>
      </c>
      <c r="AC62" s="113" t="str">
        <f aca="false">IF(OR(10&gt;$B$27,ISBLANK(Actuals!L38)),"",Actuals!L38)</f>
        <v/>
      </c>
      <c r="AD62" s="113" t="n">
        <f aca="false">'Reforecast Q1 2026'!L38</f>
        <v>-250.13</v>
      </c>
      <c r="AE62" s="113" t="str">
        <f aca="false">IF(AC62="","",AC62-AD62)</f>
        <v/>
      </c>
      <c r="AF62" s="113" t="str">
        <f aca="false">IF(OR(11&gt;$B$27,ISBLANK(Actuals!M38)),"",Actuals!M38)</f>
        <v/>
      </c>
      <c r="AG62" s="113" t="n">
        <f aca="false">'Reforecast Q1 2026'!M38</f>
        <v>-250.13</v>
      </c>
      <c r="AH62" s="113" t="str">
        <f aca="false">IF(AF62="","",AF62-AG62)</f>
        <v/>
      </c>
      <c r="AI62" s="113" t="str">
        <f aca="false">IF(OR(12&gt;$B$27,ISBLANK(Actuals!N38)),"",Actuals!N38)</f>
        <v/>
      </c>
      <c r="AJ62" s="113" t="n">
        <f aca="false">'Reforecast Q1 2026'!N38</f>
        <v>-250.13</v>
      </c>
      <c r="AK62" s="113" t="str">
        <f aca="false">IF(AI62="","",AI62-AJ62)</f>
        <v/>
      </c>
      <c r="AL62" s="116" t="n">
        <f aca="false">SUM(Actuals!$C38:INDEX(Actuals!$C38:$N38,$B$27))</f>
        <v>-55750.4</v>
      </c>
      <c r="AM62" s="116" t="n">
        <f aca="false">SUM('Reforecast Q1 2026'!$C38:INDEX('Reforecast Q1 2026'!$C38:$N38,$B$27))</f>
        <v>-2251.18</v>
      </c>
      <c r="AN62" s="116" t="n">
        <f aca="false">AL62-AM62</f>
        <v>-53499.22</v>
      </c>
    </row>
    <row r="63" customFormat="false" ht="15" hidden="true" customHeight="true" outlineLevel="1" collapsed="false">
      <c r="A63" s="109" t="s">
        <v>82</v>
      </c>
      <c r="B63" s="113" t="n">
        <f aca="false">IF(OR(1&gt;$B$27,ISBLANK(Actuals!C39)),"",Actuals!C39)</f>
        <v>-1474.63</v>
      </c>
      <c r="C63" s="113" t="n">
        <f aca="false">'Reforecast Q1 2026'!C39</f>
        <v>-1474.63</v>
      </c>
      <c r="D63" s="113" t="n">
        <f aca="false">IF(B63="","",B63-C63)</f>
        <v>0</v>
      </c>
      <c r="E63" s="113" t="n">
        <f aca="false">IF(OR(2&gt;$B$27,ISBLANK(Actuals!D39)),"",Actuals!D39)</f>
        <v>-1449.33</v>
      </c>
      <c r="F63" s="113" t="n">
        <f aca="false">'Reforecast Q1 2026'!D39</f>
        <v>-1449.33</v>
      </c>
      <c r="G63" s="113" t="n">
        <f aca="false">IF(E63="","",E63-F63)</f>
        <v>0</v>
      </c>
      <c r="H63" s="113" t="n">
        <f aca="false">IF(OR(3&gt;$B$27,ISBLANK(Actuals!E39)),"",Actuals!E39)</f>
        <v>-2328.76</v>
      </c>
      <c r="I63" s="113" t="n">
        <f aca="false">'Reforecast Q1 2026'!E39</f>
        <v>-2328.76</v>
      </c>
      <c r="J63" s="113" t="n">
        <f aca="false">IF(H63="","",H63-I63)</f>
        <v>0</v>
      </c>
      <c r="K63" s="113" t="n">
        <f aca="false">IF(OR(4&gt;$B$27,ISBLANK(Actuals!F39)),"",Actuals!F39)</f>
        <v>-2249.56</v>
      </c>
      <c r="L63" s="113" t="n">
        <f aca="false">'Reforecast Q1 2026'!F39</f>
        <v>-1750.91</v>
      </c>
      <c r="M63" s="113" t="n">
        <f aca="false">IF(K63="","",K63-L63)</f>
        <v>-498.65</v>
      </c>
      <c r="N63" s="113" t="n">
        <f aca="false">IF(OR(5&gt;$B$27,ISBLANK(Actuals!G39)),"",Actuals!G39)</f>
        <v>-2759.48</v>
      </c>
      <c r="O63" s="113" t="n">
        <f aca="false">'Reforecast Q1 2026'!G39</f>
        <v>-1750.91</v>
      </c>
      <c r="P63" s="113" t="n">
        <f aca="false">IF(N63="","",N63-O63)</f>
        <v>-1008.57</v>
      </c>
      <c r="Q63" s="113" t="n">
        <f aca="false">IF(OR(6&gt;$B$27,ISBLANK(Actuals!H39)),"",Actuals!H39)</f>
        <v>-2749.12</v>
      </c>
      <c r="R63" s="113" t="n">
        <f aca="false">'Reforecast Q1 2026'!H39</f>
        <v>-1750.91</v>
      </c>
      <c r="S63" s="113" t="n">
        <f aca="false">IF(Q63="","",Q63-R63)</f>
        <v>-998.21</v>
      </c>
      <c r="T63" s="113" t="n">
        <f aca="false">IF(OR(7&gt;$B$27,ISBLANK(Actuals!I39)),"",Actuals!I39)</f>
        <v>-2384.6</v>
      </c>
      <c r="U63" s="113" t="n">
        <f aca="false">'Reforecast Q1 2026'!I39</f>
        <v>-1750.91</v>
      </c>
      <c r="V63" s="113" t="n">
        <f aca="false">IF(T63="","",T63-U63)</f>
        <v>-633.69</v>
      </c>
      <c r="W63" s="113" t="n">
        <f aca="false">IF(OR(8&gt;$B$27,ISBLANK(Actuals!J39)),"",Actuals!J39)</f>
        <v>-4264.89</v>
      </c>
      <c r="X63" s="113" t="n">
        <f aca="false">'Reforecast Q1 2026'!J39</f>
        <v>-1750.91</v>
      </c>
      <c r="Y63" s="113" t="n">
        <f aca="false">IF(W63="","",W63-X63)</f>
        <v>-2513.98</v>
      </c>
      <c r="Z63" s="113" t="n">
        <f aca="false">IF(OR(9&gt;$B$27,ISBLANK(Actuals!K39)),"",Actuals!K39)</f>
        <v>-3851.12</v>
      </c>
      <c r="AA63" s="113" t="n">
        <f aca="false">'Reforecast Q1 2026'!K39</f>
        <v>-1750.91</v>
      </c>
      <c r="AB63" s="113" t="n">
        <f aca="false">IF(Z63="","",Z63-AA63)</f>
        <v>-2100.21</v>
      </c>
      <c r="AC63" s="113" t="str">
        <f aca="false">IF(OR(10&gt;$B$27,ISBLANK(Actuals!L39)),"",Actuals!L39)</f>
        <v/>
      </c>
      <c r="AD63" s="113" t="n">
        <f aca="false">'Reforecast Q1 2026'!L39</f>
        <v>-1750.91</v>
      </c>
      <c r="AE63" s="113" t="str">
        <f aca="false">IF(AC63="","",AC63-AD63)</f>
        <v/>
      </c>
      <c r="AF63" s="113" t="str">
        <f aca="false">IF(OR(11&gt;$B$27,ISBLANK(Actuals!M39)),"",Actuals!M39)</f>
        <v/>
      </c>
      <c r="AG63" s="113" t="n">
        <f aca="false">'Reforecast Q1 2026'!M39</f>
        <v>-1750.91</v>
      </c>
      <c r="AH63" s="113" t="str">
        <f aca="false">IF(AF63="","",AF63-AG63)</f>
        <v/>
      </c>
      <c r="AI63" s="113" t="str">
        <f aca="false">IF(OR(12&gt;$B$27,ISBLANK(Actuals!N39)),"",Actuals!N39)</f>
        <v/>
      </c>
      <c r="AJ63" s="113" t="n">
        <f aca="false">'Reforecast Q1 2026'!N39</f>
        <v>-1750.91</v>
      </c>
      <c r="AK63" s="113" t="str">
        <f aca="false">IF(AI63="","",AI63-AJ63)</f>
        <v/>
      </c>
      <c r="AL63" s="116" t="n">
        <f aca="false">SUM(Actuals!$C39:INDEX(Actuals!$C39:$N39,$B$27))</f>
        <v>-23511.49</v>
      </c>
      <c r="AM63" s="116" t="n">
        <f aca="false">SUM('Reforecast Q1 2026'!$C39:INDEX('Reforecast Q1 2026'!$C39:$N39,$B$27))</f>
        <v>-15758.18</v>
      </c>
      <c r="AN63" s="116" t="n">
        <f aca="false">AL63-AM63</f>
        <v>-7753.31</v>
      </c>
    </row>
    <row r="64" customFormat="false" ht="15" hidden="true" customHeight="true" outlineLevel="1" collapsed="false">
      <c r="A64" s="109" t="s">
        <v>83</v>
      </c>
      <c r="B64" s="113" t="n">
        <f aca="false">IF(OR(1&gt;$B$27,ISBLANK(Actuals!C40)),"",Actuals!C40)</f>
        <v>-1417.61</v>
      </c>
      <c r="C64" s="113" t="n">
        <f aca="false">'Reforecast Q1 2026'!C40</f>
        <v>-1417.61</v>
      </c>
      <c r="D64" s="113" t="n">
        <f aca="false">IF(B64="","",B64-C64)</f>
        <v>0</v>
      </c>
      <c r="E64" s="113" t="n">
        <f aca="false">IF(OR(2&gt;$B$27,ISBLANK(Actuals!D40)),"",Actuals!D40)</f>
        <v>-2730.36</v>
      </c>
      <c r="F64" s="113" t="n">
        <f aca="false">'Reforecast Q1 2026'!D40</f>
        <v>-2730.36</v>
      </c>
      <c r="G64" s="113" t="n">
        <f aca="false">IF(E64="","",E64-F64)</f>
        <v>0</v>
      </c>
      <c r="H64" s="113" t="n">
        <f aca="false">IF(OR(3&gt;$B$27,ISBLANK(Actuals!E40)),"",Actuals!E40)</f>
        <v>-1818.05</v>
      </c>
      <c r="I64" s="113" t="n">
        <f aca="false">'Reforecast Q1 2026'!E40</f>
        <v>-1818.05</v>
      </c>
      <c r="J64" s="113" t="n">
        <f aca="false">IF(H64="","",H64-I64)</f>
        <v>0</v>
      </c>
      <c r="K64" s="113" t="n">
        <f aca="false">IF(OR(4&gt;$B$27,ISBLANK(Actuals!F40)),"",Actuals!F40)</f>
        <v>-3307.74</v>
      </c>
      <c r="L64" s="113" t="n">
        <f aca="false">'Reforecast Q1 2026'!F40</f>
        <v>-1988.67</v>
      </c>
      <c r="M64" s="113" t="n">
        <f aca="false">IF(K64="","",K64-L64)</f>
        <v>-1319.07</v>
      </c>
      <c r="N64" s="113" t="n">
        <f aca="false">IF(OR(5&gt;$B$27,ISBLANK(Actuals!G40)),"",Actuals!G40)</f>
        <v>-1257.74</v>
      </c>
      <c r="O64" s="113" t="n">
        <f aca="false">'Reforecast Q1 2026'!G40</f>
        <v>-1988.67</v>
      </c>
      <c r="P64" s="113" t="n">
        <f aca="false">IF(N64="","",N64-O64)</f>
        <v>730.93</v>
      </c>
      <c r="Q64" s="113" t="n">
        <f aca="false">IF(OR(6&gt;$B$27,ISBLANK(Actuals!H40)),"",Actuals!H40)</f>
        <v>-3372.74</v>
      </c>
      <c r="R64" s="113" t="n">
        <f aca="false">'Reforecast Q1 2026'!H40</f>
        <v>-1988.67</v>
      </c>
      <c r="S64" s="113" t="n">
        <f aca="false">IF(Q64="","",Q64-R64)</f>
        <v>-1384.07</v>
      </c>
      <c r="T64" s="113" t="n">
        <f aca="false">IF(OR(7&gt;$B$27,ISBLANK(Actuals!I40)),"",Actuals!I40)</f>
        <v>-1434.83</v>
      </c>
      <c r="U64" s="113" t="n">
        <f aca="false">'Reforecast Q1 2026'!I40</f>
        <v>-1988.67</v>
      </c>
      <c r="V64" s="113" t="n">
        <f aca="false">IF(T64="","",T64-U64)</f>
        <v>553.84</v>
      </c>
      <c r="W64" s="113" t="n">
        <f aca="false">IF(OR(8&gt;$B$27,ISBLANK(Actuals!J40)),"",Actuals!J40)</f>
        <v>-3520.23</v>
      </c>
      <c r="X64" s="113" t="n">
        <f aca="false">'Reforecast Q1 2026'!J40</f>
        <v>-1988.67</v>
      </c>
      <c r="Y64" s="113" t="n">
        <f aca="false">IF(W64="","",W64-X64)</f>
        <v>-1531.56</v>
      </c>
      <c r="Z64" s="113" t="n">
        <f aca="false">IF(OR(9&gt;$B$27,ISBLANK(Actuals!K40)),"",Actuals!K40)</f>
        <v>-987.24</v>
      </c>
      <c r="AA64" s="113" t="n">
        <f aca="false">'Reforecast Q1 2026'!K40</f>
        <v>-1988.67</v>
      </c>
      <c r="AB64" s="113" t="n">
        <f aca="false">IF(Z64="","",Z64-AA64)</f>
        <v>1001.43</v>
      </c>
      <c r="AC64" s="113" t="str">
        <f aca="false">IF(OR(10&gt;$B$27,ISBLANK(Actuals!L40)),"",Actuals!L40)</f>
        <v/>
      </c>
      <c r="AD64" s="113" t="n">
        <f aca="false">'Reforecast Q1 2026'!L40</f>
        <v>-1988.67</v>
      </c>
      <c r="AE64" s="113" t="str">
        <f aca="false">IF(AC64="","",AC64-AD64)</f>
        <v/>
      </c>
      <c r="AF64" s="113" t="str">
        <f aca="false">IF(OR(11&gt;$B$27,ISBLANK(Actuals!M40)),"",Actuals!M40)</f>
        <v/>
      </c>
      <c r="AG64" s="113" t="n">
        <f aca="false">'Reforecast Q1 2026'!M40</f>
        <v>-1988.67</v>
      </c>
      <c r="AH64" s="113" t="str">
        <f aca="false">IF(AF64="","",AF64-AG64)</f>
        <v/>
      </c>
      <c r="AI64" s="113" t="str">
        <f aca="false">IF(OR(12&gt;$B$27,ISBLANK(Actuals!N40)),"",Actuals!N40)</f>
        <v/>
      </c>
      <c r="AJ64" s="113" t="n">
        <f aca="false">'Reforecast Q1 2026'!N40</f>
        <v>-1988.67</v>
      </c>
      <c r="AK64" s="113" t="str">
        <f aca="false">IF(AI64="","",AI64-AJ64)</f>
        <v/>
      </c>
      <c r="AL64" s="116" t="n">
        <f aca="false">SUM(Actuals!$C40:INDEX(Actuals!$C40:$N40,$B$27))</f>
        <v>-19846.54</v>
      </c>
      <c r="AM64" s="116" t="n">
        <f aca="false">SUM('Reforecast Q1 2026'!$C40:INDEX('Reforecast Q1 2026'!$C40:$N40,$B$27))</f>
        <v>-17898.04</v>
      </c>
      <c r="AN64" s="116" t="n">
        <f aca="false">AL64-AM64</f>
        <v>-1948.5</v>
      </c>
    </row>
    <row r="65" customFormat="false" ht="15" hidden="true" customHeight="true" outlineLevel="1" collapsed="false">
      <c r="A65" s="109" t="s">
        <v>84</v>
      </c>
      <c r="B65" s="113" t="n">
        <f aca="false">IF(OR(1&gt;$B$27,ISBLANK(Actuals!C41)),"",Actuals!C41)</f>
        <v>0</v>
      </c>
      <c r="C65" s="113" t="n">
        <f aca="false">'Reforecast Q1 2026'!C41</f>
        <v>0</v>
      </c>
      <c r="D65" s="113" t="n">
        <f aca="false">IF(B65="","",B65-C65)</f>
        <v>0</v>
      </c>
      <c r="E65" s="113" t="n">
        <f aca="false">IF(OR(2&gt;$B$27,ISBLANK(Actuals!D41)),"",Actuals!D41)</f>
        <v>0</v>
      </c>
      <c r="F65" s="113" t="n">
        <f aca="false">'Reforecast Q1 2026'!D41</f>
        <v>0</v>
      </c>
      <c r="G65" s="113" t="n">
        <f aca="false">IF(E65="","",E65-F65)</f>
        <v>0</v>
      </c>
      <c r="H65" s="113" t="n">
        <f aca="false">IF(OR(3&gt;$B$27,ISBLANK(Actuals!E41)),"",Actuals!E41)</f>
        <v>-41990</v>
      </c>
      <c r="I65" s="113" t="n">
        <f aca="false">'Reforecast Q1 2026'!E41</f>
        <v>-41990</v>
      </c>
      <c r="J65" s="113" t="n">
        <f aca="false">IF(H65="","",H65-I65)</f>
        <v>0</v>
      </c>
      <c r="K65" s="113" t="n">
        <f aca="false">IF(OR(4&gt;$B$27,ISBLANK(Actuals!F41)),"",Actuals!F41)</f>
        <v>-42500</v>
      </c>
      <c r="L65" s="113" t="n">
        <f aca="false">'Reforecast Q1 2026'!F41</f>
        <v>0</v>
      </c>
      <c r="M65" s="113" t="n">
        <f aca="false">IF(K65="","",K65-L65)</f>
        <v>-42500</v>
      </c>
      <c r="N65" s="113" t="n">
        <f aca="false">IF(OR(5&gt;$B$27,ISBLANK(Actuals!G41)),"",Actuals!G41)</f>
        <v>-21000</v>
      </c>
      <c r="O65" s="113" t="n">
        <f aca="false">'Reforecast Q1 2026'!G41</f>
        <v>-44250</v>
      </c>
      <c r="P65" s="113" t="n">
        <f aca="false">IF(N65="","",N65-O65)</f>
        <v>23250</v>
      </c>
      <c r="Q65" s="113" t="n">
        <f aca="false">IF(OR(6&gt;$B$27,ISBLANK(Actuals!H41)),"",Actuals!H41)</f>
        <v>0</v>
      </c>
      <c r="R65" s="113" t="n">
        <f aca="false">'Reforecast Q1 2026'!H41</f>
        <v>-45000</v>
      </c>
      <c r="S65" s="113" t="n">
        <f aca="false">IF(Q65="","",Q65-R65)</f>
        <v>45000</v>
      </c>
      <c r="T65" s="113" t="n">
        <f aca="false">IF(OR(7&gt;$B$27,ISBLANK(Actuals!I41)),"",Actuals!I41)</f>
        <v>0</v>
      </c>
      <c r="U65" s="113" t="n">
        <f aca="false">'Reforecast Q1 2026'!I41</f>
        <v>-19500</v>
      </c>
      <c r="V65" s="113" t="n">
        <f aca="false">IF(T65="","",T65-U65)</f>
        <v>19500</v>
      </c>
      <c r="W65" s="113" t="n">
        <f aca="false">IF(OR(8&gt;$B$27,ISBLANK(Actuals!J41)),"",Actuals!J41)</f>
        <v>0</v>
      </c>
      <c r="X65" s="113" t="n">
        <f aca="false">'Reforecast Q1 2026'!J41</f>
        <v>0</v>
      </c>
      <c r="Y65" s="113" t="n">
        <f aca="false">IF(W65="","",W65-X65)</f>
        <v>0</v>
      </c>
      <c r="Z65" s="113" t="n">
        <f aca="false">IF(OR(9&gt;$B$27,ISBLANK(Actuals!K41)),"",Actuals!K41)</f>
        <v>0</v>
      </c>
      <c r="AA65" s="113" t="n">
        <f aca="false">'Reforecast Q1 2026'!K41</f>
        <v>0</v>
      </c>
      <c r="AB65" s="113" t="n">
        <f aca="false">IF(Z65="","",Z65-AA65)</f>
        <v>0</v>
      </c>
      <c r="AC65" s="113" t="str">
        <f aca="false">IF(OR(10&gt;$B$27,ISBLANK(Actuals!L41)),"",Actuals!L41)</f>
        <v/>
      </c>
      <c r="AD65" s="113" t="n">
        <f aca="false">'Reforecast Q1 2026'!L41</f>
        <v>-37500</v>
      </c>
      <c r="AE65" s="113" t="str">
        <f aca="false">IF(AC65="","",AC65-AD65)</f>
        <v/>
      </c>
      <c r="AF65" s="113" t="str">
        <f aca="false">IF(OR(11&gt;$B$27,ISBLANK(Actuals!M41)),"",Actuals!M41)</f>
        <v/>
      </c>
      <c r="AG65" s="113" t="n">
        <f aca="false">'Reforecast Q1 2026'!M41</f>
        <v>-54000</v>
      </c>
      <c r="AH65" s="113" t="str">
        <f aca="false">IF(AF65="","",AF65-AG65)</f>
        <v/>
      </c>
      <c r="AI65" s="113" t="str">
        <f aca="false">IF(OR(12&gt;$B$27,ISBLANK(Actuals!N41)),"",Actuals!N41)</f>
        <v/>
      </c>
      <c r="AJ65" s="113" t="n">
        <f aca="false">'Reforecast Q1 2026'!N41</f>
        <v>0</v>
      </c>
      <c r="AK65" s="113" t="str">
        <f aca="false">IF(AI65="","",AI65-AJ65)</f>
        <v/>
      </c>
      <c r="AL65" s="116" t="n">
        <f aca="false">SUM(Actuals!$C41:INDEX(Actuals!$C41:$N41,$B$27))</f>
        <v>-105490</v>
      </c>
      <c r="AM65" s="116" t="n">
        <f aca="false">SUM('Reforecast Q1 2026'!$C41:INDEX('Reforecast Q1 2026'!$C41:$N41,$B$27))</f>
        <v>-150740</v>
      </c>
      <c r="AN65" s="116" t="n">
        <f aca="false">AL65-AM65</f>
        <v>45250</v>
      </c>
    </row>
    <row r="66" customFormat="false" ht="15" hidden="true" customHeight="true" outlineLevel="1" collapsed="false">
      <c r="A66" s="109" t="s">
        <v>85</v>
      </c>
      <c r="B66" s="113" t="n">
        <f aca="false">IF(OR(1&gt;$B$27,ISBLANK(Actuals!C42)),"",Actuals!C42)</f>
        <v>-165</v>
      </c>
      <c r="C66" s="113" t="n">
        <f aca="false">'Reforecast Q1 2026'!C42</f>
        <v>-165</v>
      </c>
      <c r="D66" s="113" t="n">
        <f aca="false">IF(B66="","",B66-C66)</f>
        <v>0</v>
      </c>
      <c r="E66" s="113" t="n">
        <f aca="false">IF(OR(2&gt;$B$27,ISBLANK(Actuals!D42)),"",Actuals!D42)</f>
        <v>0</v>
      </c>
      <c r="F66" s="113" t="n">
        <f aca="false">'Reforecast Q1 2026'!D42</f>
        <v>0</v>
      </c>
      <c r="G66" s="113" t="n">
        <f aca="false">IF(E66="","",E66-F66)</f>
        <v>0</v>
      </c>
      <c r="H66" s="113" t="n">
        <f aca="false">IF(OR(3&gt;$B$27,ISBLANK(Actuals!E42)),"",Actuals!E42)</f>
        <v>0</v>
      </c>
      <c r="I66" s="113" t="n">
        <f aca="false">'Reforecast Q1 2026'!E42</f>
        <v>0</v>
      </c>
      <c r="J66" s="113" t="n">
        <f aca="false">IF(H66="","",H66-I66)</f>
        <v>0</v>
      </c>
      <c r="K66" s="113" t="n">
        <f aca="false">IF(OR(4&gt;$B$27,ISBLANK(Actuals!F42)),"",Actuals!F42)</f>
        <v>-165</v>
      </c>
      <c r="L66" s="113" t="n">
        <f aca="false">'Reforecast Q1 2026'!F42</f>
        <v>-55</v>
      </c>
      <c r="M66" s="113" t="n">
        <f aca="false">IF(K66="","",K66-L66)</f>
        <v>-110</v>
      </c>
      <c r="N66" s="113" t="n">
        <f aca="false">IF(OR(5&gt;$B$27,ISBLANK(Actuals!G42)),"",Actuals!G42)</f>
        <v>0</v>
      </c>
      <c r="O66" s="113" t="n">
        <f aca="false">'Reforecast Q1 2026'!G42</f>
        <v>-55</v>
      </c>
      <c r="P66" s="113" t="n">
        <f aca="false">IF(N66="","",N66-O66)</f>
        <v>55</v>
      </c>
      <c r="Q66" s="113" t="n">
        <f aca="false">IF(OR(6&gt;$B$27,ISBLANK(Actuals!H42)),"",Actuals!H42)</f>
        <v>-165</v>
      </c>
      <c r="R66" s="113" t="n">
        <f aca="false">'Reforecast Q1 2026'!H42</f>
        <v>-55</v>
      </c>
      <c r="S66" s="113" t="n">
        <f aca="false">IF(Q66="","",Q66-R66)</f>
        <v>-110</v>
      </c>
      <c r="T66" s="113" t="n">
        <f aca="false">IF(OR(7&gt;$B$27,ISBLANK(Actuals!I42)),"",Actuals!I42)</f>
        <v>0</v>
      </c>
      <c r="U66" s="113" t="n">
        <f aca="false">'Reforecast Q1 2026'!I42</f>
        <v>-55</v>
      </c>
      <c r="V66" s="113" t="n">
        <f aca="false">IF(T66="","",T66-U66)</f>
        <v>55</v>
      </c>
      <c r="W66" s="113" t="n">
        <f aca="false">IF(OR(8&gt;$B$27,ISBLANK(Actuals!J42)),"",Actuals!J42)</f>
        <v>0</v>
      </c>
      <c r="X66" s="113" t="n">
        <f aca="false">'Reforecast Q1 2026'!J42</f>
        <v>-55</v>
      </c>
      <c r="Y66" s="113" t="n">
        <f aca="false">IF(W66="","",W66-X66)</f>
        <v>55</v>
      </c>
      <c r="Z66" s="113" t="n">
        <f aca="false">IF(OR(9&gt;$B$27,ISBLANK(Actuals!K42)),"",Actuals!K42)</f>
        <v>-330</v>
      </c>
      <c r="AA66" s="113" t="n">
        <f aca="false">'Reforecast Q1 2026'!K42</f>
        <v>-55</v>
      </c>
      <c r="AB66" s="113" t="n">
        <f aca="false">IF(Z66="","",Z66-AA66)</f>
        <v>-275</v>
      </c>
      <c r="AC66" s="113" t="str">
        <f aca="false">IF(OR(10&gt;$B$27,ISBLANK(Actuals!L42)),"",Actuals!L42)</f>
        <v/>
      </c>
      <c r="AD66" s="113" t="n">
        <f aca="false">'Reforecast Q1 2026'!L42</f>
        <v>-55</v>
      </c>
      <c r="AE66" s="113" t="str">
        <f aca="false">IF(AC66="","",AC66-AD66)</f>
        <v/>
      </c>
      <c r="AF66" s="113" t="str">
        <f aca="false">IF(OR(11&gt;$B$27,ISBLANK(Actuals!M42)),"",Actuals!M42)</f>
        <v/>
      </c>
      <c r="AG66" s="113" t="n">
        <f aca="false">'Reforecast Q1 2026'!M42</f>
        <v>-55</v>
      </c>
      <c r="AH66" s="113" t="str">
        <f aca="false">IF(AF66="","",AF66-AG66)</f>
        <v/>
      </c>
      <c r="AI66" s="113" t="str">
        <f aca="false">IF(OR(12&gt;$B$27,ISBLANK(Actuals!N42)),"",Actuals!N42)</f>
        <v/>
      </c>
      <c r="AJ66" s="113" t="n">
        <f aca="false">'Reforecast Q1 2026'!N42</f>
        <v>-55</v>
      </c>
      <c r="AK66" s="113" t="str">
        <f aca="false">IF(AI66="","",AI66-AJ66)</f>
        <v/>
      </c>
      <c r="AL66" s="116" t="n">
        <f aca="false">SUM(Actuals!$C42:INDEX(Actuals!$C42:$N42,$B$27))</f>
        <v>-825</v>
      </c>
      <c r="AM66" s="116" t="n">
        <f aca="false">SUM('Reforecast Q1 2026'!$C42:INDEX('Reforecast Q1 2026'!$C42:$N42,$B$27))</f>
        <v>-495</v>
      </c>
      <c r="AN66" s="116" t="n">
        <f aca="false">AL66-AM66</f>
        <v>-330</v>
      </c>
    </row>
    <row r="67" customFormat="false" ht="15" hidden="true" customHeight="true" outlineLevel="1" collapsed="false">
      <c r="A67" s="109" t="s">
        <v>86</v>
      </c>
      <c r="B67" s="113" t="n">
        <f aca="false">IF(OR(1&gt;$B$27,ISBLANK(Actuals!C43)),"",Actuals!C43)</f>
        <v>0</v>
      </c>
      <c r="C67" s="113" t="n">
        <f aca="false">'Reforecast Q1 2026'!C43</f>
        <v>0</v>
      </c>
      <c r="D67" s="113" t="n">
        <f aca="false">IF(B67="","",B67-C67)</f>
        <v>0</v>
      </c>
      <c r="E67" s="113" t="n">
        <f aca="false">IF(OR(2&gt;$B$27,ISBLANK(Actuals!D43)),"",Actuals!D43)</f>
        <v>0</v>
      </c>
      <c r="F67" s="113" t="n">
        <f aca="false">'Reforecast Q1 2026'!D43</f>
        <v>0</v>
      </c>
      <c r="G67" s="113" t="n">
        <f aca="false">IF(E67="","",E67-F67)</f>
        <v>0</v>
      </c>
      <c r="H67" s="113" t="n">
        <f aca="false">IF(OR(3&gt;$B$27,ISBLANK(Actuals!E43)),"",Actuals!E43)</f>
        <v>0</v>
      </c>
      <c r="I67" s="113" t="n">
        <f aca="false">'Reforecast Q1 2026'!E43</f>
        <v>0</v>
      </c>
      <c r="J67" s="113" t="n">
        <f aca="false">IF(H67="","",H67-I67)</f>
        <v>0</v>
      </c>
      <c r="K67" s="113" t="n">
        <f aca="false">IF(OR(4&gt;$B$27,ISBLANK(Actuals!F43)),"",Actuals!F43)</f>
        <v>-1036.49</v>
      </c>
      <c r="L67" s="113" t="n">
        <f aca="false">'Reforecast Q1 2026'!F43</f>
        <v>0</v>
      </c>
      <c r="M67" s="113" t="n">
        <f aca="false">IF(K67="","",K67-L67)</f>
        <v>-1036.49</v>
      </c>
      <c r="N67" s="113" t="n">
        <f aca="false">IF(OR(5&gt;$B$27,ISBLANK(Actuals!G43)),"",Actuals!G43)</f>
        <v>0</v>
      </c>
      <c r="O67" s="113" t="n">
        <f aca="false">'Reforecast Q1 2026'!G43</f>
        <v>0</v>
      </c>
      <c r="P67" s="113" t="n">
        <f aca="false">IF(N67="","",N67-O67)</f>
        <v>0</v>
      </c>
      <c r="Q67" s="113" t="n">
        <f aca="false">IF(OR(6&gt;$B$27,ISBLANK(Actuals!H43)),"",Actuals!H43)</f>
        <v>-4308.58</v>
      </c>
      <c r="R67" s="113" t="n">
        <f aca="false">'Reforecast Q1 2026'!H43</f>
        <v>0</v>
      </c>
      <c r="S67" s="113" t="n">
        <f aca="false">IF(Q67="","",Q67-R67)</f>
        <v>-4308.58</v>
      </c>
      <c r="T67" s="113" t="n">
        <f aca="false">IF(OR(7&gt;$B$27,ISBLANK(Actuals!I43)),"",Actuals!I43)</f>
        <v>-362.98</v>
      </c>
      <c r="U67" s="113" t="n">
        <f aca="false">'Reforecast Q1 2026'!I43</f>
        <v>0</v>
      </c>
      <c r="V67" s="113" t="n">
        <f aca="false">IF(T67="","",T67-U67)</f>
        <v>-362.98</v>
      </c>
      <c r="W67" s="113" t="n">
        <f aca="false">IF(OR(8&gt;$B$27,ISBLANK(Actuals!J43)),"",Actuals!J43)</f>
        <v>0</v>
      </c>
      <c r="X67" s="113" t="n">
        <f aca="false">'Reforecast Q1 2026'!J43</f>
        <v>0</v>
      </c>
      <c r="Y67" s="113" t="n">
        <f aca="false">IF(W67="","",W67-X67)</f>
        <v>0</v>
      </c>
      <c r="Z67" s="113" t="n">
        <f aca="false">IF(OR(9&gt;$B$27,ISBLANK(Actuals!K43)),"",Actuals!K43)</f>
        <v>0</v>
      </c>
      <c r="AA67" s="113" t="n">
        <f aca="false">'Reforecast Q1 2026'!K43</f>
        <v>0</v>
      </c>
      <c r="AB67" s="113" t="n">
        <f aca="false">IF(Z67="","",Z67-AA67)</f>
        <v>0</v>
      </c>
      <c r="AC67" s="113" t="str">
        <f aca="false">IF(OR(10&gt;$B$27,ISBLANK(Actuals!L43)),"",Actuals!L43)</f>
        <v/>
      </c>
      <c r="AD67" s="113" t="n">
        <f aca="false">'Reforecast Q1 2026'!L43</f>
        <v>0</v>
      </c>
      <c r="AE67" s="113" t="str">
        <f aca="false">IF(AC67="","",AC67-AD67)</f>
        <v/>
      </c>
      <c r="AF67" s="113" t="str">
        <f aca="false">IF(OR(11&gt;$B$27,ISBLANK(Actuals!M43)),"",Actuals!M43)</f>
        <v/>
      </c>
      <c r="AG67" s="113" t="n">
        <f aca="false">'Reforecast Q1 2026'!M43</f>
        <v>0</v>
      </c>
      <c r="AH67" s="113" t="str">
        <f aca="false">IF(AF67="","",AF67-AG67)</f>
        <v/>
      </c>
      <c r="AI67" s="113" t="str">
        <f aca="false">IF(OR(12&gt;$B$27,ISBLANK(Actuals!N43)),"",Actuals!N43)</f>
        <v/>
      </c>
      <c r="AJ67" s="113" t="n">
        <f aca="false">'Reforecast Q1 2026'!N43</f>
        <v>0</v>
      </c>
      <c r="AK67" s="113" t="str">
        <f aca="false">IF(AI67="","",AI67-AJ67)</f>
        <v/>
      </c>
      <c r="AL67" s="116" t="n">
        <f aca="false">SUM(Actuals!$C43:INDEX(Actuals!$C43:$N43,$B$27))</f>
        <v>-5708.05</v>
      </c>
      <c r="AM67" s="116" t="n">
        <f aca="false">SUM('Reforecast Q1 2026'!$C43:INDEX('Reforecast Q1 2026'!$C43:$N43,$B$27))</f>
        <v>0</v>
      </c>
      <c r="AN67" s="116" t="n">
        <f aca="false">AL67-AM67</f>
        <v>-5708.05</v>
      </c>
    </row>
    <row r="68" customFormat="false" ht="15" hidden="true" customHeight="true" outlineLevel="1" collapsed="false">
      <c r="A68" s="109" t="s">
        <v>87</v>
      </c>
      <c r="B68" s="113" t="n">
        <f aca="false">IF(OR(1&gt;$B$27,ISBLANK(Actuals!C44)),"",Actuals!C44)</f>
        <v>-550</v>
      </c>
      <c r="C68" s="113" t="n">
        <f aca="false">'Reforecast Q1 2026'!C44</f>
        <v>-550</v>
      </c>
      <c r="D68" s="113" t="n">
        <f aca="false">IF(B68="","",B68-C68)</f>
        <v>0</v>
      </c>
      <c r="E68" s="113" t="n">
        <f aca="false">IF(OR(2&gt;$B$27,ISBLANK(Actuals!D44)),"",Actuals!D44)</f>
        <v>-550</v>
      </c>
      <c r="F68" s="113" t="n">
        <f aca="false">'Reforecast Q1 2026'!D44</f>
        <v>-550</v>
      </c>
      <c r="G68" s="113" t="n">
        <f aca="false">IF(E68="","",E68-F68)</f>
        <v>0</v>
      </c>
      <c r="H68" s="113" t="n">
        <f aca="false">IF(OR(3&gt;$B$27,ISBLANK(Actuals!E44)),"",Actuals!E44)</f>
        <v>-550</v>
      </c>
      <c r="I68" s="113" t="n">
        <f aca="false">'Reforecast Q1 2026'!E44</f>
        <v>-550</v>
      </c>
      <c r="J68" s="113" t="n">
        <f aca="false">IF(H68="","",H68-I68)</f>
        <v>0</v>
      </c>
      <c r="K68" s="113" t="n">
        <f aca="false">IF(OR(4&gt;$B$27,ISBLANK(Actuals!F44)),"",Actuals!F44)</f>
        <v>-600</v>
      </c>
      <c r="L68" s="113" t="n">
        <f aca="false">'Reforecast Q1 2026'!F44</f>
        <v>-550</v>
      </c>
      <c r="M68" s="113" t="n">
        <f aca="false">IF(K68="","",K68-L68)</f>
        <v>-50</v>
      </c>
      <c r="N68" s="113" t="n">
        <f aca="false">IF(OR(5&gt;$B$27,ISBLANK(Actuals!G44)),"",Actuals!G44)</f>
        <v>-650</v>
      </c>
      <c r="O68" s="113" t="n">
        <f aca="false">'Reforecast Q1 2026'!G44</f>
        <v>-550</v>
      </c>
      <c r="P68" s="113" t="n">
        <f aca="false">IF(N68="","",N68-O68)</f>
        <v>-100</v>
      </c>
      <c r="Q68" s="113" t="n">
        <f aca="false">IF(OR(6&gt;$B$27,ISBLANK(Actuals!H44)),"",Actuals!H44)</f>
        <v>-575</v>
      </c>
      <c r="R68" s="113" t="n">
        <f aca="false">'Reforecast Q1 2026'!H44</f>
        <v>-550</v>
      </c>
      <c r="S68" s="113" t="n">
        <f aca="false">IF(Q68="","",Q68-R68)</f>
        <v>-25</v>
      </c>
      <c r="T68" s="113" t="n">
        <f aca="false">IF(OR(7&gt;$B$27,ISBLANK(Actuals!I44)),"",Actuals!I44)</f>
        <v>-1300</v>
      </c>
      <c r="U68" s="113" t="n">
        <f aca="false">'Reforecast Q1 2026'!I44</f>
        <v>-550</v>
      </c>
      <c r="V68" s="113" t="n">
        <f aca="false">IF(T68="","",T68-U68)</f>
        <v>-750</v>
      </c>
      <c r="W68" s="113" t="n">
        <f aca="false">IF(OR(8&gt;$B$27,ISBLANK(Actuals!J44)),"",Actuals!J44)</f>
        <v>-325</v>
      </c>
      <c r="X68" s="113" t="n">
        <f aca="false">'Reforecast Q1 2026'!J44</f>
        <v>-550</v>
      </c>
      <c r="Y68" s="113" t="n">
        <f aca="false">IF(W68="","",W68-X68)</f>
        <v>225</v>
      </c>
      <c r="Z68" s="113" t="n">
        <f aca="false">IF(OR(9&gt;$B$27,ISBLANK(Actuals!K44)),"",Actuals!K44)</f>
        <v>-975</v>
      </c>
      <c r="AA68" s="113" t="n">
        <f aca="false">'Reforecast Q1 2026'!K44</f>
        <v>-550</v>
      </c>
      <c r="AB68" s="113" t="n">
        <f aca="false">IF(Z68="","",Z68-AA68)</f>
        <v>-425</v>
      </c>
      <c r="AC68" s="113" t="str">
        <f aca="false">IF(OR(10&gt;$B$27,ISBLANK(Actuals!L44)),"",Actuals!L44)</f>
        <v/>
      </c>
      <c r="AD68" s="113" t="n">
        <f aca="false">'Reforecast Q1 2026'!L44</f>
        <v>-550</v>
      </c>
      <c r="AE68" s="113" t="str">
        <f aca="false">IF(AC68="","",AC68-AD68)</f>
        <v/>
      </c>
      <c r="AF68" s="113" t="str">
        <f aca="false">IF(OR(11&gt;$B$27,ISBLANK(Actuals!M44)),"",Actuals!M44)</f>
        <v/>
      </c>
      <c r="AG68" s="113" t="n">
        <f aca="false">'Reforecast Q1 2026'!M44</f>
        <v>-550</v>
      </c>
      <c r="AH68" s="113" t="str">
        <f aca="false">IF(AF68="","",AF68-AG68)</f>
        <v/>
      </c>
      <c r="AI68" s="113" t="str">
        <f aca="false">IF(OR(12&gt;$B$27,ISBLANK(Actuals!N44)),"",Actuals!N44)</f>
        <v/>
      </c>
      <c r="AJ68" s="113" t="n">
        <f aca="false">'Reforecast Q1 2026'!N44</f>
        <v>-550</v>
      </c>
      <c r="AK68" s="113" t="str">
        <f aca="false">IF(AI68="","",AI68-AJ68)</f>
        <v/>
      </c>
      <c r="AL68" s="116" t="n">
        <f aca="false">SUM(Actuals!$C44:INDEX(Actuals!$C44:$N44,$B$27))</f>
        <v>-6075</v>
      </c>
      <c r="AM68" s="116" t="n">
        <f aca="false">SUM('Reforecast Q1 2026'!$C44:INDEX('Reforecast Q1 2026'!$C44:$N44,$B$27))</f>
        <v>-4950</v>
      </c>
      <c r="AN68" s="116" t="n">
        <f aca="false">AL68-AM68</f>
        <v>-1125</v>
      </c>
    </row>
    <row r="69" customFormat="false" ht="15" hidden="true" customHeight="true" outlineLevel="1" collapsed="false">
      <c r="A69" s="109" t="s">
        <v>88</v>
      </c>
      <c r="B69" s="113" t="n">
        <f aca="false">IF(OR(1&gt;$B$27,ISBLANK(Actuals!C45)),"",Actuals!C45)</f>
        <v>-19223.75</v>
      </c>
      <c r="C69" s="113" t="n">
        <f aca="false">'Reforecast Q1 2026'!C45</f>
        <v>-19223.75</v>
      </c>
      <c r="D69" s="113" t="n">
        <f aca="false">IF(B69="","",B69-C69)</f>
        <v>0</v>
      </c>
      <c r="E69" s="113" t="n">
        <f aca="false">IF(OR(2&gt;$B$27,ISBLANK(Actuals!D45)),"",Actuals!D45)</f>
        <v>-13381.97</v>
      </c>
      <c r="F69" s="113" t="n">
        <f aca="false">'Reforecast Q1 2026'!D45</f>
        <v>-13381.97</v>
      </c>
      <c r="G69" s="113" t="n">
        <f aca="false">IF(E69="","",E69-F69)</f>
        <v>0</v>
      </c>
      <c r="H69" s="113" t="n">
        <f aca="false">IF(OR(3&gt;$B$27,ISBLANK(Actuals!E45)),"",Actuals!E45)</f>
        <v>-20308.69</v>
      </c>
      <c r="I69" s="113" t="n">
        <f aca="false">'Reforecast Q1 2026'!E45</f>
        <v>-20308.69</v>
      </c>
      <c r="J69" s="113" t="n">
        <f aca="false">IF(H69="","",H69-I69)</f>
        <v>0</v>
      </c>
      <c r="K69" s="113" t="n">
        <f aca="false">IF(OR(4&gt;$B$27,ISBLANK(Actuals!F45)),"",Actuals!F45)</f>
        <v>-16948.76</v>
      </c>
      <c r="L69" s="113" t="n">
        <f aca="false">'Reforecast Q1 2026'!F45</f>
        <v>-17638.14</v>
      </c>
      <c r="M69" s="113" t="n">
        <f aca="false">IF(K69="","",K69-L69)</f>
        <v>689.380000000001</v>
      </c>
      <c r="N69" s="113" t="n">
        <f aca="false">IF(OR(5&gt;$B$27,ISBLANK(Actuals!G45)),"",Actuals!G45)</f>
        <v>-29716.98</v>
      </c>
      <c r="O69" s="113" t="n">
        <f aca="false">'Reforecast Q1 2026'!G45</f>
        <v>-17638.14</v>
      </c>
      <c r="P69" s="113" t="n">
        <f aca="false">IF(N69="","",N69-O69)</f>
        <v>-12078.84</v>
      </c>
      <c r="Q69" s="113" t="n">
        <f aca="false">IF(OR(6&gt;$B$27,ISBLANK(Actuals!H45)),"",Actuals!H45)</f>
        <v>-11335.64</v>
      </c>
      <c r="R69" s="113" t="n">
        <f aca="false">'Reforecast Q1 2026'!H45</f>
        <v>-17638.14</v>
      </c>
      <c r="S69" s="113" t="n">
        <f aca="false">IF(Q69="","",Q69-R69)</f>
        <v>6302.5</v>
      </c>
      <c r="T69" s="113" t="n">
        <f aca="false">IF(OR(7&gt;$B$27,ISBLANK(Actuals!I45)),"",Actuals!I45)</f>
        <v>-11387.12</v>
      </c>
      <c r="U69" s="113" t="n">
        <f aca="false">'Reforecast Q1 2026'!I45</f>
        <v>-17638.14</v>
      </c>
      <c r="V69" s="113" t="n">
        <f aca="false">IF(T69="","",T69-U69)</f>
        <v>6251.02</v>
      </c>
      <c r="W69" s="113" t="n">
        <f aca="false">IF(OR(8&gt;$B$27,ISBLANK(Actuals!J45)),"",Actuals!J45)</f>
        <v>-19873.14</v>
      </c>
      <c r="X69" s="113" t="n">
        <f aca="false">'Reforecast Q1 2026'!J45</f>
        <v>-17638.14</v>
      </c>
      <c r="Y69" s="113" t="n">
        <f aca="false">IF(W69="","",W69-X69)</f>
        <v>-2235</v>
      </c>
      <c r="Z69" s="113" t="n">
        <f aca="false">IF(OR(9&gt;$B$27,ISBLANK(Actuals!K45)),"",Actuals!K45)</f>
        <v>42.99</v>
      </c>
      <c r="AA69" s="113" t="n">
        <f aca="false">'Reforecast Q1 2026'!K45</f>
        <v>-17638.14</v>
      </c>
      <c r="AB69" s="113" t="n">
        <f aca="false">IF(Z69="","",Z69-AA69)</f>
        <v>17681.13</v>
      </c>
      <c r="AC69" s="113" t="str">
        <f aca="false">IF(OR(10&gt;$B$27,ISBLANK(Actuals!L45)),"",Actuals!L45)</f>
        <v/>
      </c>
      <c r="AD69" s="113" t="n">
        <f aca="false">'Reforecast Q1 2026'!L45</f>
        <v>-17638.14</v>
      </c>
      <c r="AE69" s="113" t="str">
        <f aca="false">IF(AC69="","",AC69-AD69)</f>
        <v/>
      </c>
      <c r="AF69" s="113" t="str">
        <f aca="false">IF(OR(11&gt;$B$27,ISBLANK(Actuals!M45)),"",Actuals!M45)</f>
        <v/>
      </c>
      <c r="AG69" s="113" t="n">
        <f aca="false">'Reforecast Q1 2026'!M45</f>
        <v>-17638.14</v>
      </c>
      <c r="AH69" s="113" t="str">
        <f aca="false">IF(AF69="","",AF69-AG69)</f>
        <v/>
      </c>
      <c r="AI69" s="113" t="str">
        <f aca="false">IF(OR(12&gt;$B$27,ISBLANK(Actuals!N45)),"",Actuals!N45)</f>
        <v/>
      </c>
      <c r="AJ69" s="113" t="n">
        <f aca="false">'Reforecast Q1 2026'!N45</f>
        <v>-17638.14</v>
      </c>
      <c r="AK69" s="113" t="str">
        <f aca="false">IF(AI69="","",AI69-AJ69)</f>
        <v/>
      </c>
      <c r="AL69" s="116" t="n">
        <f aca="false">SUM(Actuals!$C45:INDEX(Actuals!$C45:$N45,$B$27))</f>
        <v>-142133.06</v>
      </c>
      <c r="AM69" s="116" t="n">
        <f aca="false">SUM('Reforecast Q1 2026'!$C45:INDEX('Reforecast Q1 2026'!$C45:$N45,$B$27))</f>
        <v>-158743.25</v>
      </c>
      <c r="AN69" s="116" t="n">
        <f aca="false">AL69-AM69</f>
        <v>16610.19</v>
      </c>
    </row>
    <row r="70" customFormat="false" ht="15" hidden="true" customHeight="true" outlineLevel="1" collapsed="false">
      <c r="A70" s="109" t="s">
        <v>89</v>
      </c>
      <c r="B70" s="113" t="n">
        <f aca="false">IF(OR(1&gt;$B$27,ISBLANK(Actuals!C46)),"",Actuals!C46)</f>
        <v>-1909.98</v>
      </c>
      <c r="C70" s="113" t="n">
        <f aca="false">'Reforecast Q1 2026'!C46</f>
        <v>-1909.98</v>
      </c>
      <c r="D70" s="113" t="n">
        <f aca="false">IF(B70="","",B70-C70)</f>
        <v>0</v>
      </c>
      <c r="E70" s="113" t="n">
        <f aca="false">IF(OR(2&gt;$B$27,ISBLANK(Actuals!D46)),"",Actuals!D46)</f>
        <v>-190.1</v>
      </c>
      <c r="F70" s="113" t="n">
        <f aca="false">'Reforecast Q1 2026'!D46</f>
        <v>-190.1</v>
      </c>
      <c r="G70" s="113" t="n">
        <f aca="false">IF(E70="","",E70-F70)</f>
        <v>0</v>
      </c>
      <c r="H70" s="113" t="n">
        <f aca="false">IF(OR(3&gt;$B$27,ISBLANK(Actuals!E46)),"",Actuals!E46)</f>
        <v>-2166.92</v>
      </c>
      <c r="I70" s="113" t="n">
        <f aca="false">'Reforecast Q1 2026'!E46</f>
        <v>-2166.92</v>
      </c>
      <c r="J70" s="113" t="n">
        <f aca="false">IF(H70="","",H70-I70)</f>
        <v>0</v>
      </c>
      <c r="K70" s="113" t="n">
        <f aca="false">IF(OR(4&gt;$B$27,ISBLANK(Actuals!F46)),"",Actuals!F46)</f>
        <v>-1816.95</v>
      </c>
      <c r="L70" s="113" t="n">
        <f aca="false">'Reforecast Q1 2026'!F46</f>
        <v>-1422.33</v>
      </c>
      <c r="M70" s="113" t="n">
        <f aca="false">IF(K70="","",K70-L70)</f>
        <v>-394.62</v>
      </c>
      <c r="N70" s="113" t="n">
        <f aca="false">IF(OR(5&gt;$B$27,ISBLANK(Actuals!G46)),"",Actuals!G46)</f>
        <v>-1452.9</v>
      </c>
      <c r="O70" s="113" t="n">
        <f aca="false">'Reforecast Q1 2026'!G46</f>
        <v>-1422.33</v>
      </c>
      <c r="P70" s="113" t="n">
        <f aca="false">IF(N70="","",N70-O70)</f>
        <v>-30.5700000000002</v>
      </c>
      <c r="Q70" s="113" t="n">
        <f aca="false">IF(OR(6&gt;$B$27,ISBLANK(Actuals!H46)),"",Actuals!H46)</f>
        <v>-13918.31</v>
      </c>
      <c r="R70" s="113" t="n">
        <f aca="false">'Reforecast Q1 2026'!H46</f>
        <v>-1422.33</v>
      </c>
      <c r="S70" s="113" t="n">
        <f aca="false">IF(Q70="","",Q70-R70)</f>
        <v>-12495.98</v>
      </c>
      <c r="T70" s="113" t="n">
        <f aca="false">IF(OR(7&gt;$B$27,ISBLANK(Actuals!I46)),"",Actuals!I46)</f>
        <v>9546.02</v>
      </c>
      <c r="U70" s="113" t="n">
        <f aca="false">'Reforecast Q1 2026'!I46</f>
        <v>-1422.33</v>
      </c>
      <c r="V70" s="113" t="n">
        <f aca="false">IF(T70="","",T70-U70)</f>
        <v>10968.35</v>
      </c>
      <c r="W70" s="113" t="n">
        <f aca="false">IF(OR(8&gt;$B$27,ISBLANK(Actuals!J46)),"",Actuals!J46)</f>
        <v>-840.61</v>
      </c>
      <c r="X70" s="113" t="n">
        <f aca="false">'Reforecast Q1 2026'!J46</f>
        <v>-1422.33</v>
      </c>
      <c r="Y70" s="113" t="n">
        <f aca="false">IF(W70="","",W70-X70)</f>
        <v>581.72</v>
      </c>
      <c r="Z70" s="113" t="n">
        <f aca="false">IF(OR(9&gt;$B$27,ISBLANK(Actuals!K46)),"",Actuals!K46)</f>
        <v>-941.44</v>
      </c>
      <c r="AA70" s="113" t="n">
        <f aca="false">'Reforecast Q1 2026'!K46</f>
        <v>-1422.33</v>
      </c>
      <c r="AB70" s="113" t="n">
        <f aca="false">IF(Z70="","",Z70-AA70)</f>
        <v>480.89</v>
      </c>
      <c r="AC70" s="113" t="str">
        <f aca="false">IF(OR(10&gt;$B$27,ISBLANK(Actuals!L46)),"",Actuals!L46)</f>
        <v/>
      </c>
      <c r="AD70" s="113" t="n">
        <f aca="false">'Reforecast Q1 2026'!L46</f>
        <v>-1422.33</v>
      </c>
      <c r="AE70" s="113" t="str">
        <f aca="false">IF(AC70="","",AC70-AD70)</f>
        <v/>
      </c>
      <c r="AF70" s="113" t="str">
        <f aca="false">IF(OR(11&gt;$B$27,ISBLANK(Actuals!M46)),"",Actuals!M46)</f>
        <v/>
      </c>
      <c r="AG70" s="113" t="n">
        <f aca="false">'Reforecast Q1 2026'!M46</f>
        <v>-1422.33</v>
      </c>
      <c r="AH70" s="113" t="str">
        <f aca="false">IF(AF70="","",AF70-AG70)</f>
        <v/>
      </c>
      <c r="AI70" s="113" t="str">
        <f aca="false">IF(OR(12&gt;$B$27,ISBLANK(Actuals!N46)),"",Actuals!N46)</f>
        <v/>
      </c>
      <c r="AJ70" s="113" t="n">
        <f aca="false">'Reforecast Q1 2026'!N46</f>
        <v>-1422.33</v>
      </c>
      <c r="AK70" s="113" t="str">
        <f aca="false">IF(AI70="","",AI70-AJ70)</f>
        <v/>
      </c>
      <c r="AL70" s="116" t="n">
        <f aca="false">SUM(Actuals!$C46:INDEX(Actuals!$C46:$N46,$B$27))</f>
        <v>-13691.19</v>
      </c>
      <c r="AM70" s="116" t="n">
        <f aca="false">SUM('Reforecast Q1 2026'!$C46:INDEX('Reforecast Q1 2026'!$C46:$N46,$B$27))</f>
        <v>-12800.98</v>
      </c>
      <c r="AN70" s="116" t="n">
        <f aca="false">AL70-AM70</f>
        <v>-890.210000000001</v>
      </c>
    </row>
    <row r="71" customFormat="false" ht="15" hidden="true" customHeight="true" outlineLevel="1" collapsed="false">
      <c r="A71" s="109" t="s">
        <v>90</v>
      </c>
      <c r="B71" s="113" t="n">
        <f aca="false">IF(OR(1&gt;$B$27,ISBLANK(Actuals!C47)),"",Actuals!C47)</f>
        <v>-320</v>
      </c>
      <c r="C71" s="113" t="n">
        <f aca="false">'Reforecast Q1 2026'!C47</f>
        <v>-320</v>
      </c>
      <c r="D71" s="113" t="n">
        <f aca="false">IF(B71="","",B71-C71)</f>
        <v>0</v>
      </c>
      <c r="E71" s="113" t="n">
        <f aca="false">IF(OR(2&gt;$B$27,ISBLANK(Actuals!D47)),"",Actuals!D47)</f>
        <v>-160</v>
      </c>
      <c r="F71" s="113" t="n">
        <f aca="false">'Reforecast Q1 2026'!D47</f>
        <v>-160</v>
      </c>
      <c r="G71" s="113" t="n">
        <f aca="false">IF(E71="","",E71-F71)</f>
        <v>0</v>
      </c>
      <c r="H71" s="113" t="n">
        <f aca="false">IF(OR(3&gt;$B$27,ISBLANK(Actuals!E47)),"",Actuals!E47)</f>
        <v>0</v>
      </c>
      <c r="I71" s="113" t="n">
        <f aca="false">'Reforecast Q1 2026'!E47</f>
        <v>0</v>
      </c>
      <c r="J71" s="113" t="n">
        <f aca="false">IF(H71="","",H71-I71)</f>
        <v>0</v>
      </c>
      <c r="K71" s="113" t="n">
        <f aca="false">IF(OR(4&gt;$B$27,ISBLANK(Actuals!F47)),"",Actuals!F47)</f>
        <v>0</v>
      </c>
      <c r="L71" s="113" t="n">
        <f aca="false">'Reforecast Q1 2026'!F47</f>
        <v>-160</v>
      </c>
      <c r="M71" s="113" t="n">
        <f aca="false">IF(K71="","",K71-L71)</f>
        <v>160</v>
      </c>
      <c r="N71" s="113" t="n">
        <f aca="false">IF(OR(5&gt;$B$27,ISBLANK(Actuals!G47)),"",Actuals!G47)</f>
        <v>-320</v>
      </c>
      <c r="O71" s="113" t="n">
        <f aca="false">'Reforecast Q1 2026'!G47</f>
        <v>-160</v>
      </c>
      <c r="P71" s="113" t="n">
        <f aca="false">IF(N71="","",N71-O71)</f>
        <v>-160</v>
      </c>
      <c r="Q71" s="113" t="n">
        <f aca="false">IF(OR(6&gt;$B$27,ISBLANK(Actuals!H47)),"",Actuals!H47)</f>
        <v>-320</v>
      </c>
      <c r="R71" s="113" t="n">
        <f aca="false">'Reforecast Q1 2026'!H47</f>
        <v>-160</v>
      </c>
      <c r="S71" s="113" t="n">
        <f aca="false">IF(Q71="","",Q71-R71)</f>
        <v>-160</v>
      </c>
      <c r="T71" s="113" t="n">
        <f aca="false">IF(OR(7&gt;$B$27,ISBLANK(Actuals!I47)),"",Actuals!I47)</f>
        <v>0</v>
      </c>
      <c r="U71" s="113" t="n">
        <f aca="false">'Reforecast Q1 2026'!I47</f>
        <v>-160</v>
      </c>
      <c r="V71" s="113" t="n">
        <f aca="false">IF(T71="","",T71-U71)</f>
        <v>160</v>
      </c>
      <c r="W71" s="113" t="n">
        <f aca="false">IF(OR(8&gt;$B$27,ISBLANK(Actuals!J47)),"",Actuals!J47)</f>
        <v>-160</v>
      </c>
      <c r="X71" s="113" t="n">
        <f aca="false">'Reforecast Q1 2026'!J47</f>
        <v>-160</v>
      </c>
      <c r="Y71" s="113" t="n">
        <f aca="false">IF(W71="","",W71-X71)</f>
        <v>0</v>
      </c>
      <c r="Z71" s="113" t="n">
        <f aca="false">IF(OR(9&gt;$B$27,ISBLANK(Actuals!K47)),"",Actuals!K47)</f>
        <v>-160</v>
      </c>
      <c r="AA71" s="113" t="n">
        <f aca="false">'Reforecast Q1 2026'!K47</f>
        <v>-160</v>
      </c>
      <c r="AB71" s="113" t="n">
        <f aca="false">IF(Z71="","",Z71-AA71)</f>
        <v>0</v>
      </c>
      <c r="AC71" s="113" t="str">
        <f aca="false">IF(OR(10&gt;$B$27,ISBLANK(Actuals!L47)),"",Actuals!L47)</f>
        <v/>
      </c>
      <c r="AD71" s="113" t="n">
        <f aca="false">'Reforecast Q1 2026'!L47</f>
        <v>-160</v>
      </c>
      <c r="AE71" s="113" t="str">
        <f aca="false">IF(AC71="","",AC71-AD71)</f>
        <v/>
      </c>
      <c r="AF71" s="113" t="str">
        <f aca="false">IF(OR(11&gt;$B$27,ISBLANK(Actuals!M47)),"",Actuals!M47)</f>
        <v/>
      </c>
      <c r="AG71" s="113" t="n">
        <f aca="false">'Reforecast Q1 2026'!M47</f>
        <v>-160</v>
      </c>
      <c r="AH71" s="113" t="str">
        <f aca="false">IF(AF71="","",AF71-AG71)</f>
        <v/>
      </c>
      <c r="AI71" s="113" t="str">
        <f aca="false">IF(OR(12&gt;$B$27,ISBLANK(Actuals!N47)),"",Actuals!N47)</f>
        <v/>
      </c>
      <c r="AJ71" s="113" t="n">
        <f aca="false">'Reforecast Q1 2026'!N47</f>
        <v>-160</v>
      </c>
      <c r="AK71" s="113" t="str">
        <f aca="false">IF(AI71="","",AI71-AJ71)</f>
        <v/>
      </c>
      <c r="AL71" s="116" t="n">
        <f aca="false">SUM(Actuals!$C47:INDEX(Actuals!$C47:$N47,$B$27))</f>
        <v>-1440</v>
      </c>
      <c r="AM71" s="116" t="n">
        <f aca="false">SUM('Reforecast Q1 2026'!$C47:INDEX('Reforecast Q1 2026'!$C47:$N47,$B$27))</f>
        <v>-1440</v>
      </c>
      <c r="AN71" s="116" t="n">
        <f aca="false">AL71-AM71</f>
        <v>0</v>
      </c>
    </row>
    <row r="72" customFormat="false" ht="15" hidden="true" customHeight="true" outlineLevel="1" collapsed="false">
      <c r="A72" s="109" t="s">
        <v>91</v>
      </c>
      <c r="B72" s="113" t="n">
        <f aca="false">IF(OR(1&gt;$B$27,ISBLANK(Actuals!C48)),"",Actuals!C48)</f>
        <v>-17660.72</v>
      </c>
      <c r="C72" s="113" t="n">
        <f aca="false">'Reforecast Q1 2026'!C48</f>
        <v>-17660.72</v>
      </c>
      <c r="D72" s="113" t="n">
        <f aca="false">IF(B72="","",B72-C72)</f>
        <v>0</v>
      </c>
      <c r="E72" s="113" t="n">
        <f aca="false">IF(OR(2&gt;$B$27,ISBLANK(Actuals!D48)),"",Actuals!D48)</f>
        <v>-5799</v>
      </c>
      <c r="F72" s="113" t="n">
        <f aca="false">'Reforecast Q1 2026'!D48</f>
        <v>-5799</v>
      </c>
      <c r="G72" s="113" t="n">
        <f aca="false">IF(E72="","",E72-F72)</f>
        <v>0</v>
      </c>
      <c r="H72" s="113" t="n">
        <f aca="false">IF(OR(3&gt;$B$27,ISBLANK(Actuals!E48)),"",Actuals!E48)</f>
        <v>-3432.18</v>
      </c>
      <c r="I72" s="113" t="n">
        <f aca="false">'Reforecast Q1 2026'!E48</f>
        <v>-3432.18</v>
      </c>
      <c r="J72" s="113" t="n">
        <f aca="false">IF(H72="","",H72-I72)</f>
        <v>0</v>
      </c>
      <c r="K72" s="113" t="n">
        <f aca="false">IF(OR(4&gt;$B$27,ISBLANK(Actuals!F48)),"",Actuals!F48)</f>
        <v>0</v>
      </c>
      <c r="L72" s="113" t="n">
        <f aca="false">'Reforecast Q1 2026'!F48</f>
        <v>-5000</v>
      </c>
      <c r="M72" s="113" t="n">
        <f aca="false">IF(K72="","",K72-L72)</f>
        <v>5000</v>
      </c>
      <c r="N72" s="113" t="n">
        <f aca="false">IF(OR(5&gt;$B$27,ISBLANK(Actuals!G48)),"",Actuals!G48)</f>
        <v>-73874.29</v>
      </c>
      <c r="O72" s="113" t="n">
        <f aca="false">'Reforecast Q1 2026'!G48</f>
        <v>-5000</v>
      </c>
      <c r="P72" s="113" t="n">
        <f aca="false">IF(N72="","",N72-O72)</f>
        <v>-68874.29</v>
      </c>
      <c r="Q72" s="113" t="n">
        <f aca="false">IF(OR(6&gt;$B$27,ISBLANK(Actuals!H48)),"",Actuals!H48)</f>
        <v>0</v>
      </c>
      <c r="R72" s="113" t="n">
        <f aca="false">'Reforecast Q1 2026'!H48</f>
        <v>-5000</v>
      </c>
      <c r="S72" s="113" t="n">
        <f aca="false">IF(Q72="","",Q72-R72)</f>
        <v>5000</v>
      </c>
      <c r="T72" s="113" t="n">
        <f aca="false">IF(OR(7&gt;$B$27,ISBLANK(Actuals!I48)),"",Actuals!I48)</f>
        <v>0</v>
      </c>
      <c r="U72" s="113" t="n">
        <f aca="false">'Reforecast Q1 2026'!I48</f>
        <v>-5000</v>
      </c>
      <c r="V72" s="113" t="n">
        <f aca="false">IF(T72="","",T72-U72)</f>
        <v>5000</v>
      </c>
      <c r="W72" s="113" t="n">
        <f aca="false">IF(OR(8&gt;$B$27,ISBLANK(Actuals!J48)),"",Actuals!J48)</f>
        <v>-1372.32</v>
      </c>
      <c r="X72" s="113" t="n">
        <f aca="false">'Reforecast Q1 2026'!J48</f>
        <v>-5000</v>
      </c>
      <c r="Y72" s="113" t="n">
        <f aca="false">IF(W72="","",W72-X72)</f>
        <v>3627.68</v>
      </c>
      <c r="Z72" s="113" t="n">
        <f aca="false">IF(OR(9&gt;$B$27,ISBLANK(Actuals!K48)),"",Actuals!K48)</f>
        <v>0</v>
      </c>
      <c r="AA72" s="113" t="n">
        <f aca="false">'Reforecast Q1 2026'!K48</f>
        <v>-5000</v>
      </c>
      <c r="AB72" s="113" t="n">
        <f aca="false">IF(Z72="","",Z72-AA72)</f>
        <v>5000</v>
      </c>
      <c r="AC72" s="113" t="str">
        <f aca="false">IF(OR(10&gt;$B$27,ISBLANK(Actuals!L48)),"",Actuals!L48)</f>
        <v/>
      </c>
      <c r="AD72" s="113" t="n">
        <f aca="false">'Reforecast Q1 2026'!L48</f>
        <v>-5000</v>
      </c>
      <c r="AE72" s="113" t="str">
        <f aca="false">IF(AC72="","",AC72-AD72)</f>
        <v/>
      </c>
      <c r="AF72" s="113" t="str">
        <f aca="false">IF(OR(11&gt;$B$27,ISBLANK(Actuals!M48)),"",Actuals!M48)</f>
        <v/>
      </c>
      <c r="AG72" s="113" t="n">
        <f aca="false">'Reforecast Q1 2026'!M48</f>
        <v>-5000</v>
      </c>
      <c r="AH72" s="113" t="str">
        <f aca="false">IF(AF72="","",AF72-AG72)</f>
        <v/>
      </c>
      <c r="AI72" s="113" t="str">
        <f aca="false">IF(OR(12&gt;$B$27,ISBLANK(Actuals!N48)),"",Actuals!N48)</f>
        <v/>
      </c>
      <c r="AJ72" s="113" t="n">
        <f aca="false">'Reforecast Q1 2026'!N48</f>
        <v>-5000</v>
      </c>
      <c r="AK72" s="113" t="str">
        <f aca="false">IF(AI72="","",AI72-AJ72)</f>
        <v/>
      </c>
      <c r="AL72" s="116" t="n">
        <f aca="false">SUM(Actuals!$C48:INDEX(Actuals!$C48:$N48,$B$27))</f>
        <v>-102138.51</v>
      </c>
      <c r="AM72" s="116" t="n">
        <f aca="false">SUM('Reforecast Q1 2026'!$C48:INDEX('Reforecast Q1 2026'!$C48:$N48,$B$27))</f>
        <v>-56891.9</v>
      </c>
      <c r="AN72" s="116" t="n">
        <f aca="false">AL72-AM72</f>
        <v>-45246.61</v>
      </c>
    </row>
    <row r="73" customFormat="false" ht="15" hidden="true" customHeight="true" outlineLevel="1" collapsed="false">
      <c r="A73" s="109" t="s">
        <v>92</v>
      </c>
      <c r="B73" s="113" t="n">
        <f aca="false">IF(OR(1&gt;$B$27,ISBLANK(Actuals!C49)),"",Actuals!C49)</f>
        <v>-1913.91</v>
      </c>
      <c r="C73" s="113" t="n">
        <f aca="false">'Reforecast Q1 2026'!C49</f>
        <v>-304</v>
      </c>
      <c r="D73" s="113" t="n">
        <f aca="false">IF(B73="","",B73-C73)</f>
        <v>-1609.91</v>
      </c>
      <c r="E73" s="113" t="n">
        <f aca="false">IF(OR(2&gt;$B$27,ISBLANK(Actuals!D49)),"",Actuals!D49)</f>
        <v>-2254.72</v>
      </c>
      <c r="F73" s="113" t="n">
        <f aca="false">'Reforecast Q1 2026'!D49</f>
        <v>-644.81</v>
      </c>
      <c r="G73" s="113" t="n">
        <f aca="false">IF(E73="","",E73-F73)</f>
        <v>-1609.91</v>
      </c>
      <c r="H73" s="113" t="n">
        <f aca="false">IF(OR(3&gt;$B$27,ISBLANK(Actuals!E49)),"",Actuals!E49)</f>
        <v>-1913.91</v>
      </c>
      <c r="I73" s="113" t="n">
        <f aca="false">'Reforecast Q1 2026'!E49</f>
        <v>-304</v>
      </c>
      <c r="J73" s="113" t="n">
        <f aca="false">IF(H73="","",H73-I73)</f>
        <v>-1609.91</v>
      </c>
      <c r="K73" s="113" t="n">
        <f aca="false">IF(OR(4&gt;$B$27,ISBLANK(Actuals!F49)),"",Actuals!F49)</f>
        <v>-1609.91</v>
      </c>
      <c r="L73" s="113" t="n">
        <f aca="false">'Reforecast Q1 2026'!F49</f>
        <v>-417.6</v>
      </c>
      <c r="M73" s="113" t="n">
        <f aca="false">IF(K73="","",K73-L73)</f>
        <v>-1192.31</v>
      </c>
      <c r="N73" s="113" t="n">
        <f aca="false">IF(OR(5&gt;$B$27,ISBLANK(Actuals!G49)),"",Actuals!G49)</f>
        <v>-2760.86</v>
      </c>
      <c r="O73" s="113" t="n">
        <f aca="false">'Reforecast Q1 2026'!G49</f>
        <v>-417.6</v>
      </c>
      <c r="P73" s="113" t="n">
        <f aca="false">IF(N73="","",N73-O73)</f>
        <v>-2343.26</v>
      </c>
      <c r="Q73" s="113" t="n">
        <f aca="false">IF(OR(6&gt;$B$27,ISBLANK(Actuals!H49)),"",Actuals!H49)</f>
        <v>0</v>
      </c>
      <c r="R73" s="113" t="n">
        <f aca="false">'Reforecast Q1 2026'!H49</f>
        <v>-417.6</v>
      </c>
      <c r="S73" s="113" t="n">
        <f aca="false">IF(Q73="","",Q73-R73)</f>
        <v>417.6</v>
      </c>
      <c r="T73" s="113" t="n">
        <f aca="false">IF(OR(7&gt;$B$27,ISBLANK(Actuals!I49)),"",Actuals!I49)</f>
        <v>0</v>
      </c>
      <c r="U73" s="113" t="n">
        <f aca="false">'Reforecast Q1 2026'!I49</f>
        <v>-417.6</v>
      </c>
      <c r="V73" s="113" t="n">
        <f aca="false">IF(T73="","",T73-U73)</f>
        <v>417.6</v>
      </c>
      <c r="W73" s="113" t="n">
        <f aca="false">IF(OR(8&gt;$B$27,ISBLANK(Actuals!J49)),"",Actuals!J49)</f>
        <v>-11.02</v>
      </c>
      <c r="X73" s="113" t="n">
        <f aca="false">'Reforecast Q1 2026'!J49</f>
        <v>-417.6</v>
      </c>
      <c r="Y73" s="113" t="n">
        <f aca="false">IF(W73="","",W73-X73)</f>
        <v>406.58</v>
      </c>
      <c r="Z73" s="113" t="n">
        <f aca="false">IF(OR(9&gt;$B$27,ISBLANK(Actuals!K49)),"",Actuals!K49)</f>
        <v>-41.55</v>
      </c>
      <c r="AA73" s="113" t="n">
        <f aca="false">'Reforecast Q1 2026'!K49</f>
        <v>-417.6</v>
      </c>
      <c r="AB73" s="113" t="n">
        <f aca="false">IF(Z73="","",Z73-AA73)</f>
        <v>376.05</v>
      </c>
      <c r="AC73" s="113" t="str">
        <f aca="false">IF(OR(10&gt;$B$27,ISBLANK(Actuals!L49)),"",Actuals!L49)</f>
        <v/>
      </c>
      <c r="AD73" s="113" t="n">
        <f aca="false">'Reforecast Q1 2026'!L49</f>
        <v>-417.6</v>
      </c>
      <c r="AE73" s="113" t="str">
        <f aca="false">IF(AC73="","",AC73-AD73)</f>
        <v/>
      </c>
      <c r="AF73" s="113" t="str">
        <f aca="false">IF(OR(11&gt;$B$27,ISBLANK(Actuals!M49)),"",Actuals!M49)</f>
        <v/>
      </c>
      <c r="AG73" s="113" t="n">
        <f aca="false">'Reforecast Q1 2026'!M49</f>
        <v>-417.6</v>
      </c>
      <c r="AH73" s="113" t="str">
        <f aca="false">IF(AF73="","",AF73-AG73)</f>
        <v/>
      </c>
      <c r="AI73" s="113" t="str">
        <f aca="false">IF(OR(12&gt;$B$27,ISBLANK(Actuals!N49)),"",Actuals!N49)</f>
        <v/>
      </c>
      <c r="AJ73" s="113" t="n">
        <f aca="false">'Reforecast Q1 2026'!N49</f>
        <v>-417.6</v>
      </c>
      <c r="AK73" s="113" t="str">
        <f aca="false">IF(AI73="","",AI73-AJ73)</f>
        <v/>
      </c>
      <c r="AL73" s="116" t="n">
        <f aca="false">SUM(Actuals!$C49:INDEX(Actuals!$C49:$N49,$B$27))</f>
        <v>-10505.88</v>
      </c>
      <c r="AM73" s="116" t="n">
        <f aca="false">SUM('Reforecast Q1 2026'!$C49:INDEX('Reforecast Q1 2026'!$C49:$N49,$B$27))</f>
        <v>-3758.41</v>
      </c>
      <c r="AN73" s="116" t="n">
        <f aca="false">AL73-AM73</f>
        <v>-6747.47</v>
      </c>
    </row>
    <row r="74" customFormat="false" ht="15" hidden="true" customHeight="true" outlineLevel="1" collapsed="false">
      <c r="A74" s="109" t="s">
        <v>93</v>
      </c>
      <c r="B74" s="113" t="n">
        <f aca="false">IF(OR(1&gt;$B$27,ISBLANK(Actuals!C50)),"",Actuals!C50)</f>
        <v>0</v>
      </c>
      <c r="C74" s="113" t="n">
        <f aca="false">'Reforecast Q1 2026'!C50</f>
        <v>0</v>
      </c>
      <c r="D74" s="113" t="n">
        <f aca="false">IF(B74="","",B74-C74)</f>
        <v>0</v>
      </c>
      <c r="E74" s="113" t="n">
        <f aca="false">IF(OR(2&gt;$B$27,ISBLANK(Actuals!D50)),"",Actuals!D50)</f>
        <v>-75</v>
      </c>
      <c r="F74" s="113" t="n">
        <f aca="false">'Reforecast Q1 2026'!D50</f>
        <v>-75</v>
      </c>
      <c r="G74" s="113" t="n">
        <f aca="false">IF(E74="","",E74-F74)</f>
        <v>0</v>
      </c>
      <c r="H74" s="113" t="n">
        <f aca="false">IF(OR(3&gt;$B$27,ISBLANK(Actuals!E50)),"",Actuals!E50)</f>
        <v>-5</v>
      </c>
      <c r="I74" s="113" t="n">
        <f aca="false">'Reforecast Q1 2026'!E50</f>
        <v>-5</v>
      </c>
      <c r="J74" s="113" t="n">
        <f aca="false">IF(H74="","",H74-I74)</f>
        <v>0</v>
      </c>
      <c r="K74" s="113" t="n">
        <f aca="false">IF(OR(4&gt;$B$27,ISBLANK(Actuals!F50)),"",Actuals!F50)</f>
        <v>0</v>
      </c>
      <c r="L74" s="113" t="n">
        <f aca="false">'Reforecast Q1 2026'!F50</f>
        <v>-26.67</v>
      </c>
      <c r="M74" s="113" t="n">
        <f aca="false">IF(K74="","",K74-L74)</f>
        <v>26.67</v>
      </c>
      <c r="N74" s="113" t="n">
        <f aca="false">IF(OR(5&gt;$B$27,ISBLANK(Actuals!G50)),"",Actuals!G50)</f>
        <v>0</v>
      </c>
      <c r="O74" s="113" t="n">
        <f aca="false">'Reforecast Q1 2026'!G50</f>
        <v>-26.67</v>
      </c>
      <c r="P74" s="113" t="n">
        <f aca="false">IF(N74="","",N74-O74)</f>
        <v>26.67</v>
      </c>
      <c r="Q74" s="113" t="n">
        <f aca="false">IF(OR(6&gt;$B$27,ISBLANK(Actuals!H50)),"",Actuals!H50)</f>
        <v>0</v>
      </c>
      <c r="R74" s="113" t="n">
        <f aca="false">'Reforecast Q1 2026'!H50</f>
        <v>-26.67</v>
      </c>
      <c r="S74" s="113" t="n">
        <f aca="false">IF(Q74="","",Q74-R74)</f>
        <v>26.67</v>
      </c>
      <c r="T74" s="113" t="n">
        <f aca="false">IF(OR(7&gt;$B$27,ISBLANK(Actuals!I50)),"",Actuals!I50)</f>
        <v>-5</v>
      </c>
      <c r="U74" s="113" t="n">
        <f aca="false">'Reforecast Q1 2026'!I50</f>
        <v>-26.67</v>
      </c>
      <c r="V74" s="113" t="n">
        <f aca="false">IF(T74="","",T74-U74)</f>
        <v>21.67</v>
      </c>
      <c r="W74" s="113" t="n">
        <f aca="false">IF(OR(8&gt;$B$27,ISBLANK(Actuals!J50)),"",Actuals!J50)</f>
        <v>-50</v>
      </c>
      <c r="X74" s="113" t="n">
        <f aca="false">'Reforecast Q1 2026'!J50</f>
        <v>-26.67</v>
      </c>
      <c r="Y74" s="113" t="n">
        <f aca="false">IF(W74="","",W74-X74)</f>
        <v>-23.33</v>
      </c>
      <c r="Z74" s="113" t="n">
        <f aca="false">IF(OR(9&gt;$B$27,ISBLANK(Actuals!K50)),"",Actuals!K50)</f>
        <v>-75</v>
      </c>
      <c r="AA74" s="113" t="n">
        <f aca="false">'Reforecast Q1 2026'!K50</f>
        <v>-26.67</v>
      </c>
      <c r="AB74" s="113" t="n">
        <f aca="false">IF(Z74="","",Z74-AA74)</f>
        <v>-48.33</v>
      </c>
      <c r="AC74" s="113" t="str">
        <f aca="false">IF(OR(10&gt;$B$27,ISBLANK(Actuals!L50)),"",Actuals!L50)</f>
        <v/>
      </c>
      <c r="AD74" s="113" t="n">
        <f aca="false">'Reforecast Q1 2026'!L50</f>
        <v>-26.67</v>
      </c>
      <c r="AE74" s="113" t="str">
        <f aca="false">IF(AC74="","",AC74-AD74)</f>
        <v/>
      </c>
      <c r="AF74" s="113" t="str">
        <f aca="false">IF(OR(11&gt;$B$27,ISBLANK(Actuals!M50)),"",Actuals!M50)</f>
        <v/>
      </c>
      <c r="AG74" s="113" t="n">
        <f aca="false">'Reforecast Q1 2026'!M50</f>
        <v>-26.67</v>
      </c>
      <c r="AH74" s="113" t="str">
        <f aca="false">IF(AF74="","",AF74-AG74)</f>
        <v/>
      </c>
      <c r="AI74" s="113" t="str">
        <f aca="false">IF(OR(12&gt;$B$27,ISBLANK(Actuals!N50)),"",Actuals!N50)</f>
        <v/>
      </c>
      <c r="AJ74" s="113" t="n">
        <f aca="false">'Reforecast Q1 2026'!N50</f>
        <v>-26.67</v>
      </c>
      <c r="AK74" s="113" t="str">
        <f aca="false">IF(AI74="","",AI74-AJ74)</f>
        <v/>
      </c>
      <c r="AL74" s="116" t="n">
        <f aca="false">SUM(Actuals!$C50:INDEX(Actuals!$C50:$N50,$B$27))</f>
        <v>-210</v>
      </c>
      <c r="AM74" s="116" t="n">
        <f aca="false">SUM('Reforecast Q1 2026'!$C50:INDEX('Reforecast Q1 2026'!$C50:$N50,$B$27))</f>
        <v>-240.02</v>
      </c>
      <c r="AN74" s="116" t="n">
        <f aca="false">AL74-AM74</f>
        <v>30.02</v>
      </c>
    </row>
    <row r="75" customFormat="false" ht="15" hidden="true" customHeight="true" outlineLevel="1" collapsed="false">
      <c r="A75" s="109" t="s">
        <v>94</v>
      </c>
      <c r="B75" s="113" t="n">
        <f aca="false">IF(OR(1&gt;$B$27,ISBLANK(Actuals!C51)),"",Actuals!C51)</f>
        <v>0</v>
      </c>
      <c r="C75" s="113" t="n">
        <f aca="false">'Reforecast Q1 2026'!C51</f>
        <v>0</v>
      </c>
      <c r="D75" s="113" t="n">
        <f aca="false">IF(B75="","",B75-C75)</f>
        <v>0</v>
      </c>
      <c r="E75" s="113" t="n">
        <f aca="false">IF(OR(2&gt;$B$27,ISBLANK(Actuals!D51)),"",Actuals!D51)</f>
        <v>-63</v>
      </c>
      <c r="F75" s="113" t="n">
        <f aca="false">'Reforecast Q1 2026'!D51</f>
        <v>-63</v>
      </c>
      <c r="G75" s="113" t="n">
        <f aca="false">IF(E75="","",E75-F75)</f>
        <v>0</v>
      </c>
      <c r="H75" s="113" t="n">
        <f aca="false">IF(OR(3&gt;$B$27,ISBLANK(Actuals!E51)),"",Actuals!E51)</f>
        <v>0</v>
      </c>
      <c r="I75" s="113" t="n">
        <f aca="false">'Reforecast Q1 2026'!E51</f>
        <v>0</v>
      </c>
      <c r="J75" s="113" t="n">
        <f aca="false">IF(H75="","",H75-I75)</f>
        <v>0</v>
      </c>
      <c r="K75" s="113" t="n">
        <f aca="false">IF(OR(4&gt;$B$27,ISBLANK(Actuals!F51)),"",Actuals!F51)</f>
        <v>0</v>
      </c>
      <c r="L75" s="113" t="n">
        <f aca="false">'Reforecast Q1 2026'!F51</f>
        <v>-21</v>
      </c>
      <c r="M75" s="113" t="n">
        <f aca="false">IF(K75="","",K75-L75)</f>
        <v>21</v>
      </c>
      <c r="N75" s="113" t="n">
        <f aca="false">IF(OR(5&gt;$B$27,ISBLANK(Actuals!G51)),"",Actuals!G51)</f>
        <v>0</v>
      </c>
      <c r="O75" s="113" t="n">
        <f aca="false">'Reforecast Q1 2026'!G51</f>
        <v>-21</v>
      </c>
      <c r="P75" s="113" t="n">
        <f aca="false">IF(N75="","",N75-O75)</f>
        <v>21</v>
      </c>
      <c r="Q75" s="113" t="n">
        <f aca="false">IF(OR(6&gt;$B$27,ISBLANK(Actuals!H51)),"",Actuals!H51)</f>
        <v>0</v>
      </c>
      <c r="R75" s="113" t="n">
        <f aca="false">'Reforecast Q1 2026'!H51</f>
        <v>-21</v>
      </c>
      <c r="S75" s="113" t="n">
        <f aca="false">IF(Q75="","",Q75-R75)</f>
        <v>21</v>
      </c>
      <c r="T75" s="113" t="n">
        <f aca="false">IF(OR(7&gt;$B$27,ISBLANK(Actuals!I51)),"",Actuals!I51)</f>
        <v>0</v>
      </c>
      <c r="U75" s="113" t="n">
        <f aca="false">'Reforecast Q1 2026'!I51</f>
        <v>-21</v>
      </c>
      <c r="V75" s="113" t="n">
        <f aca="false">IF(T75="","",T75-U75)</f>
        <v>21</v>
      </c>
      <c r="W75" s="113" t="n">
        <f aca="false">IF(OR(8&gt;$B$27,ISBLANK(Actuals!J51)),"",Actuals!J51)</f>
        <v>0</v>
      </c>
      <c r="X75" s="113" t="n">
        <f aca="false">'Reforecast Q1 2026'!J51</f>
        <v>-21</v>
      </c>
      <c r="Y75" s="113" t="n">
        <f aca="false">IF(W75="","",W75-X75)</f>
        <v>21</v>
      </c>
      <c r="Z75" s="113" t="n">
        <f aca="false">IF(OR(9&gt;$B$27,ISBLANK(Actuals!K51)),"",Actuals!K51)</f>
        <v>0</v>
      </c>
      <c r="AA75" s="113" t="n">
        <f aca="false">'Reforecast Q1 2026'!K51</f>
        <v>-21</v>
      </c>
      <c r="AB75" s="113" t="n">
        <f aca="false">IF(Z75="","",Z75-AA75)</f>
        <v>21</v>
      </c>
      <c r="AC75" s="113" t="str">
        <f aca="false">IF(OR(10&gt;$B$27,ISBLANK(Actuals!L51)),"",Actuals!L51)</f>
        <v/>
      </c>
      <c r="AD75" s="113" t="n">
        <f aca="false">'Reforecast Q1 2026'!L51</f>
        <v>-21</v>
      </c>
      <c r="AE75" s="113" t="str">
        <f aca="false">IF(AC75="","",AC75-AD75)</f>
        <v/>
      </c>
      <c r="AF75" s="113" t="str">
        <f aca="false">IF(OR(11&gt;$B$27,ISBLANK(Actuals!M51)),"",Actuals!M51)</f>
        <v/>
      </c>
      <c r="AG75" s="113" t="n">
        <f aca="false">'Reforecast Q1 2026'!M51</f>
        <v>-21</v>
      </c>
      <c r="AH75" s="113" t="str">
        <f aca="false">IF(AF75="","",AF75-AG75)</f>
        <v/>
      </c>
      <c r="AI75" s="113" t="str">
        <f aca="false">IF(OR(12&gt;$B$27,ISBLANK(Actuals!N51)),"",Actuals!N51)</f>
        <v/>
      </c>
      <c r="AJ75" s="113" t="n">
        <f aca="false">'Reforecast Q1 2026'!N51</f>
        <v>-21</v>
      </c>
      <c r="AK75" s="113" t="str">
        <f aca="false">IF(AI75="","",AI75-AJ75)</f>
        <v/>
      </c>
      <c r="AL75" s="116" t="n">
        <f aca="false">SUM(Actuals!$C51:INDEX(Actuals!$C51:$N51,$B$27))</f>
        <v>-63</v>
      </c>
      <c r="AM75" s="116" t="n">
        <f aca="false">SUM('Reforecast Q1 2026'!$C51:INDEX('Reforecast Q1 2026'!$C51:$N51,$B$27))</f>
        <v>-189</v>
      </c>
      <c r="AN75" s="116" t="n">
        <f aca="false">AL75-AM75</f>
        <v>126</v>
      </c>
    </row>
    <row r="76" customFormat="false" ht="15" hidden="true" customHeight="true" outlineLevel="1" collapsed="false">
      <c r="A76" s="109" t="s">
        <v>95</v>
      </c>
      <c r="B76" s="113" t="str">
        <f aca="false">IF(OR(1&gt;$B$27,ISBLANK(Actuals!C52)),"",Actuals!C52)</f>
        <v/>
      </c>
      <c r="C76" s="113" t="n">
        <f aca="false">'Reforecast Q1 2026'!C52</f>
        <v>0</v>
      </c>
      <c r="D76" s="113" t="str">
        <f aca="false">IF(B76="","",B76-C76)</f>
        <v/>
      </c>
      <c r="E76" s="113" t="str">
        <f aca="false">IF(OR(2&gt;$B$27,ISBLANK(Actuals!D52)),"",Actuals!D52)</f>
        <v/>
      </c>
      <c r="F76" s="113" t="n">
        <f aca="false">'Reforecast Q1 2026'!D52</f>
        <v>0</v>
      </c>
      <c r="G76" s="113" t="str">
        <f aca="false">IF(E76="","",E76-F76)</f>
        <v/>
      </c>
      <c r="H76" s="113" t="str">
        <f aca="false">IF(OR(3&gt;$B$27,ISBLANK(Actuals!E52)),"",Actuals!E52)</f>
        <v/>
      </c>
      <c r="I76" s="113" t="n">
        <f aca="false">'Reforecast Q1 2026'!E52</f>
        <v>0</v>
      </c>
      <c r="J76" s="113" t="str">
        <f aca="false">IF(H76="","",H76-I76)</f>
        <v/>
      </c>
      <c r="K76" s="113" t="str">
        <f aca="false">IF(OR(4&gt;$B$27,ISBLANK(Actuals!F52)),"",Actuals!F52)</f>
        <v/>
      </c>
      <c r="L76" s="113" t="n">
        <f aca="false">'Reforecast Q1 2026'!F52</f>
        <v>0</v>
      </c>
      <c r="M76" s="113" t="str">
        <f aca="false">IF(K76="","",K76-L76)</f>
        <v/>
      </c>
      <c r="N76" s="113" t="str">
        <f aca="false">IF(OR(5&gt;$B$27,ISBLANK(Actuals!G52)),"",Actuals!G52)</f>
        <v/>
      </c>
      <c r="O76" s="113" t="n">
        <f aca="false">'Reforecast Q1 2026'!G52</f>
        <v>0</v>
      </c>
      <c r="P76" s="113" t="str">
        <f aca="false">IF(N76="","",N76-O76)</f>
        <v/>
      </c>
      <c r="Q76" s="113" t="str">
        <f aca="false">IF(OR(6&gt;$B$27,ISBLANK(Actuals!H52)),"",Actuals!H52)</f>
        <v/>
      </c>
      <c r="R76" s="113" t="n">
        <f aca="false">'Reforecast Q1 2026'!H52</f>
        <v>0</v>
      </c>
      <c r="S76" s="113" t="str">
        <f aca="false">IF(Q76="","",Q76-R76)</f>
        <v/>
      </c>
      <c r="T76" s="113" t="str">
        <f aca="false">IF(OR(7&gt;$B$27,ISBLANK(Actuals!I52)),"",Actuals!I52)</f>
        <v/>
      </c>
      <c r="U76" s="113" t="n">
        <f aca="false">'Reforecast Q1 2026'!I52</f>
        <v>0</v>
      </c>
      <c r="V76" s="113" t="str">
        <f aca="false">IF(T76="","",T76-U76)</f>
        <v/>
      </c>
      <c r="W76" s="113" t="str">
        <f aca="false">IF(OR(8&gt;$B$27,ISBLANK(Actuals!J52)),"",Actuals!J52)</f>
        <v/>
      </c>
      <c r="X76" s="113" t="n">
        <f aca="false">'Reforecast Q1 2026'!J52</f>
        <v>0</v>
      </c>
      <c r="Y76" s="113" t="str">
        <f aca="false">IF(W76="","",W76-X76)</f>
        <v/>
      </c>
      <c r="Z76" s="113" t="str">
        <f aca="false">IF(OR(9&gt;$B$27,ISBLANK(Actuals!K52)),"",Actuals!K52)</f>
        <v/>
      </c>
      <c r="AA76" s="113" t="n">
        <f aca="false">'Reforecast Q1 2026'!K52</f>
        <v>0</v>
      </c>
      <c r="AB76" s="113" t="str">
        <f aca="false">IF(Z76="","",Z76-AA76)</f>
        <v/>
      </c>
      <c r="AC76" s="113" t="str">
        <f aca="false">IF(OR(10&gt;$B$27,ISBLANK(Actuals!L52)),"",Actuals!L52)</f>
        <v/>
      </c>
      <c r="AD76" s="113" t="n">
        <f aca="false">'Reforecast Q1 2026'!L52</f>
        <v>0</v>
      </c>
      <c r="AE76" s="113" t="str">
        <f aca="false">IF(AC76="","",AC76-AD76)</f>
        <v/>
      </c>
      <c r="AF76" s="113" t="str">
        <f aca="false">IF(OR(11&gt;$B$27,ISBLANK(Actuals!M52)),"",Actuals!M52)</f>
        <v/>
      </c>
      <c r="AG76" s="113" t="n">
        <f aca="false">'Reforecast Q1 2026'!M52</f>
        <v>0</v>
      </c>
      <c r="AH76" s="113" t="str">
        <f aca="false">IF(AF76="","",AF76-AG76)</f>
        <v/>
      </c>
      <c r="AI76" s="113" t="str">
        <f aca="false">IF(OR(12&gt;$B$27,ISBLANK(Actuals!N52)),"",Actuals!N52)</f>
        <v/>
      </c>
      <c r="AJ76" s="113" t="n">
        <f aca="false">'Reforecast Q1 2026'!N52</f>
        <v>0</v>
      </c>
      <c r="AK76" s="113" t="str">
        <f aca="false">IF(AI76="","",AI76-AJ76)</f>
        <v/>
      </c>
      <c r="AL76" s="116" t="n">
        <f aca="false">SUM(Actuals!$C52:INDEX(Actuals!$C52:$N52,$B$27))</f>
        <v>0</v>
      </c>
      <c r="AM76" s="116" t="n">
        <f aca="false">SUM('Reforecast Q1 2026'!$C52:INDEX('Reforecast Q1 2026'!$C52:$N52,$B$27))</f>
        <v>0</v>
      </c>
      <c r="AN76" s="116" t="n">
        <f aca="false">AL76-AM76</f>
        <v>0</v>
      </c>
    </row>
    <row r="77" customFormat="false" ht="15" hidden="true" customHeight="true" outlineLevel="1" collapsed="false">
      <c r="A77" s="109" t="s">
        <v>96</v>
      </c>
      <c r="B77" s="113" t="n">
        <f aca="false">IF(OR(1&gt;$B$27,ISBLANK(Actuals!C53)),"",Actuals!C53)</f>
        <v>0</v>
      </c>
      <c r="C77" s="113" t="n">
        <f aca="false">'Reforecast Q1 2026'!C53</f>
        <v>0</v>
      </c>
      <c r="D77" s="113" t="n">
        <f aca="false">IF(B77="","",B77-C77)</f>
        <v>0</v>
      </c>
      <c r="E77" s="113" t="n">
        <f aca="false">IF(OR(2&gt;$B$27,ISBLANK(Actuals!D53)),"",Actuals!D53)</f>
        <v>0</v>
      </c>
      <c r="F77" s="113" t="n">
        <f aca="false">'Reforecast Q1 2026'!D53</f>
        <v>0</v>
      </c>
      <c r="G77" s="113" t="n">
        <f aca="false">IF(E77="","",E77-F77)</f>
        <v>0</v>
      </c>
      <c r="H77" s="113" t="n">
        <f aca="false">IF(OR(3&gt;$B$27,ISBLANK(Actuals!E53)),"",Actuals!E53)</f>
        <v>-11105.35</v>
      </c>
      <c r="I77" s="113" t="n">
        <f aca="false">'Reforecast Q1 2026'!E53</f>
        <v>-11105.35</v>
      </c>
      <c r="J77" s="113" t="n">
        <f aca="false">IF(H77="","",H77-I77)</f>
        <v>0</v>
      </c>
      <c r="K77" s="113" t="n">
        <f aca="false">IF(OR(4&gt;$B$27,ISBLANK(Actuals!F53)),"",Actuals!F53)</f>
        <v>0</v>
      </c>
      <c r="L77" s="113" t="n">
        <f aca="false">'Reforecast Q1 2026'!F53</f>
        <v>-3701.78</v>
      </c>
      <c r="M77" s="113" t="n">
        <f aca="false">IF(K77="","",K77-L77)</f>
        <v>3701.78</v>
      </c>
      <c r="N77" s="113" t="n">
        <f aca="false">IF(OR(5&gt;$B$27,ISBLANK(Actuals!G53)),"",Actuals!G53)</f>
        <v>0</v>
      </c>
      <c r="O77" s="113" t="n">
        <f aca="false">'Reforecast Q1 2026'!G53</f>
        <v>-3701.78</v>
      </c>
      <c r="P77" s="113" t="n">
        <f aca="false">IF(N77="","",N77-O77)</f>
        <v>3701.78</v>
      </c>
      <c r="Q77" s="113" t="n">
        <f aca="false">IF(OR(6&gt;$B$27,ISBLANK(Actuals!H53)),"",Actuals!H53)</f>
        <v>0</v>
      </c>
      <c r="R77" s="113" t="n">
        <f aca="false">'Reforecast Q1 2026'!H53</f>
        <v>-3701.78</v>
      </c>
      <c r="S77" s="113" t="n">
        <f aca="false">IF(Q77="","",Q77-R77)</f>
        <v>3701.78</v>
      </c>
      <c r="T77" s="113" t="n">
        <f aca="false">IF(OR(7&gt;$B$27,ISBLANK(Actuals!I53)),"",Actuals!I53)</f>
        <v>0</v>
      </c>
      <c r="U77" s="113" t="n">
        <f aca="false">'Reforecast Q1 2026'!I53</f>
        <v>-3701.78</v>
      </c>
      <c r="V77" s="113" t="n">
        <f aca="false">IF(T77="","",T77-U77)</f>
        <v>3701.78</v>
      </c>
      <c r="W77" s="113" t="n">
        <f aca="false">IF(OR(8&gt;$B$27,ISBLANK(Actuals!J53)),"",Actuals!J53)</f>
        <v>0</v>
      </c>
      <c r="X77" s="113" t="n">
        <f aca="false">'Reforecast Q1 2026'!J53</f>
        <v>-3701.78</v>
      </c>
      <c r="Y77" s="113" t="n">
        <f aca="false">IF(W77="","",W77-X77)</f>
        <v>3701.78</v>
      </c>
      <c r="Z77" s="113" t="n">
        <f aca="false">IF(OR(9&gt;$B$27,ISBLANK(Actuals!K53)),"",Actuals!K53)</f>
        <v>0</v>
      </c>
      <c r="AA77" s="113" t="n">
        <f aca="false">'Reforecast Q1 2026'!K53</f>
        <v>-3701.78</v>
      </c>
      <c r="AB77" s="113" t="n">
        <f aca="false">IF(Z77="","",Z77-AA77)</f>
        <v>3701.78</v>
      </c>
      <c r="AC77" s="113" t="str">
        <f aca="false">IF(OR(10&gt;$B$27,ISBLANK(Actuals!L53)),"",Actuals!L53)</f>
        <v/>
      </c>
      <c r="AD77" s="113" t="n">
        <f aca="false">'Reforecast Q1 2026'!L53</f>
        <v>-3701.78</v>
      </c>
      <c r="AE77" s="113" t="str">
        <f aca="false">IF(AC77="","",AC77-AD77)</f>
        <v/>
      </c>
      <c r="AF77" s="113" t="str">
        <f aca="false">IF(OR(11&gt;$B$27,ISBLANK(Actuals!M53)),"",Actuals!M53)</f>
        <v/>
      </c>
      <c r="AG77" s="113" t="n">
        <f aca="false">'Reforecast Q1 2026'!M53</f>
        <v>-3701.78</v>
      </c>
      <c r="AH77" s="113" t="str">
        <f aca="false">IF(AF77="","",AF77-AG77)</f>
        <v/>
      </c>
      <c r="AI77" s="113" t="str">
        <f aca="false">IF(OR(12&gt;$B$27,ISBLANK(Actuals!N53)),"",Actuals!N53)</f>
        <v/>
      </c>
      <c r="AJ77" s="113" t="n">
        <f aca="false">'Reforecast Q1 2026'!N53</f>
        <v>-3701.78</v>
      </c>
      <c r="AK77" s="113" t="str">
        <f aca="false">IF(AI77="","",AI77-AJ77)</f>
        <v/>
      </c>
      <c r="AL77" s="116" t="n">
        <f aca="false">SUM(Actuals!$C53:INDEX(Actuals!$C53:$N53,$B$27))</f>
        <v>-11105.35</v>
      </c>
      <c r="AM77" s="116" t="n">
        <f aca="false">SUM('Reforecast Q1 2026'!$C53:INDEX('Reforecast Q1 2026'!$C53:$N53,$B$27))</f>
        <v>-33316.03</v>
      </c>
      <c r="AN77" s="116" t="n">
        <f aca="false">AL77-AM77</f>
        <v>22210.68</v>
      </c>
    </row>
    <row r="78" customFormat="false" ht="15" hidden="true" customHeight="true" outlineLevel="1" collapsed="false">
      <c r="A78" s="109" t="s">
        <v>359</v>
      </c>
      <c r="B78" s="113" t="str">
        <f aca="false">IF(OR(1&gt;$B$27,ISBLANK(Actuals!C54)),"",Actuals!C54)</f>
        <v/>
      </c>
      <c r="C78" s="113" t="n">
        <f aca="false">'Reforecast Q1 2026'!C54</f>
        <v>0</v>
      </c>
      <c r="D78" s="113" t="str">
        <f aca="false">IF(B78="","",B78-C78)</f>
        <v/>
      </c>
      <c r="E78" s="113" t="str">
        <f aca="false">IF(OR(2&gt;$B$27,ISBLANK(Actuals!D54)),"",Actuals!D54)</f>
        <v/>
      </c>
      <c r="F78" s="113" t="n">
        <f aca="false">'Reforecast Q1 2026'!D54</f>
        <v>0</v>
      </c>
      <c r="G78" s="113" t="str">
        <f aca="false">IF(E78="","",E78-F78)</f>
        <v/>
      </c>
      <c r="H78" s="113" t="str">
        <f aca="false">IF(OR(3&gt;$B$27,ISBLANK(Actuals!E54)),"",Actuals!E54)</f>
        <v/>
      </c>
      <c r="I78" s="113" t="n">
        <f aca="false">'Reforecast Q1 2026'!E54</f>
        <v>0</v>
      </c>
      <c r="J78" s="113" t="str">
        <f aca="false">IF(H78="","",H78-I78)</f>
        <v/>
      </c>
      <c r="K78" s="113" t="str">
        <f aca="false">IF(OR(4&gt;$B$27,ISBLANK(Actuals!F54)),"",Actuals!F54)</f>
        <v/>
      </c>
      <c r="L78" s="113" t="n">
        <f aca="false">'Reforecast Q1 2026'!F54</f>
        <v>0</v>
      </c>
      <c r="M78" s="113" t="str">
        <f aca="false">IF(K78="","",K78-L78)</f>
        <v/>
      </c>
      <c r="N78" s="113" t="str">
        <f aca="false">IF(OR(5&gt;$B$27,ISBLANK(Actuals!G54)),"",Actuals!G54)</f>
        <v/>
      </c>
      <c r="O78" s="113" t="n">
        <f aca="false">'Reforecast Q1 2026'!G54</f>
        <v>0</v>
      </c>
      <c r="P78" s="113" t="str">
        <f aca="false">IF(N78="","",N78-O78)</f>
        <v/>
      </c>
      <c r="Q78" s="113" t="n">
        <f aca="false">IF(OR(6&gt;$B$27,ISBLANK(Actuals!H54)),"",Actuals!H54)</f>
        <v>-612.68</v>
      </c>
      <c r="R78" s="113" t="n">
        <f aca="false">'Reforecast Q1 2026'!H54</f>
        <v>0</v>
      </c>
      <c r="S78" s="113" t="n">
        <f aca="false">IF(Q78="","",Q78-R78)</f>
        <v>-612.68</v>
      </c>
      <c r="T78" s="113" t="n">
        <f aca="false">IF(OR(7&gt;$B$27,ISBLANK(Actuals!I54)),"",Actuals!I54)</f>
        <v>-1609.91</v>
      </c>
      <c r="U78" s="113" t="n">
        <f aca="false">'Reforecast Q1 2026'!I54</f>
        <v>0</v>
      </c>
      <c r="V78" s="113" t="n">
        <f aca="false">IF(T78="","",T78-U78)</f>
        <v>-1609.91</v>
      </c>
      <c r="W78" s="113" t="n">
        <f aca="false">IF(OR(8&gt;$B$27,ISBLANK(Actuals!J54)),"",Actuals!J54)</f>
        <v>-1609.91</v>
      </c>
      <c r="X78" s="113" t="n">
        <f aca="false">'Reforecast Q1 2026'!J54</f>
        <v>0</v>
      </c>
      <c r="Y78" s="113" t="n">
        <f aca="false">IF(W78="","",W78-X78)</f>
        <v>-1609.91</v>
      </c>
      <c r="Z78" s="113" t="n">
        <f aca="false">IF(OR(9&gt;$B$27,ISBLANK(Actuals!K54)),"",Actuals!K54)</f>
        <v>-1609.91</v>
      </c>
      <c r="AA78" s="113" t="n">
        <f aca="false">'Reforecast Q1 2026'!K54</f>
        <v>0</v>
      </c>
      <c r="AB78" s="113" t="n">
        <f aca="false">IF(Z78="","",Z78-AA78)</f>
        <v>-1609.91</v>
      </c>
      <c r="AC78" s="113" t="str">
        <f aca="false">IF(OR(10&gt;$B$27,ISBLANK(Actuals!L54)),"",Actuals!L54)</f>
        <v/>
      </c>
      <c r="AD78" s="113" t="n">
        <f aca="false">'Reforecast Q1 2026'!L54</f>
        <v>0</v>
      </c>
      <c r="AE78" s="113" t="str">
        <f aca="false">IF(AC78="","",AC78-AD78)</f>
        <v/>
      </c>
      <c r="AF78" s="113" t="str">
        <f aca="false">IF(OR(11&gt;$B$27,ISBLANK(Actuals!M54)),"",Actuals!M54)</f>
        <v/>
      </c>
      <c r="AG78" s="113" t="n">
        <f aca="false">'Reforecast Q1 2026'!M54</f>
        <v>0</v>
      </c>
      <c r="AH78" s="113" t="str">
        <f aca="false">IF(AF78="","",AF78-AG78)</f>
        <v/>
      </c>
      <c r="AI78" s="113" t="str">
        <f aca="false">IF(OR(12&gt;$B$27,ISBLANK(Actuals!N54)),"",Actuals!N54)</f>
        <v/>
      </c>
      <c r="AJ78" s="113" t="n">
        <f aca="false">'Reforecast Q1 2026'!N54</f>
        <v>0</v>
      </c>
      <c r="AK78" s="113" t="str">
        <f aca="false">IF(AI78="","",AI78-AJ78)</f>
        <v/>
      </c>
      <c r="AL78" s="116" t="n">
        <f aca="false">SUM(Actuals!$C54:INDEX(Actuals!$C54:$N54,$B$27))</f>
        <v>-5442.41</v>
      </c>
      <c r="AM78" s="116" t="n">
        <f aca="false">SUM('Reforecast Q1 2026'!$C54:INDEX('Reforecast Q1 2026'!$C54:$N54,$B$27))</f>
        <v>0</v>
      </c>
      <c r="AN78" s="116" t="n">
        <f aca="false">AL78-AM78</f>
        <v>-5442.41</v>
      </c>
    </row>
    <row r="79" customFormat="false" ht="15" hidden="false" customHeight="true" outlineLevel="0" collapsed="true">
      <c r="A79" s="115" t="s">
        <v>97</v>
      </c>
      <c r="B79" s="116" t="n">
        <f aca="false">IF(OR(1&gt;$B$27,ISBLANK(Actuals!C55)),"",Actuals!C55)</f>
        <v>-260601.5</v>
      </c>
      <c r="C79" s="116" t="n">
        <f aca="false">'Reforecast Q1 2026'!C55</f>
        <v>-258991.59</v>
      </c>
      <c r="D79" s="116" t="n">
        <f aca="false">IF(B79="","",B79-C79)</f>
        <v>-1609.91</v>
      </c>
      <c r="E79" s="116" t="n">
        <f aca="false">IF(OR(2&gt;$B$27,ISBLANK(Actuals!D55)),"",Actuals!D55)</f>
        <v>-260308.54</v>
      </c>
      <c r="F79" s="116" t="n">
        <f aca="false">'Reforecast Q1 2026'!D55</f>
        <v>-258698.63</v>
      </c>
      <c r="G79" s="116" t="n">
        <f aca="false">IF(E79="","",E79-F79)</f>
        <v>-1609.91</v>
      </c>
      <c r="H79" s="116" t="n">
        <f aca="false">IF(OR(3&gt;$B$27,ISBLANK(Actuals!E55)),"",Actuals!E55)</f>
        <v>-351937.74</v>
      </c>
      <c r="I79" s="116" t="n">
        <f aca="false">'Reforecast Q1 2026'!E55</f>
        <v>-350327.83</v>
      </c>
      <c r="J79" s="116" t="n">
        <f aca="false">IF(H79="","",H79-I79)</f>
        <v>-1609.90999999997</v>
      </c>
      <c r="K79" s="116" t="n">
        <f aca="false">IF(OR(4&gt;$B$27,ISBLANK(Actuals!F55)),"",Actuals!F55)</f>
        <v>-73431.56</v>
      </c>
      <c r="L79" s="116" t="n">
        <f aca="false">'Reforecast Q1 2026'!F55</f>
        <v>-391691.558333333</v>
      </c>
      <c r="M79" s="116" t="n">
        <f aca="false">IF(K79="","",K79-L79)</f>
        <v>318259.998333333</v>
      </c>
      <c r="N79" s="116" t="n">
        <f aca="false">IF(OR(5&gt;$B$27,ISBLANK(Actuals!G55)),"",Actuals!G55)</f>
        <v>-437914.85</v>
      </c>
      <c r="O79" s="116" t="n">
        <f aca="false">'Reforecast Q1 2026'!G55</f>
        <v>-464089.475</v>
      </c>
      <c r="P79" s="116" t="n">
        <f aca="false">IF(N79="","",N79-O79)</f>
        <v>26174.625</v>
      </c>
      <c r="Q79" s="116" t="n">
        <f aca="false">IF(OR(6&gt;$B$27,ISBLANK(Actuals!H55)),"",Actuals!H55)</f>
        <v>-323453.89</v>
      </c>
      <c r="R79" s="116" t="n">
        <f aca="false">'Reforecast Q1 2026'!H55</f>
        <v>-493464.475</v>
      </c>
      <c r="S79" s="116" t="n">
        <f aca="false">IF(Q79="","",Q79-R79)</f>
        <v>170010.585</v>
      </c>
      <c r="T79" s="116" t="n">
        <f aca="false">IF(OR(7&gt;$B$27,ISBLANK(Actuals!I55)),"",Actuals!I55)</f>
        <v>-321511.57</v>
      </c>
      <c r="U79" s="116" t="n">
        <f aca="false">'Reforecast Q1 2026'!I55</f>
        <v>-480368.641666666</v>
      </c>
      <c r="V79" s="116" t="n">
        <f aca="false">IF(T79="","",T79-U79)</f>
        <v>158857.071666666</v>
      </c>
      <c r="W79" s="116" t="n">
        <f aca="false">IF(OR(8&gt;$B$27,ISBLANK(Actuals!J55)),"",Actuals!J55)</f>
        <v>-385163.17</v>
      </c>
      <c r="X79" s="116" t="n">
        <f aca="false">'Reforecast Q1 2026'!J55</f>
        <v>-460868.641666666</v>
      </c>
      <c r="Y79" s="116" t="n">
        <f aca="false">IF(W79="","",W79-X79)</f>
        <v>75705.471666666</v>
      </c>
      <c r="Z79" s="116" t="n">
        <f aca="false">IF(OR(9&gt;$B$27,ISBLANK(Actuals!K55)),"",Actuals!K55)</f>
        <v>-380731.51</v>
      </c>
      <c r="AA79" s="116" t="n">
        <f aca="false">'Reforecast Q1 2026'!K55</f>
        <v>-460868.641666666</v>
      </c>
      <c r="AB79" s="116" t="n">
        <f aca="false">IF(Z79="","",Z79-AA79)</f>
        <v>80137.131666666</v>
      </c>
      <c r="AC79" s="116" t="str">
        <f aca="false">IF(OR(10&gt;$B$27,ISBLANK(Actuals!L55)),"",Actuals!L55)</f>
        <v/>
      </c>
      <c r="AD79" s="116" t="n">
        <f aca="false">'Reforecast Q1 2026'!L55</f>
        <v>-522222.808333333</v>
      </c>
      <c r="AE79" s="116" t="str">
        <f aca="false">IF(AC79="","",AC79-AD79)</f>
        <v/>
      </c>
      <c r="AF79" s="116" t="str">
        <f aca="false">IF(OR(11&gt;$B$27,ISBLANK(Actuals!M55)),"",Actuals!M55)</f>
        <v/>
      </c>
      <c r="AG79" s="116" t="n">
        <f aca="false">'Reforecast Q1 2026'!M55</f>
        <v>-573072.808333333</v>
      </c>
      <c r="AH79" s="116" t="str">
        <f aca="false">IF(AF79="","",AF79-AG79)</f>
        <v/>
      </c>
      <c r="AI79" s="116" t="str">
        <f aca="false">IF(OR(12&gt;$B$27,ISBLANK(Actuals!N55)),"",Actuals!N55)</f>
        <v/>
      </c>
      <c r="AJ79" s="116" t="n">
        <f aca="false">'Reforecast Q1 2026'!N55</f>
        <v>-519072.808333333</v>
      </c>
      <c r="AK79" s="116" t="str">
        <f aca="false">IF(AI79="","",AI79-AJ79)</f>
        <v/>
      </c>
      <c r="AL79" s="116" t="n">
        <f aca="false">SUM(Actuals!$C55:INDEX(Actuals!$C55:$N55,$B$27))</f>
        <v>-2795054.33</v>
      </c>
      <c r="AM79" s="116" t="n">
        <f aca="false">SUM('Reforecast Q1 2026'!$C55:INDEX('Reforecast Q1 2026'!$C55:$N55,$B$27))</f>
        <v>-3619369.48333333</v>
      </c>
      <c r="AN79" s="116" t="n">
        <f aca="false">AL79-AM79</f>
        <v>824315.153333331</v>
      </c>
    </row>
    <row r="81" customFormat="false" ht="15" hidden="false" customHeight="true" outlineLevel="0" collapsed="false">
      <c r="A81" s="115" t="s">
        <v>98</v>
      </c>
      <c r="B81" s="117" t="n">
        <f aca="false">IF(OR(1&gt;$B$27,ISBLANK(Actuals!C57)),"",Actuals!C57)</f>
        <v>-41844.6399999999</v>
      </c>
      <c r="C81" s="117" t="n">
        <f aca="false">'Reforecast Q1 2026'!C57</f>
        <v>-40238.7799999999</v>
      </c>
      <c r="D81" s="117" t="n">
        <f aca="false">IF(B81="","",B81-C81)</f>
        <v>-1605.86</v>
      </c>
      <c r="E81" s="117" t="n">
        <f aca="false">IF(OR(2&gt;$B$27,ISBLANK(Actuals!D57)),"",Actuals!D57)</f>
        <v>-311309.31</v>
      </c>
      <c r="F81" s="117" t="n">
        <f aca="false">'Reforecast Q1 2026'!D57</f>
        <v>-309702.1</v>
      </c>
      <c r="G81" s="117" t="n">
        <f aca="false">IF(E81="","",E81-F81)</f>
        <v>-1607.21000000008</v>
      </c>
      <c r="H81" s="117" t="n">
        <f aca="false">IF(OR(3&gt;$B$27,ISBLANK(Actuals!E57)),"",Actuals!E57)</f>
        <v>242246.78</v>
      </c>
      <c r="I81" s="117" t="n">
        <f aca="false">'Reforecast Q1 2026'!E57</f>
        <v>243856.69</v>
      </c>
      <c r="J81" s="117" t="n">
        <f aca="false">IF(H81="","",H81-I81)</f>
        <v>-1609.90999999974</v>
      </c>
      <c r="K81" s="117" t="n">
        <f aca="false">IF(OR(4&gt;$B$27,ISBLANK(Actuals!F57)),"",Actuals!F57)</f>
        <v>373926.69</v>
      </c>
      <c r="L81" s="117" t="n">
        <f aca="false">'Reforecast Q1 2026'!F57</f>
        <v>77193.5079209369</v>
      </c>
      <c r="M81" s="117" t="n">
        <f aca="false">IF(K81="","",K81-L81)</f>
        <v>296733.182079064</v>
      </c>
      <c r="N81" s="117" t="n">
        <f aca="false">IF(OR(5&gt;$B$27,ISBLANK(Actuals!G57)),"",Actuals!G57)</f>
        <v>27621.8499999997</v>
      </c>
      <c r="O81" s="117" t="n">
        <f aca="false">'Reforecast Q1 2026'!G57</f>
        <v>4795.59125425993</v>
      </c>
      <c r="P81" s="117" t="n">
        <f aca="false">IF(N81="","",N81-O81)</f>
        <v>22826.2587457398</v>
      </c>
      <c r="Q81" s="117" t="n">
        <f aca="false">IF(OR(6&gt;$B$27,ISBLANK(Actuals!H57)),"",Actuals!H57)</f>
        <v>317897.240000001</v>
      </c>
      <c r="R81" s="117" t="n">
        <f aca="false">'Reforecast Q1 2026'!H57</f>
        <v>-24579.4087457396</v>
      </c>
      <c r="S81" s="117" t="n">
        <f aca="false">IF(Q81="","",Q81-R81)</f>
        <v>342476.64874574</v>
      </c>
      <c r="T81" s="117" t="n">
        <f aca="false">IF(OR(7&gt;$B$27,ISBLANK(Actuals!I57)),"",Actuals!I57)</f>
        <v>1445137.94</v>
      </c>
      <c r="U81" s="117" t="n">
        <f aca="false">'Reforecast Q1 2026'!I57</f>
        <v>478888.752787913</v>
      </c>
      <c r="V81" s="117" t="n">
        <f aca="false">IF(T81="","",T81-U81)</f>
        <v>966249.187212088</v>
      </c>
      <c r="W81" s="117" t="n">
        <f aca="false">IF(OR(8&gt;$B$27,ISBLANK(Actuals!J57)),"",Actuals!J57)</f>
        <v>175572.22</v>
      </c>
      <c r="X81" s="117" t="n">
        <f aca="false">'Reforecast Q1 2026'!J57</f>
        <v>171828.547987913</v>
      </c>
      <c r="Y81" s="117" t="n">
        <f aca="false">IF(W81="","",W81-X81)</f>
        <v>3743.67201208667</v>
      </c>
      <c r="Z81" s="117" t="n">
        <f aca="false">IF(OR(9&gt;$B$27,ISBLANK(Actuals!K57)),"",Actuals!K57)</f>
        <v>-36864.6200000003</v>
      </c>
      <c r="AA81" s="117" t="n">
        <f aca="false">'Reforecast Q1 2026'!K57</f>
        <v>171828.547987913</v>
      </c>
      <c r="AB81" s="117" t="n">
        <f aca="false">IF(Z81="","",Z81-AA81)</f>
        <v>-208693.167987913</v>
      </c>
      <c r="AC81" s="117" t="str">
        <f aca="false">IF(OR(10&gt;$B$27,ISBLANK(Actuals!L57)),"",Actuals!L57)</f>
        <v/>
      </c>
      <c r="AD81" s="117" t="n">
        <f aca="false">'Reforecast Q1 2026'!L57</f>
        <v>476879.116623526</v>
      </c>
      <c r="AE81" s="117" t="str">
        <f aca="false">IF(AC81="","",AC81-AD81)</f>
        <v/>
      </c>
      <c r="AF81" s="117" t="str">
        <f aca="false">IF(OR(11&gt;$B$27,ISBLANK(Actuals!M57)),"",Actuals!M57)</f>
        <v/>
      </c>
      <c r="AG81" s="117" t="n">
        <f aca="false">'Reforecast Q1 2026'!M57</f>
        <v>507880.050630907</v>
      </c>
      <c r="AH81" s="117" t="str">
        <f aca="false">IF(AF81="","",AF81-AG81)</f>
        <v/>
      </c>
      <c r="AI81" s="117" t="str">
        <f aca="false">IF(OR(12&gt;$B$27,ISBLANK(Actuals!N57)),"",Actuals!N57)</f>
        <v/>
      </c>
      <c r="AJ81" s="117" t="n">
        <f aca="false">'Reforecast Q1 2026'!N57</f>
        <v>255504.966544817</v>
      </c>
      <c r="AK81" s="117" t="str">
        <f aca="false">IF(AI81="","",AI81-AJ81)</f>
        <v/>
      </c>
      <c r="AL81" s="117" t="n">
        <f aca="false">SUM(Actuals!$C57:INDEX(Actuals!$C57:$N57,$B$27))</f>
        <v>2192384.15</v>
      </c>
      <c r="AM81" s="117" t="n">
        <f aca="false">SUM('Reforecast Q1 2026'!$C57:INDEX('Reforecast Q1 2026'!$C57:$N57,$B$27))</f>
        <v>773871.349193196</v>
      </c>
      <c r="AN81" s="117" t="n">
        <f aca="false">AL81-AM81</f>
        <v>1418512.80080681</v>
      </c>
    </row>
    <row r="82" customFormat="false" ht="15" hidden="false" customHeight="true" outlineLevel="0" collapsed="false">
      <c r="A82" s="109" t="s">
        <v>99</v>
      </c>
      <c r="B82" s="113" t="n">
        <f aca="false">IF(OR(1&gt;$B$27,ISBLANK(Actuals!C58)),"",Actuals!C58)</f>
        <v>-0.0287831236019867</v>
      </c>
      <c r="C82" s="113" t="n">
        <f aca="false">'Reforecast Q1 2026'!C58</f>
        <v>-0.0276785988569409</v>
      </c>
      <c r="D82" s="113" t="n">
        <f aca="false">IF(B82="","",B82-C82)</f>
        <v>-0.00110452474504576</v>
      </c>
      <c r="E82" s="113" t="n">
        <f aca="false">IF(OR(2&gt;$B$27,ISBLANK(Actuals!D58)),"",Actuals!D58)</f>
        <v>-0.102996554608564</v>
      </c>
      <c r="F82" s="113" t="n">
        <f aca="false">'Reforecast Q1 2026'!D58</f>
        <v>-0.102464901385612</v>
      </c>
      <c r="G82" s="113" t="n">
        <f aca="false">IF(E82="","",E82-F82)</f>
        <v>-0.000531653222952275</v>
      </c>
      <c r="H82" s="113" t="n">
        <f aca="false">IF(OR(3&gt;$B$27,ISBLANK(Actuals!E58)),"",Actuals!E58)</f>
        <v>0.0906538863233281</v>
      </c>
      <c r="I82" s="113" t="n">
        <f aca="false">'Reforecast Q1 2026'!E58</f>
        <v>0.0912563488127398</v>
      </c>
      <c r="J82" s="113" t="n">
        <f aca="false">IF(H82="","",H82-I82)</f>
        <v>-0.00060246248941169</v>
      </c>
      <c r="K82" s="113" t="n">
        <f aca="false">IF(OR(4&gt;$B$27,ISBLANK(Actuals!F58)),"",Actuals!F58)</f>
        <v>0.101270434808067</v>
      </c>
      <c r="L82" s="113" t="n">
        <f aca="false">'Reforecast Q1 2026'!F58</f>
        <v>0.0173298465800976</v>
      </c>
      <c r="M82" s="113" t="n">
        <f aca="false">IF(K82="","",K82-L82)</f>
        <v>0.0839405882279692</v>
      </c>
      <c r="N82" s="113" t="n">
        <f aca="false">IF(OR(5&gt;$B$27,ISBLANK(Actuals!G58)),"",Actuals!G58)</f>
        <v>0.00625486062340116</v>
      </c>
      <c r="O82" s="113" t="n">
        <f aca="false">'Reforecast Q1 2026'!G58</f>
        <v>0.00103190312584528</v>
      </c>
      <c r="P82" s="113" t="n">
        <f aca="false">IF(N82="","",N82-O82)</f>
        <v>0.00522295749755588</v>
      </c>
      <c r="Q82" s="113" t="n">
        <f aca="false">IF(OR(6&gt;$B$27,ISBLANK(Actuals!H58)),"",Actuals!H58)</f>
        <v>0.0508451485513171</v>
      </c>
      <c r="R82" s="113" t="n">
        <f aca="false">'Reforecast Q1 2026'!H58</f>
        <v>-0.00513830988769468</v>
      </c>
      <c r="S82" s="113" t="n">
        <f aca="false">IF(Q82="","",Q82-R82)</f>
        <v>0.0559834584390118</v>
      </c>
      <c r="T82" s="113" t="n">
        <f aca="false">IF(OR(7&gt;$B$27,ISBLANK(Actuals!I58)),"",Actuals!I58)</f>
        <v>0.205696144781689</v>
      </c>
      <c r="U82" s="113" t="n">
        <f aca="false">'Reforecast Q1 2026'!I58</f>
        <v>0.0835258951271783</v>
      </c>
      <c r="V82" s="113" t="n">
        <f aca="false">IF(T82="","",T82-U82)</f>
        <v>0.12217024965451</v>
      </c>
      <c r="W82" s="113" t="n">
        <f aca="false">IF(OR(8&gt;$B$27,ISBLANK(Actuals!J58)),"",Actuals!J58)</f>
        <v>0.0289497032398613</v>
      </c>
      <c r="X82" s="113" t="n">
        <f aca="false">'Reforecast Q1 2026'!J58</f>
        <v>0.0291585151848811</v>
      </c>
      <c r="Y82" s="113" t="n">
        <f aca="false">IF(W82="","",W82-X82)</f>
        <v>-0.000208811945019823</v>
      </c>
      <c r="Z82" s="113" t="n">
        <f aca="false">IF(OR(9&gt;$B$27,ISBLANK(Actuals!K58)),"",Actuals!K58)</f>
        <v>-0.00577735487212154</v>
      </c>
      <c r="AA82" s="113" t="n">
        <f aca="false">'Reforecast Q1 2026'!K58</f>
        <v>0.0287072206647552</v>
      </c>
      <c r="AB82" s="113" t="n">
        <f aca="false">IF(Z82="","",Z82-AA82)</f>
        <v>-0.0344845755368768</v>
      </c>
      <c r="AC82" s="113" t="str">
        <f aca="false">IF(OR(10&gt;$B$27,ISBLANK(Actuals!L58)),"",Actuals!L58)</f>
        <v/>
      </c>
      <c r="AD82" s="113" t="n">
        <f aca="false">'Reforecast Q1 2026'!L58</f>
        <v>0.0719850664285797</v>
      </c>
      <c r="AE82" s="113" t="str">
        <f aca="false">IF(AC82="","",AC82-AD82)</f>
        <v/>
      </c>
      <c r="AF82" s="113" t="str">
        <f aca="false">IF(OR(11&gt;$B$27,ISBLANK(Actuals!M58)),"",Actuals!M58)</f>
        <v/>
      </c>
      <c r="AG82" s="113" t="n">
        <f aca="false">'Reforecast Q1 2026'!M58</f>
        <v>0.0699094476542191</v>
      </c>
      <c r="AH82" s="113" t="str">
        <f aca="false">IF(AF82="","",AF82-AG82)</f>
        <v/>
      </c>
      <c r="AI82" s="113" t="str">
        <f aca="false">IF(OR(12&gt;$B$27,ISBLANK(Actuals!N58)),"",Actuals!N58)</f>
        <v/>
      </c>
      <c r="AJ82" s="113" t="n">
        <f aca="false">'Reforecast Q1 2026'!N58</f>
        <v>0.0365905286174057</v>
      </c>
      <c r="AK82" s="113" t="str">
        <f aca="false">IF(AI82="","",AI82-AJ82)</f>
        <v/>
      </c>
      <c r="AL82" s="116" t="n">
        <f aca="false">SUM(Actuals!$C58:INDEX(Actuals!$C58:$N58,$B$27))</f>
        <v>0.34611314524499</v>
      </c>
      <c r="AM82" s="116" t="n">
        <f aca="false">SUM('Reforecast Q1 2026'!$C58:INDEX('Reforecast Q1 2026'!$C58:$N58,$B$27))</f>
        <v>0.11572791936525</v>
      </c>
      <c r="AN82" s="116" t="n">
        <f aca="false">AL82-AM82</f>
        <v>0.230385225879741</v>
      </c>
    </row>
    <row r="86" customFormat="false" ht="15" hidden="false" customHeight="true" outlineLevel="0" collapsed="false">
      <c r="A86" s="112" t="s">
        <v>438</v>
      </c>
    </row>
    <row r="87" customFormat="false" ht="15" hidden="true" customHeight="true" outlineLevel="1" collapsed="false">
      <c r="A87" s="109" t="s">
        <v>118</v>
      </c>
      <c r="B87" s="113" t="str">
        <f aca="false">IF(OR(1&gt;$B$27,ISBLANK(Actuals!C63)),"",Actuals!C63)</f>
        <v/>
      </c>
      <c r="C87" s="113" t="n">
        <f aca="false">'Reforecast Q1 2026'!C63</f>
        <v>0</v>
      </c>
      <c r="D87" s="113" t="str">
        <f aca="false">IF(B87="","",B87-C87)</f>
        <v/>
      </c>
      <c r="E87" s="113" t="str">
        <f aca="false">IF(OR(2&gt;$B$27,ISBLANK(Actuals!D63)),"",Actuals!D63)</f>
        <v/>
      </c>
      <c r="F87" s="113" t="n">
        <f aca="false">'Reforecast Q1 2026'!D63</f>
        <v>0</v>
      </c>
      <c r="G87" s="113" t="str">
        <f aca="false">IF(E87="","",E87-F87)</f>
        <v/>
      </c>
      <c r="H87" s="113" t="str">
        <f aca="false">IF(OR(3&gt;$B$27,ISBLANK(Actuals!E63)),"",Actuals!E63)</f>
        <v/>
      </c>
      <c r="I87" s="113" t="n">
        <f aca="false">'Reforecast Q1 2026'!E63</f>
        <v>0</v>
      </c>
      <c r="J87" s="113" t="str">
        <f aca="false">IF(H87="","",H87-I87)</f>
        <v/>
      </c>
      <c r="K87" s="113" t="str">
        <f aca="false">IF(OR(4&gt;$B$27,ISBLANK(Actuals!F63)),"",Actuals!F63)</f>
        <v/>
      </c>
      <c r="L87" s="113" t="n">
        <f aca="false">'Reforecast Q1 2026'!F63</f>
        <v>0</v>
      </c>
      <c r="M87" s="113" t="str">
        <f aca="false">IF(K87="","",K87-L87)</f>
        <v/>
      </c>
      <c r="N87" s="113" t="str">
        <f aca="false">IF(OR(5&gt;$B$27,ISBLANK(Actuals!G63)),"",Actuals!G63)</f>
        <v/>
      </c>
      <c r="O87" s="113" t="n">
        <f aca="false">'Reforecast Q1 2026'!G63</f>
        <v>0</v>
      </c>
      <c r="P87" s="113" t="str">
        <f aca="false">IF(N87="","",N87-O87)</f>
        <v/>
      </c>
      <c r="Q87" s="113" t="n">
        <f aca="false">IF(OR(6&gt;$B$27,ISBLANK(Actuals!H63)),"",Actuals!H63)</f>
        <v>299000</v>
      </c>
      <c r="R87" s="113" t="n">
        <f aca="false">'Reforecast Q1 2026'!H63</f>
        <v>0</v>
      </c>
      <c r="S87" s="113" t="n">
        <f aca="false">IF(Q87="","",Q87-R87)</f>
        <v>299000</v>
      </c>
      <c r="T87" s="113" t="n">
        <f aca="false">IF(OR(7&gt;$B$27,ISBLANK(Actuals!I63)),"",Actuals!I63)</f>
        <v>0</v>
      </c>
      <c r="U87" s="113" t="n">
        <f aca="false">'Reforecast Q1 2026'!I63</f>
        <v>0</v>
      </c>
      <c r="V87" s="113" t="n">
        <f aca="false">IF(T87="","",T87-U87)</f>
        <v>0</v>
      </c>
      <c r="W87" s="113" t="n">
        <f aca="false">IF(OR(8&gt;$B$27,ISBLANK(Actuals!J63)),"",Actuals!J63)</f>
        <v>0</v>
      </c>
      <c r="X87" s="113" t="n">
        <f aca="false">'Reforecast Q1 2026'!J63</f>
        <v>0</v>
      </c>
      <c r="Y87" s="113" t="n">
        <f aca="false">IF(W87="","",W87-X87)</f>
        <v>0</v>
      </c>
      <c r="Z87" s="113" t="n">
        <f aca="false">IF(OR(9&gt;$B$27,ISBLANK(Actuals!K63)),"",Actuals!K63)</f>
        <v>0</v>
      </c>
      <c r="AA87" s="113" t="n">
        <f aca="false">'Reforecast Q1 2026'!K63</f>
        <v>0</v>
      </c>
      <c r="AB87" s="113" t="n">
        <f aca="false">IF(Z87="","",Z87-AA87)</f>
        <v>0</v>
      </c>
      <c r="AC87" s="113" t="str">
        <f aca="false">IF(OR(10&gt;$B$27,ISBLANK(Actuals!L63)),"",Actuals!L63)</f>
        <v/>
      </c>
      <c r="AD87" s="113" t="n">
        <f aca="false">'Reforecast Q1 2026'!L63</f>
        <v>0</v>
      </c>
      <c r="AE87" s="113" t="str">
        <f aca="false">IF(AC87="","",AC87-AD87)</f>
        <v/>
      </c>
      <c r="AF87" s="113" t="str">
        <f aca="false">IF(OR(11&gt;$B$27,ISBLANK(Actuals!M63)),"",Actuals!M63)</f>
        <v/>
      </c>
      <c r="AG87" s="113" t="n">
        <f aca="false">'Reforecast Q1 2026'!M63</f>
        <v>0</v>
      </c>
      <c r="AH87" s="113" t="str">
        <f aca="false">IF(AF87="","",AF87-AG87)</f>
        <v/>
      </c>
      <c r="AI87" s="113" t="str">
        <f aca="false">IF(OR(12&gt;$B$27,ISBLANK(Actuals!N63)),"",Actuals!N63)</f>
        <v/>
      </c>
      <c r="AJ87" s="113" t="n">
        <f aca="false">'Reforecast Q1 2026'!N63</f>
        <v>0</v>
      </c>
      <c r="AK87" s="113" t="str">
        <f aca="false">IF(AI87="","",AI87-AJ87)</f>
        <v/>
      </c>
      <c r="AL87" s="116" t="n">
        <f aca="false">SUM(Actuals!$C63:INDEX(Actuals!$C63:$N63,$B$27))</f>
        <v>299000</v>
      </c>
      <c r="AM87" s="116" t="n">
        <f aca="false">SUM('Reforecast Q1 2026'!$C63:INDEX('Reforecast Q1 2026'!$C63:$N63,$B$27))</f>
        <v>0</v>
      </c>
      <c r="AN87" s="116" t="n">
        <f aca="false">AL87-AM87</f>
        <v>299000</v>
      </c>
    </row>
    <row r="88" customFormat="false" ht="15" hidden="true" customHeight="true" outlineLevel="1" collapsed="false">
      <c r="A88" s="109" t="s">
        <v>101</v>
      </c>
      <c r="B88" s="113" t="n">
        <f aca="false">IF(OR(1&gt;$B$27,ISBLANK(Actuals!C64)),"",Actuals!C64)</f>
        <v>833.33</v>
      </c>
      <c r="C88" s="113" t="n">
        <f aca="false">'Reforecast Q1 2026'!C64</f>
        <v>833.33</v>
      </c>
      <c r="D88" s="113" t="n">
        <f aca="false">IF(B88="","",B88-C88)</f>
        <v>0</v>
      </c>
      <c r="E88" s="113" t="n">
        <f aca="false">IF(OR(2&gt;$B$27,ISBLANK(Actuals!D64)),"",Actuals!D64)</f>
        <v>833.33</v>
      </c>
      <c r="F88" s="113" t="n">
        <f aca="false">'Reforecast Q1 2026'!D64</f>
        <v>833.33</v>
      </c>
      <c r="G88" s="113" t="n">
        <f aca="false">IF(E88="","",E88-F88)</f>
        <v>0</v>
      </c>
      <c r="H88" s="113" t="n">
        <f aca="false">IF(OR(3&gt;$B$27,ISBLANK(Actuals!E64)),"",Actuals!E64)</f>
        <v>833.33</v>
      </c>
      <c r="I88" s="113" t="n">
        <f aca="false">'Reforecast Q1 2026'!E64</f>
        <v>833.33</v>
      </c>
      <c r="J88" s="113" t="n">
        <f aca="false">IF(H88="","",H88-I88)</f>
        <v>0</v>
      </c>
      <c r="K88" s="113" t="n">
        <f aca="false">IF(OR(4&gt;$B$27,ISBLANK(Actuals!F64)),"",Actuals!F64)</f>
        <v>833.33</v>
      </c>
      <c r="L88" s="113" t="n">
        <f aca="false">'Reforecast Q1 2026'!F64</f>
        <v>833.33</v>
      </c>
      <c r="M88" s="113" t="n">
        <f aca="false">IF(K88="","",K88-L88)</f>
        <v>0</v>
      </c>
      <c r="N88" s="113" t="n">
        <f aca="false">IF(OR(5&gt;$B$27,ISBLANK(Actuals!G64)),"",Actuals!G64)</f>
        <v>833.33</v>
      </c>
      <c r="O88" s="113" t="n">
        <f aca="false">'Reforecast Q1 2026'!G64</f>
        <v>833.33</v>
      </c>
      <c r="P88" s="113" t="n">
        <f aca="false">IF(N88="","",N88-O88)</f>
        <v>0</v>
      </c>
      <c r="Q88" s="113" t="n">
        <f aca="false">IF(OR(6&gt;$B$27,ISBLANK(Actuals!H64)),"",Actuals!H64)</f>
        <v>833.33</v>
      </c>
      <c r="R88" s="113" t="n">
        <f aca="false">'Reforecast Q1 2026'!H64</f>
        <v>833.33</v>
      </c>
      <c r="S88" s="113" t="n">
        <f aca="false">IF(Q88="","",Q88-R88)</f>
        <v>0</v>
      </c>
      <c r="T88" s="113" t="n">
        <f aca="false">IF(OR(7&gt;$B$27,ISBLANK(Actuals!I64)),"",Actuals!I64)</f>
        <v>833.33</v>
      </c>
      <c r="U88" s="113" t="n">
        <f aca="false">'Reforecast Q1 2026'!I64</f>
        <v>833.33</v>
      </c>
      <c r="V88" s="113" t="n">
        <f aca="false">IF(T88="","",T88-U88)</f>
        <v>0</v>
      </c>
      <c r="W88" s="113" t="n">
        <f aca="false">IF(OR(8&gt;$B$27,ISBLANK(Actuals!J64)),"",Actuals!J64)</f>
        <v>833.33</v>
      </c>
      <c r="X88" s="113" t="n">
        <f aca="false">'Reforecast Q1 2026'!J64</f>
        <v>833.33</v>
      </c>
      <c r="Y88" s="113" t="n">
        <f aca="false">IF(W88="","",W88-X88)</f>
        <v>0</v>
      </c>
      <c r="Z88" s="113" t="n">
        <f aca="false">IF(OR(9&gt;$B$27,ISBLANK(Actuals!K64)),"",Actuals!K64)</f>
        <v>-833.33</v>
      </c>
      <c r="AA88" s="113" t="n">
        <f aca="false">'Reforecast Q1 2026'!K64</f>
        <v>0</v>
      </c>
      <c r="AB88" s="113" t="n">
        <f aca="false">IF(Z88="","",Z88-AA88)</f>
        <v>-833.33</v>
      </c>
      <c r="AC88" s="113" t="str">
        <f aca="false">IF(OR(10&gt;$B$27,ISBLANK(Actuals!L64)),"",Actuals!L64)</f>
        <v/>
      </c>
      <c r="AD88" s="113" t="n">
        <f aca="false">'Reforecast Q1 2026'!L64</f>
        <v>0</v>
      </c>
      <c r="AE88" s="113" t="str">
        <f aca="false">IF(AC88="","",AC88-AD88)</f>
        <v/>
      </c>
      <c r="AF88" s="113" t="str">
        <f aca="false">IF(OR(11&gt;$B$27,ISBLANK(Actuals!M64)),"",Actuals!M64)</f>
        <v/>
      </c>
      <c r="AG88" s="113" t="n">
        <f aca="false">'Reforecast Q1 2026'!M64</f>
        <v>0</v>
      </c>
      <c r="AH88" s="113" t="str">
        <f aca="false">IF(AF88="","",AF88-AG88)</f>
        <v/>
      </c>
      <c r="AI88" s="113" t="str">
        <f aca="false">IF(OR(12&gt;$B$27,ISBLANK(Actuals!N64)),"",Actuals!N64)</f>
        <v/>
      </c>
      <c r="AJ88" s="113" t="n">
        <f aca="false">'Reforecast Q1 2026'!N64</f>
        <v>0</v>
      </c>
      <c r="AK88" s="113" t="str">
        <f aca="false">IF(AI88="","",AI88-AJ88)</f>
        <v/>
      </c>
      <c r="AL88" s="116" t="n">
        <f aca="false">SUM(Actuals!$C64:INDEX(Actuals!$C64:$N64,$B$27))</f>
        <v>5833.31</v>
      </c>
      <c r="AM88" s="116" t="n">
        <f aca="false">SUM('Reforecast Q1 2026'!$C64:INDEX('Reforecast Q1 2026'!$C64:$N64,$B$27))</f>
        <v>6666.64</v>
      </c>
      <c r="AN88" s="116" t="n">
        <f aca="false">AL88-AM88</f>
        <v>-833.33</v>
      </c>
    </row>
    <row r="89" customFormat="false" ht="15" hidden="true" customHeight="true" outlineLevel="1" collapsed="false">
      <c r="A89" s="109" t="s">
        <v>102</v>
      </c>
      <c r="B89" s="113" t="n">
        <f aca="false">IF(OR(1&gt;$B$27,ISBLANK(Actuals!C65)),"",Actuals!C65)</f>
        <v>23906.25</v>
      </c>
      <c r="C89" s="113" t="n">
        <f aca="false">'Reforecast Q1 2026'!C65</f>
        <v>23906.25</v>
      </c>
      <c r="D89" s="113" t="n">
        <f aca="false">IF(B89="","",B89-C89)</f>
        <v>0</v>
      </c>
      <c r="E89" s="113" t="n">
        <f aca="false">IF(OR(2&gt;$B$27,ISBLANK(Actuals!D65)),"",Actuals!D65)</f>
        <v>23906.25</v>
      </c>
      <c r="F89" s="113" t="n">
        <f aca="false">'Reforecast Q1 2026'!D65</f>
        <v>23906.25</v>
      </c>
      <c r="G89" s="113" t="n">
        <f aca="false">IF(E89="","",E89-F89)</f>
        <v>0</v>
      </c>
      <c r="H89" s="113" t="n">
        <f aca="false">IF(OR(3&gt;$B$27,ISBLANK(Actuals!E65)),"",Actuals!E65)</f>
        <v>23906.25</v>
      </c>
      <c r="I89" s="113" t="n">
        <f aca="false">'Reforecast Q1 2026'!E65</f>
        <v>23906.25</v>
      </c>
      <c r="J89" s="113" t="n">
        <f aca="false">IF(H89="","",H89-I89)</f>
        <v>0</v>
      </c>
      <c r="K89" s="113" t="n">
        <f aca="false">IF(OR(4&gt;$B$27,ISBLANK(Actuals!F65)),"",Actuals!F65)</f>
        <v>23906.25</v>
      </c>
      <c r="L89" s="113" t="n">
        <f aca="false">'Reforecast Q1 2026'!F65</f>
        <v>23906.25</v>
      </c>
      <c r="M89" s="113" t="n">
        <f aca="false">IF(K89="","",K89-L89)</f>
        <v>0</v>
      </c>
      <c r="N89" s="113" t="n">
        <f aca="false">IF(OR(5&gt;$B$27,ISBLANK(Actuals!G65)),"",Actuals!G65)</f>
        <v>23906.25</v>
      </c>
      <c r="O89" s="113" t="n">
        <f aca="false">'Reforecast Q1 2026'!G65</f>
        <v>23906.25</v>
      </c>
      <c r="P89" s="113" t="n">
        <f aca="false">IF(N89="","",N89-O89)</f>
        <v>0</v>
      </c>
      <c r="Q89" s="113" t="n">
        <f aca="false">IF(OR(6&gt;$B$27,ISBLANK(Actuals!H65)),"",Actuals!H65)</f>
        <v>23906.25</v>
      </c>
      <c r="R89" s="113" t="n">
        <f aca="false">'Reforecast Q1 2026'!H65</f>
        <v>23906.25</v>
      </c>
      <c r="S89" s="113" t="n">
        <f aca="false">IF(Q89="","",Q89-R89)</f>
        <v>0</v>
      </c>
      <c r="T89" s="113" t="n">
        <f aca="false">IF(OR(7&gt;$B$27,ISBLANK(Actuals!I65)),"",Actuals!I65)</f>
        <v>23906.25</v>
      </c>
      <c r="U89" s="113" t="n">
        <f aca="false">'Reforecast Q1 2026'!I65</f>
        <v>23906.25</v>
      </c>
      <c r="V89" s="113" t="n">
        <f aca="false">IF(T89="","",T89-U89)</f>
        <v>0</v>
      </c>
      <c r="W89" s="113" t="n">
        <f aca="false">IF(OR(8&gt;$B$27,ISBLANK(Actuals!J65)),"",Actuals!J65)</f>
        <v>23906.25</v>
      </c>
      <c r="X89" s="113" t="n">
        <f aca="false">'Reforecast Q1 2026'!J65</f>
        <v>23906.25</v>
      </c>
      <c r="Y89" s="113" t="n">
        <f aca="false">IF(W89="","",W89-X89)</f>
        <v>0</v>
      </c>
      <c r="Z89" s="113" t="n">
        <f aca="false">IF(OR(9&gt;$B$27,ISBLANK(Actuals!K65)),"",Actuals!K65)</f>
        <v>23906.25</v>
      </c>
      <c r="AA89" s="113" t="n">
        <f aca="false">'Reforecast Q1 2026'!K65</f>
        <v>23906.25</v>
      </c>
      <c r="AB89" s="113" t="n">
        <f aca="false">IF(Z89="","",Z89-AA89)</f>
        <v>0</v>
      </c>
      <c r="AC89" s="113" t="str">
        <f aca="false">IF(OR(10&gt;$B$27,ISBLANK(Actuals!L65)),"",Actuals!L65)</f>
        <v/>
      </c>
      <c r="AD89" s="113" t="n">
        <f aca="false">'Reforecast Q1 2026'!L65</f>
        <v>23906.25</v>
      </c>
      <c r="AE89" s="113" t="str">
        <f aca="false">IF(AC89="","",AC89-AD89)</f>
        <v/>
      </c>
      <c r="AF89" s="113" t="str">
        <f aca="false">IF(OR(11&gt;$B$27,ISBLANK(Actuals!M65)),"",Actuals!M65)</f>
        <v/>
      </c>
      <c r="AG89" s="113" t="n">
        <f aca="false">'Reforecast Q1 2026'!M65</f>
        <v>23906.25</v>
      </c>
      <c r="AH89" s="113" t="str">
        <f aca="false">IF(AF89="","",AF89-AG89)</f>
        <v/>
      </c>
      <c r="AI89" s="113" t="str">
        <f aca="false">IF(OR(12&gt;$B$27,ISBLANK(Actuals!N65)),"",Actuals!N65)</f>
        <v/>
      </c>
      <c r="AJ89" s="113" t="n">
        <f aca="false">'Reforecast Q1 2026'!N65</f>
        <v>23906.25</v>
      </c>
      <c r="AK89" s="113" t="str">
        <f aca="false">IF(AI89="","",AI89-AJ89)</f>
        <v/>
      </c>
      <c r="AL89" s="116" t="n">
        <f aca="false">SUM(Actuals!$C65:INDEX(Actuals!$C65:$N65,$B$27))</f>
        <v>215156.25</v>
      </c>
      <c r="AM89" s="116" t="n">
        <f aca="false">SUM('Reforecast Q1 2026'!$C65:INDEX('Reforecast Q1 2026'!$C65:$N65,$B$27))</f>
        <v>215156.25</v>
      </c>
      <c r="AN89" s="116" t="n">
        <f aca="false">AL89-AM89</f>
        <v>0</v>
      </c>
    </row>
    <row r="90" customFormat="false" ht="15" hidden="true" customHeight="true" outlineLevel="1" collapsed="false">
      <c r="A90" s="109" t="s">
        <v>103</v>
      </c>
      <c r="B90" s="113" t="str">
        <f aca="false">IF(OR(1&gt;$B$27,ISBLANK(Actuals!C66)),"",Actuals!C66)</f>
        <v/>
      </c>
      <c r="C90" s="113" t="n">
        <f aca="false">'Reforecast Q1 2026'!C66</f>
        <v>0</v>
      </c>
      <c r="D90" s="113" t="str">
        <f aca="false">IF(B90="","",B90-C90)</f>
        <v/>
      </c>
      <c r="E90" s="113" t="str">
        <f aca="false">IF(OR(2&gt;$B$27,ISBLANK(Actuals!D66)),"",Actuals!D66)</f>
        <v/>
      </c>
      <c r="F90" s="113" t="n">
        <f aca="false">'Reforecast Q1 2026'!D66</f>
        <v>0</v>
      </c>
      <c r="G90" s="113" t="str">
        <f aca="false">IF(E90="","",E90-F90)</f>
        <v/>
      </c>
      <c r="H90" s="113" t="str">
        <f aca="false">IF(OR(3&gt;$B$27,ISBLANK(Actuals!E66)),"",Actuals!E66)</f>
        <v/>
      </c>
      <c r="I90" s="113" t="n">
        <f aca="false">'Reforecast Q1 2026'!E66</f>
        <v>0</v>
      </c>
      <c r="J90" s="113" t="str">
        <f aca="false">IF(H90="","",H90-I90)</f>
        <v/>
      </c>
      <c r="K90" s="113" t="str">
        <f aca="false">IF(OR(4&gt;$B$27,ISBLANK(Actuals!F66)),"",Actuals!F66)</f>
        <v/>
      </c>
      <c r="L90" s="113" t="n">
        <f aca="false">'Reforecast Q1 2026'!F66</f>
        <v>0</v>
      </c>
      <c r="M90" s="113" t="str">
        <f aca="false">IF(K90="","",K90-L90)</f>
        <v/>
      </c>
      <c r="N90" s="113" t="str">
        <f aca="false">IF(OR(5&gt;$B$27,ISBLANK(Actuals!G66)),"",Actuals!G66)</f>
        <v/>
      </c>
      <c r="O90" s="113" t="n">
        <f aca="false">'Reforecast Q1 2026'!G66</f>
        <v>0</v>
      </c>
      <c r="P90" s="113" t="str">
        <f aca="false">IF(N90="","",N90-O90)</f>
        <v/>
      </c>
      <c r="Q90" s="113" t="str">
        <f aca="false">IF(OR(6&gt;$B$27,ISBLANK(Actuals!H66)),"",Actuals!H66)</f>
        <v/>
      </c>
      <c r="R90" s="113" t="n">
        <f aca="false">'Reforecast Q1 2026'!H66</f>
        <v>0</v>
      </c>
      <c r="S90" s="113" t="str">
        <f aca="false">IF(Q90="","",Q90-R90)</f>
        <v/>
      </c>
      <c r="T90" s="113" t="str">
        <f aca="false">IF(OR(7&gt;$B$27,ISBLANK(Actuals!I66)),"",Actuals!I66)</f>
        <v/>
      </c>
      <c r="U90" s="113" t="n">
        <f aca="false">'Reforecast Q1 2026'!I66</f>
        <v>0</v>
      </c>
      <c r="V90" s="113" t="str">
        <f aca="false">IF(T90="","",T90-U90)</f>
        <v/>
      </c>
      <c r="W90" s="113" t="str">
        <f aca="false">IF(OR(8&gt;$B$27,ISBLANK(Actuals!J66)),"",Actuals!J66)</f>
        <v/>
      </c>
      <c r="X90" s="113" t="n">
        <f aca="false">'Reforecast Q1 2026'!J66</f>
        <v>0</v>
      </c>
      <c r="Y90" s="113" t="str">
        <f aca="false">IF(W90="","",W90-X90)</f>
        <v/>
      </c>
      <c r="Z90" s="113" t="str">
        <f aca="false">IF(OR(9&gt;$B$27,ISBLANK(Actuals!K66)),"",Actuals!K66)</f>
        <v/>
      </c>
      <c r="AA90" s="113" t="n">
        <f aca="false">'Reforecast Q1 2026'!K66</f>
        <v>0</v>
      </c>
      <c r="AB90" s="113" t="str">
        <f aca="false">IF(Z90="","",Z90-AA90)</f>
        <v/>
      </c>
      <c r="AC90" s="113" t="str">
        <f aca="false">IF(OR(10&gt;$B$27,ISBLANK(Actuals!L66)),"",Actuals!L66)</f>
        <v/>
      </c>
      <c r="AD90" s="113" t="n">
        <f aca="false">'Reforecast Q1 2026'!L66</f>
        <v>0</v>
      </c>
      <c r="AE90" s="113" t="str">
        <f aca="false">IF(AC90="","",AC90-AD90)</f>
        <v/>
      </c>
      <c r="AF90" s="113" t="str">
        <f aca="false">IF(OR(11&gt;$B$27,ISBLANK(Actuals!M66)),"",Actuals!M66)</f>
        <v/>
      </c>
      <c r="AG90" s="113" t="n">
        <f aca="false">'Reforecast Q1 2026'!M66</f>
        <v>0</v>
      </c>
      <c r="AH90" s="113" t="str">
        <f aca="false">IF(AF90="","",AF90-AG90)</f>
        <v/>
      </c>
      <c r="AI90" s="113" t="str">
        <f aca="false">IF(OR(12&gt;$B$27,ISBLANK(Actuals!N66)),"",Actuals!N66)</f>
        <v/>
      </c>
      <c r="AJ90" s="113" t="n">
        <f aca="false">'Reforecast Q1 2026'!N66</f>
        <v>0</v>
      </c>
      <c r="AK90" s="113" t="str">
        <f aca="false">IF(AI90="","",AI90-AJ90)</f>
        <v/>
      </c>
      <c r="AL90" s="116" t="n">
        <f aca="false">SUM(Actuals!$C66:INDEX(Actuals!$C66:$N66,$B$27))</f>
        <v>0</v>
      </c>
      <c r="AM90" s="116" t="n">
        <f aca="false">SUM('Reforecast Q1 2026'!$C66:INDEX('Reforecast Q1 2026'!$C66:$N66,$B$27))</f>
        <v>0</v>
      </c>
      <c r="AN90" s="116" t="n">
        <f aca="false">AL90-AM90</f>
        <v>0</v>
      </c>
    </row>
    <row r="91" customFormat="false" ht="15" hidden="true" customHeight="true" outlineLevel="1" collapsed="false">
      <c r="A91" s="109" t="s">
        <v>104</v>
      </c>
      <c r="B91" s="113" t="str">
        <f aca="false">IF(OR(1&gt;$B$27,ISBLANK(Actuals!C67)),"",Actuals!C67)</f>
        <v/>
      </c>
      <c r="C91" s="113" t="n">
        <f aca="false">'Reforecast Q1 2026'!C67</f>
        <v>0</v>
      </c>
      <c r="D91" s="113" t="str">
        <f aca="false">IF(B91="","",B91-C91)</f>
        <v/>
      </c>
      <c r="E91" s="113" t="str">
        <f aca="false">IF(OR(2&gt;$B$27,ISBLANK(Actuals!D67)),"",Actuals!D67)</f>
        <v/>
      </c>
      <c r="F91" s="113" t="n">
        <f aca="false">'Reforecast Q1 2026'!D67</f>
        <v>0</v>
      </c>
      <c r="G91" s="113" t="str">
        <f aca="false">IF(E91="","",E91-F91)</f>
        <v/>
      </c>
      <c r="H91" s="113" t="str">
        <f aca="false">IF(OR(3&gt;$B$27,ISBLANK(Actuals!E67)),"",Actuals!E67)</f>
        <v/>
      </c>
      <c r="I91" s="113" t="n">
        <f aca="false">'Reforecast Q1 2026'!E67</f>
        <v>0</v>
      </c>
      <c r="J91" s="113" t="str">
        <f aca="false">IF(H91="","",H91-I91)</f>
        <v/>
      </c>
      <c r="K91" s="113" t="str">
        <f aca="false">IF(OR(4&gt;$B$27,ISBLANK(Actuals!F67)),"",Actuals!F67)</f>
        <v/>
      </c>
      <c r="L91" s="113" t="n">
        <f aca="false">'Reforecast Q1 2026'!F67</f>
        <v>0</v>
      </c>
      <c r="M91" s="113" t="str">
        <f aca="false">IF(K91="","",K91-L91)</f>
        <v/>
      </c>
      <c r="N91" s="113" t="str">
        <f aca="false">IF(OR(5&gt;$B$27,ISBLANK(Actuals!G67)),"",Actuals!G67)</f>
        <v/>
      </c>
      <c r="O91" s="113" t="n">
        <f aca="false">'Reforecast Q1 2026'!G67</f>
        <v>0</v>
      </c>
      <c r="P91" s="113" t="str">
        <f aca="false">IF(N91="","",N91-O91)</f>
        <v/>
      </c>
      <c r="Q91" s="113" t="str">
        <f aca="false">IF(OR(6&gt;$B$27,ISBLANK(Actuals!H67)),"",Actuals!H67)</f>
        <v/>
      </c>
      <c r="R91" s="113" t="n">
        <f aca="false">'Reforecast Q1 2026'!H67</f>
        <v>0</v>
      </c>
      <c r="S91" s="113" t="str">
        <f aca="false">IF(Q91="","",Q91-R91)</f>
        <v/>
      </c>
      <c r="T91" s="113" t="str">
        <f aca="false">IF(OR(7&gt;$B$27,ISBLANK(Actuals!I67)),"",Actuals!I67)</f>
        <v/>
      </c>
      <c r="U91" s="113" t="n">
        <f aca="false">'Reforecast Q1 2026'!I67</f>
        <v>0</v>
      </c>
      <c r="V91" s="113" t="str">
        <f aca="false">IF(T91="","",T91-U91)</f>
        <v/>
      </c>
      <c r="W91" s="113" t="str">
        <f aca="false">IF(OR(8&gt;$B$27,ISBLANK(Actuals!J67)),"",Actuals!J67)</f>
        <v/>
      </c>
      <c r="X91" s="113" t="n">
        <f aca="false">'Reforecast Q1 2026'!J67</f>
        <v>0</v>
      </c>
      <c r="Y91" s="113" t="str">
        <f aca="false">IF(W91="","",W91-X91)</f>
        <v/>
      </c>
      <c r="Z91" s="113" t="str">
        <f aca="false">IF(OR(9&gt;$B$27,ISBLANK(Actuals!K67)),"",Actuals!K67)</f>
        <v/>
      </c>
      <c r="AA91" s="113" t="n">
        <f aca="false">'Reforecast Q1 2026'!K67</f>
        <v>0</v>
      </c>
      <c r="AB91" s="113" t="str">
        <f aca="false">IF(Z91="","",Z91-AA91)</f>
        <v/>
      </c>
      <c r="AC91" s="113" t="str">
        <f aca="false">IF(OR(10&gt;$B$27,ISBLANK(Actuals!L67)),"",Actuals!L67)</f>
        <v/>
      </c>
      <c r="AD91" s="113" t="n">
        <f aca="false">'Reforecast Q1 2026'!L67</f>
        <v>0</v>
      </c>
      <c r="AE91" s="113" t="str">
        <f aca="false">IF(AC91="","",AC91-AD91)</f>
        <v/>
      </c>
      <c r="AF91" s="113" t="str">
        <f aca="false">IF(OR(11&gt;$B$27,ISBLANK(Actuals!M67)),"",Actuals!M67)</f>
        <v/>
      </c>
      <c r="AG91" s="113" t="n">
        <f aca="false">'Reforecast Q1 2026'!M67</f>
        <v>0</v>
      </c>
      <c r="AH91" s="113" t="str">
        <f aca="false">IF(AF91="","",AF91-AG91)</f>
        <v/>
      </c>
      <c r="AI91" s="113" t="str">
        <f aca="false">IF(OR(12&gt;$B$27,ISBLANK(Actuals!N67)),"",Actuals!N67)</f>
        <v/>
      </c>
      <c r="AJ91" s="113" t="n">
        <f aca="false">'Reforecast Q1 2026'!N67</f>
        <v>0</v>
      </c>
      <c r="AK91" s="113" t="str">
        <f aca="false">IF(AI91="","",AI91-AJ91)</f>
        <v/>
      </c>
      <c r="AL91" s="116" t="n">
        <f aca="false">SUM(Actuals!$C67:INDEX(Actuals!$C67:$N67,$B$27))</f>
        <v>0</v>
      </c>
      <c r="AM91" s="116" t="n">
        <f aca="false">SUM('Reforecast Q1 2026'!$C67:INDEX('Reforecast Q1 2026'!$C67:$N67,$B$27))</f>
        <v>0</v>
      </c>
      <c r="AN91" s="116" t="n">
        <f aca="false">AL91-AM91</f>
        <v>0</v>
      </c>
    </row>
    <row r="92" customFormat="false" ht="15" hidden="true" customHeight="true" outlineLevel="1" collapsed="false">
      <c r="A92" s="109" t="s">
        <v>105</v>
      </c>
      <c r="B92" s="113" t="str">
        <f aca="false">IF(OR(1&gt;$B$27,ISBLANK(Actuals!C68)),"",Actuals!C68)</f>
        <v/>
      </c>
      <c r="C92" s="113" t="n">
        <f aca="false">'Reforecast Q1 2026'!C68</f>
        <v>0</v>
      </c>
      <c r="D92" s="113" t="str">
        <f aca="false">IF(B92="","",B92-C92)</f>
        <v/>
      </c>
      <c r="E92" s="113" t="str">
        <f aca="false">IF(OR(2&gt;$B$27,ISBLANK(Actuals!D68)),"",Actuals!D68)</f>
        <v/>
      </c>
      <c r="F92" s="113" t="n">
        <f aca="false">'Reforecast Q1 2026'!D68</f>
        <v>0</v>
      </c>
      <c r="G92" s="113" t="str">
        <f aca="false">IF(E92="","",E92-F92)</f>
        <v/>
      </c>
      <c r="H92" s="113" t="str">
        <f aca="false">IF(OR(3&gt;$B$27,ISBLANK(Actuals!E68)),"",Actuals!E68)</f>
        <v/>
      </c>
      <c r="I92" s="113" t="n">
        <f aca="false">'Reforecast Q1 2026'!E68</f>
        <v>0</v>
      </c>
      <c r="J92" s="113" t="str">
        <f aca="false">IF(H92="","",H92-I92)</f>
        <v/>
      </c>
      <c r="K92" s="113" t="str">
        <f aca="false">IF(OR(4&gt;$B$27,ISBLANK(Actuals!F68)),"",Actuals!F68)</f>
        <v/>
      </c>
      <c r="L92" s="113" t="n">
        <f aca="false">'Reforecast Q1 2026'!F68</f>
        <v>0</v>
      </c>
      <c r="M92" s="113" t="str">
        <f aca="false">IF(K92="","",K92-L92)</f>
        <v/>
      </c>
      <c r="N92" s="113" t="str">
        <f aca="false">IF(OR(5&gt;$B$27,ISBLANK(Actuals!G68)),"",Actuals!G68)</f>
        <v/>
      </c>
      <c r="O92" s="113" t="n">
        <f aca="false">'Reforecast Q1 2026'!G68</f>
        <v>0</v>
      </c>
      <c r="P92" s="113" t="str">
        <f aca="false">IF(N92="","",N92-O92)</f>
        <v/>
      </c>
      <c r="Q92" s="113" t="str">
        <f aca="false">IF(OR(6&gt;$B$27,ISBLANK(Actuals!H68)),"",Actuals!H68)</f>
        <v/>
      </c>
      <c r="R92" s="113" t="n">
        <f aca="false">'Reforecast Q1 2026'!H68</f>
        <v>0</v>
      </c>
      <c r="S92" s="113" t="str">
        <f aca="false">IF(Q92="","",Q92-R92)</f>
        <v/>
      </c>
      <c r="T92" s="113" t="str">
        <f aca="false">IF(OR(7&gt;$B$27,ISBLANK(Actuals!I68)),"",Actuals!I68)</f>
        <v/>
      </c>
      <c r="U92" s="113" t="n">
        <f aca="false">'Reforecast Q1 2026'!I68</f>
        <v>0</v>
      </c>
      <c r="V92" s="113" t="str">
        <f aca="false">IF(T92="","",T92-U92)</f>
        <v/>
      </c>
      <c r="W92" s="113" t="str">
        <f aca="false">IF(OR(8&gt;$B$27,ISBLANK(Actuals!J68)),"",Actuals!J68)</f>
        <v/>
      </c>
      <c r="X92" s="113" t="n">
        <f aca="false">'Reforecast Q1 2026'!J68</f>
        <v>0</v>
      </c>
      <c r="Y92" s="113" t="str">
        <f aca="false">IF(W92="","",W92-X92)</f>
        <v/>
      </c>
      <c r="Z92" s="113" t="str">
        <f aca="false">IF(OR(9&gt;$B$27,ISBLANK(Actuals!K68)),"",Actuals!K68)</f>
        <v/>
      </c>
      <c r="AA92" s="113" t="n">
        <f aca="false">'Reforecast Q1 2026'!K68</f>
        <v>0</v>
      </c>
      <c r="AB92" s="113" t="str">
        <f aca="false">IF(Z92="","",Z92-AA92)</f>
        <v/>
      </c>
      <c r="AC92" s="113" t="str">
        <f aca="false">IF(OR(10&gt;$B$27,ISBLANK(Actuals!L68)),"",Actuals!L68)</f>
        <v/>
      </c>
      <c r="AD92" s="113" t="n">
        <f aca="false">'Reforecast Q1 2026'!L68</f>
        <v>0</v>
      </c>
      <c r="AE92" s="113" t="str">
        <f aca="false">IF(AC92="","",AC92-AD92)</f>
        <v/>
      </c>
      <c r="AF92" s="113" t="str">
        <f aca="false">IF(OR(11&gt;$B$27,ISBLANK(Actuals!M68)),"",Actuals!M68)</f>
        <v/>
      </c>
      <c r="AG92" s="113" t="n">
        <f aca="false">'Reforecast Q1 2026'!M68</f>
        <v>0</v>
      </c>
      <c r="AH92" s="113" t="str">
        <f aca="false">IF(AF92="","",AF92-AG92)</f>
        <v/>
      </c>
      <c r="AI92" s="113" t="str">
        <f aca="false">IF(OR(12&gt;$B$27,ISBLANK(Actuals!N68)),"",Actuals!N68)</f>
        <v/>
      </c>
      <c r="AJ92" s="113" t="n">
        <f aca="false">'Reforecast Q1 2026'!N68</f>
        <v>0</v>
      </c>
      <c r="AK92" s="113" t="str">
        <f aca="false">IF(AI92="","",AI92-AJ92)</f>
        <v/>
      </c>
      <c r="AL92" s="116" t="n">
        <f aca="false">SUM(Actuals!$C68:INDEX(Actuals!$C68:$N68,$B$27))</f>
        <v>0</v>
      </c>
      <c r="AM92" s="116" t="n">
        <f aca="false">SUM('Reforecast Q1 2026'!$C68:INDEX('Reforecast Q1 2026'!$C68:$N68,$B$27))</f>
        <v>0</v>
      </c>
      <c r="AN92" s="116" t="n">
        <f aca="false">AL92-AM92</f>
        <v>0</v>
      </c>
    </row>
    <row r="93" customFormat="false" ht="15" hidden="true" customHeight="true" outlineLevel="1" collapsed="false">
      <c r="A93" s="109" t="s">
        <v>106</v>
      </c>
      <c r="B93" s="113" t="n">
        <f aca="false">IF(OR(1&gt;$B$27,ISBLANK(Actuals!C69)),"",Actuals!C69)</f>
        <v>9375</v>
      </c>
      <c r="C93" s="113" t="n">
        <f aca="false">'Reforecast Q1 2026'!C69</f>
        <v>9375</v>
      </c>
      <c r="D93" s="113" t="n">
        <f aca="false">IF(B93="","",B93-C93)</f>
        <v>0</v>
      </c>
      <c r="E93" s="113" t="n">
        <f aca="false">IF(OR(2&gt;$B$27,ISBLANK(Actuals!D69)),"",Actuals!D69)</f>
        <v>9375</v>
      </c>
      <c r="F93" s="113" t="n">
        <f aca="false">'Reforecast Q1 2026'!D69</f>
        <v>9375</v>
      </c>
      <c r="G93" s="113" t="n">
        <f aca="false">IF(E93="","",E93-F93)</f>
        <v>0</v>
      </c>
      <c r="H93" s="113" t="n">
        <f aca="false">IF(OR(3&gt;$B$27,ISBLANK(Actuals!E69)),"",Actuals!E69)</f>
        <v>9375</v>
      </c>
      <c r="I93" s="113" t="n">
        <f aca="false">'Reforecast Q1 2026'!E69</f>
        <v>9375</v>
      </c>
      <c r="J93" s="113" t="n">
        <f aca="false">IF(H93="","",H93-I93)</f>
        <v>0</v>
      </c>
      <c r="K93" s="113" t="n">
        <f aca="false">IF(OR(4&gt;$B$27,ISBLANK(Actuals!F69)),"",Actuals!F69)</f>
        <v>9375</v>
      </c>
      <c r="L93" s="113" t="n">
        <f aca="false">'Reforecast Q1 2026'!F69</f>
        <v>9375</v>
      </c>
      <c r="M93" s="113" t="n">
        <f aca="false">IF(K93="","",K93-L93)</f>
        <v>0</v>
      </c>
      <c r="N93" s="113" t="n">
        <f aca="false">IF(OR(5&gt;$B$27,ISBLANK(Actuals!G69)),"",Actuals!G69)</f>
        <v>9375</v>
      </c>
      <c r="O93" s="113" t="n">
        <f aca="false">'Reforecast Q1 2026'!G69</f>
        <v>9375</v>
      </c>
      <c r="P93" s="113" t="n">
        <f aca="false">IF(N93="","",N93-O93)</f>
        <v>0</v>
      </c>
      <c r="Q93" s="113" t="n">
        <f aca="false">IF(OR(6&gt;$B$27,ISBLANK(Actuals!H69)),"",Actuals!H69)</f>
        <v>9375</v>
      </c>
      <c r="R93" s="113" t="n">
        <f aca="false">'Reforecast Q1 2026'!H69</f>
        <v>9375</v>
      </c>
      <c r="S93" s="113" t="n">
        <f aca="false">IF(Q93="","",Q93-R93)</f>
        <v>0</v>
      </c>
      <c r="T93" s="113" t="n">
        <f aca="false">IF(OR(7&gt;$B$27,ISBLANK(Actuals!I69)),"",Actuals!I69)</f>
        <v>9375</v>
      </c>
      <c r="U93" s="113" t="n">
        <f aca="false">'Reforecast Q1 2026'!I69</f>
        <v>9375</v>
      </c>
      <c r="V93" s="113" t="n">
        <f aca="false">IF(T93="","",T93-U93)</f>
        <v>0</v>
      </c>
      <c r="W93" s="113" t="n">
        <f aca="false">IF(OR(8&gt;$B$27,ISBLANK(Actuals!J69)),"",Actuals!J69)</f>
        <v>9375</v>
      </c>
      <c r="X93" s="113" t="n">
        <f aca="false">'Reforecast Q1 2026'!J69</f>
        <v>9375</v>
      </c>
      <c r="Y93" s="113" t="n">
        <f aca="false">IF(W93="","",W93-X93)</f>
        <v>0</v>
      </c>
      <c r="Z93" s="113" t="n">
        <f aca="false">IF(OR(9&gt;$B$27,ISBLANK(Actuals!K69)),"",Actuals!K69)</f>
        <v>9375</v>
      </c>
      <c r="AA93" s="113" t="n">
        <f aca="false">'Reforecast Q1 2026'!K69</f>
        <v>9375</v>
      </c>
      <c r="AB93" s="113" t="n">
        <f aca="false">IF(Z93="","",Z93-AA93)</f>
        <v>0</v>
      </c>
      <c r="AC93" s="113" t="str">
        <f aca="false">IF(OR(10&gt;$B$27,ISBLANK(Actuals!L69)),"",Actuals!L69)</f>
        <v/>
      </c>
      <c r="AD93" s="113" t="n">
        <f aca="false">'Reforecast Q1 2026'!L69</f>
        <v>9375</v>
      </c>
      <c r="AE93" s="113" t="str">
        <f aca="false">IF(AC93="","",AC93-AD93)</f>
        <v/>
      </c>
      <c r="AF93" s="113" t="str">
        <f aca="false">IF(OR(11&gt;$B$27,ISBLANK(Actuals!M69)),"",Actuals!M69)</f>
        <v/>
      </c>
      <c r="AG93" s="113" t="n">
        <f aca="false">'Reforecast Q1 2026'!M69</f>
        <v>0</v>
      </c>
      <c r="AH93" s="113" t="str">
        <f aca="false">IF(AF93="","",AF93-AG93)</f>
        <v/>
      </c>
      <c r="AI93" s="113" t="str">
        <f aca="false">IF(OR(12&gt;$B$27,ISBLANK(Actuals!N69)),"",Actuals!N69)</f>
        <v/>
      </c>
      <c r="AJ93" s="113" t="n">
        <f aca="false">'Reforecast Q1 2026'!N69</f>
        <v>0</v>
      </c>
      <c r="AK93" s="113" t="str">
        <f aca="false">IF(AI93="","",AI93-AJ93)</f>
        <v/>
      </c>
      <c r="AL93" s="116" t="n">
        <f aca="false">SUM(Actuals!$C69:INDEX(Actuals!$C69:$N69,$B$27))</f>
        <v>84375</v>
      </c>
      <c r="AM93" s="116" t="n">
        <f aca="false">SUM('Reforecast Q1 2026'!$C69:INDEX('Reforecast Q1 2026'!$C69:$N69,$B$27))</f>
        <v>84375</v>
      </c>
      <c r="AN93" s="116" t="n">
        <f aca="false">AL93-AM93</f>
        <v>0</v>
      </c>
    </row>
    <row r="94" customFormat="false" ht="15" hidden="true" customHeight="true" outlineLevel="1" collapsed="false">
      <c r="A94" s="109" t="s">
        <v>107</v>
      </c>
      <c r="B94" s="113" t="str">
        <f aca="false">IF(OR(1&gt;$B$27,ISBLANK(Actuals!C70)),"",Actuals!C70)</f>
        <v/>
      </c>
      <c r="C94" s="113" t="n">
        <f aca="false">'Reforecast Q1 2026'!C70</f>
        <v>0</v>
      </c>
      <c r="D94" s="113" t="str">
        <f aca="false">IF(B94="","",B94-C94)</f>
        <v/>
      </c>
      <c r="E94" s="113" t="str">
        <f aca="false">IF(OR(2&gt;$B$27,ISBLANK(Actuals!D70)),"",Actuals!D70)</f>
        <v/>
      </c>
      <c r="F94" s="113" t="n">
        <f aca="false">'Reforecast Q1 2026'!D70</f>
        <v>0</v>
      </c>
      <c r="G94" s="113" t="str">
        <f aca="false">IF(E94="","",E94-F94)</f>
        <v/>
      </c>
      <c r="H94" s="113" t="str">
        <f aca="false">IF(OR(3&gt;$B$27,ISBLANK(Actuals!E70)),"",Actuals!E70)</f>
        <v/>
      </c>
      <c r="I94" s="113" t="n">
        <f aca="false">'Reforecast Q1 2026'!E70</f>
        <v>0</v>
      </c>
      <c r="J94" s="113" t="str">
        <f aca="false">IF(H94="","",H94-I94)</f>
        <v/>
      </c>
      <c r="K94" s="113" t="str">
        <f aca="false">IF(OR(4&gt;$B$27,ISBLANK(Actuals!F70)),"",Actuals!F70)</f>
        <v/>
      </c>
      <c r="L94" s="113" t="n">
        <f aca="false">'Reforecast Q1 2026'!F70</f>
        <v>9500</v>
      </c>
      <c r="M94" s="113" t="str">
        <f aca="false">IF(K94="","",K94-L94)</f>
        <v/>
      </c>
      <c r="N94" s="113" t="str">
        <f aca="false">IF(OR(5&gt;$B$27,ISBLANK(Actuals!G70)),"",Actuals!G70)</f>
        <v/>
      </c>
      <c r="O94" s="113" t="n">
        <f aca="false">'Reforecast Q1 2026'!G70</f>
        <v>9500</v>
      </c>
      <c r="P94" s="113" t="str">
        <f aca="false">IF(N94="","",N94-O94)</f>
        <v/>
      </c>
      <c r="Q94" s="113" t="str">
        <f aca="false">IF(OR(6&gt;$B$27,ISBLANK(Actuals!H70)),"",Actuals!H70)</f>
        <v/>
      </c>
      <c r="R94" s="113" t="n">
        <f aca="false">'Reforecast Q1 2026'!H70</f>
        <v>9500</v>
      </c>
      <c r="S94" s="113" t="str">
        <f aca="false">IF(Q94="","",Q94-R94)</f>
        <v/>
      </c>
      <c r="T94" s="113" t="n">
        <f aca="false">IF(OR(7&gt;$B$27,ISBLANK(Actuals!I70)),"",Actuals!I70)</f>
        <v>44000</v>
      </c>
      <c r="U94" s="113" t="n">
        <f aca="false">'Reforecast Q1 2026'!I70</f>
        <v>9500</v>
      </c>
      <c r="V94" s="113" t="n">
        <f aca="false">IF(T94="","",T94-U94)</f>
        <v>34500</v>
      </c>
      <c r="W94" s="113" t="n">
        <f aca="false">IF(OR(8&gt;$B$27,ISBLANK(Actuals!J70)),"",Actuals!J70)</f>
        <v>19000</v>
      </c>
      <c r="X94" s="113" t="n">
        <f aca="false">'Reforecast Q1 2026'!J70</f>
        <v>9500</v>
      </c>
      <c r="Y94" s="113" t="n">
        <f aca="false">IF(W94="","",W94-X94)</f>
        <v>9500</v>
      </c>
      <c r="Z94" s="113" t="n">
        <f aca="false">IF(OR(9&gt;$B$27,ISBLANK(Actuals!K70)),"",Actuals!K70)</f>
        <v>8800</v>
      </c>
      <c r="AA94" s="113" t="n">
        <f aca="false">'Reforecast Q1 2026'!K70</f>
        <v>9500</v>
      </c>
      <c r="AB94" s="113" t="n">
        <f aca="false">IF(Z94="","",Z94-AA94)</f>
        <v>-700</v>
      </c>
      <c r="AC94" s="113" t="str">
        <f aca="false">IF(OR(10&gt;$B$27,ISBLANK(Actuals!L70)),"",Actuals!L70)</f>
        <v/>
      </c>
      <c r="AD94" s="113" t="n">
        <f aca="false">'Reforecast Q1 2026'!L70</f>
        <v>9500</v>
      </c>
      <c r="AE94" s="113" t="str">
        <f aca="false">IF(AC94="","",AC94-AD94)</f>
        <v/>
      </c>
      <c r="AF94" s="113" t="str">
        <f aca="false">IF(OR(11&gt;$B$27,ISBLANK(Actuals!M70)),"",Actuals!M70)</f>
        <v/>
      </c>
      <c r="AG94" s="113" t="n">
        <f aca="false">'Reforecast Q1 2026'!M70</f>
        <v>9500</v>
      </c>
      <c r="AH94" s="113" t="str">
        <f aca="false">IF(AF94="","",AF94-AG94)</f>
        <v/>
      </c>
      <c r="AI94" s="113" t="str">
        <f aca="false">IF(OR(12&gt;$B$27,ISBLANK(Actuals!N70)),"",Actuals!N70)</f>
        <v/>
      </c>
      <c r="AJ94" s="113" t="n">
        <f aca="false">'Reforecast Q1 2026'!N70</f>
        <v>9500</v>
      </c>
      <c r="AK94" s="113" t="str">
        <f aca="false">IF(AI94="","",AI94-AJ94)</f>
        <v/>
      </c>
      <c r="AL94" s="116" t="n">
        <f aca="false">SUM(Actuals!$C70:INDEX(Actuals!$C70:$N70,$B$27))</f>
        <v>71800</v>
      </c>
      <c r="AM94" s="116" t="n">
        <f aca="false">SUM('Reforecast Q1 2026'!$C70:INDEX('Reforecast Q1 2026'!$C70:$N70,$B$27))</f>
        <v>57000</v>
      </c>
      <c r="AN94" s="116" t="n">
        <f aca="false">AL94-AM94</f>
        <v>14800</v>
      </c>
    </row>
    <row r="95" customFormat="false" ht="15" hidden="true" customHeight="true" outlineLevel="1" collapsed="false">
      <c r="A95" s="109" t="s">
        <v>360</v>
      </c>
      <c r="B95" s="113" t="str">
        <f aca="false">IF(OR(1&gt;$B$27,ISBLANK(Actuals!C71)),"",Actuals!C71)</f>
        <v/>
      </c>
      <c r="C95" s="113" t="n">
        <f aca="false">'Reforecast Q1 2026'!C71</f>
        <v>0</v>
      </c>
      <c r="D95" s="113" t="str">
        <f aca="false">IF(B95="","",B95-C95)</f>
        <v/>
      </c>
      <c r="E95" s="113" t="str">
        <f aca="false">IF(OR(2&gt;$B$27,ISBLANK(Actuals!D71)),"",Actuals!D71)</f>
        <v/>
      </c>
      <c r="F95" s="113" t="n">
        <f aca="false">'Reforecast Q1 2026'!D71</f>
        <v>0</v>
      </c>
      <c r="G95" s="113" t="str">
        <f aca="false">IF(E95="","",E95-F95)</f>
        <v/>
      </c>
      <c r="H95" s="113" t="str">
        <f aca="false">IF(OR(3&gt;$B$27,ISBLANK(Actuals!E71)),"",Actuals!E71)</f>
        <v/>
      </c>
      <c r="I95" s="113" t="n">
        <f aca="false">'Reforecast Q1 2026'!E71</f>
        <v>0</v>
      </c>
      <c r="J95" s="113" t="str">
        <f aca="false">IF(H95="","",H95-I95)</f>
        <v/>
      </c>
      <c r="K95" s="113" t="str">
        <f aca="false">IF(OR(4&gt;$B$27,ISBLANK(Actuals!F71)),"",Actuals!F71)</f>
        <v/>
      </c>
      <c r="L95" s="113" t="n">
        <f aca="false">'Reforecast Q1 2026'!F71</f>
        <v>0</v>
      </c>
      <c r="M95" s="113" t="str">
        <f aca="false">IF(K95="","",K95-L95)</f>
        <v/>
      </c>
      <c r="N95" s="113" t="str">
        <f aca="false">IF(OR(5&gt;$B$27,ISBLANK(Actuals!G71)),"",Actuals!G71)</f>
        <v/>
      </c>
      <c r="O95" s="113" t="n">
        <f aca="false">'Reforecast Q1 2026'!G71</f>
        <v>0</v>
      </c>
      <c r="P95" s="113" t="str">
        <f aca="false">IF(N95="","",N95-O95)</f>
        <v/>
      </c>
      <c r="Q95" s="113" t="str">
        <f aca="false">IF(OR(6&gt;$B$27,ISBLANK(Actuals!H71)),"",Actuals!H71)</f>
        <v/>
      </c>
      <c r="R95" s="113" t="n">
        <f aca="false">'Reforecast Q1 2026'!H71</f>
        <v>0</v>
      </c>
      <c r="S95" s="113" t="str">
        <f aca="false">IF(Q95="","",Q95-R95)</f>
        <v/>
      </c>
      <c r="T95" s="113" t="str">
        <f aca="false">IF(OR(7&gt;$B$27,ISBLANK(Actuals!I71)),"",Actuals!I71)</f>
        <v/>
      </c>
      <c r="U95" s="113" t="n">
        <f aca="false">'Reforecast Q1 2026'!I71</f>
        <v>0</v>
      </c>
      <c r="V95" s="113" t="str">
        <f aca="false">IF(T95="","",T95-U95)</f>
        <v/>
      </c>
      <c r="W95" s="113" t="str">
        <f aca="false">IF(OR(8&gt;$B$27,ISBLANK(Actuals!J71)),"",Actuals!J71)</f>
        <v/>
      </c>
      <c r="X95" s="113" t="n">
        <f aca="false">'Reforecast Q1 2026'!J71</f>
        <v>0</v>
      </c>
      <c r="Y95" s="113" t="str">
        <f aca="false">IF(W95="","",W95-X95)</f>
        <v/>
      </c>
      <c r="Z95" s="113" t="str">
        <f aca="false">IF(OR(9&gt;$B$27,ISBLANK(Actuals!K71)),"",Actuals!K71)</f>
        <v/>
      </c>
      <c r="AA95" s="113" t="n">
        <f aca="false">'Reforecast Q1 2026'!K71</f>
        <v>0</v>
      </c>
      <c r="AB95" s="113" t="str">
        <f aca="false">IF(Z95="","",Z95-AA95)</f>
        <v/>
      </c>
      <c r="AC95" s="113" t="str">
        <f aca="false">IF(OR(10&gt;$B$27,ISBLANK(Actuals!L71)),"",Actuals!L71)</f>
        <v/>
      </c>
      <c r="AD95" s="113" t="n">
        <f aca="false">'Reforecast Q1 2026'!L71</f>
        <v>0</v>
      </c>
      <c r="AE95" s="113" t="str">
        <f aca="false">IF(AC95="","",AC95-AD95)</f>
        <v/>
      </c>
      <c r="AF95" s="113" t="str">
        <f aca="false">IF(OR(11&gt;$B$27,ISBLANK(Actuals!M71)),"",Actuals!M71)</f>
        <v/>
      </c>
      <c r="AG95" s="113" t="n">
        <f aca="false">'Reforecast Q1 2026'!M71</f>
        <v>0</v>
      </c>
      <c r="AH95" s="113" t="str">
        <f aca="false">IF(AF95="","",AF95-AG95)</f>
        <v/>
      </c>
      <c r="AI95" s="113" t="str">
        <f aca="false">IF(OR(12&gt;$B$27,ISBLANK(Actuals!N71)),"",Actuals!N71)</f>
        <v/>
      </c>
      <c r="AJ95" s="113" t="n">
        <f aca="false">'Reforecast Q1 2026'!N71</f>
        <v>0</v>
      </c>
      <c r="AK95" s="113" t="str">
        <f aca="false">IF(AI95="","",AI95-AJ95)</f>
        <v/>
      </c>
      <c r="AL95" s="116" t="n">
        <f aca="false">SUM(Actuals!$C71:INDEX(Actuals!$C71:$N71,$B$27))</f>
        <v>0</v>
      </c>
      <c r="AM95" s="116" t="n">
        <f aca="false">SUM('Reforecast Q1 2026'!$C71:INDEX('Reforecast Q1 2026'!$C71:$N71,$B$27))</f>
        <v>0</v>
      </c>
      <c r="AN95" s="116" t="n">
        <f aca="false">AL95-AM95</f>
        <v>0</v>
      </c>
    </row>
    <row r="96" customFormat="false" ht="15" hidden="true" customHeight="true" outlineLevel="1" collapsed="false">
      <c r="A96" s="109" t="s">
        <v>109</v>
      </c>
      <c r="B96" s="113" t="str">
        <f aca="false">IF(OR(1&gt;$B$27,ISBLANK(Actuals!C72)),"",Actuals!C72)</f>
        <v/>
      </c>
      <c r="C96" s="113" t="n">
        <f aca="false">'Reforecast Q1 2026'!C72</f>
        <v>0</v>
      </c>
      <c r="D96" s="113" t="str">
        <f aca="false">IF(B96="","",B96-C96)</f>
        <v/>
      </c>
      <c r="E96" s="113" t="str">
        <f aca="false">IF(OR(2&gt;$B$27,ISBLANK(Actuals!D72)),"",Actuals!D72)</f>
        <v/>
      </c>
      <c r="F96" s="113" t="n">
        <f aca="false">'Reforecast Q1 2026'!D72</f>
        <v>0</v>
      </c>
      <c r="G96" s="113" t="str">
        <f aca="false">IF(E96="","",E96-F96)</f>
        <v/>
      </c>
      <c r="H96" s="113" t="str">
        <f aca="false">IF(OR(3&gt;$B$27,ISBLANK(Actuals!E72)),"",Actuals!E72)</f>
        <v/>
      </c>
      <c r="I96" s="113" t="n">
        <f aca="false">'Reforecast Q1 2026'!E72</f>
        <v>0</v>
      </c>
      <c r="J96" s="113" t="str">
        <f aca="false">IF(H96="","",H96-I96)</f>
        <v/>
      </c>
      <c r="K96" s="113" t="str">
        <f aca="false">IF(OR(4&gt;$B$27,ISBLANK(Actuals!F72)),"",Actuals!F72)</f>
        <v/>
      </c>
      <c r="L96" s="113" t="n">
        <f aca="false">'Reforecast Q1 2026'!F72</f>
        <v>0</v>
      </c>
      <c r="M96" s="113" t="str">
        <f aca="false">IF(K96="","",K96-L96)</f>
        <v/>
      </c>
      <c r="N96" s="113" t="str">
        <f aca="false">IF(OR(5&gt;$B$27,ISBLANK(Actuals!G72)),"",Actuals!G72)</f>
        <v/>
      </c>
      <c r="O96" s="113" t="n">
        <f aca="false">'Reforecast Q1 2026'!G72</f>
        <v>0</v>
      </c>
      <c r="P96" s="113" t="str">
        <f aca="false">IF(N96="","",N96-O96)</f>
        <v/>
      </c>
      <c r="Q96" s="113" t="str">
        <f aca="false">IF(OR(6&gt;$B$27,ISBLANK(Actuals!H72)),"",Actuals!H72)</f>
        <v/>
      </c>
      <c r="R96" s="113" t="n">
        <f aca="false">'Reforecast Q1 2026'!H72</f>
        <v>0</v>
      </c>
      <c r="S96" s="113" t="str">
        <f aca="false">IF(Q96="","",Q96-R96)</f>
        <v/>
      </c>
      <c r="T96" s="113" t="str">
        <f aca="false">IF(OR(7&gt;$B$27,ISBLANK(Actuals!I72)),"",Actuals!I72)</f>
        <v/>
      </c>
      <c r="U96" s="113" t="n">
        <f aca="false">'Reforecast Q1 2026'!I72</f>
        <v>0</v>
      </c>
      <c r="V96" s="113" t="str">
        <f aca="false">IF(T96="","",T96-U96)</f>
        <v/>
      </c>
      <c r="W96" s="113" t="str">
        <f aca="false">IF(OR(8&gt;$B$27,ISBLANK(Actuals!J72)),"",Actuals!J72)</f>
        <v/>
      </c>
      <c r="X96" s="113" t="n">
        <f aca="false">'Reforecast Q1 2026'!J72</f>
        <v>0</v>
      </c>
      <c r="Y96" s="113" t="str">
        <f aca="false">IF(W96="","",W96-X96)</f>
        <v/>
      </c>
      <c r="Z96" s="113" t="str">
        <f aca="false">IF(OR(9&gt;$B$27,ISBLANK(Actuals!K72)),"",Actuals!K72)</f>
        <v/>
      </c>
      <c r="AA96" s="113" t="n">
        <f aca="false">'Reforecast Q1 2026'!K72</f>
        <v>0</v>
      </c>
      <c r="AB96" s="113" t="str">
        <f aca="false">IF(Z96="","",Z96-AA96)</f>
        <v/>
      </c>
      <c r="AC96" s="113" t="str">
        <f aca="false">IF(OR(10&gt;$B$27,ISBLANK(Actuals!L72)),"",Actuals!L72)</f>
        <v/>
      </c>
      <c r="AD96" s="113" t="n">
        <f aca="false">'Reforecast Q1 2026'!L72</f>
        <v>0</v>
      </c>
      <c r="AE96" s="113" t="str">
        <f aca="false">IF(AC96="","",AC96-AD96)</f>
        <v/>
      </c>
      <c r="AF96" s="113" t="str">
        <f aca="false">IF(OR(11&gt;$B$27,ISBLANK(Actuals!M72)),"",Actuals!M72)</f>
        <v/>
      </c>
      <c r="AG96" s="113" t="n">
        <f aca="false">'Reforecast Q1 2026'!M72</f>
        <v>0</v>
      </c>
      <c r="AH96" s="113" t="str">
        <f aca="false">IF(AF96="","",AF96-AG96)</f>
        <v/>
      </c>
      <c r="AI96" s="113" t="str">
        <f aca="false">IF(OR(12&gt;$B$27,ISBLANK(Actuals!N72)),"",Actuals!N72)</f>
        <v/>
      </c>
      <c r="AJ96" s="113" t="n">
        <f aca="false">'Reforecast Q1 2026'!N72</f>
        <v>0</v>
      </c>
      <c r="AK96" s="113" t="str">
        <f aca="false">IF(AI96="","",AI96-AJ96)</f>
        <v/>
      </c>
      <c r="AL96" s="116" t="n">
        <f aca="false">SUM(Actuals!$C72:INDEX(Actuals!$C72:$N72,$B$27))</f>
        <v>0</v>
      </c>
      <c r="AM96" s="116" t="n">
        <f aca="false">SUM('Reforecast Q1 2026'!$C72:INDEX('Reforecast Q1 2026'!$C72:$N72,$B$27))</f>
        <v>0</v>
      </c>
      <c r="AN96" s="116" t="n">
        <f aca="false">AL96-AM96</f>
        <v>0</v>
      </c>
    </row>
    <row r="97" customFormat="false" ht="15" hidden="true" customHeight="true" outlineLevel="1" collapsed="false">
      <c r="A97" s="109" t="s">
        <v>361</v>
      </c>
      <c r="B97" s="113" t="str">
        <f aca="false">IF(OR(1&gt;$B$27,ISBLANK(Actuals!C73)),"",Actuals!C73)</f>
        <v/>
      </c>
      <c r="C97" s="113" t="n">
        <f aca="false">'Reforecast Q1 2026'!C73</f>
        <v>0</v>
      </c>
      <c r="D97" s="113" t="str">
        <f aca="false">IF(B97="","",B97-C97)</f>
        <v/>
      </c>
      <c r="E97" s="113" t="str">
        <f aca="false">IF(OR(2&gt;$B$27,ISBLANK(Actuals!D73)),"",Actuals!D73)</f>
        <v/>
      </c>
      <c r="F97" s="113" t="n">
        <f aca="false">'Reforecast Q1 2026'!D73</f>
        <v>0</v>
      </c>
      <c r="G97" s="113" t="str">
        <f aca="false">IF(E97="","",E97-F97)</f>
        <v/>
      </c>
      <c r="H97" s="113" t="str">
        <f aca="false">IF(OR(3&gt;$B$27,ISBLANK(Actuals!E73)),"",Actuals!E73)</f>
        <v/>
      </c>
      <c r="I97" s="113" t="n">
        <f aca="false">'Reforecast Q1 2026'!E73</f>
        <v>0</v>
      </c>
      <c r="J97" s="113" t="str">
        <f aca="false">IF(H97="","",H97-I97)</f>
        <v/>
      </c>
      <c r="K97" s="113" t="str">
        <f aca="false">IF(OR(4&gt;$B$27,ISBLANK(Actuals!F73)),"",Actuals!F73)</f>
        <v/>
      </c>
      <c r="L97" s="113" t="n">
        <f aca="false">'Reforecast Q1 2026'!F73</f>
        <v>0</v>
      </c>
      <c r="M97" s="113" t="str">
        <f aca="false">IF(K97="","",K97-L97)</f>
        <v/>
      </c>
      <c r="N97" s="113" t="str">
        <f aca="false">IF(OR(5&gt;$B$27,ISBLANK(Actuals!G73)),"",Actuals!G73)</f>
        <v/>
      </c>
      <c r="O97" s="113" t="n">
        <f aca="false">'Reforecast Q1 2026'!G73</f>
        <v>0</v>
      </c>
      <c r="P97" s="113" t="str">
        <f aca="false">IF(N97="","",N97-O97)</f>
        <v/>
      </c>
      <c r="Q97" s="113" t="str">
        <f aca="false">IF(OR(6&gt;$B$27,ISBLANK(Actuals!H73)),"",Actuals!H73)</f>
        <v/>
      </c>
      <c r="R97" s="113" t="n">
        <f aca="false">'Reforecast Q1 2026'!H73</f>
        <v>0</v>
      </c>
      <c r="S97" s="113" t="str">
        <f aca="false">IF(Q97="","",Q97-R97)</f>
        <v/>
      </c>
      <c r="T97" s="113" t="str">
        <f aca="false">IF(OR(7&gt;$B$27,ISBLANK(Actuals!I73)),"",Actuals!I73)</f>
        <v/>
      </c>
      <c r="U97" s="113" t="n">
        <f aca="false">'Reforecast Q1 2026'!I73</f>
        <v>0</v>
      </c>
      <c r="V97" s="113" t="str">
        <f aca="false">IF(T97="","",T97-U97)</f>
        <v/>
      </c>
      <c r="W97" s="113" t="str">
        <f aca="false">IF(OR(8&gt;$B$27,ISBLANK(Actuals!J73)),"",Actuals!J73)</f>
        <v/>
      </c>
      <c r="X97" s="113" t="n">
        <f aca="false">'Reforecast Q1 2026'!J73</f>
        <v>0</v>
      </c>
      <c r="Y97" s="113" t="str">
        <f aca="false">IF(W97="","",W97-X97)</f>
        <v/>
      </c>
      <c r="Z97" s="113" t="str">
        <f aca="false">IF(OR(9&gt;$B$27,ISBLANK(Actuals!K73)),"",Actuals!K73)</f>
        <v/>
      </c>
      <c r="AA97" s="113" t="n">
        <f aca="false">'Reforecast Q1 2026'!K73</f>
        <v>0</v>
      </c>
      <c r="AB97" s="113" t="str">
        <f aca="false">IF(Z97="","",Z97-AA97)</f>
        <v/>
      </c>
      <c r="AC97" s="113" t="str">
        <f aca="false">IF(OR(10&gt;$B$27,ISBLANK(Actuals!L73)),"",Actuals!L73)</f>
        <v/>
      </c>
      <c r="AD97" s="113" t="n">
        <f aca="false">'Reforecast Q1 2026'!L73</f>
        <v>0</v>
      </c>
      <c r="AE97" s="113" t="str">
        <f aca="false">IF(AC97="","",AC97-AD97)</f>
        <v/>
      </c>
      <c r="AF97" s="113" t="str">
        <f aca="false">IF(OR(11&gt;$B$27,ISBLANK(Actuals!M73)),"",Actuals!M73)</f>
        <v/>
      </c>
      <c r="AG97" s="113" t="n">
        <f aca="false">'Reforecast Q1 2026'!M73</f>
        <v>0</v>
      </c>
      <c r="AH97" s="113" t="str">
        <f aca="false">IF(AF97="","",AF97-AG97)</f>
        <v/>
      </c>
      <c r="AI97" s="113" t="str">
        <f aca="false">IF(OR(12&gt;$B$27,ISBLANK(Actuals!N73)),"",Actuals!N73)</f>
        <v/>
      </c>
      <c r="AJ97" s="113" t="n">
        <f aca="false">'Reforecast Q1 2026'!N73</f>
        <v>0</v>
      </c>
      <c r="AK97" s="113" t="str">
        <f aca="false">IF(AI97="","",AI97-AJ97)</f>
        <v/>
      </c>
      <c r="AL97" s="116" t="n">
        <f aca="false">SUM(Actuals!$C73:INDEX(Actuals!$C73:$N73,$B$27))</f>
        <v>0</v>
      </c>
      <c r="AM97" s="116" t="n">
        <f aca="false">SUM('Reforecast Q1 2026'!$C73:INDEX('Reforecast Q1 2026'!$C73:$N73,$B$27))</f>
        <v>0</v>
      </c>
      <c r="AN97" s="116" t="n">
        <f aca="false">AL97-AM97</f>
        <v>0</v>
      </c>
    </row>
    <row r="98" customFormat="false" ht="15" hidden="true" customHeight="true" outlineLevel="1" collapsed="false">
      <c r="A98" s="109" t="s">
        <v>362</v>
      </c>
      <c r="B98" s="113" t="str">
        <f aca="false">IF(OR(1&gt;$B$27,ISBLANK(Actuals!C74)),"",Actuals!C74)</f>
        <v/>
      </c>
      <c r="C98" s="113" t="n">
        <f aca="false">'Reforecast Q1 2026'!C74</f>
        <v>0</v>
      </c>
      <c r="D98" s="113" t="str">
        <f aca="false">IF(B98="","",B98-C98)</f>
        <v/>
      </c>
      <c r="E98" s="113" t="str">
        <f aca="false">IF(OR(2&gt;$B$27,ISBLANK(Actuals!D74)),"",Actuals!D74)</f>
        <v/>
      </c>
      <c r="F98" s="113" t="n">
        <f aca="false">'Reforecast Q1 2026'!D74</f>
        <v>0</v>
      </c>
      <c r="G98" s="113" t="str">
        <f aca="false">IF(E98="","",E98-F98)</f>
        <v/>
      </c>
      <c r="H98" s="113" t="str">
        <f aca="false">IF(OR(3&gt;$B$27,ISBLANK(Actuals!E74)),"",Actuals!E74)</f>
        <v/>
      </c>
      <c r="I98" s="113" t="n">
        <f aca="false">'Reforecast Q1 2026'!E74</f>
        <v>0</v>
      </c>
      <c r="J98" s="113" t="str">
        <f aca="false">IF(H98="","",H98-I98)</f>
        <v/>
      </c>
      <c r="K98" s="113" t="str">
        <f aca="false">IF(OR(4&gt;$B$27,ISBLANK(Actuals!F74)),"",Actuals!F74)</f>
        <v/>
      </c>
      <c r="L98" s="113" t="n">
        <f aca="false">'Reforecast Q1 2026'!F74</f>
        <v>0</v>
      </c>
      <c r="M98" s="113" t="str">
        <f aca="false">IF(K98="","",K98-L98)</f>
        <v/>
      </c>
      <c r="N98" s="113" t="str">
        <f aca="false">IF(OR(5&gt;$B$27,ISBLANK(Actuals!G74)),"",Actuals!G74)</f>
        <v/>
      </c>
      <c r="O98" s="113" t="n">
        <f aca="false">'Reforecast Q1 2026'!G74</f>
        <v>0</v>
      </c>
      <c r="P98" s="113" t="str">
        <f aca="false">IF(N98="","",N98-O98)</f>
        <v/>
      </c>
      <c r="Q98" s="113" t="str">
        <f aca="false">IF(OR(6&gt;$B$27,ISBLANK(Actuals!H74)),"",Actuals!H74)</f>
        <v/>
      </c>
      <c r="R98" s="113" t="n">
        <f aca="false">'Reforecast Q1 2026'!H74</f>
        <v>0</v>
      </c>
      <c r="S98" s="113" t="str">
        <f aca="false">IF(Q98="","",Q98-R98)</f>
        <v/>
      </c>
      <c r="T98" s="113" t="str">
        <f aca="false">IF(OR(7&gt;$B$27,ISBLANK(Actuals!I74)),"",Actuals!I74)</f>
        <v/>
      </c>
      <c r="U98" s="113" t="n">
        <f aca="false">'Reforecast Q1 2026'!I74</f>
        <v>0</v>
      </c>
      <c r="V98" s="113" t="str">
        <f aca="false">IF(T98="","",T98-U98)</f>
        <v/>
      </c>
      <c r="W98" s="113" t="str">
        <f aca="false">IF(OR(8&gt;$B$27,ISBLANK(Actuals!J74)),"",Actuals!J74)</f>
        <v/>
      </c>
      <c r="X98" s="113" t="n">
        <f aca="false">'Reforecast Q1 2026'!J74</f>
        <v>0</v>
      </c>
      <c r="Y98" s="113" t="str">
        <f aca="false">IF(W98="","",W98-X98)</f>
        <v/>
      </c>
      <c r="Z98" s="113" t="str">
        <f aca="false">IF(OR(9&gt;$B$27,ISBLANK(Actuals!K74)),"",Actuals!K74)</f>
        <v/>
      </c>
      <c r="AA98" s="113" t="n">
        <f aca="false">'Reforecast Q1 2026'!K74</f>
        <v>0</v>
      </c>
      <c r="AB98" s="113" t="str">
        <f aca="false">IF(Z98="","",Z98-AA98)</f>
        <v/>
      </c>
      <c r="AC98" s="113" t="str">
        <f aca="false">IF(OR(10&gt;$B$27,ISBLANK(Actuals!L74)),"",Actuals!L74)</f>
        <v/>
      </c>
      <c r="AD98" s="113" t="n">
        <f aca="false">'Reforecast Q1 2026'!L74</f>
        <v>0</v>
      </c>
      <c r="AE98" s="113" t="str">
        <f aca="false">IF(AC98="","",AC98-AD98)</f>
        <v/>
      </c>
      <c r="AF98" s="113" t="str">
        <f aca="false">IF(OR(11&gt;$B$27,ISBLANK(Actuals!M74)),"",Actuals!M74)</f>
        <v/>
      </c>
      <c r="AG98" s="113" t="n">
        <f aca="false">'Reforecast Q1 2026'!M74</f>
        <v>0</v>
      </c>
      <c r="AH98" s="113" t="str">
        <f aca="false">IF(AF98="","",AF98-AG98)</f>
        <v/>
      </c>
      <c r="AI98" s="113" t="str">
        <f aca="false">IF(OR(12&gt;$B$27,ISBLANK(Actuals!N74)),"",Actuals!N74)</f>
        <v/>
      </c>
      <c r="AJ98" s="113" t="n">
        <f aca="false">'Reforecast Q1 2026'!N74</f>
        <v>0</v>
      </c>
      <c r="AK98" s="113" t="str">
        <f aca="false">IF(AI98="","",AI98-AJ98)</f>
        <v/>
      </c>
      <c r="AL98" s="116" t="n">
        <f aca="false">SUM(Actuals!$C74:INDEX(Actuals!$C74:$N74,$B$27))</f>
        <v>0</v>
      </c>
      <c r="AM98" s="116" t="n">
        <f aca="false">SUM('Reforecast Q1 2026'!$C74:INDEX('Reforecast Q1 2026'!$C74:$N74,$B$27))</f>
        <v>0</v>
      </c>
      <c r="AN98" s="116" t="n">
        <f aca="false">AL98-AM98</f>
        <v>0</v>
      </c>
    </row>
    <row r="99" customFormat="false" ht="15" hidden="true" customHeight="true" outlineLevel="1" collapsed="false">
      <c r="A99" s="109" t="s">
        <v>112</v>
      </c>
      <c r="B99" s="113" t="str">
        <f aca="false">IF(OR(1&gt;$B$27,ISBLANK(Actuals!C75)),"",Actuals!C75)</f>
        <v/>
      </c>
      <c r="C99" s="113" t="n">
        <f aca="false">'Reforecast Q1 2026'!C75</f>
        <v>0</v>
      </c>
      <c r="D99" s="113" t="str">
        <f aca="false">IF(B99="","",B99-C99)</f>
        <v/>
      </c>
      <c r="E99" s="113" t="str">
        <f aca="false">IF(OR(2&gt;$B$27,ISBLANK(Actuals!D75)),"",Actuals!D75)</f>
        <v/>
      </c>
      <c r="F99" s="113" t="n">
        <f aca="false">'Reforecast Q1 2026'!D75</f>
        <v>0</v>
      </c>
      <c r="G99" s="113" t="str">
        <f aca="false">IF(E99="","",E99-F99)</f>
        <v/>
      </c>
      <c r="H99" s="113" t="str">
        <f aca="false">IF(OR(3&gt;$B$27,ISBLANK(Actuals!E75)),"",Actuals!E75)</f>
        <v/>
      </c>
      <c r="I99" s="113" t="n">
        <f aca="false">'Reforecast Q1 2026'!E75</f>
        <v>0</v>
      </c>
      <c r="J99" s="113" t="str">
        <f aca="false">IF(H99="","",H99-I99)</f>
        <v/>
      </c>
      <c r="K99" s="113" t="str">
        <f aca="false">IF(OR(4&gt;$B$27,ISBLANK(Actuals!F75)),"",Actuals!F75)</f>
        <v/>
      </c>
      <c r="L99" s="113" t="n">
        <f aca="false">'Reforecast Q1 2026'!F75</f>
        <v>0</v>
      </c>
      <c r="M99" s="113" t="str">
        <f aca="false">IF(K99="","",K99-L99)</f>
        <v/>
      </c>
      <c r="N99" s="113" t="str">
        <f aca="false">IF(OR(5&gt;$B$27,ISBLANK(Actuals!G75)),"",Actuals!G75)</f>
        <v/>
      </c>
      <c r="O99" s="113" t="n">
        <f aca="false">'Reforecast Q1 2026'!G75</f>
        <v>0</v>
      </c>
      <c r="P99" s="113" t="str">
        <f aca="false">IF(N99="","",N99-O99)</f>
        <v/>
      </c>
      <c r="Q99" s="113" t="str">
        <f aca="false">IF(OR(6&gt;$B$27,ISBLANK(Actuals!H75)),"",Actuals!H75)</f>
        <v/>
      </c>
      <c r="R99" s="113" t="n">
        <f aca="false">'Reforecast Q1 2026'!H75</f>
        <v>0</v>
      </c>
      <c r="S99" s="113" t="str">
        <f aca="false">IF(Q99="","",Q99-R99)</f>
        <v/>
      </c>
      <c r="T99" s="113" t="str">
        <f aca="false">IF(OR(7&gt;$B$27,ISBLANK(Actuals!I75)),"",Actuals!I75)</f>
        <v/>
      </c>
      <c r="U99" s="113" t="n">
        <f aca="false">'Reforecast Q1 2026'!I75</f>
        <v>0</v>
      </c>
      <c r="V99" s="113" t="str">
        <f aca="false">IF(T99="","",T99-U99)</f>
        <v/>
      </c>
      <c r="W99" s="113" t="str">
        <f aca="false">IF(OR(8&gt;$B$27,ISBLANK(Actuals!J75)),"",Actuals!J75)</f>
        <v/>
      </c>
      <c r="X99" s="113" t="n">
        <f aca="false">'Reforecast Q1 2026'!J75</f>
        <v>0</v>
      </c>
      <c r="Y99" s="113" t="str">
        <f aca="false">IF(W99="","",W99-X99)</f>
        <v/>
      </c>
      <c r="Z99" s="113" t="str">
        <f aca="false">IF(OR(9&gt;$B$27,ISBLANK(Actuals!K75)),"",Actuals!K75)</f>
        <v/>
      </c>
      <c r="AA99" s="113" t="n">
        <f aca="false">'Reforecast Q1 2026'!K75</f>
        <v>0</v>
      </c>
      <c r="AB99" s="113" t="str">
        <f aca="false">IF(Z99="","",Z99-AA99)</f>
        <v/>
      </c>
      <c r="AC99" s="113" t="str">
        <f aca="false">IF(OR(10&gt;$B$27,ISBLANK(Actuals!L75)),"",Actuals!L75)</f>
        <v/>
      </c>
      <c r="AD99" s="113" t="n">
        <f aca="false">'Reforecast Q1 2026'!L75</f>
        <v>0</v>
      </c>
      <c r="AE99" s="113" t="str">
        <f aca="false">IF(AC99="","",AC99-AD99)</f>
        <v/>
      </c>
      <c r="AF99" s="113" t="str">
        <f aca="false">IF(OR(11&gt;$B$27,ISBLANK(Actuals!M75)),"",Actuals!M75)</f>
        <v/>
      </c>
      <c r="AG99" s="113" t="n">
        <f aca="false">'Reforecast Q1 2026'!M75</f>
        <v>0</v>
      </c>
      <c r="AH99" s="113" t="str">
        <f aca="false">IF(AF99="","",AF99-AG99)</f>
        <v/>
      </c>
      <c r="AI99" s="113" t="str">
        <f aca="false">IF(OR(12&gt;$B$27,ISBLANK(Actuals!N75)),"",Actuals!N75)</f>
        <v/>
      </c>
      <c r="AJ99" s="113" t="n">
        <f aca="false">'Reforecast Q1 2026'!N75</f>
        <v>0</v>
      </c>
      <c r="AK99" s="113" t="str">
        <f aca="false">IF(AI99="","",AI99-AJ99)</f>
        <v/>
      </c>
      <c r="AL99" s="116" t="n">
        <f aca="false">SUM(Actuals!$C75:INDEX(Actuals!$C75:$N75,$B$27))</f>
        <v>0</v>
      </c>
      <c r="AM99" s="116" t="n">
        <f aca="false">SUM('Reforecast Q1 2026'!$C75:INDEX('Reforecast Q1 2026'!$C75:$N75,$B$27))</f>
        <v>0</v>
      </c>
      <c r="AN99" s="116" t="n">
        <f aca="false">AL99-AM99</f>
        <v>0</v>
      </c>
    </row>
    <row r="100" customFormat="false" ht="15" hidden="true" customHeight="true" outlineLevel="1" collapsed="false">
      <c r="A100" s="109" t="s">
        <v>363</v>
      </c>
      <c r="B100" s="113" t="str">
        <f aca="false">IF(OR(1&gt;$B$27,ISBLANK(Actuals!C76)),"",Actuals!C76)</f>
        <v/>
      </c>
      <c r="C100" s="113" t="n">
        <f aca="false">'Reforecast Q1 2026'!C76</f>
        <v>0</v>
      </c>
      <c r="D100" s="113" t="str">
        <f aca="false">IF(B100="","",B100-C100)</f>
        <v/>
      </c>
      <c r="E100" s="113" t="str">
        <f aca="false">IF(OR(2&gt;$B$27,ISBLANK(Actuals!D76)),"",Actuals!D76)</f>
        <v/>
      </c>
      <c r="F100" s="113" t="n">
        <f aca="false">'Reforecast Q1 2026'!D76</f>
        <v>0</v>
      </c>
      <c r="G100" s="113" t="str">
        <f aca="false">IF(E100="","",E100-F100)</f>
        <v/>
      </c>
      <c r="H100" s="113" t="str">
        <f aca="false">IF(OR(3&gt;$B$27,ISBLANK(Actuals!E76)),"",Actuals!E76)</f>
        <v/>
      </c>
      <c r="I100" s="113" t="n">
        <f aca="false">'Reforecast Q1 2026'!E76</f>
        <v>0</v>
      </c>
      <c r="J100" s="113" t="str">
        <f aca="false">IF(H100="","",H100-I100)</f>
        <v/>
      </c>
      <c r="K100" s="113" t="str">
        <f aca="false">IF(OR(4&gt;$B$27,ISBLANK(Actuals!F76)),"",Actuals!F76)</f>
        <v/>
      </c>
      <c r="L100" s="113" t="n">
        <f aca="false">'Reforecast Q1 2026'!F76</f>
        <v>0</v>
      </c>
      <c r="M100" s="113" t="str">
        <f aca="false">IF(K100="","",K100-L100)</f>
        <v/>
      </c>
      <c r="N100" s="113" t="str">
        <f aca="false">IF(OR(5&gt;$B$27,ISBLANK(Actuals!G76)),"",Actuals!G76)</f>
        <v/>
      </c>
      <c r="O100" s="113" t="n">
        <f aca="false">'Reforecast Q1 2026'!G76</f>
        <v>0</v>
      </c>
      <c r="P100" s="113" t="str">
        <f aca="false">IF(N100="","",N100-O100)</f>
        <v/>
      </c>
      <c r="Q100" s="113" t="str">
        <f aca="false">IF(OR(6&gt;$B$27,ISBLANK(Actuals!H76)),"",Actuals!H76)</f>
        <v/>
      </c>
      <c r="R100" s="113" t="n">
        <f aca="false">'Reforecast Q1 2026'!H76</f>
        <v>0</v>
      </c>
      <c r="S100" s="113" t="str">
        <f aca="false">IF(Q100="","",Q100-R100)</f>
        <v/>
      </c>
      <c r="T100" s="113" t="str">
        <f aca="false">IF(OR(7&gt;$B$27,ISBLANK(Actuals!I76)),"",Actuals!I76)</f>
        <v/>
      </c>
      <c r="U100" s="113" t="n">
        <f aca="false">'Reforecast Q1 2026'!I76</f>
        <v>0</v>
      </c>
      <c r="V100" s="113" t="str">
        <f aca="false">IF(T100="","",T100-U100)</f>
        <v/>
      </c>
      <c r="W100" s="113" t="str">
        <f aca="false">IF(OR(8&gt;$B$27,ISBLANK(Actuals!J76)),"",Actuals!J76)</f>
        <v/>
      </c>
      <c r="X100" s="113" t="n">
        <f aca="false">'Reforecast Q1 2026'!J76</f>
        <v>0</v>
      </c>
      <c r="Y100" s="113" t="str">
        <f aca="false">IF(W100="","",W100-X100)</f>
        <v/>
      </c>
      <c r="Z100" s="113" t="str">
        <f aca="false">IF(OR(9&gt;$B$27,ISBLANK(Actuals!K76)),"",Actuals!K76)</f>
        <v/>
      </c>
      <c r="AA100" s="113" t="n">
        <f aca="false">'Reforecast Q1 2026'!K76</f>
        <v>0</v>
      </c>
      <c r="AB100" s="113" t="str">
        <f aca="false">IF(Z100="","",Z100-AA100)</f>
        <v/>
      </c>
      <c r="AC100" s="113" t="str">
        <f aca="false">IF(OR(10&gt;$B$27,ISBLANK(Actuals!L76)),"",Actuals!L76)</f>
        <v/>
      </c>
      <c r="AD100" s="113" t="n">
        <f aca="false">'Reforecast Q1 2026'!L76</f>
        <v>0</v>
      </c>
      <c r="AE100" s="113" t="str">
        <f aca="false">IF(AC100="","",AC100-AD100)</f>
        <v/>
      </c>
      <c r="AF100" s="113" t="str">
        <f aca="false">IF(OR(11&gt;$B$27,ISBLANK(Actuals!M76)),"",Actuals!M76)</f>
        <v/>
      </c>
      <c r="AG100" s="113" t="n">
        <f aca="false">'Reforecast Q1 2026'!M76</f>
        <v>0</v>
      </c>
      <c r="AH100" s="113" t="str">
        <f aca="false">IF(AF100="","",AF100-AG100)</f>
        <v/>
      </c>
      <c r="AI100" s="113" t="str">
        <f aca="false">IF(OR(12&gt;$B$27,ISBLANK(Actuals!N76)),"",Actuals!N76)</f>
        <v/>
      </c>
      <c r="AJ100" s="113" t="n">
        <f aca="false">'Reforecast Q1 2026'!N76</f>
        <v>0</v>
      </c>
      <c r="AK100" s="113" t="str">
        <f aca="false">IF(AI100="","",AI100-AJ100)</f>
        <v/>
      </c>
      <c r="AL100" s="116" t="n">
        <f aca="false">SUM(Actuals!$C76:INDEX(Actuals!$C76:$N76,$B$27))</f>
        <v>0</v>
      </c>
      <c r="AM100" s="116" t="n">
        <f aca="false">SUM('Reforecast Q1 2026'!$C76:INDEX('Reforecast Q1 2026'!$C76:$N76,$B$27))</f>
        <v>0</v>
      </c>
      <c r="AN100" s="116" t="n">
        <f aca="false">AL100-AM100</f>
        <v>0</v>
      </c>
    </row>
    <row r="101" customFormat="false" ht="15" hidden="true" customHeight="true" outlineLevel="1" collapsed="false">
      <c r="A101" s="109" t="s">
        <v>114</v>
      </c>
      <c r="B101" s="113" t="str">
        <f aca="false">IF(OR(1&gt;$B$27,ISBLANK(Actuals!C77)),"",Actuals!C77)</f>
        <v/>
      </c>
      <c r="C101" s="113" t="n">
        <f aca="false">'Reforecast Q1 2026'!C77</f>
        <v>0</v>
      </c>
      <c r="D101" s="113" t="str">
        <f aca="false">IF(B101="","",B101-C101)</f>
        <v/>
      </c>
      <c r="E101" s="113" t="str">
        <f aca="false">IF(OR(2&gt;$B$27,ISBLANK(Actuals!D77)),"",Actuals!D77)</f>
        <v/>
      </c>
      <c r="F101" s="113" t="n">
        <f aca="false">'Reforecast Q1 2026'!D77</f>
        <v>0</v>
      </c>
      <c r="G101" s="113" t="str">
        <f aca="false">IF(E101="","",E101-F101)</f>
        <v/>
      </c>
      <c r="H101" s="113" t="str">
        <f aca="false">IF(OR(3&gt;$B$27,ISBLANK(Actuals!E77)),"",Actuals!E77)</f>
        <v/>
      </c>
      <c r="I101" s="113" t="n">
        <f aca="false">'Reforecast Q1 2026'!E77</f>
        <v>0</v>
      </c>
      <c r="J101" s="113" t="str">
        <f aca="false">IF(H101="","",H101-I101)</f>
        <v/>
      </c>
      <c r="K101" s="113" t="str">
        <f aca="false">IF(OR(4&gt;$B$27,ISBLANK(Actuals!F77)),"",Actuals!F77)</f>
        <v/>
      </c>
      <c r="L101" s="113" t="n">
        <f aca="false">'Reforecast Q1 2026'!F77</f>
        <v>0</v>
      </c>
      <c r="M101" s="113" t="str">
        <f aca="false">IF(K101="","",K101-L101)</f>
        <v/>
      </c>
      <c r="N101" s="113" t="str">
        <f aca="false">IF(OR(5&gt;$B$27,ISBLANK(Actuals!G77)),"",Actuals!G77)</f>
        <v/>
      </c>
      <c r="O101" s="113" t="n">
        <f aca="false">'Reforecast Q1 2026'!G77</f>
        <v>0</v>
      </c>
      <c r="P101" s="113" t="str">
        <f aca="false">IF(N101="","",N101-O101)</f>
        <v/>
      </c>
      <c r="Q101" s="113" t="str">
        <f aca="false">IF(OR(6&gt;$B$27,ISBLANK(Actuals!H77)),"",Actuals!H77)</f>
        <v/>
      </c>
      <c r="R101" s="113" t="n">
        <f aca="false">'Reforecast Q1 2026'!H77</f>
        <v>0</v>
      </c>
      <c r="S101" s="113" t="str">
        <f aca="false">IF(Q101="","",Q101-R101)</f>
        <v/>
      </c>
      <c r="T101" s="113" t="str">
        <f aca="false">IF(OR(7&gt;$B$27,ISBLANK(Actuals!I77)),"",Actuals!I77)</f>
        <v/>
      </c>
      <c r="U101" s="113" t="n">
        <f aca="false">'Reforecast Q1 2026'!I77</f>
        <v>0</v>
      </c>
      <c r="V101" s="113" t="str">
        <f aca="false">IF(T101="","",T101-U101)</f>
        <v/>
      </c>
      <c r="W101" s="113" t="n">
        <f aca="false">IF(OR(8&gt;$B$27,ISBLANK(Actuals!J77)),"",Actuals!J77)</f>
        <v>127514</v>
      </c>
      <c r="X101" s="113" t="n">
        <f aca="false">'Reforecast Q1 2026'!J77</f>
        <v>0</v>
      </c>
      <c r="Y101" s="113" t="n">
        <f aca="false">IF(W101="","",W101-X101)</f>
        <v>127514</v>
      </c>
      <c r="Z101" s="113" t="str">
        <f aca="false">IF(OR(9&gt;$B$27,ISBLANK(Actuals!K77)),"",Actuals!K77)</f>
        <v/>
      </c>
      <c r="AA101" s="113" t="n">
        <f aca="false">'Reforecast Q1 2026'!K77</f>
        <v>0</v>
      </c>
      <c r="AB101" s="113" t="str">
        <f aca="false">IF(Z101="","",Z101-AA101)</f>
        <v/>
      </c>
      <c r="AC101" s="113" t="str">
        <f aca="false">IF(OR(10&gt;$B$27,ISBLANK(Actuals!L77)),"",Actuals!L77)</f>
        <v/>
      </c>
      <c r="AD101" s="113" t="n">
        <f aca="false">'Reforecast Q1 2026'!L77</f>
        <v>0</v>
      </c>
      <c r="AE101" s="113" t="str">
        <f aca="false">IF(AC101="","",AC101-AD101)</f>
        <v/>
      </c>
      <c r="AF101" s="113" t="str">
        <f aca="false">IF(OR(11&gt;$B$27,ISBLANK(Actuals!M77)),"",Actuals!M77)</f>
        <v/>
      </c>
      <c r="AG101" s="113" t="n">
        <f aca="false">'Reforecast Q1 2026'!M77</f>
        <v>0</v>
      </c>
      <c r="AH101" s="113" t="str">
        <f aca="false">IF(AF101="","",AF101-AG101)</f>
        <v/>
      </c>
      <c r="AI101" s="113" t="str">
        <f aca="false">IF(OR(12&gt;$B$27,ISBLANK(Actuals!N77)),"",Actuals!N77)</f>
        <v/>
      </c>
      <c r="AJ101" s="113" t="n">
        <f aca="false">'Reforecast Q1 2026'!N77</f>
        <v>0</v>
      </c>
      <c r="AK101" s="113" t="str">
        <f aca="false">IF(AI101="","",AI101-AJ101)</f>
        <v/>
      </c>
      <c r="AL101" s="116" t="n">
        <f aca="false">SUM(Actuals!$C77:INDEX(Actuals!$C77:$N77,$B$27))</f>
        <v>127514</v>
      </c>
      <c r="AM101" s="116" t="n">
        <f aca="false">SUM('Reforecast Q1 2026'!$C77:INDEX('Reforecast Q1 2026'!$C77:$N77,$B$27))</f>
        <v>0</v>
      </c>
      <c r="AN101" s="116" t="n">
        <f aca="false">AL101-AM101</f>
        <v>127514</v>
      </c>
    </row>
    <row r="102" customFormat="false" ht="15" hidden="true" customHeight="true" outlineLevel="1" collapsed="false">
      <c r="A102" s="109" t="s">
        <v>115</v>
      </c>
      <c r="B102" s="113" t="str">
        <f aca="false">IF(OR(1&gt;$B$27,ISBLANK(Actuals!C78)),"",Actuals!C78)</f>
        <v/>
      </c>
      <c r="C102" s="113" t="n">
        <f aca="false">'Reforecast Q1 2026'!C78</f>
        <v>0</v>
      </c>
      <c r="D102" s="113" t="str">
        <f aca="false">IF(B102="","",B102-C102)</f>
        <v/>
      </c>
      <c r="E102" s="113" t="str">
        <f aca="false">IF(OR(2&gt;$B$27,ISBLANK(Actuals!D78)),"",Actuals!D78)</f>
        <v/>
      </c>
      <c r="F102" s="113" t="n">
        <f aca="false">'Reforecast Q1 2026'!D78</f>
        <v>0</v>
      </c>
      <c r="G102" s="113" t="str">
        <f aca="false">IF(E102="","",E102-F102)</f>
        <v/>
      </c>
      <c r="H102" s="113" t="str">
        <f aca="false">IF(OR(3&gt;$B$27,ISBLANK(Actuals!E78)),"",Actuals!E78)</f>
        <v/>
      </c>
      <c r="I102" s="113" t="n">
        <f aca="false">'Reforecast Q1 2026'!E78</f>
        <v>0</v>
      </c>
      <c r="J102" s="113" t="str">
        <f aca="false">IF(H102="","",H102-I102)</f>
        <v/>
      </c>
      <c r="K102" s="113" t="str">
        <f aca="false">IF(OR(4&gt;$B$27,ISBLANK(Actuals!F78)),"",Actuals!F78)</f>
        <v/>
      </c>
      <c r="L102" s="113" t="n">
        <f aca="false">'Reforecast Q1 2026'!F78</f>
        <v>0</v>
      </c>
      <c r="M102" s="113" t="str">
        <f aca="false">IF(K102="","",K102-L102)</f>
        <v/>
      </c>
      <c r="N102" s="113" t="str">
        <f aca="false">IF(OR(5&gt;$B$27,ISBLANK(Actuals!G78)),"",Actuals!G78)</f>
        <v/>
      </c>
      <c r="O102" s="113" t="n">
        <f aca="false">'Reforecast Q1 2026'!G78</f>
        <v>0</v>
      </c>
      <c r="P102" s="113" t="str">
        <f aca="false">IF(N102="","",N102-O102)</f>
        <v/>
      </c>
      <c r="Q102" s="113" t="str">
        <f aca="false">IF(OR(6&gt;$B$27,ISBLANK(Actuals!H78)),"",Actuals!H78)</f>
        <v/>
      </c>
      <c r="R102" s="113" t="n">
        <f aca="false">'Reforecast Q1 2026'!H78</f>
        <v>0</v>
      </c>
      <c r="S102" s="113" t="str">
        <f aca="false">IF(Q102="","",Q102-R102)</f>
        <v/>
      </c>
      <c r="T102" s="113" t="str">
        <f aca="false">IF(OR(7&gt;$B$27,ISBLANK(Actuals!I78)),"",Actuals!I78)</f>
        <v/>
      </c>
      <c r="U102" s="113" t="n">
        <f aca="false">'Reforecast Q1 2026'!I78</f>
        <v>0</v>
      </c>
      <c r="V102" s="113" t="str">
        <f aca="false">IF(T102="","",T102-U102)</f>
        <v/>
      </c>
      <c r="W102" s="113" t="str">
        <f aca="false">IF(OR(8&gt;$B$27,ISBLANK(Actuals!J78)),"",Actuals!J78)</f>
        <v/>
      </c>
      <c r="X102" s="113" t="n">
        <f aca="false">'Reforecast Q1 2026'!J78</f>
        <v>0</v>
      </c>
      <c r="Y102" s="113" t="str">
        <f aca="false">IF(W102="","",W102-X102)</f>
        <v/>
      </c>
      <c r="Z102" s="113" t="str">
        <f aca="false">IF(OR(9&gt;$B$27,ISBLANK(Actuals!K78)),"",Actuals!K78)</f>
        <v/>
      </c>
      <c r="AA102" s="113" t="n">
        <f aca="false">'Reforecast Q1 2026'!K78</f>
        <v>0</v>
      </c>
      <c r="AB102" s="113" t="str">
        <f aca="false">IF(Z102="","",Z102-AA102)</f>
        <v/>
      </c>
      <c r="AC102" s="113" t="str">
        <f aca="false">IF(OR(10&gt;$B$27,ISBLANK(Actuals!L78)),"",Actuals!L78)</f>
        <v/>
      </c>
      <c r="AD102" s="113" t="n">
        <f aca="false">'Reforecast Q1 2026'!L78</f>
        <v>0</v>
      </c>
      <c r="AE102" s="113" t="str">
        <f aca="false">IF(AC102="","",AC102-AD102)</f>
        <v/>
      </c>
      <c r="AF102" s="113" t="str">
        <f aca="false">IF(OR(11&gt;$B$27,ISBLANK(Actuals!M78)),"",Actuals!M78)</f>
        <v/>
      </c>
      <c r="AG102" s="113" t="n">
        <f aca="false">'Reforecast Q1 2026'!M78</f>
        <v>0</v>
      </c>
      <c r="AH102" s="113" t="str">
        <f aca="false">IF(AF102="","",AF102-AG102)</f>
        <v/>
      </c>
      <c r="AI102" s="113" t="str">
        <f aca="false">IF(OR(12&gt;$B$27,ISBLANK(Actuals!N78)),"",Actuals!N78)</f>
        <v/>
      </c>
      <c r="AJ102" s="113" t="n">
        <f aca="false">'Reforecast Q1 2026'!N78</f>
        <v>0</v>
      </c>
      <c r="AK102" s="113" t="str">
        <f aca="false">IF(AI102="","",AI102-AJ102)</f>
        <v/>
      </c>
      <c r="AL102" s="116" t="n">
        <f aca="false">SUM(Actuals!$C78:INDEX(Actuals!$C78:$N78,$B$27))</f>
        <v>0</v>
      </c>
      <c r="AM102" s="116" t="n">
        <f aca="false">SUM('Reforecast Q1 2026'!$C78:INDEX('Reforecast Q1 2026'!$C78:$N78,$B$27))</f>
        <v>0</v>
      </c>
      <c r="AN102" s="116" t="n">
        <f aca="false">AL102-AM102</f>
        <v>0</v>
      </c>
    </row>
    <row r="103" customFormat="false" ht="15" hidden="true" customHeight="true" outlineLevel="1" collapsed="false">
      <c r="A103" s="109" t="s">
        <v>116</v>
      </c>
      <c r="B103" s="113" t="str">
        <f aca="false">IF(OR(1&gt;$B$27,ISBLANK(Actuals!C79)),"",Actuals!C79)</f>
        <v/>
      </c>
      <c r="C103" s="113" t="n">
        <f aca="false">'Reforecast Q1 2026'!C79</f>
        <v>0</v>
      </c>
      <c r="D103" s="113" t="str">
        <f aca="false">IF(B103="","",B103-C103)</f>
        <v/>
      </c>
      <c r="E103" s="113" t="str">
        <f aca="false">IF(OR(2&gt;$B$27,ISBLANK(Actuals!D79)),"",Actuals!D79)</f>
        <v/>
      </c>
      <c r="F103" s="113" t="n">
        <f aca="false">'Reforecast Q1 2026'!D79</f>
        <v>0</v>
      </c>
      <c r="G103" s="113" t="str">
        <f aca="false">IF(E103="","",E103-F103)</f>
        <v/>
      </c>
      <c r="H103" s="113" t="str">
        <f aca="false">IF(OR(3&gt;$B$27,ISBLANK(Actuals!E79)),"",Actuals!E79)</f>
        <v/>
      </c>
      <c r="I103" s="113" t="n">
        <f aca="false">'Reforecast Q1 2026'!E79</f>
        <v>0</v>
      </c>
      <c r="J103" s="113" t="str">
        <f aca="false">IF(H103="","",H103-I103)</f>
        <v/>
      </c>
      <c r="K103" s="113" t="str">
        <f aca="false">IF(OR(4&gt;$B$27,ISBLANK(Actuals!F79)),"",Actuals!F79)</f>
        <v/>
      </c>
      <c r="L103" s="113" t="n">
        <f aca="false">'Reforecast Q1 2026'!F79</f>
        <v>0</v>
      </c>
      <c r="M103" s="113" t="str">
        <f aca="false">IF(K103="","",K103-L103)</f>
        <v/>
      </c>
      <c r="N103" s="113" t="str">
        <f aca="false">IF(OR(5&gt;$B$27,ISBLANK(Actuals!G79)),"",Actuals!G79)</f>
        <v/>
      </c>
      <c r="O103" s="113" t="n">
        <f aca="false">'Reforecast Q1 2026'!G79</f>
        <v>0</v>
      </c>
      <c r="P103" s="113" t="str">
        <f aca="false">IF(N103="","",N103-O103)</f>
        <v/>
      </c>
      <c r="Q103" s="113" t="str">
        <f aca="false">IF(OR(6&gt;$B$27,ISBLANK(Actuals!H79)),"",Actuals!H79)</f>
        <v/>
      </c>
      <c r="R103" s="113" t="n">
        <f aca="false">'Reforecast Q1 2026'!H79</f>
        <v>0</v>
      </c>
      <c r="S103" s="113" t="str">
        <f aca="false">IF(Q103="","",Q103-R103)</f>
        <v/>
      </c>
      <c r="T103" s="113" t="str">
        <f aca="false">IF(OR(7&gt;$B$27,ISBLANK(Actuals!I79)),"",Actuals!I79)</f>
        <v/>
      </c>
      <c r="U103" s="113" t="n">
        <f aca="false">'Reforecast Q1 2026'!I79</f>
        <v>0</v>
      </c>
      <c r="V103" s="113" t="str">
        <f aca="false">IF(T103="","",T103-U103)</f>
        <v/>
      </c>
      <c r="W103" s="113" t="str">
        <f aca="false">IF(OR(8&gt;$B$27,ISBLANK(Actuals!J79)),"",Actuals!J79)</f>
        <v/>
      </c>
      <c r="X103" s="113" t="n">
        <f aca="false">'Reforecast Q1 2026'!J79</f>
        <v>0</v>
      </c>
      <c r="Y103" s="113" t="str">
        <f aca="false">IF(W103="","",W103-X103)</f>
        <v/>
      </c>
      <c r="Z103" s="113" t="str">
        <f aca="false">IF(OR(9&gt;$B$27,ISBLANK(Actuals!K79)),"",Actuals!K79)</f>
        <v/>
      </c>
      <c r="AA103" s="113" t="n">
        <f aca="false">'Reforecast Q1 2026'!K79</f>
        <v>0</v>
      </c>
      <c r="AB103" s="113" t="str">
        <f aca="false">IF(Z103="","",Z103-AA103)</f>
        <v/>
      </c>
      <c r="AC103" s="113" t="str">
        <f aca="false">IF(OR(10&gt;$B$27,ISBLANK(Actuals!L79)),"",Actuals!L79)</f>
        <v/>
      </c>
      <c r="AD103" s="113" t="n">
        <f aca="false">'Reforecast Q1 2026'!L79</f>
        <v>0</v>
      </c>
      <c r="AE103" s="113" t="str">
        <f aca="false">IF(AC103="","",AC103-AD103)</f>
        <v/>
      </c>
      <c r="AF103" s="113" t="str">
        <f aca="false">IF(OR(11&gt;$B$27,ISBLANK(Actuals!M79)),"",Actuals!M79)</f>
        <v/>
      </c>
      <c r="AG103" s="113" t="n">
        <f aca="false">'Reforecast Q1 2026'!M79</f>
        <v>0</v>
      </c>
      <c r="AH103" s="113" t="str">
        <f aca="false">IF(AF103="","",AF103-AG103)</f>
        <v/>
      </c>
      <c r="AI103" s="113" t="str">
        <f aca="false">IF(OR(12&gt;$B$27,ISBLANK(Actuals!N79)),"",Actuals!N79)</f>
        <v/>
      </c>
      <c r="AJ103" s="113" t="n">
        <f aca="false">'Reforecast Q1 2026'!N79</f>
        <v>0</v>
      </c>
      <c r="AK103" s="113" t="str">
        <f aca="false">IF(AI103="","",AI103-AJ103)</f>
        <v/>
      </c>
      <c r="AL103" s="116" t="n">
        <f aca="false">SUM(Actuals!$C79:INDEX(Actuals!$C79:$N79,$B$27))</f>
        <v>0</v>
      </c>
      <c r="AM103" s="116" t="n">
        <f aca="false">SUM('Reforecast Q1 2026'!$C79:INDEX('Reforecast Q1 2026'!$C79:$N79,$B$27))</f>
        <v>0</v>
      </c>
      <c r="AN103" s="116" t="n">
        <f aca="false">AL103-AM103</f>
        <v>0</v>
      </c>
    </row>
    <row r="104" customFormat="false" ht="15" hidden="true" customHeight="true" outlineLevel="1" collapsed="false">
      <c r="A104" s="109" t="s">
        <v>364</v>
      </c>
      <c r="B104" s="113" t="str">
        <f aca="false">IF(OR(1&gt;$B$27,ISBLANK(Actuals!C80)),"",Actuals!C80)</f>
        <v/>
      </c>
      <c r="C104" s="113" t="n">
        <f aca="false">'Reforecast Q1 2026'!C80</f>
        <v>0</v>
      </c>
      <c r="D104" s="113" t="str">
        <f aca="false">IF(B104="","",B104-C104)</f>
        <v/>
      </c>
      <c r="E104" s="113" t="str">
        <f aca="false">IF(OR(2&gt;$B$27,ISBLANK(Actuals!D80)),"",Actuals!D80)</f>
        <v/>
      </c>
      <c r="F104" s="113" t="n">
        <f aca="false">'Reforecast Q1 2026'!D80</f>
        <v>0</v>
      </c>
      <c r="G104" s="113" t="str">
        <f aca="false">IF(E104="","",E104-F104)</f>
        <v/>
      </c>
      <c r="H104" s="113" t="str">
        <f aca="false">IF(OR(3&gt;$B$27,ISBLANK(Actuals!E80)),"",Actuals!E80)</f>
        <v/>
      </c>
      <c r="I104" s="113" t="n">
        <f aca="false">'Reforecast Q1 2026'!E80</f>
        <v>0</v>
      </c>
      <c r="J104" s="113" t="str">
        <f aca="false">IF(H104="","",H104-I104)</f>
        <v/>
      </c>
      <c r="K104" s="113" t="str">
        <f aca="false">IF(OR(4&gt;$B$27,ISBLANK(Actuals!F80)),"",Actuals!F80)</f>
        <v/>
      </c>
      <c r="L104" s="113" t="n">
        <f aca="false">'Reforecast Q1 2026'!F80</f>
        <v>0</v>
      </c>
      <c r="M104" s="113" t="str">
        <f aca="false">IF(K104="","",K104-L104)</f>
        <v/>
      </c>
      <c r="N104" s="113" t="str">
        <f aca="false">IF(OR(5&gt;$B$27,ISBLANK(Actuals!G80)),"",Actuals!G80)</f>
        <v/>
      </c>
      <c r="O104" s="113" t="n">
        <f aca="false">'Reforecast Q1 2026'!G80</f>
        <v>0</v>
      </c>
      <c r="P104" s="113" t="str">
        <f aca="false">IF(N104="","",N104-O104)</f>
        <v/>
      </c>
      <c r="Q104" s="113" t="str">
        <f aca="false">IF(OR(6&gt;$B$27,ISBLANK(Actuals!H80)),"",Actuals!H80)</f>
        <v/>
      </c>
      <c r="R104" s="113" t="n">
        <f aca="false">'Reforecast Q1 2026'!H80</f>
        <v>0</v>
      </c>
      <c r="S104" s="113" t="str">
        <f aca="false">IF(Q104="","",Q104-R104)</f>
        <v/>
      </c>
      <c r="T104" s="113" t="str">
        <f aca="false">IF(OR(7&gt;$B$27,ISBLANK(Actuals!I80)),"",Actuals!I80)</f>
        <v/>
      </c>
      <c r="U104" s="113" t="n">
        <f aca="false">'Reforecast Q1 2026'!I80</f>
        <v>0</v>
      </c>
      <c r="V104" s="113" t="str">
        <f aca="false">IF(T104="","",T104-U104)</f>
        <v/>
      </c>
      <c r="W104" s="113" t="str">
        <f aca="false">IF(OR(8&gt;$B$27,ISBLANK(Actuals!J80)),"",Actuals!J80)</f>
        <v/>
      </c>
      <c r="X104" s="113" t="n">
        <f aca="false">'Reforecast Q1 2026'!J80</f>
        <v>0</v>
      </c>
      <c r="Y104" s="113" t="str">
        <f aca="false">IF(W104="","",W104-X104)</f>
        <v/>
      </c>
      <c r="Z104" s="113" t="str">
        <f aca="false">IF(OR(9&gt;$B$27,ISBLANK(Actuals!K80)),"",Actuals!K80)</f>
        <v/>
      </c>
      <c r="AA104" s="113" t="n">
        <f aca="false">'Reforecast Q1 2026'!K80</f>
        <v>0</v>
      </c>
      <c r="AB104" s="113" t="str">
        <f aca="false">IF(Z104="","",Z104-AA104)</f>
        <v/>
      </c>
      <c r="AC104" s="113" t="str">
        <f aca="false">IF(OR(10&gt;$B$27,ISBLANK(Actuals!L80)),"",Actuals!L80)</f>
        <v/>
      </c>
      <c r="AD104" s="113" t="n">
        <f aca="false">'Reforecast Q1 2026'!L80</f>
        <v>0</v>
      </c>
      <c r="AE104" s="113" t="str">
        <f aca="false">IF(AC104="","",AC104-AD104)</f>
        <v/>
      </c>
      <c r="AF104" s="113" t="str">
        <f aca="false">IF(OR(11&gt;$B$27,ISBLANK(Actuals!M80)),"",Actuals!M80)</f>
        <v/>
      </c>
      <c r="AG104" s="113" t="n">
        <f aca="false">'Reforecast Q1 2026'!M80</f>
        <v>0</v>
      </c>
      <c r="AH104" s="113" t="str">
        <f aca="false">IF(AF104="","",AF104-AG104)</f>
        <v/>
      </c>
      <c r="AI104" s="113" t="str">
        <f aca="false">IF(OR(12&gt;$B$27,ISBLANK(Actuals!N80)),"",Actuals!N80)</f>
        <v/>
      </c>
      <c r="AJ104" s="113" t="n">
        <f aca="false">'Reforecast Q1 2026'!N80</f>
        <v>0</v>
      </c>
      <c r="AK104" s="113" t="str">
        <f aca="false">IF(AI104="","",AI104-AJ104)</f>
        <v/>
      </c>
      <c r="AL104" s="116" t="n">
        <f aca="false">SUM(Actuals!$C80:INDEX(Actuals!$C80:$N80,$B$27))</f>
        <v>0</v>
      </c>
      <c r="AM104" s="116" t="n">
        <f aca="false">SUM('Reforecast Q1 2026'!$C80:INDEX('Reforecast Q1 2026'!$C80:$N80,$B$27))</f>
        <v>0</v>
      </c>
      <c r="AN104" s="116" t="n">
        <f aca="false">AL104-AM104</f>
        <v>0</v>
      </c>
    </row>
    <row r="105" customFormat="false" ht="15" hidden="false" customHeight="true" outlineLevel="0" collapsed="true">
      <c r="A105" s="115" t="s">
        <v>121</v>
      </c>
      <c r="B105" s="116" t="n">
        <f aca="false">IF(OR(1&gt;$B$27,ISBLANK(Actuals!C81)),"",Actuals!C81)</f>
        <v>34114.58</v>
      </c>
      <c r="C105" s="116" t="n">
        <f aca="false">'Reforecast Q1 2026'!C81</f>
        <v>34114.58</v>
      </c>
      <c r="D105" s="116" t="n">
        <f aca="false">IF(B105="","",B105-C105)</f>
        <v>0</v>
      </c>
      <c r="E105" s="116" t="n">
        <f aca="false">IF(OR(2&gt;$B$27,ISBLANK(Actuals!D81)),"",Actuals!D81)</f>
        <v>34114.58</v>
      </c>
      <c r="F105" s="116" t="n">
        <f aca="false">'Reforecast Q1 2026'!D81</f>
        <v>34114.58</v>
      </c>
      <c r="G105" s="116" t="n">
        <f aca="false">IF(E105="","",E105-F105)</f>
        <v>0</v>
      </c>
      <c r="H105" s="116" t="n">
        <f aca="false">IF(OR(3&gt;$B$27,ISBLANK(Actuals!E81)),"",Actuals!E81)</f>
        <v>34114.58</v>
      </c>
      <c r="I105" s="116" t="n">
        <f aca="false">'Reforecast Q1 2026'!E81</f>
        <v>34114.58</v>
      </c>
      <c r="J105" s="116" t="n">
        <f aca="false">IF(H105="","",H105-I105)</f>
        <v>0</v>
      </c>
      <c r="K105" s="116" t="n">
        <f aca="false">IF(OR(4&gt;$B$27,ISBLANK(Actuals!F81)),"",Actuals!F81)</f>
        <v>34114.58</v>
      </c>
      <c r="L105" s="116" t="n">
        <f aca="false">'Reforecast Q1 2026'!F81</f>
        <v>43614.58</v>
      </c>
      <c r="M105" s="116" t="n">
        <f aca="false">IF(K105="","",K105-L105)</f>
        <v>-9500</v>
      </c>
      <c r="N105" s="116" t="n">
        <f aca="false">IF(OR(5&gt;$B$27,ISBLANK(Actuals!G81)),"",Actuals!G81)</f>
        <v>34114.58</v>
      </c>
      <c r="O105" s="116" t="n">
        <f aca="false">'Reforecast Q1 2026'!G81</f>
        <v>43614.58</v>
      </c>
      <c r="P105" s="116" t="n">
        <f aca="false">IF(N105="","",N105-O105)</f>
        <v>-9500</v>
      </c>
      <c r="Q105" s="116" t="n">
        <f aca="false">IF(OR(6&gt;$B$27,ISBLANK(Actuals!H81)),"",Actuals!H81)</f>
        <v>333114.58</v>
      </c>
      <c r="R105" s="116" t="n">
        <f aca="false">'Reforecast Q1 2026'!H81</f>
        <v>43614.58</v>
      </c>
      <c r="S105" s="116" t="n">
        <f aca="false">IF(Q105="","",Q105-R105)</f>
        <v>289500</v>
      </c>
      <c r="T105" s="116" t="n">
        <f aca="false">IF(OR(7&gt;$B$27,ISBLANK(Actuals!I81)),"",Actuals!I81)</f>
        <v>78114.58</v>
      </c>
      <c r="U105" s="116" t="n">
        <f aca="false">'Reforecast Q1 2026'!I81</f>
        <v>43614.58</v>
      </c>
      <c r="V105" s="116" t="n">
        <f aca="false">IF(T105="","",T105-U105)</f>
        <v>34500</v>
      </c>
      <c r="W105" s="116" t="n">
        <f aca="false">IF(OR(8&gt;$B$27,ISBLANK(Actuals!J81)),"",Actuals!J81)</f>
        <v>180628.58</v>
      </c>
      <c r="X105" s="116" t="n">
        <f aca="false">'Reforecast Q1 2026'!J81</f>
        <v>43614.58</v>
      </c>
      <c r="Y105" s="116" t="n">
        <f aca="false">IF(W105="","",W105-X105)</f>
        <v>137014</v>
      </c>
      <c r="Z105" s="116" t="n">
        <f aca="false">IF(OR(9&gt;$B$27,ISBLANK(Actuals!K81)),"",Actuals!K81)</f>
        <v>41247.92</v>
      </c>
      <c r="AA105" s="116" t="n">
        <f aca="false">'Reforecast Q1 2026'!K81</f>
        <v>42781.25</v>
      </c>
      <c r="AB105" s="116" t="n">
        <f aca="false">IF(Z105="","",Z105-AA105)</f>
        <v>-1533.33</v>
      </c>
      <c r="AC105" s="116" t="str">
        <f aca="false">IF(OR(10&gt;$B$27,ISBLANK(Actuals!L81)),"",Actuals!L81)</f>
        <v/>
      </c>
      <c r="AD105" s="116" t="n">
        <f aca="false">'Reforecast Q1 2026'!L81</f>
        <v>42781.25</v>
      </c>
      <c r="AE105" s="116" t="str">
        <f aca="false">IF(AC105="","",AC105-AD105)</f>
        <v/>
      </c>
      <c r="AF105" s="116" t="str">
        <f aca="false">IF(OR(11&gt;$B$27,ISBLANK(Actuals!M81)),"",Actuals!M81)</f>
        <v/>
      </c>
      <c r="AG105" s="116" t="n">
        <f aca="false">'Reforecast Q1 2026'!M81</f>
        <v>33406.25</v>
      </c>
      <c r="AH105" s="116" t="str">
        <f aca="false">IF(AF105="","",AF105-AG105)</f>
        <v/>
      </c>
      <c r="AI105" s="116" t="str">
        <f aca="false">IF(OR(12&gt;$B$27,ISBLANK(Actuals!N81)),"",Actuals!N81)</f>
        <v/>
      </c>
      <c r="AJ105" s="116" t="n">
        <f aca="false">'Reforecast Q1 2026'!N81</f>
        <v>33406.25</v>
      </c>
      <c r="AK105" s="116" t="str">
        <f aca="false">IF(AI105="","",AI105-AJ105)</f>
        <v/>
      </c>
      <c r="AL105" s="116" t="n">
        <f aca="false">SUM(Actuals!$C81:INDEX(Actuals!$C81:$N81,$B$27))</f>
        <v>803678.56</v>
      </c>
      <c r="AM105" s="116" t="n">
        <f aca="false">SUM('Reforecast Q1 2026'!$C81:INDEX('Reforecast Q1 2026'!$C81:$N81,$B$27))</f>
        <v>363197.89</v>
      </c>
      <c r="AN105" s="116" t="n">
        <f aca="false">AL105-AM105</f>
        <v>440480.67</v>
      </c>
    </row>
    <row r="107" customFormat="false" ht="15" hidden="true" customHeight="true" outlineLevel="1" collapsed="false">
      <c r="A107" s="109" t="s">
        <v>123</v>
      </c>
      <c r="B107" s="113" t="n">
        <f aca="false">IF(OR(1&gt;$B$27,ISBLANK(Actuals!C83)),"",Actuals!C83)</f>
        <v>-54421</v>
      </c>
      <c r="C107" s="113" t="n">
        <f aca="false">'Reforecast Q1 2026'!C83</f>
        <v>-54421</v>
      </c>
      <c r="D107" s="113" t="n">
        <f aca="false">IF(B107="","",B107-C107)</f>
        <v>0</v>
      </c>
      <c r="E107" s="113" t="n">
        <f aca="false">IF(OR(2&gt;$B$27,ISBLANK(Actuals!D83)),"",Actuals!D83)</f>
        <v>-54166.68</v>
      </c>
      <c r="F107" s="113" t="n">
        <f aca="false">'Reforecast Q1 2026'!D83</f>
        <v>-54166.68</v>
      </c>
      <c r="G107" s="113" t="n">
        <f aca="false">IF(E107="","",E107-F107)</f>
        <v>0</v>
      </c>
      <c r="H107" s="113" t="n">
        <f aca="false">IF(OR(3&gt;$B$27,ISBLANK(Actuals!E83)),"",Actuals!E83)</f>
        <v>-54166.68</v>
      </c>
      <c r="I107" s="113" t="n">
        <f aca="false">'Reforecast Q1 2026'!E83</f>
        <v>-54166.68</v>
      </c>
      <c r="J107" s="113" t="n">
        <f aca="false">IF(H107="","",H107-I107)</f>
        <v>0</v>
      </c>
      <c r="K107" s="113" t="n">
        <f aca="false">IF(OR(4&gt;$B$27,ISBLANK(Actuals!F83)),"",Actuals!F83)</f>
        <v>-54166.68</v>
      </c>
      <c r="L107" s="113" t="n">
        <f aca="false">'Reforecast Q1 2026'!F83</f>
        <v>-11458.3333333333</v>
      </c>
      <c r="M107" s="113" t="n">
        <f aca="false">IF(K107="","",K107-L107)</f>
        <v>-42708.3466666667</v>
      </c>
      <c r="N107" s="113" t="n">
        <f aca="false">IF(OR(5&gt;$B$27,ISBLANK(Actuals!G83)),"",Actuals!G83)</f>
        <v>-54166.68</v>
      </c>
      <c r="O107" s="113" t="n">
        <f aca="false">'Reforecast Q1 2026'!G83</f>
        <v>-11458.3333333333</v>
      </c>
      <c r="P107" s="113" t="n">
        <f aca="false">IF(N107="","",N107-O107)</f>
        <v>-42708.3466666667</v>
      </c>
      <c r="Q107" s="113" t="n">
        <f aca="false">IF(OR(6&gt;$B$27,ISBLANK(Actuals!H83)),"",Actuals!H83)</f>
        <v>-54166.68</v>
      </c>
      <c r="R107" s="113" t="n">
        <f aca="false">'Reforecast Q1 2026'!H83</f>
        <v>-11458.3333333333</v>
      </c>
      <c r="S107" s="113" t="n">
        <f aca="false">IF(Q107="","",Q107-R107)</f>
        <v>-42708.3466666667</v>
      </c>
      <c r="T107" s="113" t="n">
        <f aca="false">IF(OR(7&gt;$B$27,ISBLANK(Actuals!I83)),"",Actuals!I83)</f>
        <v>-54166.68</v>
      </c>
      <c r="U107" s="113" t="n">
        <f aca="false">'Reforecast Q1 2026'!I83</f>
        <v>-11458.3333333333</v>
      </c>
      <c r="V107" s="113" t="n">
        <f aca="false">IF(T107="","",T107-U107)</f>
        <v>-42708.3466666667</v>
      </c>
      <c r="W107" s="113" t="n">
        <f aca="false">IF(OR(8&gt;$B$27,ISBLANK(Actuals!J83)),"",Actuals!J83)</f>
        <v>-54166.68</v>
      </c>
      <c r="X107" s="113" t="n">
        <f aca="false">'Reforecast Q1 2026'!J83</f>
        <v>-11458.3333333333</v>
      </c>
      <c r="Y107" s="113" t="n">
        <f aca="false">IF(W107="","",W107-X107)</f>
        <v>-42708.3466666667</v>
      </c>
      <c r="Z107" s="113" t="n">
        <f aca="false">IF(OR(9&gt;$B$27,ISBLANK(Actuals!K83)),"",Actuals!K83)</f>
        <v>-54166.68</v>
      </c>
      <c r="AA107" s="113" t="n">
        <f aca="false">'Reforecast Q1 2026'!K83</f>
        <v>-11458.3333333333</v>
      </c>
      <c r="AB107" s="113" t="n">
        <f aca="false">IF(Z107="","",Z107-AA107)</f>
        <v>-42708.3466666667</v>
      </c>
      <c r="AC107" s="113" t="str">
        <f aca="false">IF(OR(10&gt;$B$27,ISBLANK(Actuals!L83)),"",Actuals!L83)</f>
        <v/>
      </c>
      <c r="AD107" s="113" t="n">
        <f aca="false">'Reforecast Q1 2026'!L83</f>
        <v>-11458.3333333333</v>
      </c>
      <c r="AE107" s="113" t="str">
        <f aca="false">IF(AC107="","",AC107-AD107)</f>
        <v/>
      </c>
      <c r="AF107" s="113" t="str">
        <f aca="false">IF(OR(11&gt;$B$27,ISBLANK(Actuals!M83)),"",Actuals!M83)</f>
        <v/>
      </c>
      <c r="AG107" s="113" t="n">
        <f aca="false">'Reforecast Q1 2026'!M83</f>
        <v>-11458.3333333333</v>
      </c>
      <c r="AH107" s="113" t="str">
        <f aca="false">IF(AF107="","",AF107-AG107)</f>
        <v/>
      </c>
      <c r="AI107" s="113" t="str">
        <f aca="false">IF(OR(12&gt;$B$27,ISBLANK(Actuals!N83)),"",Actuals!N83)</f>
        <v/>
      </c>
      <c r="AJ107" s="113" t="n">
        <f aca="false">'Reforecast Q1 2026'!N83</f>
        <v>-11458.3333333333</v>
      </c>
      <c r="AK107" s="113" t="str">
        <f aca="false">IF(AI107="","",AI107-AJ107)</f>
        <v/>
      </c>
      <c r="AL107" s="116" t="n">
        <f aca="false">SUM(Actuals!$C83:INDEX(Actuals!$C83:$N83,$B$27))</f>
        <v>-487754.44</v>
      </c>
      <c r="AM107" s="116" t="n">
        <f aca="false">SUM('Reforecast Q1 2026'!$C83:INDEX('Reforecast Q1 2026'!$C83:$N83,$B$27))</f>
        <v>-231504.36</v>
      </c>
      <c r="AN107" s="116" t="n">
        <f aca="false">AL107-AM107</f>
        <v>-256250.08</v>
      </c>
    </row>
    <row r="108" customFormat="false" ht="15" hidden="true" customHeight="true" outlineLevel="1" collapsed="false">
      <c r="A108" s="109" t="s">
        <v>65</v>
      </c>
      <c r="B108" s="113" t="n">
        <f aca="false">IF(OR(1&gt;$B$27,ISBLANK(Actuals!C84)),"",Actuals!C84)</f>
        <v>-5302</v>
      </c>
      <c r="C108" s="113" t="n">
        <f aca="false">'Reforecast Q1 2026'!C84</f>
        <v>-5302</v>
      </c>
      <c r="D108" s="113" t="n">
        <f aca="false">IF(B108="","",B108-C108)</f>
        <v>0</v>
      </c>
      <c r="E108" s="113" t="n">
        <f aca="false">IF(OR(2&gt;$B$27,ISBLANK(Actuals!D84)),"",Actuals!D84)</f>
        <v>-4279.79</v>
      </c>
      <c r="F108" s="113" t="n">
        <f aca="false">'Reforecast Q1 2026'!D84</f>
        <v>-4279.79</v>
      </c>
      <c r="G108" s="113" t="n">
        <f aca="false">IF(E108="","",E108-F108)</f>
        <v>0</v>
      </c>
      <c r="H108" s="113" t="n">
        <f aca="false">IF(OR(3&gt;$B$27,ISBLANK(Actuals!E84)),"",Actuals!E84)</f>
        <v>-4145.97</v>
      </c>
      <c r="I108" s="113" t="n">
        <f aca="false">'Reforecast Q1 2026'!E84</f>
        <v>-4145.97</v>
      </c>
      <c r="J108" s="113" t="n">
        <f aca="false">IF(H108="","",H108-I108)</f>
        <v>0</v>
      </c>
      <c r="K108" s="113" t="n">
        <f aca="false">IF(OR(4&gt;$B$27,ISBLANK(Actuals!F84)),"",Actuals!F84)</f>
        <v>-4145.96</v>
      </c>
      <c r="L108" s="113" t="n">
        <f aca="false">'Reforecast Q1 2026'!F84</f>
        <v>-802.083333333334</v>
      </c>
      <c r="M108" s="113" t="n">
        <f aca="false">IF(K108="","",K108-L108)</f>
        <v>-3343.87666666667</v>
      </c>
      <c r="N108" s="113" t="n">
        <f aca="false">IF(OR(5&gt;$B$27,ISBLANK(Actuals!G84)),"",Actuals!G84)</f>
        <v>-4145.99</v>
      </c>
      <c r="O108" s="113" t="n">
        <f aca="false">'Reforecast Q1 2026'!G84</f>
        <v>-802.083333333334</v>
      </c>
      <c r="P108" s="113" t="n">
        <f aca="false">IF(N108="","",N108-O108)</f>
        <v>-3343.90666666667</v>
      </c>
      <c r="Q108" s="113" t="n">
        <f aca="false">IF(OR(6&gt;$B$27,ISBLANK(Actuals!H84)),"",Actuals!H84)</f>
        <v>-4145.95</v>
      </c>
      <c r="R108" s="113" t="n">
        <f aca="false">'Reforecast Q1 2026'!H84</f>
        <v>-802.083333333334</v>
      </c>
      <c r="S108" s="113" t="n">
        <f aca="false">IF(Q108="","",Q108-R108)</f>
        <v>-3343.86666666667</v>
      </c>
      <c r="T108" s="113" t="n">
        <f aca="false">IF(OR(7&gt;$B$27,ISBLANK(Actuals!I84)),"",Actuals!I84)</f>
        <v>-4145.97</v>
      </c>
      <c r="U108" s="113" t="n">
        <f aca="false">'Reforecast Q1 2026'!I84</f>
        <v>-802.083333333334</v>
      </c>
      <c r="V108" s="113" t="n">
        <f aca="false">IF(T108="","",T108-U108)</f>
        <v>-3343.88666666667</v>
      </c>
      <c r="W108" s="113" t="n">
        <f aca="false">IF(OR(8&gt;$B$27,ISBLANK(Actuals!J84)),"",Actuals!J84)</f>
        <v>-4145.97</v>
      </c>
      <c r="X108" s="113" t="n">
        <f aca="false">'Reforecast Q1 2026'!J84</f>
        <v>-802.083333333334</v>
      </c>
      <c r="Y108" s="113" t="n">
        <f aca="false">IF(W108="","",W108-X108)</f>
        <v>-3343.88666666667</v>
      </c>
      <c r="Z108" s="113" t="n">
        <f aca="false">IF(OR(9&gt;$B$27,ISBLANK(Actuals!K84)),"",Actuals!K84)</f>
        <v>-3786.97</v>
      </c>
      <c r="AA108" s="113" t="n">
        <f aca="false">'Reforecast Q1 2026'!K84</f>
        <v>-802.083333333334</v>
      </c>
      <c r="AB108" s="113" t="n">
        <f aca="false">IF(Z108="","",Z108-AA108)</f>
        <v>-2984.88666666667</v>
      </c>
      <c r="AC108" s="113" t="str">
        <f aca="false">IF(OR(10&gt;$B$27,ISBLANK(Actuals!L84)),"",Actuals!L84)</f>
        <v/>
      </c>
      <c r="AD108" s="113" t="n">
        <f aca="false">'Reforecast Q1 2026'!L84</f>
        <v>-802.083333333334</v>
      </c>
      <c r="AE108" s="113" t="str">
        <f aca="false">IF(AC108="","",AC108-AD108)</f>
        <v/>
      </c>
      <c r="AF108" s="113" t="str">
        <f aca="false">IF(OR(11&gt;$B$27,ISBLANK(Actuals!M84)),"",Actuals!M84)</f>
        <v/>
      </c>
      <c r="AG108" s="113" t="n">
        <f aca="false">'Reforecast Q1 2026'!M84</f>
        <v>-802.083333333334</v>
      </c>
      <c r="AH108" s="113" t="str">
        <f aca="false">IF(AF108="","",AF108-AG108)</f>
        <v/>
      </c>
      <c r="AI108" s="113" t="str">
        <f aca="false">IF(OR(12&gt;$B$27,ISBLANK(Actuals!N84)),"",Actuals!N84)</f>
        <v/>
      </c>
      <c r="AJ108" s="113" t="n">
        <f aca="false">'Reforecast Q1 2026'!N84</f>
        <v>-802.083333333334</v>
      </c>
      <c r="AK108" s="113" t="str">
        <f aca="false">IF(AI108="","",AI108-AJ108)</f>
        <v/>
      </c>
      <c r="AL108" s="116" t="n">
        <f aca="false">SUM(Actuals!$C84:INDEX(Actuals!$C84:$N84,$B$27))</f>
        <v>-38244.57</v>
      </c>
      <c r="AM108" s="116" t="n">
        <f aca="false">SUM('Reforecast Q1 2026'!$C84:INDEX('Reforecast Q1 2026'!$C84:$N84,$B$27))</f>
        <v>-18540.26</v>
      </c>
      <c r="AN108" s="116" t="n">
        <f aca="false">AL108-AM108</f>
        <v>-19704.31</v>
      </c>
    </row>
    <row r="109" customFormat="false" ht="15" hidden="true" customHeight="true" outlineLevel="1" collapsed="false">
      <c r="A109" s="109" t="s">
        <v>67</v>
      </c>
      <c r="B109" s="113" t="n">
        <f aca="false">IF(OR(1&gt;$B$27,ISBLANK(Actuals!C85)),"",Actuals!C85)</f>
        <v>-12137.77</v>
      </c>
      <c r="C109" s="113" t="n">
        <f aca="false">'Reforecast Q1 2026'!C85</f>
        <v>-12137.77</v>
      </c>
      <c r="D109" s="113" t="n">
        <f aca="false">IF(B109="","",B109-C109)</f>
        <v>0</v>
      </c>
      <c r="E109" s="113" t="n">
        <f aca="false">IF(OR(2&gt;$B$27,ISBLANK(Actuals!D85)),"",Actuals!D85)</f>
        <v>-12137.78</v>
      </c>
      <c r="F109" s="113" t="n">
        <f aca="false">'Reforecast Q1 2026'!D85</f>
        <v>-12137.78</v>
      </c>
      <c r="G109" s="113" t="n">
        <f aca="false">IF(E109="","",E109-F109)</f>
        <v>0</v>
      </c>
      <c r="H109" s="113" t="n">
        <f aca="false">IF(OR(3&gt;$B$27,ISBLANK(Actuals!E85)),"",Actuals!E85)</f>
        <v>-12137.78</v>
      </c>
      <c r="I109" s="113" t="n">
        <f aca="false">'Reforecast Q1 2026'!E85</f>
        <v>-12137.78</v>
      </c>
      <c r="J109" s="113" t="n">
        <f aca="false">IF(H109="","",H109-I109)</f>
        <v>0</v>
      </c>
      <c r="K109" s="113" t="n">
        <f aca="false">IF(OR(4&gt;$B$27,ISBLANK(Actuals!F85)),"",Actuals!F85)</f>
        <v>-12137.78</v>
      </c>
      <c r="L109" s="113" t="n">
        <f aca="false">'Reforecast Q1 2026'!F85</f>
        <v>-572.916666666667</v>
      </c>
      <c r="M109" s="113" t="n">
        <f aca="false">IF(K109="","",K109-L109)</f>
        <v>-11564.8633333333</v>
      </c>
      <c r="N109" s="113" t="n">
        <f aca="false">IF(OR(5&gt;$B$27,ISBLANK(Actuals!G85)),"",Actuals!G85)</f>
        <v>-12137.78</v>
      </c>
      <c r="O109" s="113" t="n">
        <f aca="false">'Reforecast Q1 2026'!G85</f>
        <v>-572.916666666667</v>
      </c>
      <c r="P109" s="113" t="n">
        <f aca="false">IF(N109="","",N109-O109)</f>
        <v>-11564.8633333333</v>
      </c>
      <c r="Q109" s="113" t="n">
        <f aca="false">IF(OR(6&gt;$B$27,ISBLANK(Actuals!H85)),"",Actuals!H85)</f>
        <v>-12137.78</v>
      </c>
      <c r="R109" s="113" t="n">
        <f aca="false">'Reforecast Q1 2026'!H85</f>
        <v>-572.916666666667</v>
      </c>
      <c r="S109" s="113" t="n">
        <f aca="false">IF(Q109="","",Q109-R109)</f>
        <v>-11564.8633333333</v>
      </c>
      <c r="T109" s="113" t="n">
        <f aca="false">IF(OR(7&gt;$B$27,ISBLANK(Actuals!I85)),"",Actuals!I85)</f>
        <v>-12137.78</v>
      </c>
      <c r="U109" s="113" t="n">
        <f aca="false">'Reforecast Q1 2026'!I85</f>
        <v>-572.916666666667</v>
      </c>
      <c r="V109" s="113" t="n">
        <f aca="false">IF(T109="","",T109-U109)</f>
        <v>-11564.8633333333</v>
      </c>
      <c r="W109" s="113" t="n">
        <f aca="false">IF(OR(8&gt;$B$27,ISBLANK(Actuals!J85)),"",Actuals!J85)</f>
        <v>-12137.78</v>
      </c>
      <c r="X109" s="113" t="n">
        <f aca="false">'Reforecast Q1 2026'!J85</f>
        <v>-572.916666666667</v>
      </c>
      <c r="Y109" s="113" t="n">
        <f aca="false">IF(W109="","",W109-X109)</f>
        <v>-11564.8633333333</v>
      </c>
      <c r="Z109" s="113" t="n">
        <f aca="false">IF(OR(9&gt;$B$27,ISBLANK(Actuals!K85)),"",Actuals!K85)</f>
        <v>-12137.78</v>
      </c>
      <c r="AA109" s="113" t="n">
        <f aca="false">'Reforecast Q1 2026'!K85</f>
        <v>-572.916666666667</v>
      </c>
      <c r="AB109" s="113" t="n">
        <f aca="false">IF(Z109="","",Z109-AA109)</f>
        <v>-11564.8633333333</v>
      </c>
      <c r="AC109" s="113" t="str">
        <f aca="false">IF(OR(10&gt;$B$27,ISBLANK(Actuals!L85)),"",Actuals!L85)</f>
        <v/>
      </c>
      <c r="AD109" s="113" t="n">
        <f aca="false">'Reforecast Q1 2026'!L85</f>
        <v>-572.916666666667</v>
      </c>
      <c r="AE109" s="113" t="str">
        <f aca="false">IF(AC109="","",AC109-AD109)</f>
        <v/>
      </c>
      <c r="AF109" s="113" t="str">
        <f aca="false">IF(OR(11&gt;$B$27,ISBLANK(Actuals!M85)),"",Actuals!M85)</f>
        <v/>
      </c>
      <c r="AG109" s="113" t="n">
        <f aca="false">'Reforecast Q1 2026'!M85</f>
        <v>-572.916666666667</v>
      </c>
      <c r="AH109" s="113" t="str">
        <f aca="false">IF(AF109="","",AF109-AG109)</f>
        <v/>
      </c>
      <c r="AI109" s="113" t="str">
        <f aca="false">IF(OR(12&gt;$B$27,ISBLANK(Actuals!N85)),"",Actuals!N85)</f>
        <v/>
      </c>
      <c r="AJ109" s="113" t="n">
        <f aca="false">'Reforecast Q1 2026'!N85</f>
        <v>-572.916666666667</v>
      </c>
      <c r="AK109" s="113" t="str">
        <f aca="false">IF(AI109="","",AI109-AJ109)</f>
        <v/>
      </c>
      <c r="AL109" s="116" t="n">
        <f aca="false">SUM(Actuals!$C85:INDEX(Actuals!$C85:$N85,$B$27))</f>
        <v>-109240.01</v>
      </c>
      <c r="AM109" s="116" t="n">
        <f aca="false">SUM('Reforecast Q1 2026'!$C85:INDEX('Reforecast Q1 2026'!$C85:$N85,$B$27))</f>
        <v>-39850.83</v>
      </c>
      <c r="AN109" s="116" t="n">
        <f aca="false">AL109-AM109</f>
        <v>-69389.18</v>
      </c>
    </row>
    <row r="110" customFormat="false" ht="15" hidden="true" customHeight="true" outlineLevel="1" collapsed="false">
      <c r="A110" s="109" t="s">
        <v>68</v>
      </c>
      <c r="B110" s="113" t="n">
        <f aca="false">IF(OR(1&gt;$B$27,ISBLANK(Actuals!C86)),"",Actuals!C86)</f>
        <v>-475.76</v>
      </c>
      <c r="C110" s="113" t="n">
        <f aca="false">'Reforecast Q1 2026'!C86</f>
        <v>-475.76</v>
      </c>
      <c r="D110" s="113" t="n">
        <f aca="false">IF(B110="","",B110-C110)</f>
        <v>0</v>
      </c>
      <c r="E110" s="113" t="n">
        <f aca="false">IF(OR(2&gt;$B$27,ISBLANK(Actuals!D86)),"",Actuals!D86)</f>
        <v>-475.76</v>
      </c>
      <c r="F110" s="113" t="n">
        <f aca="false">'Reforecast Q1 2026'!D86</f>
        <v>-475.76</v>
      </c>
      <c r="G110" s="113" t="n">
        <f aca="false">IF(E110="","",E110-F110)</f>
        <v>0</v>
      </c>
      <c r="H110" s="113" t="n">
        <f aca="false">IF(OR(3&gt;$B$27,ISBLANK(Actuals!E86)),"",Actuals!E86)</f>
        <v>-475.76</v>
      </c>
      <c r="I110" s="113" t="n">
        <f aca="false">'Reforecast Q1 2026'!E86</f>
        <v>-475.76</v>
      </c>
      <c r="J110" s="113" t="n">
        <f aca="false">IF(H110="","",H110-I110)</f>
        <v>0</v>
      </c>
      <c r="K110" s="113" t="n">
        <f aca="false">IF(OR(4&gt;$B$27,ISBLANK(Actuals!F86)),"",Actuals!F86)</f>
        <v>-475.76</v>
      </c>
      <c r="L110" s="113" t="n">
        <f aca="false">'Reforecast Q1 2026'!F86</f>
        <v>-229.166666666667</v>
      </c>
      <c r="M110" s="113" t="n">
        <f aca="false">IF(K110="","",K110-L110)</f>
        <v>-246.593333333333</v>
      </c>
      <c r="N110" s="113" t="n">
        <f aca="false">IF(OR(5&gt;$B$27,ISBLANK(Actuals!G86)),"",Actuals!G86)</f>
        <v>-475.76</v>
      </c>
      <c r="O110" s="113" t="n">
        <f aca="false">'Reforecast Q1 2026'!G86</f>
        <v>-229.166666666667</v>
      </c>
      <c r="P110" s="113" t="n">
        <f aca="false">IF(N110="","",N110-O110)</f>
        <v>-246.593333333333</v>
      </c>
      <c r="Q110" s="113" t="n">
        <f aca="false">IF(OR(6&gt;$B$27,ISBLANK(Actuals!H86)),"",Actuals!H86)</f>
        <v>-475.76</v>
      </c>
      <c r="R110" s="113" t="n">
        <f aca="false">'Reforecast Q1 2026'!H86</f>
        <v>-229.166666666667</v>
      </c>
      <c r="S110" s="113" t="n">
        <f aca="false">IF(Q110="","",Q110-R110)</f>
        <v>-246.593333333333</v>
      </c>
      <c r="T110" s="113" t="n">
        <f aca="false">IF(OR(7&gt;$B$27,ISBLANK(Actuals!I86)),"",Actuals!I86)</f>
        <v>-475.76</v>
      </c>
      <c r="U110" s="113" t="n">
        <f aca="false">'Reforecast Q1 2026'!I86</f>
        <v>-229.166666666667</v>
      </c>
      <c r="V110" s="113" t="n">
        <f aca="false">IF(T110="","",T110-U110)</f>
        <v>-246.593333333333</v>
      </c>
      <c r="W110" s="113" t="n">
        <f aca="false">IF(OR(8&gt;$B$27,ISBLANK(Actuals!J86)),"",Actuals!J86)</f>
        <v>-475.76</v>
      </c>
      <c r="X110" s="113" t="n">
        <f aca="false">'Reforecast Q1 2026'!J86</f>
        <v>-229.166666666667</v>
      </c>
      <c r="Y110" s="113" t="n">
        <f aca="false">IF(W110="","",W110-X110)</f>
        <v>-246.593333333333</v>
      </c>
      <c r="Z110" s="113" t="n">
        <f aca="false">IF(OR(9&gt;$B$27,ISBLANK(Actuals!K86)),"",Actuals!K86)</f>
        <v>-475.76</v>
      </c>
      <c r="AA110" s="113" t="n">
        <f aca="false">'Reforecast Q1 2026'!K86</f>
        <v>-229.166666666667</v>
      </c>
      <c r="AB110" s="113" t="n">
        <f aca="false">IF(Z110="","",Z110-AA110)</f>
        <v>-246.593333333333</v>
      </c>
      <c r="AC110" s="113" t="str">
        <f aca="false">IF(OR(10&gt;$B$27,ISBLANK(Actuals!L86)),"",Actuals!L86)</f>
        <v/>
      </c>
      <c r="AD110" s="113" t="n">
        <f aca="false">'Reforecast Q1 2026'!L86</f>
        <v>-229.166666666667</v>
      </c>
      <c r="AE110" s="113" t="str">
        <f aca="false">IF(AC110="","",AC110-AD110)</f>
        <v/>
      </c>
      <c r="AF110" s="113" t="str">
        <f aca="false">IF(OR(11&gt;$B$27,ISBLANK(Actuals!M86)),"",Actuals!M86)</f>
        <v/>
      </c>
      <c r="AG110" s="113" t="n">
        <f aca="false">'Reforecast Q1 2026'!M86</f>
        <v>-229.166666666667</v>
      </c>
      <c r="AH110" s="113" t="str">
        <f aca="false">IF(AF110="","",AF110-AG110)</f>
        <v/>
      </c>
      <c r="AI110" s="113" t="str">
        <f aca="false">IF(OR(12&gt;$B$27,ISBLANK(Actuals!N86)),"",Actuals!N86)</f>
        <v/>
      </c>
      <c r="AJ110" s="113" t="n">
        <f aca="false">'Reforecast Q1 2026'!N86</f>
        <v>-229.166666666667</v>
      </c>
      <c r="AK110" s="113" t="str">
        <f aca="false">IF(AI110="","",AI110-AJ110)</f>
        <v/>
      </c>
      <c r="AL110" s="116" t="n">
        <f aca="false">SUM(Actuals!$C86:INDEX(Actuals!$C86:$N86,$B$27))</f>
        <v>-4281.84</v>
      </c>
      <c r="AM110" s="116" t="n">
        <f aca="false">SUM('Reforecast Q1 2026'!$C86:INDEX('Reforecast Q1 2026'!$C86:$N86,$B$27))</f>
        <v>-2802.28</v>
      </c>
      <c r="AN110" s="116" t="n">
        <f aca="false">AL110-AM110</f>
        <v>-1479.56</v>
      </c>
    </row>
    <row r="111" customFormat="false" ht="15" hidden="true" customHeight="true" outlineLevel="1" collapsed="false">
      <c r="A111" s="109" t="s">
        <v>69</v>
      </c>
      <c r="B111" s="113" t="n">
        <f aca="false">IF(OR(1&gt;$B$27,ISBLANK(Actuals!C87)),"",Actuals!C87)</f>
        <v>-2200.12</v>
      </c>
      <c r="C111" s="113" t="n">
        <f aca="false">'Reforecast Q1 2026'!C87</f>
        <v>-2200.12</v>
      </c>
      <c r="D111" s="113" t="n">
        <f aca="false">IF(B111="","",B111-C111)</f>
        <v>0</v>
      </c>
      <c r="E111" s="113" t="n">
        <f aca="false">IF(OR(2&gt;$B$27,ISBLANK(Actuals!D87)),"",Actuals!D87)</f>
        <v>-2200.12</v>
      </c>
      <c r="F111" s="113" t="n">
        <f aca="false">'Reforecast Q1 2026'!D87</f>
        <v>-2200.12</v>
      </c>
      <c r="G111" s="113" t="n">
        <f aca="false">IF(E111="","",E111-F111)</f>
        <v>0</v>
      </c>
      <c r="H111" s="113" t="n">
        <f aca="false">IF(OR(3&gt;$B$27,ISBLANK(Actuals!E87)),"",Actuals!E87)</f>
        <v>-2200.12</v>
      </c>
      <c r="I111" s="113" t="n">
        <f aca="false">'Reforecast Q1 2026'!E87</f>
        <v>-2200.12</v>
      </c>
      <c r="J111" s="113" t="n">
        <f aca="false">IF(H111="","",H111-I111)</f>
        <v>0</v>
      </c>
      <c r="K111" s="113" t="n">
        <f aca="false">IF(OR(4&gt;$B$27,ISBLANK(Actuals!F87)),"",Actuals!F87)</f>
        <v>-2200.12</v>
      </c>
      <c r="L111" s="113" t="n">
        <f aca="false">'Reforecast Q1 2026'!F87</f>
        <v>-57.2916666666667</v>
      </c>
      <c r="M111" s="113" t="n">
        <f aca="false">IF(K111="","",K111-L111)</f>
        <v>-2142.82833333333</v>
      </c>
      <c r="N111" s="113" t="n">
        <f aca="false">IF(OR(5&gt;$B$27,ISBLANK(Actuals!G87)),"",Actuals!G87)</f>
        <v>-2200.12</v>
      </c>
      <c r="O111" s="113" t="n">
        <f aca="false">'Reforecast Q1 2026'!G87</f>
        <v>-57.2916666666667</v>
      </c>
      <c r="P111" s="113" t="n">
        <f aca="false">IF(N111="","",N111-O111)</f>
        <v>-2142.82833333333</v>
      </c>
      <c r="Q111" s="113" t="n">
        <f aca="false">IF(OR(6&gt;$B$27,ISBLANK(Actuals!H87)),"",Actuals!H87)</f>
        <v>-2200.12</v>
      </c>
      <c r="R111" s="113" t="n">
        <f aca="false">'Reforecast Q1 2026'!H87</f>
        <v>-57.2916666666667</v>
      </c>
      <c r="S111" s="113" t="n">
        <f aca="false">IF(Q111="","",Q111-R111)</f>
        <v>-2142.82833333333</v>
      </c>
      <c r="T111" s="113" t="n">
        <f aca="false">IF(OR(7&gt;$B$27,ISBLANK(Actuals!I87)),"",Actuals!I87)</f>
        <v>-2200.12</v>
      </c>
      <c r="U111" s="113" t="n">
        <f aca="false">'Reforecast Q1 2026'!I87</f>
        <v>-57.2916666666667</v>
      </c>
      <c r="V111" s="113" t="n">
        <f aca="false">IF(T111="","",T111-U111)</f>
        <v>-2142.82833333333</v>
      </c>
      <c r="W111" s="113" t="n">
        <f aca="false">IF(OR(8&gt;$B$27,ISBLANK(Actuals!J87)),"",Actuals!J87)</f>
        <v>-2200.12</v>
      </c>
      <c r="X111" s="113" t="n">
        <f aca="false">'Reforecast Q1 2026'!J87</f>
        <v>-57.2916666666667</v>
      </c>
      <c r="Y111" s="113" t="n">
        <f aca="false">IF(W111="","",W111-X111)</f>
        <v>-2142.82833333333</v>
      </c>
      <c r="Z111" s="113" t="n">
        <f aca="false">IF(OR(9&gt;$B$27,ISBLANK(Actuals!K87)),"",Actuals!K87)</f>
        <v>-2200.12</v>
      </c>
      <c r="AA111" s="113" t="n">
        <f aca="false">'Reforecast Q1 2026'!K87</f>
        <v>-57.2916666666667</v>
      </c>
      <c r="AB111" s="113" t="n">
        <f aca="false">IF(Z111="","",Z111-AA111)</f>
        <v>-2142.82833333333</v>
      </c>
      <c r="AC111" s="113" t="str">
        <f aca="false">IF(OR(10&gt;$B$27,ISBLANK(Actuals!L87)),"",Actuals!L87)</f>
        <v/>
      </c>
      <c r="AD111" s="113" t="n">
        <f aca="false">'Reforecast Q1 2026'!L87</f>
        <v>-57.2916666666667</v>
      </c>
      <c r="AE111" s="113" t="str">
        <f aca="false">IF(AC111="","",AC111-AD111)</f>
        <v/>
      </c>
      <c r="AF111" s="113" t="str">
        <f aca="false">IF(OR(11&gt;$B$27,ISBLANK(Actuals!M87)),"",Actuals!M87)</f>
        <v/>
      </c>
      <c r="AG111" s="113" t="n">
        <f aca="false">'Reforecast Q1 2026'!M87</f>
        <v>-57.2916666666667</v>
      </c>
      <c r="AH111" s="113" t="str">
        <f aca="false">IF(AF111="","",AF111-AG111)</f>
        <v/>
      </c>
      <c r="AI111" s="113" t="str">
        <f aca="false">IF(OR(12&gt;$B$27,ISBLANK(Actuals!N87)),"",Actuals!N87)</f>
        <v/>
      </c>
      <c r="AJ111" s="113" t="n">
        <f aca="false">'Reforecast Q1 2026'!N87</f>
        <v>-57.2916666666667</v>
      </c>
      <c r="AK111" s="113" t="str">
        <f aca="false">IF(AI111="","",AI111-AJ111)</f>
        <v/>
      </c>
      <c r="AL111" s="116" t="n">
        <f aca="false">SUM(Actuals!$C87:INDEX(Actuals!$C87:$N87,$B$27))</f>
        <v>-19801.08</v>
      </c>
      <c r="AM111" s="116" t="n">
        <f aca="false">SUM('Reforecast Q1 2026'!$C87:INDEX('Reforecast Q1 2026'!$C87:$N87,$B$27))</f>
        <v>-6944.11</v>
      </c>
      <c r="AN111" s="116" t="n">
        <f aca="false">AL111-AM111</f>
        <v>-12856.97</v>
      </c>
    </row>
    <row r="112" customFormat="false" ht="15" hidden="true" customHeight="true" outlineLevel="1" collapsed="false">
      <c r="A112" s="109" t="s">
        <v>72</v>
      </c>
      <c r="B112" s="113" t="n">
        <f aca="false">IF(OR(1&gt;$B$27,ISBLANK(Actuals!C88)),"",Actuals!C88)</f>
        <v>-8848.65</v>
      </c>
      <c r="C112" s="113" t="n">
        <f aca="false">'Reforecast Q1 2026'!C88</f>
        <v>-8848.65</v>
      </c>
      <c r="D112" s="113" t="n">
        <f aca="false">IF(B112="","",B112-C112)</f>
        <v>0</v>
      </c>
      <c r="E112" s="113" t="n">
        <f aca="false">IF(OR(2&gt;$B$27,ISBLANK(Actuals!D88)),"",Actuals!D88)</f>
        <v>-8817.63</v>
      </c>
      <c r="F112" s="113" t="n">
        <f aca="false">'Reforecast Q1 2026'!D88</f>
        <v>-8817.63</v>
      </c>
      <c r="G112" s="113" t="n">
        <f aca="false">IF(E112="","",E112-F112)</f>
        <v>0</v>
      </c>
      <c r="H112" s="113" t="n">
        <f aca="false">IF(OR(3&gt;$B$27,ISBLANK(Actuals!E88)),"",Actuals!E88)</f>
        <v>-3775.91</v>
      </c>
      <c r="I112" s="113" t="n">
        <f aca="false">'Reforecast Q1 2026'!E88</f>
        <v>-3775.91</v>
      </c>
      <c r="J112" s="113" t="n">
        <f aca="false">IF(H112="","",H112-I112)</f>
        <v>0</v>
      </c>
      <c r="K112" s="113" t="n">
        <f aca="false">IF(OR(4&gt;$B$27,ISBLANK(Actuals!F88)),"",Actuals!F88)</f>
        <v>-8731.12</v>
      </c>
      <c r="L112" s="113" t="n">
        <f aca="false">'Reforecast Q1 2026'!F88</f>
        <v>-8500</v>
      </c>
      <c r="M112" s="113" t="n">
        <f aca="false">IF(K112="","",K112-L112)</f>
        <v>-231.120000000001</v>
      </c>
      <c r="N112" s="113" t="n">
        <f aca="false">IF(OR(5&gt;$B$27,ISBLANK(Actuals!G88)),"",Actuals!G88)</f>
        <v>-8739.17</v>
      </c>
      <c r="O112" s="113" t="n">
        <f aca="false">'Reforecast Q1 2026'!G88</f>
        <v>-8500</v>
      </c>
      <c r="P112" s="113" t="n">
        <f aca="false">IF(N112="","",N112-O112)</f>
        <v>-239.17</v>
      </c>
      <c r="Q112" s="113" t="n">
        <f aca="false">IF(OR(6&gt;$B$27,ISBLANK(Actuals!H88)),"",Actuals!H88)</f>
        <v>-8771.99</v>
      </c>
      <c r="R112" s="113" t="n">
        <f aca="false">'Reforecast Q1 2026'!H88</f>
        <v>-8500</v>
      </c>
      <c r="S112" s="113" t="n">
        <f aca="false">IF(Q112="","",Q112-R112)</f>
        <v>-271.99</v>
      </c>
      <c r="T112" s="113" t="n">
        <f aca="false">IF(OR(7&gt;$B$27,ISBLANK(Actuals!I88)),"",Actuals!I88)</f>
        <v>-13832.56</v>
      </c>
      <c r="U112" s="113" t="n">
        <f aca="false">'Reforecast Q1 2026'!I88</f>
        <v>-8500</v>
      </c>
      <c r="V112" s="113" t="n">
        <f aca="false">IF(T112="","",T112-U112)</f>
        <v>-5332.56</v>
      </c>
      <c r="W112" s="113" t="n">
        <f aca="false">IF(OR(8&gt;$B$27,ISBLANK(Actuals!J88)),"",Actuals!J88)</f>
        <v>-3870.05</v>
      </c>
      <c r="X112" s="113" t="n">
        <f aca="false">'Reforecast Q1 2026'!J88</f>
        <v>-8500</v>
      </c>
      <c r="Y112" s="113" t="n">
        <f aca="false">IF(W112="","",W112-X112)</f>
        <v>4629.95</v>
      </c>
      <c r="Z112" s="113" t="n">
        <f aca="false">IF(OR(9&gt;$B$27,ISBLANK(Actuals!K88)),"",Actuals!K88)</f>
        <v>-8909.61</v>
      </c>
      <c r="AA112" s="113" t="n">
        <f aca="false">'Reforecast Q1 2026'!K88</f>
        <v>-8500</v>
      </c>
      <c r="AB112" s="113" t="n">
        <f aca="false">IF(Z112="","",Z112-AA112)</f>
        <v>-409.610000000001</v>
      </c>
      <c r="AC112" s="113" t="str">
        <f aca="false">IF(OR(10&gt;$B$27,ISBLANK(Actuals!L88)),"",Actuals!L88)</f>
        <v/>
      </c>
      <c r="AD112" s="113" t="n">
        <f aca="false">'Reforecast Q1 2026'!L88</f>
        <v>-8500</v>
      </c>
      <c r="AE112" s="113" t="str">
        <f aca="false">IF(AC112="","",AC112-AD112)</f>
        <v/>
      </c>
      <c r="AF112" s="113" t="str">
        <f aca="false">IF(OR(11&gt;$B$27,ISBLANK(Actuals!M88)),"",Actuals!M88)</f>
        <v/>
      </c>
      <c r="AG112" s="113" t="n">
        <f aca="false">'Reforecast Q1 2026'!M88</f>
        <v>-8500</v>
      </c>
      <c r="AH112" s="113" t="str">
        <f aca="false">IF(AF112="","",AF112-AG112)</f>
        <v/>
      </c>
      <c r="AI112" s="113" t="str">
        <f aca="false">IF(OR(12&gt;$B$27,ISBLANK(Actuals!N88)),"",Actuals!N88)</f>
        <v/>
      </c>
      <c r="AJ112" s="113" t="n">
        <f aca="false">'Reforecast Q1 2026'!N88</f>
        <v>-8500</v>
      </c>
      <c r="AK112" s="113" t="str">
        <f aca="false">IF(AI112="","",AI112-AJ112)</f>
        <v/>
      </c>
      <c r="AL112" s="116" t="n">
        <f aca="false">SUM(Actuals!$C88:INDEX(Actuals!$C88:$N88,$B$27))</f>
        <v>-74296.69</v>
      </c>
      <c r="AM112" s="116" t="n">
        <f aca="false">SUM('Reforecast Q1 2026'!$C88:INDEX('Reforecast Q1 2026'!$C88:$N88,$B$27))</f>
        <v>-72442.19</v>
      </c>
      <c r="AN112" s="116" t="n">
        <f aca="false">AL112-AM112</f>
        <v>-1854.5</v>
      </c>
    </row>
    <row r="113" customFormat="false" ht="15" hidden="true" customHeight="true" outlineLevel="1" collapsed="false">
      <c r="A113" s="109" t="s">
        <v>73</v>
      </c>
      <c r="B113" s="113" t="n">
        <f aca="false">IF(OR(1&gt;$B$27,ISBLANK(Actuals!C89)),"",Actuals!C89)</f>
        <v>-1722.9</v>
      </c>
      <c r="C113" s="113" t="n">
        <f aca="false">'Reforecast Q1 2026'!C89</f>
        <v>-1722.9</v>
      </c>
      <c r="D113" s="113" t="n">
        <f aca="false">IF(B113="","",B113-C113)</f>
        <v>0</v>
      </c>
      <c r="E113" s="113" t="n">
        <f aca="false">IF(OR(2&gt;$B$27,ISBLANK(Actuals!D89)),"",Actuals!D89)</f>
        <v>0</v>
      </c>
      <c r="F113" s="113" t="n">
        <f aca="false">'Reforecast Q1 2026'!D89</f>
        <v>0</v>
      </c>
      <c r="G113" s="113" t="n">
        <f aca="false">IF(E113="","",E113-F113)</f>
        <v>0</v>
      </c>
      <c r="H113" s="113" t="n">
        <f aca="false">IF(OR(3&gt;$B$27,ISBLANK(Actuals!E89)),"",Actuals!E89)</f>
        <v>-28.51</v>
      </c>
      <c r="I113" s="113" t="n">
        <f aca="false">'Reforecast Q1 2026'!E89</f>
        <v>-28.51</v>
      </c>
      <c r="J113" s="113" t="n">
        <f aca="false">IF(H113="","",H113-I113)</f>
        <v>0</v>
      </c>
      <c r="K113" s="113" t="n">
        <f aca="false">IF(OR(4&gt;$B$27,ISBLANK(Actuals!F89)),"",Actuals!F89)</f>
        <v>0</v>
      </c>
      <c r="L113" s="113" t="n">
        <f aca="false">'Reforecast Q1 2026'!F89</f>
        <v>-583.8</v>
      </c>
      <c r="M113" s="113" t="n">
        <f aca="false">IF(K113="","",K113-L113)</f>
        <v>583.8</v>
      </c>
      <c r="N113" s="113" t="n">
        <f aca="false">IF(OR(5&gt;$B$27,ISBLANK(Actuals!G89)),"",Actuals!G89)</f>
        <v>-212.12</v>
      </c>
      <c r="O113" s="113" t="n">
        <f aca="false">'Reforecast Q1 2026'!G89</f>
        <v>-583.8</v>
      </c>
      <c r="P113" s="113" t="n">
        <f aca="false">IF(N113="","",N113-O113)</f>
        <v>371.68</v>
      </c>
      <c r="Q113" s="113" t="n">
        <f aca="false">IF(OR(6&gt;$B$27,ISBLANK(Actuals!H89)),"",Actuals!H89)</f>
        <v>-83.92</v>
      </c>
      <c r="R113" s="113" t="n">
        <f aca="false">'Reforecast Q1 2026'!H89</f>
        <v>-583.8</v>
      </c>
      <c r="S113" s="113" t="n">
        <f aca="false">IF(Q113="","",Q113-R113)</f>
        <v>499.88</v>
      </c>
      <c r="T113" s="113" t="n">
        <f aca="false">IF(OR(7&gt;$B$27,ISBLANK(Actuals!I89)),"",Actuals!I89)</f>
        <v>-530</v>
      </c>
      <c r="U113" s="113" t="n">
        <f aca="false">'Reforecast Q1 2026'!I89</f>
        <v>-583.8</v>
      </c>
      <c r="V113" s="113" t="n">
        <f aca="false">IF(T113="","",T113-U113)</f>
        <v>53.8</v>
      </c>
      <c r="W113" s="113" t="n">
        <f aca="false">IF(OR(8&gt;$B$27,ISBLANK(Actuals!J89)),"",Actuals!J89)</f>
        <v>-180.23</v>
      </c>
      <c r="X113" s="113" t="n">
        <f aca="false">'Reforecast Q1 2026'!J89</f>
        <v>-583.8</v>
      </c>
      <c r="Y113" s="113" t="n">
        <f aca="false">IF(W113="","",W113-X113)</f>
        <v>403.57</v>
      </c>
      <c r="Z113" s="113" t="n">
        <f aca="false">IF(OR(9&gt;$B$27,ISBLANK(Actuals!K89)),"",Actuals!K89)</f>
        <v>-952.23</v>
      </c>
      <c r="AA113" s="113" t="n">
        <f aca="false">'Reforecast Q1 2026'!K89</f>
        <v>-583.8</v>
      </c>
      <c r="AB113" s="113" t="n">
        <f aca="false">IF(Z113="","",Z113-AA113)</f>
        <v>-368.43</v>
      </c>
      <c r="AC113" s="113" t="str">
        <f aca="false">IF(OR(10&gt;$B$27,ISBLANK(Actuals!L89)),"",Actuals!L89)</f>
        <v/>
      </c>
      <c r="AD113" s="113" t="n">
        <f aca="false">'Reforecast Q1 2026'!L89</f>
        <v>-583.8</v>
      </c>
      <c r="AE113" s="113" t="str">
        <f aca="false">IF(AC113="","",AC113-AD113)</f>
        <v/>
      </c>
      <c r="AF113" s="113" t="str">
        <f aca="false">IF(OR(11&gt;$B$27,ISBLANK(Actuals!M89)),"",Actuals!M89)</f>
        <v/>
      </c>
      <c r="AG113" s="113" t="n">
        <f aca="false">'Reforecast Q1 2026'!M89</f>
        <v>-583.8</v>
      </c>
      <c r="AH113" s="113" t="str">
        <f aca="false">IF(AF113="","",AF113-AG113)</f>
        <v/>
      </c>
      <c r="AI113" s="113" t="str">
        <f aca="false">IF(OR(12&gt;$B$27,ISBLANK(Actuals!N89)),"",Actuals!N89)</f>
        <v/>
      </c>
      <c r="AJ113" s="113" t="n">
        <f aca="false">'Reforecast Q1 2026'!N89</f>
        <v>-583.8</v>
      </c>
      <c r="AK113" s="113" t="str">
        <f aca="false">IF(AI113="","",AI113-AJ113)</f>
        <v/>
      </c>
      <c r="AL113" s="116" t="n">
        <f aca="false">SUM(Actuals!$C89:INDEX(Actuals!$C89:$N89,$B$27))</f>
        <v>-3709.91</v>
      </c>
      <c r="AM113" s="116" t="n">
        <f aca="false">SUM('Reforecast Q1 2026'!$C89:INDEX('Reforecast Q1 2026'!$C89:$N89,$B$27))</f>
        <v>-5254.21</v>
      </c>
      <c r="AN113" s="116" t="n">
        <f aca="false">AL113-AM113</f>
        <v>1544.3</v>
      </c>
    </row>
    <row r="114" customFormat="false" ht="15" hidden="true" customHeight="true" outlineLevel="1" collapsed="false">
      <c r="A114" s="109" t="s">
        <v>124</v>
      </c>
      <c r="B114" s="113" t="n">
        <f aca="false">IF(OR(1&gt;$B$27,ISBLANK(Actuals!C90)),"",Actuals!C90)</f>
        <v>-246.85</v>
      </c>
      <c r="C114" s="113" t="n">
        <f aca="false">'Reforecast Q1 2026'!C90</f>
        <v>-246.85</v>
      </c>
      <c r="D114" s="113" t="n">
        <f aca="false">IF(B114="","",B114-C114)</f>
        <v>0</v>
      </c>
      <c r="E114" s="113" t="n">
        <f aca="false">IF(OR(2&gt;$B$27,ISBLANK(Actuals!D90)),"",Actuals!D90)</f>
        <v>0</v>
      </c>
      <c r="F114" s="113" t="n">
        <f aca="false">'Reforecast Q1 2026'!D90</f>
        <v>0</v>
      </c>
      <c r="G114" s="113" t="n">
        <f aca="false">IF(E114="","",E114-F114)</f>
        <v>0</v>
      </c>
      <c r="H114" s="113" t="n">
        <f aca="false">IF(OR(3&gt;$B$27,ISBLANK(Actuals!E90)),"",Actuals!E90)</f>
        <v>-4246.73</v>
      </c>
      <c r="I114" s="113" t="n">
        <f aca="false">'Reforecast Q1 2026'!E90</f>
        <v>-4246.73</v>
      </c>
      <c r="J114" s="113" t="n">
        <f aca="false">IF(H114="","",H114-I114)</f>
        <v>0</v>
      </c>
      <c r="K114" s="113" t="n">
        <f aca="false">IF(OR(4&gt;$B$27,ISBLANK(Actuals!F90)),"",Actuals!F90)</f>
        <v>-3123.87</v>
      </c>
      <c r="L114" s="113" t="n">
        <f aca="false">'Reforecast Q1 2026'!F90</f>
        <v>-1497.86</v>
      </c>
      <c r="M114" s="113" t="n">
        <f aca="false">IF(K114="","",K114-L114)</f>
        <v>-1626.01</v>
      </c>
      <c r="N114" s="113" t="n">
        <f aca="false">IF(OR(5&gt;$B$27,ISBLANK(Actuals!G90)),"",Actuals!G90)</f>
        <v>-3184.88</v>
      </c>
      <c r="O114" s="113" t="n">
        <f aca="false">'Reforecast Q1 2026'!G90</f>
        <v>-1497.86</v>
      </c>
      <c r="P114" s="113" t="n">
        <f aca="false">IF(N114="","",N114-O114)</f>
        <v>-1687.02</v>
      </c>
      <c r="Q114" s="113" t="n">
        <f aca="false">IF(OR(6&gt;$B$27,ISBLANK(Actuals!H90)),"",Actuals!H90)</f>
        <v>-4015.94</v>
      </c>
      <c r="R114" s="113" t="n">
        <f aca="false">'Reforecast Q1 2026'!H90</f>
        <v>-1497.86</v>
      </c>
      <c r="S114" s="113" t="n">
        <f aca="false">IF(Q114="","",Q114-R114)</f>
        <v>-2518.08</v>
      </c>
      <c r="T114" s="113" t="n">
        <f aca="false">IF(OR(7&gt;$B$27,ISBLANK(Actuals!I90)),"",Actuals!I90)</f>
        <v>-759.45</v>
      </c>
      <c r="U114" s="113" t="n">
        <f aca="false">'Reforecast Q1 2026'!I90</f>
        <v>-1497.86</v>
      </c>
      <c r="V114" s="113" t="n">
        <f aca="false">IF(T114="","",T114-U114)</f>
        <v>738.41</v>
      </c>
      <c r="W114" s="113" t="n">
        <f aca="false">IF(OR(8&gt;$B$27,ISBLANK(Actuals!J90)),"",Actuals!J90)</f>
        <v>-6023.52</v>
      </c>
      <c r="X114" s="113" t="n">
        <f aca="false">'Reforecast Q1 2026'!J90</f>
        <v>-1497.86</v>
      </c>
      <c r="Y114" s="113" t="n">
        <f aca="false">IF(W114="","",W114-X114)</f>
        <v>-4525.66</v>
      </c>
      <c r="Z114" s="113" t="n">
        <f aca="false">IF(OR(9&gt;$B$27,ISBLANK(Actuals!K90)),"",Actuals!K90)</f>
        <v>-1177.72</v>
      </c>
      <c r="AA114" s="113" t="n">
        <f aca="false">'Reforecast Q1 2026'!K90</f>
        <v>-1497.86</v>
      </c>
      <c r="AB114" s="113" t="n">
        <f aca="false">IF(Z114="","",Z114-AA114)</f>
        <v>320.14</v>
      </c>
      <c r="AC114" s="113" t="str">
        <f aca="false">IF(OR(10&gt;$B$27,ISBLANK(Actuals!L90)),"",Actuals!L90)</f>
        <v/>
      </c>
      <c r="AD114" s="113" t="n">
        <f aca="false">'Reforecast Q1 2026'!L90</f>
        <v>-1497.86</v>
      </c>
      <c r="AE114" s="113" t="str">
        <f aca="false">IF(AC114="","",AC114-AD114)</f>
        <v/>
      </c>
      <c r="AF114" s="113" t="str">
        <f aca="false">IF(OR(11&gt;$B$27,ISBLANK(Actuals!M90)),"",Actuals!M90)</f>
        <v/>
      </c>
      <c r="AG114" s="113" t="n">
        <f aca="false">'Reforecast Q1 2026'!M90</f>
        <v>-1497.86</v>
      </c>
      <c r="AH114" s="113" t="str">
        <f aca="false">IF(AF114="","",AF114-AG114)</f>
        <v/>
      </c>
      <c r="AI114" s="113" t="str">
        <f aca="false">IF(OR(12&gt;$B$27,ISBLANK(Actuals!N90)),"",Actuals!N90)</f>
        <v/>
      </c>
      <c r="AJ114" s="113" t="n">
        <f aca="false">'Reforecast Q1 2026'!N90</f>
        <v>-1497.86</v>
      </c>
      <c r="AK114" s="113" t="str">
        <f aca="false">IF(AI114="","",AI114-AJ114)</f>
        <v/>
      </c>
      <c r="AL114" s="116" t="n">
        <f aca="false">SUM(Actuals!$C90:INDEX(Actuals!$C90:$N90,$B$27))</f>
        <v>-22778.96</v>
      </c>
      <c r="AM114" s="116" t="n">
        <f aca="false">SUM('Reforecast Q1 2026'!$C90:INDEX('Reforecast Q1 2026'!$C90:$N90,$B$27))</f>
        <v>-13480.74</v>
      </c>
      <c r="AN114" s="116" t="n">
        <f aca="false">AL114-AM114</f>
        <v>-9298.22</v>
      </c>
    </row>
    <row r="115" customFormat="false" ht="15" hidden="true" customHeight="true" outlineLevel="1" collapsed="false">
      <c r="A115" s="109" t="s">
        <v>125</v>
      </c>
      <c r="B115" s="113" t="n">
        <f aca="false">IF(OR(1&gt;$B$27,ISBLANK(Actuals!C91)),"",Actuals!C91)</f>
        <v>0</v>
      </c>
      <c r="C115" s="113" t="n">
        <f aca="false">'Reforecast Q1 2026'!C91</f>
        <v>0</v>
      </c>
      <c r="D115" s="113" t="n">
        <f aca="false">IF(B115="","",B115-C115)</f>
        <v>0</v>
      </c>
      <c r="E115" s="113" t="n">
        <f aca="false">IF(OR(2&gt;$B$27,ISBLANK(Actuals!D91)),"",Actuals!D91)</f>
        <v>0</v>
      </c>
      <c r="F115" s="113" t="n">
        <f aca="false">'Reforecast Q1 2026'!D91</f>
        <v>0</v>
      </c>
      <c r="G115" s="113" t="n">
        <f aca="false">IF(E115="","",E115-F115)</f>
        <v>0</v>
      </c>
      <c r="H115" s="113" t="n">
        <f aca="false">IF(OR(3&gt;$B$27,ISBLANK(Actuals!E91)),"",Actuals!E91)</f>
        <v>-870</v>
      </c>
      <c r="I115" s="113" t="n">
        <f aca="false">'Reforecast Q1 2026'!E91</f>
        <v>-870</v>
      </c>
      <c r="J115" s="113" t="n">
        <f aca="false">IF(H115="","",H115-I115)</f>
        <v>0</v>
      </c>
      <c r="K115" s="113" t="n">
        <f aca="false">IF(OR(4&gt;$B$27,ISBLANK(Actuals!F91)),"",Actuals!F91)</f>
        <v>0</v>
      </c>
      <c r="L115" s="113" t="n">
        <f aca="false">'Reforecast Q1 2026'!F91</f>
        <v>-290</v>
      </c>
      <c r="M115" s="113" t="n">
        <f aca="false">IF(K115="","",K115-L115)</f>
        <v>290</v>
      </c>
      <c r="N115" s="113" t="n">
        <f aca="false">IF(OR(5&gt;$B$27,ISBLANK(Actuals!G91)),"",Actuals!G91)</f>
        <v>0</v>
      </c>
      <c r="O115" s="113" t="n">
        <f aca="false">'Reforecast Q1 2026'!G91</f>
        <v>-290</v>
      </c>
      <c r="P115" s="113" t="n">
        <f aca="false">IF(N115="","",N115-O115)</f>
        <v>290</v>
      </c>
      <c r="Q115" s="113" t="n">
        <f aca="false">IF(OR(6&gt;$B$27,ISBLANK(Actuals!H91)),"",Actuals!H91)</f>
        <v>0</v>
      </c>
      <c r="R115" s="113" t="n">
        <f aca="false">'Reforecast Q1 2026'!H91</f>
        <v>-290</v>
      </c>
      <c r="S115" s="113" t="n">
        <f aca="false">IF(Q115="","",Q115-R115)</f>
        <v>290</v>
      </c>
      <c r="T115" s="113" t="n">
        <f aca="false">IF(OR(7&gt;$B$27,ISBLANK(Actuals!I91)),"",Actuals!I91)</f>
        <v>0</v>
      </c>
      <c r="U115" s="113" t="n">
        <f aca="false">'Reforecast Q1 2026'!I91</f>
        <v>-290</v>
      </c>
      <c r="V115" s="113" t="n">
        <f aca="false">IF(T115="","",T115-U115)</f>
        <v>290</v>
      </c>
      <c r="W115" s="113" t="n">
        <f aca="false">IF(OR(8&gt;$B$27,ISBLANK(Actuals!J91)),"",Actuals!J91)</f>
        <v>0</v>
      </c>
      <c r="X115" s="113" t="n">
        <f aca="false">'Reforecast Q1 2026'!J91</f>
        <v>-290</v>
      </c>
      <c r="Y115" s="113" t="n">
        <f aca="false">IF(W115="","",W115-X115)</f>
        <v>290</v>
      </c>
      <c r="Z115" s="113" t="n">
        <f aca="false">IF(OR(9&gt;$B$27,ISBLANK(Actuals!K91)),"",Actuals!K91)</f>
        <v>0</v>
      </c>
      <c r="AA115" s="113" t="n">
        <f aca="false">'Reforecast Q1 2026'!K91</f>
        <v>-290</v>
      </c>
      <c r="AB115" s="113" t="n">
        <f aca="false">IF(Z115="","",Z115-AA115)</f>
        <v>290</v>
      </c>
      <c r="AC115" s="113" t="str">
        <f aca="false">IF(OR(10&gt;$B$27,ISBLANK(Actuals!L91)),"",Actuals!L91)</f>
        <v/>
      </c>
      <c r="AD115" s="113" t="n">
        <f aca="false">'Reforecast Q1 2026'!L91</f>
        <v>-290</v>
      </c>
      <c r="AE115" s="113" t="str">
        <f aca="false">IF(AC115="","",AC115-AD115)</f>
        <v/>
      </c>
      <c r="AF115" s="113" t="str">
        <f aca="false">IF(OR(11&gt;$B$27,ISBLANK(Actuals!M91)),"",Actuals!M91)</f>
        <v/>
      </c>
      <c r="AG115" s="113" t="n">
        <f aca="false">'Reforecast Q1 2026'!M91</f>
        <v>-290</v>
      </c>
      <c r="AH115" s="113" t="str">
        <f aca="false">IF(AF115="","",AF115-AG115)</f>
        <v/>
      </c>
      <c r="AI115" s="113" t="str">
        <f aca="false">IF(OR(12&gt;$B$27,ISBLANK(Actuals!N91)),"",Actuals!N91)</f>
        <v/>
      </c>
      <c r="AJ115" s="113" t="n">
        <f aca="false">'Reforecast Q1 2026'!N91</f>
        <v>-290</v>
      </c>
      <c r="AK115" s="113" t="str">
        <f aca="false">IF(AI115="","",AI115-AJ115)</f>
        <v/>
      </c>
      <c r="AL115" s="116" t="n">
        <f aca="false">SUM(Actuals!$C91:INDEX(Actuals!$C91:$N91,$B$27))</f>
        <v>-870</v>
      </c>
      <c r="AM115" s="116" t="n">
        <f aca="false">SUM('Reforecast Q1 2026'!$C91:INDEX('Reforecast Q1 2026'!$C91:$N91,$B$27))</f>
        <v>-2610</v>
      </c>
      <c r="AN115" s="116" t="n">
        <f aca="false">AL115-AM115</f>
        <v>1740</v>
      </c>
    </row>
    <row r="116" customFormat="false" ht="15" hidden="true" customHeight="true" outlineLevel="1" collapsed="false">
      <c r="A116" s="109" t="s">
        <v>126</v>
      </c>
      <c r="B116" s="113" t="n">
        <f aca="false">IF(OR(1&gt;$B$27,ISBLANK(Actuals!C92)),"",Actuals!C92)</f>
        <v>-245</v>
      </c>
      <c r="C116" s="113" t="n">
        <f aca="false">'Reforecast Q1 2026'!C92</f>
        <v>-245</v>
      </c>
      <c r="D116" s="113" t="n">
        <f aca="false">IF(B116="","",B116-C116)</f>
        <v>0</v>
      </c>
      <c r="E116" s="113" t="n">
        <f aca="false">IF(OR(2&gt;$B$27,ISBLANK(Actuals!D92)),"",Actuals!D92)</f>
        <v>-245</v>
      </c>
      <c r="F116" s="113" t="n">
        <f aca="false">'Reforecast Q1 2026'!D92</f>
        <v>-245</v>
      </c>
      <c r="G116" s="113" t="n">
        <f aca="false">IF(E116="","",E116-F116)</f>
        <v>0</v>
      </c>
      <c r="H116" s="113" t="n">
        <f aca="false">IF(OR(3&gt;$B$27,ISBLANK(Actuals!E92)),"",Actuals!E92)</f>
        <v>-245</v>
      </c>
      <c r="I116" s="113" t="n">
        <f aca="false">'Reforecast Q1 2026'!E92</f>
        <v>-245</v>
      </c>
      <c r="J116" s="113" t="n">
        <f aca="false">IF(H116="","",H116-I116)</f>
        <v>0</v>
      </c>
      <c r="K116" s="113" t="n">
        <f aca="false">IF(OR(4&gt;$B$27,ISBLANK(Actuals!F92)),"",Actuals!F92)</f>
        <v>-245</v>
      </c>
      <c r="L116" s="113" t="n">
        <f aca="false">'Reforecast Q1 2026'!F92</f>
        <v>-245</v>
      </c>
      <c r="M116" s="113" t="n">
        <f aca="false">IF(K116="","",K116-L116)</f>
        <v>0</v>
      </c>
      <c r="N116" s="113" t="n">
        <f aca="false">IF(OR(5&gt;$B$27,ISBLANK(Actuals!G92)),"",Actuals!G92)</f>
        <v>-245</v>
      </c>
      <c r="O116" s="113" t="n">
        <f aca="false">'Reforecast Q1 2026'!G92</f>
        <v>-245</v>
      </c>
      <c r="P116" s="113" t="n">
        <f aca="false">IF(N116="","",N116-O116)</f>
        <v>0</v>
      </c>
      <c r="Q116" s="113" t="n">
        <f aca="false">IF(OR(6&gt;$B$27,ISBLANK(Actuals!H92)),"",Actuals!H92)</f>
        <v>-245</v>
      </c>
      <c r="R116" s="113" t="n">
        <f aca="false">'Reforecast Q1 2026'!H92</f>
        <v>-245</v>
      </c>
      <c r="S116" s="113" t="n">
        <f aca="false">IF(Q116="","",Q116-R116)</f>
        <v>0</v>
      </c>
      <c r="T116" s="113" t="n">
        <f aca="false">IF(OR(7&gt;$B$27,ISBLANK(Actuals!I92)),"",Actuals!I92)</f>
        <v>-245</v>
      </c>
      <c r="U116" s="113" t="n">
        <f aca="false">'Reforecast Q1 2026'!I92</f>
        <v>-245</v>
      </c>
      <c r="V116" s="113" t="n">
        <f aca="false">IF(T116="","",T116-U116)</f>
        <v>0</v>
      </c>
      <c r="W116" s="113" t="n">
        <f aca="false">IF(OR(8&gt;$B$27,ISBLANK(Actuals!J92)),"",Actuals!J92)</f>
        <v>0</v>
      </c>
      <c r="X116" s="113" t="n">
        <f aca="false">'Reforecast Q1 2026'!J92</f>
        <v>-245</v>
      </c>
      <c r="Y116" s="113" t="n">
        <f aca="false">IF(W116="","",W116-X116)</f>
        <v>245</v>
      </c>
      <c r="Z116" s="113" t="n">
        <f aca="false">IF(OR(9&gt;$B$27,ISBLANK(Actuals!K92)),"",Actuals!K92)</f>
        <v>-245</v>
      </c>
      <c r="AA116" s="113" t="n">
        <f aca="false">'Reforecast Q1 2026'!K92</f>
        <v>-245</v>
      </c>
      <c r="AB116" s="113" t="n">
        <f aca="false">IF(Z116="","",Z116-AA116)</f>
        <v>0</v>
      </c>
      <c r="AC116" s="113" t="str">
        <f aca="false">IF(OR(10&gt;$B$27,ISBLANK(Actuals!L92)),"",Actuals!L92)</f>
        <v/>
      </c>
      <c r="AD116" s="113" t="n">
        <f aca="false">'Reforecast Q1 2026'!L92</f>
        <v>-245</v>
      </c>
      <c r="AE116" s="113" t="str">
        <f aca="false">IF(AC116="","",AC116-AD116)</f>
        <v/>
      </c>
      <c r="AF116" s="113" t="str">
        <f aca="false">IF(OR(11&gt;$B$27,ISBLANK(Actuals!M92)),"",Actuals!M92)</f>
        <v/>
      </c>
      <c r="AG116" s="113" t="n">
        <f aca="false">'Reforecast Q1 2026'!M92</f>
        <v>-245</v>
      </c>
      <c r="AH116" s="113" t="str">
        <f aca="false">IF(AF116="","",AF116-AG116)</f>
        <v/>
      </c>
      <c r="AI116" s="113" t="str">
        <f aca="false">IF(OR(12&gt;$B$27,ISBLANK(Actuals!N92)),"",Actuals!N92)</f>
        <v/>
      </c>
      <c r="AJ116" s="113" t="n">
        <f aca="false">'Reforecast Q1 2026'!N92</f>
        <v>-245</v>
      </c>
      <c r="AK116" s="113" t="str">
        <f aca="false">IF(AI116="","",AI116-AJ116)</f>
        <v/>
      </c>
      <c r="AL116" s="116" t="n">
        <f aca="false">SUM(Actuals!$C92:INDEX(Actuals!$C92:$N92,$B$27))</f>
        <v>-1960</v>
      </c>
      <c r="AM116" s="116" t="n">
        <f aca="false">SUM('Reforecast Q1 2026'!$C92:INDEX('Reforecast Q1 2026'!$C92:$N92,$B$27))</f>
        <v>-2205</v>
      </c>
      <c r="AN116" s="116" t="n">
        <f aca="false">AL116-AM116</f>
        <v>245</v>
      </c>
    </row>
    <row r="117" customFormat="false" ht="15" hidden="true" customHeight="true" outlineLevel="1" collapsed="false">
      <c r="A117" s="109" t="s">
        <v>127</v>
      </c>
      <c r="B117" s="113" t="n">
        <f aca="false">IF(OR(1&gt;$B$27,ISBLANK(Actuals!C93)),"",Actuals!C93)</f>
        <v>-986.57</v>
      </c>
      <c r="C117" s="113" t="n">
        <f aca="false">'Reforecast Q1 2026'!C93</f>
        <v>-986.57</v>
      </c>
      <c r="D117" s="113" t="n">
        <f aca="false">IF(B117="","",B117-C117)</f>
        <v>0</v>
      </c>
      <c r="E117" s="113" t="n">
        <f aca="false">IF(OR(2&gt;$B$27,ISBLANK(Actuals!D93)),"",Actuals!D93)</f>
        <v>-1254.61</v>
      </c>
      <c r="F117" s="113" t="n">
        <f aca="false">'Reforecast Q1 2026'!D93</f>
        <v>-1254.61</v>
      </c>
      <c r="G117" s="113" t="n">
        <f aca="false">IF(E117="","",E117-F117)</f>
        <v>0</v>
      </c>
      <c r="H117" s="113" t="n">
        <f aca="false">IF(OR(3&gt;$B$27,ISBLANK(Actuals!E93)),"",Actuals!E93)</f>
        <v>-1297.31</v>
      </c>
      <c r="I117" s="113" t="n">
        <f aca="false">'Reforecast Q1 2026'!E93</f>
        <v>-1297.31</v>
      </c>
      <c r="J117" s="113" t="n">
        <f aca="false">IF(H117="","",H117-I117)</f>
        <v>0</v>
      </c>
      <c r="K117" s="113" t="n">
        <f aca="false">IF(OR(4&gt;$B$27,ISBLANK(Actuals!F93)),"",Actuals!F93)</f>
        <v>-48.78</v>
      </c>
      <c r="L117" s="113" t="n">
        <f aca="false">'Reforecast Q1 2026'!F93</f>
        <v>-1179.5</v>
      </c>
      <c r="M117" s="113" t="n">
        <f aca="false">IF(K117="","",K117-L117)</f>
        <v>1130.72</v>
      </c>
      <c r="N117" s="113" t="n">
        <f aca="false">IF(OR(5&gt;$B$27,ISBLANK(Actuals!G93)),"",Actuals!G93)</f>
        <v>-4199.86</v>
      </c>
      <c r="O117" s="113" t="n">
        <f aca="false">'Reforecast Q1 2026'!G93</f>
        <v>-1179.5</v>
      </c>
      <c r="P117" s="113" t="n">
        <f aca="false">IF(N117="","",N117-O117)</f>
        <v>-3020.36</v>
      </c>
      <c r="Q117" s="113" t="n">
        <f aca="false">IF(OR(6&gt;$B$27,ISBLANK(Actuals!H93)),"",Actuals!H93)</f>
        <v>-3433.39</v>
      </c>
      <c r="R117" s="113" t="n">
        <f aca="false">'Reforecast Q1 2026'!H93</f>
        <v>-1179.5</v>
      </c>
      <c r="S117" s="113" t="n">
        <f aca="false">IF(Q117="","",Q117-R117)</f>
        <v>-2253.89</v>
      </c>
      <c r="T117" s="113" t="n">
        <f aca="false">IF(OR(7&gt;$B$27,ISBLANK(Actuals!I93)),"",Actuals!I93)</f>
        <v>0</v>
      </c>
      <c r="U117" s="113" t="n">
        <f aca="false">'Reforecast Q1 2026'!I93</f>
        <v>-1179.5</v>
      </c>
      <c r="V117" s="113" t="n">
        <f aca="false">IF(T117="","",T117-U117)</f>
        <v>1179.5</v>
      </c>
      <c r="W117" s="113" t="n">
        <f aca="false">IF(OR(8&gt;$B$27,ISBLANK(Actuals!J93)),"",Actuals!J93)</f>
        <v>-9.99</v>
      </c>
      <c r="X117" s="113" t="n">
        <f aca="false">'Reforecast Q1 2026'!J93</f>
        <v>-1179.5</v>
      </c>
      <c r="Y117" s="113" t="n">
        <f aca="false">IF(W117="","",W117-X117)</f>
        <v>1169.51</v>
      </c>
      <c r="Z117" s="113" t="n">
        <f aca="false">IF(OR(9&gt;$B$27,ISBLANK(Actuals!K93)),"",Actuals!K93)</f>
        <v>-3772.85</v>
      </c>
      <c r="AA117" s="113" t="n">
        <f aca="false">'Reforecast Q1 2026'!K93</f>
        <v>-1179.5</v>
      </c>
      <c r="AB117" s="113" t="n">
        <f aca="false">IF(Z117="","",Z117-AA117)</f>
        <v>-2593.35</v>
      </c>
      <c r="AC117" s="113" t="str">
        <f aca="false">IF(OR(10&gt;$B$27,ISBLANK(Actuals!L93)),"",Actuals!L93)</f>
        <v/>
      </c>
      <c r="AD117" s="113" t="n">
        <f aca="false">'Reforecast Q1 2026'!L93</f>
        <v>-1179.5</v>
      </c>
      <c r="AE117" s="113" t="str">
        <f aca="false">IF(AC117="","",AC117-AD117)</f>
        <v/>
      </c>
      <c r="AF117" s="113" t="str">
        <f aca="false">IF(OR(11&gt;$B$27,ISBLANK(Actuals!M93)),"",Actuals!M93)</f>
        <v/>
      </c>
      <c r="AG117" s="113" t="n">
        <f aca="false">'Reforecast Q1 2026'!M93</f>
        <v>-1179.5</v>
      </c>
      <c r="AH117" s="113" t="str">
        <f aca="false">IF(AF117="","",AF117-AG117)</f>
        <v/>
      </c>
      <c r="AI117" s="113" t="str">
        <f aca="false">IF(OR(12&gt;$B$27,ISBLANK(Actuals!N93)),"",Actuals!N93)</f>
        <v/>
      </c>
      <c r="AJ117" s="113" t="n">
        <f aca="false">'Reforecast Q1 2026'!N93</f>
        <v>-1179.5</v>
      </c>
      <c r="AK117" s="113" t="str">
        <f aca="false">IF(AI117="","",AI117-AJ117)</f>
        <v/>
      </c>
      <c r="AL117" s="116" t="n">
        <f aca="false">SUM(Actuals!$C93:INDEX(Actuals!$C93:$N93,$B$27))</f>
        <v>-15003.36</v>
      </c>
      <c r="AM117" s="116" t="n">
        <f aca="false">SUM('Reforecast Q1 2026'!$C93:INDEX('Reforecast Q1 2026'!$C93:$N93,$B$27))</f>
        <v>-10615.49</v>
      </c>
      <c r="AN117" s="116" t="n">
        <f aca="false">AL117-AM117</f>
        <v>-4387.87</v>
      </c>
    </row>
    <row r="118" customFormat="false" ht="15" hidden="true" customHeight="true" outlineLevel="1" collapsed="false">
      <c r="A118" s="109" t="s">
        <v>128</v>
      </c>
      <c r="B118" s="113" t="n">
        <f aca="false">IF(OR(1&gt;$B$27,ISBLANK(Actuals!C94)),"",Actuals!C94)</f>
        <v>-588.66</v>
      </c>
      <c r="C118" s="113" t="n">
        <f aca="false">'Reforecast Q1 2026'!C94</f>
        <v>-588.66</v>
      </c>
      <c r="D118" s="113" t="n">
        <f aca="false">IF(B118="","",B118-C118)</f>
        <v>0</v>
      </c>
      <c r="E118" s="113" t="n">
        <f aca="false">IF(OR(2&gt;$B$27,ISBLANK(Actuals!D94)),"",Actuals!D94)</f>
        <v>-22.94</v>
      </c>
      <c r="F118" s="113" t="n">
        <f aca="false">'Reforecast Q1 2026'!D94</f>
        <v>-22.94</v>
      </c>
      <c r="G118" s="113" t="n">
        <f aca="false">IF(E118="","",E118-F118)</f>
        <v>0</v>
      </c>
      <c r="H118" s="113" t="n">
        <f aca="false">IF(OR(3&gt;$B$27,ISBLANK(Actuals!E94)),"",Actuals!E94)</f>
        <v>-487.3</v>
      </c>
      <c r="I118" s="113" t="n">
        <f aca="false">'Reforecast Q1 2026'!E94</f>
        <v>-487.3</v>
      </c>
      <c r="J118" s="113" t="n">
        <f aca="false">IF(H118="","",H118-I118)</f>
        <v>0</v>
      </c>
      <c r="K118" s="113" t="n">
        <f aca="false">IF(OR(4&gt;$B$27,ISBLANK(Actuals!F94)),"",Actuals!F94)</f>
        <v>-399.98</v>
      </c>
      <c r="L118" s="113" t="n">
        <f aca="false">'Reforecast Q1 2026'!F94</f>
        <v>-366.3</v>
      </c>
      <c r="M118" s="113" t="n">
        <f aca="false">IF(K118="","",K118-L118)</f>
        <v>-33.68</v>
      </c>
      <c r="N118" s="113" t="n">
        <f aca="false">IF(OR(5&gt;$B$27,ISBLANK(Actuals!G94)),"",Actuals!G94)</f>
        <v>-216.15</v>
      </c>
      <c r="O118" s="113" t="n">
        <f aca="false">'Reforecast Q1 2026'!G94</f>
        <v>-366.3</v>
      </c>
      <c r="P118" s="113" t="n">
        <f aca="false">IF(N118="","",N118-O118)</f>
        <v>150.15</v>
      </c>
      <c r="Q118" s="113" t="n">
        <f aca="false">IF(OR(6&gt;$B$27,ISBLANK(Actuals!H94)),"",Actuals!H94)</f>
        <v>-936.05</v>
      </c>
      <c r="R118" s="113" t="n">
        <f aca="false">'Reforecast Q1 2026'!H94</f>
        <v>-366.3</v>
      </c>
      <c r="S118" s="113" t="n">
        <f aca="false">IF(Q118="","",Q118-R118)</f>
        <v>-569.75</v>
      </c>
      <c r="T118" s="113" t="n">
        <f aca="false">IF(OR(7&gt;$B$27,ISBLANK(Actuals!I94)),"",Actuals!I94)</f>
        <v>-9.99</v>
      </c>
      <c r="U118" s="113" t="n">
        <f aca="false">'Reforecast Q1 2026'!I94</f>
        <v>-366.3</v>
      </c>
      <c r="V118" s="113" t="n">
        <f aca="false">IF(T118="","",T118-U118)</f>
        <v>356.31</v>
      </c>
      <c r="W118" s="113" t="n">
        <f aca="false">IF(OR(8&gt;$B$27,ISBLANK(Actuals!J94)),"",Actuals!J94)</f>
        <v>-32.2</v>
      </c>
      <c r="X118" s="113" t="n">
        <f aca="false">'Reforecast Q1 2026'!J94</f>
        <v>-366.3</v>
      </c>
      <c r="Y118" s="113" t="n">
        <f aca="false">IF(W118="","",W118-X118)</f>
        <v>334.1</v>
      </c>
      <c r="Z118" s="113" t="n">
        <f aca="false">IF(OR(9&gt;$B$27,ISBLANK(Actuals!K94)),"",Actuals!K94)</f>
        <v>-436.42</v>
      </c>
      <c r="AA118" s="113" t="n">
        <f aca="false">'Reforecast Q1 2026'!K94</f>
        <v>-366.3</v>
      </c>
      <c r="AB118" s="113" t="n">
        <f aca="false">IF(Z118="","",Z118-AA118)</f>
        <v>-70.12</v>
      </c>
      <c r="AC118" s="113" t="str">
        <f aca="false">IF(OR(10&gt;$B$27,ISBLANK(Actuals!L94)),"",Actuals!L94)</f>
        <v/>
      </c>
      <c r="AD118" s="113" t="n">
        <f aca="false">'Reforecast Q1 2026'!L94</f>
        <v>-366.3</v>
      </c>
      <c r="AE118" s="113" t="str">
        <f aca="false">IF(AC118="","",AC118-AD118)</f>
        <v/>
      </c>
      <c r="AF118" s="113" t="str">
        <f aca="false">IF(OR(11&gt;$B$27,ISBLANK(Actuals!M94)),"",Actuals!M94)</f>
        <v/>
      </c>
      <c r="AG118" s="113" t="n">
        <f aca="false">'Reforecast Q1 2026'!M94</f>
        <v>-366.3</v>
      </c>
      <c r="AH118" s="113" t="str">
        <f aca="false">IF(AF118="","",AF118-AG118)</f>
        <v/>
      </c>
      <c r="AI118" s="113" t="str">
        <f aca="false">IF(OR(12&gt;$B$27,ISBLANK(Actuals!N94)),"",Actuals!N94)</f>
        <v/>
      </c>
      <c r="AJ118" s="113" t="n">
        <f aca="false">'Reforecast Q1 2026'!N94</f>
        <v>-366.3</v>
      </c>
      <c r="AK118" s="113" t="str">
        <f aca="false">IF(AI118="","",AI118-AJ118)</f>
        <v/>
      </c>
      <c r="AL118" s="116" t="n">
        <f aca="false">SUM(Actuals!$C94:INDEX(Actuals!$C94:$N94,$B$27))</f>
        <v>-3129.69</v>
      </c>
      <c r="AM118" s="116" t="n">
        <f aca="false">SUM('Reforecast Q1 2026'!$C94:INDEX('Reforecast Q1 2026'!$C94:$N94,$B$27))</f>
        <v>-3296.7</v>
      </c>
      <c r="AN118" s="116" t="n">
        <f aca="false">AL118-AM118</f>
        <v>167.01</v>
      </c>
    </row>
    <row r="119" customFormat="false" ht="15" hidden="true" customHeight="true" outlineLevel="1" collapsed="false">
      <c r="A119" s="109" t="s">
        <v>129</v>
      </c>
      <c r="B119" s="113" t="n">
        <f aca="false">IF(OR(1&gt;$B$27,ISBLANK(Actuals!C95)),"",Actuals!C95)</f>
        <v>0</v>
      </c>
      <c r="C119" s="113" t="n">
        <f aca="false">'Reforecast Q1 2026'!C95</f>
        <v>0</v>
      </c>
      <c r="D119" s="113" t="n">
        <f aca="false">IF(B119="","",B119-C119)</f>
        <v>0</v>
      </c>
      <c r="E119" s="113" t="n">
        <f aca="false">IF(OR(2&gt;$B$27,ISBLANK(Actuals!D95)),"",Actuals!D95)</f>
        <v>-92.75</v>
      </c>
      <c r="F119" s="113" t="n">
        <f aca="false">'Reforecast Q1 2026'!D95</f>
        <v>-92.75</v>
      </c>
      <c r="G119" s="113" t="n">
        <f aca="false">IF(E119="","",E119-F119)</f>
        <v>0</v>
      </c>
      <c r="H119" s="113" t="n">
        <f aca="false">IF(OR(3&gt;$B$27,ISBLANK(Actuals!E95)),"",Actuals!E95)</f>
        <v>-57.46</v>
      </c>
      <c r="I119" s="113" t="n">
        <f aca="false">'Reforecast Q1 2026'!E95</f>
        <v>-57.46</v>
      </c>
      <c r="J119" s="113" t="n">
        <f aca="false">IF(H119="","",H119-I119)</f>
        <v>0</v>
      </c>
      <c r="K119" s="113" t="n">
        <f aca="false">IF(OR(4&gt;$B$27,ISBLANK(Actuals!F95)),"",Actuals!F95)</f>
        <v>0</v>
      </c>
      <c r="L119" s="113" t="n">
        <f aca="false">'Reforecast Q1 2026'!F95</f>
        <v>-50.07</v>
      </c>
      <c r="M119" s="113" t="n">
        <f aca="false">IF(K119="","",K119-L119)</f>
        <v>50.07</v>
      </c>
      <c r="N119" s="113" t="n">
        <f aca="false">IF(OR(5&gt;$B$27,ISBLANK(Actuals!G95)),"",Actuals!G95)</f>
        <v>-24.3</v>
      </c>
      <c r="O119" s="113" t="n">
        <f aca="false">'Reforecast Q1 2026'!G95</f>
        <v>-50.07</v>
      </c>
      <c r="P119" s="113" t="n">
        <f aca="false">IF(N119="","",N119-O119)</f>
        <v>25.77</v>
      </c>
      <c r="Q119" s="113" t="n">
        <f aca="false">IF(OR(6&gt;$B$27,ISBLANK(Actuals!H95)),"",Actuals!H95)</f>
        <v>-917.7</v>
      </c>
      <c r="R119" s="113" t="n">
        <f aca="false">'Reforecast Q1 2026'!H95</f>
        <v>-50.07</v>
      </c>
      <c r="S119" s="113" t="n">
        <f aca="false">IF(Q119="","",Q119-R119)</f>
        <v>-867.63</v>
      </c>
      <c r="T119" s="113" t="n">
        <f aca="false">IF(OR(7&gt;$B$27,ISBLANK(Actuals!I95)),"",Actuals!I95)</f>
        <v>0</v>
      </c>
      <c r="U119" s="113" t="n">
        <f aca="false">'Reforecast Q1 2026'!I95</f>
        <v>-50.07</v>
      </c>
      <c r="V119" s="113" t="n">
        <f aca="false">IF(T119="","",T119-U119)</f>
        <v>50.07</v>
      </c>
      <c r="W119" s="113" t="n">
        <f aca="false">IF(OR(8&gt;$B$27,ISBLANK(Actuals!J95)),"",Actuals!J95)</f>
        <v>-70.35</v>
      </c>
      <c r="X119" s="113" t="n">
        <f aca="false">'Reforecast Q1 2026'!J95</f>
        <v>-50.07</v>
      </c>
      <c r="Y119" s="113" t="n">
        <f aca="false">IF(W119="","",W119-X119)</f>
        <v>-20.28</v>
      </c>
      <c r="Z119" s="113" t="n">
        <f aca="false">IF(OR(9&gt;$B$27,ISBLANK(Actuals!K95)),"",Actuals!K95)</f>
        <v>-160</v>
      </c>
      <c r="AA119" s="113" t="n">
        <f aca="false">'Reforecast Q1 2026'!K95</f>
        <v>-50.07</v>
      </c>
      <c r="AB119" s="113" t="n">
        <f aca="false">IF(Z119="","",Z119-AA119)</f>
        <v>-109.93</v>
      </c>
      <c r="AC119" s="113" t="str">
        <f aca="false">IF(OR(10&gt;$B$27,ISBLANK(Actuals!L95)),"",Actuals!L95)</f>
        <v/>
      </c>
      <c r="AD119" s="113" t="n">
        <f aca="false">'Reforecast Q1 2026'!L95</f>
        <v>-50.07</v>
      </c>
      <c r="AE119" s="113" t="str">
        <f aca="false">IF(AC119="","",AC119-AD119)</f>
        <v/>
      </c>
      <c r="AF119" s="113" t="str">
        <f aca="false">IF(OR(11&gt;$B$27,ISBLANK(Actuals!M95)),"",Actuals!M95)</f>
        <v/>
      </c>
      <c r="AG119" s="113" t="n">
        <f aca="false">'Reforecast Q1 2026'!M95</f>
        <v>-50.07</v>
      </c>
      <c r="AH119" s="113" t="str">
        <f aca="false">IF(AF119="","",AF119-AG119)</f>
        <v/>
      </c>
      <c r="AI119" s="113" t="str">
        <f aca="false">IF(OR(12&gt;$B$27,ISBLANK(Actuals!N95)),"",Actuals!N95)</f>
        <v/>
      </c>
      <c r="AJ119" s="113" t="n">
        <f aca="false">'Reforecast Q1 2026'!N95</f>
        <v>-50.07</v>
      </c>
      <c r="AK119" s="113" t="str">
        <f aca="false">IF(AI119="","",AI119-AJ119)</f>
        <v/>
      </c>
      <c r="AL119" s="116" t="n">
        <f aca="false">SUM(Actuals!$C95:INDEX(Actuals!$C95:$N95,$B$27))</f>
        <v>-1322.56</v>
      </c>
      <c r="AM119" s="116" t="n">
        <f aca="false">SUM('Reforecast Q1 2026'!$C95:INDEX('Reforecast Q1 2026'!$C95:$N95,$B$27))</f>
        <v>-450.63</v>
      </c>
      <c r="AN119" s="116" t="n">
        <f aca="false">AL119-AM119</f>
        <v>-871.93</v>
      </c>
    </row>
    <row r="120" customFormat="false" ht="15" hidden="true" customHeight="true" outlineLevel="1" collapsed="false">
      <c r="A120" s="109" t="s">
        <v>78</v>
      </c>
      <c r="B120" s="113" t="n">
        <f aca="false">IF(OR(1&gt;$B$27,ISBLANK(Actuals!C96)),"",Actuals!C96)</f>
        <v>-640.88</v>
      </c>
      <c r="C120" s="113" t="n">
        <f aca="false">'Reforecast Q1 2026'!C96</f>
        <v>-640.88</v>
      </c>
      <c r="D120" s="113" t="n">
        <f aca="false">IF(B120="","",B120-C120)</f>
        <v>0</v>
      </c>
      <c r="E120" s="113" t="n">
        <f aca="false">IF(OR(2&gt;$B$27,ISBLANK(Actuals!D96)),"",Actuals!D96)</f>
        <v>-872.64</v>
      </c>
      <c r="F120" s="113" t="n">
        <f aca="false">'Reforecast Q1 2026'!D96</f>
        <v>-872.64</v>
      </c>
      <c r="G120" s="113" t="n">
        <f aca="false">IF(E120="","",E120-F120)</f>
        <v>0</v>
      </c>
      <c r="H120" s="113" t="n">
        <f aca="false">IF(OR(3&gt;$B$27,ISBLANK(Actuals!E96)),"",Actuals!E96)</f>
        <v>-1175.78</v>
      </c>
      <c r="I120" s="113" t="n">
        <f aca="false">'Reforecast Q1 2026'!E96</f>
        <v>-1175.78</v>
      </c>
      <c r="J120" s="113" t="n">
        <f aca="false">IF(H120="","",H120-I120)</f>
        <v>0</v>
      </c>
      <c r="K120" s="113" t="n">
        <f aca="false">IF(OR(4&gt;$B$27,ISBLANK(Actuals!F96)),"",Actuals!F96)</f>
        <v>-471.38</v>
      </c>
      <c r="L120" s="113" t="n">
        <f aca="false">'Reforecast Q1 2026'!F96</f>
        <v>-896.43</v>
      </c>
      <c r="M120" s="113" t="n">
        <f aca="false">IF(K120="","",K120-L120)</f>
        <v>425.05</v>
      </c>
      <c r="N120" s="113" t="n">
        <f aca="false">IF(OR(5&gt;$B$27,ISBLANK(Actuals!G96)),"",Actuals!G96)</f>
        <v>-1307.57</v>
      </c>
      <c r="O120" s="113" t="n">
        <f aca="false">'Reforecast Q1 2026'!G96</f>
        <v>-896.43</v>
      </c>
      <c r="P120" s="113" t="n">
        <f aca="false">IF(N120="","",N120-O120)</f>
        <v>-411.14</v>
      </c>
      <c r="Q120" s="113" t="n">
        <f aca="false">IF(OR(6&gt;$B$27,ISBLANK(Actuals!H96)),"",Actuals!H96)</f>
        <v>-3067.11</v>
      </c>
      <c r="R120" s="113" t="n">
        <f aca="false">'Reforecast Q1 2026'!H96</f>
        <v>-896.43</v>
      </c>
      <c r="S120" s="113" t="n">
        <f aca="false">IF(Q120="","",Q120-R120)</f>
        <v>-2170.68</v>
      </c>
      <c r="T120" s="113" t="n">
        <f aca="false">IF(OR(7&gt;$B$27,ISBLANK(Actuals!I96)),"",Actuals!I96)</f>
        <v>-131.02</v>
      </c>
      <c r="U120" s="113" t="n">
        <f aca="false">'Reforecast Q1 2026'!I96</f>
        <v>-896.43</v>
      </c>
      <c r="V120" s="113" t="n">
        <f aca="false">IF(T120="","",T120-U120)</f>
        <v>765.41</v>
      </c>
      <c r="W120" s="113" t="n">
        <f aca="false">IF(OR(8&gt;$B$27,ISBLANK(Actuals!J96)),"",Actuals!J96)</f>
        <v>-13.5</v>
      </c>
      <c r="X120" s="113" t="n">
        <f aca="false">'Reforecast Q1 2026'!J96</f>
        <v>-896.43</v>
      </c>
      <c r="Y120" s="113" t="n">
        <f aca="false">IF(W120="","",W120-X120)</f>
        <v>882.93</v>
      </c>
      <c r="Z120" s="113" t="n">
        <f aca="false">IF(OR(9&gt;$B$27,ISBLANK(Actuals!K96)),"",Actuals!K96)</f>
        <v>-1504.31</v>
      </c>
      <c r="AA120" s="113" t="n">
        <f aca="false">'Reforecast Q1 2026'!K96</f>
        <v>-896.43</v>
      </c>
      <c r="AB120" s="113" t="n">
        <f aca="false">IF(Z120="","",Z120-AA120)</f>
        <v>-607.88</v>
      </c>
      <c r="AC120" s="113" t="str">
        <f aca="false">IF(OR(10&gt;$B$27,ISBLANK(Actuals!L96)),"",Actuals!L96)</f>
        <v/>
      </c>
      <c r="AD120" s="113" t="n">
        <f aca="false">'Reforecast Q1 2026'!L96</f>
        <v>-896.43</v>
      </c>
      <c r="AE120" s="113" t="str">
        <f aca="false">IF(AC120="","",AC120-AD120)</f>
        <v/>
      </c>
      <c r="AF120" s="113" t="str">
        <f aca="false">IF(OR(11&gt;$B$27,ISBLANK(Actuals!M96)),"",Actuals!M96)</f>
        <v/>
      </c>
      <c r="AG120" s="113" t="n">
        <f aca="false">'Reforecast Q1 2026'!M96</f>
        <v>-896.43</v>
      </c>
      <c r="AH120" s="113" t="str">
        <f aca="false">IF(AF120="","",AF120-AG120)</f>
        <v/>
      </c>
      <c r="AI120" s="113" t="str">
        <f aca="false">IF(OR(12&gt;$B$27,ISBLANK(Actuals!N96)),"",Actuals!N96)</f>
        <v/>
      </c>
      <c r="AJ120" s="113" t="n">
        <f aca="false">'Reforecast Q1 2026'!N96</f>
        <v>-896.43</v>
      </c>
      <c r="AK120" s="113" t="str">
        <f aca="false">IF(AI120="","",AI120-AJ120)</f>
        <v/>
      </c>
      <c r="AL120" s="116" t="n">
        <f aca="false">SUM(Actuals!$C96:INDEX(Actuals!$C96:$N96,$B$27))</f>
        <v>-9184.19</v>
      </c>
      <c r="AM120" s="116" t="n">
        <f aca="false">SUM('Reforecast Q1 2026'!$C96:INDEX('Reforecast Q1 2026'!$C96:$N96,$B$27))</f>
        <v>-8067.88</v>
      </c>
      <c r="AN120" s="116" t="n">
        <f aca="false">AL120-AM120</f>
        <v>-1116.31</v>
      </c>
    </row>
    <row r="121" customFormat="false" ht="15" hidden="true" customHeight="true" outlineLevel="1" collapsed="false">
      <c r="A121" s="109" t="s">
        <v>79</v>
      </c>
      <c r="B121" s="113" t="n">
        <f aca="false">IF(OR(1&gt;$B$27,ISBLANK(Actuals!C97)),"",Actuals!C97)</f>
        <v>0</v>
      </c>
      <c r="C121" s="113" t="n">
        <f aca="false">'Reforecast Q1 2026'!C97</f>
        <v>0</v>
      </c>
      <c r="D121" s="113" t="n">
        <f aca="false">IF(B121="","",B121-C121)</f>
        <v>0</v>
      </c>
      <c r="E121" s="113" t="n">
        <f aca="false">IF(OR(2&gt;$B$27,ISBLANK(Actuals!D97)),"",Actuals!D97)</f>
        <v>0</v>
      </c>
      <c r="F121" s="113" t="n">
        <f aca="false">'Reforecast Q1 2026'!D97</f>
        <v>0</v>
      </c>
      <c r="G121" s="113" t="n">
        <f aca="false">IF(E121="","",E121-F121)</f>
        <v>0</v>
      </c>
      <c r="H121" s="113" t="n">
        <f aca="false">IF(OR(3&gt;$B$27,ISBLANK(Actuals!E97)),"",Actuals!E97)</f>
        <v>-38050.5</v>
      </c>
      <c r="I121" s="113" t="n">
        <f aca="false">'Reforecast Q1 2026'!E97</f>
        <v>-38050.5</v>
      </c>
      <c r="J121" s="113" t="n">
        <f aca="false">IF(H121="","",H121-I121)</f>
        <v>0</v>
      </c>
      <c r="K121" s="113" t="n">
        <f aca="false">IF(OR(4&gt;$B$27,ISBLANK(Actuals!F97)),"",Actuals!F97)</f>
        <v>0</v>
      </c>
      <c r="L121" s="113" t="n">
        <f aca="false">'Reforecast Q1 2026'!F97</f>
        <v>-2000</v>
      </c>
      <c r="M121" s="113" t="n">
        <f aca="false">IF(K121="","",K121-L121)</f>
        <v>2000</v>
      </c>
      <c r="N121" s="113" t="n">
        <f aca="false">IF(OR(5&gt;$B$27,ISBLANK(Actuals!G97)),"",Actuals!G97)</f>
        <v>-986.5</v>
      </c>
      <c r="O121" s="113" t="n">
        <f aca="false">'Reforecast Q1 2026'!G97</f>
        <v>-2000</v>
      </c>
      <c r="P121" s="113" t="n">
        <f aca="false">IF(N121="","",N121-O121)</f>
        <v>1013.5</v>
      </c>
      <c r="Q121" s="113" t="n">
        <f aca="false">IF(OR(6&gt;$B$27,ISBLANK(Actuals!H97)),"",Actuals!H97)</f>
        <v>-4830</v>
      </c>
      <c r="R121" s="113" t="n">
        <f aca="false">'Reforecast Q1 2026'!H97</f>
        <v>-2000</v>
      </c>
      <c r="S121" s="113" t="n">
        <f aca="false">IF(Q121="","",Q121-R121)</f>
        <v>-2830</v>
      </c>
      <c r="T121" s="113" t="n">
        <f aca="false">IF(OR(7&gt;$B$27,ISBLANK(Actuals!I97)),"",Actuals!I97)</f>
        <v>0</v>
      </c>
      <c r="U121" s="113" t="n">
        <f aca="false">'Reforecast Q1 2026'!I97</f>
        <v>-2000</v>
      </c>
      <c r="V121" s="113" t="n">
        <f aca="false">IF(T121="","",T121-U121)</f>
        <v>2000</v>
      </c>
      <c r="W121" s="113" t="n">
        <f aca="false">IF(OR(8&gt;$B$27,ISBLANK(Actuals!J97)),"",Actuals!J97)</f>
        <v>0</v>
      </c>
      <c r="X121" s="113" t="n">
        <f aca="false">'Reforecast Q1 2026'!J97</f>
        <v>-2000</v>
      </c>
      <c r="Y121" s="113" t="n">
        <f aca="false">IF(W121="","",W121-X121)</f>
        <v>2000</v>
      </c>
      <c r="Z121" s="113" t="n">
        <f aca="false">IF(OR(9&gt;$B$27,ISBLANK(Actuals!K97)),"",Actuals!K97)</f>
        <v>0</v>
      </c>
      <c r="AA121" s="113" t="n">
        <f aca="false">'Reforecast Q1 2026'!K97</f>
        <v>-2000</v>
      </c>
      <c r="AB121" s="113" t="n">
        <f aca="false">IF(Z121="","",Z121-AA121)</f>
        <v>2000</v>
      </c>
      <c r="AC121" s="113" t="str">
        <f aca="false">IF(OR(10&gt;$B$27,ISBLANK(Actuals!L97)),"",Actuals!L97)</f>
        <v/>
      </c>
      <c r="AD121" s="113" t="n">
        <f aca="false">'Reforecast Q1 2026'!L97</f>
        <v>-2000</v>
      </c>
      <c r="AE121" s="113" t="str">
        <f aca="false">IF(AC121="","",AC121-AD121)</f>
        <v/>
      </c>
      <c r="AF121" s="113" t="str">
        <f aca="false">IF(OR(11&gt;$B$27,ISBLANK(Actuals!M97)),"",Actuals!M97)</f>
        <v/>
      </c>
      <c r="AG121" s="113" t="n">
        <f aca="false">'Reforecast Q1 2026'!M97</f>
        <v>-2000</v>
      </c>
      <c r="AH121" s="113" t="str">
        <f aca="false">IF(AF121="","",AF121-AG121)</f>
        <v/>
      </c>
      <c r="AI121" s="113" t="str">
        <f aca="false">IF(OR(12&gt;$B$27,ISBLANK(Actuals!N97)),"",Actuals!N97)</f>
        <v/>
      </c>
      <c r="AJ121" s="113" t="n">
        <f aca="false">'Reforecast Q1 2026'!N97</f>
        <v>-2000</v>
      </c>
      <c r="AK121" s="113" t="str">
        <f aca="false">IF(AI121="","",AI121-AJ121)</f>
        <v/>
      </c>
      <c r="AL121" s="116" t="n">
        <f aca="false">SUM(Actuals!$C97:INDEX(Actuals!$C97:$N97,$B$27))</f>
        <v>-43867</v>
      </c>
      <c r="AM121" s="116" t="n">
        <f aca="false">SUM('Reforecast Q1 2026'!$C97:INDEX('Reforecast Q1 2026'!$C97:$N97,$B$27))</f>
        <v>-50050.5</v>
      </c>
      <c r="AN121" s="116" t="n">
        <f aca="false">AL121-AM121</f>
        <v>6183.5</v>
      </c>
    </row>
    <row r="122" customFormat="false" ht="15" hidden="true" customHeight="true" outlineLevel="1" collapsed="false">
      <c r="A122" s="109" t="s">
        <v>80</v>
      </c>
      <c r="B122" s="113" t="n">
        <f aca="false">IF(OR(1&gt;$B$27,ISBLANK(Actuals!C98)),"",Actuals!C98)</f>
        <v>-4097.78</v>
      </c>
      <c r="C122" s="113" t="n">
        <f aca="false">'Reforecast Q1 2026'!C98</f>
        <v>-4097.78</v>
      </c>
      <c r="D122" s="113" t="n">
        <f aca="false">IF(B122="","",B122-C122)</f>
        <v>0</v>
      </c>
      <c r="E122" s="113" t="n">
        <f aca="false">IF(OR(2&gt;$B$27,ISBLANK(Actuals!D98)),"",Actuals!D98)</f>
        <v>-1950.2</v>
      </c>
      <c r="F122" s="113" t="n">
        <f aca="false">'Reforecast Q1 2026'!D98</f>
        <v>-1950.2</v>
      </c>
      <c r="G122" s="113" t="n">
        <f aca="false">IF(E122="","",E122-F122)</f>
        <v>0</v>
      </c>
      <c r="H122" s="113" t="n">
        <f aca="false">IF(OR(3&gt;$B$27,ISBLANK(Actuals!E98)),"",Actuals!E98)</f>
        <v>-1978.2</v>
      </c>
      <c r="I122" s="113" t="n">
        <f aca="false">'Reforecast Q1 2026'!E98</f>
        <v>-1978.2</v>
      </c>
      <c r="J122" s="113" t="n">
        <f aca="false">IF(H122="","",H122-I122)</f>
        <v>0</v>
      </c>
      <c r="K122" s="113" t="n">
        <f aca="false">IF(OR(4&gt;$B$27,ISBLANK(Actuals!F98)),"",Actuals!F98)</f>
        <v>-1970.2</v>
      </c>
      <c r="L122" s="113" t="n">
        <f aca="false">'Reforecast Q1 2026'!F98</f>
        <v>-2675.39</v>
      </c>
      <c r="M122" s="113" t="n">
        <f aca="false">IF(K122="","",K122-L122)</f>
        <v>705.19</v>
      </c>
      <c r="N122" s="113" t="n">
        <f aca="false">IF(OR(5&gt;$B$27,ISBLANK(Actuals!G98)),"",Actuals!G98)</f>
        <v>-6126.2</v>
      </c>
      <c r="O122" s="113" t="n">
        <f aca="false">'Reforecast Q1 2026'!G98</f>
        <v>-2675.39</v>
      </c>
      <c r="P122" s="113" t="n">
        <f aca="false">IF(N122="","",N122-O122)</f>
        <v>-3450.81</v>
      </c>
      <c r="Q122" s="113" t="n">
        <f aca="false">IF(OR(6&gt;$B$27,ISBLANK(Actuals!H98)),"",Actuals!H98)</f>
        <v>-1993.2</v>
      </c>
      <c r="R122" s="113" t="n">
        <f aca="false">'Reforecast Q1 2026'!H98</f>
        <v>-2675.39</v>
      </c>
      <c r="S122" s="113" t="n">
        <f aca="false">IF(Q122="","",Q122-R122)</f>
        <v>682.19</v>
      </c>
      <c r="T122" s="113" t="n">
        <f aca="false">IF(OR(7&gt;$B$27,ISBLANK(Actuals!I98)),"",Actuals!I98)</f>
        <v>-2040.2</v>
      </c>
      <c r="U122" s="113" t="n">
        <f aca="false">'Reforecast Q1 2026'!I98</f>
        <v>-2675.39</v>
      </c>
      <c r="V122" s="113" t="n">
        <f aca="false">IF(T122="","",T122-U122)</f>
        <v>635.19</v>
      </c>
      <c r="W122" s="113" t="n">
        <f aca="false">IF(OR(8&gt;$B$27,ISBLANK(Actuals!J98)),"",Actuals!J98)</f>
        <v>-2271.2</v>
      </c>
      <c r="X122" s="113" t="n">
        <f aca="false">'Reforecast Q1 2026'!J98</f>
        <v>-2675.39</v>
      </c>
      <c r="Y122" s="113" t="n">
        <f aca="false">IF(W122="","",W122-X122)</f>
        <v>404.19</v>
      </c>
      <c r="Z122" s="113" t="n">
        <f aca="false">IF(OR(9&gt;$B$27,ISBLANK(Actuals!K98)),"",Actuals!K98)</f>
        <v>-21969.2</v>
      </c>
      <c r="AA122" s="113" t="n">
        <f aca="false">'Reforecast Q1 2026'!K98</f>
        <v>-2675.39</v>
      </c>
      <c r="AB122" s="113" t="n">
        <f aca="false">IF(Z122="","",Z122-AA122)</f>
        <v>-19293.81</v>
      </c>
      <c r="AC122" s="113" t="str">
        <f aca="false">IF(OR(10&gt;$B$27,ISBLANK(Actuals!L98)),"",Actuals!L98)</f>
        <v/>
      </c>
      <c r="AD122" s="113" t="n">
        <f aca="false">'Reforecast Q1 2026'!L98</f>
        <v>-2675.39</v>
      </c>
      <c r="AE122" s="113" t="str">
        <f aca="false">IF(AC122="","",AC122-AD122)</f>
        <v/>
      </c>
      <c r="AF122" s="113" t="str">
        <f aca="false">IF(OR(11&gt;$B$27,ISBLANK(Actuals!M98)),"",Actuals!M98)</f>
        <v/>
      </c>
      <c r="AG122" s="113" t="n">
        <f aca="false">'Reforecast Q1 2026'!M98</f>
        <v>-2675.39</v>
      </c>
      <c r="AH122" s="113" t="str">
        <f aca="false">IF(AF122="","",AF122-AG122)</f>
        <v/>
      </c>
      <c r="AI122" s="113" t="str">
        <f aca="false">IF(OR(12&gt;$B$27,ISBLANK(Actuals!N98)),"",Actuals!N98)</f>
        <v/>
      </c>
      <c r="AJ122" s="113" t="n">
        <f aca="false">'Reforecast Q1 2026'!N98</f>
        <v>-2675.39</v>
      </c>
      <c r="AK122" s="113" t="str">
        <f aca="false">IF(AI122="","",AI122-AJ122)</f>
        <v/>
      </c>
      <c r="AL122" s="116" t="n">
        <f aca="false">SUM(Actuals!$C98:INDEX(Actuals!$C98:$N98,$B$27))</f>
        <v>-44396.38</v>
      </c>
      <c r="AM122" s="116" t="n">
        <f aca="false">SUM('Reforecast Q1 2026'!$C98:INDEX('Reforecast Q1 2026'!$C98:$N98,$B$27))</f>
        <v>-24078.52</v>
      </c>
      <c r="AN122" s="116" t="n">
        <f aca="false">AL122-AM122</f>
        <v>-20317.86</v>
      </c>
    </row>
    <row r="123" customFormat="false" ht="15" hidden="true" customHeight="true" outlineLevel="1" collapsed="false">
      <c r="A123" s="109" t="s">
        <v>81</v>
      </c>
      <c r="B123" s="113" t="n">
        <f aca="false">IF(OR(1&gt;$B$27,ISBLANK(Actuals!C99)),"",Actuals!C99)</f>
        <v>-28038</v>
      </c>
      <c r="C123" s="113" t="n">
        <f aca="false">'Reforecast Q1 2026'!C99</f>
        <v>-28038</v>
      </c>
      <c r="D123" s="113" t="n">
        <f aca="false">IF(B123="","",B123-C123)</f>
        <v>0</v>
      </c>
      <c r="E123" s="113" t="n">
        <f aca="false">IF(OR(2&gt;$B$27,ISBLANK(Actuals!D99)),"",Actuals!D99)</f>
        <v>-29387.5</v>
      </c>
      <c r="F123" s="113" t="n">
        <f aca="false">'Reforecast Q1 2026'!D99</f>
        <v>-29387.5</v>
      </c>
      <c r="G123" s="113" t="n">
        <f aca="false">IF(E123="","",E123-F123)</f>
        <v>0</v>
      </c>
      <c r="H123" s="113" t="n">
        <f aca="false">IF(OR(3&gt;$B$27,ISBLANK(Actuals!E99)),"",Actuals!E99)</f>
        <v>-28083</v>
      </c>
      <c r="I123" s="113" t="n">
        <f aca="false">'Reforecast Q1 2026'!E99</f>
        <v>-28083</v>
      </c>
      <c r="J123" s="113" t="n">
        <f aca="false">IF(H123="","",H123-I123)</f>
        <v>0</v>
      </c>
      <c r="K123" s="113" t="n">
        <f aca="false">IF(OR(4&gt;$B$27,ISBLANK(Actuals!F99)),"",Actuals!F99)</f>
        <v>-28083</v>
      </c>
      <c r="L123" s="113" t="n">
        <f aca="false">'Reforecast Q1 2026'!F99</f>
        <v>-8625</v>
      </c>
      <c r="M123" s="113" t="n">
        <f aca="false">IF(K123="","",K123-L123)</f>
        <v>-19458</v>
      </c>
      <c r="N123" s="113" t="n">
        <f aca="false">IF(OR(5&gt;$B$27,ISBLANK(Actuals!G99)),"",Actuals!G99)</f>
        <v>-69333</v>
      </c>
      <c r="O123" s="113" t="n">
        <f aca="false">'Reforecast Q1 2026'!G99</f>
        <v>-8625</v>
      </c>
      <c r="P123" s="113" t="n">
        <f aca="false">IF(N123="","",N123-O123)</f>
        <v>-60708</v>
      </c>
      <c r="Q123" s="113" t="n">
        <f aca="false">IF(OR(6&gt;$B$27,ISBLANK(Actuals!H99)),"",Actuals!H99)</f>
        <v>-28083</v>
      </c>
      <c r="R123" s="113" t="n">
        <f aca="false">'Reforecast Q1 2026'!H99</f>
        <v>-8625</v>
      </c>
      <c r="S123" s="113" t="n">
        <f aca="false">IF(Q123="","",Q123-R123)</f>
        <v>-19458</v>
      </c>
      <c r="T123" s="113" t="n">
        <f aca="false">IF(OR(7&gt;$B$27,ISBLANK(Actuals!I99)),"",Actuals!I99)</f>
        <v>-28628</v>
      </c>
      <c r="U123" s="113" t="n">
        <f aca="false">'Reforecast Q1 2026'!I99</f>
        <v>-8625</v>
      </c>
      <c r="V123" s="113" t="n">
        <f aca="false">IF(T123="","",T123-U123)</f>
        <v>-20003</v>
      </c>
      <c r="W123" s="113" t="n">
        <f aca="false">IF(OR(8&gt;$B$27,ISBLANK(Actuals!J99)),"",Actuals!J99)</f>
        <v>-28083</v>
      </c>
      <c r="X123" s="113" t="n">
        <f aca="false">'Reforecast Q1 2026'!J99</f>
        <v>-8625</v>
      </c>
      <c r="Y123" s="113" t="n">
        <f aca="false">IF(W123="","",W123-X123)</f>
        <v>-19458</v>
      </c>
      <c r="Z123" s="113" t="n">
        <f aca="false">IF(OR(9&gt;$B$27,ISBLANK(Actuals!K99)),"",Actuals!K99)</f>
        <v>-28083</v>
      </c>
      <c r="AA123" s="113" t="n">
        <f aca="false">'Reforecast Q1 2026'!K99</f>
        <v>-8625</v>
      </c>
      <c r="AB123" s="113" t="n">
        <f aca="false">IF(Z123="","",Z123-AA123)</f>
        <v>-19458</v>
      </c>
      <c r="AC123" s="113" t="str">
        <f aca="false">IF(OR(10&gt;$B$27,ISBLANK(Actuals!L99)),"",Actuals!L99)</f>
        <v/>
      </c>
      <c r="AD123" s="113" t="n">
        <f aca="false">'Reforecast Q1 2026'!L99</f>
        <v>-8625</v>
      </c>
      <c r="AE123" s="113" t="str">
        <f aca="false">IF(AC123="","",AC123-AD123)</f>
        <v/>
      </c>
      <c r="AF123" s="113" t="str">
        <f aca="false">IF(OR(11&gt;$B$27,ISBLANK(Actuals!M99)),"",Actuals!M99)</f>
        <v/>
      </c>
      <c r="AG123" s="113" t="n">
        <f aca="false">'Reforecast Q1 2026'!M99</f>
        <v>-8625</v>
      </c>
      <c r="AH123" s="113" t="str">
        <f aca="false">IF(AF123="","",AF123-AG123)</f>
        <v/>
      </c>
      <c r="AI123" s="113" t="str">
        <f aca="false">IF(OR(12&gt;$B$27,ISBLANK(Actuals!N99)),"",Actuals!N99)</f>
        <v/>
      </c>
      <c r="AJ123" s="113" t="n">
        <f aca="false">'Reforecast Q1 2026'!N99</f>
        <v>-8625</v>
      </c>
      <c r="AK123" s="113" t="str">
        <f aca="false">IF(AI123="","",AI123-AJ123)</f>
        <v/>
      </c>
      <c r="AL123" s="116" t="n">
        <f aca="false">SUM(Actuals!$C99:INDEX(Actuals!$C99:$N99,$B$27))</f>
        <v>-295801.5</v>
      </c>
      <c r="AM123" s="116" t="n">
        <f aca="false">SUM('Reforecast Q1 2026'!$C99:INDEX('Reforecast Q1 2026'!$C99:$N99,$B$27))</f>
        <v>-137258.5</v>
      </c>
      <c r="AN123" s="116" t="n">
        <f aca="false">AL123-AM123</f>
        <v>-158543</v>
      </c>
    </row>
    <row r="124" customFormat="false" ht="15" hidden="true" customHeight="true" outlineLevel="1" collapsed="false">
      <c r="A124" s="109" t="s">
        <v>130</v>
      </c>
      <c r="B124" s="113" t="n">
        <f aca="false">IF(OR(1&gt;$B$27,ISBLANK(Actuals!C100)),"",Actuals!C100)</f>
        <v>-268</v>
      </c>
      <c r="C124" s="113" t="n">
        <f aca="false">'Reforecast Q1 2026'!C100</f>
        <v>-268</v>
      </c>
      <c r="D124" s="113" t="n">
        <f aca="false">IF(B124="","",B124-C124)</f>
        <v>0</v>
      </c>
      <c r="E124" s="113" t="n">
        <f aca="false">IF(OR(2&gt;$B$27,ISBLANK(Actuals!D100)),"",Actuals!D100)</f>
        <v>-2088.75</v>
      </c>
      <c r="F124" s="113" t="n">
        <f aca="false">'Reforecast Q1 2026'!D100</f>
        <v>-2088.75</v>
      </c>
      <c r="G124" s="113" t="n">
        <f aca="false">IF(E124="","",E124-F124)</f>
        <v>0</v>
      </c>
      <c r="H124" s="113" t="n">
        <f aca="false">IF(OR(3&gt;$B$27,ISBLANK(Actuals!E100)),"",Actuals!E100)</f>
        <v>-2401.75</v>
      </c>
      <c r="I124" s="113" t="n">
        <f aca="false">'Reforecast Q1 2026'!E100</f>
        <v>-2401.75</v>
      </c>
      <c r="J124" s="113" t="n">
        <f aca="false">IF(H124="","",H124-I124)</f>
        <v>0</v>
      </c>
      <c r="K124" s="113" t="n">
        <f aca="false">IF(OR(4&gt;$B$27,ISBLANK(Actuals!F100)),"",Actuals!F100)</f>
        <v>-4209.5</v>
      </c>
      <c r="L124" s="113" t="n">
        <f aca="false">'Reforecast Q1 2026'!F100</f>
        <v>-1586.17</v>
      </c>
      <c r="M124" s="113" t="n">
        <f aca="false">IF(K124="","",K124-L124)</f>
        <v>-2623.33</v>
      </c>
      <c r="N124" s="113" t="n">
        <f aca="false">IF(OR(5&gt;$B$27,ISBLANK(Actuals!G100)),"",Actuals!G100)</f>
        <v>-2377.59</v>
      </c>
      <c r="O124" s="113" t="n">
        <f aca="false">'Reforecast Q1 2026'!G100</f>
        <v>-1586.17</v>
      </c>
      <c r="P124" s="113" t="n">
        <f aca="false">IF(N124="","",N124-O124)</f>
        <v>-791.42</v>
      </c>
      <c r="Q124" s="113" t="n">
        <f aca="false">IF(OR(6&gt;$B$27,ISBLANK(Actuals!H100)),"",Actuals!H100)</f>
        <v>-16</v>
      </c>
      <c r="R124" s="113" t="n">
        <f aca="false">'Reforecast Q1 2026'!H100</f>
        <v>-1586.17</v>
      </c>
      <c r="S124" s="113" t="n">
        <f aca="false">IF(Q124="","",Q124-R124)</f>
        <v>1570.17</v>
      </c>
      <c r="T124" s="113" t="n">
        <f aca="false">IF(OR(7&gt;$B$27,ISBLANK(Actuals!I100)),"",Actuals!I100)</f>
        <v>-4592.5</v>
      </c>
      <c r="U124" s="113" t="n">
        <f aca="false">'Reforecast Q1 2026'!I100</f>
        <v>-1586.17</v>
      </c>
      <c r="V124" s="113" t="n">
        <f aca="false">IF(T124="","",T124-U124)</f>
        <v>-3006.33</v>
      </c>
      <c r="W124" s="113" t="n">
        <f aca="false">IF(OR(8&gt;$B$27,ISBLANK(Actuals!J100)),"",Actuals!J100)</f>
        <v>-268</v>
      </c>
      <c r="X124" s="113" t="n">
        <f aca="false">'Reforecast Q1 2026'!J100</f>
        <v>-1586.17</v>
      </c>
      <c r="Y124" s="113" t="n">
        <f aca="false">IF(W124="","",W124-X124)</f>
        <v>1318.17</v>
      </c>
      <c r="Z124" s="113" t="n">
        <f aca="false">IF(OR(9&gt;$B$27,ISBLANK(Actuals!K100)),"",Actuals!K100)</f>
        <v>-16</v>
      </c>
      <c r="AA124" s="113" t="n">
        <f aca="false">'Reforecast Q1 2026'!K100</f>
        <v>-1586.17</v>
      </c>
      <c r="AB124" s="113" t="n">
        <f aca="false">IF(Z124="","",Z124-AA124)</f>
        <v>1570.17</v>
      </c>
      <c r="AC124" s="113" t="str">
        <f aca="false">IF(OR(10&gt;$B$27,ISBLANK(Actuals!L100)),"",Actuals!L100)</f>
        <v/>
      </c>
      <c r="AD124" s="113" t="n">
        <f aca="false">'Reforecast Q1 2026'!L100</f>
        <v>-1586.17</v>
      </c>
      <c r="AE124" s="113" t="str">
        <f aca="false">IF(AC124="","",AC124-AD124)</f>
        <v/>
      </c>
      <c r="AF124" s="113" t="str">
        <f aca="false">IF(OR(11&gt;$B$27,ISBLANK(Actuals!M100)),"",Actuals!M100)</f>
        <v/>
      </c>
      <c r="AG124" s="113" t="n">
        <f aca="false">'Reforecast Q1 2026'!M100</f>
        <v>-1586.17</v>
      </c>
      <c r="AH124" s="113" t="str">
        <f aca="false">IF(AF124="","",AF124-AG124)</f>
        <v/>
      </c>
      <c r="AI124" s="113" t="str">
        <f aca="false">IF(OR(12&gt;$B$27,ISBLANK(Actuals!N100)),"",Actuals!N100)</f>
        <v/>
      </c>
      <c r="AJ124" s="113" t="n">
        <f aca="false">'Reforecast Q1 2026'!N100</f>
        <v>-1586.17</v>
      </c>
      <c r="AK124" s="113" t="str">
        <f aca="false">IF(AI124="","",AI124-AJ124)</f>
        <v/>
      </c>
      <c r="AL124" s="116" t="n">
        <f aca="false">SUM(Actuals!$C100:INDEX(Actuals!$C100:$N100,$B$27))</f>
        <v>-16238.09</v>
      </c>
      <c r="AM124" s="116" t="n">
        <f aca="false">SUM('Reforecast Q1 2026'!$C100:INDEX('Reforecast Q1 2026'!$C100:$N100,$B$27))</f>
        <v>-14275.52</v>
      </c>
      <c r="AN124" s="116" t="n">
        <f aca="false">AL124-AM124</f>
        <v>-1962.57</v>
      </c>
    </row>
    <row r="125" customFormat="false" ht="15" hidden="true" customHeight="true" outlineLevel="1" collapsed="false">
      <c r="A125" s="109" t="s">
        <v>131</v>
      </c>
      <c r="B125" s="113" t="n">
        <f aca="false">IF(OR(1&gt;$B$27,ISBLANK(Actuals!C101)),"",Actuals!C101)</f>
        <v>-341.83</v>
      </c>
      <c r="C125" s="113" t="n">
        <f aca="false">'Reforecast Q1 2026'!C101</f>
        <v>-341.83</v>
      </c>
      <c r="D125" s="113" t="n">
        <f aca="false">IF(B125="","",B125-C125)</f>
        <v>0</v>
      </c>
      <c r="E125" s="113" t="n">
        <f aca="false">IF(OR(2&gt;$B$27,ISBLANK(Actuals!D101)),"",Actuals!D101)</f>
        <v>-728</v>
      </c>
      <c r="F125" s="113" t="n">
        <f aca="false">'Reforecast Q1 2026'!D101</f>
        <v>-728</v>
      </c>
      <c r="G125" s="113" t="n">
        <f aca="false">IF(E125="","",E125-F125)</f>
        <v>0</v>
      </c>
      <c r="H125" s="113" t="n">
        <f aca="false">IF(OR(3&gt;$B$27,ISBLANK(Actuals!E101)),"",Actuals!E101)</f>
        <v>-15256.75</v>
      </c>
      <c r="I125" s="113" t="n">
        <f aca="false">'Reforecast Q1 2026'!E101</f>
        <v>-15256.75</v>
      </c>
      <c r="J125" s="113" t="n">
        <f aca="false">IF(H125="","",H125-I125)</f>
        <v>0</v>
      </c>
      <c r="K125" s="113" t="n">
        <f aca="false">IF(OR(4&gt;$B$27,ISBLANK(Actuals!F101)),"",Actuals!F101)</f>
        <v>-1033.41</v>
      </c>
      <c r="L125" s="113" t="n">
        <f aca="false">'Reforecast Q1 2026'!F101</f>
        <v>-5442.19</v>
      </c>
      <c r="M125" s="113" t="n">
        <f aca="false">IF(K125="","",K125-L125)</f>
        <v>4408.78</v>
      </c>
      <c r="N125" s="113" t="n">
        <f aca="false">IF(OR(5&gt;$B$27,ISBLANK(Actuals!G101)),"",Actuals!G101)</f>
        <v>-3499</v>
      </c>
      <c r="O125" s="113" t="n">
        <f aca="false">'Reforecast Q1 2026'!G101</f>
        <v>-5442.19</v>
      </c>
      <c r="P125" s="113" t="n">
        <f aca="false">IF(N125="","",N125-O125)</f>
        <v>1943.19</v>
      </c>
      <c r="Q125" s="113" t="n">
        <f aca="false">IF(OR(6&gt;$B$27,ISBLANK(Actuals!H101)),"",Actuals!H101)</f>
        <v>-1033.41</v>
      </c>
      <c r="R125" s="113" t="n">
        <f aca="false">'Reforecast Q1 2026'!H101</f>
        <v>-5442.19</v>
      </c>
      <c r="S125" s="113" t="n">
        <f aca="false">IF(Q125="","",Q125-R125)</f>
        <v>4408.78</v>
      </c>
      <c r="T125" s="113" t="n">
        <f aca="false">IF(OR(7&gt;$B$27,ISBLANK(Actuals!I101)),"",Actuals!I101)</f>
        <v>-537.06</v>
      </c>
      <c r="U125" s="113" t="n">
        <f aca="false">'Reforecast Q1 2026'!I101</f>
        <v>-5442.19</v>
      </c>
      <c r="V125" s="113" t="n">
        <f aca="false">IF(T125="","",T125-U125)</f>
        <v>4905.13</v>
      </c>
      <c r="W125" s="113" t="n">
        <f aca="false">IF(OR(8&gt;$B$27,ISBLANK(Actuals!J101)),"",Actuals!J101)</f>
        <v>-1903.22</v>
      </c>
      <c r="X125" s="113" t="n">
        <f aca="false">'Reforecast Q1 2026'!J101</f>
        <v>-5442.19</v>
      </c>
      <c r="Y125" s="113" t="n">
        <f aca="false">IF(W125="","",W125-X125)</f>
        <v>3538.97</v>
      </c>
      <c r="Z125" s="113" t="n">
        <f aca="false">IF(OR(9&gt;$B$27,ISBLANK(Actuals!K101)),"",Actuals!K101)</f>
        <v>-192</v>
      </c>
      <c r="AA125" s="113" t="n">
        <f aca="false">'Reforecast Q1 2026'!K101</f>
        <v>-5442.19</v>
      </c>
      <c r="AB125" s="113" t="n">
        <f aca="false">IF(Z125="","",Z125-AA125)</f>
        <v>5250.19</v>
      </c>
      <c r="AC125" s="113" t="str">
        <f aca="false">IF(OR(10&gt;$B$27,ISBLANK(Actuals!L101)),"",Actuals!L101)</f>
        <v/>
      </c>
      <c r="AD125" s="113" t="n">
        <f aca="false">'Reforecast Q1 2026'!L101</f>
        <v>-5442.19</v>
      </c>
      <c r="AE125" s="113" t="str">
        <f aca="false">IF(AC125="","",AC125-AD125)</f>
        <v/>
      </c>
      <c r="AF125" s="113" t="str">
        <f aca="false">IF(OR(11&gt;$B$27,ISBLANK(Actuals!M101)),"",Actuals!M101)</f>
        <v/>
      </c>
      <c r="AG125" s="113" t="n">
        <f aca="false">'Reforecast Q1 2026'!M101</f>
        <v>-5442.19</v>
      </c>
      <c r="AH125" s="113" t="str">
        <f aca="false">IF(AF125="","",AF125-AG125)</f>
        <v/>
      </c>
      <c r="AI125" s="113" t="str">
        <f aca="false">IF(OR(12&gt;$B$27,ISBLANK(Actuals!N101)),"",Actuals!N101)</f>
        <v/>
      </c>
      <c r="AJ125" s="113" t="n">
        <f aca="false">'Reforecast Q1 2026'!N101</f>
        <v>-5442.19</v>
      </c>
      <c r="AK125" s="113" t="str">
        <f aca="false">IF(AI125="","",AI125-AJ125)</f>
        <v/>
      </c>
      <c r="AL125" s="116" t="n">
        <f aca="false">SUM(Actuals!$C101:INDEX(Actuals!$C101:$N101,$B$27))</f>
        <v>-24524.68</v>
      </c>
      <c r="AM125" s="116" t="n">
        <f aca="false">SUM('Reforecast Q1 2026'!$C101:INDEX('Reforecast Q1 2026'!$C101:$N101,$B$27))</f>
        <v>-48979.72</v>
      </c>
      <c r="AN125" s="116" t="n">
        <f aca="false">AL125-AM125</f>
        <v>24455.04</v>
      </c>
    </row>
    <row r="126" customFormat="false" ht="15" hidden="true" customHeight="true" outlineLevel="1" collapsed="false">
      <c r="A126" s="109" t="s">
        <v>132</v>
      </c>
      <c r="B126" s="113" t="n">
        <f aca="false">IF(OR(1&gt;$B$27,ISBLANK(Actuals!C102)),"",Actuals!C102)</f>
        <v>-1905.31</v>
      </c>
      <c r="C126" s="113" t="n">
        <f aca="false">'Reforecast Q1 2026'!C102</f>
        <v>-1905.31</v>
      </c>
      <c r="D126" s="113" t="n">
        <f aca="false">IF(B126="","",B126-C126)</f>
        <v>0</v>
      </c>
      <c r="E126" s="113" t="n">
        <f aca="false">IF(OR(2&gt;$B$27,ISBLANK(Actuals!D102)),"",Actuals!D102)</f>
        <v>-1905.31</v>
      </c>
      <c r="F126" s="113" t="n">
        <f aca="false">'Reforecast Q1 2026'!D102</f>
        <v>-1905.31</v>
      </c>
      <c r="G126" s="113" t="n">
        <f aca="false">IF(E126="","",E126-F126)</f>
        <v>0</v>
      </c>
      <c r="H126" s="113" t="n">
        <f aca="false">IF(OR(3&gt;$B$27,ISBLANK(Actuals!E102)),"",Actuals!E102)</f>
        <v>-1905.31</v>
      </c>
      <c r="I126" s="113" t="n">
        <f aca="false">'Reforecast Q1 2026'!E102</f>
        <v>-1905.31</v>
      </c>
      <c r="J126" s="113" t="n">
        <f aca="false">IF(H126="","",H126-I126)</f>
        <v>0</v>
      </c>
      <c r="K126" s="113" t="n">
        <f aca="false">IF(OR(4&gt;$B$27,ISBLANK(Actuals!F102)),"",Actuals!F102)</f>
        <v>-1905.31</v>
      </c>
      <c r="L126" s="113" t="n">
        <f aca="false">'Reforecast Q1 2026'!F102</f>
        <v>-1905.31</v>
      </c>
      <c r="M126" s="113" t="n">
        <f aca="false">IF(K126="","",K126-L126)</f>
        <v>0</v>
      </c>
      <c r="N126" s="113" t="n">
        <f aca="false">IF(OR(5&gt;$B$27,ISBLANK(Actuals!G102)),"",Actuals!G102)</f>
        <v>-1905.31</v>
      </c>
      <c r="O126" s="113" t="n">
        <f aca="false">'Reforecast Q1 2026'!G102</f>
        <v>-1905.31</v>
      </c>
      <c r="P126" s="113" t="n">
        <f aca="false">IF(N126="","",N126-O126)</f>
        <v>0</v>
      </c>
      <c r="Q126" s="113" t="n">
        <f aca="false">IF(OR(6&gt;$B$27,ISBLANK(Actuals!H102)),"",Actuals!H102)</f>
        <v>-1905.31</v>
      </c>
      <c r="R126" s="113" t="n">
        <f aca="false">'Reforecast Q1 2026'!H102</f>
        <v>-1905.31</v>
      </c>
      <c r="S126" s="113" t="n">
        <f aca="false">IF(Q126="","",Q126-R126)</f>
        <v>0</v>
      </c>
      <c r="T126" s="113" t="n">
        <f aca="false">IF(OR(7&gt;$B$27,ISBLANK(Actuals!I102)),"",Actuals!I102)</f>
        <v>-1905.31</v>
      </c>
      <c r="U126" s="113" t="n">
        <f aca="false">'Reforecast Q1 2026'!I102</f>
        <v>-1905.31</v>
      </c>
      <c r="V126" s="113" t="n">
        <f aca="false">IF(T126="","",T126-U126)</f>
        <v>0</v>
      </c>
      <c r="W126" s="113" t="n">
        <f aca="false">IF(OR(8&gt;$B$27,ISBLANK(Actuals!J102)),"",Actuals!J102)</f>
        <v>-1905.31</v>
      </c>
      <c r="X126" s="113" t="n">
        <f aca="false">'Reforecast Q1 2026'!J102</f>
        <v>-1905.31</v>
      </c>
      <c r="Y126" s="113" t="n">
        <f aca="false">IF(W126="","",W126-X126)</f>
        <v>0</v>
      </c>
      <c r="Z126" s="113" t="n">
        <f aca="false">IF(OR(9&gt;$B$27,ISBLANK(Actuals!K102)),"",Actuals!K102)</f>
        <v>-1451.67</v>
      </c>
      <c r="AA126" s="113" t="n">
        <f aca="false">'Reforecast Q1 2026'!K102</f>
        <v>-1905.31</v>
      </c>
      <c r="AB126" s="113" t="n">
        <f aca="false">IF(Z126="","",Z126-AA126)</f>
        <v>453.64</v>
      </c>
      <c r="AC126" s="113" t="str">
        <f aca="false">IF(OR(10&gt;$B$27,ISBLANK(Actuals!L102)),"",Actuals!L102)</f>
        <v/>
      </c>
      <c r="AD126" s="113" t="n">
        <f aca="false">'Reforecast Q1 2026'!L102</f>
        <v>-1905.31</v>
      </c>
      <c r="AE126" s="113" t="str">
        <f aca="false">IF(AC126="","",AC126-AD126)</f>
        <v/>
      </c>
      <c r="AF126" s="113" t="str">
        <f aca="false">IF(OR(11&gt;$B$27,ISBLANK(Actuals!M102)),"",Actuals!M102)</f>
        <v/>
      </c>
      <c r="AG126" s="113" t="n">
        <f aca="false">'Reforecast Q1 2026'!M102</f>
        <v>-1905.31</v>
      </c>
      <c r="AH126" s="113" t="str">
        <f aca="false">IF(AF126="","",AF126-AG126)</f>
        <v/>
      </c>
      <c r="AI126" s="113" t="str">
        <f aca="false">IF(OR(12&gt;$B$27,ISBLANK(Actuals!N102)),"",Actuals!N102)</f>
        <v/>
      </c>
      <c r="AJ126" s="113" t="n">
        <f aca="false">'Reforecast Q1 2026'!N102</f>
        <v>-1905.31</v>
      </c>
      <c r="AK126" s="113" t="str">
        <f aca="false">IF(AI126="","",AI126-AJ126)</f>
        <v/>
      </c>
      <c r="AL126" s="116" t="n">
        <f aca="false">SUM(Actuals!$C102:INDEX(Actuals!$C102:$N102,$B$27))</f>
        <v>-16694.15</v>
      </c>
      <c r="AM126" s="116" t="n">
        <f aca="false">SUM('Reforecast Q1 2026'!$C102:INDEX('Reforecast Q1 2026'!$C102:$N102,$B$27))</f>
        <v>-17147.79</v>
      </c>
      <c r="AN126" s="116" t="n">
        <f aca="false">AL126-AM126</f>
        <v>453.639999999999</v>
      </c>
    </row>
    <row r="127" customFormat="false" ht="15" hidden="true" customHeight="true" outlineLevel="1" collapsed="false">
      <c r="A127" s="109" t="s">
        <v>133</v>
      </c>
      <c r="B127" s="113" t="n">
        <f aca="false">IF(OR(1&gt;$B$27,ISBLANK(Actuals!C103)),"",Actuals!C103)</f>
        <v>-2100</v>
      </c>
      <c r="C127" s="113" t="n">
        <f aca="false">'Reforecast Q1 2026'!C103</f>
        <v>-2100</v>
      </c>
      <c r="D127" s="113" t="n">
        <f aca="false">IF(B127="","",B127-C127)</f>
        <v>0</v>
      </c>
      <c r="E127" s="113" t="n">
        <f aca="false">IF(OR(2&gt;$B$27,ISBLANK(Actuals!D103)),"",Actuals!D103)</f>
        <v>-2100</v>
      </c>
      <c r="F127" s="113" t="n">
        <f aca="false">'Reforecast Q1 2026'!D103</f>
        <v>-2100</v>
      </c>
      <c r="G127" s="113" t="n">
        <f aca="false">IF(E127="","",E127-F127)</f>
        <v>0</v>
      </c>
      <c r="H127" s="113" t="n">
        <f aca="false">IF(OR(3&gt;$B$27,ISBLANK(Actuals!E103)),"",Actuals!E103)</f>
        <v>-2100</v>
      </c>
      <c r="I127" s="113" t="n">
        <f aca="false">'Reforecast Q1 2026'!E103</f>
        <v>-2100</v>
      </c>
      <c r="J127" s="113" t="n">
        <f aca="false">IF(H127="","",H127-I127)</f>
        <v>0</v>
      </c>
      <c r="K127" s="113" t="n">
        <f aca="false">IF(OR(4&gt;$B$27,ISBLANK(Actuals!F103)),"",Actuals!F103)</f>
        <v>-2100</v>
      </c>
      <c r="L127" s="113" t="n">
        <f aca="false">'Reforecast Q1 2026'!F103</f>
        <v>-2100</v>
      </c>
      <c r="M127" s="113" t="n">
        <f aca="false">IF(K127="","",K127-L127)</f>
        <v>0</v>
      </c>
      <c r="N127" s="113" t="n">
        <f aca="false">IF(OR(5&gt;$B$27,ISBLANK(Actuals!G103)),"",Actuals!G103)</f>
        <v>-2100</v>
      </c>
      <c r="O127" s="113" t="n">
        <f aca="false">'Reforecast Q1 2026'!G103</f>
        <v>-2100</v>
      </c>
      <c r="P127" s="113" t="n">
        <f aca="false">IF(N127="","",N127-O127)</f>
        <v>0</v>
      </c>
      <c r="Q127" s="113" t="n">
        <f aca="false">IF(OR(6&gt;$B$27,ISBLANK(Actuals!H103)),"",Actuals!H103)</f>
        <v>-2100</v>
      </c>
      <c r="R127" s="113" t="n">
        <f aca="false">'Reforecast Q1 2026'!H103</f>
        <v>-2100</v>
      </c>
      <c r="S127" s="113" t="n">
        <f aca="false">IF(Q127="","",Q127-R127)</f>
        <v>0</v>
      </c>
      <c r="T127" s="113" t="n">
        <f aca="false">IF(OR(7&gt;$B$27,ISBLANK(Actuals!I103)),"",Actuals!I103)</f>
        <v>-2100</v>
      </c>
      <c r="U127" s="113" t="n">
        <f aca="false">'Reforecast Q1 2026'!I103</f>
        <v>-2100</v>
      </c>
      <c r="V127" s="113" t="n">
        <f aca="false">IF(T127="","",T127-U127)</f>
        <v>0</v>
      </c>
      <c r="W127" s="113" t="n">
        <f aca="false">IF(OR(8&gt;$B$27,ISBLANK(Actuals!J103)),"",Actuals!J103)</f>
        <v>-2100</v>
      </c>
      <c r="X127" s="113" t="n">
        <f aca="false">'Reforecast Q1 2026'!J103</f>
        <v>-2100</v>
      </c>
      <c r="Y127" s="113" t="n">
        <f aca="false">IF(W127="","",W127-X127)</f>
        <v>0</v>
      </c>
      <c r="Z127" s="113" t="n">
        <f aca="false">IF(OR(9&gt;$B$27,ISBLANK(Actuals!K103)),"",Actuals!K103)</f>
        <v>-2100</v>
      </c>
      <c r="AA127" s="113" t="n">
        <f aca="false">'Reforecast Q1 2026'!K103</f>
        <v>-2100</v>
      </c>
      <c r="AB127" s="113" t="n">
        <f aca="false">IF(Z127="","",Z127-AA127)</f>
        <v>0</v>
      </c>
      <c r="AC127" s="113" t="str">
        <f aca="false">IF(OR(10&gt;$B$27,ISBLANK(Actuals!L103)),"",Actuals!L103)</f>
        <v/>
      </c>
      <c r="AD127" s="113" t="n">
        <f aca="false">'Reforecast Q1 2026'!L103</f>
        <v>-2100</v>
      </c>
      <c r="AE127" s="113" t="str">
        <f aca="false">IF(AC127="","",AC127-AD127)</f>
        <v/>
      </c>
      <c r="AF127" s="113" t="str">
        <f aca="false">IF(OR(11&gt;$B$27,ISBLANK(Actuals!M103)),"",Actuals!M103)</f>
        <v/>
      </c>
      <c r="AG127" s="113" t="n">
        <f aca="false">'Reforecast Q1 2026'!M103</f>
        <v>-2100</v>
      </c>
      <c r="AH127" s="113" t="str">
        <f aca="false">IF(AF127="","",AF127-AG127)</f>
        <v/>
      </c>
      <c r="AI127" s="113" t="str">
        <f aca="false">IF(OR(12&gt;$B$27,ISBLANK(Actuals!N103)),"",Actuals!N103)</f>
        <v/>
      </c>
      <c r="AJ127" s="113" t="n">
        <f aca="false">'Reforecast Q1 2026'!N103</f>
        <v>-2100</v>
      </c>
      <c r="AK127" s="113" t="str">
        <f aca="false">IF(AI127="","",AI127-AJ127)</f>
        <v/>
      </c>
      <c r="AL127" s="116" t="n">
        <f aca="false">SUM(Actuals!$C103:INDEX(Actuals!$C103:$N103,$B$27))</f>
        <v>-18900</v>
      </c>
      <c r="AM127" s="116" t="n">
        <f aca="false">SUM('Reforecast Q1 2026'!$C103:INDEX('Reforecast Q1 2026'!$C103:$N103,$B$27))</f>
        <v>-18900</v>
      </c>
      <c r="AN127" s="116" t="n">
        <f aca="false">AL127-AM127</f>
        <v>0</v>
      </c>
    </row>
    <row r="128" customFormat="false" ht="15" hidden="true" customHeight="true" outlineLevel="1" collapsed="false">
      <c r="A128" s="109" t="s">
        <v>84</v>
      </c>
      <c r="B128" s="113" t="n">
        <f aca="false">IF(OR(1&gt;$B$27,ISBLANK(Actuals!C104)),"",Actuals!C104)</f>
        <v>-66666.66</v>
      </c>
      <c r="C128" s="113" t="n">
        <f aca="false">'Reforecast Q1 2026'!C104</f>
        <v>-66666.66</v>
      </c>
      <c r="D128" s="113" t="n">
        <f aca="false">IF(B128="","",B128-C128)</f>
        <v>0</v>
      </c>
      <c r="E128" s="113" t="n">
        <f aca="false">IF(OR(2&gt;$B$27,ISBLANK(Actuals!D104)),"",Actuals!D104)</f>
        <v>-66666.66</v>
      </c>
      <c r="F128" s="113" t="n">
        <f aca="false">'Reforecast Q1 2026'!D104</f>
        <v>-66666.66</v>
      </c>
      <c r="G128" s="113" t="n">
        <f aca="false">IF(E128="","",E128-F128)</f>
        <v>0</v>
      </c>
      <c r="H128" s="113" t="n">
        <f aca="false">IF(OR(3&gt;$B$27,ISBLANK(Actuals!E104)),"",Actuals!E104)</f>
        <v>-66666.66</v>
      </c>
      <c r="I128" s="113" t="n">
        <f aca="false">'Reforecast Q1 2026'!E104</f>
        <v>-66666.66</v>
      </c>
      <c r="J128" s="113" t="n">
        <f aca="false">IF(H128="","",H128-I128)</f>
        <v>0</v>
      </c>
      <c r="K128" s="113" t="n">
        <f aca="false">IF(OR(4&gt;$B$27,ISBLANK(Actuals!F104)),"",Actuals!F104)</f>
        <v>-66666.66</v>
      </c>
      <c r="L128" s="113" t="n">
        <f aca="false">'Reforecast Q1 2026'!F104</f>
        <v>-25000</v>
      </c>
      <c r="M128" s="113" t="n">
        <f aca="false">IF(K128="","",K128-L128)</f>
        <v>-41666.66</v>
      </c>
      <c r="N128" s="113" t="n">
        <f aca="false">IF(OR(5&gt;$B$27,ISBLANK(Actuals!G104)),"",Actuals!G104)</f>
        <v>-66666.66</v>
      </c>
      <c r="O128" s="113" t="n">
        <f aca="false">'Reforecast Q1 2026'!G104</f>
        <v>-25000</v>
      </c>
      <c r="P128" s="113" t="n">
        <f aca="false">IF(N128="","",N128-O128)</f>
        <v>-41666.66</v>
      </c>
      <c r="Q128" s="113" t="n">
        <f aca="false">IF(OR(6&gt;$B$27,ISBLANK(Actuals!H104)),"",Actuals!H104)</f>
        <v>-66666.66</v>
      </c>
      <c r="R128" s="113" t="n">
        <f aca="false">'Reforecast Q1 2026'!H104</f>
        <v>-25000</v>
      </c>
      <c r="S128" s="113" t="n">
        <f aca="false">IF(Q128="","",Q128-R128)</f>
        <v>-41666.66</v>
      </c>
      <c r="T128" s="113" t="n">
        <f aca="false">IF(OR(7&gt;$B$27,ISBLANK(Actuals!I104)),"",Actuals!I104)</f>
        <v>-66666.66</v>
      </c>
      <c r="U128" s="113" t="n">
        <f aca="false">'Reforecast Q1 2026'!I104</f>
        <v>-25000</v>
      </c>
      <c r="V128" s="113" t="n">
        <f aca="false">IF(T128="","",T128-U128)</f>
        <v>-41666.66</v>
      </c>
      <c r="W128" s="113" t="n">
        <f aca="false">IF(OR(8&gt;$B$27,ISBLANK(Actuals!J104)),"",Actuals!J104)</f>
        <v>-66666.66</v>
      </c>
      <c r="X128" s="113" t="n">
        <f aca="false">'Reforecast Q1 2026'!J104</f>
        <v>-25000</v>
      </c>
      <c r="Y128" s="113" t="n">
        <f aca="false">IF(W128="","",W128-X128)</f>
        <v>-41666.66</v>
      </c>
      <c r="Z128" s="113" t="n">
        <f aca="false">IF(OR(9&gt;$B$27,ISBLANK(Actuals!K104)),"",Actuals!K104)</f>
        <v>-66666.66</v>
      </c>
      <c r="AA128" s="113" t="n">
        <f aca="false">'Reforecast Q1 2026'!K104</f>
        <v>-25000</v>
      </c>
      <c r="AB128" s="113" t="n">
        <f aca="false">IF(Z128="","",Z128-AA128)</f>
        <v>-41666.66</v>
      </c>
      <c r="AC128" s="113" t="str">
        <f aca="false">IF(OR(10&gt;$B$27,ISBLANK(Actuals!L104)),"",Actuals!L104)</f>
        <v/>
      </c>
      <c r="AD128" s="113" t="n">
        <f aca="false">'Reforecast Q1 2026'!L104</f>
        <v>-25000</v>
      </c>
      <c r="AE128" s="113" t="str">
        <f aca="false">IF(AC128="","",AC128-AD128)</f>
        <v/>
      </c>
      <c r="AF128" s="113" t="str">
        <f aca="false">IF(OR(11&gt;$B$27,ISBLANK(Actuals!M104)),"",Actuals!M104)</f>
        <v/>
      </c>
      <c r="AG128" s="113" t="n">
        <f aca="false">'Reforecast Q1 2026'!M104</f>
        <v>-25000</v>
      </c>
      <c r="AH128" s="113" t="str">
        <f aca="false">IF(AF128="","",AF128-AG128)</f>
        <v/>
      </c>
      <c r="AI128" s="113" t="str">
        <f aca="false">IF(OR(12&gt;$B$27,ISBLANK(Actuals!N104)),"",Actuals!N104)</f>
        <v/>
      </c>
      <c r="AJ128" s="113" t="n">
        <f aca="false">'Reforecast Q1 2026'!N104</f>
        <v>-25000</v>
      </c>
      <c r="AK128" s="113" t="str">
        <f aca="false">IF(AI128="","",AI128-AJ128)</f>
        <v/>
      </c>
      <c r="AL128" s="116" t="n">
        <f aca="false">SUM(Actuals!$C104:INDEX(Actuals!$C104:$N104,$B$27))</f>
        <v>-599999.94</v>
      </c>
      <c r="AM128" s="116" t="n">
        <f aca="false">SUM('Reforecast Q1 2026'!$C104:INDEX('Reforecast Q1 2026'!$C104:$N104,$B$27))</f>
        <v>-349999.98</v>
      </c>
      <c r="AN128" s="116" t="n">
        <f aca="false">AL128-AM128</f>
        <v>-249999.96</v>
      </c>
    </row>
    <row r="129" customFormat="false" ht="15" hidden="true" customHeight="true" outlineLevel="1" collapsed="false">
      <c r="A129" s="109" t="s">
        <v>92</v>
      </c>
      <c r="B129" s="113" t="n">
        <f aca="false">IF(OR(1&gt;$B$27,ISBLANK(Actuals!C105)),"",Actuals!C105)</f>
        <v>-6935.84</v>
      </c>
      <c r="C129" s="113" t="n">
        <f aca="false">'Reforecast Q1 2026'!C105</f>
        <v>-4731.96</v>
      </c>
      <c r="D129" s="113" t="n">
        <f aca="false">IF(B129="","",B129-C129)</f>
        <v>-2203.88</v>
      </c>
      <c r="E129" s="113" t="n">
        <f aca="false">IF(OR(2&gt;$B$27,ISBLANK(Actuals!D105)),"",Actuals!D105)</f>
        <v>-2799.88</v>
      </c>
      <c r="F129" s="113" t="n">
        <f aca="false">'Reforecast Q1 2026'!D105</f>
        <v>-5</v>
      </c>
      <c r="G129" s="113" t="n">
        <f aca="false">IF(E129="","",E129-F129)</f>
        <v>-2794.88</v>
      </c>
      <c r="H129" s="113" t="n">
        <f aca="false">IF(OR(3&gt;$B$27,ISBLANK(Actuals!E105)),"",Actuals!E105)</f>
        <v>-12899.88</v>
      </c>
      <c r="I129" s="113" t="n">
        <f aca="false">'Reforecast Q1 2026'!E105</f>
        <v>-5</v>
      </c>
      <c r="J129" s="113" t="n">
        <f aca="false">IF(H129="","",H129-I129)</f>
        <v>-12894.88</v>
      </c>
      <c r="K129" s="113" t="n">
        <f aca="false">IF(OR(4&gt;$B$27,ISBLANK(Actuals!F105)),"",Actuals!F105)</f>
        <v>-2932.88</v>
      </c>
      <c r="L129" s="113" t="n">
        <f aca="false">'Reforecast Q1 2026'!F105</f>
        <v>-1580.65</v>
      </c>
      <c r="M129" s="113" t="n">
        <f aca="false">IF(K129="","",K129-L129)</f>
        <v>-1352.23</v>
      </c>
      <c r="N129" s="113" t="n">
        <f aca="false">IF(OR(5&gt;$B$27,ISBLANK(Actuals!G105)),"",Actuals!G105)</f>
        <v>-5474.88</v>
      </c>
      <c r="O129" s="113" t="n">
        <f aca="false">'Reforecast Q1 2026'!G105</f>
        <v>-1580.65</v>
      </c>
      <c r="P129" s="113" t="n">
        <f aca="false">IF(N129="","",N129-O129)</f>
        <v>-3894.23</v>
      </c>
      <c r="Q129" s="113" t="n">
        <f aca="false">IF(OR(6&gt;$B$27,ISBLANK(Actuals!H105)),"",Actuals!H105)</f>
        <v>-5</v>
      </c>
      <c r="R129" s="113" t="n">
        <f aca="false">'Reforecast Q1 2026'!H105</f>
        <v>-1580.65</v>
      </c>
      <c r="S129" s="113" t="n">
        <f aca="false">IF(Q129="","",Q129-R129)</f>
        <v>1575.65</v>
      </c>
      <c r="T129" s="113" t="n">
        <f aca="false">IF(OR(7&gt;$B$27,ISBLANK(Actuals!I105)),"",Actuals!I105)</f>
        <v>-255</v>
      </c>
      <c r="U129" s="113" t="n">
        <f aca="false">'Reforecast Q1 2026'!I105</f>
        <v>-1580.65</v>
      </c>
      <c r="V129" s="113" t="n">
        <f aca="false">IF(T129="","",T129-U129)</f>
        <v>1325.65</v>
      </c>
      <c r="W129" s="113" t="n">
        <f aca="false">IF(OR(8&gt;$B$27,ISBLANK(Actuals!J105)),"",Actuals!J105)</f>
        <v>4520.8</v>
      </c>
      <c r="X129" s="113" t="n">
        <f aca="false">'Reforecast Q1 2026'!J105</f>
        <v>-1580.65</v>
      </c>
      <c r="Y129" s="113" t="n">
        <f aca="false">IF(W129="","",W129-X129)</f>
        <v>6101.45</v>
      </c>
      <c r="Z129" s="113" t="n">
        <f aca="false">IF(OR(9&gt;$B$27,ISBLANK(Actuals!K105)),"",Actuals!K105)</f>
        <v>-5476.82</v>
      </c>
      <c r="AA129" s="113" t="n">
        <f aca="false">'Reforecast Q1 2026'!K105</f>
        <v>-1580.65</v>
      </c>
      <c r="AB129" s="113" t="n">
        <f aca="false">IF(Z129="","",Z129-AA129)</f>
        <v>-3896.17</v>
      </c>
      <c r="AC129" s="113" t="str">
        <f aca="false">IF(OR(10&gt;$B$27,ISBLANK(Actuals!L105)),"",Actuals!L105)</f>
        <v/>
      </c>
      <c r="AD129" s="113" t="n">
        <f aca="false">'Reforecast Q1 2026'!L105</f>
        <v>-1580.65</v>
      </c>
      <c r="AE129" s="113" t="str">
        <f aca="false">IF(AC129="","",AC129-AD129)</f>
        <v/>
      </c>
      <c r="AF129" s="113" t="str">
        <f aca="false">IF(OR(11&gt;$B$27,ISBLANK(Actuals!M105)),"",Actuals!M105)</f>
        <v/>
      </c>
      <c r="AG129" s="113" t="n">
        <f aca="false">'Reforecast Q1 2026'!M105</f>
        <v>-1580.65</v>
      </c>
      <c r="AH129" s="113" t="str">
        <f aca="false">IF(AF129="","",AF129-AG129)</f>
        <v/>
      </c>
      <c r="AI129" s="113" t="str">
        <f aca="false">IF(OR(12&gt;$B$27,ISBLANK(Actuals!N105)),"",Actuals!N105)</f>
        <v/>
      </c>
      <c r="AJ129" s="113" t="n">
        <f aca="false">'Reforecast Q1 2026'!N105</f>
        <v>-1580.65</v>
      </c>
      <c r="AK129" s="113" t="str">
        <f aca="false">IF(AI129="","",AI129-AJ129)</f>
        <v/>
      </c>
      <c r="AL129" s="116" t="n">
        <f aca="false">SUM(Actuals!$C105:INDEX(Actuals!$C105:$N105,$B$27))</f>
        <v>-32259.38</v>
      </c>
      <c r="AM129" s="116" t="n">
        <f aca="false">SUM('Reforecast Q1 2026'!$C105:INDEX('Reforecast Q1 2026'!$C105:$N105,$B$27))</f>
        <v>-14225.86</v>
      </c>
      <c r="AN129" s="116" t="n">
        <f aca="false">AL129-AM129</f>
        <v>-18033.52</v>
      </c>
    </row>
    <row r="130" customFormat="false" ht="15" hidden="true" customHeight="true" outlineLevel="1" collapsed="false">
      <c r="A130" s="109" t="s">
        <v>93</v>
      </c>
      <c r="B130" s="113" t="n">
        <f aca="false">IF(OR(1&gt;$B$27,ISBLANK(Actuals!C106)),"",Actuals!C106)</f>
        <v>-658.14</v>
      </c>
      <c r="C130" s="113" t="n">
        <f aca="false">'Reforecast Q1 2026'!C106</f>
        <v>-658.14</v>
      </c>
      <c r="D130" s="113" t="n">
        <f aca="false">IF(B130="","",B130-C130)</f>
        <v>0</v>
      </c>
      <c r="E130" s="113" t="n">
        <f aca="false">IF(OR(2&gt;$B$27,ISBLANK(Actuals!D106)),"",Actuals!D106)</f>
        <v>-310</v>
      </c>
      <c r="F130" s="113" t="n">
        <f aca="false">'Reforecast Q1 2026'!D106</f>
        <v>-310</v>
      </c>
      <c r="G130" s="113" t="n">
        <f aca="false">IF(E130="","",E130-F130)</f>
        <v>0</v>
      </c>
      <c r="H130" s="113" t="n">
        <f aca="false">IF(OR(3&gt;$B$27,ISBLANK(Actuals!E106)),"",Actuals!E106)</f>
        <v>-371.74</v>
      </c>
      <c r="I130" s="113" t="n">
        <f aca="false">'Reforecast Q1 2026'!E106</f>
        <v>-371.74</v>
      </c>
      <c r="J130" s="113" t="n">
        <f aca="false">IF(H130="","",H130-I130)</f>
        <v>0</v>
      </c>
      <c r="K130" s="113" t="n">
        <f aca="false">IF(OR(4&gt;$B$27,ISBLANK(Actuals!F106)),"",Actuals!F106)</f>
        <v>-857.33</v>
      </c>
      <c r="L130" s="113" t="n">
        <f aca="false">'Reforecast Q1 2026'!F106</f>
        <v>-446.63</v>
      </c>
      <c r="M130" s="113" t="n">
        <f aca="false">IF(K130="","",K130-L130)</f>
        <v>-410.7</v>
      </c>
      <c r="N130" s="113" t="n">
        <f aca="false">IF(OR(5&gt;$B$27,ISBLANK(Actuals!G106)),"",Actuals!G106)</f>
        <v>-305</v>
      </c>
      <c r="O130" s="113" t="n">
        <f aca="false">'Reforecast Q1 2026'!G106</f>
        <v>-446.63</v>
      </c>
      <c r="P130" s="113" t="n">
        <f aca="false">IF(N130="","",N130-O130)</f>
        <v>141.63</v>
      </c>
      <c r="Q130" s="113" t="n">
        <f aca="false">IF(OR(6&gt;$B$27,ISBLANK(Actuals!H106)),"",Actuals!H106)</f>
        <v>-352.5</v>
      </c>
      <c r="R130" s="113" t="n">
        <f aca="false">'Reforecast Q1 2026'!H106</f>
        <v>-446.63</v>
      </c>
      <c r="S130" s="113" t="n">
        <f aca="false">IF(Q130="","",Q130-R130)</f>
        <v>94.13</v>
      </c>
      <c r="T130" s="113" t="n">
        <f aca="false">IF(OR(7&gt;$B$27,ISBLANK(Actuals!I106)),"",Actuals!I106)</f>
        <v>-204</v>
      </c>
      <c r="U130" s="113" t="n">
        <f aca="false">'Reforecast Q1 2026'!I106</f>
        <v>-446.63</v>
      </c>
      <c r="V130" s="113" t="n">
        <f aca="false">IF(T130="","",T130-U130)</f>
        <v>242.63</v>
      </c>
      <c r="W130" s="113" t="n">
        <f aca="false">IF(OR(8&gt;$B$27,ISBLANK(Actuals!J106)),"",Actuals!J106)</f>
        <v>-1477.65</v>
      </c>
      <c r="X130" s="113" t="n">
        <f aca="false">'Reforecast Q1 2026'!J106</f>
        <v>-446.63</v>
      </c>
      <c r="Y130" s="113" t="n">
        <f aca="false">IF(W130="","",W130-X130)</f>
        <v>-1031.02</v>
      </c>
      <c r="Z130" s="113" t="n">
        <f aca="false">IF(OR(9&gt;$B$27,ISBLANK(Actuals!K106)),"",Actuals!K106)</f>
        <v>-1132.51</v>
      </c>
      <c r="AA130" s="113" t="n">
        <f aca="false">'Reforecast Q1 2026'!K106</f>
        <v>-446.63</v>
      </c>
      <c r="AB130" s="113" t="n">
        <f aca="false">IF(Z130="","",Z130-AA130)</f>
        <v>-685.88</v>
      </c>
      <c r="AC130" s="113" t="str">
        <f aca="false">IF(OR(10&gt;$B$27,ISBLANK(Actuals!L106)),"",Actuals!L106)</f>
        <v/>
      </c>
      <c r="AD130" s="113" t="n">
        <f aca="false">'Reforecast Q1 2026'!L106</f>
        <v>-446.63</v>
      </c>
      <c r="AE130" s="113" t="str">
        <f aca="false">IF(AC130="","",AC130-AD130)</f>
        <v/>
      </c>
      <c r="AF130" s="113" t="str">
        <f aca="false">IF(OR(11&gt;$B$27,ISBLANK(Actuals!M106)),"",Actuals!M106)</f>
        <v/>
      </c>
      <c r="AG130" s="113" t="n">
        <f aca="false">'Reforecast Q1 2026'!M106</f>
        <v>-446.63</v>
      </c>
      <c r="AH130" s="113" t="str">
        <f aca="false">IF(AF130="","",AF130-AG130)</f>
        <v/>
      </c>
      <c r="AI130" s="113" t="str">
        <f aca="false">IF(OR(12&gt;$B$27,ISBLANK(Actuals!N106)),"",Actuals!N106)</f>
        <v/>
      </c>
      <c r="AJ130" s="113" t="n">
        <f aca="false">'Reforecast Q1 2026'!N106</f>
        <v>-446.63</v>
      </c>
      <c r="AK130" s="113" t="str">
        <f aca="false">IF(AI130="","",AI130-AJ130)</f>
        <v/>
      </c>
      <c r="AL130" s="116" t="n">
        <f aca="false">SUM(Actuals!$C106:INDEX(Actuals!$C106:$N106,$B$27))</f>
        <v>-5668.87</v>
      </c>
      <c r="AM130" s="116" t="n">
        <f aca="false">SUM('Reforecast Q1 2026'!$C106:INDEX('Reforecast Q1 2026'!$C106:$N106,$B$27))</f>
        <v>-4019.66</v>
      </c>
      <c r="AN130" s="116" t="n">
        <f aca="false">AL130-AM130</f>
        <v>-1649.21</v>
      </c>
    </row>
    <row r="131" customFormat="false" ht="15" hidden="true" customHeight="true" outlineLevel="1" collapsed="false">
      <c r="A131" s="109" t="s">
        <v>134</v>
      </c>
      <c r="B131" s="113" t="str">
        <f aca="false">IF(OR(1&gt;$B$27,ISBLANK(Actuals!C107)),"",Actuals!C107)</f>
        <v/>
      </c>
      <c r="C131" s="113" t="n">
        <f aca="false">'Reforecast Q1 2026'!C107</f>
        <v>0</v>
      </c>
      <c r="D131" s="113" t="str">
        <f aca="false">IF(B131="","",B131-C131)</f>
        <v/>
      </c>
      <c r="E131" s="113" t="str">
        <f aca="false">IF(OR(2&gt;$B$27,ISBLANK(Actuals!D107)),"",Actuals!D107)</f>
        <v/>
      </c>
      <c r="F131" s="113" t="n">
        <f aca="false">'Reforecast Q1 2026'!D107</f>
        <v>0</v>
      </c>
      <c r="G131" s="113" t="str">
        <f aca="false">IF(E131="","",E131-F131)</f>
        <v/>
      </c>
      <c r="H131" s="113" t="str">
        <f aca="false">IF(OR(3&gt;$B$27,ISBLANK(Actuals!E107)),"",Actuals!E107)</f>
        <v/>
      </c>
      <c r="I131" s="113" t="n">
        <f aca="false">'Reforecast Q1 2026'!E107</f>
        <v>0</v>
      </c>
      <c r="J131" s="113" t="str">
        <f aca="false">IF(H131="","",H131-I131)</f>
        <v/>
      </c>
      <c r="K131" s="113" t="str">
        <f aca="false">IF(OR(4&gt;$B$27,ISBLANK(Actuals!F107)),"",Actuals!F107)</f>
        <v/>
      </c>
      <c r="L131" s="113" t="n">
        <f aca="false">'Reforecast Q1 2026'!F107</f>
        <v>0</v>
      </c>
      <c r="M131" s="113" t="str">
        <f aca="false">IF(K131="","",K131-L131)</f>
        <v/>
      </c>
      <c r="N131" s="113" t="str">
        <f aca="false">IF(OR(5&gt;$B$27,ISBLANK(Actuals!G107)),"",Actuals!G107)</f>
        <v/>
      </c>
      <c r="O131" s="113" t="n">
        <f aca="false">'Reforecast Q1 2026'!G107</f>
        <v>0</v>
      </c>
      <c r="P131" s="113" t="str">
        <f aca="false">IF(N131="","",N131-O131)</f>
        <v/>
      </c>
      <c r="Q131" s="113" t="str">
        <f aca="false">IF(OR(6&gt;$B$27,ISBLANK(Actuals!H107)),"",Actuals!H107)</f>
        <v/>
      </c>
      <c r="R131" s="113" t="n">
        <f aca="false">'Reforecast Q1 2026'!H107</f>
        <v>0</v>
      </c>
      <c r="S131" s="113" t="str">
        <f aca="false">IF(Q131="","",Q131-R131)</f>
        <v/>
      </c>
      <c r="T131" s="113" t="str">
        <f aca="false">IF(OR(7&gt;$B$27,ISBLANK(Actuals!I107)),"",Actuals!I107)</f>
        <v/>
      </c>
      <c r="U131" s="113" t="n">
        <f aca="false">'Reforecast Q1 2026'!I107</f>
        <v>0</v>
      </c>
      <c r="V131" s="113" t="str">
        <f aca="false">IF(T131="","",T131-U131)</f>
        <v/>
      </c>
      <c r="W131" s="113" t="str">
        <f aca="false">IF(OR(8&gt;$B$27,ISBLANK(Actuals!J107)),"",Actuals!J107)</f>
        <v/>
      </c>
      <c r="X131" s="113" t="n">
        <f aca="false">'Reforecast Q1 2026'!J107</f>
        <v>0</v>
      </c>
      <c r="Y131" s="113" t="str">
        <f aca="false">IF(W131="","",W131-X131)</f>
        <v/>
      </c>
      <c r="Z131" s="113" t="str">
        <f aca="false">IF(OR(9&gt;$B$27,ISBLANK(Actuals!K107)),"",Actuals!K107)</f>
        <v/>
      </c>
      <c r="AA131" s="113" t="n">
        <f aca="false">'Reforecast Q1 2026'!K107</f>
        <v>0</v>
      </c>
      <c r="AB131" s="113" t="str">
        <f aca="false">IF(Z131="","",Z131-AA131)</f>
        <v/>
      </c>
      <c r="AC131" s="113" t="str">
        <f aca="false">IF(OR(10&gt;$B$27,ISBLANK(Actuals!L107)),"",Actuals!L107)</f>
        <v/>
      </c>
      <c r="AD131" s="113" t="n">
        <f aca="false">'Reforecast Q1 2026'!L107</f>
        <v>0</v>
      </c>
      <c r="AE131" s="113" t="str">
        <f aca="false">IF(AC131="","",AC131-AD131)</f>
        <v/>
      </c>
      <c r="AF131" s="113" t="str">
        <f aca="false">IF(OR(11&gt;$B$27,ISBLANK(Actuals!M107)),"",Actuals!M107)</f>
        <v/>
      </c>
      <c r="AG131" s="113" t="n">
        <f aca="false">'Reforecast Q1 2026'!M107</f>
        <v>0</v>
      </c>
      <c r="AH131" s="113" t="str">
        <f aca="false">IF(AF131="","",AF131-AG131)</f>
        <v/>
      </c>
      <c r="AI131" s="113" t="str">
        <f aca="false">IF(OR(12&gt;$B$27,ISBLANK(Actuals!N107)),"",Actuals!N107)</f>
        <v/>
      </c>
      <c r="AJ131" s="113" t="n">
        <f aca="false">'Reforecast Q1 2026'!N107</f>
        <v>0</v>
      </c>
      <c r="AK131" s="113" t="str">
        <f aca="false">IF(AI131="","",AI131-AJ131)</f>
        <v/>
      </c>
      <c r="AL131" s="116" t="n">
        <f aca="false">SUM(Actuals!$C107:INDEX(Actuals!$C107:$N107,$B$27))</f>
        <v>0</v>
      </c>
      <c r="AM131" s="116" t="n">
        <f aca="false">SUM('Reforecast Q1 2026'!$C107:INDEX('Reforecast Q1 2026'!$C107:$N107,$B$27))</f>
        <v>0</v>
      </c>
      <c r="AN131" s="116" t="n">
        <f aca="false">AL131-AM131</f>
        <v>0</v>
      </c>
    </row>
    <row r="132" customFormat="false" ht="15" hidden="true" customHeight="true" outlineLevel="1" collapsed="false">
      <c r="A132" s="109" t="s">
        <v>135</v>
      </c>
      <c r="B132" s="113" t="str">
        <f aca="false">IF(OR(1&gt;$B$27,ISBLANK(Actuals!C108)),"",Actuals!C108)</f>
        <v/>
      </c>
      <c r="C132" s="113" t="n">
        <f aca="false">'Reforecast Q1 2026'!C108</f>
        <v>0</v>
      </c>
      <c r="D132" s="113" t="str">
        <f aca="false">IF(B132="","",B132-C132)</f>
        <v/>
      </c>
      <c r="E132" s="113" t="str">
        <f aca="false">IF(OR(2&gt;$B$27,ISBLANK(Actuals!D108)),"",Actuals!D108)</f>
        <v/>
      </c>
      <c r="F132" s="113" t="n">
        <f aca="false">'Reforecast Q1 2026'!D108</f>
        <v>0</v>
      </c>
      <c r="G132" s="113" t="str">
        <f aca="false">IF(E132="","",E132-F132)</f>
        <v/>
      </c>
      <c r="H132" s="113" t="str">
        <f aca="false">IF(OR(3&gt;$B$27,ISBLANK(Actuals!E108)),"",Actuals!E108)</f>
        <v/>
      </c>
      <c r="I132" s="113" t="n">
        <f aca="false">'Reforecast Q1 2026'!E108</f>
        <v>0</v>
      </c>
      <c r="J132" s="113" t="str">
        <f aca="false">IF(H132="","",H132-I132)</f>
        <v/>
      </c>
      <c r="K132" s="113" t="str">
        <f aca="false">IF(OR(4&gt;$B$27,ISBLANK(Actuals!F108)),"",Actuals!F108)</f>
        <v/>
      </c>
      <c r="L132" s="113" t="n">
        <f aca="false">'Reforecast Q1 2026'!F108</f>
        <v>0</v>
      </c>
      <c r="M132" s="113" t="str">
        <f aca="false">IF(K132="","",K132-L132)</f>
        <v/>
      </c>
      <c r="N132" s="113" t="str">
        <f aca="false">IF(OR(5&gt;$B$27,ISBLANK(Actuals!G108)),"",Actuals!G108)</f>
        <v/>
      </c>
      <c r="O132" s="113" t="n">
        <f aca="false">'Reforecast Q1 2026'!G108</f>
        <v>0</v>
      </c>
      <c r="P132" s="113" t="str">
        <f aca="false">IF(N132="","",N132-O132)</f>
        <v/>
      </c>
      <c r="Q132" s="113" t="str">
        <f aca="false">IF(OR(6&gt;$B$27,ISBLANK(Actuals!H108)),"",Actuals!H108)</f>
        <v/>
      </c>
      <c r="R132" s="113" t="n">
        <f aca="false">'Reforecast Q1 2026'!H108</f>
        <v>0</v>
      </c>
      <c r="S132" s="113" t="str">
        <f aca="false">IF(Q132="","",Q132-R132)</f>
        <v/>
      </c>
      <c r="T132" s="113" t="str">
        <f aca="false">IF(OR(7&gt;$B$27,ISBLANK(Actuals!I108)),"",Actuals!I108)</f>
        <v/>
      </c>
      <c r="U132" s="113" t="n">
        <f aca="false">'Reforecast Q1 2026'!I108</f>
        <v>0</v>
      </c>
      <c r="V132" s="113" t="str">
        <f aca="false">IF(T132="","",T132-U132)</f>
        <v/>
      </c>
      <c r="W132" s="113" t="str">
        <f aca="false">IF(OR(8&gt;$B$27,ISBLANK(Actuals!J108)),"",Actuals!J108)</f>
        <v/>
      </c>
      <c r="X132" s="113" t="n">
        <f aca="false">'Reforecast Q1 2026'!J108</f>
        <v>0</v>
      </c>
      <c r="Y132" s="113" t="str">
        <f aca="false">IF(W132="","",W132-X132)</f>
        <v/>
      </c>
      <c r="Z132" s="113" t="str">
        <f aca="false">IF(OR(9&gt;$B$27,ISBLANK(Actuals!K108)),"",Actuals!K108)</f>
        <v/>
      </c>
      <c r="AA132" s="113" t="n">
        <f aca="false">'Reforecast Q1 2026'!K108</f>
        <v>0</v>
      </c>
      <c r="AB132" s="113" t="str">
        <f aca="false">IF(Z132="","",Z132-AA132)</f>
        <v/>
      </c>
      <c r="AC132" s="113" t="str">
        <f aca="false">IF(OR(10&gt;$B$27,ISBLANK(Actuals!L108)),"",Actuals!L108)</f>
        <v/>
      </c>
      <c r="AD132" s="113" t="n">
        <f aca="false">'Reforecast Q1 2026'!L108</f>
        <v>0</v>
      </c>
      <c r="AE132" s="113" t="str">
        <f aca="false">IF(AC132="","",AC132-AD132)</f>
        <v/>
      </c>
      <c r="AF132" s="113" t="str">
        <f aca="false">IF(OR(11&gt;$B$27,ISBLANK(Actuals!M108)),"",Actuals!M108)</f>
        <v/>
      </c>
      <c r="AG132" s="113" t="n">
        <f aca="false">'Reforecast Q1 2026'!M108</f>
        <v>0</v>
      </c>
      <c r="AH132" s="113" t="str">
        <f aca="false">IF(AF132="","",AF132-AG132)</f>
        <v/>
      </c>
      <c r="AI132" s="113" t="str">
        <f aca="false">IF(OR(12&gt;$B$27,ISBLANK(Actuals!N108)),"",Actuals!N108)</f>
        <v/>
      </c>
      <c r="AJ132" s="113" t="n">
        <f aca="false">'Reforecast Q1 2026'!N108</f>
        <v>0</v>
      </c>
      <c r="AK132" s="113" t="str">
        <f aca="false">IF(AI132="","",AI132-AJ132)</f>
        <v/>
      </c>
      <c r="AL132" s="116" t="n">
        <f aca="false">SUM(Actuals!$C108:INDEX(Actuals!$C108:$N108,$B$27))</f>
        <v>0</v>
      </c>
      <c r="AM132" s="116" t="n">
        <f aca="false">SUM('Reforecast Q1 2026'!$C108:INDEX('Reforecast Q1 2026'!$C108:$N108,$B$27))</f>
        <v>0</v>
      </c>
      <c r="AN132" s="116" t="n">
        <f aca="false">AL132-AM132</f>
        <v>0</v>
      </c>
    </row>
    <row r="133" customFormat="false" ht="15" hidden="true" customHeight="true" outlineLevel="1" collapsed="false">
      <c r="A133" s="109" t="s">
        <v>136</v>
      </c>
      <c r="B133" s="113" t="str">
        <f aca="false">IF(OR(1&gt;$B$27,ISBLANK(Actuals!C109)),"",Actuals!C109)</f>
        <v/>
      </c>
      <c r="C133" s="113" t="n">
        <f aca="false">'Reforecast Q1 2026'!C109</f>
        <v>0</v>
      </c>
      <c r="D133" s="113" t="str">
        <f aca="false">IF(B133="","",B133-C133)</f>
        <v/>
      </c>
      <c r="E133" s="113" t="str">
        <f aca="false">IF(OR(2&gt;$B$27,ISBLANK(Actuals!D109)),"",Actuals!D109)</f>
        <v/>
      </c>
      <c r="F133" s="113" t="n">
        <f aca="false">'Reforecast Q1 2026'!D109</f>
        <v>0</v>
      </c>
      <c r="G133" s="113" t="str">
        <f aca="false">IF(E133="","",E133-F133)</f>
        <v/>
      </c>
      <c r="H133" s="113" t="str">
        <f aca="false">IF(OR(3&gt;$B$27,ISBLANK(Actuals!E109)),"",Actuals!E109)</f>
        <v/>
      </c>
      <c r="I133" s="113" t="n">
        <f aca="false">'Reforecast Q1 2026'!E109</f>
        <v>0</v>
      </c>
      <c r="J133" s="113" t="str">
        <f aca="false">IF(H133="","",H133-I133)</f>
        <v/>
      </c>
      <c r="K133" s="113" t="str">
        <f aca="false">IF(OR(4&gt;$B$27,ISBLANK(Actuals!F109)),"",Actuals!F109)</f>
        <v/>
      </c>
      <c r="L133" s="113" t="n">
        <f aca="false">'Reforecast Q1 2026'!F109</f>
        <v>0</v>
      </c>
      <c r="M133" s="113" t="str">
        <f aca="false">IF(K133="","",K133-L133)</f>
        <v/>
      </c>
      <c r="N133" s="113" t="str">
        <f aca="false">IF(OR(5&gt;$B$27,ISBLANK(Actuals!G109)),"",Actuals!G109)</f>
        <v/>
      </c>
      <c r="O133" s="113" t="n">
        <f aca="false">'Reforecast Q1 2026'!G109</f>
        <v>0</v>
      </c>
      <c r="P133" s="113" t="str">
        <f aca="false">IF(N133="","",N133-O133)</f>
        <v/>
      </c>
      <c r="Q133" s="113" t="str">
        <f aca="false">IF(OR(6&gt;$B$27,ISBLANK(Actuals!H109)),"",Actuals!H109)</f>
        <v/>
      </c>
      <c r="R133" s="113" t="n">
        <f aca="false">'Reforecast Q1 2026'!H109</f>
        <v>0</v>
      </c>
      <c r="S133" s="113" t="str">
        <f aca="false">IF(Q133="","",Q133-R133)</f>
        <v/>
      </c>
      <c r="T133" s="113" t="str">
        <f aca="false">IF(OR(7&gt;$B$27,ISBLANK(Actuals!I109)),"",Actuals!I109)</f>
        <v/>
      </c>
      <c r="U133" s="113" t="n">
        <f aca="false">'Reforecast Q1 2026'!I109</f>
        <v>0</v>
      </c>
      <c r="V133" s="113" t="str">
        <f aca="false">IF(T133="","",T133-U133)</f>
        <v/>
      </c>
      <c r="W133" s="113" t="n">
        <f aca="false">IF(OR(8&gt;$B$27,ISBLANK(Actuals!J109)),"",Actuals!J109)</f>
        <v>0</v>
      </c>
      <c r="X133" s="113" t="n">
        <f aca="false">'Reforecast Q1 2026'!J109</f>
        <v>0</v>
      </c>
      <c r="Y133" s="113" t="n">
        <f aca="false">IF(W133="","",W133-X133)</f>
        <v>0</v>
      </c>
      <c r="Z133" s="113" t="str">
        <f aca="false">IF(OR(9&gt;$B$27,ISBLANK(Actuals!K109)),"",Actuals!K109)</f>
        <v/>
      </c>
      <c r="AA133" s="113" t="n">
        <f aca="false">'Reforecast Q1 2026'!K109</f>
        <v>0</v>
      </c>
      <c r="AB133" s="113" t="str">
        <f aca="false">IF(Z133="","",Z133-AA133)</f>
        <v/>
      </c>
      <c r="AC133" s="113" t="str">
        <f aca="false">IF(OR(10&gt;$B$27,ISBLANK(Actuals!L109)),"",Actuals!L109)</f>
        <v/>
      </c>
      <c r="AD133" s="113" t="n">
        <f aca="false">'Reforecast Q1 2026'!L109</f>
        <v>0</v>
      </c>
      <c r="AE133" s="113" t="str">
        <f aca="false">IF(AC133="","",AC133-AD133)</f>
        <v/>
      </c>
      <c r="AF133" s="113" t="str">
        <f aca="false">IF(OR(11&gt;$B$27,ISBLANK(Actuals!M109)),"",Actuals!M109)</f>
        <v/>
      </c>
      <c r="AG133" s="113" t="n">
        <f aca="false">'Reforecast Q1 2026'!M109</f>
        <v>0</v>
      </c>
      <c r="AH133" s="113" t="str">
        <f aca="false">IF(AF133="","",AF133-AG133)</f>
        <v/>
      </c>
      <c r="AI133" s="113" t="str">
        <f aca="false">IF(OR(12&gt;$B$27,ISBLANK(Actuals!N109)),"",Actuals!N109)</f>
        <v/>
      </c>
      <c r="AJ133" s="113" t="n">
        <f aca="false">'Reforecast Q1 2026'!N109</f>
        <v>0</v>
      </c>
      <c r="AK133" s="113" t="str">
        <f aca="false">IF(AI133="","",AI133-AJ133)</f>
        <v/>
      </c>
      <c r="AL133" s="116" t="n">
        <f aca="false">SUM(Actuals!$C109:INDEX(Actuals!$C109:$N109,$B$27))</f>
        <v>0</v>
      </c>
      <c r="AM133" s="116" t="n">
        <f aca="false">SUM('Reforecast Q1 2026'!$C109:INDEX('Reforecast Q1 2026'!$C109:$N109,$B$27))</f>
        <v>0</v>
      </c>
      <c r="AN133" s="116" t="n">
        <f aca="false">AL133-AM133</f>
        <v>0</v>
      </c>
    </row>
    <row r="134" customFormat="false" ht="15" hidden="true" customHeight="true" outlineLevel="1" collapsed="false">
      <c r="A134" s="109" t="s">
        <v>137</v>
      </c>
      <c r="B134" s="113" t="str">
        <f aca="false">IF(OR(1&gt;$B$27,ISBLANK(Actuals!C110)),"",Actuals!C110)</f>
        <v/>
      </c>
      <c r="C134" s="113" t="n">
        <f aca="false">'Reforecast Q1 2026'!C110</f>
        <v>0</v>
      </c>
      <c r="D134" s="113" t="str">
        <f aca="false">IF(B134="","",B134-C134)</f>
        <v/>
      </c>
      <c r="E134" s="113" t="str">
        <f aca="false">IF(OR(2&gt;$B$27,ISBLANK(Actuals!D110)),"",Actuals!D110)</f>
        <v/>
      </c>
      <c r="F134" s="113" t="n">
        <f aca="false">'Reforecast Q1 2026'!D110</f>
        <v>0</v>
      </c>
      <c r="G134" s="113" t="str">
        <f aca="false">IF(E134="","",E134-F134)</f>
        <v/>
      </c>
      <c r="H134" s="113" t="str">
        <f aca="false">IF(OR(3&gt;$B$27,ISBLANK(Actuals!E110)),"",Actuals!E110)</f>
        <v/>
      </c>
      <c r="I134" s="113" t="n">
        <f aca="false">'Reforecast Q1 2026'!E110</f>
        <v>0</v>
      </c>
      <c r="J134" s="113" t="str">
        <f aca="false">IF(H134="","",H134-I134)</f>
        <v/>
      </c>
      <c r="K134" s="113" t="str">
        <f aca="false">IF(OR(4&gt;$B$27,ISBLANK(Actuals!F110)),"",Actuals!F110)</f>
        <v/>
      </c>
      <c r="L134" s="113" t="n">
        <f aca="false">'Reforecast Q1 2026'!F110</f>
        <v>0</v>
      </c>
      <c r="M134" s="113" t="str">
        <f aca="false">IF(K134="","",K134-L134)</f>
        <v/>
      </c>
      <c r="N134" s="113" t="str">
        <f aca="false">IF(OR(5&gt;$B$27,ISBLANK(Actuals!G110)),"",Actuals!G110)</f>
        <v/>
      </c>
      <c r="O134" s="113" t="n">
        <f aca="false">'Reforecast Q1 2026'!G110</f>
        <v>0</v>
      </c>
      <c r="P134" s="113" t="str">
        <f aca="false">IF(N134="","",N134-O134)</f>
        <v/>
      </c>
      <c r="Q134" s="113" t="str">
        <f aca="false">IF(OR(6&gt;$B$27,ISBLANK(Actuals!H110)),"",Actuals!H110)</f>
        <v/>
      </c>
      <c r="R134" s="113" t="n">
        <f aca="false">'Reforecast Q1 2026'!H110</f>
        <v>0</v>
      </c>
      <c r="S134" s="113" t="str">
        <f aca="false">IF(Q134="","",Q134-R134)</f>
        <v/>
      </c>
      <c r="T134" s="113" t="str">
        <f aca="false">IF(OR(7&gt;$B$27,ISBLANK(Actuals!I110)),"",Actuals!I110)</f>
        <v/>
      </c>
      <c r="U134" s="113" t="n">
        <f aca="false">'Reforecast Q1 2026'!I110</f>
        <v>0</v>
      </c>
      <c r="V134" s="113" t="str">
        <f aca="false">IF(T134="","",T134-U134)</f>
        <v/>
      </c>
      <c r="W134" s="113" t="str">
        <f aca="false">IF(OR(8&gt;$B$27,ISBLANK(Actuals!J110)),"",Actuals!J110)</f>
        <v/>
      </c>
      <c r="X134" s="113" t="n">
        <f aca="false">'Reforecast Q1 2026'!J110</f>
        <v>0</v>
      </c>
      <c r="Y134" s="113" t="str">
        <f aca="false">IF(W134="","",W134-X134)</f>
        <v/>
      </c>
      <c r="Z134" s="113" t="str">
        <f aca="false">IF(OR(9&gt;$B$27,ISBLANK(Actuals!K110)),"",Actuals!K110)</f>
        <v/>
      </c>
      <c r="AA134" s="113" t="n">
        <f aca="false">'Reforecast Q1 2026'!K110</f>
        <v>0</v>
      </c>
      <c r="AB134" s="113" t="str">
        <f aca="false">IF(Z134="","",Z134-AA134)</f>
        <v/>
      </c>
      <c r="AC134" s="113" t="str">
        <f aca="false">IF(OR(10&gt;$B$27,ISBLANK(Actuals!L110)),"",Actuals!L110)</f>
        <v/>
      </c>
      <c r="AD134" s="113" t="n">
        <f aca="false">'Reforecast Q1 2026'!L110</f>
        <v>0</v>
      </c>
      <c r="AE134" s="113" t="str">
        <f aca="false">IF(AC134="","",AC134-AD134)</f>
        <v/>
      </c>
      <c r="AF134" s="113" t="str">
        <f aca="false">IF(OR(11&gt;$B$27,ISBLANK(Actuals!M110)),"",Actuals!M110)</f>
        <v/>
      </c>
      <c r="AG134" s="113" t="n">
        <f aca="false">'Reforecast Q1 2026'!M110</f>
        <v>0</v>
      </c>
      <c r="AH134" s="113" t="str">
        <f aca="false">IF(AF134="","",AF134-AG134)</f>
        <v/>
      </c>
      <c r="AI134" s="113" t="str">
        <f aca="false">IF(OR(12&gt;$B$27,ISBLANK(Actuals!N110)),"",Actuals!N110)</f>
        <v/>
      </c>
      <c r="AJ134" s="113" t="n">
        <f aca="false">'Reforecast Q1 2026'!N110</f>
        <v>0</v>
      </c>
      <c r="AK134" s="113" t="str">
        <f aca="false">IF(AI134="","",AI134-AJ134)</f>
        <v/>
      </c>
      <c r="AL134" s="116" t="n">
        <f aca="false">SUM(Actuals!$C110:INDEX(Actuals!$C110:$N110,$B$27))</f>
        <v>0</v>
      </c>
      <c r="AM134" s="116" t="n">
        <f aca="false">SUM('Reforecast Q1 2026'!$C110:INDEX('Reforecast Q1 2026'!$C110:$N110,$B$27))</f>
        <v>0</v>
      </c>
      <c r="AN134" s="116" t="n">
        <f aca="false">AL134-AM134</f>
        <v>0</v>
      </c>
    </row>
    <row r="135" customFormat="false" ht="15" hidden="true" customHeight="true" outlineLevel="1" collapsed="false">
      <c r="A135" s="109" t="s">
        <v>138</v>
      </c>
      <c r="B135" s="113" t="str">
        <f aca="false">IF(OR(1&gt;$B$27,ISBLANK(Actuals!C111)),"",Actuals!C111)</f>
        <v/>
      </c>
      <c r="C135" s="113" t="n">
        <f aca="false">'Reforecast Q1 2026'!C111</f>
        <v>0</v>
      </c>
      <c r="D135" s="113" t="str">
        <f aca="false">IF(B135="","",B135-C135)</f>
        <v/>
      </c>
      <c r="E135" s="113" t="str">
        <f aca="false">IF(OR(2&gt;$B$27,ISBLANK(Actuals!D111)),"",Actuals!D111)</f>
        <v/>
      </c>
      <c r="F135" s="113" t="n">
        <f aca="false">'Reforecast Q1 2026'!D111</f>
        <v>0</v>
      </c>
      <c r="G135" s="113" t="str">
        <f aca="false">IF(E135="","",E135-F135)</f>
        <v/>
      </c>
      <c r="H135" s="113" t="str">
        <f aca="false">IF(OR(3&gt;$B$27,ISBLANK(Actuals!E111)),"",Actuals!E111)</f>
        <v/>
      </c>
      <c r="I135" s="113" t="n">
        <f aca="false">'Reforecast Q1 2026'!E111</f>
        <v>0</v>
      </c>
      <c r="J135" s="113" t="str">
        <f aca="false">IF(H135="","",H135-I135)</f>
        <v/>
      </c>
      <c r="K135" s="113" t="str">
        <f aca="false">IF(OR(4&gt;$B$27,ISBLANK(Actuals!F111)),"",Actuals!F111)</f>
        <v/>
      </c>
      <c r="L135" s="113" t="n">
        <f aca="false">'Reforecast Q1 2026'!F111</f>
        <v>0</v>
      </c>
      <c r="M135" s="113" t="str">
        <f aca="false">IF(K135="","",K135-L135)</f>
        <v/>
      </c>
      <c r="N135" s="113" t="str">
        <f aca="false">IF(OR(5&gt;$B$27,ISBLANK(Actuals!G111)),"",Actuals!G111)</f>
        <v/>
      </c>
      <c r="O135" s="113" t="n">
        <f aca="false">'Reforecast Q1 2026'!G111</f>
        <v>0</v>
      </c>
      <c r="P135" s="113" t="str">
        <f aca="false">IF(N135="","",N135-O135)</f>
        <v/>
      </c>
      <c r="Q135" s="113" t="str">
        <f aca="false">IF(OR(6&gt;$B$27,ISBLANK(Actuals!H111)),"",Actuals!H111)</f>
        <v/>
      </c>
      <c r="R135" s="113" t="n">
        <f aca="false">'Reforecast Q1 2026'!H111</f>
        <v>0</v>
      </c>
      <c r="S135" s="113" t="str">
        <f aca="false">IF(Q135="","",Q135-R135)</f>
        <v/>
      </c>
      <c r="T135" s="113" t="str">
        <f aca="false">IF(OR(7&gt;$B$27,ISBLANK(Actuals!I111)),"",Actuals!I111)</f>
        <v/>
      </c>
      <c r="U135" s="113" t="n">
        <f aca="false">'Reforecast Q1 2026'!I111</f>
        <v>0</v>
      </c>
      <c r="V135" s="113" t="str">
        <f aca="false">IF(T135="","",T135-U135)</f>
        <v/>
      </c>
      <c r="W135" s="113" t="str">
        <f aca="false">IF(OR(8&gt;$B$27,ISBLANK(Actuals!J111)),"",Actuals!J111)</f>
        <v/>
      </c>
      <c r="X135" s="113" t="n">
        <f aca="false">'Reforecast Q1 2026'!J111</f>
        <v>0</v>
      </c>
      <c r="Y135" s="113" t="str">
        <f aca="false">IF(W135="","",W135-X135)</f>
        <v/>
      </c>
      <c r="Z135" s="113" t="str">
        <f aca="false">IF(OR(9&gt;$B$27,ISBLANK(Actuals!K111)),"",Actuals!K111)</f>
        <v/>
      </c>
      <c r="AA135" s="113" t="n">
        <f aca="false">'Reforecast Q1 2026'!K111</f>
        <v>0</v>
      </c>
      <c r="AB135" s="113" t="str">
        <f aca="false">IF(Z135="","",Z135-AA135)</f>
        <v/>
      </c>
      <c r="AC135" s="113" t="str">
        <f aca="false">IF(OR(10&gt;$B$27,ISBLANK(Actuals!L111)),"",Actuals!L111)</f>
        <v/>
      </c>
      <c r="AD135" s="113" t="n">
        <f aca="false">'Reforecast Q1 2026'!L111</f>
        <v>0</v>
      </c>
      <c r="AE135" s="113" t="str">
        <f aca="false">IF(AC135="","",AC135-AD135)</f>
        <v/>
      </c>
      <c r="AF135" s="113" t="str">
        <f aca="false">IF(OR(11&gt;$B$27,ISBLANK(Actuals!M111)),"",Actuals!M111)</f>
        <v/>
      </c>
      <c r="AG135" s="113" t="n">
        <f aca="false">'Reforecast Q1 2026'!M111</f>
        <v>0</v>
      </c>
      <c r="AH135" s="113" t="str">
        <f aca="false">IF(AF135="","",AF135-AG135)</f>
        <v/>
      </c>
      <c r="AI135" s="113" t="str">
        <f aca="false">IF(OR(12&gt;$B$27,ISBLANK(Actuals!N111)),"",Actuals!N111)</f>
        <v/>
      </c>
      <c r="AJ135" s="113" t="n">
        <f aca="false">'Reforecast Q1 2026'!N111</f>
        <v>0</v>
      </c>
      <c r="AK135" s="113" t="str">
        <f aca="false">IF(AI135="","",AI135-AJ135)</f>
        <v/>
      </c>
      <c r="AL135" s="116" t="n">
        <f aca="false">SUM(Actuals!$C111:INDEX(Actuals!$C111:$N111,$B$27))</f>
        <v>0</v>
      </c>
      <c r="AM135" s="116" t="n">
        <f aca="false">SUM('Reforecast Q1 2026'!$C111:INDEX('Reforecast Q1 2026'!$C111:$N111,$B$27))</f>
        <v>0</v>
      </c>
      <c r="AN135" s="116" t="n">
        <f aca="false">AL135-AM135</f>
        <v>0</v>
      </c>
    </row>
    <row r="136" customFormat="false" ht="15" hidden="false" customHeight="true" outlineLevel="0" collapsed="true">
      <c r="A136" s="115" t="s">
        <v>139</v>
      </c>
      <c r="B136" s="116" t="n">
        <f aca="false">IF(OR(1&gt;$B$27,ISBLANK(Actuals!C112)),"",Actuals!C112)</f>
        <v>-198827.72</v>
      </c>
      <c r="C136" s="116" t="n">
        <f aca="false">'Reforecast Q1 2026'!C112</f>
        <v>-196623.84</v>
      </c>
      <c r="D136" s="116" t="n">
        <f aca="false">IF(B136="","",B136-C136)</f>
        <v>-2203.88</v>
      </c>
      <c r="E136" s="116" t="n">
        <f aca="false">IF(OR(2&gt;$B$27,ISBLANK(Actuals!D112)),"",Actuals!D112)</f>
        <v>-192502</v>
      </c>
      <c r="F136" s="116" t="n">
        <f aca="false">'Reforecast Q1 2026'!D112</f>
        <v>-189707.12</v>
      </c>
      <c r="G136" s="116" t="n">
        <f aca="false">IF(E136="","",E136-F136)</f>
        <v>-2794.88</v>
      </c>
      <c r="H136" s="116" t="n">
        <f aca="false">IF(OR(3&gt;$B$27,ISBLANK(Actuals!E112)),"",Actuals!E112)</f>
        <v>-255024.1</v>
      </c>
      <c r="I136" s="116" t="n">
        <f aca="false">'Reforecast Q1 2026'!E112</f>
        <v>-242129.22</v>
      </c>
      <c r="J136" s="116" t="n">
        <f aca="false">IF(H136="","",H136-I136)</f>
        <v>-12894.88</v>
      </c>
      <c r="K136" s="116" t="n">
        <f aca="false">IF(OR(4&gt;$B$27,ISBLANK(Actuals!F112)),"",Actuals!F112)</f>
        <v>-195904.72</v>
      </c>
      <c r="L136" s="116" t="n">
        <f aca="false">'Reforecast Q1 2026'!F112</f>
        <v>-78090.0916666666</v>
      </c>
      <c r="M136" s="116" t="n">
        <f aca="false">IF(K136="","",K136-L136)</f>
        <v>-117814.628333333</v>
      </c>
      <c r="N136" s="116" t="n">
        <f aca="false">IF(OR(5&gt;$B$27,ISBLANK(Actuals!G112)),"",Actuals!G112)</f>
        <v>-250029.52</v>
      </c>
      <c r="O136" s="116" t="n">
        <f aca="false">'Reforecast Q1 2026'!G112</f>
        <v>-78090.0916666666</v>
      </c>
      <c r="P136" s="116" t="n">
        <f aca="false">IF(N136="","",N136-O136)</f>
        <v>-171939.428333333</v>
      </c>
      <c r="Q136" s="116" t="n">
        <f aca="false">IF(OR(6&gt;$B$27,ISBLANK(Actuals!H112)),"",Actuals!H112)</f>
        <v>-201582.47</v>
      </c>
      <c r="R136" s="116" t="n">
        <f aca="false">'Reforecast Q1 2026'!H112</f>
        <v>-78090.0916666666</v>
      </c>
      <c r="S136" s="116" t="n">
        <f aca="false">IF(Q136="","",Q136-R136)</f>
        <v>-123492.378333333</v>
      </c>
      <c r="T136" s="116" t="n">
        <f aca="false">IF(OR(7&gt;$B$27,ISBLANK(Actuals!I112)),"",Actuals!I112)</f>
        <v>-195563.06</v>
      </c>
      <c r="U136" s="116" t="n">
        <f aca="false">'Reforecast Q1 2026'!I112</f>
        <v>-78090.0916666666</v>
      </c>
      <c r="V136" s="116" t="n">
        <f aca="false">IF(T136="","",T136-U136)</f>
        <v>-117472.968333333</v>
      </c>
      <c r="W136" s="116" t="n">
        <f aca="false">IF(OR(8&gt;$B$27,ISBLANK(Actuals!J112)),"",Actuals!J112)</f>
        <v>-183480.39</v>
      </c>
      <c r="X136" s="116" t="n">
        <f aca="false">'Reforecast Q1 2026'!J112</f>
        <v>-78090.0916666666</v>
      </c>
      <c r="Y136" s="116" t="n">
        <f aca="false">IF(W136="","",W136-X136)</f>
        <v>-105390.298333333</v>
      </c>
      <c r="Z136" s="116" t="n">
        <f aca="false">IF(OR(9&gt;$B$27,ISBLANK(Actuals!K112)),"",Actuals!K112)</f>
        <v>-217013.31</v>
      </c>
      <c r="AA136" s="116" t="n">
        <f aca="false">'Reforecast Q1 2026'!K112</f>
        <v>-78090.0916666666</v>
      </c>
      <c r="AB136" s="116" t="n">
        <f aca="false">IF(Z136="","",Z136-AA136)</f>
        <v>-138923.218333333</v>
      </c>
      <c r="AC136" s="116" t="str">
        <f aca="false">IF(OR(10&gt;$B$27,ISBLANK(Actuals!L112)),"",Actuals!L112)</f>
        <v/>
      </c>
      <c r="AD136" s="116" t="n">
        <f aca="false">'Reforecast Q1 2026'!L112</f>
        <v>-78090.0916666666</v>
      </c>
      <c r="AE136" s="116" t="str">
        <f aca="false">IF(AC136="","",AC136-AD136)</f>
        <v/>
      </c>
      <c r="AF136" s="116" t="str">
        <f aca="false">IF(OR(11&gt;$B$27,ISBLANK(Actuals!M112)),"",Actuals!M112)</f>
        <v/>
      </c>
      <c r="AG136" s="116" t="n">
        <f aca="false">'Reforecast Q1 2026'!M112</f>
        <v>-78090.0916666666</v>
      </c>
      <c r="AH136" s="116" t="str">
        <f aca="false">IF(AF136="","",AF136-AG136)</f>
        <v/>
      </c>
      <c r="AI136" s="116" t="str">
        <f aca="false">IF(OR(12&gt;$B$27,ISBLANK(Actuals!N112)),"",Actuals!N112)</f>
        <v/>
      </c>
      <c r="AJ136" s="116" t="n">
        <f aca="false">'Reforecast Q1 2026'!N112</f>
        <v>-78090.0916666666</v>
      </c>
      <c r="AK136" s="116" t="str">
        <f aca="false">IF(AI136="","",AI136-AJ136)</f>
        <v/>
      </c>
      <c r="AL136" s="116" t="n">
        <f aca="false">SUM(Actuals!$C112:INDEX(Actuals!$C112:$N112,$B$27))</f>
        <v>-1889927.29</v>
      </c>
      <c r="AM136" s="116" t="n">
        <f aca="false">SUM('Reforecast Q1 2026'!$C112:INDEX('Reforecast Q1 2026'!$C112:$N112,$B$27))</f>
        <v>-1097000.73</v>
      </c>
      <c r="AN136" s="116" t="n">
        <f aca="false">AL136-AM136</f>
        <v>-792926.560000001</v>
      </c>
    </row>
    <row r="137" customFormat="false" ht="15" hidden="false" customHeight="true" outlineLevel="0" collapsed="false">
      <c r="A137" s="109" t="s">
        <v>365</v>
      </c>
      <c r="B137" s="113" t="str">
        <f aca="false">IF(OR(1&gt;$B$27,ISBLANK(Actuals!C113)),"",Actuals!C113)</f>
        <v/>
      </c>
      <c r="C137" s="113" t="n">
        <f aca="false">'Reforecast Q1 2026'!C113</f>
        <v>0</v>
      </c>
      <c r="D137" s="113" t="str">
        <f aca="false">IF(B137="","",B137-C137)</f>
        <v/>
      </c>
      <c r="E137" s="113" t="str">
        <f aca="false">IF(OR(2&gt;$B$27,ISBLANK(Actuals!D113)),"",Actuals!D113)</f>
        <v/>
      </c>
      <c r="F137" s="113" t="n">
        <f aca="false">'Reforecast Q1 2026'!D113</f>
        <v>0</v>
      </c>
      <c r="G137" s="113" t="str">
        <f aca="false">IF(E137="","",E137-F137)</f>
        <v/>
      </c>
      <c r="H137" s="113" t="str">
        <f aca="false">IF(OR(3&gt;$B$27,ISBLANK(Actuals!E113)),"",Actuals!E113)</f>
        <v/>
      </c>
      <c r="I137" s="113" t="n">
        <f aca="false">'Reforecast Q1 2026'!E113</f>
        <v>0</v>
      </c>
      <c r="J137" s="113" t="str">
        <f aca="false">IF(H137="","",H137-I137)</f>
        <v/>
      </c>
      <c r="K137" s="113" t="str">
        <f aca="false">IF(OR(4&gt;$B$27,ISBLANK(Actuals!F113)),"",Actuals!F113)</f>
        <v/>
      </c>
      <c r="L137" s="113" t="n">
        <f aca="false">'Reforecast Q1 2026'!F113</f>
        <v>0</v>
      </c>
      <c r="M137" s="113" t="str">
        <f aca="false">IF(K137="","",K137-L137)</f>
        <v/>
      </c>
      <c r="N137" s="113" t="str">
        <f aca="false">IF(OR(5&gt;$B$27,ISBLANK(Actuals!G113)),"",Actuals!G113)</f>
        <v/>
      </c>
      <c r="O137" s="113" t="n">
        <f aca="false">'Reforecast Q1 2026'!G113</f>
        <v>0</v>
      </c>
      <c r="P137" s="113" t="str">
        <f aca="false">IF(N137="","",N137-O137)</f>
        <v/>
      </c>
      <c r="Q137" s="113" t="n">
        <f aca="false">IF(OR(6&gt;$B$27,ISBLANK(Actuals!H113)),"",Actuals!H113)</f>
        <v>53641.68</v>
      </c>
      <c r="R137" s="113" t="n">
        <f aca="false">'Reforecast Q1 2026'!H113</f>
        <v>0</v>
      </c>
      <c r="S137" s="113" t="n">
        <f aca="false">IF(Q137="","",Q137-R137)</f>
        <v>53641.68</v>
      </c>
      <c r="T137" s="113" t="n">
        <f aca="false">IF(OR(7&gt;$B$27,ISBLANK(Actuals!I113)),"",Actuals!I113)</f>
        <v>-934.88</v>
      </c>
      <c r="U137" s="113" t="n">
        <f aca="false">'Reforecast Q1 2026'!I113</f>
        <v>0</v>
      </c>
      <c r="V137" s="113" t="n">
        <f aca="false">IF(T137="","",T137-U137)</f>
        <v>-934.88</v>
      </c>
      <c r="W137" s="113" t="n">
        <f aca="false">IF(OR(8&gt;$B$27,ISBLANK(Actuals!J113)),"",Actuals!J113)</f>
        <v>-934.88</v>
      </c>
      <c r="X137" s="113" t="n">
        <f aca="false">'Reforecast Q1 2026'!J113</f>
        <v>0</v>
      </c>
      <c r="Y137" s="113" t="n">
        <f aca="false">IF(W137="","",W137-X137)</f>
        <v>-934.88</v>
      </c>
      <c r="Z137" s="113" t="n">
        <f aca="false">IF(OR(9&gt;$B$27,ISBLANK(Actuals!K113)),"",Actuals!K113)</f>
        <v>-934.88</v>
      </c>
      <c r="AA137" s="113" t="n">
        <f aca="false">'Reforecast Q1 2026'!K113</f>
        <v>0</v>
      </c>
      <c r="AB137" s="113" t="n">
        <f aca="false">IF(Z137="","",Z137-AA137)</f>
        <v>-934.88</v>
      </c>
      <c r="AC137" s="113" t="str">
        <f aca="false">IF(OR(10&gt;$B$27,ISBLANK(Actuals!L113)),"",Actuals!L113)</f>
        <v/>
      </c>
      <c r="AD137" s="113" t="n">
        <f aca="false">'Reforecast Q1 2026'!L113</f>
        <v>0</v>
      </c>
      <c r="AE137" s="113" t="str">
        <f aca="false">IF(AC137="","",AC137-AD137)</f>
        <v/>
      </c>
      <c r="AF137" s="113" t="str">
        <f aca="false">IF(OR(11&gt;$B$27,ISBLANK(Actuals!M113)),"",Actuals!M113)</f>
        <v/>
      </c>
      <c r="AG137" s="113" t="n">
        <f aca="false">'Reforecast Q1 2026'!M113</f>
        <v>0</v>
      </c>
      <c r="AH137" s="113" t="str">
        <f aca="false">IF(AF137="","",AF137-AG137)</f>
        <v/>
      </c>
      <c r="AI137" s="113" t="str">
        <f aca="false">IF(OR(12&gt;$B$27,ISBLANK(Actuals!N113)),"",Actuals!N113)</f>
        <v/>
      </c>
      <c r="AJ137" s="113" t="n">
        <f aca="false">'Reforecast Q1 2026'!N113</f>
        <v>0</v>
      </c>
      <c r="AK137" s="113" t="str">
        <f aca="false">IF(AI137="","",AI137-AJ137)</f>
        <v/>
      </c>
      <c r="AL137" s="116" t="n">
        <f aca="false">SUM(Actuals!$C113:INDEX(Actuals!$C113:$N113,$B$27))</f>
        <v>50837.04</v>
      </c>
      <c r="AM137" s="116" t="n">
        <f aca="false">SUM('Reforecast Q1 2026'!$C113:INDEX('Reforecast Q1 2026'!$C113:$N113,$B$27))</f>
        <v>0</v>
      </c>
      <c r="AN137" s="116" t="n">
        <f aca="false">AL137-AM137</f>
        <v>50837.04</v>
      </c>
    </row>
    <row r="138" customFormat="false" ht="15" hidden="false" customHeight="true" outlineLevel="0" collapsed="false">
      <c r="A138" s="115" t="s">
        <v>140</v>
      </c>
      <c r="B138" s="117" t="n">
        <f aca="false">IF(OR(1&gt;$B$27,ISBLANK(Actuals!C114)),"",Actuals!C114)</f>
        <v>-164713.14</v>
      </c>
      <c r="C138" s="117" t="n">
        <f aca="false">'Reforecast Q1 2026'!C114</f>
        <v>-162509.26</v>
      </c>
      <c r="D138" s="117" t="n">
        <f aca="false">IF(B138="","",B138-C138)</f>
        <v>-2203.88</v>
      </c>
      <c r="E138" s="117" t="n">
        <f aca="false">IF(OR(2&gt;$B$27,ISBLANK(Actuals!D114)),"",Actuals!D114)</f>
        <v>-158387.42</v>
      </c>
      <c r="F138" s="117" t="n">
        <f aca="false">'Reforecast Q1 2026'!D114</f>
        <v>-155592.54</v>
      </c>
      <c r="G138" s="117" t="n">
        <f aca="false">IF(E138="","",E138-F138)</f>
        <v>-2794.87999999998</v>
      </c>
      <c r="H138" s="117" t="n">
        <f aca="false">IF(OR(3&gt;$B$27,ISBLANK(Actuals!E114)),"",Actuals!E114)</f>
        <v>-220909.52</v>
      </c>
      <c r="I138" s="117" t="n">
        <f aca="false">'Reforecast Q1 2026'!E114</f>
        <v>-208014.64</v>
      </c>
      <c r="J138" s="117" t="n">
        <f aca="false">IF(H138="","",H138-I138)</f>
        <v>-12894.88</v>
      </c>
      <c r="K138" s="117" t="n">
        <f aca="false">IF(OR(4&gt;$B$27,ISBLANK(Actuals!F114)),"",Actuals!F114)</f>
        <v>-161790.14</v>
      </c>
      <c r="L138" s="117" t="n">
        <f aca="false">'Reforecast Q1 2026'!F114</f>
        <v>-34475.5116666666</v>
      </c>
      <c r="M138" s="117" t="n">
        <f aca="false">IF(K138="","",K138-L138)</f>
        <v>-127314.628333333</v>
      </c>
      <c r="N138" s="117" t="n">
        <f aca="false">IF(OR(5&gt;$B$27,ISBLANK(Actuals!G114)),"",Actuals!G114)</f>
        <v>-215914.94</v>
      </c>
      <c r="O138" s="117" t="n">
        <f aca="false">'Reforecast Q1 2026'!G114</f>
        <v>-34475.5116666666</v>
      </c>
      <c r="P138" s="117" t="n">
        <f aca="false">IF(N138="","",N138-O138)</f>
        <v>-181439.428333333</v>
      </c>
      <c r="Q138" s="117" t="n">
        <f aca="false">IF(OR(6&gt;$B$27,ISBLANK(Actuals!H114)),"",Actuals!H114)</f>
        <v>185173.79</v>
      </c>
      <c r="R138" s="117" t="n">
        <f aca="false">'Reforecast Q1 2026'!H114</f>
        <v>-34475.5116666666</v>
      </c>
      <c r="S138" s="117" t="n">
        <f aca="false">IF(Q138="","",Q138-R138)</f>
        <v>219649.301666667</v>
      </c>
      <c r="T138" s="117" t="n">
        <f aca="false">IF(OR(7&gt;$B$27,ISBLANK(Actuals!I114)),"",Actuals!I114)</f>
        <v>-118383.36</v>
      </c>
      <c r="U138" s="117" t="n">
        <f aca="false">'Reforecast Q1 2026'!I114</f>
        <v>-34475.5116666666</v>
      </c>
      <c r="V138" s="117" t="n">
        <f aca="false">IF(T138="","",T138-U138)</f>
        <v>-83907.8483333334</v>
      </c>
      <c r="W138" s="117" t="n">
        <f aca="false">IF(OR(8&gt;$B$27,ISBLANK(Actuals!J114)),"",Actuals!J114)</f>
        <v>-3786.69</v>
      </c>
      <c r="X138" s="117" t="n">
        <f aca="false">'Reforecast Q1 2026'!J114</f>
        <v>-34475.5116666666</v>
      </c>
      <c r="Y138" s="117" t="n">
        <f aca="false">IF(W138="","",W138-X138)</f>
        <v>30688.8216666666</v>
      </c>
      <c r="Z138" s="117" t="n">
        <f aca="false">IF(OR(9&gt;$B$27,ISBLANK(Actuals!K114)),"",Actuals!K114)</f>
        <v>-176700.27</v>
      </c>
      <c r="AA138" s="117" t="n">
        <f aca="false">'Reforecast Q1 2026'!K114</f>
        <v>-35308.8416666666</v>
      </c>
      <c r="AB138" s="117" t="n">
        <f aca="false">IF(Z138="","",Z138-AA138)</f>
        <v>-141391.428333333</v>
      </c>
      <c r="AC138" s="117" t="str">
        <f aca="false">IF(OR(10&gt;$B$27,ISBLANK(Actuals!L114)),"",Actuals!L114)</f>
        <v/>
      </c>
      <c r="AD138" s="117" t="n">
        <f aca="false">'Reforecast Q1 2026'!L114</f>
        <v>-35308.8416666666</v>
      </c>
      <c r="AE138" s="117" t="str">
        <f aca="false">IF(AC138="","",AC138-AD138)</f>
        <v/>
      </c>
      <c r="AF138" s="117" t="str">
        <f aca="false">IF(OR(11&gt;$B$27,ISBLANK(Actuals!M114)),"",Actuals!M114)</f>
        <v/>
      </c>
      <c r="AG138" s="117" t="n">
        <f aca="false">'Reforecast Q1 2026'!M114</f>
        <v>-44683.8416666666</v>
      </c>
      <c r="AH138" s="117" t="str">
        <f aca="false">IF(AF138="","",AF138-AG138)</f>
        <v/>
      </c>
      <c r="AI138" s="117" t="str">
        <f aca="false">IF(OR(12&gt;$B$27,ISBLANK(Actuals!N114)),"",Actuals!N114)</f>
        <v/>
      </c>
      <c r="AJ138" s="117" t="n">
        <f aca="false">'Reforecast Q1 2026'!N114</f>
        <v>-44683.8416666666</v>
      </c>
      <c r="AK138" s="117" t="str">
        <f aca="false">IF(AI138="","",AI138-AJ138)</f>
        <v/>
      </c>
      <c r="AL138" s="117" t="n">
        <f aca="false">SUM(Actuals!$C114:INDEX(Actuals!$C114:$N114,$B$27))</f>
        <v>-1035411.69</v>
      </c>
      <c r="AM138" s="117" t="n">
        <f aca="false">SUM('Reforecast Q1 2026'!$C114:INDEX('Reforecast Q1 2026'!$C114:$N114,$B$27))</f>
        <v>-733802.84</v>
      </c>
      <c r="AN138" s="117" t="n">
        <f aca="false">AL138-AM138</f>
        <v>-301608.85</v>
      </c>
    </row>
    <row r="140" customFormat="false" ht="15" hidden="false" customHeight="true" outlineLevel="0" collapsed="false">
      <c r="A140" s="112" t="s">
        <v>460</v>
      </c>
    </row>
    <row r="141" customFormat="false" ht="15" hidden="false" customHeight="true" outlineLevel="0" collapsed="false">
      <c r="A141" s="109" t="s">
        <v>461</v>
      </c>
      <c r="B141" s="116" t="n">
        <f aca="false">IF(B81="","",B81+B138)</f>
        <v>-206557.78</v>
      </c>
      <c r="C141" s="116" t="n">
        <f aca="false">C81+C138</f>
        <v>-202748.04</v>
      </c>
      <c r="D141" s="116" t="n">
        <f aca="false">IF(B141="","",B141-C141)</f>
        <v>-3809.73999999999</v>
      </c>
      <c r="E141" s="116" t="n">
        <f aca="false">IF(E81="","",E81+E138)</f>
        <v>-469696.73</v>
      </c>
      <c r="F141" s="116" t="n">
        <f aca="false">F81+F138</f>
        <v>-465294.64</v>
      </c>
      <c r="G141" s="116" t="n">
        <f aca="false">IF(E141="","",E141-F141)</f>
        <v>-4402.09000000003</v>
      </c>
      <c r="H141" s="116" t="n">
        <f aca="false">IF(H81="","",H81+H138)</f>
        <v>21337.2600000002</v>
      </c>
      <c r="I141" s="116" t="n">
        <f aca="false">I81+I138</f>
        <v>35842.05</v>
      </c>
      <c r="J141" s="116" t="n">
        <f aca="false">IF(H141="","",H141-I141)</f>
        <v>-14504.7899999997</v>
      </c>
      <c r="K141" s="116" t="n">
        <f aca="false">IF(K81="","",K81+K138)</f>
        <v>212136.55</v>
      </c>
      <c r="L141" s="116" t="n">
        <f aca="false">L81+L138</f>
        <v>42717.9962542703</v>
      </c>
      <c r="M141" s="116" t="n">
        <f aca="false">IF(K141="","",K141-L141)</f>
        <v>169418.55374573</v>
      </c>
      <c r="N141" s="116" t="n">
        <f aca="false">IF(N81="","",N81+N138)</f>
        <v>-188293.09</v>
      </c>
      <c r="O141" s="116" t="n">
        <f aca="false">O81+O138</f>
        <v>-29679.9204124067</v>
      </c>
      <c r="P141" s="116" t="n">
        <f aca="false">IF(N141="","",N141-O141)</f>
        <v>-158613.169587594</v>
      </c>
      <c r="Q141" s="116" t="n">
        <f aca="false">IF(Q81="","",Q81+Q138)</f>
        <v>503071.030000001</v>
      </c>
      <c r="R141" s="116" t="n">
        <f aca="false">R81+R138</f>
        <v>-59054.9204124062</v>
      </c>
      <c r="S141" s="116" t="n">
        <f aca="false">IF(Q141="","",Q141-R141)</f>
        <v>562125.950412407</v>
      </c>
      <c r="T141" s="116" t="n">
        <f aca="false">IF(T81="","",T81+T138)</f>
        <v>1326754.58</v>
      </c>
      <c r="U141" s="116" t="n">
        <f aca="false">U81+U138</f>
        <v>444413.241121246</v>
      </c>
      <c r="V141" s="116" t="n">
        <f aca="false">IF(T141="","",T141-U141)</f>
        <v>882341.338878754</v>
      </c>
      <c r="W141" s="116" t="n">
        <f aca="false">IF(W81="","",W81+W138)</f>
        <v>171785.53</v>
      </c>
      <c r="X141" s="116" t="n">
        <f aca="false">X81+X138</f>
        <v>137353.036321246</v>
      </c>
      <c r="Y141" s="116" t="n">
        <f aca="false">IF(W141="","",W141-X141)</f>
        <v>34432.4936787533</v>
      </c>
      <c r="Z141" s="116" t="n">
        <f aca="false">IF(Z81="","",Z81+Z138)</f>
        <v>-213564.89</v>
      </c>
      <c r="AA141" s="116" t="n">
        <f aca="false">AA81+AA138</f>
        <v>136519.706321246</v>
      </c>
      <c r="AB141" s="116" t="n">
        <f aca="false">IF(Z141="","",Z141-AA141)</f>
        <v>-350084.596321247</v>
      </c>
      <c r="AC141" s="116" t="str">
        <f aca="false">IF(AC81="","",AC81+AC138)</f>
        <v/>
      </c>
      <c r="AD141" s="116" t="n">
        <f aca="false">AD81+AD138</f>
        <v>441570.274956859</v>
      </c>
      <c r="AE141" s="116" t="str">
        <f aca="false">IF(AC141="","",AC141-AD141)</f>
        <v/>
      </c>
      <c r="AF141" s="116" t="str">
        <f aca="false">IF(AF81="","",AF81+AF138)</f>
        <v/>
      </c>
      <c r="AG141" s="116" t="n">
        <f aca="false">AG81+AG138</f>
        <v>463196.20896424</v>
      </c>
      <c r="AH141" s="116" t="str">
        <f aca="false">IF(AF141="","",AF141-AG141)</f>
        <v/>
      </c>
      <c r="AI141" s="116" t="str">
        <f aca="false">IF(AI81="","",AI81+AI138)</f>
        <v/>
      </c>
      <c r="AJ141" s="116" t="n">
        <f aca="false">AJ81+AJ138</f>
        <v>210821.12487815</v>
      </c>
      <c r="AK141" s="116" t="str">
        <f aca="false">IF(AI141="","",AI141-AJ141)</f>
        <v/>
      </c>
      <c r="AL141" s="116" t="n">
        <f aca="false">AL81+AL138</f>
        <v>1156972.46</v>
      </c>
      <c r="AM141" s="116" t="n">
        <f aca="false">AM81+AM138</f>
        <v>40068.5091931968</v>
      </c>
      <c r="AN141" s="116" t="n">
        <f aca="false">AL141-AM141</f>
        <v>1116903.9508068</v>
      </c>
    </row>
    <row r="142" customFormat="false" ht="15" hidden="false" customHeight="true" outlineLevel="0" collapsed="false">
      <c r="A142" s="121" t="s">
        <v>463</v>
      </c>
      <c r="B142" s="113" t="n">
        <f aca="false">IF(B141="","",Model!B308-B141)</f>
        <v>0</v>
      </c>
      <c r="C142" s="113" t="s">
        <v>464</v>
      </c>
      <c r="D142" s="113" t="n">
        <f aca="false">IF(B142="","",B142-C142)</f>
        <v>0</v>
      </c>
      <c r="E142" s="113" t="n">
        <f aca="false">IF(E141="","",Model!C308-E141)</f>
        <v>0</v>
      </c>
      <c r="F142" s="113" t="s">
        <v>464</v>
      </c>
      <c r="G142" s="113" t="n">
        <f aca="false">IF(E142="","",E142-F142)</f>
        <v>0</v>
      </c>
      <c r="H142" s="113" t="n">
        <f aca="false">IF(H141="","",Model!D308-H141)</f>
        <v>-2.3283064365387E-010</v>
      </c>
      <c r="I142" s="113" t="s">
        <v>464</v>
      </c>
      <c r="J142" s="113" t="n">
        <f aca="false">IF(H142="","",H142-I142)</f>
        <v>-2.3283064365387E-010</v>
      </c>
      <c r="K142" s="113" t="n">
        <f aca="false">IF(K141="","",Model!E308-K141)</f>
        <v>0</v>
      </c>
      <c r="L142" s="113" t="s">
        <v>464</v>
      </c>
      <c r="M142" s="113" t="n">
        <f aca="false">IF(K142="","",K142-L142)</f>
        <v>0</v>
      </c>
      <c r="N142" s="113" t="n">
        <f aca="false">IF(N141="","",Model!F308-N141)</f>
        <v>0</v>
      </c>
      <c r="O142" s="113" t="s">
        <v>464</v>
      </c>
      <c r="P142" s="113" t="n">
        <f aca="false">IF(N142="","",N142-O142)</f>
        <v>0</v>
      </c>
      <c r="Q142" s="113" t="n">
        <f aca="false">IF(Q141="","",Model!G308-Q141)</f>
        <v>0</v>
      </c>
      <c r="R142" s="113" t="s">
        <v>464</v>
      </c>
      <c r="S142" s="113" t="n">
        <f aca="false">IF(Q142="","",Q142-R142)</f>
        <v>0</v>
      </c>
      <c r="T142" s="113" t="n">
        <f aca="false">IF(T141="","",Model!H308-T141)</f>
        <v>0</v>
      </c>
      <c r="U142" s="113" t="s">
        <v>464</v>
      </c>
      <c r="V142" s="113" t="n">
        <f aca="false">IF(T142="","",T142-U142)</f>
        <v>0</v>
      </c>
      <c r="W142" s="113" t="n">
        <f aca="false">IF(W141="","",Model!I308-W141)</f>
        <v>0</v>
      </c>
      <c r="X142" s="113" t="s">
        <v>464</v>
      </c>
      <c r="Y142" s="113" t="n">
        <f aca="false">IF(W142="","",W142-X142)</f>
        <v>0</v>
      </c>
      <c r="Z142" s="113" t="n">
        <f aca="false">IF(Z141="","",Model!J308-Z141)</f>
        <v>-0.00512500019976869</v>
      </c>
      <c r="AA142" s="113" t="s">
        <v>464</v>
      </c>
      <c r="AB142" s="113" t="n">
        <f aca="false">IF(Z142="","",Z142-AA142)</f>
        <v>-0.00512500019976869</v>
      </c>
      <c r="AC142" s="113" t="str">
        <f aca="false">IF(AC141="","",Model!K308-AC141)</f>
        <v/>
      </c>
      <c r="AD142" s="113" t="s">
        <v>464</v>
      </c>
      <c r="AE142" s="113" t="str">
        <f aca="false">IF(AC142="","",AC142-AD142)</f>
        <v/>
      </c>
      <c r="AF142" s="113" t="str">
        <f aca="false">IF(AF141="","",Model!L308-AF141)</f>
        <v/>
      </c>
      <c r="AG142" s="113" t="s">
        <v>464</v>
      </c>
      <c r="AH142" s="113" t="str">
        <f aca="false">IF(AF142="","",AF142-AG142)</f>
        <v/>
      </c>
      <c r="AI142" s="113" t="str">
        <f aca="false">IF(AI141="","",Model!M308-AI141)</f>
        <v/>
      </c>
      <c r="AJ142" s="113" t="s">
        <v>464</v>
      </c>
      <c r="AK142" s="113" t="str">
        <f aca="false">IF(AI142="","",AI142-AJ142)</f>
        <v/>
      </c>
      <c r="AL142" s="116" t="n">
        <f aca="false">SUM(Model!$B308:INDEX(Model!$B308:$M308,$B$27))-AL141</f>
        <v>-0.00512500060722232</v>
      </c>
      <c r="AM142" s="116" t="s">
        <v>464</v>
      </c>
      <c r="AN142" s="116" t="n">
        <f aca="false">AL142-AM142</f>
        <v>-0.00512500060722232</v>
      </c>
    </row>
    <row r="143" customFormat="false" ht="15" hidden="false" customHeight="true" outlineLevel="0" collapsed="false">
      <c r="A143" s="115" t="s">
        <v>466</v>
      </c>
      <c r="B143" s="117" t="n">
        <f aca="false">IF(B141="","",B141+B142)</f>
        <v>-206557.78</v>
      </c>
      <c r="C143" s="117" t="n">
        <f aca="false">C141</f>
        <v>-202748.04</v>
      </c>
      <c r="D143" s="117" t="n">
        <f aca="false">IF(B143="","",B143-C143)</f>
        <v>-3809.73999999999</v>
      </c>
      <c r="E143" s="117" t="n">
        <f aca="false">IF(E141="","",E141+E142)</f>
        <v>-469696.73</v>
      </c>
      <c r="F143" s="117" t="n">
        <f aca="false">F141</f>
        <v>-465294.64</v>
      </c>
      <c r="G143" s="117" t="n">
        <f aca="false">IF(E143="","",E143-F143)</f>
        <v>-4402.09000000003</v>
      </c>
      <c r="H143" s="117" t="n">
        <f aca="false">IF(H141="","",H141+H142)</f>
        <v>21337.26</v>
      </c>
      <c r="I143" s="117" t="n">
        <f aca="false">I141</f>
        <v>35842.05</v>
      </c>
      <c r="J143" s="117" t="n">
        <f aca="false">IF(H143="","",H143-I143)</f>
        <v>-14504.79</v>
      </c>
      <c r="K143" s="117" t="n">
        <f aca="false">IF(K141="","",K141+K142)</f>
        <v>212136.55</v>
      </c>
      <c r="L143" s="117" t="n">
        <f aca="false">L141</f>
        <v>42717.9962542703</v>
      </c>
      <c r="M143" s="117" t="n">
        <f aca="false">IF(K143="","",K143-L143)</f>
        <v>169418.55374573</v>
      </c>
      <c r="N143" s="117" t="n">
        <f aca="false">IF(N141="","",N141+N142)</f>
        <v>-188293.09</v>
      </c>
      <c r="O143" s="117" t="n">
        <f aca="false">O141</f>
        <v>-29679.9204124067</v>
      </c>
      <c r="P143" s="117" t="n">
        <f aca="false">IF(N143="","",N143-O143)</f>
        <v>-158613.169587594</v>
      </c>
      <c r="Q143" s="117" t="n">
        <f aca="false">IF(Q141="","",Q141+Q142)</f>
        <v>503071.030000001</v>
      </c>
      <c r="R143" s="117" t="n">
        <f aca="false">R141</f>
        <v>-59054.9204124062</v>
      </c>
      <c r="S143" s="117" t="n">
        <f aca="false">IF(Q143="","",Q143-R143)</f>
        <v>562125.950412407</v>
      </c>
      <c r="T143" s="117" t="n">
        <f aca="false">IF(T141="","",T141+T142)</f>
        <v>1326754.58</v>
      </c>
      <c r="U143" s="117" t="n">
        <f aca="false">U141</f>
        <v>444413.241121246</v>
      </c>
      <c r="V143" s="117" t="n">
        <f aca="false">IF(T143="","",T143-U143)</f>
        <v>882341.338878754</v>
      </c>
      <c r="W143" s="117" t="n">
        <f aca="false">IF(W141="","",W141+W142)</f>
        <v>171785.53</v>
      </c>
      <c r="X143" s="117" t="n">
        <f aca="false">X141</f>
        <v>137353.036321246</v>
      </c>
      <c r="Y143" s="117" t="n">
        <f aca="false">IF(W143="","",W143-X143)</f>
        <v>34432.4936787533</v>
      </c>
      <c r="Z143" s="117" t="n">
        <f aca="false">IF(Z141="","",Z141+Z142)</f>
        <v>-213564.895125001</v>
      </c>
      <c r="AA143" s="117" t="n">
        <f aca="false">AA141</f>
        <v>136519.706321246</v>
      </c>
      <c r="AB143" s="117" t="n">
        <f aca="false">IF(Z143="","",Z143-AA143)</f>
        <v>-350084.601446247</v>
      </c>
      <c r="AC143" s="117" t="str">
        <f aca="false">IF(AC141="","",AC141+AC142)</f>
        <v/>
      </c>
      <c r="AD143" s="117" t="n">
        <f aca="false">AD141</f>
        <v>441570.274956859</v>
      </c>
      <c r="AE143" s="117" t="str">
        <f aca="false">IF(AC143="","",AC143-AD143)</f>
        <v/>
      </c>
      <c r="AF143" s="117" t="str">
        <f aca="false">IF(AF141="","",AF141+AF142)</f>
        <v/>
      </c>
      <c r="AG143" s="117" t="n">
        <f aca="false">AG141</f>
        <v>463196.20896424</v>
      </c>
      <c r="AH143" s="117" t="str">
        <f aca="false">IF(AF143="","",AF143-AG143)</f>
        <v/>
      </c>
      <c r="AI143" s="117" t="str">
        <f aca="false">IF(AI141="","",AI141+AI142)</f>
        <v/>
      </c>
      <c r="AJ143" s="117" t="n">
        <f aca="false">AJ141</f>
        <v>210821.12487815</v>
      </c>
      <c r="AK143" s="117" t="str">
        <f aca="false">IF(AI143="","",AI143-AJ143)</f>
        <v/>
      </c>
      <c r="AL143" s="117" t="n">
        <f aca="false">AL141+AL142</f>
        <v>1156972.454875</v>
      </c>
      <c r="AM143" s="117" t="n">
        <f aca="false">AM141</f>
        <v>40068.5091931968</v>
      </c>
      <c r="AN143" s="117" t="n">
        <f aca="false">AL143-AM143</f>
        <v>1116903.9456818</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498</v>
      </c>
    </row>
    <row r="2" customFormat="false" ht="15" hidden="false" customHeight="true" outlineLevel="0" collapsed="false">
      <c r="A2" s="72" t="s">
        <v>499</v>
      </c>
    </row>
    <row r="3" customFormat="false" ht="15" hidden="false" customHeight="true" outlineLevel="0" collapsed="false">
      <c r="A3" s="1" t="s">
        <v>401</v>
      </c>
      <c r="B3" s="1" t="n">
        <f aca="false">SUMPRODUCT(--(Actuals!$C$21:$N$21&lt;&gt;""))</f>
        <v>9</v>
      </c>
    </row>
    <row r="4" customFormat="false" ht="15" hidden="false" customHeight="true" outlineLevel="0" collapsed="false">
      <c r="B4" s="126" t="s">
        <v>500</v>
      </c>
      <c r="C4" s="126"/>
      <c r="D4" s="126"/>
      <c r="E4" s="126"/>
      <c r="F4" s="126" t="s">
        <v>501</v>
      </c>
      <c r="G4" s="126"/>
      <c r="H4" s="126"/>
      <c r="I4" s="126"/>
      <c r="J4" s="126" t="s">
        <v>502</v>
      </c>
      <c r="K4" s="126"/>
      <c r="L4" s="126"/>
      <c r="M4" s="126"/>
      <c r="N4" s="126" t="s">
        <v>503</v>
      </c>
      <c r="O4" s="126"/>
      <c r="P4" s="126"/>
      <c r="Q4" s="126"/>
      <c r="R4" s="126" t="s">
        <v>504</v>
      </c>
      <c r="S4" s="126"/>
      <c r="T4" s="126"/>
      <c r="U4" s="126"/>
      <c r="V4" s="126" t="s">
        <v>505</v>
      </c>
      <c r="W4" s="126"/>
      <c r="X4" s="126"/>
      <c r="Y4" s="126"/>
      <c r="Z4" s="126" t="s">
        <v>506</v>
      </c>
      <c r="AA4" s="126"/>
      <c r="AB4" s="126"/>
      <c r="AC4" s="126"/>
      <c r="AD4" s="126" t="s">
        <v>507</v>
      </c>
      <c r="AE4" s="126"/>
      <c r="AF4" s="126"/>
      <c r="AG4" s="126"/>
      <c r="AH4" s="126" t="s">
        <v>508</v>
      </c>
      <c r="AI4" s="126"/>
      <c r="AJ4" s="126"/>
      <c r="AK4" s="126"/>
      <c r="AL4" s="126" t="s">
        <v>509</v>
      </c>
      <c r="AM4" s="126"/>
      <c r="AN4" s="126"/>
      <c r="AO4" s="126"/>
      <c r="AP4" s="126" t="s">
        <v>510</v>
      </c>
      <c r="AQ4" s="126"/>
      <c r="AR4" s="126"/>
      <c r="AS4" s="126"/>
      <c r="AT4" s="126" t="s">
        <v>511</v>
      </c>
      <c r="AU4" s="126"/>
      <c r="AV4" s="126"/>
      <c r="AW4" s="126"/>
      <c r="AX4" s="127" t="s">
        <v>512</v>
      </c>
      <c r="AY4" s="127"/>
      <c r="AZ4" s="127"/>
    </row>
    <row r="5" customFormat="false" ht="15" hidden="false" customHeight="true" outlineLevel="0" collapsed="false">
      <c r="A5" s="128" t="s">
        <v>403</v>
      </c>
      <c r="B5" s="128" t="s">
        <v>405</v>
      </c>
      <c r="C5" s="128" t="s">
        <v>404</v>
      </c>
      <c r="D5" s="128" t="s">
        <v>513</v>
      </c>
      <c r="E5" s="128" t="s">
        <v>514</v>
      </c>
      <c r="F5" s="128" t="s">
        <v>405</v>
      </c>
      <c r="G5" s="128" t="s">
        <v>404</v>
      </c>
      <c r="H5" s="128" t="s">
        <v>513</v>
      </c>
      <c r="I5" s="128" t="s">
        <v>514</v>
      </c>
      <c r="J5" s="128" t="s">
        <v>405</v>
      </c>
      <c r="K5" s="128" t="s">
        <v>404</v>
      </c>
      <c r="L5" s="128" t="s">
        <v>513</v>
      </c>
      <c r="M5" s="128" t="s">
        <v>514</v>
      </c>
      <c r="N5" s="128" t="s">
        <v>405</v>
      </c>
      <c r="O5" s="128" t="s">
        <v>404</v>
      </c>
      <c r="P5" s="128" t="s">
        <v>513</v>
      </c>
      <c r="Q5" s="128" t="s">
        <v>514</v>
      </c>
      <c r="R5" s="128" t="s">
        <v>405</v>
      </c>
      <c r="S5" s="128" t="s">
        <v>404</v>
      </c>
      <c r="T5" s="128" t="s">
        <v>513</v>
      </c>
      <c r="U5" s="128" t="s">
        <v>514</v>
      </c>
      <c r="V5" s="128" t="s">
        <v>405</v>
      </c>
      <c r="W5" s="128" t="s">
        <v>404</v>
      </c>
      <c r="X5" s="128" t="s">
        <v>513</v>
      </c>
      <c r="Y5" s="128" t="s">
        <v>514</v>
      </c>
      <c r="Z5" s="128" t="s">
        <v>405</v>
      </c>
      <c r="AA5" s="128" t="s">
        <v>404</v>
      </c>
      <c r="AB5" s="128" t="s">
        <v>513</v>
      </c>
      <c r="AC5" s="128" t="s">
        <v>514</v>
      </c>
      <c r="AD5" s="128" t="s">
        <v>405</v>
      </c>
      <c r="AE5" s="128" t="s">
        <v>404</v>
      </c>
      <c r="AF5" s="128" t="s">
        <v>513</v>
      </c>
      <c r="AG5" s="128" t="s">
        <v>514</v>
      </c>
      <c r="AH5" s="128" t="s">
        <v>405</v>
      </c>
      <c r="AI5" s="128" t="s">
        <v>404</v>
      </c>
      <c r="AJ5" s="128" t="s">
        <v>513</v>
      </c>
      <c r="AK5" s="128" t="s">
        <v>514</v>
      </c>
      <c r="AL5" s="128" t="s">
        <v>405</v>
      </c>
      <c r="AM5" s="128" t="s">
        <v>404</v>
      </c>
      <c r="AN5" s="128" t="s">
        <v>513</v>
      </c>
      <c r="AO5" s="128" t="s">
        <v>514</v>
      </c>
      <c r="AP5" s="128" t="s">
        <v>405</v>
      </c>
      <c r="AQ5" s="128" t="s">
        <v>404</v>
      </c>
      <c r="AR5" s="128" t="s">
        <v>513</v>
      </c>
      <c r="AS5" s="128" t="s">
        <v>514</v>
      </c>
      <c r="AT5" s="128" t="s">
        <v>405</v>
      </c>
      <c r="AU5" s="128" t="s">
        <v>404</v>
      </c>
      <c r="AV5" s="128" t="s">
        <v>513</v>
      </c>
      <c r="AW5" s="128" t="s">
        <v>514</v>
      </c>
      <c r="AX5" s="129" t="s">
        <v>374</v>
      </c>
      <c r="AY5" s="129" t="s">
        <v>375</v>
      </c>
      <c r="AZ5" s="129" t="s">
        <v>515</v>
      </c>
    </row>
    <row r="6" customFormat="false" ht="15" hidden="false" customHeight="true" outlineLevel="0" collapsed="false">
      <c r="A6" s="130" t="s">
        <v>4</v>
      </c>
      <c r="B6" s="131" t="n">
        <f aca="false">Budget!C8</f>
        <v>189686.63</v>
      </c>
      <c r="C6" s="131" t="n">
        <f aca="false">IF(OR(1&gt;$B$3,ISBLANK(Actuals!C8)),"",Actuals!C8)</f>
        <v>116367.35</v>
      </c>
      <c r="D6" s="132" t="n">
        <f aca="false">IF(OR(1&gt;$B$3,ISBLANK(Actuals!C8)),"",Budget!C8-Actuals!C8)</f>
        <v>73319.28</v>
      </c>
      <c r="E6" s="132" t="n">
        <f aca="false">IFERROR(IF(OR(1&gt;$B$3,ISBLANK(Actuals!C8)),"",(Budget!C8-Actuals!C8)/ABS(Budget!C8)),"")</f>
        <v>0.38652845485209</v>
      </c>
      <c r="F6" s="131" t="n">
        <f aca="false">Budget!D8</f>
        <v>189686.63</v>
      </c>
      <c r="G6" s="131" t="n">
        <f aca="false">IF(OR(2&gt;$B$3,ISBLANK(Actuals!D8)),"",Actuals!D8)</f>
        <v>138804.22</v>
      </c>
      <c r="H6" s="132" t="n">
        <f aca="false">IF(OR(2&gt;$B$3,ISBLANK(Actuals!D8)),"",Budget!D8-Actuals!D8)</f>
        <v>50882.41</v>
      </c>
      <c r="I6" s="132" t="n">
        <f aca="false">IFERROR(IF(OR(2&gt;$B$3,ISBLANK(Actuals!D8)),"",(Budget!D8-Actuals!D8)/ABS(Budget!D8)),"")</f>
        <v>0.268244577912529</v>
      </c>
      <c r="J6" s="131" t="n">
        <f aca="false">Budget!E8</f>
        <v>189686.63</v>
      </c>
      <c r="K6" s="131" t="n">
        <f aca="false">IF(OR(3&gt;$B$3,ISBLANK(Actuals!E8)),"",Actuals!E8)</f>
        <v>219366.88</v>
      </c>
      <c r="L6" s="132" t="n">
        <f aca="false">IF(OR(3&gt;$B$3,ISBLANK(Actuals!E8)),"",Budget!E8-Actuals!E8)</f>
        <v>-29680.25</v>
      </c>
      <c r="M6" s="132" t="n">
        <f aca="false">IFERROR(IF(OR(3&gt;$B$3,ISBLANK(Actuals!E8)),"",(Budget!E8-Actuals!E8)/ABS(Budget!E8)),"")</f>
        <v>-0.156469910399062</v>
      </c>
      <c r="N6" s="131" t="n">
        <f aca="false">Budget!F8</f>
        <v>189686.63</v>
      </c>
      <c r="O6" s="131" t="n">
        <f aca="false">IF(OR(4&gt;$B$3,ISBLANK(Actuals!F8)),"",Actuals!F8)</f>
        <v>212079.14</v>
      </c>
      <c r="P6" s="132" t="n">
        <f aca="false">IF(OR(4&gt;$B$3,ISBLANK(Actuals!F8)),"",Budget!F8-Actuals!F8)</f>
        <v>-22392.51</v>
      </c>
      <c r="Q6" s="132" t="n">
        <f aca="false">IFERROR(IF(OR(4&gt;$B$3,ISBLANK(Actuals!F8)),"",(Budget!F8-Actuals!F8)/ABS(Budget!F8)),"")</f>
        <v>-0.118050017547362</v>
      </c>
      <c r="R6" s="131" t="n">
        <f aca="false">Budget!G8</f>
        <v>293206.86</v>
      </c>
      <c r="S6" s="131" t="n">
        <f aca="false">IF(OR(5&gt;$B$3,ISBLANK(Actuals!G8)),"",Actuals!G8)</f>
        <v>267726.14</v>
      </c>
      <c r="T6" s="132" t="n">
        <f aca="false">IF(OR(5&gt;$B$3,ISBLANK(Actuals!G8)),"",Budget!G8-Actuals!G8)</f>
        <v>25480.72</v>
      </c>
      <c r="U6" s="132" t="n">
        <f aca="false">IFERROR(IF(OR(5&gt;$B$3,ISBLANK(Actuals!G8)),"",(Budget!G8-Actuals!G8)/ABS(Budget!G8)),"")</f>
        <v>0.0869035601690901</v>
      </c>
      <c r="V6" s="131" t="n">
        <f aca="false">Budget!H8</f>
        <v>293206.86</v>
      </c>
      <c r="W6" s="131" t="n">
        <f aca="false">IF(OR(6&gt;$B$3,ISBLANK(Actuals!H8)),"",Actuals!H8)</f>
        <v>374773.89</v>
      </c>
      <c r="X6" s="132" t="n">
        <f aca="false">IF(OR(6&gt;$B$3,ISBLANK(Actuals!H8)),"",Budget!H8-Actuals!H8)</f>
        <v>-81567.03</v>
      </c>
      <c r="Y6" s="132" t="n">
        <f aca="false">IFERROR(IF(OR(6&gt;$B$3,ISBLANK(Actuals!H8)),"",(Budget!H8-Actuals!H8)/ABS(Budget!H8)),"")</f>
        <v>-0.27818936432797</v>
      </c>
      <c r="Z6" s="131" t="n">
        <f aca="false">Budget!I8</f>
        <v>293206.86</v>
      </c>
      <c r="AA6" s="131" t="n">
        <f aca="false">IF(OR(7&gt;$B$3,ISBLANK(Actuals!I8)),"",Actuals!I8)</f>
        <v>344954.34</v>
      </c>
      <c r="AB6" s="132" t="n">
        <f aca="false">IF(OR(7&gt;$B$3,ISBLANK(Actuals!I8)),"",Budget!I8-Actuals!I8)</f>
        <v>-51747.48</v>
      </c>
      <c r="AC6" s="132" t="n">
        <f aca="false">IFERROR(IF(OR(7&gt;$B$3,ISBLANK(Actuals!I8)),"",(Budget!I8-Actuals!I8)/ABS(Budget!I8)),"")</f>
        <v>-0.176487958023902</v>
      </c>
      <c r="AD6" s="131" t="n">
        <f aca="false">Budget!J8</f>
        <v>293206.86</v>
      </c>
      <c r="AE6" s="131" t="n">
        <f aca="false">IF(OR(8&gt;$B$3,ISBLANK(Actuals!J8)),"",Actuals!J8)</f>
        <v>470819.03</v>
      </c>
      <c r="AF6" s="132" t="n">
        <f aca="false">IF(OR(8&gt;$B$3,ISBLANK(Actuals!J8)),"",Budget!J8-Actuals!J8)</f>
        <v>-177612.17</v>
      </c>
      <c r="AG6" s="132" t="n">
        <f aca="false">IFERROR(IF(OR(8&gt;$B$3,ISBLANK(Actuals!J8)),"",(Budget!J8-Actuals!J8)/ABS(Budget!J8)),"")</f>
        <v>-0.605757211819669</v>
      </c>
      <c r="AH6" s="131" t="n">
        <f aca="false">Budget!K8</f>
        <v>293206.86</v>
      </c>
      <c r="AI6" s="131" t="n">
        <f aca="false">IF(OR(9&gt;$B$3,ISBLANK(Actuals!K8)),"",Actuals!K8)</f>
        <v>424100.15</v>
      </c>
      <c r="AJ6" s="132" t="n">
        <f aca="false">IF(OR(9&gt;$B$3,ISBLANK(Actuals!K8)),"",Budget!K8-Actuals!K8)</f>
        <v>-130893.29</v>
      </c>
      <c r="AK6" s="132" t="n">
        <f aca="false">IFERROR(IF(OR(9&gt;$B$3,ISBLANK(Actuals!K8)),"",(Budget!K8-Actuals!K8)/ABS(Budget!K8)),"")</f>
        <v>-0.446419602870138</v>
      </c>
      <c r="AL6" s="131" t="n">
        <f aca="false">Budget!L8</f>
        <v>293206.86</v>
      </c>
      <c r="AM6" s="131" t="str">
        <f aca="false">IF(OR(10&gt;$B$3,ISBLANK(Actuals!L8)),"",Actuals!L8)</f>
        <v/>
      </c>
      <c r="AN6" s="132" t="str">
        <f aca="false">IF(OR(10&gt;$B$3,ISBLANK(Actuals!L8)),"",Budget!L8-Actuals!L8)</f>
        <v/>
      </c>
      <c r="AO6" s="132" t="str">
        <f aca="false">IFERROR(IF(OR(10&gt;$B$3,ISBLANK(Actuals!L8)),"",(Budget!L8-Actuals!L8)/ABS(Budget!L8)),"")</f>
        <v/>
      </c>
      <c r="AP6" s="131" t="n">
        <f aca="false">Budget!M8</f>
        <v>293206.86</v>
      </c>
      <c r="AQ6" s="131" t="str">
        <f aca="false">IF(OR(11&gt;$B$3,ISBLANK(Actuals!M8)),"",Actuals!M8)</f>
        <v/>
      </c>
      <c r="AR6" s="132" t="str">
        <f aca="false">IF(OR(11&gt;$B$3,ISBLANK(Actuals!M8)),"",Budget!M8-Actuals!M8)</f>
        <v/>
      </c>
      <c r="AS6" s="132" t="str">
        <f aca="false">IFERROR(IF(OR(11&gt;$B$3,ISBLANK(Actuals!M8)),"",(Budget!M8-Actuals!M8)/ABS(Budget!M8)),"")</f>
        <v/>
      </c>
      <c r="AT6" s="131" t="n">
        <f aca="false">Budget!N8</f>
        <v>260706.85</v>
      </c>
      <c r="AU6" s="131" t="str">
        <f aca="false">IF(OR(12&gt;$B$3,ISBLANK(Actuals!N8)),"",Actuals!N8)</f>
        <v/>
      </c>
      <c r="AV6" s="132" t="str">
        <f aca="false">IF(OR(12&gt;$B$3,ISBLANK(Actuals!N8)),"",Budget!N8-Actuals!N8)</f>
        <v/>
      </c>
      <c r="AW6" s="132" t="str">
        <f aca="false">IFERROR(IF(OR(12&gt;$B$3,ISBLANK(Actuals!N8)),"",(Budget!N8-Actuals!N8)/ABS(Budget!N8)),"")</f>
        <v/>
      </c>
      <c r="AX6" s="133" t="n">
        <f aca="false">SUMPRODUCT((Actuals!C8:N8&lt;&gt;"")*(Budget!C8:N8))</f>
        <v>2224780.82</v>
      </c>
      <c r="AY6" s="133" t="n">
        <f aca="false">SUM(Actuals!C8:N8)</f>
        <v>2568991.14</v>
      </c>
      <c r="AZ6" s="134" t="n">
        <f aca="false">AX6-AY6</f>
        <v>-344210.32</v>
      </c>
    </row>
    <row r="7" customFormat="false" ht="15" hidden="false" customHeight="true" outlineLevel="0" collapsed="false">
      <c r="A7" s="130" t="s">
        <v>354</v>
      </c>
      <c r="B7" s="131" t="n">
        <f aca="false">Budget!C9</f>
        <v>0</v>
      </c>
      <c r="C7" s="131" t="n">
        <f aca="false">IF(OR(1&gt;$B$3,ISBLANK(Actuals!C9)),"",Actuals!C9)</f>
        <v>0</v>
      </c>
      <c r="D7" s="132" t="n">
        <f aca="false">IF(OR(1&gt;$B$3,ISBLANK(Actuals!C9)),"",Budget!C9-Actuals!C9)</f>
        <v>0</v>
      </c>
      <c r="E7" s="132" t="str">
        <f aca="false">IFERROR(IF(OR(1&gt;$B$3,ISBLANK(Actuals!C9)),"",(Budget!C9-Actuals!C9)/ABS(Budget!C9)),"")</f>
        <v/>
      </c>
      <c r="F7" s="131" t="n">
        <f aca="false">Budget!D9</f>
        <v>0</v>
      </c>
      <c r="G7" s="131" t="n">
        <f aca="false">IF(OR(2&gt;$B$3,ISBLANK(Actuals!D9)),"",Actuals!D9)</f>
        <v>0</v>
      </c>
      <c r="H7" s="132" t="n">
        <f aca="false">IF(OR(2&gt;$B$3,ISBLANK(Actuals!D9)),"",Budget!D9-Actuals!D9)</f>
        <v>0</v>
      </c>
      <c r="I7" s="132" t="str">
        <f aca="false">IFERROR(IF(OR(2&gt;$B$3,ISBLANK(Actuals!D9)),"",(Budget!D9-Actuals!D9)/ABS(Budget!D9)),"")</f>
        <v/>
      </c>
      <c r="J7" s="131" t="n">
        <f aca="false">Budget!E9</f>
        <v>0</v>
      </c>
      <c r="K7" s="131" t="n">
        <f aca="false">IF(OR(3&gt;$B$3,ISBLANK(Actuals!E9)),"",Actuals!E9)</f>
        <v>0</v>
      </c>
      <c r="L7" s="132" t="n">
        <f aca="false">IF(OR(3&gt;$B$3,ISBLANK(Actuals!E9)),"",Budget!E9-Actuals!E9)</f>
        <v>0</v>
      </c>
      <c r="M7" s="132" t="str">
        <f aca="false">IFERROR(IF(OR(3&gt;$B$3,ISBLANK(Actuals!E9)),"",(Budget!E9-Actuals!E9)/ABS(Budget!E9)),"")</f>
        <v/>
      </c>
      <c r="N7" s="131" t="n">
        <f aca="false">Budget!F9</f>
        <v>0</v>
      </c>
      <c r="O7" s="131" t="n">
        <f aca="false">IF(OR(4&gt;$B$3,ISBLANK(Actuals!F9)),"",Actuals!F9)</f>
        <v>0</v>
      </c>
      <c r="P7" s="132" t="n">
        <f aca="false">IF(OR(4&gt;$B$3,ISBLANK(Actuals!F9)),"",Budget!F9-Actuals!F9)</f>
        <v>0</v>
      </c>
      <c r="Q7" s="132" t="str">
        <f aca="false">IFERROR(IF(OR(4&gt;$B$3,ISBLANK(Actuals!F9)),"",(Budget!F9-Actuals!F9)/ABS(Budget!F9)),"")</f>
        <v/>
      </c>
      <c r="R7" s="131" t="n">
        <f aca="false">Budget!G9</f>
        <v>0</v>
      </c>
      <c r="S7" s="131" t="n">
        <f aca="false">IF(OR(5&gt;$B$3,ISBLANK(Actuals!G9)),"",Actuals!G9)</f>
        <v>0</v>
      </c>
      <c r="T7" s="132" t="n">
        <f aca="false">IF(OR(5&gt;$B$3,ISBLANK(Actuals!G9)),"",Budget!G9-Actuals!G9)</f>
        <v>0</v>
      </c>
      <c r="U7" s="132" t="str">
        <f aca="false">IFERROR(IF(OR(5&gt;$B$3,ISBLANK(Actuals!G9)),"",(Budget!G9-Actuals!G9)/ABS(Budget!G9)),"")</f>
        <v/>
      </c>
      <c r="V7" s="131" t="n">
        <f aca="false">Budget!H9</f>
        <v>0</v>
      </c>
      <c r="W7" s="131" t="n">
        <f aca="false">IF(OR(6&gt;$B$3,ISBLANK(Actuals!H9)),"",Actuals!H9)</f>
        <v>0</v>
      </c>
      <c r="X7" s="132" t="n">
        <f aca="false">IF(OR(6&gt;$B$3,ISBLANK(Actuals!H9)),"",Budget!H9-Actuals!H9)</f>
        <v>0</v>
      </c>
      <c r="Y7" s="132" t="str">
        <f aca="false">IFERROR(IF(OR(6&gt;$B$3,ISBLANK(Actuals!H9)),"",(Budget!H9-Actuals!H9)/ABS(Budget!H9)),"")</f>
        <v/>
      </c>
      <c r="Z7" s="131" t="n">
        <f aca="false">Budget!I9</f>
        <v>0</v>
      </c>
      <c r="AA7" s="131" t="n">
        <f aca="false">IF(OR(7&gt;$B$3,ISBLANK(Actuals!I9)),"",Actuals!I9)</f>
        <v>0</v>
      </c>
      <c r="AB7" s="132" t="n">
        <f aca="false">IF(OR(7&gt;$B$3,ISBLANK(Actuals!I9)),"",Budget!I9-Actuals!I9)</f>
        <v>0</v>
      </c>
      <c r="AC7" s="132" t="str">
        <f aca="false">IFERROR(IF(OR(7&gt;$B$3,ISBLANK(Actuals!I9)),"",(Budget!I9-Actuals!I9)/ABS(Budget!I9)),"")</f>
        <v/>
      </c>
      <c r="AD7" s="131" t="n">
        <f aca="false">Budget!J9</f>
        <v>0</v>
      </c>
      <c r="AE7" s="131" t="n">
        <f aca="false">IF(OR(8&gt;$B$3,ISBLANK(Actuals!J9)),"",Actuals!J9)</f>
        <v>0</v>
      </c>
      <c r="AF7" s="132" t="n">
        <f aca="false">IF(OR(8&gt;$B$3,ISBLANK(Actuals!J9)),"",Budget!J9-Actuals!J9)</f>
        <v>0</v>
      </c>
      <c r="AG7" s="132" t="str">
        <f aca="false">IFERROR(IF(OR(8&gt;$B$3,ISBLANK(Actuals!J9)),"",(Budget!J9-Actuals!J9)/ABS(Budget!J9)),"")</f>
        <v/>
      </c>
      <c r="AH7" s="131" t="n">
        <f aca="false">Budget!K9</f>
        <v>0</v>
      </c>
      <c r="AI7" s="131" t="n">
        <f aca="false">IF(OR(9&gt;$B$3,ISBLANK(Actuals!K9)),"",Actuals!K9)</f>
        <v>0</v>
      </c>
      <c r="AJ7" s="132" t="n">
        <f aca="false">IF(OR(9&gt;$B$3,ISBLANK(Actuals!K9)),"",Budget!K9-Actuals!K9)</f>
        <v>0</v>
      </c>
      <c r="AK7" s="132" t="str">
        <f aca="false">IFERROR(IF(OR(9&gt;$B$3,ISBLANK(Actuals!K9)),"",(Budget!K9-Actuals!K9)/ABS(Budget!K9)),"")</f>
        <v/>
      </c>
      <c r="AL7" s="131" t="n">
        <f aca="false">Budget!L9</f>
        <v>0</v>
      </c>
      <c r="AM7" s="131" t="str">
        <f aca="false">IF(OR(10&gt;$B$3,ISBLANK(Actuals!L9)),"",Actuals!L9)</f>
        <v/>
      </c>
      <c r="AN7" s="132" t="str">
        <f aca="false">IF(OR(10&gt;$B$3,ISBLANK(Actuals!L9)),"",Budget!L9-Actuals!L9)</f>
        <v/>
      </c>
      <c r="AO7" s="132" t="str">
        <f aca="false">IFERROR(IF(OR(10&gt;$B$3,ISBLANK(Actuals!L9)),"",(Budget!L9-Actuals!L9)/ABS(Budget!L9)),"")</f>
        <v/>
      </c>
      <c r="AP7" s="131" t="n">
        <f aca="false">Budget!M9</f>
        <v>0</v>
      </c>
      <c r="AQ7" s="131" t="str">
        <f aca="false">IF(OR(11&gt;$B$3,ISBLANK(Actuals!M9)),"",Actuals!M9)</f>
        <v/>
      </c>
      <c r="AR7" s="132" t="str">
        <f aca="false">IF(OR(11&gt;$B$3,ISBLANK(Actuals!M9)),"",Budget!M9-Actuals!M9)</f>
        <v/>
      </c>
      <c r="AS7" s="132" t="str">
        <f aca="false">IFERROR(IF(OR(11&gt;$B$3,ISBLANK(Actuals!M9)),"",(Budget!M9-Actuals!M9)/ABS(Budget!M9)),"")</f>
        <v/>
      </c>
      <c r="AT7" s="131" t="n">
        <f aca="false">Budget!N9</f>
        <v>0</v>
      </c>
      <c r="AU7" s="131" t="str">
        <f aca="false">IF(OR(12&gt;$B$3,ISBLANK(Actuals!N9)),"",Actuals!N9)</f>
        <v/>
      </c>
      <c r="AV7" s="132" t="str">
        <f aca="false">IF(OR(12&gt;$B$3,ISBLANK(Actuals!N9)),"",Budget!N9-Actuals!N9)</f>
        <v/>
      </c>
      <c r="AW7" s="132" t="str">
        <f aca="false">IFERROR(IF(OR(12&gt;$B$3,ISBLANK(Actuals!N9)),"",(Budget!N9-Actuals!N9)/ABS(Budget!N9)),"")</f>
        <v/>
      </c>
      <c r="AX7" s="133" t="n">
        <f aca="false">SUMPRODUCT((Actuals!C9:N9&lt;&gt;"")*(Budget!C9:N9))</f>
        <v>0</v>
      </c>
      <c r="AY7" s="133" t="n">
        <f aca="false">SUM(Actuals!C9:N9)</f>
        <v>0</v>
      </c>
      <c r="AZ7" s="134" t="n">
        <f aca="false">AX7-AY7</f>
        <v>0</v>
      </c>
    </row>
    <row r="8" customFormat="false" ht="15" hidden="false" customHeight="true" outlineLevel="0" collapsed="false">
      <c r="A8" s="130" t="s">
        <v>5</v>
      </c>
      <c r="B8" s="131" t="n">
        <f aca="false">Budget!C10</f>
        <v>134573.26</v>
      </c>
      <c r="C8" s="131" t="n">
        <f aca="false">IF(OR(1&gt;$B$3,ISBLANK(Actuals!C10)),"",Actuals!C10)</f>
        <v>95370.25</v>
      </c>
      <c r="D8" s="132" t="n">
        <f aca="false">IF(OR(1&gt;$B$3,ISBLANK(Actuals!C10)),"",Budget!C10-Actuals!C10)</f>
        <v>39203.01</v>
      </c>
      <c r="E8" s="132" t="n">
        <f aca="false">IFERROR(IF(OR(1&gt;$B$3,ISBLANK(Actuals!C10)),"",(Budget!C10-Actuals!C10)/ABS(Budget!C10)),"")</f>
        <v>0.291313519491168</v>
      </c>
      <c r="F8" s="131" t="n">
        <f aca="false">Budget!D10</f>
        <v>149817.92</v>
      </c>
      <c r="G8" s="131" t="n">
        <f aca="false">IF(OR(2&gt;$B$3,ISBLANK(Actuals!D10)),"",Actuals!D10)</f>
        <v>173282.89</v>
      </c>
      <c r="H8" s="132" t="n">
        <f aca="false">IF(OR(2&gt;$B$3,ISBLANK(Actuals!D10)),"",Budget!D10-Actuals!D10)</f>
        <v>-23464.97</v>
      </c>
      <c r="I8" s="132" t="n">
        <f aca="false">IFERROR(IF(OR(2&gt;$B$3,ISBLANK(Actuals!D10)),"",(Budget!D10-Actuals!D10)/ABS(Budget!D10)),"")</f>
        <v>-0.156623253079471</v>
      </c>
      <c r="J8" s="131" t="n">
        <f aca="false">Budget!E10</f>
        <v>164993.33</v>
      </c>
      <c r="K8" s="131" t="n">
        <f aca="false">IF(OR(3&gt;$B$3,ISBLANK(Actuals!E10)),"",Actuals!E10)</f>
        <v>50438.85</v>
      </c>
      <c r="L8" s="132" t="n">
        <f aca="false">IF(OR(3&gt;$B$3,ISBLANK(Actuals!E10)),"",Budget!E10-Actuals!E10)</f>
        <v>114554.48</v>
      </c>
      <c r="M8" s="132" t="n">
        <f aca="false">IFERROR(IF(OR(3&gt;$B$3,ISBLANK(Actuals!E10)),"",(Budget!E10-Actuals!E10)/ABS(Budget!E10)),"")</f>
        <v>0.694297642213779</v>
      </c>
      <c r="N8" s="131" t="n">
        <f aca="false">Budget!F10</f>
        <v>179495.73</v>
      </c>
      <c r="O8" s="131" t="n">
        <f aca="false">IF(OR(4&gt;$B$3,ISBLANK(Actuals!F10)),"",Actuals!F10)</f>
        <v>167518.85</v>
      </c>
      <c r="P8" s="132" t="n">
        <f aca="false">IF(OR(4&gt;$B$3,ISBLANK(Actuals!F10)),"",Budget!F10-Actuals!F10)</f>
        <v>11976.88</v>
      </c>
      <c r="Q8" s="132" t="n">
        <f aca="false">IFERROR(IF(OR(4&gt;$B$3,ISBLANK(Actuals!F10)),"",(Budget!F10-Actuals!F10)/ABS(Budget!F10)),"")</f>
        <v>0.0667251527376167</v>
      </c>
      <c r="R8" s="131" t="n">
        <f aca="false">Budget!G10</f>
        <v>230135.69</v>
      </c>
      <c r="S8" s="131" t="n">
        <f aca="false">IF(OR(5&gt;$B$3,ISBLANK(Actuals!G10)),"",Actuals!G10)</f>
        <v>209057.26</v>
      </c>
      <c r="T8" s="132" t="n">
        <f aca="false">IF(OR(5&gt;$B$3,ISBLANK(Actuals!G10)),"",Budget!G10-Actuals!G10)</f>
        <v>21078.43</v>
      </c>
      <c r="U8" s="132" t="n">
        <f aca="false">IFERROR(IF(OR(5&gt;$B$3,ISBLANK(Actuals!G10)),"",(Budget!G10-Actuals!G10)/ABS(Budget!G10)),"")</f>
        <v>0.0915913129336871</v>
      </c>
      <c r="V8" s="131" t="n">
        <f aca="false">Budget!H10</f>
        <v>246811.27</v>
      </c>
      <c r="W8" s="131" t="n">
        <f aca="false">IF(OR(6&gt;$B$3,ISBLANK(Actuals!H10)),"",Actuals!H10)</f>
        <v>292966.36</v>
      </c>
      <c r="X8" s="132" t="n">
        <f aca="false">IF(OR(6&gt;$B$3,ISBLANK(Actuals!H10)),"",Budget!H10-Actuals!H10)</f>
        <v>-46155.09</v>
      </c>
      <c r="Y8" s="132" t="n">
        <f aca="false">IFERROR(IF(OR(6&gt;$B$3,ISBLANK(Actuals!H10)),"",(Budget!H10-Actuals!H10)/ABS(Budget!H10)),"")</f>
        <v>-0.187005601486512</v>
      </c>
      <c r="Z8" s="131" t="n">
        <f aca="false">Budget!I10</f>
        <v>261045.09</v>
      </c>
      <c r="AA8" s="131" t="n">
        <f aca="false">IF(OR(7&gt;$B$3,ISBLANK(Actuals!I10)),"",Actuals!I10)</f>
        <v>271584.24</v>
      </c>
      <c r="AB8" s="132" t="n">
        <f aca="false">IF(OR(7&gt;$B$3,ISBLANK(Actuals!I10)),"",Budget!I10-Actuals!I10)</f>
        <v>-10539.15</v>
      </c>
      <c r="AC8" s="132" t="n">
        <f aca="false">IFERROR(IF(OR(7&gt;$B$3,ISBLANK(Actuals!I10)),"",(Budget!I10-Actuals!I10)/ABS(Budget!I10)),"")</f>
        <v>-0.0403729102891765</v>
      </c>
      <c r="AD8" s="131" t="n">
        <f aca="false">Budget!J10</f>
        <v>272157.23</v>
      </c>
      <c r="AE8" s="131" t="n">
        <f aca="false">IF(OR(8&gt;$B$3,ISBLANK(Actuals!J10)),"",Actuals!J10)</f>
        <v>289785.36</v>
      </c>
      <c r="AF8" s="132" t="n">
        <f aca="false">IF(OR(8&gt;$B$3,ISBLANK(Actuals!J10)),"",Budget!J10-Actuals!J10)</f>
        <v>-17628.13</v>
      </c>
      <c r="AG8" s="132" t="n">
        <f aca="false">IFERROR(IF(OR(8&gt;$B$3,ISBLANK(Actuals!J10)),"",(Budget!J10-Actuals!J10)/ABS(Budget!J10)),"")</f>
        <v>-0.0647718600016616</v>
      </c>
      <c r="AH8" s="131" t="n">
        <f aca="false">Budget!K10</f>
        <v>279616.59</v>
      </c>
      <c r="AI8" s="131" t="n">
        <f aca="false">IF(OR(9&gt;$B$3,ISBLANK(Actuals!K10)),"",Actuals!K10)</f>
        <v>325922.51</v>
      </c>
      <c r="AJ8" s="132" t="n">
        <f aca="false">IF(OR(9&gt;$B$3,ISBLANK(Actuals!K10)),"",Budget!K10-Actuals!K10)</f>
        <v>-46305.92</v>
      </c>
      <c r="AK8" s="132" t="n">
        <f aca="false">IFERROR(IF(OR(9&gt;$B$3,ISBLANK(Actuals!K10)),"",(Budget!K10-Actuals!K10)/ABS(Budget!K10)),"")</f>
        <v>-0.165605052261026</v>
      </c>
      <c r="AL8" s="131" t="n">
        <f aca="false">Budget!L10</f>
        <v>283097.52</v>
      </c>
      <c r="AM8" s="131" t="str">
        <f aca="false">IF(OR(10&gt;$B$3,ISBLANK(Actuals!L10)),"",Actuals!L10)</f>
        <v/>
      </c>
      <c r="AN8" s="132" t="str">
        <f aca="false">IF(OR(10&gt;$B$3,ISBLANK(Actuals!L10)),"",Budget!L10-Actuals!L10)</f>
        <v/>
      </c>
      <c r="AO8" s="132" t="str">
        <f aca="false">IFERROR(IF(OR(10&gt;$B$3,ISBLANK(Actuals!L10)),"",(Budget!L10-Actuals!L10)/ABS(Budget!L10)),"")</f>
        <v/>
      </c>
      <c r="AP8" s="131" t="n">
        <f aca="false">Budget!M10</f>
        <v>282514.62</v>
      </c>
      <c r="AQ8" s="131" t="str">
        <f aca="false">IF(OR(11&gt;$B$3,ISBLANK(Actuals!M10)),"",Actuals!M10)</f>
        <v/>
      </c>
      <c r="AR8" s="132" t="str">
        <f aca="false">IF(OR(11&gt;$B$3,ISBLANK(Actuals!M10)),"",Budget!M10-Actuals!M10)</f>
        <v/>
      </c>
      <c r="AS8" s="132" t="str">
        <f aca="false">IFERROR(IF(OR(11&gt;$B$3,ISBLANK(Actuals!M10)),"",(Budget!M10-Actuals!M10)/ABS(Budget!M10)),"")</f>
        <v/>
      </c>
      <c r="AT8" s="131" t="n">
        <f aca="false">Budget!N10</f>
        <v>266132.31</v>
      </c>
      <c r="AU8" s="131" t="str">
        <f aca="false">IF(OR(12&gt;$B$3,ISBLANK(Actuals!N10)),"",Actuals!N10)</f>
        <v/>
      </c>
      <c r="AV8" s="132" t="str">
        <f aca="false">IF(OR(12&gt;$B$3,ISBLANK(Actuals!N10)),"",Budget!N10-Actuals!N10)</f>
        <v/>
      </c>
      <c r="AW8" s="132" t="str">
        <f aca="false">IFERROR(IF(OR(12&gt;$B$3,ISBLANK(Actuals!N10)),"",(Budget!N10-Actuals!N10)/ABS(Budget!N10)),"")</f>
        <v/>
      </c>
      <c r="AX8" s="133" t="n">
        <f aca="false">SUMPRODUCT((Actuals!C10:N10&lt;&gt;"")*(Budget!C10:N10))</f>
        <v>1918646.11</v>
      </c>
      <c r="AY8" s="133" t="n">
        <f aca="false">SUM(Actuals!C10:N10)</f>
        <v>1875926.57</v>
      </c>
      <c r="AZ8" s="134" t="n">
        <f aca="false">AX8-AY8</f>
        <v>42719.54</v>
      </c>
    </row>
    <row r="9" customFormat="false" ht="15" hidden="false" customHeight="true" outlineLevel="0" collapsed="false">
      <c r="A9" s="130" t="s">
        <v>355</v>
      </c>
      <c r="B9" s="131" t="n">
        <f aca="false">Budget!C11</f>
        <v>0</v>
      </c>
      <c r="C9" s="131" t="n">
        <f aca="false">IF(OR(1&gt;$B$3,ISBLANK(Actuals!C11)),"",Actuals!C11)</f>
        <v>0</v>
      </c>
      <c r="D9" s="132" t="n">
        <f aca="false">IF(OR(1&gt;$B$3,ISBLANK(Actuals!C11)),"",Budget!C11-Actuals!C11)</f>
        <v>0</v>
      </c>
      <c r="E9" s="132" t="str">
        <f aca="false">IFERROR(IF(OR(1&gt;$B$3,ISBLANK(Actuals!C11)),"",(Budget!C11-Actuals!C11)/ABS(Budget!C11)),"")</f>
        <v/>
      </c>
      <c r="F9" s="131" t="n">
        <f aca="false">Budget!D11</f>
        <v>0</v>
      </c>
      <c r="G9" s="131" t="n">
        <f aca="false">IF(OR(2&gt;$B$3,ISBLANK(Actuals!D11)),"",Actuals!D11)</f>
        <v>0</v>
      </c>
      <c r="H9" s="132" t="n">
        <f aca="false">IF(OR(2&gt;$B$3,ISBLANK(Actuals!D11)),"",Budget!D11-Actuals!D11)</f>
        <v>0</v>
      </c>
      <c r="I9" s="132" t="str">
        <f aca="false">IFERROR(IF(OR(2&gt;$B$3,ISBLANK(Actuals!D11)),"",(Budget!D11-Actuals!D11)/ABS(Budget!D11)),"")</f>
        <v/>
      </c>
      <c r="J9" s="131" t="n">
        <f aca="false">Budget!E11</f>
        <v>0</v>
      </c>
      <c r="K9" s="131" t="n">
        <f aca="false">IF(OR(3&gt;$B$3,ISBLANK(Actuals!E11)),"",Actuals!E11)</f>
        <v>0</v>
      </c>
      <c r="L9" s="132" t="n">
        <f aca="false">IF(OR(3&gt;$B$3,ISBLANK(Actuals!E11)),"",Budget!E11-Actuals!E11)</f>
        <v>0</v>
      </c>
      <c r="M9" s="132" t="str">
        <f aca="false">IFERROR(IF(OR(3&gt;$B$3,ISBLANK(Actuals!E11)),"",(Budget!E11-Actuals!E11)/ABS(Budget!E11)),"")</f>
        <v/>
      </c>
      <c r="N9" s="131" t="n">
        <f aca="false">Budget!F11</f>
        <v>0</v>
      </c>
      <c r="O9" s="131" t="n">
        <f aca="false">IF(OR(4&gt;$B$3,ISBLANK(Actuals!F11)),"",Actuals!F11)</f>
        <v>0</v>
      </c>
      <c r="P9" s="132" t="n">
        <f aca="false">IF(OR(4&gt;$B$3,ISBLANK(Actuals!F11)),"",Budget!F11-Actuals!F11)</f>
        <v>0</v>
      </c>
      <c r="Q9" s="132" t="str">
        <f aca="false">IFERROR(IF(OR(4&gt;$B$3,ISBLANK(Actuals!F11)),"",(Budget!F11-Actuals!F11)/ABS(Budget!F11)),"")</f>
        <v/>
      </c>
      <c r="R9" s="131" t="n">
        <f aca="false">Budget!G11</f>
        <v>0</v>
      </c>
      <c r="S9" s="131" t="n">
        <f aca="false">IF(OR(5&gt;$B$3,ISBLANK(Actuals!G11)),"",Actuals!G11)</f>
        <v>0</v>
      </c>
      <c r="T9" s="132" t="n">
        <f aca="false">IF(OR(5&gt;$B$3,ISBLANK(Actuals!G11)),"",Budget!G11-Actuals!G11)</f>
        <v>0</v>
      </c>
      <c r="U9" s="132" t="str">
        <f aca="false">IFERROR(IF(OR(5&gt;$B$3,ISBLANK(Actuals!G11)),"",(Budget!G11-Actuals!G11)/ABS(Budget!G11)),"")</f>
        <v/>
      </c>
      <c r="V9" s="131" t="n">
        <f aca="false">Budget!H11</f>
        <v>0</v>
      </c>
      <c r="W9" s="131" t="n">
        <f aca="false">IF(OR(6&gt;$B$3,ISBLANK(Actuals!H11)),"",Actuals!H11)</f>
        <v>0</v>
      </c>
      <c r="X9" s="132" t="n">
        <f aca="false">IF(OR(6&gt;$B$3,ISBLANK(Actuals!H11)),"",Budget!H11-Actuals!H11)</f>
        <v>0</v>
      </c>
      <c r="Y9" s="132" t="str">
        <f aca="false">IFERROR(IF(OR(6&gt;$B$3,ISBLANK(Actuals!H11)),"",(Budget!H11-Actuals!H11)/ABS(Budget!H11)),"")</f>
        <v/>
      </c>
      <c r="Z9" s="131" t="n">
        <f aca="false">Budget!I11</f>
        <v>0</v>
      </c>
      <c r="AA9" s="131" t="n">
        <f aca="false">IF(OR(7&gt;$B$3,ISBLANK(Actuals!I11)),"",Actuals!I11)</f>
        <v>0</v>
      </c>
      <c r="AB9" s="132" t="n">
        <f aca="false">IF(OR(7&gt;$B$3,ISBLANK(Actuals!I11)),"",Budget!I11-Actuals!I11)</f>
        <v>0</v>
      </c>
      <c r="AC9" s="132" t="str">
        <f aca="false">IFERROR(IF(OR(7&gt;$B$3,ISBLANK(Actuals!I11)),"",(Budget!I11-Actuals!I11)/ABS(Budget!I11)),"")</f>
        <v/>
      </c>
      <c r="AD9" s="131" t="n">
        <f aca="false">Budget!J11</f>
        <v>0</v>
      </c>
      <c r="AE9" s="131" t="n">
        <f aca="false">IF(OR(8&gt;$B$3,ISBLANK(Actuals!J11)),"",Actuals!J11)</f>
        <v>0</v>
      </c>
      <c r="AF9" s="132" t="n">
        <f aca="false">IF(OR(8&gt;$B$3,ISBLANK(Actuals!J11)),"",Budget!J11-Actuals!J11)</f>
        <v>0</v>
      </c>
      <c r="AG9" s="132" t="str">
        <f aca="false">IFERROR(IF(OR(8&gt;$B$3,ISBLANK(Actuals!J11)),"",(Budget!J11-Actuals!J11)/ABS(Budget!J11)),"")</f>
        <v/>
      </c>
      <c r="AH9" s="131" t="n">
        <f aca="false">Budget!K11</f>
        <v>0</v>
      </c>
      <c r="AI9" s="131" t="n">
        <f aca="false">IF(OR(9&gt;$B$3,ISBLANK(Actuals!K11)),"",Actuals!K11)</f>
        <v>0</v>
      </c>
      <c r="AJ9" s="132" t="n">
        <f aca="false">IF(OR(9&gt;$B$3,ISBLANK(Actuals!K11)),"",Budget!K11-Actuals!K11)</f>
        <v>0</v>
      </c>
      <c r="AK9" s="132" t="str">
        <f aca="false">IFERROR(IF(OR(9&gt;$B$3,ISBLANK(Actuals!K11)),"",(Budget!K11-Actuals!K11)/ABS(Budget!K11)),"")</f>
        <v/>
      </c>
      <c r="AL9" s="131" t="n">
        <f aca="false">Budget!L11</f>
        <v>0</v>
      </c>
      <c r="AM9" s="131" t="str">
        <f aca="false">IF(OR(10&gt;$B$3,ISBLANK(Actuals!L11)),"",Actuals!L11)</f>
        <v/>
      </c>
      <c r="AN9" s="132" t="str">
        <f aca="false">IF(OR(10&gt;$B$3,ISBLANK(Actuals!L11)),"",Budget!L11-Actuals!L11)</f>
        <v/>
      </c>
      <c r="AO9" s="132" t="str">
        <f aca="false">IFERROR(IF(OR(10&gt;$B$3,ISBLANK(Actuals!L11)),"",(Budget!L11-Actuals!L11)/ABS(Budget!L11)),"")</f>
        <v/>
      </c>
      <c r="AP9" s="131" t="n">
        <f aca="false">Budget!M11</f>
        <v>0</v>
      </c>
      <c r="AQ9" s="131" t="str">
        <f aca="false">IF(OR(11&gt;$B$3,ISBLANK(Actuals!M11)),"",Actuals!M11)</f>
        <v/>
      </c>
      <c r="AR9" s="132" t="str">
        <f aca="false">IF(OR(11&gt;$B$3,ISBLANK(Actuals!M11)),"",Budget!M11-Actuals!M11)</f>
        <v/>
      </c>
      <c r="AS9" s="132" t="str">
        <f aca="false">IFERROR(IF(OR(11&gt;$B$3,ISBLANK(Actuals!M11)),"",(Budget!M11-Actuals!M11)/ABS(Budget!M11)),"")</f>
        <v/>
      </c>
      <c r="AT9" s="131" t="n">
        <f aca="false">Budget!N11</f>
        <v>0</v>
      </c>
      <c r="AU9" s="131" t="str">
        <f aca="false">IF(OR(12&gt;$B$3,ISBLANK(Actuals!N11)),"",Actuals!N11)</f>
        <v/>
      </c>
      <c r="AV9" s="132" t="str">
        <f aca="false">IF(OR(12&gt;$B$3,ISBLANK(Actuals!N11)),"",Budget!N11-Actuals!N11)</f>
        <v/>
      </c>
      <c r="AW9" s="132" t="str">
        <f aca="false">IFERROR(IF(OR(12&gt;$B$3,ISBLANK(Actuals!N11)),"",(Budget!N11-Actuals!N11)/ABS(Budget!N11)),"")</f>
        <v/>
      </c>
      <c r="AX9" s="133" t="n">
        <f aca="false">SUMPRODUCT((Actuals!C11:N11&lt;&gt;"")*(Budget!C11:N11))</f>
        <v>0</v>
      </c>
      <c r="AY9" s="133" t="n">
        <f aca="false">SUM(Actuals!C11:N11)</f>
        <v>0</v>
      </c>
      <c r="AZ9" s="134" t="n">
        <f aca="false">AX9-AY9</f>
        <v>0</v>
      </c>
    </row>
    <row r="10" customFormat="false" ht="15" hidden="false" customHeight="true" outlineLevel="0" collapsed="false">
      <c r="A10" s="130" t="s">
        <v>6</v>
      </c>
      <c r="B10" s="131" t="n">
        <f aca="false">Budget!C12</f>
        <v>2653995.85</v>
      </c>
      <c r="C10" s="131" t="n">
        <f aca="false">IF(OR(1&gt;$B$3,ISBLANK(Actuals!C12)),"",Actuals!C12)</f>
        <v>1242053.19</v>
      </c>
      <c r="D10" s="132" t="n">
        <f aca="false">IF(OR(1&gt;$B$3,ISBLANK(Actuals!C12)),"",Budget!C12-Actuals!C12)</f>
        <v>1411942.66</v>
      </c>
      <c r="E10" s="132" t="n">
        <f aca="false">IFERROR(IF(OR(1&gt;$B$3,ISBLANK(Actuals!C12)),"",(Budget!C12-Actuals!C12)/ABS(Budget!C12)),"")</f>
        <v>0.532006355624106</v>
      </c>
      <c r="F10" s="131" t="n">
        <f aca="false">Budget!D12</f>
        <v>2933528.7</v>
      </c>
      <c r="G10" s="131" t="n">
        <f aca="false">IF(OR(2&gt;$B$3,ISBLANK(Actuals!D12)),"",Actuals!D12)</f>
        <v>2710434.48</v>
      </c>
      <c r="H10" s="132" t="n">
        <f aca="false">IF(OR(2&gt;$B$3,ISBLANK(Actuals!D12)),"",Budget!D12-Actuals!D12)</f>
        <v>223094.22</v>
      </c>
      <c r="I10" s="132" t="n">
        <f aca="false">IFERROR(IF(OR(2&gt;$B$3,ISBLANK(Actuals!D12)),"",(Budget!D12-Actuals!D12)/ABS(Budget!D12)),"")</f>
        <v>0.0760497826389086</v>
      </c>
      <c r="J10" s="131" t="n">
        <f aca="false">Budget!E12</f>
        <v>3209528.94</v>
      </c>
      <c r="K10" s="131" t="n">
        <f aca="false">IF(OR(3&gt;$B$3,ISBLANK(Actuals!E12)),"",Actuals!E12)</f>
        <v>2402410.43</v>
      </c>
      <c r="L10" s="132" t="n">
        <f aca="false">IF(OR(3&gt;$B$3,ISBLANK(Actuals!E12)),"",Budget!E12-Actuals!E12)</f>
        <v>807118.51</v>
      </c>
      <c r="M10" s="132" t="n">
        <f aca="false">IFERROR(IF(OR(3&gt;$B$3,ISBLANK(Actuals!E12)),"",(Budget!E12-Actuals!E12)/ABS(Budget!E12)),"")</f>
        <v>0.251475691632181</v>
      </c>
      <c r="N10" s="131" t="n">
        <f aca="false">Budget!F12</f>
        <v>3471205.82</v>
      </c>
      <c r="O10" s="131" t="n">
        <f aca="false">IF(OR(4&gt;$B$3,ISBLANK(Actuals!F12)),"",Actuals!F12)</f>
        <v>3312759.91</v>
      </c>
      <c r="P10" s="132" t="n">
        <f aca="false">IF(OR(4&gt;$B$3,ISBLANK(Actuals!F12)),"",Budget!F12-Actuals!F12)</f>
        <v>158445.91</v>
      </c>
      <c r="Q10" s="132" t="n">
        <f aca="false">IFERROR(IF(OR(4&gt;$B$3,ISBLANK(Actuals!F12)),"",(Budget!F12-Actuals!F12)/ABS(Budget!F12)),"")</f>
        <v>0.0456457836890812</v>
      </c>
      <c r="R10" s="131" t="n">
        <f aca="false">Budget!G12</f>
        <v>4411909.08</v>
      </c>
      <c r="S10" s="131" t="n">
        <f aca="false">IF(OR(5&gt;$B$3,ISBLANK(Actuals!G12)),"",Actuals!G12)</f>
        <v>3939278.23</v>
      </c>
      <c r="T10" s="132" t="n">
        <f aca="false">IF(OR(5&gt;$B$3,ISBLANK(Actuals!G12)),"",Budget!G12-Actuals!G12)</f>
        <v>472630.85</v>
      </c>
      <c r="U10" s="132" t="n">
        <f aca="false">IFERROR(IF(OR(5&gt;$B$3,ISBLANK(Actuals!G12)),"",(Budget!G12-Actuals!G12)/ABS(Budget!G12)),"")</f>
        <v>0.10712615365138</v>
      </c>
      <c r="V10" s="131" t="n">
        <f aca="false">Budget!H12</f>
        <v>4713320.79</v>
      </c>
      <c r="W10" s="131" t="n">
        <f aca="false">IF(OR(6&gt;$B$3,ISBLANK(Actuals!H12)),"",Actuals!H12)</f>
        <v>5584522.73</v>
      </c>
      <c r="X10" s="132" t="n">
        <f aca="false">IF(OR(6&gt;$B$3,ISBLANK(Actuals!H12)),"",Budget!H12-Actuals!H12)</f>
        <v>-871201.94</v>
      </c>
      <c r="Y10" s="132" t="n">
        <f aca="false">IFERROR(IF(OR(6&gt;$B$3,ISBLANK(Actuals!H12)),"",(Budget!H12-Actuals!H12)/ABS(Budget!H12)),"")</f>
        <v>-0.184838244375045</v>
      </c>
      <c r="Z10" s="131" t="n">
        <f aca="false">Budget!I12</f>
        <v>4969335.52</v>
      </c>
      <c r="AA10" s="131" t="n">
        <f aca="false">IF(OR(7&gt;$B$3,ISBLANK(Actuals!I12)),"",Actuals!I12)</f>
        <v>6409057.07</v>
      </c>
      <c r="AB10" s="132" t="n">
        <f aca="false">IF(OR(7&gt;$B$3,ISBLANK(Actuals!I12)),"",Budget!I12-Actuals!I12)</f>
        <v>-1439721.55</v>
      </c>
      <c r="AC10" s="132" t="n">
        <f aca="false">IFERROR(IF(OR(7&gt;$B$3,ISBLANK(Actuals!I12)),"",(Budget!I12-Actuals!I12)/ABS(Budget!I12)),"")</f>
        <v>-0.289721139618281</v>
      </c>
      <c r="AD10" s="131" t="n">
        <f aca="false">Budget!J12</f>
        <v>5167809.94</v>
      </c>
      <c r="AE10" s="131" t="n">
        <f aca="false">IF(OR(8&gt;$B$3,ISBLANK(Actuals!J12)),"",Actuals!J12)</f>
        <v>5304128.59</v>
      </c>
      <c r="AF10" s="132" t="n">
        <f aca="false">IF(OR(8&gt;$B$3,ISBLANK(Actuals!J12)),"",Budget!J12-Actuals!J12)</f>
        <v>-136318.649999999</v>
      </c>
      <c r="AG10" s="132" t="n">
        <f aca="false">IFERROR(IF(OR(8&gt;$B$3,ISBLANK(Actuals!J12)),"",(Budget!J12-Actuals!J12)/ABS(Budget!J12)),"")</f>
        <v>-0.026378417856443</v>
      </c>
      <c r="AH10" s="131" t="n">
        <f aca="false">Budget!K12</f>
        <v>5299239.86</v>
      </c>
      <c r="AI10" s="131" t="n">
        <f aca="false">IF(OR(9&gt;$B$3,ISBLANK(Actuals!K12)),"",Actuals!K12)</f>
        <v>5630859.39</v>
      </c>
      <c r="AJ10" s="132" t="n">
        <f aca="false">IF(OR(9&gt;$B$3,ISBLANK(Actuals!K12)),"",Budget!K12-Actuals!K12)</f>
        <v>-331619.529999999</v>
      </c>
      <c r="AK10" s="132" t="n">
        <f aca="false">IFERROR(IF(OR(9&gt;$B$3,ISBLANK(Actuals!K12)),"",(Budget!K12-Actuals!K12)/ABS(Budget!K12)),"")</f>
        <v>-0.0625786978436563</v>
      </c>
      <c r="AL10" s="131" t="n">
        <f aca="false">Budget!L12</f>
        <v>5357779.86</v>
      </c>
      <c r="AM10" s="131" t="str">
        <f aca="false">IF(OR(10&gt;$B$3,ISBLANK(Actuals!L12)),"",Actuals!L12)</f>
        <v/>
      </c>
      <c r="AN10" s="132" t="str">
        <f aca="false">IF(OR(10&gt;$B$3,ISBLANK(Actuals!L12)),"",Budget!L12-Actuals!L12)</f>
        <v/>
      </c>
      <c r="AO10" s="132" t="str">
        <f aca="false">IFERROR(IF(OR(10&gt;$B$3,ISBLANK(Actuals!L12)),"",(Budget!L12-Actuals!L12)/ABS(Budget!L12)),"")</f>
        <v/>
      </c>
      <c r="AP10" s="131" t="n">
        <f aca="false">Budget!M12</f>
        <v>5341883.63</v>
      </c>
      <c r="AQ10" s="131" t="str">
        <f aca="false">IF(OR(11&gt;$B$3,ISBLANK(Actuals!M12)),"",Actuals!M12)</f>
        <v/>
      </c>
      <c r="AR10" s="132" t="str">
        <f aca="false">IF(OR(11&gt;$B$3,ISBLANK(Actuals!M12)),"",Budget!M12-Actuals!M12)</f>
        <v/>
      </c>
      <c r="AS10" s="132" t="str">
        <f aca="false">IFERROR(IF(OR(11&gt;$B$3,ISBLANK(Actuals!M12)),"",(Budget!M12-Actuals!M12)/ABS(Budget!M12)),"")</f>
        <v/>
      </c>
      <c r="AT10" s="131" t="n">
        <f aca="false">Budget!N12</f>
        <v>4998563.51</v>
      </c>
      <c r="AU10" s="131" t="str">
        <f aca="false">IF(OR(12&gt;$B$3,ISBLANK(Actuals!N12)),"",Actuals!N12)</f>
        <v/>
      </c>
      <c r="AV10" s="132" t="str">
        <f aca="false">IF(OR(12&gt;$B$3,ISBLANK(Actuals!N12)),"",Budget!N12-Actuals!N12)</f>
        <v/>
      </c>
      <c r="AW10" s="132" t="str">
        <f aca="false">IFERROR(IF(OR(12&gt;$B$3,ISBLANK(Actuals!N12)),"",(Budget!N12-Actuals!N12)/ABS(Budget!N12)),"")</f>
        <v/>
      </c>
      <c r="AX10" s="133" t="n">
        <f aca="false">SUMPRODUCT((Actuals!C12:N12&lt;&gt;"")*(Budget!C12:N12))</f>
        <v>36829874.5</v>
      </c>
      <c r="AY10" s="133" t="n">
        <f aca="false">SUM(Actuals!C12:N12)</f>
        <v>36535504.02</v>
      </c>
      <c r="AZ10" s="134" t="n">
        <f aca="false">AX10-AY10</f>
        <v>294370.479999997</v>
      </c>
    </row>
    <row r="11" customFormat="false" ht="15" hidden="false" customHeight="true" outlineLevel="0" collapsed="false">
      <c r="A11" s="130" t="s">
        <v>356</v>
      </c>
      <c r="B11" s="131" t="n">
        <f aca="false">Budget!C14</f>
        <v>-2653995.85</v>
      </c>
      <c r="C11" s="131" t="n">
        <f aca="false">IF(OR(1&gt;$B$3,ISBLANK(Actuals!C14)),"",Actuals!C14)</f>
        <v>-1235033.93</v>
      </c>
      <c r="D11" s="132" t="n">
        <f aca="false">IF(OR(1&gt;$B$3,ISBLANK(Actuals!C14)),"",Budget!C14-Actuals!C14)</f>
        <v>-1418961.92</v>
      </c>
      <c r="E11" s="132" t="n">
        <f aca="false">IFERROR(IF(OR(1&gt;$B$3,ISBLANK(Actuals!C14)),"",(Budget!C14-Actuals!C14)/ABS(Budget!C14)),"")</f>
        <v>-0.534651144989545</v>
      </c>
      <c r="F11" s="131" t="n">
        <f aca="false">Budget!D14</f>
        <v>-2933528.7</v>
      </c>
      <c r="G11" s="131" t="n">
        <f aca="false">IF(OR(2&gt;$B$3,ISBLANK(Actuals!D14)),"",Actuals!D14)</f>
        <v>-3073522.36</v>
      </c>
      <c r="H11" s="132" t="n">
        <f aca="false">IF(OR(2&gt;$B$3,ISBLANK(Actuals!D14)),"",Budget!D14-Actuals!D14)</f>
        <v>139993.66</v>
      </c>
      <c r="I11" s="132" t="n">
        <f aca="false">IFERROR(IF(OR(2&gt;$B$3,ISBLANK(Actuals!D14)),"",(Budget!D14-Actuals!D14)/ABS(Budget!D14)),"")</f>
        <v>0.0477219329744412</v>
      </c>
      <c r="J11" s="131" t="n">
        <f aca="false">Budget!E14</f>
        <v>-3209528.94</v>
      </c>
      <c r="K11" s="131" t="n">
        <f aca="false">IF(OR(3&gt;$B$3,ISBLANK(Actuals!E14)),"",Actuals!E14)</f>
        <v>-2078031.64</v>
      </c>
      <c r="L11" s="132" t="n">
        <f aca="false">IF(OR(3&gt;$B$3,ISBLANK(Actuals!E14)),"",Budget!E14-Actuals!E14)</f>
        <v>-1131497.3</v>
      </c>
      <c r="M11" s="132" t="n">
        <f aca="false">IFERROR(IF(OR(3&gt;$B$3,ISBLANK(Actuals!E14)),"",(Budget!E14-Actuals!E14)/ABS(Budget!E14)),"")</f>
        <v>-0.352543105593558</v>
      </c>
      <c r="N11" s="131" t="n">
        <f aca="false">Budget!F14</f>
        <v>-3471205.82</v>
      </c>
      <c r="O11" s="131" t="n">
        <f aca="false">IF(OR(4&gt;$B$3,ISBLANK(Actuals!F14)),"",Actuals!F14)</f>
        <v>-3244999.65</v>
      </c>
      <c r="P11" s="132" t="n">
        <f aca="false">IF(OR(4&gt;$B$3,ISBLANK(Actuals!F14)),"",Budget!F14-Actuals!F14)</f>
        <v>-226206.17</v>
      </c>
      <c r="Q11" s="132" t="n">
        <f aca="false">IFERROR(IF(OR(4&gt;$B$3,ISBLANK(Actuals!F14)),"",(Budget!F14-Actuals!F14)/ABS(Budget!F14)),"")</f>
        <v>-0.0651664527342835</v>
      </c>
      <c r="R11" s="131" t="n">
        <f aca="false">Budget!G14</f>
        <v>-4411909.08</v>
      </c>
      <c r="S11" s="131" t="n">
        <f aca="false">IF(OR(5&gt;$B$3,ISBLANK(Actuals!G14)),"",Actuals!G14)</f>
        <v>-3950524.93</v>
      </c>
      <c r="T11" s="132" t="n">
        <f aca="false">IF(OR(5&gt;$B$3,ISBLANK(Actuals!G14)),"",Budget!G14-Actuals!G14)</f>
        <v>-461384.15</v>
      </c>
      <c r="U11" s="132" t="n">
        <f aca="false">IFERROR(IF(OR(5&gt;$B$3,ISBLANK(Actuals!G14)),"",(Budget!G14-Actuals!G14)/ABS(Budget!G14)),"")</f>
        <v>-0.104576985072412</v>
      </c>
      <c r="V11" s="131" t="n">
        <f aca="false">Budget!H14</f>
        <v>-4713320.79</v>
      </c>
      <c r="W11" s="131" t="n">
        <f aca="false">IF(OR(6&gt;$B$3,ISBLANK(Actuals!H14)),"",Actuals!H14)</f>
        <v>-5610911.85</v>
      </c>
      <c r="X11" s="132" t="n">
        <f aca="false">IF(OR(6&gt;$B$3,ISBLANK(Actuals!H14)),"",Budget!H14-Actuals!H14)</f>
        <v>897591.06</v>
      </c>
      <c r="Y11" s="132" t="n">
        <f aca="false">IFERROR(IF(OR(6&gt;$B$3,ISBLANK(Actuals!H14)),"",(Budget!H14-Actuals!H14)/ABS(Budget!H14)),"")</f>
        <v>0.190437082471528</v>
      </c>
      <c r="Z11" s="131" t="n">
        <f aca="false">Budget!I14</f>
        <v>-4969335.52</v>
      </c>
      <c r="AA11" s="131" t="n">
        <f aca="false">IF(OR(7&gt;$B$3,ISBLANK(Actuals!I14)),"",Actuals!I14)</f>
        <v>-5258946.14</v>
      </c>
      <c r="AB11" s="132" t="n">
        <f aca="false">IF(OR(7&gt;$B$3,ISBLANK(Actuals!I14)),"",Budget!I14-Actuals!I14)</f>
        <v>289610.62</v>
      </c>
      <c r="AC11" s="132" t="n">
        <f aca="false">IFERROR(IF(OR(7&gt;$B$3,ISBLANK(Actuals!I14)),"",(Budget!I14-Actuals!I14)/ABS(Budget!I14)),"")</f>
        <v>0.0582795463969799</v>
      </c>
      <c r="AD11" s="131" t="n">
        <f aca="false">Budget!J14</f>
        <v>-5167809.94</v>
      </c>
      <c r="AE11" s="131" t="n">
        <f aca="false">IF(OR(8&gt;$B$3,ISBLANK(Actuals!J14)),"",Actuals!J14)</f>
        <v>-5503997.59</v>
      </c>
      <c r="AF11" s="132" t="n">
        <f aca="false">IF(OR(8&gt;$B$3,ISBLANK(Actuals!J14)),"",Budget!J14-Actuals!J14)</f>
        <v>336187.649999999</v>
      </c>
      <c r="AG11" s="132" t="n">
        <f aca="false">IFERROR(IF(OR(8&gt;$B$3,ISBLANK(Actuals!J14)),"",(Budget!J14-Actuals!J14)/ABS(Budget!J14)),"")</f>
        <v>0.0650541823138332</v>
      </c>
      <c r="AH11" s="131" t="n">
        <f aca="false">Budget!K14</f>
        <v>-5299239.86</v>
      </c>
      <c r="AI11" s="131" t="n">
        <f aca="false">IF(OR(9&gt;$B$3,ISBLANK(Actuals!K14)),"",Actuals!K14)</f>
        <v>-6037015.16</v>
      </c>
      <c r="AJ11" s="132" t="n">
        <f aca="false">IF(OR(9&gt;$B$3,ISBLANK(Actuals!K14)),"",Budget!K14-Actuals!K14)</f>
        <v>737775.3</v>
      </c>
      <c r="AK11" s="132" t="n">
        <f aca="false">IFERROR(IF(OR(9&gt;$B$3,ISBLANK(Actuals!K14)),"",(Budget!K14-Actuals!K14)/ABS(Budget!K14)),"")</f>
        <v>0.139222854502004</v>
      </c>
      <c r="AL11" s="131" t="n">
        <f aca="false">Budget!L14</f>
        <v>-5357779.86</v>
      </c>
      <c r="AM11" s="131" t="str">
        <f aca="false">IF(OR(10&gt;$B$3,ISBLANK(Actuals!L14)),"",Actuals!L14)</f>
        <v/>
      </c>
      <c r="AN11" s="132" t="str">
        <f aca="false">IF(OR(10&gt;$B$3,ISBLANK(Actuals!L14)),"",Budget!L14-Actuals!L14)</f>
        <v/>
      </c>
      <c r="AO11" s="132" t="str">
        <f aca="false">IFERROR(IF(OR(10&gt;$B$3,ISBLANK(Actuals!L14)),"",(Budget!L14-Actuals!L14)/ABS(Budget!L14)),"")</f>
        <v/>
      </c>
      <c r="AP11" s="131" t="n">
        <f aca="false">Budget!M14</f>
        <v>-5341883.63</v>
      </c>
      <c r="AQ11" s="131" t="str">
        <f aca="false">IF(OR(11&gt;$B$3,ISBLANK(Actuals!M14)),"",Actuals!M14)</f>
        <v/>
      </c>
      <c r="AR11" s="132" t="str">
        <f aca="false">IF(OR(11&gt;$B$3,ISBLANK(Actuals!M14)),"",Budget!M14-Actuals!M14)</f>
        <v/>
      </c>
      <c r="AS11" s="132" t="str">
        <f aca="false">IFERROR(IF(OR(11&gt;$B$3,ISBLANK(Actuals!M14)),"",(Budget!M14-Actuals!M14)/ABS(Budget!M14)),"")</f>
        <v/>
      </c>
      <c r="AT11" s="131" t="n">
        <f aca="false">Budget!N14</f>
        <v>-4998563.51</v>
      </c>
      <c r="AU11" s="131" t="str">
        <f aca="false">IF(OR(12&gt;$B$3,ISBLANK(Actuals!N14)),"",Actuals!N14)</f>
        <v/>
      </c>
      <c r="AV11" s="132" t="str">
        <f aca="false">IF(OR(12&gt;$B$3,ISBLANK(Actuals!N14)),"",Budget!N14-Actuals!N14)</f>
        <v/>
      </c>
      <c r="AW11" s="132" t="str">
        <f aca="false">IFERROR(IF(OR(12&gt;$B$3,ISBLANK(Actuals!N14)),"",(Budget!N14-Actuals!N14)/ABS(Budget!N14)),"")</f>
        <v/>
      </c>
      <c r="AX11" s="133" t="n">
        <f aca="false">SUMPRODUCT((Actuals!C14:N14&lt;&gt;"")*(Budget!C14:N14))</f>
        <v>-36829874.5</v>
      </c>
      <c r="AY11" s="133" t="n">
        <f aca="false">SUM(Actuals!C14:N14)</f>
        <v>-35992983.25</v>
      </c>
      <c r="AZ11" s="134" t="n">
        <f aca="false">AX11-AY11</f>
        <v>-836891.25</v>
      </c>
    </row>
    <row r="12" customFormat="false" ht="15" hidden="false" customHeight="true" outlineLevel="0" collapsed="false">
      <c r="A12" s="130" t="s">
        <v>413</v>
      </c>
      <c r="B12" s="131" t="n">
        <f aca="false">Budget!C15</f>
        <v>0</v>
      </c>
      <c r="C12" s="131" t="n">
        <f aca="false">IF(OR(1&gt;$B$3,ISBLANK(Actuals!C15)),"",Actuals!C15)</f>
        <v>0</v>
      </c>
      <c r="D12" s="132" t="n">
        <f aca="false">IF(OR(1&gt;$B$3,ISBLANK(Actuals!C15)),"",Budget!C15-Actuals!C15)</f>
        <v>0</v>
      </c>
      <c r="E12" s="132" t="str">
        <f aca="false">IFERROR(IF(OR(1&gt;$B$3,ISBLANK(Actuals!C15)),"",(Budget!C15-Actuals!C15)/ABS(Budget!C15)),"")</f>
        <v/>
      </c>
      <c r="F12" s="131" t="n">
        <f aca="false">Budget!D15</f>
        <v>0</v>
      </c>
      <c r="G12" s="131" t="n">
        <f aca="false">IF(OR(2&gt;$B$3,ISBLANK(Actuals!D15)),"",Actuals!D15)</f>
        <v>0</v>
      </c>
      <c r="H12" s="132" t="n">
        <f aca="false">IF(OR(2&gt;$B$3,ISBLANK(Actuals!D15)),"",Budget!D15-Actuals!D15)</f>
        <v>0</v>
      </c>
      <c r="I12" s="132" t="str">
        <f aca="false">IFERROR(IF(OR(2&gt;$B$3,ISBLANK(Actuals!D15)),"",(Budget!D15-Actuals!D15)/ABS(Budget!D15)),"")</f>
        <v/>
      </c>
      <c r="J12" s="131" t="n">
        <f aca="false">Budget!E15</f>
        <v>0</v>
      </c>
      <c r="K12" s="131" t="n">
        <f aca="false">IF(OR(3&gt;$B$3,ISBLANK(Actuals!E15)),"",Actuals!E15)</f>
        <v>0</v>
      </c>
      <c r="L12" s="132" t="n">
        <f aca="false">IF(OR(3&gt;$B$3,ISBLANK(Actuals!E15)),"",Budget!E15-Actuals!E15)</f>
        <v>0</v>
      </c>
      <c r="M12" s="132" t="str">
        <f aca="false">IFERROR(IF(OR(3&gt;$B$3,ISBLANK(Actuals!E15)),"",(Budget!E15-Actuals!E15)/ABS(Budget!E15)),"")</f>
        <v/>
      </c>
      <c r="N12" s="131" t="n">
        <f aca="false">Budget!F15</f>
        <v>0</v>
      </c>
      <c r="O12" s="131" t="n">
        <f aca="false">IF(OR(4&gt;$B$3,ISBLANK(Actuals!F15)),"",Actuals!F15)</f>
        <v>0</v>
      </c>
      <c r="P12" s="132" t="n">
        <f aca="false">IF(OR(4&gt;$B$3,ISBLANK(Actuals!F15)),"",Budget!F15-Actuals!F15)</f>
        <v>0</v>
      </c>
      <c r="Q12" s="132" t="str">
        <f aca="false">IFERROR(IF(OR(4&gt;$B$3,ISBLANK(Actuals!F15)),"",(Budget!F15-Actuals!F15)/ABS(Budget!F15)),"")</f>
        <v/>
      </c>
      <c r="R12" s="131" t="n">
        <f aca="false">Budget!G15</f>
        <v>0</v>
      </c>
      <c r="S12" s="131" t="n">
        <f aca="false">IF(OR(5&gt;$B$3,ISBLANK(Actuals!G15)),"",Actuals!G15)</f>
        <v>0</v>
      </c>
      <c r="T12" s="132" t="n">
        <f aca="false">IF(OR(5&gt;$B$3,ISBLANK(Actuals!G15)),"",Budget!G15-Actuals!G15)</f>
        <v>0</v>
      </c>
      <c r="U12" s="132" t="str">
        <f aca="false">IFERROR(IF(OR(5&gt;$B$3,ISBLANK(Actuals!G15)),"",(Budget!G15-Actuals!G15)/ABS(Budget!G15)),"")</f>
        <v/>
      </c>
      <c r="V12" s="131" t="n">
        <f aca="false">Budget!H15</f>
        <v>0</v>
      </c>
      <c r="W12" s="131" t="n">
        <f aca="false">IF(OR(6&gt;$B$3,ISBLANK(Actuals!H15)),"",Actuals!H15)</f>
        <v>0</v>
      </c>
      <c r="X12" s="132" t="n">
        <f aca="false">IF(OR(6&gt;$B$3,ISBLANK(Actuals!H15)),"",Budget!H15-Actuals!H15)</f>
        <v>0</v>
      </c>
      <c r="Y12" s="132" t="str">
        <f aca="false">IFERROR(IF(OR(6&gt;$B$3,ISBLANK(Actuals!H15)),"",(Budget!H15-Actuals!H15)/ABS(Budget!H15)),"")</f>
        <v/>
      </c>
      <c r="Z12" s="131" t="n">
        <f aca="false">Budget!I15</f>
        <v>0</v>
      </c>
      <c r="AA12" s="131" t="n">
        <f aca="false">IF(OR(7&gt;$B$3,ISBLANK(Actuals!I15)),"",Actuals!I15)</f>
        <v>0</v>
      </c>
      <c r="AB12" s="132" t="n">
        <f aca="false">IF(OR(7&gt;$B$3,ISBLANK(Actuals!I15)),"",Budget!I15-Actuals!I15)</f>
        <v>0</v>
      </c>
      <c r="AC12" s="132" t="str">
        <f aca="false">IFERROR(IF(OR(7&gt;$B$3,ISBLANK(Actuals!I15)),"",(Budget!I15-Actuals!I15)/ABS(Budget!I15)),"")</f>
        <v/>
      </c>
      <c r="AD12" s="131" t="n">
        <f aca="false">Budget!J15</f>
        <v>0</v>
      </c>
      <c r="AE12" s="131" t="n">
        <f aca="false">IF(OR(8&gt;$B$3,ISBLANK(Actuals!J15)),"",Actuals!J15)</f>
        <v>0</v>
      </c>
      <c r="AF12" s="132" t="n">
        <f aca="false">IF(OR(8&gt;$B$3,ISBLANK(Actuals!J15)),"",Budget!J15-Actuals!J15)</f>
        <v>0</v>
      </c>
      <c r="AG12" s="132" t="str">
        <f aca="false">IFERROR(IF(OR(8&gt;$B$3,ISBLANK(Actuals!J15)),"",(Budget!J15-Actuals!J15)/ABS(Budget!J15)),"")</f>
        <v/>
      </c>
      <c r="AH12" s="131" t="n">
        <f aca="false">Budget!K15</f>
        <v>0</v>
      </c>
      <c r="AI12" s="131" t="n">
        <f aca="false">IF(OR(9&gt;$B$3,ISBLANK(Actuals!K15)),"",Actuals!K15)</f>
        <v>0</v>
      </c>
      <c r="AJ12" s="132" t="n">
        <f aca="false">IF(OR(9&gt;$B$3,ISBLANK(Actuals!K15)),"",Budget!K15-Actuals!K15)</f>
        <v>0</v>
      </c>
      <c r="AK12" s="132" t="str">
        <f aca="false">IFERROR(IF(OR(9&gt;$B$3,ISBLANK(Actuals!K15)),"",(Budget!K15-Actuals!K15)/ABS(Budget!K15)),"")</f>
        <v/>
      </c>
      <c r="AL12" s="131" t="n">
        <f aca="false">Budget!L15</f>
        <v>0</v>
      </c>
      <c r="AM12" s="131" t="str">
        <f aca="false">IF(OR(10&gt;$B$3,ISBLANK(Actuals!L15)),"",Actuals!L15)</f>
        <v/>
      </c>
      <c r="AN12" s="132" t="str">
        <f aca="false">IF(OR(10&gt;$B$3,ISBLANK(Actuals!L15)),"",Budget!L15-Actuals!L15)</f>
        <v/>
      </c>
      <c r="AO12" s="132" t="str">
        <f aca="false">IFERROR(IF(OR(10&gt;$B$3,ISBLANK(Actuals!L15)),"",(Budget!L15-Actuals!L15)/ABS(Budget!L15)),"")</f>
        <v/>
      </c>
      <c r="AP12" s="131" t="n">
        <f aca="false">Budget!M15</f>
        <v>0</v>
      </c>
      <c r="AQ12" s="131" t="str">
        <f aca="false">IF(OR(11&gt;$B$3,ISBLANK(Actuals!M15)),"",Actuals!M15)</f>
        <v/>
      </c>
      <c r="AR12" s="132" t="str">
        <f aca="false">IF(OR(11&gt;$B$3,ISBLANK(Actuals!M15)),"",Budget!M15-Actuals!M15)</f>
        <v/>
      </c>
      <c r="AS12" s="132" t="str">
        <f aca="false">IFERROR(IF(OR(11&gt;$B$3,ISBLANK(Actuals!M15)),"",(Budget!M15-Actuals!M15)/ABS(Budget!M15)),"")</f>
        <v/>
      </c>
      <c r="AT12" s="131" t="n">
        <f aca="false">Budget!N15</f>
        <v>0</v>
      </c>
      <c r="AU12" s="131" t="str">
        <f aca="false">IF(OR(12&gt;$B$3,ISBLANK(Actuals!N15)),"",Actuals!N15)</f>
        <v/>
      </c>
      <c r="AV12" s="132" t="str">
        <f aca="false">IF(OR(12&gt;$B$3,ISBLANK(Actuals!N15)),"",Budget!N15-Actuals!N15)</f>
        <v/>
      </c>
      <c r="AW12" s="132" t="str">
        <f aca="false">IFERROR(IF(OR(12&gt;$B$3,ISBLANK(Actuals!N15)),"",(Budget!N15-Actuals!N15)/ABS(Budget!N15)),"")</f>
        <v/>
      </c>
      <c r="AX12" s="133" t="n">
        <f aca="false">SUMPRODUCT((Actuals!C15:N15&lt;&gt;"")*(Budget!C15:N15))</f>
        <v>0</v>
      </c>
      <c r="AY12" s="133" t="n">
        <f aca="false">SUM(Actuals!C15:N15)</f>
        <v>0</v>
      </c>
      <c r="AZ12" s="134" t="n">
        <f aca="false">AX12-AY12</f>
        <v>0</v>
      </c>
    </row>
    <row r="13" customFormat="false" ht="15" hidden="false" customHeight="true" outlineLevel="0" collapsed="false">
      <c r="A13" s="130" t="s">
        <v>415</v>
      </c>
      <c r="B13" s="131" t="n">
        <f aca="false">Budget!C16</f>
        <v>0</v>
      </c>
      <c r="C13" s="131" t="n">
        <f aca="false">IF(OR(1&gt;$B$3,ISBLANK(Actuals!C16)),"",Actuals!C16)</f>
        <v>0</v>
      </c>
      <c r="D13" s="132" t="n">
        <f aca="false">IF(OR(1&gt;$B$3,ISBLANK(Actuals!C16)),"",Budget!C16-Actuals!C16)</f>
        <v>0</v>
      </c>
      <c r="E13" s="132" t="str">
        <f aca="false">IFERROR(IF(OR(1&gt;$B$3,ISBLANK(Actuals!C16)),"",(Budget!C16-Actuals!C16)/ABS(Budget!C16)),"")</f>
        <v/>
      </c>
      <c r="F13" s="131" t="n">
        <f aca="false">Budget!D16</f>
        <v>0</v>
      </c>
      <c r="G13" s="131" t="n">
        <f aca="false">IF(OR(2&gt;$B$3,ISBLANK(Actuals!D16)),"",Actuals!D16)</f>
        <v>0</v>
      </c>
      <c r="H13" s="132" t="n">
        <f aca="false">IF(OR(2&gt;$B$3,ISBLANK(Actuals!D16)),"",Budget!D16-Actuals!D16)</f>
        <v>0</v>
      </c>
      <c r="I13" s="132" t="str">
        <f aca="false">IFERROR(IF(OR(2&gt;$B$3,ISBLANK(Actuals!D16)),"",(Budget!D16-Actuals!D16)/ABS(Budget!D16)),"")</f>
        <v/>
      </c>
      <c r="J13" s="131" t="n">
        <f aca="false">Budget!E16</f>
        <v>0</v>
      </c>
      <c r="K13" s="131" t="n">
        <f aca="false">IF(OR(3&gt;$B$3,ISBLANK(Actuals!E16)),"",Actuals!E16)</f>
        <v>0</v>
      </c>
      <c r="L13" s="132" t="n">
        <f aca="false">IF(OR(3&gt;$B$3,ISBLANK(Actuals!E16)),"",Budget!E16-Actuals!E16)</f>
        <v>0</v>
      </c>
      <c r="M13" s="132" t="str">
        <f aca="false">IFERROR(IF(OR(3&gt;$B$3,ISBLANK(Actuals!E16)),"",(Budget!E16-Actuals!E16)/ABS(Budget!E16)),"")</f>
        <v/>
      </c>
      <c r="N13" s="131" t="n">
        <f aca="false">Budget!F16</f>
        <v>0</v>
      </c>
      <c r="O13" s="131" t="n">
        <f aca="false">IF(OR(4&gt;$B$3,ISBLANK(Actuals!F16)),"",Actuals!F16)</f>
        <v>0</v>
      </c>
      <c r="P13" s="132" t="n">
        <f aca="false">IF(OR(4&gt;$B$3,ISBLANK(Actuals!F16)),"",Budget!F16-Actuals!F16)</f>
        <v>0</v>
      </c>
      <c r="Q13" s="132" t="str">
        <f aca="false">IFERROR(IF(OR(4&gt;$B$3,ISBLANK(Actuals!F16)),"",(Budget!F16-Actuals!F16)/ABS(Budget!F16)),"")</f>
        <v/>
      </c>
      <c r="R13" s="131" t="n">
        <f aca="false">Budget!G16</f>
        <v>0</v>
      </c>
      <c r="S13" s="131" t="n">
        <f aca="false">IF(OR(5&gt;$B$3,ISBLANK(Actuals!G16)),"",Actuals!G16)</f>
        <v>0</v>
      </c>
      <c r="T13" s="132" t="n">
        <f aca="false">IF(OR(5&gt;$B$3,ISBLANK(Actuals!G16)),"",Budget!G16-Actuals!G16)</f>
        <v>0</v>
      </c>
      <c r="U13" s="132" t="str">
        <f aca="false">IFERROR(IF(OR(5&gt;$B$3,ISBLANK(Actuals!G16)),"",(Budget!G16-Actuals!G16)/ABS(Budget!G16)),"")</f>
        <v/>
      </c>
      <c r="V13" s="131" t="n">
        <f aca="false">Budget!H16</f>
        <v>0</v>
      </c>
      <c r="W13" s="131" t="n">
        <f aca="false">IF(OR(6&gt;$B$3,ISBLANK(Actuals!H16)),"",Actuals!H16)</f>
        <v>0</v>
      </c>
      <c r="X13" s="132" t="n">
        <f aca="false">IF(OR(6&gt;$B$3,ISBLANK(Actuals!H16)),"",Budget!H16-Actuals!H16)</f>
        <v>0</v>
      </c>
      <c r="Y13" s="132" t="str">
        <f aca="false">IFERROR(IF(OR(6&gt;$B$3,ISBLANK(Actuals!H16)),"",(Budget!H16-Actuals!H16)/ABS(Budget!H16)),"")</f>
        <v/>
      </c>
      <c r="Z13" s="131" t="n">
        <f aca="false">Budget!I16</f>
        <v>0</v>
      </c>
      <c r="AA13" s="131" t="n">
        <f aca="false">IF(OR(7&gt;$B$3,ISBLANK(Actuals!I16)),"",Actuals!I16)</f>
        <v>0</v>
      </c>
      <c r="AB13" s="132" t="n">
        <f aca="false">IF(OR(7&gt;$B$3,ISBLANK(Actuals!I16)),"",Budget!I16-Actuals!I16)</f>
        <v>0</v>
      </c>
      <c r="AC13" s="132" t="str">
        <f aca="false">IFERROR(IF(OR(7&gt;$B$3,ISBLANK(Actuals!I16)),"",(Budget!I16-Actuals!I16)/ABS(Budget!I16)),"")</f>
        <v/>
      </c>
      <c r="AD13" s="131" t="n">
        <f aca="false">Budget!J16</f>
        <v>0</v>
      </c>
      <c r="AE13" s="131" t="n">
        <f aca="false">IF(OR(8&gt;$B$3,ISBLANK(Actuals!J16)),"",Actuals!J16)</f>
        <v>0</v>
      </c>
      <c r="AF13" s="132" t="n">
        <f aca="false">IF(OR(8&gt;$B$3,ISBLANK(Actuals!J16)),"",Budget!J16-Actuals!J16)</f>
        <v>0</v>
      </c>
      <c r="AG13" s="132" t="str">
        <f aca="false">IFERROR(IF(OR(8&gt;$B$3,ISBLANK(Actuals!J16)),"",(Budget!J16-Actuals!J16)/ABS(Budget!J16)),"")</f>
        <v/>
      </c>
      <c r="AH13" s="131" t="n">
        <f aca="false">Budget!K16</f>
        <v>0</v>
      </c>
      <c r="AI13" s="131" t="n">
        <f aca="false">IF(OR(9&gt;$B$3,ISBLANK(Actuals!K16)),"",Actuals!K16)</f>
        <v>0</v>
      </c>
      <c r="AJ13" s="132" t="n">
        <f aca="false">IF(OR(9&gt;$B$3,ISBLANK(Actuals!K16)),"",Budget!K16-Actuals!K16)</f>
        <v>0</v>
      </c>
      <c r="AK13" s="132" t="str">
        <f aca="false">IFERROR(IF(OR(9&gt;$B$3,ISBLANK(Actuals!K16)),"",(Budget!K16-Actuals!K16)/ABS(Budget!K16)),"")</f>
        <v/>
      </c>
      <c r="AL13" s="131" t="n">
        <f aca="false">Budget!L16</f>
        <v>0</v>
      </c>
      <c r="AM13" s="131" t="str">
        <f aca="false">IF(OR(10&gt;$B$3,ISBLANK(Actuals!L16)),"",Actuals!L16)</f>
        <v/>
      </c>
      <c r="AN13" s="132" t="str">
        <f aca="false">IF(OR(10&gt;$B$3,ISBLANK(Actuals!L16)),"",Budget!L16-Actuals!L16)</f>
        <v/>
      </c>
      <c r="AO13" s="132" t="str">
        <f aca="false">IFERROR(IF(OR(10&gt;$B$3,ISBLANK(Actuals!L16)),"",(Budget!L16-Actuals!L16)/ABS(Budget!L16)),"")</f>
        <v/>
      </c>
      <c r="AP13" s="131" t="n">
        <f aca="false">Budget!M16</f>
        <v>0</v>
      </c>
      <c r="AQ13" s="131" t="str">
        <f aca="false">IF(OR(11&gt;$B$3,ISBLANK(Actuals!M16)),"",Actuals!M16)</f>
        <v/>
      </c>
      <c r="AR13" s="132" t="str">
        <f aca="false">IF(OR(11&gt;$B$3,ISBLANK(Actuals!M16)),"",Budget!M16-Actuals!M16)</f>
        <v/>
      </c>
      <c r="AS13" s="132" t="str">
        <f aca="false">IFERROR(IF(OR(11&gt;$B$3,ISBLANK(Actuals!M16)),"",(Budget!M16-Actuals!M16)/ABS(Budget!M16)),"")</f>
        <v/>
      </c>
      <c r="AT13" s="131" t="n">
        <f aca="false">Budget!N16</f>
        <v>0</v>
      </c>
      <c r="AU13" s="131" t="str">
        <f aca="false">IF(OR(12&gt;$B$3,ISBLANK(Actuals!N16)),"",Actuals!N16)</f>
        <v/>
      </c>
      <c r="AV13" s="132" t="str">
        <f aca="false">IF(OR(12&gt;$B$3,ISBLANK(Actuals!N16)),"",Budget!N16-Actuals!N16)</f>
        <v/>
      </c>
      <c r="AW13" s="132" t="str">
        <f aca="false">IFERROR(IF(OR(12&gt;$B$3,ISBLANK(Actuals!N16)),"",(Budget!N16-Actuals!N16)/ABS(Budget!N16)),"")</f>
        <v/>
      </c>
      <c r="AX13" s="133" t="n">
        <f aca="false">SUMPRODUCT((Actuals!C16:N16&lt;&gt;"")*(Budget!C16:N16))</f>
        <v>0</v>
      </c>
      <c r="AY13" s="133" t="n">
        <f aca="false">SUM(Actuals!C16:N16)</f>
        <v>0</v>
      </c>
      <c r="AZ13" s="134" t="n">
        <f aca="false">AX13-AY13</f>
        <v>0</v>
      </c>
    </row>
    <row r="14" customFormat="false" ht="15" hidden="false" customHeight="true" outlineLevel="0" collapsed="false">
      <c r="A14" s="130" t="s">
        <v>61</v>
      </c>
      <c r="B14" s="131" t="n">
        <f aca="false">Budget!C17</f>
        <v>324259.89</v>
      </c>
      <c r="C14" s="131" t="n">
        <f aca="false">IF(OR(1&gt;$B$3,ISBLANK(Actuals!C17)),"",Actuals!C17)</f>
        <v>218756.86</v>
      </c>
      <c r="D14" s="132" t="n">
        <f aca="false">IF(OR(1&gt;$B$3,ISBLANK(Actuals!C17)),"",Budget!C17-Actuals!C17)</f>
        <v>105503.03</v>
      </c>
      <c r="E14" s="132" t="n">
        <f aca="false">IFERROR(IF(OR(1&gt;$B$3,ISBLANK(Actuals!C17)),"",(Budget!C17-Actuals!C17)/ABS(Budget!C17)),"")</f>
        <v>0.32536565037384</v>
      </c>
      <c r="F14" s="131" t="n">
        <f aca="false">Budget!D17</f>
        <v>339504.55</v>
      </c>
      <c r="G14" s="131" t="n">
        <f aca="false">IF(OR(2&gt;$B$3,ISBLANK(Actuals!D17)),"",Actuals!D17)</f>
        <v>-51000.77</v>
      </c>
      <c r="H14" s="132" t="n">
        <f aca="false">IF(OR(2&gt;$B$3,ISBLANK(Actuals!D17)),"",Budget!D17-Actuals!D17)</f>
        <v>390505.32</v>
      </c>
      <c r="I14" s="132" t="n">
        <f aca="false">IFERROR(IF(OR(2&gt;$B$3,ISBLANK(Actuals!D17)),"",(Budget!D17-Actuals!D17)/ABS(Budget!D17)),"")</f>
        <v>1.15022116787536</v>
      </c>
      <c r="J14" s="131" t="n">
        <f aca="false">Budget!E17</f>
        <v>354679.96</v>
      </c>
      <c r="K14" s="131" t="n">
        <f aca="false">IF(OR(3&gt;$B$3,ISBLANK(Actuals!E17)),"",Actuals!E17)</f>
        <v>594184.52</v>
      </c>
      <c r="L14" s="132" t="n">
        <f aca="false">IF(OR(3&gt;$B$3,ISBLANK(Actuals!E17)),"",Budget!E17-Actuals!E17)</f>
        <v>-239504.56</v>
      </c>
      <c r="M14" s="132" t="n">
        <f aca="false">IFERROR(IF(OR(3&gt;$B$3,ISBLANK(Actuals!E17)),"",(Budget!E17-Actuals!E17)/ABS(Budget!E17)),"")</f>
        <v>-0.675269502116782</v>
      </c>
      <c r="N14" s="131" t="n">
        <f aca="false">Budget!F17</f>
        <v>369182.36</v>
      </c>
      <c r="O14" s="131" t="n">
        <f aca="false">IF(OR(4&gt;$B$3,ISBLANK(Actuals!F17)),"",Actuals!F17)</f>
        <v>447358.25</v>
      </c>
      <c r="P14" s="132" t="n">
        <f aca="false">IF(OR(4&gt;$B$3,ISBLANK(Actuals!F17)),"",Budget!F17-Actuals!F17)</f>
        <v>-78175.8900000005</v>
      </c>
      <c r="Q14" s="132" t="n">
        <f aca="false">IFERROR(IF(OR(4&gt;$B$3,ISBLANK(Actuals!F17)),"",(Budget!F17-Actuals!F17)/ABS(Budget!F17)),"")</f>
        <v>-0.211754131481256</v>
      </c>
      <c r="R14" s="131" t="n">
        <f aca="false">Budget!G17</f>
        <v>523342.55</v>
      </c>
      <c r="S14" s="131" t="n">
        <f aca="false">IF(OR(5&gt;$B$3,ISBLANK(Actuals!G17)),"",Actuals!G17)</f>
        <v>465536.7</v>
      </c>
      <c r="T14" s="132" t="n">
        <f aca="false">IF(OR(5&gt;$B$3,ISBLANK(Actuals!G17)),"",Budget!G17-Actuals!G17)</f>
        <v>57805.8500000003</v>
      </c>
      <c r="U14" s="132" t="n">
        <f aca="false">IFERROR(IF(OR(5&gt;$B$3,ISBLANK(Actuals!G17)),"",(Budget!G17-Actuals!G17)/ABS(Budget!G17)),"")</f>
        <v>0.110455092940561</v>
      </c>
      <c r="V14" s="131" t="n">
        <f aca="false">Budget!H17</f>
        <v>540018.13</v>
      </c>
      <c r="W14" s="131" t="n">
        <f aca="false">IF(OR(6&gt;$B$3,ISBLANK(Actuals!H17)),"",Actuals!H17)</f>
        <v>641351.130000001</v>
      </c>
      <c r="X14" s="132" t="n">
        <f aca="false">IF(OR(6&gt;$B$3,ISBLANK(Actuals!H17)),"",Budget!H17-Actuals!H17)</f>
        <v>-101333.000000001</v>
      </c>
      <c r="Y14" s="132" t="n">
        <f aca="false">IFERROR(IF(OR(6&gt;$B$3,ISBLANK(Actuals!H17)),"",(Budget!H17-Actuals!H17)/ABS(Budget!H17)),"")</f>
        <v>-0.187647403615876</v>
      </c>
      <c r="Z14" s="131" t="n">
        <f aca="false">Budget!I17</f>
        <v>554251.95</v>
      </c>
      <c r="AA14" s="131" t="n">
        <f aca="false">IF(OR(7&gt;$B$3,ISBLANK(Actuals!I17)),"",Actuals!I17)</f>
        <v>1766649.51</v>
      </c>
      <c r="AB14" s="132" t="n">
        <f aca="false">IF(OR(7&gt;$B$3,ISBLANK(Actuals!I17)),"",Budget!I17-Actuals!I17)</f>
        <v>-1212397.56</v>
      </c>
      <c r="AC14" s="132" t="n">
        <f aca="false">IFERROR(IF(OR(7&gt;$B$3,ISBLANK(Actuals!I17)),"",(Budget!I17-Actuals!I17)/ABS(Budget!I17)),"")</f>
        <v>-2.18744843387561</v>
      </c>
      <c r="AD14" s="131" t="n">
        <f aca="false">Budget!J17</f>
        <v>565364.09</v>
      </c>
      <c r="AE14" s="131" t="n">
        <f aca="false">IF(OR(8&gt;$B$3,ISBLANK(Actuals!J17)),"",Actuals!J17)</f>
        <v>560735.39</v>
      </c>
      <c r="AF14" s="132" t="n">
        <f aca="false">IF(OR(8&gt;$B$3,ISBLANK(Actuals!J17)),"",Budget!J17-Actuals!J17)</f>
        <v>4628.7000000003</v>
      </c>
      <c r="AG14" s="132" t="n">
        <f aca="false">IFERROR(IF(OR(8&gt;$B$3,ISBLANK(Actuals!J17)),"",(Budget!J17-Actuals!J17)/ABS(Budget!J17)),"")</f>
        <v>0.00818711354660021</v>
      </c>
      <c r="AH14" s="131" t="n">
        <f aca="false">Budget!K17</f>
        <v>572823.45</v>
      </c>
      <c r="AI14" s="131" t="n">
        <f aca="false">IF(OR(9&gt;$B$3,ISBLANK(Actuals!K17)),"",Actuals!K17)</f>
        <v>343866.89</v>
      </c>
      <c r="AJ14" s="132" t="n">
        <f aca="false">IF(OR(9&gt;$B$3,ISBLANK(Actuals!K17)),"",Budget!K17-Actuals!K17)</f>
        <v>228956.56</v>
      </c>
      <c r="AK14" s="132" t="n">
        <f aca="false">IFERROR(IF(OR(9&gt;$B$3,ISBLANK(Actuals!K17)),"",(Budget!K17-Actuals!K17)/ABS(Budget!K17)),"")</f>
        <v>0.399698301457457</v>
      </c>
      <c r="AL14" s="131" t="n">
        <f aca="false">Budget!L17</f>
        <v>576304.38</v>
      </c>
      <c r="AM14" s="131" t="str">
        <f aca="false">IF(OR(10&gt;$B$3,ISBLANK(Actuals!L17)),"",Actuals!L17)</f>
        <v/>
      </c>
      <c r="AN14" s="132" t="str">
        <f aca="false">IF(OR(10&gt;$B$3,ISBLANK(Actuals!L17)),"",Budget!L17-Actuals!L17)</f>
        <v/>
      </c>
      <c r="AO14" s="132" t="str">
        <f aca="false">IFERROR(IF(OR(10&gt;$B$3,ISBLANK(Actuals!L17)),"",(Budget!L17-Actuals!L17)/ABS(Budget!L17)),"")</f>
        <v/>
      </c>
      <c r="AP14" s="131" t="n">
        <f aca="false">Budget!M17</f>
        <v>575721.48</v>
      </c>
      <c r="AQ14" s="131" t="str">
        <f aca="false">IF(OR(11&gt;$B$3,ISBLANK(Actuals!M17)),"",Actuals!M17)</f>
        <v/>
      </c>
      <c r="AR14" s="132" t="str">
        <f aca="false">IF(OR(11&gt;$B$3,ISBLANK(Actuals!M17)),"",Budget!M17-Actuals!M17)</f>
        <v/>
      </c>
      <c r="AS14" s="132" t="str">
        <f aca="false">IFERROR(IF(OR(11&gt;$B$3,ISBLANK(Actuals!M17)),"",(Budget!M17-Actuals!M17)/ABS(Budget!M17)),"")</f>
        <v/>
      </c>
      <c r="AT14" s="131" t="n">
        <f aca="false">Budget!N17</f>
        <v>526839.16</v>
      </c>
      <c r="AU14" s="131" t="str">
        <f aca="false">IF(OR(12&gt;$B$3,ISBLANK(Actuals!N17)),"",Actuals!N17)</f>
        <v/>
      </c>
      <c r="AV14" s="132" t="str">
        <f aca="false">IF(OR(12&gt;$B$3,ISBLANK(Actuals!N17)),"",Budget!N17-Actuals!N17)</f>
        <v/>
      </c>
      <c r="AW14" s="132" t="str">
        <f aca="false">IFERROR(IF(OR(12&gt;$B$3,ISBLANK(Actuals!N17)),"",(Budget!N17-Actuals!N17)/ABS(Budget!N17)),"")</f>
        <v/>
      </c>
      <c r="AX14" s="133" t="n">
        <f aca="false">SUMPRODUCT((Actuals!C17:N17&lt;&gt;"")*(Budget!C17:N17))</f>
        <v>5822291.95</v>
      </c>
      <c r="AY14" s="133" t="n">
        <f aca="false">SUM(Actuals!C17:N17)</f>
        <v>4987438.48</v>
      </c>
      <c r="AZ14" s="134" t="n">
        <f aca="false">AX14-AY14</f>
        <v>834853.469999999</v>
      </c>
    </row>
    <row r="15" customFormat="false" ht="15" hidden="false" customHeight="true" outlineLevel="0" collapsed="false">
      <c r="A15" s="130" t="s">
        <v>123</v>
      </c>
      <c r="B15" s="131" t="n">
        <f aca="false">Budget!C21</f>
        <v>-176250.01</v>
      </c>
      <c r="C15" s="131" t="n">
        <f aca="false">IF(OR(1&gt;$B$3,ISBLANK(Actuals!C21)),"",Actuals!C21)</f>
        <v>-144550.9</v>
      </c>
      <c r="D15" s="132" t="n">
        <f aca="false">IF(OR(1&gt;$B$3,ISBLANK(Actuals!C21)),"",Budget!C21-Actuals!C21)</f>
        <v>-31699.11</v>
      </c>
      <c r="E15" s="132" t="n">
        <f aca="false">IFERROR(IF(OR(1&gt;$B$3,ISBLANK(Actuals!C21)),"",(Budget!C21-Actuals!C21)/ABS(Budget!C21)),"")</f>
        <v>-0.179853096178548</v>
      </c>
      <c r="F15" s="131" t="n">
        <f aca="false">Budget!D21</f>
        <v>-176250.01</v>
      </c>
      <c r="G15" s="131" t="n">
        <f aca="false">IF(OR(2&gt;$B$3,ISBLANK(Actuals!D21)),"",Actuals!D21)</f>
        <v>-150672.84</v>
      </c>
      <c r="H15" s="132" t="n">
        <f aca="false">IF(OR(2&gt;$B$3,ISBLANK(Actuals!D21)),"",Budget!D21-Actuals!D21)</f>
        <v>-25577.17</v>
      </c>
      <c r="I15" s="132" t="n">
        <f aca="false">IFERROR(IF(OR(2&gt;$B$3,ISBLANK(Actuals!D21)),"",(Budget!D21-Actuals!D21)/ABS(Budget!D21)),"")</f>
        <v>-0.145118686801777</v>
      </c>
      <c r="J15" s="131" t="n">
        <f aca="false">Budget!E21</f>
        <v>-176250.01</v>
      </c>
      <c r="K15" s="131" t="n">
        <f aca="false">IF(OR(3&gt;$B$3,ISBLANK(Actuals!E21)),"",Actuals!E21)</f>
        <v>-178867.86</v>
      </c>
      <c r="L15" s="132" t="n">
        <f aca="false">IF(OR(3&gt;$B$3,ISBLANK(Actuals!E21)),"",Budget!E21-Actuals!E21)</f>
        <v>2617.84999999998</v>
      </c>
      <c r="M15" s="132" t="n">
        <f aca="false">IFERROR(IF(OR(3&gt;$B$3,ISBLANK(Actuals!E21)),"",(Budget!E21-Actuals!E21)/ABS(Budget!E21)),"")</f>
        <v>0.0148530488026638</v>
      </c>
      <c r="N15" s="131" t="n">
        <f aca="false">Budget!F21</f>
        <v>-176250.01</v>
      </c>
      <c r="O15" s="131" t="n">
        <f aca="false">IF(OR(4&gt;$B$3,ISBLANK(Actuals!F21)),"",Actuals!F21)</f>
        <v>-187693.63</v>
      </c>
      <c r="P15" s="132" t="n">
        <f aca="false">IF(OR(4&gt;$B$3,ISBLANK(Actuals!F21)),"",Budget!F21-Actuals!F21)</f>
        <v>11443.62</v>
      </c>
      <c r="Q15" s="132" t="n">
        <f aca="false">IFERROR(IF(OR(4&gt;$B$3,ISBLANK(Actuals!F21)),"",(Budget!F21-Actuals!F21)/ABS(Budget!F21)),"")</f>
        <v>0.0649283367416546</v>
      </c>
      <c r="R15" s="131" t="n">
        <f aca="false">Budget!G21</f>
        <v>-176250.01</v>
      </c>
      <c r="S15" s="131" t="n">
        <f aca="false">IF(OR(5&gt;$B$3,ISBLANK(Actuals!G21)),"",Actuals!G21)</f>
        <v>-295949.1</v>
      </c>
      <c r="T15" s="132" t="n">
        <f aca="false">IF(OR(5&gt;$B$3,ISBLANK(Actuals!G21)),"",Budget!G21-Actuals!G21)</f>
        <v>119699.09</v>
      </c>
      <c r="U15" s="132" t="n">
        <f aca="false">IFERROR(IF(OR(5&gt;$B$3,ISBLANK(Actuals!G21)),"",(Budget!G21-Actuals!G21)/ABS(Budget!G21)),"")</f>
        <v>0.679143734516667</v>
      </c>
      <c r="V15" s="131" t="n">
        <f aca="false">Budget!H21</f>
        <v>-176250.01</v>
      </c>
      <c r="W15" s="131" t="n">
        <f aca="false">IF(OR(6&gt;$B$3,ISBLANK(Actuals!H21)),"",Actuals!H21)</f>
        <v>-198645.92</v>
      </c>
      <c r="X15" s="132" t="n">
        <f aca="false">IF(OR(6&gt;$B$3,ISBLANK(Actuals!H21)),"",Budget!H21-Actuals!H21)</f>
        <v>22395.91</v>
      </c>
      <c r="Y15" s="132" t="n">
        <f aca="false">IFERROR(IF(OR(6&gt;$B$3,ISBLANK(Actuals!H21)),"",(Budget!H21-Actuals!H21)/ABS(Budget!H21)),"")</f>
        <v>0.127068985698214</v>
      </c>
      <c r="Z15" s="131" t="n">
        <f aca="false">Budget!I21</f>
        <v>-176250.01</v>
      </c>
      <c r="AA15" s="131" t="n">
        <f aca="false">IF(OR(7&gt;$B$3,ISBLANK(Actuals!I21)),"",Actuals!I21)</f>
        <v>-215851.71</v>
      </c>
      <c r="AB15" s="132" t="n">
        <f aca="false">IF(OR(7&gt;$B$3,ISBLANK(Actuals!I21)),"",Budget!I21-Actuals!I21)</f>
        <v>39601.7</v>
      </c>
      <c r="AC15" s="132" t="n">
        <f aca="false">IFERROR(IF(OR(7&gt;$B$3,ISBLANK(Actuals!I21)),"",(Budget!I21-Actuals!I21)/ABS(Budget!I21)),"")</f>
        <v>0.224690483705504</v>
      </c>
      <c r="AD15" s="131" t="n">
        <f aca="false">Budget!J21</f>
        <v>-176250.01</v>
      </c>
      <c r="AE15" s="131" t="n">
        <f aca="false">IF(OR(8&gt;$B$3,ISBLANK(Actuals!J21)),"",Actuals!J21)</f>
        <v>-217610.65</v>
      </c>
      <c r="AF15" s="132" t="n">
        <f aca="false">IF(OR(8&gt;$B$3,ISBLANK(Actuals!J21)),"",Budget!J21-Actuals!J21)</f>
        <v>41360.64</v>
      </c>
      <c r="AG15" s="132" t="n">
        <f aca="false">IFERROR(IF(OR(8&gt;$B$3,ISBLANK(Actuals!J21)),"",(Budget!J21-Actuals!J21)/ABS(Budget!J21)),"")</f>
        <v>0.234670284557714</v>
      </c>
      <c r="AH15" s="131" t="n">
        <f aca="false">Budget!K21</f>
        <v>-176250.01</v>
      </c>
      <c r="AI15" s="131" t="n">
        <f aca="false">IF(OR(9&gt;$B$3,ISBLANK(Actuals!K21)),"",Actuals!K21)</f>
        <v>-223657.14</v>
      </c>
      <c r="AJ15" s="132" t="n">
        <f aca="false">IF(OR(9&gt;$B$3,ISBLANK(Actuals!K21)),"",Budget!K21-Actuals!K21)</f>
        <v>47407.13</v>
      </c>
      <c r="AK15" s="132" t="n">
        <f aca="false">IFERROR(IF(OR(9&gt;$B$3,ISBLANK(Actuals!K21)),"",(Budget!K21-Actuals!K21)/ABS(Budget!K21)),"")</f>
        <v>0.268976608852391</v>
      </c>
      <c r="AL15" s="131" t="n">
        <f aca="false">Budget!L21</f>
        <v>-176250.01</v>
      </c>
      <c r="AM15" s="131" t="str">
        <f aca="false">IF(OR(10&gt;$B$3,ISBLANK(Actuals!L21)),"",Actuals!L21)</f>
        <v/>
      </c>
      <c r="AN15" s="132" t="str">
        <f aca="false">IF(OR(10&gt;$B$3,ISBLANK(Actuals!L21)),"",Budget!L21-Actuals!L21)</f>
        <v/>
      </c>
      <c r="AO15" s="132" t="str">
        <f aca="false">IFERROR(IF(OR(10&gt;$B$3,ISBLANK(Actuals!L21)),"",(Budget!L21-Actuals!L21)/ABS(Budget!L21)),"")</f>
        <v/>
      </c>
      <c r="AP15" s="131" t="n">
        <f aca="false">Budget!M21</f>
        <v>-176250.01</v>
      </c>
      <c r="AQ15" s="131" t="str">
        <f aca="false">IF(OR(11&gt;$B$3,ISBLANK(Actuals!M21)),"",Actuals!M21)</f>
        <v/>
      </c>
      <c r="AR15" s="132" t="str">
        <f aca="false">IF(OR(11&gt;$B$3,ISBLANK(Actuals!M21)),"",Budget!M21-Actuals!M21)</f>
        <v/>
      </c>
      <c r="AS15" s="132" t="str">
        <f aca="false">IFERROR(IF(OR(11&gt;$B$3,ISBLANK(Actuals!M21)),"",(Budget!M21-Actuals!M21)/ABS(Budget!M21)),"")</f>
        <v/>
      </c>
      <c r="AT15" s="131" t="n">
        <f aca="false">Budget!N21</f>
        <v>-176250.01</v>
      </c>
      <c r="AU15" s="131" t="str">
        <f aca="false">IF(OR(12&gt;$B$3,ISBLANK(Actuals!N21)),"",Actuals!N21)</f>
        <v/>
      </c>
      <c r="AV15" s="132" t="str">
        <f aca="false">IF(OR(12&gt;$B$3,ISBLANK(Actuals!N21)),"",Budget!N21-Actuals!N21)</f>
        <v/>
      </c>
      <c r="AW15" s="132" t="str">
        <f aca="false">IFERROR(IF(OR(12&gt;$B$3,ISBLANK(Actuals!N21)),"",(Budget!N21-Actuals!N21)/ABS(Budget!N21)),"")</f>
        <v/>
      </c>
      <c r="AX15" s="133" t="n">
        <f aca="false">SUMPRODUCT((Actuals!C21:N21&lt;&gt;"")*(Budget!C21:N21))</f>
        <v>-1586250.09</v>
      </c>
      <c r="AY15" s="133" t="n">
        <f aca="false">SUM(Actuals!C21:N21)</f>
        <v>-1813499.75</v>
      </c>
      <c r="AZ15" s="134" t="n">
        <f aca="false">AX15-AY15</f>
        <v>227249.66</v>
      </c>
    </row>
    <row r="16" customFormat="false" ht="15" hidden="false" customHeight="true" outlineLevel="0" collapsed="false">
      <c r="A16" s="130" t="s">
        <v>65</v>
      </c>
      <c r="B16" s="131" t="n">
        <f aca="false">Budget!C22</f>
        <v>-26437.5</v>
      </c>
      <c r="C16" s="131" t="n">
        <f aca="false">IF(OR(1&gt;$B$3,ISBLANK(Actuals!C22)),"",Actuals!C22)</f>
        <v>-7450.37</v>
      </c>
      <c r="D16" s="132" t="n">
        <f aca="false">IF(OR(1&gt;$B$3,ISBLANK(Actuals!C22)),"",Budget!C22-Actuals!C22)</f>
        <v>-18987.13</v>
      </c>
      <c r="E16" s="132" t="n">
        <f aca="false">IFERROR(IF(OR(1&gt;$B$3,ISBLANK(Actuals!C22)),"",(Budget!C22-Actuals!C22)/ABS(Budget!C22)),"")</f>
        <v>-0.718189314420804</v>
      </c>
      <c r="F16" s="131" t="n">
        <f aca="false">Budget!D22</f>
        <v>-26437.5</v>
      </c>
      <c r="G16" s="131" t="n">
        <f aca="false">IF(OR(2&gt;$B$3,ISBLANK(Actuals!D22)),"",Actuals!D22)</f>
        <v>-10567.2</v>
      </c>
      <c r="H16" s="132" t="n">
        <f aca="false">IF(OR(2&gt;$B$3,ISBLANK(Actuals!D22)),"",Budget!D22-Actuals!D22)</f>
        <v>-15870.3</v>
      </c>
      <c r="I16" s="132" t="n">
        <f aca="false">IFERROR(IF(OR(2&gt;$B$3,ISBLANK(Actuals!D22)),"",(Budget!D22-Actuals!D22)/ABS(Budget!D22)),"")</f>
        <v>-0.600295035460993</v>
      </c>
      <c r="J16" s="131" t="n">
        <f aca="false">Budget!E22</f>
        <v>-26437.5</v>
      </c>
      <c r="K16" s="131" t="n">
        <f aca="false">IF(OR(3&gt;$B$3,ISBLANK(Actuals!E22)),"",Actuals!E22)</f>
        <v>-17033.3</v>
      </c>
      <c r="L16" s="132" t="n">
        <f aca="false">IF(OR(3&gt;$B$3,ISBLANK(Actuals!E22)),"",Budget!E22-Actuals!E22)</f>
        <v>-9404.2</v>
      </c>
      <c r="M16" s="132" t="n">
        <f aca="false">IFERROR(IF(OR(3&gt;$B$3,ISBLANK(Actuals!E22)),"",(Budget!E22-Actuals!E22)/ABS(Budget!E22)),"")</f>
        <v>-0.355714420803783</v>
      </c>
      <c r="N16" s="131" t="n">
        <f aca="false">Budget!F22</f>
        <v>-26437.5</v>
      </c>
      <c r="O16" s="131" t="n">
        <f aca="false">IF(OR(4&gt;$B$3,ISBLANK(Actuals!F22)),"",Actuals!F22)</f>
        <v>-14599.57</v>
      </c>
      <c r="P16" s="132" t="n">
        <f aca="false">IF(OR(4&gt;$B$3,ISBLANK(Actuals!F22)),"",Budget!F22-Actuals!F22)</f>
        <v>-11837.93</v>
      </c>
      <c r="Q16" s="132" t="n">
        <f aca="false">IFERROR(IF(OR(4&gt;$B$3,ISBLANK(Actuals!F22)),"",(Budget!F22-Actuals!F22)/ABS(Budget!F22)),"")</f>
        <v>-0.447770401891253</v>
      </c>
      <c r="R16" s="131" t="n">
        <f aca="false">Budget!G22</f>
        <v>-26437.5</v>
      </c>
      <c r="S16" s="131" t="n">
        <f aca="false">IF(OR(5&gt;$B$3,ISBLANK(Actuals!G22)),"",Actuals!G22)</f>
        <v>-23689.02</v>
      </c>
      <c r="T16" s="132" t="n">
        <f aca="false">IF(OR(5&gt;$B$3,ISBLANK(Actuals!G22)),"",Budget!G22-Actuals!G22)</f>
        <v>-2748.48</v>
      </c>
      <c r="U16" s="132" t="n">
        <f aca="false">IFERROR(IF(OR(5&gt;$B$3,ISBLANK(Actuals!G22)),"",(Budget!G22-Actuals!G22)/ABS(Budget!G22)),"")</f>
        <v>-0.103961418439716</v>
      </c>
      <c r="V16" s="131" t="n">
        <f aca="false">Budget!H22</f>
        <v>-26437.5</v>
      </c>
      <c r="W16" s="131" t="n">
        <f aca="false">IF(OR(6&gt;$B$3,ISBLANK(Actuals!H22)),"",Actuals!H22)</f>
        <v>-14793.67</v>
      </c>
      <c r="X16" s="132" t="n">
        <f aca="false">IF(OR(6&gt;$B$3,ISBLANK(Actuals!H22)),"",Budget!H22-Actuals!H22)</f>
        <v>-11643.83</v>
      </c>
      <c r="Y16" s="132" t="n">
        <f aca="false">IFERROR(IF(OR(6&gt;$B$3,ISBLANK(Actuals!H22)),"",(Budget!H22-Actuals!H22)/ABS(Budget!H22)),"")</f>
        <v>-0.440428557919622</v>
      </c>
      <c r="Z16" s="131" t="n">
        <f aca="false">Budget!I22</f>
        <v>-26437.5</v>
      </c>
      <c r="AA16" s="131" t="n">
        <f aca="false">IF(OR(7&gt;$B$3,ISBLANK(Actuals!I22)),"",Actuals!I22)</f>
        <v>-16311.09</v>
      </c>
      <c r="AB16" s="132" t="n">
        <f aca="false">IF(OR(7&gt;$B$3,ISBLANK(Actuals!I22)),"",Budget!I22-Actuals!I22)</f>
        <v>-10126.41</v>
      </c>
      <c r="AC16" s="132" t="n">
        <f aca="false">IFERROR(IF(OR(7&gt;$B$3,ISBLANK(Actuals!I22)),"",(Budget!I22-Actuals!I22)/ABS(Budget!I22)),"")</f>
        <v>-0.383032056737589</v>
      </c>
      <c r="AD16" s="131" t="n">
        <f aca="false">Budget!J22</f>
        <v>-26437.5</v>
      </c>
      <c r="AE16" s="131" t="n">
        <f aca="false">IF(OR(8&gt;$B$3,ISBLANK(Actuals!J22)),"",Actuals!J22)</f>
        <v>-16725.56</v>
      </c>
      <c r="AF16" s="132" t="n">
        <f aca="false">IF(OR(8&gt;$B$3,ISBLANK(Actuals!J22)),"",Budget!J22-Actuals!J22)</f>
        <v>-9711.94</v>
      </c>
      <c r="AG16" s="132" t="n">
        <f aca="false">IFERROR(IF(OR(8&gt;$B$3,ISBLANK(Actuals!J22)),"",(Budget!J22-Actuals!J22)/ABS(Budget!J22)),"")</f>
        <v>-0.367354704491726</v>
      </c>
      <c r="AH16" s="131" t="n">
        <f aca="false">Budget!K22</f>
        <v>-26437.5</v>
      </c>
      <c r="AI16" s="131" t="n">
        <f aca="false">IF(OR(9&gt;$B$3,ISBLANK(Actuals!K22)),"",Actuals!K22)</f>
        <v>-16989.18</v>
      </c>
      <c r="AJ16" s="132" t="n">
        <f aca="false">IF(OR(9&gt;$B$3,ISBLANK(Actuals!K22)),"",Budget!K22-Actuals!K22)</f>
        <v>-9448.32</v>
      </c>
      <c r="AK16" s="132" t="n">
        <f aca="false">IFERROR(IF(OR(9&gt;$B$3,ISBLANK(Actuals!K22)),"",(Budget!K22-Actuals!K22)/ABS(Budget!K22)),"")</f>
        <v>-0.357383262411348</v>
      </c>
      <c r="AL16" s="131" t="n">
        <f aca="false">Budget!L22</f>
        <v>-26437.5</v>
      </c>
      <c r="AM16" s="131" t="str">
        <f aca="false">IF(OR(10&gt;$B$3,ISBLANK(Actuals!L22)),"",Actuals!L22)</f>
        <v/>
      </c>
      <c r="AN16" s="132" t="str">
        <f aca="false">IF(OR(10&gt;$B$3,ISBLANK(Actuals!L22)),"",Budget!L22-Actuals!L22)</f>
        <v/>
      </c>
      <c r="AO16" s="132" t="str">
        <f aca="false">IFERROR(IF(OR(10&gt;$B$3,ISBLANK(Actuals!L22)),"",(Budget!L22-Actuals!L22)/ABS(Budget!L22)),"")</f>
        <v/>
      </c>
      <c r="AP16" s="131" t="n">
        <f aca="false">Budget!M22</f>
        <v>-26437.5</v>
      </c>
      <c r="AQ16" s="131" t="str">
        <f aca="false">IF(OR(11&gt;$B$3,ISBLANK(Actuals!M22)),"",Actuals!M22)</f>
        <v/>
      </c>
      <c r="AR16" s="132" t="str">
        <f aca="false">IF(OR(11&gt;$B$3,ISBLANK(Actuals!M22)),"",Budget!M22-Actuals!M22)</f>
        <v/>
      </c>
      <c r="AS16" s="132" t="str">
        <f aca="false">IFERROR(IF(OR(11&gt;$B$3,ISBLANK(Actuals!M22)),"",(Budget!M22-Actuals!M22)/ABS(Budget!M22)),"")</f>
        <v/>
      </c>
      <c r="AT16" s="131" t="n">
        <f aca="false">Budget!N22</f>
        <v>-26437.5</v>
      </c>
      <c r="AU16" s="131" t="str">
        <f aca="false">IF(OR(12&gt;$B$3,ISBLANK(Actuals!N22)),"",Actuals!N22)</f>
        <v/>
      </c>
      <c r="AV16" s="132" t="str">
        <f aca="false">IF(OR(12&gt;$B$3,ISBLANK(Actuals!N22)),"",Budget!N22-Actuals!N22)</f>
        <v/>
      </c>
      <c r="AW16" s="132" t="str">
        <f aca="false">IFERROR(IF(OR(12&gt;$B$3,ISBLANK(Actuals!N22)),"",(Budget!N22-Actuals!N22)/ABS(Budget!N22)),"")</f>
        <v/>
      </c>
      <c r="AX16" s="133" t="n">
        <f aca="false">SUMPRODUCT((Actuals!C22:N22&lt;&gt;"")*(Budget!C22:N22))</f>
        <v>-237937.5</v>
      </c>
      <c r="AY16" s="133" t="n">
        <f aca="false">SUM(Actuals!C22:N22)</f>
        <v>-138158.96</v>
      </c>
      <c r="AZ16" s="134" t="n">
        <f aca="false">AX16-AY16</f>
        <v>-99778.54</v>
      </c>
    </row>
    <row r="17" customFormat="false" ht="15" hidden="false" customHeight="true" outlineLevel="0" collapsed="false">
      <c r="A17" s="130" t="s">
        <v>66</v>
      </c>
      <c r="B17" s="131" t="n">
        <f aca="false">Budget!C23</f>
        <v>-58683.33</v>
      </c>
      <c r="C17" s="131" t="str">
        <f aca="false">IF(OR(1&gt;$B$3,ISBLANK(Actuals!C23)),"",Actuals!C23)</f>
        <v/>
      </c>
      <c r="D17" s="132" t="str">
        <f aca="false">IF(OR(1&gt;$B$3,ISBLANK(Actuals!C23)),"",Budget!C23-Actuals!C23)</f>
        <v/>
      </c>
      <c r="E17" s="132" t="str">
        <f aca="false">IFERROR(IF(OR(1&gt;$B$3,ISBLANK(Actuals!C23)),"",(Budget!C23-Actuals!C23)/ABS(Budget!C23)),"")</f>
        <v/>
      </c>
      <c r="F17" s="131" t="n">
        <f aca="false">Budget!D23</f>
        <v>-58683.33</v>
      </c>
      <c r="G17" s="131" t="str">
        <f aca="false">IF(OR(2&gt;$B$3,ISBLANK(Actuals!D23)),"",Actuals!D23)</f>
        <v/>
      </c>
      <c r="H17" s="132" t="str">
        <f aca="false">IF(OR(2&gt;$B$3,ISBLANK(Actuals!D23)),"",Budget!D23-Actuals!D23)</f>
        <v/>
      </c>
      <c r="I17" s="132" t="str">
        <f aca="false">IFERROR(IF(OR(2&gt;$B$3,ISBLANK(Actuals!D23)),"",(Budget!D23-Actuals!D23)/ABS(Budget!D23)),"")</f>
        <v/>
      </c>
      <c r="J17" s="131" t="n">
        <f aca="false">Budget!E23</f>
        <v>-58683.33</v>
      </c>
      <c r="K17" s="131" t="str">
        <f aca="false">IF(OR(3&gt;$B$3,ISBLANK(Actuals!E23)),"",Actuals!E23)</f>
        <v/>
      </c>
      <c r="L17" s="132" t="str">
        <f aca="false">IF(OR(3&gt;$B$3,ISBLANK(Actuals!E23)),"",Budget!E23-Actuals!E23)</f>
        <v/>
      </c>
      <c r="M17" s="132" t="str">
        <f aca="false">IFERROR(IF(OR(3&gt;$B$3,ISBLANK(Actuals!E23)),"",(Budget!E23-Actuals!E23)/ABS(Budget!E23)),"")</f>
        <v/>
      </c>
      <c r="N17" s="131" t="n">
        <f aca="false">Budget!F23</f>
        <v>-58683.33</v>
      </c>
      <c r="O17" s="131" t="n">
        <f aca="false">IF(OR(4&gt;$B$3,ISBLANK(Actuals!F23)),"",Actuals!F23)</f>
        <v>0</v>
      </c>
      <c r="P17" s="132" t="n">
        <f aca="false">IF(OR(4&gt;$B$3,ISBLANK(Actuals!F23)),"",Budget!F23-Actuals!F23)</f>
        <v>-58683.33</v>
      </c>
      <c r="Q17" s="132" t="n">
        <f aca="false">IFERROR(IF(OR(4&gt;$B$3,ISBLANK(Actuals!F23)),"",(Budget!F23-Actuals!F23)/ABS(Budget!F23)),"")</f>
        <v>-1</v>
      </c>
      <c r="R17" s="131" t="n">
        <f aca="false">Budget!G23</f>
        <v>-58683.33</v>
      </c>
      <c r="S17" s="131" t="n">
        <f aca="false">IF(OR(5&gt;$B$3,ISBLANK(Actuals!G23)),"",Actuals!G23)</f>
        <v>0</v>
      </c>
      <c r="T17" s="132" t="n">
        <f aca="false">IF(OR(5&gt;$B$3,ISBLANK(Actuals!G23)),"",Budget!G23-Actuals!G23)</f>
        <v>-58683.33</v>
      </c>
      <c r="U17" s="132" t="n">
        <f aca="false">IFERROR(IF(OR(5&gt;$B$3,ISBLANK(Actuals!G23)),"",(Budget!G23-Actuals!G23)/ABS(Budget!G23)),"")</f>
        <v>-1</v>
      </c>
      <c r="V17" s="131" t="n">
        <f aca="false">Budget!H23</f>
        <v>-58683.33</v>
      </c>
      <c r="W17" s="131" t="n">
        <f aca="false">IF(OR(6&gt;$B$3,ISBLANK(Actuals!H23)),"",Actuals!H23)</f>
        <v>0</v>
      </c>
      <c r="X17" s="132" t="n">
        <f aca="false">IF(OR(6&gt;$B$3,ISBLANK(Actuals!H23)),"",Budget!H23-Actuals!H23)</f>
        <v>-58683.33</v>
      </c>
      <c r="Y17" s="132" t="n">
        <f aca="false">IFERROR(IF(OR(6&gt;$B$3,ISBLANK(Actuals!H23)),"",(Budget!H23-Actuals!H23)/ABS(Budget!H23)),"")</f>
        <v>-1</v>
      </c>
      <c r="Z17" s="131" t="n">
        <f aca="false">Budget!I23</f>
        <v>-58683.33</v>
      </c>
      <c r="AA17" s="131" t="n">
        <f aca="false">IF(OR(7&gt;$B$3,ISBLANK(Actuals!I23)),"",Actuals!I23)</f>
        <v>0</v>
      </c>
      <c r="AB17" s="132" t="n">
        <f aca="false">IF(OR(7&gt;$B$3,ISBLANK(Actuals!I23)),"",Budget!I23-Actuals!I23)</f>
        <v>-58683.33</v>
      </c>
      <c r="AC17" s="132" t="n">
        <f aca="false">IFERROR(IF(OR(7&gt;$B$3,ISBLANK(Actuals!I23)),"",(Budget!I23-Actuals!I23)/ABS(Budget!I23)),"")</f>
        <v>-1</v>
      </c>
      <c r="AD17" s="131" t="n">
        <f aca="false">Budget!J23</f>
        <v>-58683.33</v>
      </c>
      <c r="AE17" s="131" t="n">
        <f aca="false">IF(OR(8&gt;$B$3,ISBLANK(Actuals!J23)),"",Actuals!J23)</f>
        <v>0</v>
      </c>
      <c r="AF17" s="132" t="n">
        <f aca="false">IF(OR(8&gt;$B$3,ISBLANK(Actuals!J23)),"",Budget!J23-Actuals!J23)</f>
        <v>-58683.33</v>
      </c>
      <c r="AG17" s="132" t="n">
        <f aca="false">IFERROR(IF(OR(8&gt;$B$3,ISBLANK(Actuals!J23)),"",(Budget!J23-Actuals!J23)/ABS(Budget!J23)),"")</f>
        <v>-1</v>
      </c>
      <c r="AH17" s="131" t="n">
        <f aca="false">Budget!K23</f>
        <v>-58683.33</v>
      </c>
      <c r="AI17" s="131" t="n">
        <f aca="false">IF(OR(9&gt;$B$3,ISBLANK(Actuals!K23)),"",Actuals!K23)</f>
        <v>0</v>
      </c>
      <c r="AJ17" s="132" t="n">
        <f aca="false">IF(OR(9&gt;$B$3,ISBLANK(Actuals!K23)),"",Budget!K23-Actuals!K23)</f>
        <v>-58683.33</v>
      </c>
      <c r="AK17" s="132" t="n">
        <f aca="false">IFERROR(IF(OR(9&gt;$B$3,ISBLANK(Actuals!K23)),"",(Budget!K23-Actuals!K23)/ABS(Budget!K23)),"")</f>
        <v>-1</v>
      </c>
      <c r="AL17" s="131" t="n">
        <f aca="false">Budget!L23</f>
        <v>-58683.33</v>
      </c>
      <c r="AM17" s="131" t="str">
        <f aca="false">IF(OR(10&gt;$B$3,ISBLANK(Actuals!L23)),"",Actuals!L23)</f>
        <v/>
      </c>
      <c r="AN17" s="132" t="str">
        <f aca="false">IF(OR(10&gt;$B$3,ISBLANK(Actuals!L23)),"",Budget!L23-Actuals!L23)</f>
        <v/>
      </c>
      <c r="AO17" s="132" t="str">
        <f aca="false">IFERROR(IF(OR(10&gt;$B$3,ISBLANK(Actuals!L23)),"",(Budget!L23-Actuals!L23)/ABS(Budget!L23)),"")</f>
        <v/>
      </c>
      <c r="AP17" s="131" t="n">
        <f aca="false">Budget!M23</f>
        <v>-58683.33</v>
      </c>
      <c r="AQ17" s="131" t="str">
        <f aca="false">IF(OR(11&gt;$B$3,ISBLANK(Actuals!M23)),"",Actuals!M23)</f>
        <v/>
      </c>
      <c r="AR17" s="132" t="str">
        <f aca="false">IF(OR(11&gt;$B$3,ISBLANK(Actuals!M23)),"",Budget!M23-Actuals!M23)</f>
        <v/>
      </c>
      <c r="AS17" s="132" t="str">
        <f aca="false">IFERROR(IF(OR(11&gt;$B$3,ISBLANK(Actuals!M23)),"",(Budget!M23-Actuals!M23)/ABS(Budget!M23)),"")</f>
        <v/>
      </c>
      <c r="AT17" s="131" t="n">
        <f aca="false">Budget!N23</f>
        <v>-58683.33</v>
      </c>
      <c r="AU17" s="131" t="str">
        <f aca="false">IF(OR(12&gt;$B$3,ISBLANK(Actuals!N23)),"",Actuals!N23)</f>
        <v/>
      </c>
      <c r="AV17" s="132" t="str">
        <f aca="false">IF(OR(12&gt;$B$3,ISBLANK(Actuals!N23)),"",Budget!N23-Actuals!N23)</f>
        <v/>
      </c>
      <c r="AW17" s="132" t="str">
        <f aca="false">IFERROR(IF(OR(12&gt;$B$3,ISBLANK(Actuals!N23)),"",(Budget!N23-Actuals!N23)/ABS(Budget!N23)),"")</f>
        <v/>
      </c>
      <c r="AX17" s="133" t="n">
        <f aca="false">SUMPRODUCT((Actuals!C23:N23&lt;&gt;"")*(Budget!C23:N23))</f>
        <v>-352099.98</v>
      </c>
      <c r="AY17" s="133" t="n">
        <f aca="false">SUM(Actuals!C23:N23)</f>
        <v>0</v>
      </c>
      <c r="AZ17" s="134" t="n">
        <f aca="false">AX17-AY17</f>
        <v>-352099.98</v>
      </c>
    </row>
    <row r="18" customFormat="false" ht="15" hidden="false" customHeight="true" outlineLevel="0" collapsed="false">
      <c r="A18" s="130" t="s">
        <v>67</v>
      </c>
      <c r="B18" s="131" t="n">
        <f aca="false">Budget!C24</f>
        <v>-25071.7</v>
      </c>
      <c r="C18" s="131" t="n">
        <f aca="false">IF(OR(1&gt;$B$3,ISBLANK(Actuals!C24)),"",Actuals!C24)</f>
        <v>-9482.97</v>
      </c>
      <c r="D18" s="132" t="n">
        <f aca="false">IF(OR(1&gt;$B$3,ISBLANK(Actuals!C24)),"",Budget!C24-Actuals!C24)</f>
        <v>-15588.73</v>
      </c>
      <c r="E18" s="132" t="n">
        <f aca="false">IFERROR(IF(OR(1&gt;$B$3,ISBLANK(Actuals!C24)),"",(Budget!C24-Actuals!C24)/ABS(Budget!C24)),"")</f>
        <v>-0.621765975183175</v>
      </c>
      <c r="F18" s="131" t="n">
        <f aca="false">Budget!D24</f>
        <v>-25071.7</v>
      </c>
      <c r="G18" s="131" t="n">
        <f aca="false">IF(OR(2&gt;$B$3,ISBLANK(Actuals!D24)),"",Actuals!D24)</f>
        <v>-10343.29</v>
      </c>
      <c r="H18" s="132" t="n">
        <f aca="false">IF(OR(2&gt;$B$3,ISBLANK(Actuals!D24)),"",Budget!D24-Actuals!D24)</f>
        <v>-14728.41</v>
      </c>
      <c r="I18" s="132" t="n">
        <f aca="false">IFERROR(IF(OR(2&gt;$B$3,ISBLANK(Actuals!D24)),"",(Budget!D24-Actuals!D24)/ABS(Budget!D24)),"")</f>
        <v>-0.587451588843198</v>
      </c>
      <c r="J18" s="131" t="n">
        <f aca="false">Budget!E24</f>
        <v>-25071.7</v>
      </c>
      <c r="K18" s="131" t="n">
        <f aca="false">IF(OR(3&gt;$B$3,ISBLANK(Actuals!E24)),"",Actuals!E24)</f>
        <v>-3729.48</v>
      </c>
      <c r="L18" s="132" t="n">
        <f aca="false">IF(OR(3&gt;$B$3,ISBLANK(Actuals!E24)),"",Budget!E24-Actuals!E24)</f>
        <v>-21342.22</v>
      </c>
      <c r="M18" s="132" t="n">
        <f aca="false">IFERROR(IF(OR(3&gt;$B$3,ISBLANK(Actuals!E24)),"",(Budget!E24-Actuals!E24)/ABS(Budget!E24)),"")</f>
        <v>-0.851247422392578</v>
      </c>
      <c r="N18" s="131" t="n">
        <f aca="false">Budget!F24</f>
        <v>-25071.7</v>
      </c>
      <c r="O18" s="131" t="n">
        <f aca="false">IF(OR(4&gt;$B$3,ISBLANK(Actuals!F24)),"",Actuals!F24)</f>
        <v>-3206.79</v>
      </c>
      <c r="P18" s="132" t="n">
        <f aca="false">IF(OR(4&gt;$B$3,ISBLANK(Actuals!F24)),"",Budget!F24-Actuals!F24)</f>
        <v>-21864.91</v>
      </c>
      <c r="Q18" s="132" t="n">
        <f aca="false">IFERROR(IF(OR(4&gt;$B$3,ISBLANK(Actuals!F24)),"",(Budget!F24-Actuals!F24)/ABS(Budget!F24)),"")</f>
        <v>-0.872095230877842</v>
      </c>
      <c r="R18" s="131" t="n">
        <f aca="false">Budget!G24</f>
        <v>-25071.7</v>
      </c>
      <c r="S18" s="131" t="n">
        <f aca="false">IF(OR(5&gt;$B$3,ISBLANK(Actuals!G24)),"",Actuals!G24)</f>
        <v>10942.55</v>
      </c>
      <c r="T18" s="132" t="n">
        <f aca="false">IF(OR(5&gt;$B$3,ISBLANK(Actuals!G24)),"",Budget!G24-Actuals!G24)</f>
        <v>-36014.25</v>
      </c>
      <c r="U18" s="132" t="n">
        <f aca="false">IFERROR(IF(OR(5&gt;$B$3,ISBLANK(Actuals!G24)),"",(Budget!G24-Actuals!G24)/ABS(Budget!G24)),"")</f>
        <v>-1.43645026065245</v>
      </c>
      <c r="V18" s="131" t="n">
        <f aca="false">Budget!H24</f>
        <v>-25071.7</v>
      </c>
      <c r="W18" s="131" t="n">
        <f aca="false">IF(OR(6&gt;$B$3,ISBLANK(Actuals!H24)),"",Actuals!H24)</f>
        <v>-8982.91</v>
      </c>
      <c r="X18" s="132" t="n">
        <f aca="false">IF(OR(6&gt;$B$3,ISBLANK(Actuals!H24)),"",Budget!H24-Actuals!H24)</f>
        <v>-16088.79</v>
      </c>
      <c r="Y18" s="132" t="n">
        <f aca="false">IFERROR(IF(OR(6&gt;$B$3,ISBLANK(Actuals!H24)),"",(Budget!H24-Actuals!H24)/ABS(Budget!H24)),"")</f>
        <v>-0.641711172357678</v>
      </c>
      <c r="Z18" s="131" t="n">
        <f aca="false">Budget!I24</f>
        <v>-25071.7</v>
      </c>
      <c r="AA18" s="131" t="n">
        <f aca="false">IF(OR(7&gt;$B$3,ISBLANK(Actuals!I24)),"",Actuals!I24)</f>
        <v>-14712.5</v>
      </c>
      <c r="AB18" s="132" t="n">
        <f aca="false">IF(OR(7&gt;$B$3,ISBLANK(Actuals!I24)),"",Budget!I24-Actuals!I24)</f>
        <v>-10359.2</v>
      </c>
      <c r="AC18" s="132" t="n">
        <f aca="false">IFERROR(IF(OR(7&gt;$B$3,ISBLANK(Actuals!I24)),"",(Budget!I24-Actuals!I24)/ABS(Budget!I24)),"")</f>
        <v>-0.413182991181292</v>
      </c>
      <c r="AD18" s="131" t="n">
        <f aca="false">Budget!J24</f>
        <v>-25071.7</v>
      </c>
      <c r="AE18" s="131" t="n">
        <f aca="false">IF(OR(8&gt;$B$3,ISBLANK(Actuals!J24)),"",Actuals!J24)</f>
        <v>-12426.27</v>
      </c>
      <c r="AF18" s="132" t="n">
        <f aca="false">IF(OR(8&gt;$B$3,ISBLANK(Actuals!J24)),"",Budget!J24-Actuals!J24)</f>
        <v>-12645.43</v>
      </c>
      <c r="AG18" s="132" t="n">
        <f aca="false">IFERROR(IF(OR(8&gt;$B$3,ISBLANK(Actuals!J24)),"",(Budget!J24-Actuals!J24)/ABS(Budget!J24)),"")</f>
        <v>-0.504370664932972</v>
      </c>
      <c r="AH18" s="131" t="n">
        <f aca="false">Budget!K24</f>
        <v>-25071.7</v>
      </c>
      <c r="AI18" s="131" t="n">
        <f aca="false">IF(OR(9&gt;$B$3,ISBLANK(Actuals!K24)),"",Actuals!K24)</f>
        <v>-11264.52</v>
      </c>
      <c r="AJ18" s="132" t="n">
        <f aca="false">IF(OR(9&gt;$B$3,ISBLANK(Actuals!K24)),"",Budget!K24-Actuals!K24)</f>
        <v>-13807.18</v>
      </c>
      <c r="AK18" s="132" t="n">
        <f aca="false">IFERROR(IF(OR(9&gt;$B$3,ISBLANK(Actuals!K24)),"",(Budget!K24-Actuals!K24)/ABS(Budget!K24)),"")</f>
        <v>-0.550707770115309</v>
      </c>
      <c r="AL18" s="131" t="n">
        <f aca="false">Budget!L24</f>
        <v>-25071.7</v>
      </c>
      <c r="AM18" s="131" t="str">
        <f aca="false">IF(OR(10&gt;$B$3,ISBLANK(Actuals!L24)),"",Actuals!L24)</f>
        <v/>
      </c>
      <c r="AN18" s="132" t="str">
        <f aca="false">IF(OR(10&gt;$B$3,ISBLANK(Actuals!L24)),"",Budget!L24-Actuals!L24)</f>
        <v/>
      </c>
      <c r="AO18" s="132" t="str">
        <f aca="false">IFERROR(IF(OR(10&gt;$B$3,ISBLANK(Actuals!L24)),"",(Budget!L24-Actuals!L24)/ABS(Budget!L24)),"")</f>
        <v/>
      </c>
      <c r="AP18" s="131" t="n">
        <f aca="false">Budget!M24</f>
        <v>-25071.7</v>
      </c>
      <c r="AQ18" s="131" t="str">
        <f aca="false">IF(OR(11&gt;$B$3,ISBLANK(Actuals!M24)),"",Actuals!M24)</f>
        <v/>
      </c>
      <c r="AR18" s="132" t="str">
        <f aca="false">IF(OR(11&gt;$B$3,ISBLANK(Actuals!M24)),"",Budget!M24-Actuals!M24)</f>
        <v/>
      </c>
      <c r="AS18" s="132" t="str">
        <f aca="false">IFERROR(IF(OR(11&gt;$B$3,ISBLANK(Actuals!M24)),"",(Budget!M24-Actuals!M24)/ABS(Budget!M24)),"")</f>
        <v/>
      </c>
      <c r="AT18" s="131" t="n">
        <f aca="false">Budget!N24</f>
        <v>-25071.7</v>
      </c>
      <c r="AU18" s="131" t="str">
        <f aca="false">IF(OR(12&gt;$B$3,ISBLANK(Actuals!N24)),"",Actuals!N24)</f>
        <v/>
      </c>
      <c r="AV18" s="132" t="str">
        <f aca="false">IF(OR(12&gt;$B$3,ISBLANK(Actuals!N24)),"",Budget!N24-Actuals!N24)</f>
        <v/>
      </c>
      <c r="AW18" s="132" t="str">
        <f aca="false">IFERROR(IF(OR(12&gt;$B$3,ISBLANK(Actuals!N24)),"",(Budget!N24-Actuals!N24)/ABS(Budget!N24)),"")</f>
        <v/>
      </c>
      <c r="AX18" s="133" t="n">
        <f aca="false">SUMPRODUCT((Actuals!C24:N24&lt;&gt;"")*(Budget!C24:N24))</f>
        <v>-225645.3</v>
      </c>
      <c r="AY18" s="133" t="n">
        <f aca="false">SUM(Actuals!C24:N24)</f>
        <v>-63206.18</v>
      </c>
      <c r="AZ18" s="134" t="n">
        <f aca="false">AX18-AY18</f>
        <v>-162439.12</v>
      </c>
    </row>
    <row r="19" customFormat="false" ht="15" hidden="false" customHeight="true" outlineLevel="0" collapsed="false">
      <c r="A19" s="130" t="s">
        <v>68</v>
      </c>
      <c r="B19" s="131" t="n">
        <f aca="false">Budget!C25</f>
        <v>-1731.41</v>
      </c>
      <c r="C19" s="131" t="n">
        <f aca="false">IF(OR(1&gt;$B$3,ISBLANK(Actuals!C25)),"",Actuals!C25)</f>
        <v>-2542.47</v>
      </c>
      <c r="D19" s="132" t="n">
        <f aca="false">IF(OR(1&gt;$B$3,ISBLANK(Actuals!C25)),"",Budget!C25-Actuals!C25)</f>
        <v>811.06</v>
      </c>
      <c r="E19" s="132" t="n">
        <f aca="false">IFERROR(IF(OR(1&gt;$B$3,ISBLANK(Actuals!C25)),"",(Budget!C25-Actuals!C25)/ABS(Budget!C25)),"")</f>
        <v>0.468439017910258</v>
      </c>
      <c r="F19" s="131" t="n">
        <f aca="false">Budget!D25</f>
        <v>-1731.41</v>
      </c>
      <c r="G19" s="131" t="n">
        <f aca="false">IF(OR(2&gt;$B$3,ISBLANK(Actuals!D25)),"",Actuals!D25)</f>
        <v>-1618.75</v>
      </c>
      <c r="H19" s="132" t="n">
        <f aca="false">IF(OR(2&gt;$B$3,ISBLANK(Actuals!D25)),"",Budget!D25-Actuals!D25)</f>
        <v>-112.66</v>
      </c>
      <c r="I19" s="132" t="n">
        <f aca="false">IFERROR(IF(OR(2&gt;$B$3,ISBLANK(Actuals!D25)),"",(Budget!D25-Actuals!D25)/ABS(Budget!D25)),"")</f>
        <v>-0.0650683546935735</v>
      </c>
      <c r="J19" s="131" t="n">
        <f aca="false">Budget!E25</f>
        <v>-1731.41</v>
      </c>
      <c r="K19" s="131" t="n">
        <f aca="false">IF(OR(3&gt;$B$3,ISBLANK(Actuals!E25)),"",Actuals!E25)</f>
        <v>3406.77</v>
      </c>
      <c r="L19" s="132" t="n">
        <f aca="false">IF(OR(3&gt;$B$3,ISBLANK(Actuals!E25)),"",Budget!E25-Actuals!E25)</f>
        <v>-5138.18</v>
      </c>
      <c r="M19" s="132" t="n">
        <f aca="false">IFERROR(IF(OR(3&gt;$B$3,ISBLANK(Actuals!E25)),"",(Budget!E25-Actuals!E25)/ABS(Budget!E25)),"")</f>
        <v>-2.96762754055943</v>
      </c>
      <c r="N19" s="131" t="n">
        <f aca="false">Budget!F25</f>
        <v>-1731.41</v>
      </c>
      <c r="O19" s="131" t="n">
        <f aca="false">IF(OR(4&gt;$B$3,ISBLANK(Actuals!F25)),"",Actuals!F25)</f>
        <v>2575.42</v>
      </c>
      <c r="P19" s="132" t="n">
        <f aca="false">IF(OR(4&gt;$B$3,ISBLANK(Actuals!F25)),"",Budget!F25-Actuals!F25)</f>
        <v>-4306.83</v>
      </c>
      <c r="Q19" s="132" t="n">
        <f aca="false">IFERROR(IF(OR(4&gt;$B$3,ISBLANK(Actuals!F25)),"",(Budget!F25-Actuals!F25)/ABS(Budget!F25)),"")</f>
        <v>-2.48746975008808</v>
      </c>
      <c r="R19" s="131" t="n">
        <f aca="false">Budget!G25</f>
        <v>-1731.41</v>
      </c>
      <c r="S19" s="131" t="n">
        <f aca="false">IF(OR(5&gt;$B$3,ISBLANK(Actuals!G25)),"",Actuals!G25)</f>
        <v>-1896.11</v>
      </c>
      <c r="T19" s="132" t="n">
        <f aca="false">IF(OR(5&gt;$B$3,ISBLANK(Actuals!G25)),"",Budget!G25-Actuals!G25)</f>
        <v>164.7</v>
      </c>
      <c r="U19" s="132" t="n">
        <f aca="false">IFERROR(IF(OR(5&gt;$B$3,ISBLANK(Actuals!G25)),"",(Budget!G25-Actuals!G25)/ABS(Budget!G25)),"")</f>
        <v>0.0951247826915634</v>
      </c>
      <c r="V19" s="131" t="n">
        <f aca="false">Budget!H25</f>
        <v>-1731.41</v>
      </c>
      <c r="W19" s="131" t="n">
        <f aca="false">IF(OR(6&gt;$B$3,ISBLANK(Actuals!H25)),"",Actuals!H25)</f>
        <v>-2888.37</v>
      </c>
      <c r="X19" s="132" t="n">
        <f aca="false">IF(OR(6&gt;$B$3,ISBLANK(Actuals!H25)),"",Budget!H25-Actuals!H25)</f>
        <v>1156.96</v>
      </c>
      <c r="Y19" s="132" t="n">
        <f aca="false">IFERROR(IF(OR(6&gt;$B$3,ISBLANK(Actuals!H25)),"",(Budget!H25-Actuals!H25)/ABS(Budget!H25)),"")</f>
        <v>0.668218388481064</v>
      </c>
      <c r="Z19" s="131" t="n">
        <f aca="false">Budget!I25</f>
        <v>-1731.41</v>
      </c>
      <c r="AA19" s="131" t="n">
        <f aca="false">IF(OR(7&gt;$B$3,ISBLANK(Actuals!I25)),"",Actuals!I25)</f>
        <v>636.26</v>
      </c>
      <c r="AB19" s="132" t="n">
        <f aca="false">IF(OR(7&gt;$B$3,ISBLANK(Actuals!I25)),"",Budget!I25-Actuals!I25)</f>
        <v>-2367.67</v>
      </c>
      <c r="AC19" s="132" t="n">
        <f aca="false">IFERROR(IF(OR(7&gt;$B$3,ISBLANK(Actuals!I25)),"",(Budget!I25-Actuals!I25)/ABS(Budget!I25)),"")</f>
        <v>-1.36748083931593</v>
      </c>
      <c r="AD19" s="131" t="n">
        <f aca="false">Budget!J25</f>
        <v>-1731.41</v>
      </c>
      <c r="AE19" s="131" t="n">
        <f aca="false">IF(OR(8&gt;$B$3,ISBLANK(Actuals!J25)),"",Actuals!J25)</f>
        <v>-2370.43</v>
      </c>
      <c r="AF19" s="132" t="n">
        <f aca="false">IF(OR(8&gt;$B$3,ISBLANK(Actuals!J25)),"",Budget!J25-Actuals!J25)</f>
        <v>639.02</v>
      </c>
      <c r="AG19" s="132" t="n">
        <f aca="false">IFERROR(IF(OR(8&gt;$B$3,ISBLANK(Actuals!J25)),"",(Budget!J25-Actuals!J25)/ABS(Budget!J25)),"")</f>
        <v>0.369074915820054</v>
      </c>
      <c r="AH19" s="131" t="n">
        <f aca="false">Budget!K25</f>
        <v>-1731.41</v>
      </c>
      <c r="AI19" s="131" t="n">
        <f aca="false">IF(OR(9&gt;$B$3,ISBLANK(Actuals!K25)),"",Actuals!K25)</f>
        <v>-2397</v>
      </c>
      <c r="AJ19" s="132" t="n">
        <f aca="false">IF(OR(9&gt;$B$3,ISBLANK(Actuals!K25)),"",Budget!K25-Actuals!K25)</f>
        <v>665.59</v>
      </c>
      <c r="AK19" s="132" t="n">
        <f aca="false">IFERROR(IF(OR(9&gt;$B$3,ISBLANK(Actuals!K25)),"",(Budget!K25-Actuals!K25)/ABS(Budget!K25)),"")</f>
        <v>0.384420789991972</v>
      </c>
      <c r="AL19" s="131" t="n">
        <f aca="false">Budget!L25</f>
        <v>-1731.41</v>
      </c>
      <c r="AM19" s="131" t="str">
        <f aca="false">IF(OR(10&gt;$B$3,ISBLANK(Actuals!L25)),"",Actuals!L25)</f>
        <v/>
      </c>
      <c r="AN19" s="132" t="str">
        <f aca="false">IF(OR(10&gt;$B$3,ISBLANK(Actuals!L25)),"",Budget!L25-Actuals!L25)</f>
        <v/>
      </c>
      <c r="AO19" s="132" t="str">
        <f aca="false">IFERROR(IF(OR(10&gt;$B$3,ISBLANK(Actuals!L25)),"",(Budget!L25-Actuals!L25)/ABS(Budget!L25)),"")</f>
        <v/>
      </c>
      <c r="AP19" s="131" t="n">
        <f aca="false">Budget!M25</f>
        <v>-1731.41</v>
      </c>
      <c r="AQ19" s="131" t="str">
        <f aca="false">IF(OR(11&gt;$B$3,ISBLANK(Actuals!M25)),"",Actuals!M25)</f>
        <v/>
      </c>
      <c r="AR19" s="132" t="str">
        <f aca="false">IF(OR(11&gt;$B$3,ISBLANK(Actuals!M25)),"",Budget!M25-Actuals!M25)</f>
        <v/>
      </c>
      <c r="AS19" s="132" t="str">
        <f aca="false">IFERROR(IF(OR(11&gt;$B$3,ISBLANK(Actuals!M25)),"",(Budget!M25-Actuals!M25)/ABS(Budget!M25)),"")</f>
        <v/>
      </c>
      <c r="AT19" s="131" t="n">
        <f aca="false">Budget!N25</f>
        <v>-1731.41</v>
      </c>
      <c r="AU19" s="131" t="str">
        <f aca="false">IF(OR(12&gt;$B$3,ISBLANK(Actuals!N25)),"",Actuals!N25)</f>
        <v/>
      </c>
      <c r="AV19" s="132" t="str">
        <f aca="false">IF(OR(12&gt;$B$3,ISBLANK(Actuals!N25)),"",Budget!N25-Actuals!N25)</f>
        <v/>
      </c>
      <c r="AW19" s="132" t="str">
        <f aca="false">IFERROR(IF(OR(12&gt;$B$3,ISBLANK(Actuals!N25)),"",(Budget!N25-Actuals!N25)/ABS(Budget!N25)),"")</f>
        <v/>
      </c>
      <c r="AX19" s="133" t="n">
        <f aca="false">SUMPRODUCT((Actuals!C25:N25&lt;&gt;"")*(Budget!C25:N25))</f>
        <v>-15582.69</v>
      </c>
      <c r="AY19" s="133" t="n">
        <f aca="false">SUM(Actuals!C25:N25)</f>
        <v>-7094.68</v>
      </c>
      <c r="AZ19" s="134" t="n">
        <f aca="false">AX19-AY19</f>
        <v>-8488.01</v>
      </c>
    </row>
    <row r="20" customFormat="false" ht="15" hidden="false" customHeight="true" outlineLevel="0" collapsed="false">
      <c r="A20" s="130" t="s">
        <v>69</v>
      </c>
      <c r="B20" s="131" t="n">
        <f aca="false">Budget!C26</f>
        <v>-1008</v>
      </c>
      <c r="C20" s="131" t="n">
        <f aca="false">IF(OR(1&gt;$B$3,ISBLANK(Actuals!C26)),"",Actuals!C26)</f>
        <v>-195</v>
      </c>
      <c r="D20" s="132" t="n">
        <f aca="false">IF(OR(1&gt;$B$3,ISBLANK(Actuals!C26)),"",Budget!C26-Actuals!C26)</f>
        <v>-813</v>
      </c>
      <c r="E20" s="132" t="n">
        <f aca="false">IFERROR(IF(OR(1&gt;$B$3,ISBLANK(Actuals!C26)),"",(Budget!C26-Actuals!C26)/ABS(Budget!C26)),"")</f>
        <v>-0.806547619047619</v>
      </c>
      <c r="F20" s="131" t="n">
        <f aca="false">Budget!D26</f>
        <v>-1008</v>
      </c>
      <c r="G20" s="131" t="n">
        <f aca="false">IF(OR(2&gt;$B$3,ISBLANK(Actuals!D26)),"",Actuals!D26)</f>
        <v>-200</v>
      </c>
      <c r="H20" s="132" t="n">
        <f aca="false">IF(OR(2&gt;$B$3,ISBLANK(Actuals!D26)),"",Budget!D26-Actuals!D26)</f>
        <v>-808</v>
      </c>
      <c r="I20" s="132" t="n">
        <f aca="false">IFERROR(IF(OR(2&gt;$B$3,ISBLANK(Actuals!D26)),"",(Budget!D26-Actuals!D26)/ABS(Budget!D26)),"")</f>
        <v>-0.801587301587302</v>
      </c>
      <c r="J20" s="131" t="n">
        <f aca="false">Budget!E26</f>
        <v>-1008</v>
      </c>
      <c r="K20" s="131" t="n">
        <f aca="false">IF(OR(3&gt;$B$3,ISBLANK(Actuals!E26)),"",Actuals!E26)</f>
        <v>0</v>
      </c>
      <c r="L20" s="132" t="n">
        <f aca="false">IF(OR(3&gt;$B$3,ISBLANK(Actuals!E26)),"",Budget!E26-Actuals!E26)</f>
        <v>-1008</v>
      </c>
      <c r="M20" s="132" t="n">
        <f aca="false">IFERROR(IF(OR(3&gt;$B$3,ISBLANK(Actuals!E26)),"",(Budget!E26-Actuals!E26)/ABS(Budget!E26)),"")</f>
        <v>-1</v>
      </c>
      <c r="N20" s="131" t="n">
        <f aca="false">Budget!F26</f>
        <v>-1008</v>
      </c>
      <c r="O20" s="131" t="n">
        <f aca="false">IF(OR(4&gt;$B$3,ISBLANK(Actuals!F26)),"",Actuals!F26)</f>
        <v>0</v>
      </c>
      <c r="P20" s="132" t="n">
        <f aca="false">IF(OR(4&gt;$B$3,ISBLANK(Actuals!F26)),"",Budget!F26-Actuals!F26)</f>
        <v>-1008</v>
      </c>
      <c r="Q20" s="132" t="n">
        <f aca="false">IFERROR(IF(OR(4&gt;$B$3,ISBLANK(Actuals!F26)),"",(Budget!F26-Actuals!F26)/ABS(Budget!F26)),"")</f>
        <v>-1</v>
      </c>
      <c r="R20" s="131" t="n">
        <f aca="false">Budget!G26</f>
        <v>-1008</v>
      </c>
      <c r="S20" s="131" t="n">
        <f aca="false">IF(OR(5&gt;$B$3,ISBLANK(Actuals!G26)),"",Actuals!G26)</f>
        <v>0</v>
      </c>
      <c r="T20" s="132" t="n">
        <f aca="false">IF(OR(5&gt;$B$3,ISBLANK(Actuals!G26)),"",Budget!G26-Actuals!G26)</f>
        <v>-1008</v>
      </c>
      <c r="U20" s="132" t="n">
        <f aca="false">IFERROR(IF(OR(5&gt;$B$3,ISBLANK(Actuals!G26)),"",(Budget!G26-Actuals!G26)/ABS(Budget!G26)),"")</f>
        <v>-1</v>
      </c>
      <c r="V20" s="131" t="n">
        <f aca="false">Budget!H26</f>
        <v>-1008</v>
      </c>
      <c r="W20" s="131" t="n">
        <f aca="false">IF(OR(6&gt;$B$3,ISBLANK(Actuals!H26)),"",Actuals!H26)</f>
        <v>0</v>
      </c>
      <c r="X20" s="132" t="n">
        <f aca="false">IF(OR(6&gt;$B$3,ISBLANK(Actuals!H26)),"",Budget!H26-Actuals!H26)</f>
        <v>-1008</v>
      </c>
      <c r="Y20" s="132" t="n">
        <f aca="false">IFERROR(IF(OR(6&gt;$B$3,ISBLANK(Actuals!H26)),"",(Budget!H26-Actuals!H26)/ABS(Budget!H26)),"")</f>
        <v>-1</v>
      </c>
      <c r="Z20" s="131" t="n">
        <f aca="false">Budget!I26</f>
        <v>-1008</v>
      </c>
      <c r="AA20" s="131" t="n">
        <f aca="false">IF(OR(7&gt;$B$3,ISBLANK(Actuals!I26)),"",Actuals!I26)</f>
        <v>0</v>
      </c>
      <c r="AB20" s="132" t="n">
        <f aca="false">IF(OR(7&gt;$B$3,ISBLANK(Actuals!I26)),"",Budget!I26-Actuals!I26)</f>
        <v>-1008</v>
      </c>
      <c r="AC20" s="132" t="n">
        <f aca="false">IFERROR(IF(OR(7&gt;$B$3,ISBLANK(Actuals!I26)),"",(Budget!I26-Actuals!I26)/ABS(Budget!I26)),"")</f>
        <v>-1</v>
      </c>
      <c r="AD20" s="131" t="n">
        <f aca="false">Budget!J26</f>
        <v>-1008</v>
      </c>
      <c r="AE20" s="131" t="n">
        <f aca="false">IF(OR(8&gt;$B$3,ISBLANK(Actuals!J26)),"",Actuals!J26)</f>
        <v>0</v>
      </c>
      <c r="AF20" s="132" t="n">
        <f aca="false">IF(OR(8&gt;$B$3,ISBLANK(Actuals!J26)),"",Budget!J26-Actuals!J26)</f>
        <v>-1008</v>
      </c>
      <c r="AG20" s="132" t="n">
        <f aca="false">IFERROR(IF(OR(8&gt;$B$3,ISBLANK(Actuals!J26)),"",(Budget!J26-Actuals!J26)/ABS(Budget!J26)),"")</f>
        <v>-1</v>
      </c>
      <c r="AH20" s="131" t="n">
        <f aca="false">Budget!K26</f>
        <v>-1008</v>
      </c>
      <c r="AI20" s="131" t="n">
        <f aca="false">IF(OR(9&gt;$B$3,ISBLANK(Actuals!K26)),"",Actuals!K26)</f>
        <v>0</v>
      </c>
      <c r="AJ20" s="132" t="n">
        <f aca="false">IF(OR(9&gt;$B$3,ISBLANK(Actuals!K26)),"",Budget!K26-Actuals!K26)</f>
        <v>-1008</v>
      </c>
      <c r="AK20" s="132" t="n">
        <f aca="false">IFERROR(IF(OR(9&gt;$B$3,ISBLANK(Actuals!K26)),"",(Budget!K26-Actuals!K26)/ABS(Budget!K26)),"")</f>
        <v>-1</v>
      </c>
      <c r="AL20" s="131" t="n">
        <f aca="false">Budget!L26</f>
        <v>-1008</v>
      </c>
      <c r="AM20" s="131" t="str">
        <f aca="false">IF(OR(10&gt;$B$3,ISBLANK(Actuals!L26)),"",Actuals!L26)</f>
        <v/>
      </c>
      <c r="AN20" s="132" t="str">
        <f aca="false">IF(OR(10&gt;$B$3,ISBLANK(Actuals!L26)),"",Budget!L26-Actuals!L26)</f>
        <v/>
      </c>
      <c r="AO20" s="132" t="str">
        <f aca="false">IFERROR(IF(OR(10&gt;$B$3,ISBLANK(Actuals!L26)),"",(Budget!L26-Actuals!L26)/ABS(Budget!L26)),"")</f>
        <v/>
      </c>
      <c r="AP20" s="131" t="n">
        <f aca="false">Budget!M26</f>
        <v>-1008</v>
      </c>
      <c r="AQ20" s="131" t="str">
        <f aca="false">IF(OR(11&gt;$B$3,ISBLANK(Actuals!M26)),"",Actuals!M26)</f>
        <v/>
      </c>
      <c r="AR20" s="132" t="str">
        <f aca="false">IF(OR(11&gt;$B$3,ISBLANK(Actuals!M26)),"",Budget!M26-Actuals!M26)</f>
        <v/>
      </c>
      <c r="AS20" s="132" t="str">
        <f aca="false">IFERROR(IF(OR(11&gt;$B$3,ISBLANK(Actuals!M26)),"",(Budget!M26-Actuals!M26)/ABS(Budget!M26)),"")</f>
        <v/>
      </c>
      <c r="AT20" s="131" t="n">
        <f aca="false">Budget!N26</f>
        <v>-1008</v>
      </c>
      <c r="AU20" s="131" t="str">
        <f aca="false">IF(OR(12&gt;$B$3,ISBLANK(Actuals!N26)),"",Actuals!N26)</f>
        <v/>
      </c>
      <c r="AV20" s="132" t="str">
        <f aca="false">IF(OR(12&gt;$B$3,ISBLANK(Actuals!N26)),"",Budget!N26-Actuals!N26)</f>
        <v/>
      </c>
      <c r="AW20" s="132" t="str">
        <f aca="false">IFERROR(IF(OR(12&gt;$B$3,ISBLANK(Actuals!N26)),"",(Budget!N26-Actuals!N26)/ABS(Budget!N26)),"")</f>
        <v/>
      </c>
      <c r="AX20" s="133" t="n">
        <f aca="false">SUMPRODUCT((Actuals!C26:N26&lt;&gt;"")*(Budget!C26:N26))</f>
        <v>-9072</v>
      </c>
      <c r="AY20" s="133" t="n">
        <f aca="false">SUM(Actuals!C26:N26)</f>
        <v>-395</v>
      </c>
      <c r="AZ20" s="134" t="n">
        <f aca="false">AX20-AY20</f>
        <v>-8677</v>
      </c>
    </row>
    <row r="21" customFormat="false" ht="15" hidden="false" customHeight="true" outlineLevel="0" collapsed="false">
      <c r="A21" s="130" t="s">
        <v>70</v>
      </c>
      <c r="B21" s="131" t="n">
        <f aca="false">Budget!C27</f>
        <v>0</v>
      </c>
      <c r="C21" s="131" t="n">
        <f aca="false">IF(OR(1&gt;$B$3,ISBLANK(Actuals!C27)),"",Actuals!C27)</f>
        <v>-33002.28</v>
      </c>
      <c r="D21" s="132" t="n">
        <f aca="false">IF(OR(1&gt;$B$3,ISBLANK(Actuals!C27)),"",Budget!C27-Actuals!C27)</f>
        <v>33002.28</v>
      </c>
      <c r="E21" s="132" t="str">
        <f aca="false">IFERROR(IF(OR(1&gt;$B$3,ISBLANK(Actuals!C27)),"",(Budget!C27-Actuals!C27)/ABS(Budget!C27)),"")</f>
        <v/>
      </c>
      <c r="F21" s="131" t="n">
        <f aca="false">Budget!D27</f>
        <v>0</v>
      </c>
      <c r="G21" s="131" t="n">
        <f aca="false">IF(OR(2&gt;$B$3,ISBLANK(Actuals!D27)),"",Actuals!D27)</f>
        <v>-29166.66</v>
      </c>
      <c r="H21" s="132" t="n">
        <f aca="false">IF(OR(2&gt;$B$3,ISBLANK(Actuals!D27)),"",Budget!D27-Actuals!D27)</f>
        <v>29166.66</v>
      </c>
      <c r="I21" s="132" t="str">
        <f aca="false">IFERROR(IF(OR(2&gt;$B$3,ISBLANK(Actuals!D27)),"",(Budget!D27-Actuals!D27)/ABS(Budget!D27)),"")</f>
        <v/>
      </c>
      <c r="J21" s="131" t="n">
        <f aca="false">Budget!E27</f>
        <v>0</v>
      </c>
      <c r="K21" s="131" t="n">
        <f aca="false">IF(OR(3&gt;$B$3,ISBLANK(Actuals!E27)),"",Actuals!E27)</f>
        <v>-41666.66</v>
      </c>
      <c r="L21" s="132" t="n">
        <f aca="false">IF(OR(3&gt;$B$3,ISBLANK(Actuals!E27)),"",Budget!E27-Actuals!E27)</f>
        <v>41666.66</v>
      </c>
      <c r="M21" s="132" t="str">
        <f aca="false">IFERROR(IF(OR(3&gt;$B$3,ISBLANK(Actuals!E27)),"",(Budget!E27-Actuals!E27)/ABS(Budget!E27)),"")</f>
        <v/>
      </c>
      <c r="N21" s="131" t="n">
        <f aca="false">Budget!F27</f>
        <v>0</v>
      </c>
      <c r="O21" s="131" t="n">
        <f aca="false">IF(OR(4&gt;$B$3,ISBLANK(Actuals!F27)),"",Actuals!F27)</f>
        <v>-29166.66</v>
      </c>
      <c r="P21" s="132" t="n">
        <f aca="false">IF(OR(4&gt;$B$3,ISBLANK(Actuals!F27)),"",Budget!F27-Actuals!F27)</f>
        <v>29166.66</v>
      </c>
      <c r="Q21" s="132" t="str">
        <f aca="false">IFERROR(IF(OR(4&gt;$B$3,ISBLANK(Actuals!F27)),"",(Budget!F27-Actuals!F27)/ABS(Budget!F27)),"")</f>
        <v/>
      </c>
      <c r="R21" s="131" t="n">
        <f aca="false">Budget!G27</f>
        <v>0</v>
      </c>
      <c r="S21" s="131" t="n">
        <f aca="false">IF(OR(5&gt;$B$3,ISBLANK(Actuals!G27)),"",Actuals!G27)</f>
        <v>-29166.66</v>
      </c>
      <c r="T21" s="132" t="n">
        <f aca="false">IF(OR(5&gt;$B$3,ISBLANK(Actuals!G27)),"",Budget!G27-Actuals!G27)</f>
        <v>29166.66</v>
      </c>
      <c r="U21" s="132" t="str">
        <f aca="false">IFERROR(IF(OR(5&gt;$B$3,ISBLANK(Actuals!G27)),"",(Budget!G27-Actuals!G27)/ABS(Budget!G27)),"")</f>
        <v/>
      </c>
      <c r="V21" s="131" t="n">
        <f aca="false">Budget!H27</f>
        <v>0</v>
      </c>
      <c r="W21" s="131" t="n">
        <f aca="false">IF(OR(6&gt;$B$3,ISBLANK(Actuals!H27)),"",Actuals!H27)</f>
        <v>-29166.66</v>
      </c>
      <c r="X21" s="132" t="n">
        <f aca="false">IF(OR(6&gt;$B$3,ISBLANK(Actuals!H27)),"",Budget!H27-Actuals!H27)</f>
        <v>29166.66</v>
      </c>
      <c r="Y21" s="132" t="str">
        <f aca="false">IFERROR(IF(OR(6&gt;$B$3,ISBLANK(Actuals!H27)),"",(Budget!H27-Actuals!H27)/ABS(Budget!H27)),"")</f>
        <v/>
      </c>
      <c r="Z21" s="131" t="n">
        <f aca="false">Budget!I27</f>
        <v>0</v>
      </c>
      <c r="AA21" s="131" t="n">
        <f aca="false">IF(OR(7&gt;$B$3,ISBLANK(Actuals!I27)),"",Actuals!I27)</f>
        <v>-29166.66</v>
      </c>
      <c r="AB21" s="132" t="n">
        <f aca="false">IF(OR(7&gt;$B$3,ISBLANK(Actuals!I27)),"",Budget!I27-Actuals!I27)</f>
        <v>29166.66</v>
      </c>
      <c r="AC21" s="132" t="str">
        <f aca="false">IFERROR(IF(OR(7&gt;$B$3,ISBLANK(Actuals!I27)),"",(Budget!I27-Actuals!I27)/ABS(Budget!I27)),"")</f>
        <v/>
      </c>
      <c r="AD21" s="131" t="n">
        <f aca="false">Budget!J27</f>
        <v>0</v>
      </c>
      <c r="AE21" s="131" t="n">
        <f aca="false">IF(OR(8&gt;$B$3,ISBLANK(Actuals!J27)),"",Actuals!J27)</f>
        <v>-29166.66</v>
      </c>
      <c r="AF21" s="132" t="n">
        <f aca="false">IF(OR(8&gt;$B$3,ISBLANK(Actuals!J27)),"",Budget!J27-Actuals!J27)</f>
        <v>29166.66</v>
      </c>
      <c r="AG21" s="132" t="str">
        <f aca="false">IFERROR(IF(OR(8&gt;$B$3,ISBLANK(Actuals!J27)),"",(Budget!J27-Actuals!J27)/ABS(Budget!J27)),"")</f>
        <v/>
      </c>
      <c r="AH21" s="131" t="n">
        <f aca="false">Budget!K27</f>
        <v>0</v>
      </c>
      <c r="AI21" s="131" t="n">
        <f aca="false">IF(OR(9&gt;$B$3,ISBLANK(Actuals!K27)),"",Actuals!K27)</f>
        <v>-29166.66</v>
      </c>
      <c r="AJ21" s="132" t="n">
        <f aca="false">IF(OR(9&gt;$B$3,ISBLANK(Actuals!K27)),"",Budget!K27-Actuals!K27)</f>
        <v>29166.66</v>
      </c>
      <c r="AK21" s="132" t="str">
        <f aca="false">IFERROR(IF(OR(9&gt;$B$3,ISBLANK(Actuals!K27)),"",(Budget!K27-Actuals!K27)/ABS(Budget!K27)),"")</f>
        <v/>
      </c>
      <c r="AL21" s="131" t="n">
        <f aca="false">Budget!L27</f>
        <v>0</v>
      </c>
      <c r="AM21" s="131" t="str">
        <f aca="false">IF(OR(10&gt;$B$3,ISBLANK(Actuals!L27)),"",Actuals!L27)</f>
        <v/>
      </c>
      <c r="AN21" s="132" t="str">
        <f aca="false">IF(OR(10&gt;$B$3,ISBLANK(Actuals!L27)),"",Budget!L27-Actuals!L27)</f>
        <v/>
      </c>
      <c r="AO21" s="132" t="str">
        <f aca="false">IFERROR(IF(OR(10&gt;$B$3,ISBLANK(Actuals!L27)),"",(Budget!L27-Actuals!L27)/ABS(Budget!L27)),"")</f>
        <v/>
      </c>
      <c r="AP21" s="131" t="n">
        <f aca="false">Budget!M27</f>
        <v>0</v>
      </c>
      <c r="AQ21" s="131" t="str">
        <f aca="false">IF(OR(11&gt;$B$3,ISBLANK(Actuals!M27)),"",Actuals!M27)</f>
        <v/>
      </c>
      <c r="AR21" s="132" t="str">
        <f aca="false">IF(OR(11&gt;$B$3,ISBLANK(Actuals!M27)),"",Budget!M27-Actuals!M27)</f>
        <v/>
      </c>
      <c r="AS21" s="132" t="str">
        <f aca="false">IFERROR(IF(OR(11&gt;$B$3,ISBLANK(Actuals!M27)),"",(Budget!M27-Actuals!M27)/ABS(Budget!M27)),"")</f>
        <v/>
      </c>
      <c r="AT21" s="131" t="n">
        <f aca="false">Budget!N27</f>
        <v>0</v>
      </c>
      <c r="AU21" s="131" t="str">
        <f aca="false">IF(OR(12&gt;$B$3,ISBLANK(Actuals!N27)),"",Actuals!N27)</f>
        <v/>
      </c>
      <c r="AV21" s="132" t="str">
        <f aca="false">IF(OR(12&gt;$B$3,ISBLANK(Actuals!N27)),"",Budget!N27-Actuals!N27)</f>
        <v/>
      </c>
      <c r="AW21" s="132" t="str">
        <f aca="false">IFERROR(IF(OR(12&gt;$B$3,ISBLANK(Actuals!N27)),"",(Budget!N27-Actuals!N27)/ABS(Budget!N27)),"")</f>
        <v/>
      </c>
      <c r="AX21" s="133" t="n">
        <f aca="false">SUMPRODUCT((Actuals!C27:N27&lt;&gt;"")*(Budget!C27:N27))</f>
        <v>0</v>
      </c>
      <c r="AY21" s="133" t="n">
        <f aca="false">SUM(Actuals!C27:N27)</f>
        <v>-278835.56</v>
      </c>
      <c r="AZ21" s="134" t="n">
        <f aca="false">AX21-AY21</f>
        <v>278835.56</v>
      </c>
    </row>
    <row r="22" customFormat="false" ht="15" hidden="false" customHeight="true" outlineLevel="0" collapsed="false">
      <c r="A22" s="130" t="s">
        <v>71</v>
      </c>
      <c r="B22" s="131" t="n">
        <f aca="false">Budget!C28</f>
        <v>0</v>
      </c>
      <c r="C22" s="131" t="n">
        <f aca="false">IF(OR(1&gt;$B$3,ISBLANK(Actuals!C28)),"",Actuals!C28)</f>
        <v>0</v>
      </c>
      <c r="D22" s="132" t="n">
        <f aca="false">IF(OR(1&gt;$B$3,ISBLANK(Actuals!C28)),"",Budget!C28-Actuals!C28)</f>
        <v>0</v>
      </c>
      <c r="E22" s="132" t="str">
        <f aca="false">IFERROR(IF(OR(1&gt;$B$3,ISBLANK(Actuals!C28)),"",(Budget!C28-Actuals!C28)/ABS(Budget!C28)),"")</f>
        <v/>
      </c>
      <c r="F22" s="131" t="n">
        <f aca="false">Budget!D28</f>
        <v>0</v>
      </c>
      <c r="G22" s="131" t="n">
        <f aca="false">IF(OR(2&gt;$B$3,ISBLANK(Actuals!D28)),"",Actuals!D28)</f>
        <v>0</v>
      </c>
      <c r="H22" s="132" t="n">
        <f aca="false">IF(OR(2&gt;$B$3,ISBLANK(Actuals!D28)),"",Budget!D28-Actuals!D28)</f>
        <v>0</v>
      </c>
      <c r="I22" s="132" t="str">
        <f aca="false">IFERROR(IF(OR(2&gt;$B$3,ISBLANK(Actuals!D28)),"",(Budget!D28-Actuals!D28)/ABS(Budget!D28)),"")</f>
        <v/>
      </c>
      <c r="J22" s="131" t="n">
        <f aca="false">Budget!E28</f>
        <v>0</v>
      </c>
      <c r="K22" s="131" t="n">
        <f aca="false">IF(OR(3&gt;$B$3,ISBLANK(Actuals!E28)),"",Actuals!E28)</f>
        <v>0</v>
      </c>
      <c r="L22" s="132" t="n">
        <f aca="false">IF(OR(3&gt;$B$3,ISBLANK(Actuals!E28)),"",Budget!E28-Actuals!E28)</f>
        <v>0</v>
      </c>
      <c r="M22" s="132" t="str">
        <f aca="false">IFERROR(IF(OR(3&gt;$B$3,ISBLANK(Actuals!E28)),"",(Budget!E28-Actuals!E28)/ABS(Budget!E28)),"")</f>
        <v/>
      </c>
      <c r="N22" s="131" t="n">
        <f aca="false">Budget!F28</f>
        <v>0</v>
      </c>
      <c r="O22" s="131" t="n">
        <f aca="false">IF(OR(4&gt;$B$3,ISBLANK(Actuals!F28)),"",Actuals!F28)</f>
        <v>251304.48</v>
      </c>
      <c r="P22" s="132" t="n">
        <f aca="false">IF(OR(4&gt;$B$3,ISBLANK(Actuals!F28)),"",Budget!F28-Actuals!F28)</f>
        <v>-251304.48</v>
      </c>
      <c r="Q22" s="132" t="str">
        <f aca="false">IFERROR(IF(OR(4&gt;$B$3,ISBLANK(Actuals!F28)),"",(Budget!F28-Actuals!F28)/ABS(Budget!F28)),"")</f>
        <v/>
      </c>
      <c r="R22" s="131" t="n">
        <f aca="false">Budget!G28</f>
        <v>0</v>
      </c>
      <c r="S22" s="131" t="n">
        <f aca="false">IF(OR(5&gt;$B$3,ISBLANK(Actuals!G28)),"",Actuals!G28)</f>
        <v>81510</v>
      </c>
      <c r="T22" s="132" t="n">
        <f aca="false">IF(OR(5&gt;$B$3,ISBLANK(Actuals!G28)),"",Budget!G28-Actuals!G28)</f>
        <v>-81510</v>
      </c>
      <c r="U22" s="132" t="str">
        <f aca="false">IFERROR(IF(OR(5&gt;$B$3,ISBLANK(Actuals!G28)),"",(Budget!G28-Actuals!G28)/ABS(Budget!G28)),"")</f>
        <v/>
      </c>
      <c r="V22" s="131" t="n">
        <f aca="false">Budget!H28</f>
        <v>0</v>
      </c>
      <c r="W22" s="131" t="n">
        <f aca="false">IF(OR(6&gt;$B$3,ISBLANK(Actuals!H28)),"",Actuals!H28)</f>
        <v>0</v>
      </c>
      <c r="X22" s="132" t="n">
        <f aca="false">IF(OR(6&gt;$B$3,ISBLANK(Actuals!H28)),"",Budget!H28-Actuals!H28)</f>
        <v>0</v>
      </c>
      <c r="Y22" s="132" t="str">
        <f aca="false">IFERROR(IF(OR(6&gt;$B$3,ISBLANK(Actuals!H28)),"",(Budget!H28-Actuals!H28)/ABS(Budget!H28)),"")</f>
        <v/>
      </c>
      <c r="Z22" s="131" t="n">
        <f aca="false">Budget!I28</f>
        <v>0</v>
      </c>
      <c r="AA22" s="131" t="n">
        <f aca="false">IF(OR(7&gt;$B$3,ISBLANK(Actuals!I28)),"",Actuals!I28)</f>
        <v>0</v>
      </c>
      <c r="AB22" s="132" t="n">
        <f aca="false">IF(OR(7&gt;$B$3,ISBLANK(Actuals!I28)),"",Budget!I28-Actuals!I28)</f>
        <v>0</v>
      </c>
      <c r="AC22" s="132" t="str">
        <f aca="false">IFERROR(IF(OR(7&gt;$B$3,ISBLANK(Actuals!I28)),"",(Budget!I28-Actuals!I28)/ABS(Budget!I28)),"")</f>
        <v/>
      </c>
      <c r="AD22" s="131" t="n">
        <f aca="false">Budget!J28</f>
        <v>0</v>
      </c>
      <c r="AE22" s="131" t="n">
        <f aca="false">IF(OR(8&gt;$B$3,ISBLANK(Actuals!J28)),"",Actuals!J28)</f>
        <v>0</v>
      </c>
      <c r="AF22" s="132" t="n">
        <f aca="false">IF(OR(8&gt;$B$3,ISBLANK(Actuals!J28)),"",Budget!J28-Actuals!J28)</f>
        <v>0</v>
      </c>
      <c r="AG22" s="132" t="str">
        <f aca="false">IFERROR(IF(OR(8&gt;$B$3,ISBLANK(Actuals!J28)),"",(Budget!J28-Actuals!J28)/ABS(Budget!J28)),"")</f>
        <v/>
      </c>
      <c r="AH22" s="131" t="n">
        <f aca="false">Budget!K28</f>
        <v>0</v>
      </c>
      <c r="AI22" s="131" t="n">
        <f aca="false">IF(OR(9&gt;$B$3,ISBLANK(Actuals!K28)),"",Actuals!K28)</f>
        <v>0</v>
      </c>
      <c r="AJ22" s="132" t="n">
        <f aca="false">IF(OR(9&gt;$B$3,ISBLANK(Actuals!K28)),"",Budget!K28-Actuals!K28)</f>
        <v>0</v>
      </c>
      <c r="AK22" s="132" t="str">
        <f aca="false">IFERROR(IF(OR(9&gt;$B$3,ISBLANK(Actuals!K28)),"",(Budget!K28-Actuals!K28)/ABS(Budget!K28)),"")</f>
        <v/>
      </c>
      <c r="AL22" s="131" t="n">
        <f aca="false">Budget!L28</f>
        <v>0</v>
      </c>
      <c r="AM22" s="131" t="str">
        <f aca="false">IF(OR(10&gt;$B$3,ISBLANK(Actuals!L28)),"",Actuals!L28)</f>
        <v/>
      </c>
      <c r="AN22" s="132" t="str">
        <f aca="false">IF(OR(10&gt;$B$3,ISBLANK(Actuals!L28)),"",Budget!L28-Actuals!L28)</f>
        <v/>
      </c>
      <c r="AO22" s="132" t="str">
        <f aca="false">IFERROR(IF(OR(10&gt;$B$3,ISBLANK(Actuals!L28)),"",(Budget!L28-Actuals!L28)/ABS(Budget!L28)),"")</f>
        <v/>
      </c>
      <c r="AP22" s="131" t="n">
        <f aca="false">Budget!M28</f>
        <v>0</v>
      </c>
      <c r="AQ22" s="131" t="str">
        <f aca="false">IF(OR(11&gt;$B$3,ISBLANK(Actuals!M28)),"",Actuals!M28)</f>
        <v/>
      </c>
      <c r="AR22" s="132" t="str">
        <f aca="false">IF(OR(11&gt;$B$3,ISBLANK(Actuals!M28)),"",Budget!M28-Actuals!M28)</f>
        <v/>
      </c>
      <c r="AS22" s="132" t="str">
        <f aca="false">IFERROR(IF(OR(11&gt;$B$3,ISBLANK(Actuals!M28)),"",(Budget!M28-Actuals!M28)/ABS(Budget!M28)),"")</f>
        <v/>
      </c>
      <c r="AT22" s="131" t="n">
        <f aca="false">Budget!N28</f>
        <v>0</v>
      </c>
      <c r="AU22" s="131" t="str">
        <f aca="false">IF(OR(12&gt;$B$3,ISBLANK(Actuals!N28)),"",Actuals!N28)</f>
        <v/>
      </c>
      <c r="AV22" s="132" t="str">
        <f aca="false">IF(OR(12&gt;$B$3,ISBLANK(Actuals!N28)),"",Budget!N28-Actuals!N28)</f>
        <v/>
      </c>
      <c r="AW22" s="132" t="str">
        <f aca="false">IFERROR(IF(OR(12&gt;$B$3,ISBLANK(Actuals!N28)),"",(Budget!N28-Actuals!N28)/ABS(Budget!N28)),"")</f>
        <v/>
      </c>
      <c r="AX22" s="133" t="n">
        <f aca="false">SUMPRODUCT((Actuals!C28:N28&lt;&gt;"")*(Budget!C28:N28))</f>
        <v>0</v>
      </c>
      <c r="AY22" s="133" t="n">
        <f aca="false">SUM(Actuals!C28:N28)</f>
        <v>332814.48</v>
      </c>
      <c r="AZ22" s="134" t="n">
        <f aca="false">AX22-AY22</f>
        <v>-332814.48</v>
      </c>
    </row>
    <row r="23" customFormat="false" ht="15" hidden="false" customHeight="true" outlineLevel="0" collapsed="false">
      <c r="A23" s="130" t="s">
        <v>72</v>
      </c>
      <c r="B23" s="131" t="n">
        <f aca="false">Budget!C29</f>
        <v>-10000</v>
      </c>
      <c r="C23" s="131" t="n">
        <f aca="false">IF(OR(1&gt;$B$3,ISBLANK(Actuals!C29)),"",Actuals!C29)</f>
        <v>-10400</v>
      </c>
      <c r="D23" s="132" t="n">
        <f aca="false">IF(OR(1&gt;$B$3,ISBLANK(Actuals!C29)),"",Budget!C29-Actuals!C29)</f>
        <v>400</v>
      </c>
      <c r="E23" s="132" t="n">
        <f aca="false">IFERROR(IF(OR(1&gt;$B$3,ISBLANK(Actuals!C29)),"",(Budget!C29-Actuals!C29)/ABS(Budget!C29)),"")</f>
        <v>0.04</v>
      </c>
      <c r="F23" s="131" t="n">
        <f aca="false">Budget!D29</f>
        <v>-10000</v>
      </c>
      <c r="G23" s="131" t="n">
        <f aca="false">IF(OR(2&gt;$B$3,ISBLANK(Actuals!D29)),"",Actuals!D29)</f>
        <v>-10400</v>
      </c>
      <c r="H23" s="132" t="n">
        <f aca="false">IF(OR(2&gt;$B$3,ISBLANK(Actuals!D29)),"",Budget!D29-Actuals!D29)</f>
        <v>400</v>
      </c>
      <c r="I23" s="132" t="n">
        <f aca="false">IFERROR(IF(OR(2&gt;$B$3,ISBLANK(Actuals!D29)),"",(Budget!D29-Actuals!D29)/ABS(Budget!D29)),"")</f>
        <v>0.04</v>
      </c>
      <c r="J23" s="131" t="n">
        <f aca="false">Budget!E29</f>
        <v>-10000</v>
      </c>
      <c r="K23" s="131" t="n">
        <f aca="false">IF(OR(3&gt;$B$3,ISBLANK(Actuals!E29)),"",Actuals!E29)</f>
        <v>-400</v>
      </c>
      <c r="L23" s="132" t="n">
        <f aca="false">IF(OR(3&gt;$B$3,ISBLANK(Actuals!E29)),"",Budget!E29-Actuals!E29)</f>
        <v>-9600</v>
      </c>
      <c r="M23" s="132" t="n">
        <f aca="false">IFERROR(IF(OR(3&gt;$B$3,ISBLANK(Actuals!E29)),"",(Budget!E29-Actuals!E29)/ABS(Budget!E29)),"")</f>
        <v>-0.96</v>
      </c>
      <c r="N23" s="131" t="n">
        <f aca="false">Budget!F29</f>
        <v>-10000</v>
      </c>
      <c r="O23" s="131" t="n">
        <f aca="false">IF(OR(4&gt;$B$3,ISBLANK(Actuals!F29)),"",Actuals!F29)</f>
        <v>-10400</v>
      </c>
      <c r="P23" s="132" t="n">
        <f aca="false">IF(OR(4&gt;$B$3,ISBLANK(Actuals!F29)),"",Budget!F29-Actuals!F29)</f>
        <v>400</v>
      </c>
      <c r="Q23" s="132" t="n">
        <f aca="false">IFERROR(IF(OR(4&gt;$B$3,ISBLANK(Actuals!F29)),"",(Budget!F29-Actuals!F29)/ABS(Budget!F29)),"")</f>
        <v>0.04</v>
      </c>
      <c r="R23" s="131" t="n">
        <f aca="false">Budget!G29</f>
        <v>-10000</v>
      </c>
      <c r="S23" s="131" t="n">
        <f aca="false">IF(OR(5&gt;$B$3,ISBLANK(Actuals!G29)),"",Actuals!G29)</f>
        <v>-20400</v>
      </c>
      <c r="T23" s="132" t="n">
        <f aca="false">IF(OR(5&gt;$B$3,ISBLANK(Actuals!G29)),"",Budget!G29-Actuals!G29)</f>
        <v>10400</v>
      </c>
      <c r="U23" s="132" t="n">
        <f aca="false">IFERROR(IF(OR(5&gt;$B$3,ISBLANK(Actuals!G29)),"",(Budget!G29-Actuals!G29)/ABS(Budget!G29)),"")</f>
        <v>1.04</v>
      </c>
      <c r="V23" s="131" t="n">
        <f aca="false">Budget!H29</f>
        <v>-10000</v>
      </c>
      <c r="W23" s="131" t="n">
        <f aca="false">IF(OR(6&gt;$B$3,ISBLANK(Actuals!H29)),"",Actuals!H29)</f>
        <v>-20405</v>
      </c>
      <c r="X23" s="132" t="n">
        <f aca="false">IF(OR(6&gt;$B$3,ISBLANK(Actuals!H29)),"",Budget!H29-Actuals!H29)</f>
        <v>10405</v>
      </c>
      <c r="Y23" s="132" t="n">
        <f aca="false">IFERROR(IF(OR(6&gt;$B$3,ISBLANK(Actuals!H29)),"",(Budget!H29-Actuals!H29)/ABS(Budget!H29)),"")</f>
        <v>1.0405</v>
      </c>
      <c r="Z23" s="131" t="n">
        <f aca="false">Budget!I29</f>
        <v>-10200</v>
      </c>
      <c r="AA23" s="131" t="n">
        <f aca="false">IF(OR(7&gt;$B$3,ISBLANK(Actuals!I29)),"",Actuals!I29)</f>
        <v>-20405</v>
      </c>
      <c r="AB23" s="132" t="n">
        <f aca="false">IF(OR(7&gt;$B$3,ISBLANK(Actuals!I29)),"",Budget!I29-Actuals!I29)</f>
        <v>10205</v>
      </c>
      <c r="AC23" s="132" t="n">
        <f aca="false">IFERROR(IF(OR(7&gt;$B$3,ISBLANK(Actuals!I29)),"",(Budget!I29-Actuals!I29)/ABS(Budget!I29)),"")</f>
        <v>1.00049019607843</v>
      </c>
      <c r="AD23" s="131" t="n">
        <f aca="false">Budget!J29</f>
        <v>-10200</v>
      </c>
      <c r="AE23" s="131" t="n">
        <f aca="false">IF(OR(8&gt;$B$3,ISBLANK(Actuals!J29)),"",Actuals!J29)</f>
        <v>-20405</v>
      </c>
      <c r="AF23" s="132" t="n">
        <f aca="false">IF(OR(8&gt;$B$3,ISBLANK(Actuals!J29)),"",Budget!J29-Actuals!J29)</f>
        <v>10205</v>
      </c>
      <c r="AG23" s="132" t="n">
        <f aca="false">IFERROR(IF(OR(8&gt;$B$3,ISBLANK(Actuals!J29)),"",(Budget!J29-Actuals!J29)/ABS(Budget!J29)),"")</f>
        <v>1.00049019607843</v>
      </c>
      <c r="AH23" s="131" t="n">
        <f aca="false">Budget!K29</f>
        <v>-10200</v>
      </c>
      <c r="AI23" s="131" t="n">
        <f aca="false">IF(OR(9&gt;$B$3,ISBLANK(Actuals!K29)),"",Actuals!K29)</f>
        <v>-20000</v>
      </c>
      <c r="AJ23" s="132" t="n">
        <f aca="false">IF(OR(9&gt;$B$3,ISBLANK(Actuals!K29)),"",Budget!K29-Actuals!K29)</f>
        <v>9800</v>
      </c>
      <c r="AK23" s="132" t="n">
        <f aca="false">IFERROR(IF(OR(9&gt;$B$3,ISBLANK(Actuals!K29)),"",(Budget!K29-Actuals!K29)/ABS(Budget!K29)),"")</f>
        <v>0.96078431372549</v>
      </c>
      <c r="AL23" s="131" t="n">
        <f aca="false">Budget!L29</f>
        <v>-10200</v>
      </c>
      <c r="AM23" s="131" t="str">
        <f aca="false">IF(OR(10&gt;$B$3,ISBLANK(Actuals!L29)),"",Actuals!L29)</f>
        <v/>
      </c>
      <c r="AN23" s="132" t="str">
        <f aca="false">IF(OR(10&gt;$B$3,ISBLANK(Actuals!L29)),"",Budget!L29-Actuals!L29)</f>
        <v/>
      </c>
      <c r="AO23" s="132" t="str">
        <f aca="false">IFERROR(IF(OR(10&gt;$B$3,ISBLANK(Actuals!L29)),"",(Budget!L29-Actuals!L29)/ABS(Budget!L29)),"")</f>
        <v/>
      </c>
      <c r="AP23" s="131" t="n">
        <f aca="false">Budget!M29</f>
        <v>-10200</v>
      </c>
      <c r="AQ23" s="131" t="str">
        <f aca="false">IF(OR(11&gt;$B$3,ISBLANK(Actuals!M29)),"",Actuals!M29)</f>
        <v/>
      </c>
      <c r="AR23" s="132" t="str">
        <f aca="false">IF(OR(11&gt;$B$3,ISBLANK(Actuals!M29)),"",Budget!M29-Actuals!M29)</f>
        <v/>
      </c>
      <c r="AS23" s="132" t="str">
        <f aca="false">IFERROR(IF(OR(11&gt;$B$3,ISBLANK(Actuals!M29)),"",(Budget!M29-Actuals!M29)/ABS(Budget!M29)),"")</f>
        <v/>
      </c>
      <c r="AT23" s="131" t="n">
        <f aca="false">Budget!N29</f>
        <v>-10200</v>
      </c>
      <c r="AU23" s="131" t="str">
        <f aca="false">IF(OR(12&gt;$B$3,ISBLANK(Actuals!N29)),"",Actuals!N29)</f>
        <v/>
      </c>
      <c r="AV23" s="132" t="str">
        <f aca="false">IF(OR(12&gt;$B$3,ISBLANK(Actuals!N29)),"",Budget!N29-Actuals!N29)</f>
        <v/>
      </c>
      <c r="AW23" s="132" t="str">
        <f aca="false">IFERROR(IF(OR(12&gt;$B$3,ISBLANK(Actuals!N29)),"",(Budget!N29-Actuals!N29)/ABS(Budget!N29)),"")</f>
        <v/>
      </c>
      <c r="AX23" s="133" t="n">
        <f aca="false">SUMPRODUCT((Actuals!C29:N29&lt;&gt;"")*(Budget!C29:N29))</f>
        <v>-90600</v>
      </c>
      <c r="AY23" s="133" t="n">
        <f aca="false">SUM(Actuals!C29:N29)</f>
        <v>-133215</v>
      </c>
      <c r="AZ23" s="134" t="n">
        <f aca="false">AX23-AY23</f>
        <v>42615</v>
      </c>
    </row>
    <row r="24" customFormat="false" ht="15" hidden="false" customHeight="true" outlineLevel="0" collapsed="false">
      <c r="A24" s="130" t="s">
        <v>73</v>
      </c>
      <c r="B24" s="131" t="n">
        <f aca="false">Budget!C30</f>
        <v>-2800</v>
      </c>
      <c r="C24" s="131" t="n">
        <f aca="false">IF(OR(1&gt;$B$3,ISBLANK(Actuals!C30)),"",Actuals!C30)</f>
        <v>-1988</v>
      </c>
      <c r="D24" s="132" t="n">
        <f aca="false">IF(OR(1&gt;$B$3,ISBLANK(Actuals!C30)),"",Budget!C30-Actuals!C30)</f>
        <v>-812</v>
      </c>
      <c r="E24" s="132" t="n">
        <f aca="false">IFERROR(IF(OR(1&gt;$B$3,ISBLANK(Actuals!C30)),"",(Budget!C30-Actuals!C30)/ABS(Budget!C30)),"")</f>
        <v>-0.29</v>
      </c>
      <c r="F24" s="131" t="n">
        <f aca="false">Budget!D30</f>
        <v>-2800</v>
      </c>
      <c r="G24" s="131" t="n">
        <f aca="false">IF(OR(2&gt;$B$3,ISBLANK(Actuals!D30)),"",Actuals!D30)</f>
        <v>-955.32</v>
      </c>
      <c r="H24" s="132" t="n">
        <f aca="false">IF(OR(2&gt;$B$3,ISBLANK(Actuals!D30)),"",Budget!D30-Actuals!D30)</f>
        <v>-1844.68</v>
      </c>
      <c r="I24" s="132" t="n">
        <f aca="false">IFERROR(IF(OR(2&gt;$B$3,ISBLANK(Actuals!D30)),"",(Budget!D30-Actuals!D30)/ABS(Budget!D30)),"")</f>
        <v>-0.658814285714286</v>
      </c>
      <c r="J24" s="131" t="n">
        <f aca="false">Budget!E30</f>
        <v>-2800</v>
      </c>
      <c r="K24" s="131" t="n">
        <f aca="false">IF(OR(3&gt;$B$3,ISBLANK(Actuals!E30)),"",Actuals!E30)</f>
        <v>-9130.61</v>
      </c>
      <c r="L24" s="132" t="n">
        <f aca="false">IF(OR(3&gt;$B$3,ISBLANK(Actuals!E30)),"",Budget!E30-Actuals!E30)</f>
        <v>6330.61</v>
      </c>
      <c r="M24" s="132" t="n">
        <f aca="false">IFERROR(IF(OR(3&gt;$B$3,ISBLANK(Actuals!E30)),"",(Budget!E30-Actuals!E30)/ABS(Budget!E30)),"")</f>
        <v>2.26093214285714</v>
      </c>
      <c r="N24" s="131" t="n">
        <f aca="false">Budget!F30</f>
        <v>-2800</v>
      </c>
      <c r="O24" s="131" t="n">
        <f aca="false">IF(OR(4&gt;$B$3,ISBLANK(Actuals!F30)),"",Actuals!F30)</f>
        <v>-1028.89</v>
      </c>
      <c r="P24" s="132" t="n">
        <f aca="false">IF(OR(4&gt;$B$3,ISBLANK(Actuals!F30)),"",Budget!F30-Actuals!F30)</f>
        <v>-1771.11</v>
      </c>
      <c r="Q24" s="132" t="n">
        <f aca="false">IFERROR(IF(OR(4&gt;$B$3,ISBLANK(Actuals!F30)),"",(Budget!F30-Actuals!F30)/ABS(Budget!F30)),"")</f>
        <v>-0.632539285714286</v>
      </c>
      <c r="R24" s="131" t="n">
        <f aca="false">Budget!G30</f>
        <v>-2800</v>
      </c>
      <c r="S24" s="131" t="n">
        <f aca="false">IF(OR(5&gt;$B$3,ISBLANK(Actuals!G30)),"",Actuals!G30)</f>
        <v>-7005.14</v>
      </c>
      <c r="T24" s="132" t="n">
        <f aca="false">IF(OR(5&gt;$B$3,ISBLANK(Actuals!G30)),"",Budget!G30-Actuals!G30)</f>
        <v>4205.14</v>
      </c>
      <c r="U24" s="132" t="n">
        <f aca="false">IFERROR(IF(OR(5&gt;$B$3,ISBLANK(Actuals!G30)),"",(Budget!G30-Actuals!G30)/ABS(Budget!G30)),"")</f>
        <v>1.50183571428571</v>
      </c>
      <c r="V24" s="131" t="n">
        <f aca="false">Budget!H30</f>
        <v>-2800</v>
      </c>
      <c r="W24" s="131" t="n">
        <f aca="false">IF(OR(6&gt;$B$3,ISBLANK(Actuals!H30)),"",Actuals!H30)</f>
        <v>-4121.06</v>
      </c>
      <c r="X24" s="132" t="n">
        <f aca="false">IF(OR(6&gt;$B$3,ISBLANK(Actuals!H30)),"",Budget!H30-Actuals!H30)</f>
        <v>1321.06</v>
      </c>
      <c r="Y24" s="132" t="n">
        <f aca="false">IFERROR(IF(OR(6&gt;$B$3,ISBLANK(Actuals!H30)),"",(Budget!H30-Actuals!H30)/ABS(Budget!H30)),"")</f>
        <v>0.471807142857143</v>
      </c>
      <c r="Z24" s="131" t="n">
        <f aca="false">Budget!I30</f>
        <v>-2856</v>
      </c>
      <c r="AA24" s="131" t="n">
        <f aca="false">IF(OR(7&gt;$B$3,ISBLANK(Actuals!I30)),"",Actuals!I30)</f>
        <v>-2683.91</v>
      </c>
      <c r="AB24" s="132" t="n">
        <f aca="false">IF(OR(7&gt;$B$3,ISBLANK(Actuals!I30)),"",Budget!I30-Actuals!I30)</f>
        <v>-172.09</v>
      </c>
      <c r="AC24" s="132" t="n">
        <f aca="false">IFERROR(IF(OR(7&gt;$B$3,ISBLANK(Actuals!I30)),"",(Budget!I30-Actuals!I30)/ABS(Budget!I30)),"")</f>
        <v>-0.0602556022408964</v>
      </c>
      <c r="AD24" s="131" t="n">
        <f aca="false">Budget!J30</f>
        <v>-2856</v>
      </c>
      <c r="AE24" s="131" t="n">
        <f aca="false">IF(OR(8&gt;$B$3,ISBLANK(Actuals!J30)),"",Actuals!J30)</f>
        <v>-17047.56</v>
      </c>
      <c r="AF24" s="132" t="n">
        <f aca="false">IF(OR(8&gt;$B$3,ISBLANK(Actuals!J30)),"",Budget!J30-Actuals!J30)</f>
        <v>14191.56</v>
      </c>
      <c r="AG24" s="132" t="n">
        <f aca="false">IFERROR(IF(OR(8&gt;$B$3,ISBLANK(Actuals!J30)),"",(Budget!J30-Actuals!J30)/ABS(Budget!J30)),"")</f>
        <v>4.96903361344538</v>
      </c>
      <c r="AH24" s="131" t="n">
        <f aca="false">Budget!K30</f>
        <v>-2856</v>
      </c>
      <c r="AI24" s="131" t="n">
        <f aca="false">IF(OR(9&gt;$B$3,ISBLANK(Actuals!K30)),"",Actuals!K30)</f>
        <v>-145.69</v>
      </c>
      <c r="AJ24" s="132" t="n">
        <f aca="false">IF(OR(9&gt;$B$3,ISBLANK(Actuals!K30)),"",Budget!K30-Actuals!K30)</f>
        <v>-2710.31</v>
      </c>
      <c r="AK24" s="132" t="n">
        <f aca="false">IFERROR(IF(OR(9&gt;$B$3,ISBLANK(Actuals!K30)),"",(Budget!K30-Actuals!K30)/ABS(Budget!K30)),"")</f>
        <v>-0.948988095238095</v>
      </c>
      <c r="AL24" s="131" t="n">
        <f aca="false">Budget!L30</f>
        <v>-2856</v>
      </c>
      <c r="AM24" s="131" t="str">
        <f aca="false">IF(OR(10&gt;$B$3,ISBLANK(Actuals!L30)),"",Actuals!L30)</f>
        <v/>
      </c>
      <c r="AN24" s="132" t="str">
        <f aca="false">IF(OR(10&gt;$B$3,ISBLANK(Actuals!L30)),"",Budget!L30-Actuals!L30)</f>
        <v/>
      </c>
      <c r="AO24" s="132" t="str">
        <f aca="false">IFERROR(IF(OR(10&gt;$B$3,ISBLANK(Actuals!L30)),"",(Budget!L30-Actuals!L30)/ABS(Budget!L30)),"")</f>
        <v/>
      </c>
      <c r="AP24" s="131" t="n">
        <f aca="false">Budget!M30</f>
        <v>-2856</v>
      </c>
      <c r="AQ24" s="131" t="str">
        <f aca="false">IF(OR(11&gt;$B$3,ISBLANK(Actuals!M30)),"",Actuals!M30)</f>
        <v/>
      </c>
      <c r="AR24" s="132" t="str">
        <f aca="false">IF(OR(11&gt;$B$3,ISBLANK(Actuals!M30)),"",Budget!M30-Actuals!M30)</f>
        <v/>
      </c>
      <c r="AS24" s="132" t="str">
        <f aca="false">IFERROR(IF(OR(11&gt;$B$3,ISBLANK(Actuals!M30)),"",(Budget!M30-Actuals!M30)/ABS(Budget!M30)),"")</f>
        <v/>
      </c>
      <c r="AT24" s="131" t="n">
        <f aca="false">Budget!N30</f>
        <v>-2856</v>
      </c>
      <c r="AU24" s="131" t="str">
        <f aca="false">IF(OR(12&gt;$B$3,ISBLANK(Actuals!N30)),"",Actuals!N30)</f>
        <v/>
      </c>
      <c r="AV24" s="132" t="str">
        <f aca="false">IF(OR(12&gt;$B$3,ISBLANK(Actuals!N30)),"",Budget!N30-Actuals!N30)</f>
        <v/>
      </c>
      <c r="AW24" s="132" t="str">
        <f aca="false">IFERROR(IF(OR(12&gt;$B$3,ISBLANK(Actuals!N30)),"",(Budget!N30-Actuals!N30)/ABS(Budget!N30)),"")</f>
        <v/>
      </c>
      <c r="AX24" s="133" t="n">
        <f aca="false">SUMPRODUCT((Actuals!C30:N30&lt;&gt;"")*(Budget!C30:N30))</f>
        <v>-25368</v>
      </c>
      <c r="AY24" s="133" t="n">
        <f aca="false">SUM(Actuals!C30:N30)</f>
        <v>-44106.18</v>
      </c>
      <c r="AZ24" s="134" t="n">
        <f aca="false">AX24-AY24</f>
        <v>18738.18</v>
      </c>
    </row>
    <row r="25" customFormat="false" ht="15" hidden="false" customHeight="true" outlineLevel="0" collapsed="false">
      <c r="A25" s="130" t="s">
        <v>74</v>
      </c>
      <c r="B25" s="131" t="n">
        <f aca="false">Budget!C31</f>
        <v>0</v>
      </c>
      <c r="C25" s="131" t="n">
        <f aca="false">IF(OR(1&gt;$B$3,ISBLANK(Actuals!C31)),"",Actuals!C31)</f>
        <v>0</v>
      </c>
      <c r="D25" s="132" t="n">
        <f aca="false">IF(OR(1&gt;$B$3,ISBLANK(Actuals!C31)),"",Budget!C31-Actuals!C31)</f>
        <v>0</v>
      </c>
      <c r="E25" s="132" t="str">
        <f aca="false">IFERROR(IF(OR(1&gt;$B$3,ISBLANK(Actuals!C31)),"",(Budget!C31-Actuals!C31)/ABS(Budget!C31)),"")</f>
        <v/>
      </c>
      <c r="F25" s="131" t="n">
        <f aca="false">Budget!D31</f>
        <v>0</v>
      </c>
      <c r="G25" s="131" t="n">
        <f aca="false">IF(OR(2&gt;$B$3,ISBLANK(Actuals!D31)),"",Actuals!D31)</f>
        <v>0</v>
      </c>
      <c r="H25" s="132" t="n">
        <f aca="false">IF(OR(2&gt;$B$3,ISBLANK(Actuals!D31)),"",Budget!D31-Actuals!D31)</f>
        <v>0</v>
      </c>
      <c r="I25" s="132" t="str">
        <f aca="false">IFERROR(IF(OR(2&gt;$B$3,ISBLANK(Actuals!D31)),"",(Budget!D31-Actuals!D31)/ABS(Budget!D31)),"")</f>
        <v/>
      </c>
      <c r="J25" s="131" t="n">
        <f aca="false">Budget!E31</f>
        <v>0</v>
      </c>
      <c r="K25" s="131" t="n">
        <f aca="false">IF(OR(3&gt;$B$3,ISBLANK(Actuals!E31)),"",Actuals!E31)</f>
        <v>-1077.38</v>
      </c>
      <c r="L25" s="132" t="n">
        <f aca="false">IF(OR(3&gt;$B$3,ISBLANK(Actuals!E31)),"",Budget!E31-Actuals!E31)</f>
        <v>1077.38</v>
      </c>
      <c r="M25" s="132" t="str">
        <f aca="false">IFERROR(IF(OR(3&gt;$B$3,ISBLANK(Actuals!E31)),"",(Budget!E31-Actuals!E31)/ABS(Budget!E31)),"")</f>
        <v/>
      </c>
      <c r="N25" s="131" t="n">
        <f aca="false">Budget!F31</f>
        <v>0</v>
      </c>
      <c r="O25" s="131" t="n">
        <f aca="false">IF(OR(4&gt;$B$3,ISBLANK(Actuals!F31)),"",Actuals!F31)</f>
        <v>-211.28</v>
      </c>
      <c r="P25" s="132" t="n">
        <f aca="false">IF(OR(4&gt;$B$3,ISBLANK(Actuals!F31)),"",Budget!F31-Actuals!F31)</f>
        <v>211.28</v>
      </c>
      <c r="Q25" s="132" t="str">
        <f aca="false">IFERROR(IF(OR(4&gt;$B$3,ISBLANK(Actuals!F31)),"",(Budget!F31-Actuals!F31)/ABS(Budget!F31)),"")</f>
        <v/>
      </c>
      <c r="R25" s="131" t="n">
        <f aca="false">Budget!G31</f>
        <v>0</v>
      </c>
      <c r="S25" s="131" t="n">
        <f aca="false">IF(OR(5&gt;$B$3,ISBLANK(Actuals!G31)),"",Actuals!G31)</f>
        <v>-1254.17</v>
      </c>
      <c r="T25" s="132" t="n">
        <f aca="false">IF(OR(5&gt;$B$3,ISBLANK(Actuals!G31)),"",Budget!G31-Actuals!G31)</f>
        <v>1254.17</v>
      </c>
      <c r="U25" s="132" t="str">
        <f aca="false">IFERROR(IF(OR(5&gt;$B$3,ISBLANK(Actuals!G31)),"",(Budget!G31-Actuals!G31)/ABS(Budget!G31)),"")</f>
        <v/>
      </c>
      <c r="V25" s="131" t="n">
        <f aca="false">Budget!H31</f>
        <v>0</v>
      </c>
      <c r="W25" s="131" t="n">
        <f aca="false">IF(OR(6&gt;$B$3,ISBLANK(Actuals!H31)),"",Actuals!H31)</f>
        <v>0</v>
      </c>
      <c r="X25" s="132" t="n">
        <f aca="false">IF(OR(6&gt;$B$3,ISBLANK(Actuals!H31)),"",Budget!H31-Actuals!H31)</f>
        <v>0</v>
      </c>
      <c r="Y25" s="132" t="str">
        <f aca="false">IFERROR(IF(OR(6&gt;$B$3,ISBLANK(Actuals!H31)),"",(Budget!H31-Actuals!H31)/ABS(Budget!H31)),"")</f>
        <v/>
      </c>
      <c r="Z25" s="131" t="n">
        <f aca="false">Budget!I31</f>
        <v>0</v>
      </c>
      <c r="AA25" s="131" t="n">
        <f aca="false">IF(OR(7&gt;$B$3,ISBLANK(Actuals!I31)),"",Actuals!I31)</f>
        <v>-169.62</v>
      </c>
      <c r="AB25" s="132" t="n">
        <f aca="false">IF(OR(7&gt;$B$3,ISBLANK(Actuals!I31)),"",Budget!I31-Actuals!I31)</f>
        <v>169.62</v>
      </c>
      <c r="AC25" s="132" t="str">
        <f aca="false">IFERROR(IF(OR(7&gt;$B$3,ISBLANK(Actuals!I31)),"",(Budget!I31-Actuals!I31)/ABS(Budget!I31)),"")</f>
        <v/>
      </c>
      <c r="AD25" s="131" t="n">
        <f aca="false">Budget!J31</f>
        <v>0</v>
      </c>
      <c r="AE25" s="131" t="n">
        <f aca="false">IF(OR(8&gt;$B$3,ISBLANK(Actuals!J31)),"",Actuals!J31)</f>
        <v>-2331.88</v>
      </c>
      <c r="AF25" s="132" t="n">
        <f aca="false">IF(OR(8&gt;$B$3,ISBLANK(Actuals!J31)),"",Budget!J31-Actuals!J31)</f>
        <v>2331.88</v>
      </c>
      <c r="AG25" s="132" t="str">
        <f aca="false">IFERROR(IF(OR(8&gt;$B$3,ISBLANK(Actuals!J31)),"",(Budget!J31-Actuals!J31)/ABS(Budget!J31)),"")</f>
        <v/>
      </c>
      <c r="AH25" s="131" t="n">
        <f aca="false">Budget!K31</f>
        <v>0</v>
      </c>
      <c r="AI25" s="131" t="n">
        <f aca="false">IF(OR(9&gt;$B$3,ISBLANK(Actuals!K31)),"",Actuals!K31)</f>
        <v>-1797.24</v>
      </c>
      <c r="AJ25" s="132" t="n">
        <f aca="false">IF(OR(9&gt;$B$3,ISBLANK(Actuals!K31)),"",Budget!K31-Actuals!K31)</f>
        <v>1797.24</v>
      </c>
      <c r="AK25" s="132" t="str">
        <f aca="false">IFERROR(IF(OR(9&gt;$B$3,ISBLANK(Actuals!K31)),"",(Budget!K31-Actuals!K31)/ABS(Budget!K31)),"")</f>
        <v/>
      </c>
      <c r="AL25" s="131" t="n">
        <f aca="false">Budget!L31</f>
        <v>0</v>
      </c>
      <c r="AM25" s="131" t="str">
        <f aca="false">IF(OR(10&gt;$B$3,ISBLANK(Actuals!L31)),"",Actuals!L31)</f>
        <v/>
      </c>
      <c r="AN25" s="132" t="str">
        <f aca="false">IF(OR(10&gt;$B$3,ISBLANK(Actuals!L31)),"",Budget!L31-Actuals!L31)</f>
        <v/>
      </c>
      <c r="AO25" s="132" t="str">
        <f aca="false">IFERROR(IF(OR(10&gt;$B$3,ISBLANK(Actuals!L31)),"",(Budget!L31-Actuals!L31)/ABS(Budget!L31)),"")</f>
        <v/>
      </c>
      <c r="AP25" s="131" t="n">
        <f aca="false">Budget!M31</f>
        <v>0</v>
      </c>
      <c r="AQ25" s="131" t="str">
        <f aca="false">IF(OR(11&gt;$B$3,ISBLANK(Actuals!M31)),"",Actuals!M31)</f>
        <v/>
      </c>
      <c r="AR25" s="132" t="str">
        <f aca="false">IF(OR(11&gt;$B$3,ISBLANK(Actuals!M31)),"",Budget!M31-Actuals!M31)</f>
        <v/>
      </c>
      <c r="AS25" s="132" t="str">
        <f aca="false">IFERROR(IF(OR(11&gt;$B$3,ISBLANK(Actuals!M31)),"",(Budget!M31-Actuals!M31)/ABS(Budget!M31)),"")</f>
        <v/>
      </c>
      <c r="AT25" s="131" t="n">
        <f aca="false">Budget!N31</f>
        <v>0</v>
      </c>
      <c r="AU25" s="131" t="str">
        <f aca="false">IF(OR(12&gt;$B$3,ISBLANK(Actuals!N31)),"",Actuals!N31)</f>
        <v/>
      </c>
      <c r="AV25" s="132" t="str">
        <f aca="false">IF(OR(12&gt;$B$3,ISBLANK(Actuals!N31)),"",Budget!N31-Actuals!N31)</f>
        <v/>
      </c>
      <c r="AW25" s="132" t="str">
        <f aca="false">IFERROR(IF(OR(12&gt;$B$3,ISBLANK(Actuals!N31)),"",(Budget!N31-Actuals!N31)/ABS(Budget!N31)),"")</f>
        <v/>
      </c>
      <c r="AX25" s="133" t="n">
        <f aca="false">SUMPRODUCT((Actuals!C31:N31&lt;&gt;"")*(Budget!C31:N31))</f>
        <v>0</v>
      </c>
      <c r="AY25" s="133" t="n">
        <f aca="false">SUM(Actuals!C31:N31)</f>
        <v>-6841.57</v>
      </c>
      <c r="AZ25" s="134" t="n">
        <f aca="false">AX25-AY25</f>
        <v>6841.57</v>
      </c>
    </row>
    <row r="26" customFormat="false" ht="15" hidden="false" customHeight="true" outlineLevel="0" collapsed="false">
      <c r="A26" s="130" t="s">
        <v>75</v>
      </c>
      <c r="B26" s="131" t="n">
        <f aca="false">Budget!C32</f>
        <v>-3300</v>
      </c>
      <c r="C26" s="131" t="n">
        <f aca="false">IF(OR(1&gt;$B$3,ISBLANK(Actuals!C32)),"",Actuals!C32)</f>
        <v>-79</v>
      </c>
      <c r="D26" s="132" t="n">
        <f aca="false">IF(OR(1&gt;$B$3,ISBLANK(Actuals!C32)),"",Budget!C32-Actuals!C32)</f>
        <v>-3221</v>
      </c>
      <c r="E26" s="132" t="n">
        <f aca="false">IFERROR(IF(OR(1&gt;$B$3,ISBLANK(Actuals!C32)),"",(Budget!C32-Actuals!C32)/ABS(Budget!C32)),"")</f>
        <v>-0.976060606060606</v>
      </c>
      <c r="F26" s="131" t="n">
        <f aca="false">Budget!D32</f>
        <v>-3300</v>
      </c>
      <c r="G26" s="131" t="n">
        <f aca="false">IF(OR(2&gt;$B$3,ISBLANK(Actuals!D32)),"",Actuals!D32)</f>
        <v>0</v>
      </c>
      <c r="H26" s="132" t="n">
        <f aca="false">IF(OR(2&gt;$B$3,ISBLANK(Actuals!D32)),"",Budget!D32-Actuals!D32)</f>
        <v>-3300</v>
      </c>
      <c r="I26" s="132" t="n">
        <f aca="false">IFERROR(IF(OR(2&gt;$B$3,ISBLANK(Actuals!D32)),"",(Budget!D32-Actuals!D32)/ABS(Budget!D32)),"")</f>
        <v>-1</v>
      </c>
      <c r="J26" s="131" t="n">
        <f aca="false">Budget!E32</f>
        <v>-3300</v>
      </c>
      <c r="K26" s="131" t="n">
        <f aca="false">IF(OR(3&gt;$B$3,ISBLANK(Actuals!E32)),"",Actuals!E32)</f>
        <v>0</v>
      </c>
      <c r="L26" s="132" t="n">
        <f aca="false">IF(OR(3&gt;$B$3,ISBLANK(Actuals!E32)),"",Budget!E32-Actuals!E32)</f>
        <v>-3300</v>
      </c>
      <c r="M26" s="132" t="n">
        <f aca="false">IFERROR(IF(OR(3&gt;$B$3,ISBLANK(Actuals!E32)),"",(Budget!E32-Actuals!E32)/ABS(Budget!E32)),"")</f>
        <v>-1</v>
      </c>
      <c r="N26" s="131" t="n">
        <f aca="false">Budget!F32</f>
        <v>-3300</v>
      </c>
      <c r="O26" s="131" t="n">
        <f aca="false">IF(OR(4&gt;$B$3,ISBLANK(Actuals!F32)),"",Actuals!F32)</f>
        <v>0</v>
      </c>
      <c r="P26" s="132" t="n">
        <f aca="false">IF(OR(4&gt;$B$3,ISBLANK(Actuals!F32)),"",Budget!F32-Actuals!F32)</f>
        <v>-3300</v>
      </c>
      <c r="Q26" s="132" t="n">
        <f aca="false">IFERROR(IF(OR(4&gt;$B$3,ISBLANK(Actuals!F32)),"",(Budget!F32-Actuals!F32)/ABS(Budget!F32)),"")</f>
        <v>-1</v>
      </c>
      <c r="R26" s="131" t="n">
        <f aca="false">Budget!G32</f>
        <v>-3300</v>
      </c>
      <c r="S26" s="131" t="n">
        <f aca="false">IF(OR(5&gt;$B$3,ISBLANK(Actuals!G32)),"",Actuals!G32)</f>
        <v>0</v>
      </c>
      <c r="T26" s="132" t="n">
        <f aca="false">IF(OR(5&gt;$B$3,ISBLANK(Actuals!G32)),"",Budget!G32-Actuals!G32)</f>
        <v>-3300</v>
      </c>
      <c r="U26" s="132" t="n">
        <f aca="false">IFERROR(IF(OR(5&gt;$B$3,ISBLANK(Actuals!G32)),"",(Budget!G32-Actuals!G32)/ABS(Budget!G32)),"")</f>
        <v>-1</v>
      </c>
      <c r="V26" s="131" t="n">
        <f aca="false">Budget!H32</f>
        <v>-3300</v>
      </c>
      <c r="W26" s="131" t="n">
        <f aca="false">IF(OR(6&gt;$B$3,ISBLANK(Actuals!H32)),"",Actuals!H32)</f>
        <v>0</v>
      </c>
      <c r="X26" s="132" t="n">
        <f aca="false">IF(OR(6&gt;$B$3,ISBLANK(Actuals!H32)),"",Budget!H32-Actuals!H32)</f>
        <v>-3300</v>
      </c>
      <c r="Y26" s="132" t="n">
        <f aca="false">IFERROR(IF(OR(6&gt;$B$3,ISBLANK(Actuals!H32)),"",(Budget!H32-Actuals!H32)/ABS(Budget!H32)),"")</f>
        <v>-1</v>
      </c>
      <c r="Z26" s="131" t="n">
        <f aca="false">Budget!I32</f>
        <v>-3366</v>
      </c>
      <c r="AA26" s="131" t="n">
        <f aca="false">IF(OR(7&gt;$B$3,ISBLANK(Actuals!I32)),"",Actuals!I32)</f>
        <v>0</v>
      </c>
      <c r="AB26" s="132" t="n">
        <f aca="false">IF(OR(7&gt;$B$3,ISBLANK(Actuals!I32)),"",Budget!I32-Actuals!I32)</f>
        <v>-3366</v>
      </c>
      <c r="AC26" s="132" t="n">
        <f aca="false">IFERROR(IF(OR(7&gt;$B$3,ISBLANK(Actuals!I32)),"",(Budget!I32-Actuals!I32)/ABS(Budget!I32)),"")</f>
        <v>-1</v>
      </c>
      <c r="AD26" s="131" t="n">
        <f aca="false">Budget!J32</f>
        <v>-3366</v>
      </c>
      <c r="AE26" s="131" t="n">
        <f aca="false">IF(OR(8&gt;$B$3,ISBLANK(Actuals!J32)),"",Actuals!J32)</f>
        <v>-89</v>
      </c>
      <c r="AF26" s="132" t="n">
        <f aca="false">IF(OR(8&gt;$B$3,ISBLANK(Actuals!J32)),"",Budget!J32-Actuals!J32)</f>
        <v>-3277</v>
      </c>
      <c r="AG26" s="132" t="n">
        <f aca="false">IFERROR(IF(OR(8&gt;$B$3,ISBLANK(Actuals!J32)),"",(Budget!J32-Actuals!J32)/ABS(Budget!J32)),"")</f>
        <v>-0.973559120617944</v>
      </c>
      <c r="AH26" s="131" t="n">
        <f aca="false">Budget!K32</f>
        <v>-3366</v>
      </c>
      <c r="AI26" s="131" t="n">
        <f aca="false">IF(OR(9&gt;$B$3,ISBLANK(Actuals!K32)),"",Actuals!K32)</f>
        <v>0</v>
      </c>
      <c r="AJ26" s="132" t="n">
        <f aca="false">IF(OR(9&gt;$B$3,ISBLANK(Actuals!K32)),"",Budget!K32-Actuals!K32)</f>
        <v>-3366</v>
      </c>
      <c r="AK26" s="132" t="n">
        <f aca="false">IFERROR(IF(OR(9&gt;$B$3,ISBLANK(Actuals!K32)),"",(Budget!K32-Actuals!K32)/ABS(Budget!K32)),"")</f>
        <v>-1</v>
      </c>
      <c r="AL26" s="131" t="n">
        <f aca="false">Budget!L32</f>
        <v>-3366</v>
      </c>
      <c r="AM26" s="131" t="str">
        <f aca="false">IF(OR(10&gt;$B$3,ISBLANK(Actuals!L32)),"",Actuals!L32)</f>
        <v/>
      </c>
      <c r="AN26" s="132" t="str">
        <f aca="false">IF(OR(10&gt;$B$3,ISBLANK(Actuals!L32)),"",Budget!L32-Actuals!L32)</f>
        <v/>
      </c>
      <c r="AO26" s="132" t="str">
        <f aca="false">IFERROR(IF(OR(10&gt;$B$3,ISBLANK(Actuals!L32)),"",(Budget!L32-Actuals!L32)/ABS(Budget!L32)),"")</f>
        <v/>
      </c>
      <c r="AP26" s="131" t="n">
        <f aca="false">Budget!M32</f>
        <v>-3366</v>
      </c>
      <c r="AQ26" s="131" t="str">
        <f aca="false">IF(OR(11&gt;$B$3,ISBLANK(Actuals!M32)),"",Actuals!M32)</f>
        <v/>
      </c>
      <c r="AR26" s="132" t="str">
        <f aca="false">IF(OR(11&gt;$B$3,ISBLANK(Actuals!M32)),"",Budget!M32-Actuals!M32)</f>
        <v/>
      </c>
      <c r="AS26" s="132" t="str">
        <f aca="false">IFERROR(IF(OR(11&gt;$B$3,ISBLANK(Actuals!M32)),"",(Budget!M32-Actuals!M32)/ABS(Budget!M32)),"")</f>
        <v/>
      </c>
      <c r="AT26" s="131" t="n">
        <f aca="false">Budget!N32</f>
        <v>-3366</v>
      </c>
      <c r="AU26" s="131" t="str">
        <f aca="false">IF(OR(12&gt;$B$3,ISBLANK(Actuals!N32)),"",Actuals!N32)</f>
        <v/>
      </c>
      <c r="AV26" s="132" t="str">
        <f aca="false">IF(OR(12&gt;$B$3,ISBLANK(Actuals!N32)),"",Budget!N32-Actuals!N32)</f>
        <v/>
      </c>
      <c r="AW26" s="132" t="str">
        <f aca="false">IFERROR(IF(OR(12&gt;$B$3,ISBLANK(Actuals!N32)),"",(Budget!N32-Actuals!N32)/ABS(Budget!N32)),"")</f>
        <v/>
      </c>
      <c r="AX26" s="133" t="n">
        <f aca="false">SUMPRODUCT((Actuals!C32:N32&lt;&gt;"")*(Budget!C32:N32))</f>
        <v>-29898</v>
      </c>
      <c r="AY26" s="133" t="n">
        <f aca="false">SUM(Actuals!C32:N32)</f>
        <v>-168</v>
      </c>
      <c r="AZ26" s="134" t="n">
        <f aca="false">AX26-AY26</f>
        <v>-29730</v>
      </c>
    </row>
    <row r="27" customFormat="false" ht="15" hidden="false" customHeight="true" outlineLevel="0" collapsed="false">
      <c r="A27" s="130" t="s">
        <v>124</v>
      </c>
      <c r="B27" s="131" t="n">
        <f aca="false">Budget!C33</f>
        <v>0</v>
      </c>
      <c r="C27" s="131" t="n">
        <f aca="false">IF(OR(1&gt;$B$3,ISBLANK(Actuals!C33)),"",Actuals!C33)</f>
        <v>-3405.64</v>
      </c>
      <c r="D27" s="132" t="n">
        <f aca="false">IF(OR(1&gt;$B$3,ISBLANK(Actuals!C33)),"",Budget!C33-Actuals!C33)</f>
        <v>3405.64</v>
      </c>
      <c r="E27" s="132" t="str">
        <f aca="false">IFERROR(IF(OR(1&gt;$B$3,ISBLANK(Actuals!C33)),"",(Budget!C33-Actuals!C33)/ABS(Budget!C33)),"")</f>
        <v/>
      </c>
      <c r="F27" s="131" t="n">
        <f aca="false">Budget!D33</f>
        <v>0</v>
      </c>
      <c r="G27" s="131" t="n">
        <f aca="false">IF(OR(2&gt;$B$3,ISBLANK(Actuals!D33)),"",Actuals!D33)</f>
        <v>-5015.38</v>
      </c>
      <c r="H27" s="132" t="n">
        <f aca="false">IF(OR(2&gt;$B$3,ISBLANK(Actuals!D33)),"",Budget!D33-Actuals!D33)</f>
        <v>5015.38</v>
      </c>
      <c r="I27" s="132" t="str">
        <f aca="false">IFERROR(IF(OR(2&gt;$B$3,ISBLANK(Actuals!D33)),"",(Budget!D33-Actuals!D33)/ABS(Budget!D33)),"")</f>
        <v/>
      </c>
      <c r="J27" s="131" t="n">
        <f aca="false">Budget!E33</f>
        <v>0</v>
      </c>
      <c r="K27" s="131" t="n">
        <f aca="false">IF(OR(3&gt;$B$3,ISBLANK(Actuals!E33)),"",Actuals!E33)</f>
        <v>-7481.39</v>
      </c>
      <c r="L27" s="132" t="n">
        <f aca="false">IF(OR(3&gt;$B$3,ISBLANK(Actuals!E33)),"",Budget!E33-Actuals!E33)</f>
        <v>7481.39</v>
      </c>
      <c r="M27" s="132" t="str">
        <f aca="false">IFERROR(IF(OR(3&gt;$B$3,ISBLANK(Actuals!E33)),"",(Budget!E33-Actuals!E33)/ABS(Budget!E33)),"")</f>
        <v/>
      </c>
      <c r="N27" s="131" t="n">
        <f aca="false">Budget!F33</f>
        <v>0</v>
      </c>
      <c r="O27" s="131" t="n">
        <f aca="false">IF(OR(4&gt;$B$3,ISBLANK(Actuals!F33)),"",Actuals!F33)</f>
        <v>-5111.12</v>
      </c>
      <c r="P27" s="132" t="n">
        <f aca="false">IF(OR(4&gt;$B$3,ISBLANK(Actuals!F33)),"",Budget!F33-Actuals!F33)</f>
        <v>5111.12</v>
      </c>
      <c r="Q27" s="132" t="str">
        <f aca="false">IFERROR(IF(OR(4&gt;$B$3,ISBLANK(Actuals!F33)),"",(Budget!F33-Actuals!F33)/ABS(Budget!F33)),"")</f>
        <v/>
      </c>
      <c r="R27" s="131" t="n">
        <f aca="false">Budget!G33</f>
        <v>0</v>
      </c>
      <c r="S27" s="131" t="n">
        <f aca="false">IF(OR(5&gt;$B$3,ISBLANK(Actuals!G33)),"",Actuals!G33)</f>
        <v>-4038.48</v>
      </c>
      <c r="T27" s="132" t="n">
        <f aca="false">IF(OR(5&gt;$B$3,ISBLANK(Actuals!G33)),"",Budget!G33-Actuals!G33)</f>
        <v>4038.48</v>
      </c>
      <c r="U27" s="132" t="str">
        <f aca="false">IFERROR(IF(OR(5&gt;$B$3,ISBLANK(Actuals!G33)),"",(Budget!G33-Actuals!G33)/ABS(Budget!G33)),"")</f>
        <v/>
      </c>
      <c r="V27" s="131" t="n">
        <f aca="false">Budget!H33</f>
        <v>0</v>
      </c>
      <c r="W27" s="131" t="n">
        <f aca="false">IF(OR(6&gt;$B$3,ISBLANK(Actuals!H33)),"",Actuals!H33)</f>
        <v>-6114.98</v>
      </c>
      <c r="X27" s="132" t="n">
        <f aca="false">IF(OR(6&gt;$B$3,ISBLANK(Actuals!H33)),"",Budget!H33-Actuals!H33)</f>
        <v>6114.98</v>
      </c>
      <c r="Y27" s="132" t="str">
        <f aca="false">IFERROR(IF(OR(6&gt;$B$3,ISBLANK(Actuals!H33)),"",(Budget!H33-Actuals!H33)/ABS(Budget!H33)),"")</f>
        <v/>
      </c>
      <c r="Z27" s="131" t="n">
        <f aca="false">Budget!I33</f>
        <v>0</v>
      </c>
      <c r="AA27" s="131" t="n">
        <f aca="false">IF(OR(7&gt;$B$3,ISBLANK(Actuals!I33)),"",Actuals!I33)</f>
        <v>-12545.93</v>
      </c>
      <c r="AB27" s="132" t="n">
        <f aca="false">IF(OR(7&gt;$B$3,ISBLANK(Actuals!I33)),"",Budget!I33-Actuals!I33)</f>
        <v>12545.93</v>
      </c>
      <c r="AC27" s="132" t="str">
        <f aca="false">IFERROR(IF(OR(7&gt;$B$3,ISBLANK(Actuals!I33)),"",(Budget!I33-Actuals!I33)/ABS(Budget!I33)),"")</f>
        <v/>
      </c>
      <c r="AD27" s="131" t="n">
        <f aca="false">Budget!J33</f>
        <v>0</v>
      </c>
      <c r="AE27" s="131" t="n">
        <f aca="false">IF(OR(8&gt;$B$3,ISBLANK(Actuals!J33)),"",Actuals!J33)</f>
        <v>-5885.72</v>
      </c>
      <c r="AF27" s="132" t="n">
        <f aca="false">IF(OR(8&gt;$B$3,ISBLANK(Actuals!J33)),"",Budget!J33-Actuals!J33)</f>
        <v>5885.72</v>
      </c>
      <c r="AG27" s="132" t="str">
        <f aca="false">IFERROR(IF(OR(8&gt;$B$3,ISBLANK(Actuals!J33)),"",(Budget!J33-Actuals!J33)/ABS(Budget!J33)),"")</f>
        <v/>
      </c>
      <c r="AH27" s="131" t="n">
        <f aca="false">Budget!K33</f>
        <v>0</v>
      </c>
      <c r="AI27" s="131" t="n">
        <f aca="false">IF(OR(9&gt;$B$3,ISBLANK(Actuals!K33)),"",Actuals!K33)</f>
        <v>-4679.53</v>
      </c>
      <c r="AJ27" s="132" t="n">
        <f aca="false">IF(OR(9&gt;$B$3,ISBLANK(Actuals!K33)),"",Budget!K33-Actuals!K33)</f>
        <v>4679.53</v>
      </c>
      <c r="AK27" s="132" t="str">
        <f aca="false">IFERROR(IF(OR(9&gt;$B$3,ISBLANK(Actuals!K33)),"",(Budget!K33-Actuals!K33)/ABS(Budget!K33)),"")</f>
        <v/>
      </c>
      <c r="AL27" s="131" t="n">
        <f aca="false">Budget!L33</f>
        <v>0</v>
      </c>
      <c r="AM27" s="131" t="str">
        <f aca="false">IF(OR(10&gt;$B$3,ISBLANK(Actuals!L33)),"",Actuals!L33)</f>
        <v/>
      </c>
      <c r="AN27" s="132" t="str">
        <f aca="false">IF(OR(10&gt;$B$3,ISBLANK(Actuals!L33)),"",Budget!L33-Actuals!L33)</f>
        <v/>
      </c>
      <c r="AO27" s="132" t="str">
        <f aca="false">IFERROR(IF(OR(10&gt;$B$3,ISBLANK(Actuals!L33)),"",(Budget!L33-Actuals!L33)/ABS(Budget!L33)),"")</f>
        <v/>
      </c>
      <c r="AP27" s="131" t="n">
        <f aca="false">Budget!M33</f>
        <v>0</v>
      </c>
      <c r="AQ27" s="131" t="str">
        <f aca="false">IF(OR(11&gt;$B$3,ISBLANK(Actuals!M33)),"",Actuals!M33)</f>
        <v/>
      </c>
      <c r="AR27" s="132" t="str">
        <f aca="false">IF(OR(11&gt;$B$3,ISBLANK(Actuals!M33)),"",Budget!M33-Actuals!M33)</f>
        <v/>
      </c>
      <c r="AS27" s="132" t="str">
        <f aca="false">IFERROR(IF(OR(11&gt;$B$3,ISBLANK(Actuals!M33)),"",(Budget!M33-Actuals!M33)/ABS(Budget!M33)),"")</f>
        <v/>
      </c>
      <c r="AT27" s="131" t="n">
        <f aca="false">Budget!N33</f>
        <v>0</v>
      </c>
      <c r="AU27" s="131" t="str">
        <f aca="false">IF(OR(12&gt;$B$3,ISBLANK(Actuals!N33)),"",Actuals!N33)</f>
        <v/>
      </c>
      <c r="AV27" s="132" t="str">
        <f aca="false">IF(OR(12&gt;$B$3,ISBLANK(Actuals!N33)),"",Budget!N33-Actuals!N33)</f>
        <v/>
      </c>
      <c r="AW27" s="132" t="str">
        <f aca="false">IFERROR(IF(OR(12&gt;$B$3,ISBLANK(Actuals!N33)),"",(Budget!N33-Actuals!N33)/ABS(Budget!N33)),"")</f>
        <v/>
      </c>
      <c r="AX27" s="133" t="n">
        <f aca="false">SUMPRODUCT((Actuals!C33:N33&lt;&gt;"")*(Budget!C33:N33))</f>
        <v>0</v>
      </c>
      <c r="AY27" s="133" t="n">
        <f aca="false">SUM(Actuals!C33:N33)</f>
        <v>-54278.17</v>
      </c>
      <c r="AZ27" s="134" t="n">
        <f aca="false">AX27-AY27</f>
        <v>54278.17</v>
      </c>
    </row>
    <row r="28" customFormat="false" ht="15" hidden="false" customHeight="true" outlineLevel="0" collapsed="false">
      <c r="A28" s="130" t="s">
        <v>77</v>
      </c>
      <c r="B28" s="131" t="n">
        <f aca="false">Budget!C34</f>
        <v>-300</v>
      </c>
      <c r="C28" s="131" t="n">
        <f aca="false">IF(OR(1&gt;$B$3,ISBLANK(Actuals!C34)),"",Actuals!C34)</f>
        <v>0</v>
      </c>
      <c r="D28" s="132" t="n">
        <f aca="false">IF(OR(1&gt;$B$3,ISBLANK(Actuals!C34)),"",Budget!C34-Actuals!C34)</f>
        <v>-300</v>
      </c>
      <c r="E28" s="132" t="n">
        <f aca="false">IFERROR(IF(OR(1&gt;$B$3,ISBLANK(Actuals!C34)),"",(Budget!C34-Actuals!C34)/ABS(Budget!C34)),"")</f>
        <v>-1</v>
      </c>
      <c r="F28" s="131" t="n">
        <f aca="false">Budget!D34</f>
        <v>-300</v>
      </c>
      <c r="G28" s="131" t="n">
        <f aca="false">IF(OR(2&gt;$B$3,ISBLANK(Actuals!D34)),"",Actuals!D34)</f>
        <v>-1766.48</v>
      </c>
      <c r="H28" s="132" t="n">
        <f aca="false">IF(OR(2&gt;$B$3,ISBLANK(Actuals!D34)),"",Budget!D34-Actuals!D34)</f>
        <v>1466.48</v>
      </c>
      <c r="I28" s="132" t="n">
        <f aca="false">IFERROR(IF(OR(2&gt;$B$3,ISBLANK(Actuals!D34)),"",(Budget!D34-Actuals!D34)/ABS(Budget!D34)),"")</f>
        <v>4.88826666666667</v>
      </c>
      <c r="J28" s="131" t="n">
        <f aca="false">Budget!E34</f>
        <v>-300</v>
      </c>
      <c r="K28" s="131" t="n">
        <f aca="false">IF(OR(3&gt;$B$3,ISBLANK(Actuals!E34)),"",Actuals!E34)</f>
        <v>-441.62</v>
      </c>
      <c r="L28" s="132" t="n">
        <f aca="false">IF(OR(3&gt;$B$3,ISBLANK(Actuals!E34)),"",Budget!E34-Actuals!E34)</f>
        <v>141.62</v>
      </c>
      <c r="M28" s="132" t="n">
        <f aca="false">IFERROR(IF(OR(3&gt;$B$3,ISBLANK(Actuals!E34)),"",(Budget!E34-Actuals!E34)/ABS(Budget!E34)),"")</f>
        <v>0.472066666666667</v>
      </c>
      <c r="N28" s="131" t="n">
        <f aca="false">Budget!F34</f>
        <v>-300</v>
      </c>
      <c r="O28" s="131" t="n">
        <f aca="false">IF(OR(4&gt;$B$3,ISBLANK(Actuals!F34)),"",Actuals!F34)</f>
        <v>-441.62</v>
      </c>
      <c r="P28" s="132" t="n">
        <f aca="false">IF(OR(4&gt;$B$3,ISBLANK(Actuals!F34)),"",Budget!F34-Actuals!F34)</f>
        <v>141.62</v>
      </c>
      <c r="Q28" s="132" t="n">
        <f aca="false">IFERROR(IF(OR(4&gt;$B$3,ISBLANK(Actuals!F34)),"",(Budget!F34-Actuals!F34)/ABS(Budget!F34)),"")</f>
        <v>0.472066666666667</v>
      </c>
      <c r="R28" s="131" t="n">
        <f aca="false">Budget!G34</f>
        <v>-300</v>
      </c>
      <c r="S28" s="131" t="n">
        <f aca="false">IF(OR(5&gt;$B$3,ISBLANK(Actuals!G34)),"",Actuals!G34)</f>
        <v>-578.62</v>
      </c>
      <c r="T28" s="132" t="n">
        <f aca="false">IF(OR(5&gt;$B$3,ISBLANK(Actuals!G34)),"",Budget!G34-Actuals!G34)</f>
        <v>278.62</v>
      </c>
      <c r="U28" s="132" t="n">
        <f aca="false">IFERROR(IF(OR(5&gt;$B$3,ISBLANK(Actuals!G34)),"",(Budget!G34-Actuals!G34)/ABS(Budget!G34)),"")</f>
        <v>0.928733333333333</v>
      </c>
      <c r="V28" s="131" t="n">
        <f aca="false">Budget!H34</f>
        <v>-300</v>
      </c>
      <c r="W28" s="131" t="n">
        <f aca="false">IF(OR(6&gt;$B$3,ISBLANK(Actuals!H34)),"",Actuals!H34)</f>
        <v>-491.62</v>
      </c>
      <c r="X28" s="132" t="n">
        <f aca="false">IF(OR(6&gt;$B$3,ISBLANK(Actuals!H34)),"",Budget!H34-Actuals!H34)</f>
        <v>191.62</v>
      </c>
      <c r="Y28" s="132" t="n">
        <f aca="false">IFERROR(IF(OR(6&gt;$B$3,ISBLANK(Actuals!H34)),"",(Budget!H34-Actuals!H34)/ABS(Budget!H34)),"")</f>
        <v>0.638733333333333</v>
      </c>
      <c r="Z28" s="131" t="n">
        <f aca="false">Budget!I34</f>
        <v>-306</v>
      </c>
      <c r="AA28" s="131" t="n">
        <f aca="false">IF(OR(7&gt;$B$3,ISBLANK(Actuals!I34)),"",Actuals!I34)</f>
        <v>-491.62</v>
      </c>
      <c r="AB28" s="132" t="n">
        <f aca="false">IF(OR(7&gt;$B$3,ISBLANK(Actuals!I34)),"",Budget!I34-Actuals!I34)</f>
        <v>185.62</v>
      </c>
      <c r="AC28" s="132" t="n">
        <f aca="false">IFERROR(IF(OR(7&gt;$B$3,ISBLANK(Actuals!I34)),"",(Budget!I34-Actuals!I34)/ABS(Budget!I34)),"")</f>
        <v>0.606601307189543</v>
      </c>
      <c r="AD28" s="131" t="n">
        <f aca="false">Budget!J34</f>
        <v>-306</v>
      </c>
      <c r="AE28" s="131" t="n">
        <f aca="false">IF(OR(8&gt;$B$3,ISBLANK(Actuals!J34)),"",Actuals!J34)</f>
        <v>-491.62</v>
      </c>
      <c r="AF28" s="132" t="n">
        <f aca="false">IF(OR(8&gt;$B$3,ISBLANK(Actuals!J34)),"",Budget!J34-Actuals!J34)</f>
        <v>185.62</v>
      </c>
      <c r="AG28" s="132" t="n">
        <f aca="false">IFERROR(IF(OR(8&gt;$B$3,ISBLANK(Actuals!J34)),"",(Budget!J34-Actuals!J34)/ABS(Budget!J34)),"")</f>
        <v>0.606601307189543</v>
      </c>
      <c r="AH28" s="131" t="n">
        <f aca="false">Budget!K34</f>
        <v>-306</v>
      </c>
      <c r="AI28" s="131" t="n">
        <f aca="false">IF(OR(9&gt;$B$3,ISBLANK(Actuals!K34)),"",Actuals!K34)</f>
        <v>-1456.28</v>
      </c>
      <c r="AJ28" s="132" t="n">
        <f aca="false">IF(OR(9&gt;$B$3,ISBLANK(Actuals!K34)),"",Budget!K34-Actuals!K34)</f>
        <v>1150.28</v>
      </c>
      <c r="AK28" s="132" t="n">
        <f aca="false">IFERROR(IF(OR(9&gt;$B$3,ISBLANK(Actuals!K34)),"",(Budget!K34-Actuals!K34)/ABS(Budget!K34)),"")</f>
        <v>3.75908496732026</v>
      </c>
      <c r="AL28" s="131" t="n">
        <f aca="false">Budget!L34</f>
        <v>-306</v>
      </c>
      <c r="AM28" s="131" t="str">
        <f aca="false">IF(OR(10&gt;$B$3,ISBLANK(Actuals!L34)),"",Actuals!L34)</f>
        <v/>
      </c>
      <c r="AN28" s="132" t="str">
        <f aca="false">IF(OR(10&gt;$B$3,ISBLANK(Actuals!L34)),"",Budget!L34-Actuals!L34)</f>
        <v/>
      </c>
      <c r="AO28" s="132" t="str">
        <f aca="false">IFERROR(IF(OR(10&gt;$B$3,ISBLANK(Actuals!L34)),"",(Budget!L34-Actuals!L34)/ABS(Budget!L34)),"")</f>
        <v/>
      </c>
      <c r="AP28" s="131" t="n">
        <f aca="false">Budget!M34</f>
        <v>-306</v>
      </c>
      <c r="AQ28" s="131" t="str">
        <f aca="false">IF(OR(11&gt;$B$3,ISBLANK(Actuals!M34)),"",Actuals!M34)</f>
        <v/>
      </c>
      <c r="AR28" s="132" t="str">
        <f aca="false">IF(OR(11&gt;$B$3,ISBLANK(Actuals!M34)),"",Budget!M34-Actuals!M34)</f>
        <v/>
      </c>
      <c r="AS28" s="132" t="str">
        <f aca="false">IFERROR(IF(OR(11&gt;$B$3,ISBLANK(Actuals!M34)),"",(Budget!M34-Actuals!M34)/ABS(Budget!M34)),"")</f>
        <v/>
      </c>
      <c r="AT28" s="131" t="n">
        <f aca="false">Budget!N34</f>
        <v>-306</v>
      </c>
      <c r="AU28" s="131" t="str">
        <f aca="false">IF(OR(12&gt;$B$3,ISBLANK(Actuals!N34)),"",Actuals!N34)</f>
        <v/>
      </c>
      <c r="AV28" s="132" t="str">
        <f aca="false">IF(OR(12&gt;$B$3,ISBLANK(Actuals!N34)),"",Budget!N34-Actuals!N34)</f>
        <v/>
      </c>
      <c r="AW28" s="132" t="str">
        <f aca="false">IFERROR(IF(OR(12&gt;$B$3,ISBLANK(Actuals!N34)),"",(Budget!N34-Actuals!N34)/ABS(Budget!N34)),"")</f>
        <v/>
      </c>
      <c r="AX28" s="133" t="n">
        <f aca="false">SUMPRODUCT((Actuals!C34:N34&lt;&gt;"")*(Budget!C34:N34))</f>
        <v>-2718</v>
      </c>
      <c r="AY28" s="133" t="n">
        <f aca="false">SUM(Actuals!C34:N34)</f>
        <v>-6159.48</v>
      </c>
      <c r="AZ28" s="134" t="n">
        <f aca="false">AX28-AY28</f>
        <v>3441.48</v>
      </c>
    </row>
    <row r="29" customFormat="false" ht="15" hidden="false" customHeight="true" outlineLevel="0" collapsed="false">
      <c r="A29" s="130" t="s">
        <v>78</v>
      </c>
      <c r="B29" s="131" t="n">
        <f aca="false">Budget!C35</f>
        <v>-1500</v>
      </c>
      <c r="C29" s="131" t="n">
        <f aca="false">IF(OR(1&gt;$B$3,ISBLANK(Actuals!C35)),"",Actuals!C35)</f>
        <v>-681.77</v>
      </c>
      <c r="D29" s="132" t="n">
        <f aca="false">IF(OR(1&gt;$B$3,ISBLANK(Actuals!C35)),"",Budget!C35-Actuals!C35)</f>
        <v>-818.23</v>
      </c>
      <c r="E29" s="132" t="n">
        <f aca="false">IFERROR(IF(OR(1&gt;$B$3,ISBLANK(Actuals!C35)),"",(Budget!C35-Actuals!C35)/ABS(Budget!C35)),"")</f>
        <v>-0.545486666666667</v>
      </c>
      <c r="F29" s="131" t="n">
        <f aca="false">Budget!D35</f>
        <v>-1500</v>
      </c>
      <c r="G29" s="131" t="n">
        <f aca="false">IF(OR(2&gt;$B$3,ISBLANK(Actuals!D35)),"",Actuals!D35)</f>
        <v>-600.14</v>
      </c>
      <c r="H29" s="132" t="n">
        <f aca="false">IF(OR(2&gt;$B$3,ISBLANK(Actuals!D35)),"",Budget!D35-Actuals!D35)</f>
        <v>-899.86</v>
      </c>
      <c r="I29" s="132" t="n">
        <f aca="false">IFERROR(IF(OR(2&gt;$B$3,ISBLANK(Actuals!D35)),"",(Budget!D35-Actuals!D35)/ABS(Budget!D35)),"")</f>
        <v>-0.599906666666667</v>
      </c>
      <c r="J29" s="131" t="n">
        <f aca="false">Budget!E35</f>
        <v>-1500</v>
      </c>
      <c r="K29" s="131" t="n">
        <f aca="false">IF(OR(3&gt;$B$3,ISBLANK(Actuals!E35)),"",Actuals!E35)</f>
        <v>-2121.95</v>
      </c>
      <c r="L29" s="132" t="n">
        <f aca="false">IF(OR(3&gt;$B$3,ISBLANK(Actuals!E35)),"",Budget!E35-Actuals!E35)</f>
        <v>621.95</v>
      </c>
      <c r="M29" s="132" t="n">
        <f aca="false">IFERROR(IF(OR(3&gt;$B$3,ISBLANK(Actuals!E35)),"",(Budget!E35-Actuals!E35)/ABS(Budget!E35)),"")</f>
        <v>0.414633333333333</v>
      </c>
      <c r="N29" s="131" t="n">
        <f aca="false">Budget!F35</f>
        <v>-1500</v>
      </c>
      <c r="O29" s="131" t="n">
        <f aca="false">IF(OR(4&gt;$B$3,ISBLANK(Actuals!F35)),"",Actuals!F35)</f>
        <v>-840.49</v>
      </c>
      <c r="P29" s="132" t="n">
        <f aca="false">IF(OR(4&gt;$B$3,ISBLANK(Actuals!F35)),"",Budget!F35-Actuals!F35)</f>
        <v>-659.51</v>
      </c>
      <c r="Q29" s="132" t="n">
        <f aca="false">IFERROR(IF(OR(4&gt;$B$3,ISBLANK(Actuals!F35)),"",(Budget!F35-Actuals!F35)/ABS(Budget!F35)),"")</f>
        <v>-0.439673333333333</v>
      </c>
      <c r="R29" s="131" t="n">
        <f aca="false">Budget!G35</f>
        <v>-1500</v>
      </c>
      <c r="S29" s="131" t="n">
        <f aca="false">IF(OR(5&gt;$B$3,ISBLANK(Actuals!G35)),"",Actuals!G35)</f>
        <v>-847.85</v>
      </c>
      <c r="T29" s="132" t="n">
        <f aca="false">IF(OR(5&gt;$B$3,ISBLANK(Actuals!G35)),"",Budget!G35-Actuals!G35)</f>
        <v>-652.15</v>
      </c>
      <c r="U29" s="132" t="n">
        <f aca="false">IFERROR(IF(OR(5&gt;$B$3,ISBLANK(Actuals!G35)),"",(Budget!G35-Actuals!G35)/ABS(Budget!G35)),"")</f>
        <v>-0.434766666666667</v>
      </c>
      <c r="V29" s="131" t="n">
        <f aca="false">Budget!H35</f>
        <v>-1500</v>
      </c>
      <c r="W29" s="131" t="n">
        <f aca="false">IF(OR(6&gt;$B$3,ISBLANK(Actuals!H35)),"",Actuals!H35)</f>
        <v>-486.63</v>
      </c>
      <c r="X29" s="132" t="n">
        <f aca="false">IF(OR(6&gt;$B$3,ISBLANK(Actuals!H35)),"",Budget!H35-Actuals!H35)</f>
        <v>-1013.37</v>
      </c>
      <c r="Y29" s="132" t="n">
        <f aca="false">IFERROR(IF(OR(6&gt;$B$3,ISBLANK(Actuals!H35)),"",(Budget!H35-Actuals!H35)/ABS(Budget!H35)),"")</f>
        <v>-0.67558</v>
      </c>
      <c r="Z29" s="131" t="n">
        <f aca="false">Budget!I35</f>
        <v>-1530</v>
      </c>
      <c r="AA29" s="131" t="n">
        <f aca="false">IF(OR(7&gt;$B$3,ISBLANK(Actuals!I35)),"",Actuals!I35)</f>
        <v>-871.37</v>
      </c>
      <c r="AB29" s="132" t="n">
        <f aca="false">IF(OR(7&gt;$B$3,ISBLANK(Actuals!I35)),"",Budget!I35-Actuals!I35)</f>
        <v>-658.63</v>
      </c>
      <c r="AC29" s="132" t="n">
        <f aca="false">IFERROR(IF(OR(7&gt;$B$3,ISBLANK(Actuals!I35)),"",(Budget!I35-Actuals!I35)/ABS(Budget!I35)),"")</f>
        <v>-0.430477124183007</v>
      </c>
      <c r="AD29" s="131" t="n">
        <f aca="false">Budget!J35</f>
        <v>-1530</v>
      </c>
      <c r="AE29" s="131" t="n">
        <f aca="false">IF(OR(8&gt;$B$3,ISBLANK(Actuals!J35)),"",Actuals!J35)</f>
        <v>-1025.7</v>
      </c>
      <c r="AF29" s="132" t="n">
        <f aca="false">IF(OR(8&gt;$B$3,ISBLANK(Actuals!J35)),"",Budget!J35-Actuals!J35)</f>
        <v>-504.3</v>
      </c>
      <c r="AG29" s="132" t="n">
        <f aca="false">IFERROR(IF(OR(8&gt;$B$3,ISBLANK(Actuals!J35)),"",(Budget!J35-Actuals!J35)/ABS(Budget!J35)),"")</f>
        <v>-0.329607843137255</v>
      </c>
      <c r="AH29" s="131" t="n">
        <f aca="false">Budget!K35</f>
        <v>-1530</v>
      </c>
      <c r="AI29" s="131" t="n">
        <f aca="false">IF(OR(9&gt;$B$3,ISBLANK(Actuals!K35)),"",Actuals!K35)</f>
        <v>0</v>
      </c>
      <c r="AJ29" s="132" t="n">
        <f aca="false">IF(OR(9&gt;$B$3,ISBLANK(Actuals!K35)),"",Budget!K35-Actuals!K35)</f>
        <v>-1530</v>
      </c>
      <c r="AK29" s="132" t="n">
        <f aca="false">IFERROR(IF(OR(9&gt;$B$3,ISBLANK(Actuals!K35)),"",(Budget!K35-Actuals!K35)/ABS(Budget!K35)),"")</f>
        <v>-1</v>
      </c>
      <c r="AL29" s="131" t="n">
        <f aca="false">Budget!L35</f>
        <v>-1530</v>
      </c>
      <c r="AM29" s="131" t="str">
        <f aca="false">IF(OR(10&gt;$B$3,ISBLANK(Actuals!L35)),"",Actuals!L35)</f>
        <v/>
      </c>
      <c r="AN29" s="132" t="str">
        <f aca="false">IF(OR(10&gt;$B$3,ISBLANK(Actuals!L35)),"",Budget!L35-Actuals!L35)</f>
        <v/>
      </c>
      <c r="AO29" s="132" t="str">
        <f aca="false">IFERROR(IF(OR(10&gt;$B$3,ISBLANK(Actuals!L35)),"",(Budget!L35-Actuals!L35)/ABS(Budget!L35)),"")</f>
        <v/>
      </c>
      <c r="AP29" s="131" t="n">
        <f aca="false">Budget!M35</f>
        <v>-1530</v>
      </c>
      <c r="AQ29" s="131" t="str">
        <f aca="false">IF(OR(11&gt;$B$3,ISBLANK(Actuals!M35)),"",Actuals!M35)</f>
        <v/>
      </c>
      <c r="AR29" s="132" t="str">
        <f aca="false">IF(OR(11&gt;$B$3,ISBLANK(Actuals!M35)),"",Budget!M35-Actuals!M35)</f>
        <v/>
      </c>
      <c r="AS29" s="132" t="str">
        <f aca="false">IFERROR(IF(OR(11&gt;$B$3,ISBLANK(Actuals!M35)),"",(Budget!M35-Actuals!M35)/ABS(Budget!M35)),"")</f>
        <v/>
      </c>
      <c r="AT29" s="131" t="n">
        <f aca="false">Budget!N35</f>
        <v>-1530</v>
      </c>
      <c r="AU29" s="131" t="str">
        <f aca="false">IF(OR(12&gt;$B$3,ISBLANK(Actuals!N35)),"",Actuals!N35)</f>
        <v/>
      </c>
      <c r="AV29" s="132" t="str">
        <f aca="false">IF(OR(12&gt;$B$3,ISBLANK(Actuals!N35)),"",Budget!N35-Actuals!N35)</f>
        <v/>
      </c>
      <c r="AW29" s="132" t="str">
        <f aca="false">IFERROR(IF(OR(12&gt;$B$3,ISBLANK(Actuals!N35)),"",(Budget!N35-Actuals!N35)/ABS(Budget!N35)),"")</f>
        <v/>
      </c>
      <c r="AX29" s="133" t="n">
        <f aca="false">SUMPRODUCT((Actuals!C35:N35&lt;&gt;"")*(Budget!C35:N35))</f>
        <v>-13590</v>
      </c>
      <c r="AY29" s="133" t="n">
        <f aca="false">SUM(Actuals!C35:N35)</f>
        <v>-7475.9</v>
      </c>
      <c r="AZ29" s="134" t="n">
        <f aca="false">AX29-AY29</f>
        <v>-6114.1</v>
      </c>
    </row>
    <row r="30" customFormat="false" ht="15" hidden="false" customHeight="true" outlineLevel="0" collapsed="false">
      <c r="A30" s="130" t="s">
        <v>79</v>
      </c>
      <c r="B30" s="131" t="n">
        <f aca="false">Budget!C36</f>
        <v>-1000</v>
      </c>
      <c r="C30" s="131" t="n">
        <f aca="false">IF(OR(1&gt;$B$3,ISBLANK(Actuals!C36)),"",Actuals!C36)</f>
        <v>-2187.5</v>
      </c>
      <c r="D30" s="132" t="n">
        <f aca="false">IF(OR(1&gt;$B$3,ISBLANK(Actuals!C36)),"",Budget!C36-Actuals!C36)</f>
        <v>1187.5</v>
      </c>
      <c r="E30" s="132" t="n">
        <f aca="false">IFERROR(IF(OR(1&gt;$B$3,ISBLANK(Actuals!C36)),"",(Budget!C36-Actuals!C36)/ABS(Budget!C36)),"")</f>
        <v>1.1875</v>
      </c>
      <c r="F30" s="131" t="n">
        <f aca="false">Budget!D36</f>
        <v>-1000</v>
      </c>
      <c r="G30" s="131" t="n">
        <f aca="false">IF(OR(2&gt;$B$3,ISBLANK(Actuals!D36)),"",Actuals!D36)</f>
        <v>0</v>
      </c>
      <c r="H30" s="132" t="n">
        <f aca="false">IF(OR(2&gt;$B$3,ISBLANK(Actuals!D36)),"",Budget!D36-Actuals!D36)</f>
        <v>-1000</v>
      </c>
      <c r="I30" s="132" t="n">
        <f aca="false">IFERROR(IF(OR(2&gt;$B$3,ISBLANK(Actuals!D36)),"",(Budget!D36-Actuals!D36)/ABS(Budget!D36)),"")</f>
        <v>-1</v>
      </c>
      <c r="J30" s="131" t="n">
        <f aca="false">Budget!E36</f>
        <v>-1000</v>
      </c>
      <c r="K30" s="131" t="n">
        <f aca="false">IF(OR(3&gt;$B$3,ISBLANK(Actuals!E36)),"",Actuals!E36)</f>
        <v>-1625</v>
      </c>
      <c r="L30" s="132" t="n">
        <f aca="false">IF(OR(3&gt;$B$3,ISBLANK(Actuals!E36)),"",Budget!E36-Actuals!E36)</f>
        <v>625</v>
      </c>
      <c r="M30" s="132" t="n">
        <f aca="false">IFERROR(IF(OR(3&gt;$B$3,ISBLANK(Actuals!E36)),"",(Budget!E36-Actuals!E36)/ABS(Budget!E36)),"")</f>
        <v>0.625</v>
      </c>
      <c r="N30" s="131" t="n">
        <f aca="false">Budget!F36</f>
        <v>-1000</v>
      </c>
      <c r="O30" s="131" t="n">
        <f aca="false">IF(OR(4&gt;$B$3,ISBLANK(Actuals!F36)),"",Actuals!F36)</f>
        <v>0</v>
      </c>
      <c r="P30" s="132" t="n">
        <f aca="false">IF(OR(4&gt;$B$3,ISBLANK(Actuals!F36)),"",Budget!F36-Actuals!F36)</f>
        <v>-1000</v>
      </c>
      <c r="Q30" s="132" t="n">
        <f aca="false">IFERROR(IF(OR(4&gt;$B$3,ISBLANK(Actuals!F36)),"",(Budget!F36-Actuals!F36)/ABS(Budget!F36)),"")</f>
        <v>-1</v>
      </c>
      <c r="R30" s="131" t="n">
        <f aca="false">Budget!G36</f>
        <v>-1000</v>
      </c>
      <c r="S30" s="131" t="n">
        <f aca="false">IF(OR(5&gt;$B$3,ISBLANK(Actuals!G36)),"",Actuals!G36)</f>
        <v>0</v>
      </c>
      <c r="T30" s="132" t="n">
        <f aca="false">IF(OR(5&gt;$B$3,ISBLANK(Actuals!G36)),"",Budget!G36-Actuals!G36)</f>
        <v>-1000</v>
      </c>
      <c r="U30" s="132" t="n">
        <f aca="false">IFERROR(IF(OR(5&gt;$B$3,ISBLANK(Actuals!G36)),"",(Budget!G36-Actuals!G36)/ABS(Budget!G36)),"")</f>
        <v>-1</v>
      </c>
      <c r="V30" s="131" t="n">
        <f aca="false">Budget!H36</f>
        <v>-1000</v>
      </c>
      <c r="W30" s="131" t="n">
        <f aca="false">IF(OR(6&gt;$B$3,ISBLANK(Actuals!H36)),"",Actuals!H36)</f>
        <v>0</v>
      </c>
      <c r="X30" s="132" t="n">
        <f aca="false">IF(OR(6&gt;$B$3,ISBLANK(Actuals!H36)),"",Budget!H36-Actuals!H36)</f>
        <v>-1000</v>
      </c>
      <c r="Y30" s="132" t="n">
        <f aca="false">IFERROR(IF(OR(6&gt;$B$3,ISBLANK(Actuals!H36)),"",(Budget!H36-Actuals!H36)/ABS(Budget!H36)),"")</f>
        <v>-1</v>
      </c>
      <c r="Z30" s="131" t="n">
        <f aca="false">Budget!I36</f>
        <v>-1020</v>
      </c>
      <c r="AA30" s="131" t="n">
        <f aca="false">IF(OR(7&gt;$B$3,ISBLANK(Actuals!I36)),"",Actuals!I36)</f>
        <v>0</v>
      </c>
      <c r="AB30" s="132" t="n">
        <f aca="false">IF(OR(7&gt;$B$3,ISBLANK(Actuals!I36)),"",Budget!I36-Actuals!I36)</f>
        <v>-1020</v>
      </c>
      <c r="AC30" s="132" t="n">
        <f aca="false">IFERROR(IF(OR(7&gt;$B$3,ISBLANK(Actuals!I36)),"",(Budget!I36-Actuals!I36)/ABS(Budget!I36)),"")</f>
        <v>-1</v>
      </c>
      <c r="AD30" s="131" t="n">
        <f aca="false">Budget!J36</f>
        <v>-1020</v>
      </c>
      <c r="AE30" s="131" t="n">
        <f aca="false">IF(OR(8&gt;$B$3,ISBLANK(Actuals!J36)),"",Actuals!J36)</f>
        <v>-1560</v>
      </c>
      <c r="AF30" s="132" t="n">
        <f aca="false">IF(OR(8&gt;$B$3,ISBLANK(Actuals!J36)),"",Budget!J36-Actuals!J36)</f>
        <v>540</v>
      </c>
      <c r="AG30" s="132" t="n">
        <f aca="false">IFERROR(IF(OR(8&gt;$B$3,ISBLANK(Actuals!J36)),"",(Budget!J36-Actuals!J36)/ABS(Budget!J36)),"")</f>
        <v>0.529411764705882</v>
      </c>
      <c r="AH30" s="131" t="n">
        <f aca="false">Budget!K36</f>
        <v>-1020</v>
      </c>
      <c r="AI30" s="131" t="n">
        <f aca="false">IF(OR(9&gt;$B$3,ISBLANK(Actuals!K36)),"",Actuals!K36)</f>
        <v>0</v>
      </c>
      <c r="AJ30" s="132" t="n">
        <f aca="false">IF(OR(9&gt;$B$3,ISBLANK(Actuals!K36)),"",Budget!K36-Actuals!K36)</f>
        <v>-1020</v>
      </c>
      <c r="AK30" s="132" t="n">
        <f aca="false">IFERROR(IF(OR(9&gt;$B$3,ISBLANK(Actuals!K36)),"",(Budget!K36-Actuals!K36)/ABS(Budget!K36)),"")</f>
        <v>-1</v>
      </c>
      <c r="AL30" s="131" t="n">
        <f aca="false">Budget!L36</f>
        <v>-1020</v>
      </c>
      <c r="AM30" s="131" t="str">
        <f aca="false">IF(OR(10&gt;$B$3,ISBLANK(Actuals!L36)),"",Actuals!L36)</f>
        <v/>
      </c>
      <c r="AN30" s="132" t="str">
        <f aca="false">IF(OR(10&gt;$B$3,ISBLANK(Actuals!L36)),"",Budget!L36-Actuals!L36)</f>
        <v/>
      </c>
      <c r="AO30" s="132" t="str">
        <f aca="false">IFERROR(IF(OR(10&gt;$B$3,ISBLANK(Actuals!L36)),"",(Budget!L36-Actuals!L36)/ABS(Budget!L36)),"")</f>
        <v/>
      </c>
      <c r="AP30" s="131" t="n">
        <f aca="false">Budget!M36</f>
        <v>-1020</v>
      </c>
      <c r="AQ30" s="131" t="str">
        <f aca="false">IF(OR(11&gt;$B$3,ISBLANK(Actuals!M36)),"",Actuals!M36)</f>
        <v/>
      </c>
      <c r="AR30" s="132" t="str">
        <f aca="false">IF(OR(11&gt;$B$3,ISBLANK(Actuals!M36)),"",Budget!M36-Actuals!M36)</f>
        <v/>
      </c>
      <c r="AS30" s="132" t="str">
        <f aca="false">IFERROR(IF(OR(11&gt;$B$3,ISBLANK(Actuals!M36)),"",(Budget!M36-Actuals!M36)/ABS(Budget!M36)),"")</f>
        <v/>
      </c>
      <c r="AT30" s="131" t="n">
        <f aca="false">Budget!N36</f>
        <v>-1020</v>
      </c>
      <c r="AU30" s="131" t="str">
        <f aca="false">IF(OR(12&gt;$B$3,ISBLANK(Actuals!N36)),"",Actuals!N36)</f>
        <v/>
      </c>
      <c r="AV30" s="132" t="str">
        <f aca="false">IF(OR(12&gt;$B$3,ISBLANK(Actuals!N36)),"",Budget!N36-Actuals!N36)</f>
        <v/>
      </c>
      <c r="AW30" s="132" t="str">
        <f aca="false">IFERROR(IF(OR(12&gt;$B$3,ISBLANK(Actuals!N36)),"",(Budget!N36-Actuals!N36)/ABS(Budget!N36)),"")</f>
        <v/>
      </c>
      <c r="AX30" s="133" t="n">
        <f aca="false">SUMPRODUCT((Actuals!C36:N36&lt;&gt;"")*(Budget!C36:N36))</f>
        <v>-9060</v>
      </c>
      <c r="AY30" s="133" t="n">
        <f aca="false">SUM(Actuals!C36:N36)</f>
        <v>-5372.5</v>
      </c>
      <c r="AZ30" s="134" t="n">
        <f aca="false">AX30-AY30</f>
        <v>-3687.5</v>
      </c>
    </row>
    <row r="31" customFormat="false" ht="15" hidden="false" customHeight="true" outlineLevel="0" collapsed="false">
      <c r="A31" s="130" t="s">
        <v>80</v>
      </c>
      <c r="B31" s="131" t="n">
        <f aca="false">Budget!C37</f>
        <v>-1000</v>
      </c>
      <c r="C31" s="131" t="n">
        <f aca="false">IF(OR(1&gt;$B$3,ISBLANK(Actuals!C37)),"",Actuals!C37)</f>
        <v>0</v>
      </c>
      <c r="D31" s="132" t="n">
        <f aca="false">IF(OR(1&gt;$B$3,ISBLANK(Actuals!C37)),"",Budget!C37-Actuals!C37)</f>
        <v>-1000</v>
      </c>
      <c r="E31" s="132" t="n">
        <f aca="false">IFERROR(IF(OR(1&gt;$B$3,ISBLANK(Actuals!C37)),"",(Budget!C37-Actuals!C37)/ABS(Budget!C37)),"")</f>
        <v>-1</v>
      </c>
      <c r="F31" s="131" t="n">
        <f aca="false">Budget!D37</f>
        <v>-1000</v>
      </c>
      <c r="G31" s="131" t="n">
        <f aca="false">IF(OR(2&gt;$B$3,ISBLANK(Actuals!D37)),"",Actuals!D37)</f>
        <v>-12349</v>
      </c>
      <c r="H31" s="132" t="n">
        <f aca="false">IF(OR(2&gt;$B$3,ISBLANK(Actuals!D37)),"",Budget!D37-Actuals!D37)</f>
        <v>11349</v>
      </c>
      <c r="I31" s="132" t="n">
        <f aca="false">IFERROR(IF(OR(2&gt;$B$3,ISBLANK(Actuals!D37)),"",(Budget!D37-Actuals!D37)/ABS(Budget!D37)),"")</f>
        <v>11.349</v>
      </c>
      <c r="J31" s="131" t="n">
        <f aca="false">Budget!E37</f>
        <v>-1000</v>
      </c>
      <c r="K31" s="131" t="n">
        <f aca="false">IF(OR(3&gt;$B$3,ISBLANK(Actuals!E37)),"",Actuals!E37)</f>
        <v>-5400</v>
      </c>
      <c r="L31" s="132" t="n">
        <f aca="false">IF(OR(3&gt;$B$3,ISBLANK(Actuals!E37)),"",Budget!E37-Actuals!E37)</f>
        <v>4400</v>
      </c>
      <c r="M31" s="132" t="n">
        <f aca="false">IFERROR(IF(OR(3&gt;$B$3,ISBLANK(Actuals!E37)),"",(Budget!E37-Actuals!E37)/ABS(Budget!E37)),"")</f>
        <v>4.4</v>
      </c>
      <c r="N31" s="131" t="n">
        <f aca="false">Budget!F37</f>
        <v>-1000</v>
      </c>
      <c r="O31" s="131" t="n">
        <f aca="false">IF(OR(4&gt;$B$3,ISBLANK(Actuals!F37)),"",Actuals!F37)</f>
        <v>-4377</v>
      </c>
      <c r="P31" s="132" t="n">
        <f aca="false">IF(OR(4&gt;$B$3,ISBLANK(Actuals!F37)),"",Budget!F37-Actuals!F37)</f>
        <v>3377</v>
      </c>
      <c r="Q31" s="132" t="n">
        <f aca="false">IFERROR(IF(OR(4&gt;$B$3,ISBLANK(Actuals!F37)),"",(Budget!F37-Actuals!F37)/ABS(Budget!F37)),"")</f>
        <v>3.377</v>
      </c>
      <c r="R31" s="131" t="n">
        <f aca="false">Budget!G37</f>
        <v>-1000</v>
      </c>
      <c r="S31" s="131" t="n">
        <f aca="false">IF(OR(5&gt;$B$3,ISBLANK(Actuals!G37)),"",Actuals!G37)</f>
        <v>-11750</v>
      </c>
      <c r="T31" s="132" t="n">
        <f aca="false">IF(OR(5&gt;$B$3,ISBLANK(Actuals!G37)),"",Budget!G37-Actuals!G37)</f>
        <v>10750</v>
      </c>
      <c r="U31" s="132" t="n">
        <f aca="false">IFERROR(IF(OR(5&gt;$B$3,ISBLANK(Actuals!G37)),"",(Budget!G37-Actuals!G37)/ABS(Budget!G37)),"")</f>
        <v>10.75</v>
      </c>
      <c r="V31" s="131" t="n">
        <f aca="false">Budget!H37</f>
        <v>-1000</v>
      </c>
      <c r="W31" s="131" t="n">
        <f aca="false">IF(OR(6&gt;$B$3,ISBLANK(Actuals!H37)),"",Actuals!H37)</f>
        <v>0</v>
      </c>
      <c r="X31" s="132" t="n">
        <f aca="false">IF(OR(6&gt;$B$3,ISBLANK(Actuals!H37)),"",Budget!H37-Actuals!H37)</f>
        <v>-1000</v>
      </c>
      <c r="Y31" s="132" t="n">
        <f aca="false">IFERROR(IF(OR(6&gt;$B$3,ISBLANK(Actuals!H37)),"",(Budget!H37-Actuals!H37)/ABS(Budget!H37)),"")</f>
        <v>-1</v>
      </c>
      <c r="Z31" s="131" t="n">
        <f aca="false">Budget!I37</f>
        <v>-1020</v>
      </c>
      <c r="AA31" s="131" t="n">
        <f aca="false">IF(OR(7&gt;$B$3,ISBLANK(Actuals!I37)),"",Actuals!I37)</f>
        <v>0</v>
      </c>
      <c r="AB31" s="132" t="n">
        <f aca="false">IF(OR(7&gt;$B$3,ISBLANK(Actuals!I37)),"",Budget!I37-Actuals!I37)</f>
        <v>-1020</v>
      </c>
      <c r="AC31" s="132" t="n">
        <f aca="false">IFERROR(IF(OR(7&gt;$B$3,ISBLANK(Actuals!I37)),"",(Budget!I37-Actuals!I37)/ABS(Budget!I37)),"")</f>
        <v>-1</v>
      </c>
      <c r="AD31" s="131" t="n">
        <f aca="false">Budget!J37</f>
        <v>-1020</v>
      </c>
      <c r="AE31" s="131" t="n">
        <f aca="false">IF(OR(8&gt;$B$3,ISBLANK(Actuals!J37)),"",Actuals!J37)</f>
        <v>-26000</v>
      </c>
      <c r="AF31" s="132" t="n">
        <f aca="false">IF(OR(8&gt;$B$3,ISBLANK(Actuals!J37)),"",Budget!J37-Actuals!J37)</f>
        <v>24980</v>
      </c>
      <c r="AG31" s="132" t="n">
        <f aca="false">IFERROR(IF(OR(8&gt;$B$3,ISBLANK(Actuals!J37)),"",(Budget!J37-Actuals!J37)/ABS(Budget!J37)),"")</f>
        <v>24.4901960784314</v>
      </c>
      <c r="AH31" s="131" t="n">
        <f aca="false">Budget!K37</f>
        <v>-1020</v>
      </c>
      <c r="AI31" s="131" t="n">
        <f aca="false">IF(OR(9&gt;$B$3,ISBLANK(Actuals!K37)),"",Actuals!K37)</f>
        <v>-5250</v>
      </c>
      <c r="AJ31" s="132" t="n">
        <f aca="false">IF(OR(9&gt;$B$3,ISBLANK(Actuals!K37)),"",Budget!K37-Actuals!K37)</f>
        <v>4230</v>
      </c>
      <c r="AK31" s="132" t="n">
        <f aca="false">IFERROR(IF(OR(9&gt;$B$3,ISBLANK(Actuals!K37)),"",(Budget!K37-Actuals!K37)/ABS(Budget!K37)),"")</f>
        <v>4.14705882352941</v>
      </c>
      <c r="AL31" s="131" t="n">
        <f aca="false">Budget!L37</f>
        <v>-1020</v>
      </c>
      <c r="AM31" s="131" t="str">
        <f aca="false">IF(OR(10&gt;$B$3,ISBLANK(Actuals!L37)),"",Actuals!L37)</f>
        <v/>
      </c>
      <c r="AN31" s="132" t="str">
        <f aca="false">IF(OR(10&gt;$B$3,ISBLANK(Actuals!L37)),"",Budget!L37-Actuals!L37)</f>
        <v/>
      </c>
      <c r="AO31" s="132" t="str">
        <f aca="false">IFERROR(IF(OR(10&gt;$B$3,ISBLANK(Actuals!L37)),"",(Budget!L37-Actuals!L37)/ABS(Budget!L37)),"")</f>
        <v/>
      </c>
      <c r="AP31" s="131" t="n">
        <f aca="false">Budget!M37</f>
        <v>-1020</v>
      </c>
      <c r="AQ31" s="131" t="str">
        <f aca="false">IF(OR(11&gt;$B$3,ISBLANK(Actuals!M37)),"",Actuals!M37)</f>
        <v/>
      </c>
      <c r="AR31" s="132" t="str">
        <f aca="false">IF(OR(11&gt;$B$3,ISBLANK(Actuals!M37)),"",Budget!M37-Actuals!M37)</f>
        <v/>
      </c>
      <c r="AS31" s="132" t="str">
        <f aca="false">IFERROR(IF(OR(11&gt;$B$3,ISBLANK(Actuals!M37)),"",(Budget!M37-Actuals!M37)/ABS(Budget!M37)),"")</f>
        <v/>
      </c>
      <c r="AT31" s="131" t="n">
        <f aca="false">Budget!N37</f>
        <v>-1020</v>
      </c>
      <c r="AU31" s="131" t="str">
        <f aca="false">IF(OR(12&gt;$B$3,ISBLANK(Actuals!N37)),"",Actuals!N37)</f>
        <v/>
      </c>
      <c r="AV31" s="132" t="str">
        <f aca="false">IF(OR(12&gt;$B$3,ISBLANK(Actuals!N37)),"",Budget!N37-Actuals!N37)</f>
        <v/>
      </c>
      <c r="AW31" s="132" t="str">
        <f aca="false">IFERROR(IF(OR(12&gt;$B$3,ISBLANK(Actuals!N37)),"",(Budget!N37-Actuals!N37)/ABS(Budget!N37)),"")</f>
        <v/>
      </c>
      <c r="AX31" s="133" t="n">
        <f aca="false">SUMPRODUCT((Actuals!C37:N37&lt;&gt;"")*(Budget!C37:N37))</f>
        <v>-9060</v>
      </c>
      <c r="AY31" s="133" t="n">
        <f aca="false">SUM(Actuals!C37:N37)</f>
        <v>-65126</v>
      </c>
      <c r="AZ31" s="134" t="n">
        <f aca="false">AX31-AY31</f>
        <v>56066</v>
      </c>
    </row>
    <row r="32" customFormat="false" ht="15" hidden="false" customHeight="true" outlineLevel="0" collapsed="false">
      <c r="A32" s="130" t="s">
        <v>81</v>
      </c>
      <c r="B32" s="131" t="n">
        <f aca="false">Budget!C38</f>
        <v>0</v>
      </c>
      <c r="C32" s="131" t="n">
        <f aca="false">IF(OR(1&gt;$B$3,ISBLANK(Actuals!C38)),"",Actuals!C38)</f>
        <v>0</v>
      </c>
      <c r="D32" s="132" t="n">
        <f aca="false">IF(OR(1&gt;$B$3,ISBLANK(Actuals!C38)),"",Budget!C38-Actuals!C38)</f>
        <v>0</v>
      </c>
      <c r="E32" s="132" t="str">
        <f aca="false">IFERROR(IF(OR(1&gt;$B$3,ISBLANK(Actuals!C38)),"",(Budget!C38-Actuals!C38)/ABS(Budget!C38)),"")</f>
        <v/>
      </c>
      <c r="F32" s="131" t="n">
        <f aca="false">Budget!D38</f>
        <v>0</v>
      </c>
      <c r="G32" s="131" t="n">
        <f aca="false">IF(OR(2&gt;$B$3,ISBLANK(Actuals!D38)),"",Actuals!D38)</f>
        <v>0</v>
      </c>
      <c r="H32" s="132" t="n">
        <f aca="false">IF(OR(2&gt;$B$3,ISBLANK(Actuals!D38)),"",Budget!D38-Actuals!D38)</f>
        <v>0</v>
      </c>
      <c r="I32" s="132" t="str">
        <f aca="false">IFERROR(IF(OR(2&gt;$B$3,ISBLANK(Actuals!D38)),"",(Budget!D38-Actuals!D38)/ABS(Budget!D38)),"")</f>
        <v/>
      </c>
      <c r="J32" s="131" t="n">
        <f aca="false">Budget!E38</f>
        <v>0</v>
      </c>
      <c r="K32" s="131" t="n">
        <f aca="false">IF(OR(3&gt;$B$3,ISBLANK(Actuals!E38)),"",Actuals!E38)</f>
        <v>-750.4</v>
      </c>
      <c r="L32" s="132" t="n">
        <f aca="false">IF(OR(3&gt;$B$3,ISBLANK(Actuals!E38)),"",Budget!E38-Actuals!E38)</f>
        <v>750.4</v>
      </c>
      <c r="M32" s="132" t="str">
        <f aca="false">IFERROR(IF(OR(3&gt;$B$3,ISBLANK(Actuals!E38)),"",(Budget!E38-Actuals!E38)/ABS(Budget!E38)),"")</f>
        <v/>
      </c>
      <c r="N32" s="131" t="n">
        <f aca="false">Budget!F38</f>
        <v>0</v>
      </c>
      <c r="O32" s="131" t="n">
        <f aca="false">IF(OR(4&gt;$B$3,ISBLANK(Actuals!F38)),"",Actuals!F38)</f>
        <v>0</v>
      </c>
      <c r="P32" s="132" t="n">
        <f aca="false">IF(OR(4&gt;$B$3,ISBLANK(Actuals!F38)),"",Budget!F38-Actuals!F38)</f>
        <v>0</v>
      </c>
      <c r="Q32" s="132" t="str">
        <f aca="false">IFERROR(IF(OR(4&gt;$B$3,ISBLANK(Actuals!F38)),"",(Budget!F38-Actuals!F38)/ABS(Budget!F38)),"")</f>
        <v/>
      </c>
      <c r="R32" s="131" t="n">
        <f aca="false">Budget!G38</f>
        <v>0</v>
      </c>
      <c r="S32" s="131" t="n">
        <f aca="false">IF(OR(5&gt;$B$3,ISBLANK(Actuals!G38)),"",Actuals!G38)</f>
        <v>0</v>
      </c>
      <c r="T32" s="132" t="n">
        <f aca="false">IF(OR(5&gt;$B$3,ISBLANK(Actuals!G38)),"",Budget!G38-Actuals!G38)</f>
        <v>0</v>
      </c>
      <c r="U32" s="132" t="str">
        <f aca="false">IFERROR(IF(OR(5&gt;$B$3,ISBLANK(Actuals!G38)),"",(Budget!G38-Actuals!G38)/ABS(Budget!G38)),"")</f>
        <v/>
      </c>
      <c r="V32" s="131" t="n">
        <f aca="false">Budget!H38</f>
        <v>0</v>
      </c>
      <c r="W32" s="131" t="n">
        <f aca="false">IF(OR(6&gt;$B$3,ISBLANK(Actuals!H38)),"",Actuals!H38)</f>
        <v>0</v>
      </c>
      <c r="X32" s="132" t="n">
        <f aca="false">IF(OR(6&gt;$B$3,ISBLANK(Actuals!H38)),"",Budget!H38-Actuals!H38)</f>
        <v>0</v>
      </c>
      <c r="Y32" s="132" t="str">
        <f aca="false">IFERROR(IF(OR(6&gt;$B$3,ISBLANK(Actuals!H38)),"",(Budget!H38-Actuals!H38)/ABS(Budget!H38)),"")</f>
        <v/>
      </c>
      <c r="Z32" s="131" t="n">
        <f aca="false">Budget!I38</f>
        <v>0</v>
      </c>
      <c r="AA32" s="131" t="n">
        <f aca="false">IF(OR(7&gt;$B$3,ISBLANK(Actuals!I38)),"",Actuals!I38)</f>
        <v>0</v>
      </c>
      <c r="AB32" s="132" t="n">
        <f aca="false">IF(OR(7&gt;$B$3,ISBLANK(Actuals!I38)),"",Budget!I38-Actuals!I38)</f>
        <v>0</v>
      </c>
      <c r="AC32" s="132" t="str">
        <f aca="false">IFERROR(IF(OR(7&gt;$B$3,ISBLANK(Actuals!I38)),"",(Budget!I38-Actuals!I38)/ABS(Budget!I38)),"")</f>
        <v/>
      </c>
      <c r="AD32" s="131" t="n">
        <f aca="false">Budget!J38</f>
        <v>0</v>
      </c>
      <c r="AE32" s="131" t="n">
        <f aca="false">IF(OR(8&gt;$B$3,ISBLANK(Actuals!J38)),"",Actuals!J38)</f>
        <v>0</v>
      </c>
      <c r="AF32" s="132" t="n">
        <f aca="false">IF(OR(8&gt;$B$3,ISBLANK(Actuals!J38)),"",Budget!J38-Actuals!J38)</f>
        <v>0</v>
      </c>
      <c r="AG32" s="132" t="str">
        <f aca="false">IFERROR(IF(OR(8&gt;$B$3,ISBLANK(Actuals!J38)),"",(Budget!J38-Actuals!J38)/ABS(Budget!J38)),"")</f>
        <v/>
      </c>
      <c r="AH32" s="131" t="n">
        <f aca="false">Budget!K38</f>
        <v>0</v>
      </c>
      <c r="AI32" s="131" t="n">
        <f aca="false">IF(OR(9&gt;$B$3,ISBLANK(Actuals!K38)),"",Actuals!K38)</f>
        <v>-55000</v>
      </c>
      <c r="AJ32" s="132" t="n">
        <f aca="false">IF(OR(9&gt;$B$3,ISBLANK(Actuals!K38)),"",Budget!K38-Actuals!K38)</f>
        <v>55000</v>
      </c>
      <c r="AK32" s="132" t="str">
        <f aca="false">IFERROR(IF(OR(9&gt;$B$3,ISBLANK(Actuals!K38)),"",(Budget!K38-Actuals!K38)/ABS(Budget!K38)),"")</f>
        <v/>
      </c>
      <c r="AL32" s="131" t="n">
        <f aca="false">Budget!L38</f>
        <v>0</v>
      </c>
      <c r="AM32" s="131" t="str">
        <f aca="false">IF(OR(10&gt;$B$3,ISBLANK(Actuals!L38)),"",Actuals!L38)</f>
        <v/>
      </c>
      <c r="AN32" s="132" t="str">
        <f aca="false">IF(OR(10&gt;$B$3,ISBLANK(Actuals!L38)),"",Budget!L38-Actuals!L38)</f>
        <v/>
      </c>
      <c r="AO32" s="132" t="str">
        <f aca="false">IFERROR(IF(OR(10&gt;$B$3,ISBLANK(Actuals!L38)),"",(Budget!L38-Actuals!L38)/ABS(Budget!L38)),"")</f>
        <v/>
      </c>
      <c r="AP32" s="131" t="n">
        <f aca="false">Budget!M38</f>
        <v>0</v>
      </c>
      <c r="AQ32" s="131" t="str">
        <f aca="false">IF(OR(11&gt;$B$3,ISBLANK(Actuals!M38)),"",Actuals!M38)</f>
        <v/>
      </c>
      <c r="AR32" s="132" t="str">
        <f aca="false">IF(OR(11&gt;$B$3,ISBLANK(Actuals!M38)),"",Budget!M38-Actuals!M38)</f>
        <v/>
      </c>
      <c r="AS32" s="132" t="str">
        <f aca="false">IFERROR(IF(OR(11&gt;$B$3,ISBLANK(Actuals!M38)),"",(Budget!M38-Actuals!M38)/ABS(Budget!M38)),"")</f>
        <v/>
      </c>
      <c r="AT32" s="131" t="n">
        <f aca="false">Budget!N38</f>
        <v>0</v>
      </c>
      <c r="AU32" s="131" t="str">
        <f aca="false">IF(OR(12&gt;$B$3,ISBLANK(Actuals!N38)),"",Actuals!N38)</f>
        <v/>
      </c>
      <c r="AV32" s="132" t="str">
        <f aca="false">IF(OR(12&gt;$B$3,ISBLANK(Actuals!N38)),"",Budget!N38-Actuals!N38)</f>
        <v/>
      </c>
      <c r="AW32" s="132" t="str">
        <f aca="false">IFERROR(IF(OR(12&gt;$B$3,ISBLANK(Actuals!N38)),"",(Budget!N38-Actuals!N38)/ABS(Budget!N38)),"")</f>
        <v/>
      </c>
      <c r="AX32" s="133" t="n">
        <f aca="false">SUMPRODUCT((Actuals!C38:N38&lt;&gt;"")*(Budget!C38:N38))</f>
        <v>0</v>
      </c>
      <c r="AY32" s="133" t="n">
        <f aca="false">SUM(Actuals!C38:N38)</f>
        <v>-55750.4</v>
      </c>
      <c r="AZ32" s="134" t="n">
        <f aca="false">AX32-AY32</f>
        <v>55750.4</v>
      </c>
    </row>
    <row r="33" customFormat="false" ht="15" hidden="false" customHeight="true" outlineLevel="0" collapsed="false">
      <c r="A33" s="130" t="s">
        <v>82</v>
      </c>
      <c r="B33" s="131" t="n">
        <f aca="false">Budget!C39</f>
        <v>-1666.67</v>
      </c>
      <c r="C33" s="131" t="n">
        <f aca="false">IF(OR(1&gt;$B$3,ISBLANK(Actuals!C39)),"",Actuals!C39)</f>
        <v>-1474.63</v>
      </c>
      <c r="D33" s="132" t="n">
        <f aca="false">IF(OR(1&gt;$B$3,ISBLANK(Actuals!C39)),"",Budget!C39-Actuals!C39)</f>
        <v>-192.04</v>
      </c>
      <c r="E33" s="132" t="n">
        <f aca="false">IFERROR(IF(OR(1&gt;$B$3,ISBLANK(Actuals!C39)),"",(Budget!C39-Actuals!C39)/ABS(Budget!C39)),"")</f>
        <v>-0.115223769552461</v>
      </c>
      <c r="F33" s="131" t="n">
        <f aca="false">Budget!D39</f>
        <v>-1666.67</v>
      </c>
      <c r="G33" s="131" t="n">
        <f aca="false">IF(OR(2&gt;$B$3,ISBLANK(Actuals!D39)),"",Actuals!D39)</f>
        <v>-1449.33</v>
      </c>
      <c r="H33" s="132" t="n">
        <f aca="false">IF(OR(2&gt;$B$3,ISBLANK(Actuals!D39)),"",Budget!D39-Actuals!D39)</f>
        <v>-217.34</v>
      </c>
      <c r="I33" s="132" t="n">
        <f aca="false">IFERROR(IF(OR(2&gt;$B$3,ISBLANK(Actuals!D39)),"",(Budget!D39-Actuals!D39)/ABS(Budget!D39)),"")</f>
        <v>-0.130403739192522</v>
      </c>
      <c r="J33" s="131" t="n">
        <f aca="false">Budget!E39</f>
        <v>-1666.67</v>
      </c>
      <c r="K33" s="131" t="n">
        <f aca="false">IF(OR(3&gt;$B$3,ISBLANK(Actuals!E39)),"",Actuals!E39)</f>
        <v>-2328.76</v>
      </c>
      <c r="L33" s="132" t="n">
        <f aca="false">IF(OR(3&gt;$B$3,ISBLANK(Actuals!E39)),"",Budget!E39-Actuals!E39)</f>
        <v>662.09</v>
      </c>
      <c r="M33" s="132" t="n">
        <f aca="false">IFERROR(IF(OR(3&gt;$B$3,ISBLANK(Actuals!E39)),"",(Budget!E39-Actuals!E39)/ABS(Budget!E39)),"")</f>
        <v>0.397253205493589</v>
      </c>
      <c r="N33" s="131" t="n">
        <f aca="false">Budget!F39</f>
        <v>-1666.67</v>
      </c>
      <c r="O33" s="131" t="n">
        <f aca="false">IF(OR(4&gt;$B$3,ISBLANK(Actuals!F39)),"",Actuals!F39)</f>
        <v>-2249.56</v>
      </c>
      <c r="P33" s="132" t="n">
        <f aca="false">IF(OR(4&gt;$B$3,ISBLANK(Actuals!F39)),"",Budget!F39-Actuals!F39)</f>
        <v>582.89</v>
      </c>
      <c r="Q33" s="132" t="n">
        <f aca="false">IFERROR(IF(OR(4&gt;$B$3,ISBLANK(Actuals!F39)),"",(Budget!F39-Actuals!F39)/ABS(Budget!F39)),"")</f>
        <v>0.349733300533399</v>
      </c>
      <c r="R33" s="131" t="n">
        <f aca="false">Budget!G39</f>
        <v>-1666.67</v>
      </c>
      <c r="S33" s="131" t="n">
        <f aca="false">IF(OR(5&gt;$B$3,ISBLANK(Actuals!G39)),"",Actuals!G39)</f>
        <v>-2759.48</v>
      </c>
      <c r="T33" s="132" t="n">
        <f aca="false">IF(OR(5&gt;$B$3,ISBLANK(Actuals!G39)),"",Budget!G39-Actuals!G39)</f>
        <v>1092.81</v>
      </c>
      <c r="U33" s="132" t="n">
        <f aca="false">IFERROR(IF(OR(5&gt;$B$3,ISBLANK(Actuals!G39)),"",(Budget!G39-Actuals!G39)/ABS(Budget!G39)),"")</f>
        <v>0.655684688630623</v>
      </c>
      <c r="V33" s="131" t="n">
        <f aca="false">Budget!H39</f>
        <v>-1666.67</v>
      </c>
      <c r="W33" s="131" t="n">
        <f aca="false">IF(OR(6&gt;$B$3,ISBLANK(Actuals!H39)),"",Actuals!H39)</f>
        <v>-2749.12</v>
      </c>
      <c r="X33" s="132" t="n">
        <f aca="false">IF(OR(6&gt;$B$3,ISBLANK(Actuals!H39)),"",Budget!H39-Actuals!H39)</f>
        <v>1082.45</v>
      </c>
      <c r="Y33" s="132" t="n">
        <f aca="false">IFERROR(IF(OR(6&gt;$B$3,ISBLANK(Actuals!H39)),"",(Budget!H39-Actuals!H39)/ABS(Budget!H39)),"")</f>
        <v>0.649468701062598</v>
      </c>
      <c r="Z33" s="131" t="n">
        <f aca="false">Budget!I39</f>
        <v>-1700</v>
      </c>
      <c r="AA33" s="131" t="n">
        <f aca="false">IF(OR(7&gt;$B$3,ISBLANK(Actuals!I39)),"",Actuals!I39)</f>
        <v>-2384.6</v>
      </c>
      <c r="AB33" s="132" t="n">
        <f aca="false">IF(OR(7&gt;$B$3,ISBLANK(Actuals!I39)),"",Budget!I39-Actuals!I39)</f>
        <v>684.6</v>
      </c>
      <c r="AC33" s="132" t="n">
        <f aca="false">IFERROR(IF(OR(7&gt;$B$3,ISBLANK(Actuals!I39)),"",(Budget!I39-Actuals!I39)/ABS(Budget!I39)),"")</f>
        <v>0.402705882352941</v>
      </c>
      <c r="AD33" s="131" t="n">
        <f aca="false">Budget!J39</f>
        <v>-1700</v>
      </c>
      <c r="AE33" s="131" t="n">
        <f aca="false">IF(OR(8&gt;$B$3,ISBLANK(Actuals!J39)),"",Actuals!J39)</f>
        <v>-4264.89</v>
      </c>
      <c r="AF33" s="132" t="n">
        <f aca="false">IF(OR(8&gt;$B$3,ISBLANK(Actuals!J39)),"",Budget!J39-Actuals!J39)</f>
        <v>2564.89</v>
      </c>
      <c r="AG33" s="132" t="n">
        <f aca="false">IFERROR(IF(OR(8&gt;$B$3,ISBLANK(Actuals!J39)),"",(Budget!J39-Actuals!J39)/ABS(Budget!J39)),"")</f>
        <v>1.50875882352941</v>
      </c>
      <c r="AH33" s="131" t="n">
        <f aca="false">Budget!K39</f>
        <v>-1700</v>
      </c>
      <c r="AI33" s="131" t="n">
        <f aca="false">IF(OR(9&gt;$B$3,ISBLANK(Actuals!K39)),"",Actuals!K39)</f>
        <v>-3851.12</v>
      </c>
      <c r="AJ33" s="132" t="n">
        <f aca="false">IF(OR(9&gt;$B$3,ISBLANK(Actuals!K39)),"",Budget!K39-Actuals!K39)</f>
        <v>2151.12</v>
      </c>
      <c r="AK33" s="132" t="n">
        <f aca="false">IFERROR(IF(OR(9&gt;$B$3,ISBLANK(Actuals!K39)),"",(Budget!K39-Actuals!K39)/ABS(Budget!K39)),"")</f>
        <v>1.26536470588235</v>
      </c>
      <c r="AL33" s="131" t="n">
        <f aca="false">Budget!L39</f>
        <v>-1700</v>
      </c>
      <c r="AM33" s="131" t="str">
        <f aca="false">IF(OR(10&gt;$B$3,ISBLANK(Actuals!L39)),"",Actuals!L39)</f>
        <v/>
      </c>
      <c r="AN33" s="132" t="str">
        <f aca="false">IF(OR(10&gt;$B$3,ISBLANK(Actuals!L39)),"",Budget!L39-Actuals!L39)</f>
        <v/>
      </c>
      <c r="AO33" s="132" t="str">
        <f aca="false">IFERROR(IF(OR(10&gt;$B$3,ISBLANK(Actuals!L39)),"",(Budget!L39-Actuals!L39)/ABS(Budget!L39)),"")</f>
        <v/>
      </c>
      <c r="AP33" s="131" t="n">
        <f aca="false">Budget!M39</f>
        <v>-1700</v>
      </c>
      <c r="AQ33" s="131" t="str">
        <f aca="false">IF(OR(11&gt;$B$3,ISBLANK(Actuals!M39)),"",Actuals!M39)</f>
        <v/>
      </c>
      <c r="AR33" s="132" t="str">
        <f aca="false">IF(OR(11&gt;$B$3,ISBLANK(Actuals!M39)),"",Budget!M39-Actuals!M39)</f>
        <v/>
      </c>
      <c r="AS33" s="132" t="str">
        <f aca="false">IFERROR(IF(OR(11&gt;$B$3,ISBLANK(Actuals!M39)),"",(Budget!M39-Actuals!M39)/ABS(Budget!M39)),"")</f>
        <v/>
      </c>
      <c r="AT33" s="131" t="n">
        <f aca="false">Budget!N39</f>
        <v>-1700</v>
      </c>
      <c r="AU33" s="131" t="str">
        <f aca="false">IF(OR(12&gt;$B$3,ISBLANK(Actuals!N39)),"",Actuals!N39)</f>
        <v/>
      </c>
      <c r="AV33" s="132" t="str">
        <f aca="false">IF(OR(12&gt;$B$3,ISBLANK(Actuals!N39)),"",Budget!N39-Actuals!N39)</f>
        <v/>
      </c>
      <c r="AW33" s="132" t="str">
        <f aca="false">IFERROR(IF(OR(12&gt;$B$3,ISBLANK(Actuals!N39)),"",(Budget!N39-Actuals!N39)/ABS(Budget!N39)),"")</f>
        <v/>
      </c>
      <c r="AX33" s="133" t="n">
        <f aca="false">SUMPRODUCT((Actuals!C39:N39&lt;&gt;"")*(Budget!C39:N39))</f>
        <v>-15100.02</v>
      </c>
      <c r="AY33" s="133" t="n">
        <f aca="false">SUM(Actuals!C39:N39)</f>
        <v>-23511.49</v>
      </c>
      <c r="AZ33" s="134" t="n">
        <f aca="false">AX33-AY33</f>
        <v>8411.47</v>
      </c>
    </row>
    <row r="34" customFormat="false" ht="15" hidden="false" customHeight="true" outlineLevel="0" collapsed="false">
      <c r="A34" s="130" t="s">
        <v>83</v>
      </c>
      <c r="B34" s="131" t="n">
        <f aca="false">Budget!C40</f>
        <v>-1000</v>
      </c>
      <c r="C34" s="131" t="n">
        <f aca="false">IF(OR(1&gt;$B$3,ISBLANK(Actuals!C40)),"",Actuals!C40)</f>
        <v>-1417.61</v>
      </c>
      <c r="D34" s="132" t="n">
        <f aca="false">IF(OR(1&gt;$B$3,ISBLANK(Actuals!C40)),"",Budget!C40-Actuals!C40)</f>
        <v>417.61</v>
      </c>
      <c r="E34" s="132" t="n">
        <f aca="false">IFERROR(IF(OR(1&gt;$B$3,ISBLANK(Actuals!C40)),"",(Budget!C40-Actuals!C40)/ABS(Budget!C40)),"")</f>
        <v>0.41761</v>
      </c>
      <c r="F34" s="131" t="n">
        <f aca="false">Budget!D40</f>
        <v>-1000</v>
      </c>
      <c r="G34" s="131" t="n">
        <f aca="false">IF(OR(2&gt;$B$3,ISBLANK(Actuals!D40)),"",Actuals!D40)</f>
        <v>-2730.36</v>
      </c>
      <c r="H34" s="132" t="n">
        <f aca="false">IF(OR(2&gt;$B$3,ISBLANK(Actuals!D40)),"",Budget!D40-Actuals!D40)</f>
        <v>1730.36</v>
      </c>
      <c r="I34" s="132" t="n">
        <f aca="false">IFERROR(IF(OR(2&gt;$B$3,ISBLANK(Actuals!D40)),"",(Budget!D40-Actuals!D40)/ABS(Budget!D40)),"")</f>
        <v>1.73036</v>
      </c>
      <c r="J34" s="131" t="n">
        <f aca="false">Budget!E40</f>
        <v>-1000</v>
      </c>
      <c r="K34" s="131" t="n">
        <f aca="false">IF(OR(3&gt;$B$3,ISBLANK(Actuals!E40)),"",Actuals!E40)</f>
        <v>-1818.05</v>
      </c>
      <c r="L34" s="132" t="n">
        <f aca="false">IF(OR(3&gt;$B$3,ISBLANK(Actuals!E40)),"",Budget!E40-Actuals!E40)</f>
        <v>818.05</v>
      </c>
      <c r="M34" s="132" t="n">
        <f aca="false">IFERROR(IF(OR(3&gt;$B$3,ISBLANK(Actuals!E40)),"",(Budget!E40-Actuals!E40)/ABS(Budget!E40)),"")</f>
        <v>0.81805</v>
      </c>
      <c r="N34" s="131" t="n">
        <f aca="false">Budget!F40</f>
        <v>-1000</v>
      </c>
      <c r="O34" s="131" t="n">
        <f aca="false">IF(OR(4&gt;$B$3,ISBLANK(Actuals!F40)),"",Actuals!F40)</f>
        <v>-3307.74</v>
      </c>
      <c r="P34" s="132" t="n">
        <f aca="false">IF(OR(4&gt;$B$3,ISBLANK(Actuals!F40)),"",Budget!F40-Actuals!F40)</f>
        <v>2307.74</v>
      </c>
      <c r="Q34" s="132" t="n">
        <f aca="false">IFERROR(IF(OR(4&gt;$B$3,ISBLANK(Actuals!F40)),"",(Budget!F40-Actuals!F40)/ABS(Budget!F40)),"")</f>
        <v>2.30774</v>
      </c>
      <c r="R34" s="131" t="n">
        <f aca="false">Budget!G40</f>
        <v>-1000</v>
      </c>
      <c r="S34" s="131" t="n">
        <f aca="false">IF(OR(5&gt;$B$3,ISBLANK(Actuals!G40)),"",Actuals!G40)</f>
        <v>-1257.74</v>
      </c>
      <c r="T34" s="132" t="n">
        <f aca="false">IF(OR(5&gt;$B$3,ISBLANK(Actuals!G40)),"",Budget!G40-Actuals!G40)</f>
        <v>257.74</v>
      </c>
      <c r="U34" s="132" t="n">
        <f aca="false">IFERROR(IF(OR(5&gt;$B$3,ISBLANK(Actuals!G40)),"",(Budget!G40-Actuals!G40)/ABS(Budget!G40)),"")</f>
        <v>0.25774</v>
      </c>
      <c r="V34" s="131" t="n">
        <f aca="false">Budget!H40</f>
        <v>-1000</v>
      </c>
      <c r="W34" s="131" t="n">
        <f aca="false">IF(OR(6&gt;$B$3,ISBLANK(Actuals!H40)),"",Actuals!H40)</f>
        <v>-3372.74</v>
      </c>
      <c r="X34" s="132" t="n">
        <f aca="false">IF(OR(6&gt;$B$3,ISBLANK(Actuals!H40)),"",Budget!H40-Actuals!H40)</f>
        <v>2372.74</v>
      </c>
      <c r="Y34" s="132" t="n">
        <f aca="false">IFERROR(IF(OR(6&gt;$B$3,ISBLANK(Actuals!H40)),"",(Budget!H40-Actuals!H40)/ABS(Budget!H40)),"")</f>
        <v>2.37274</v>
      </c>
      <c r="Z34" s="131" t="n">
        <f aca="false">Budget!I40</f>
        <v>-1020</v>
      </c>
      <c r="AA34" s="131" t="n">
        <f aca="false">IF(OR(7&gt;$B$3,ISBLANK(Actuals!I40)),"",Actuals!I40)</f>
        <v>-1434.83</v>
      </c>
      <c r="AB34" s="132" t="n">
        <f aca="false">IF(OR(7&gt;$B$3,ISBLANK(Actuals!I40)),"",Budget!I40-Actuals!I40)</f>
        <v>414.83</v>
      </c>
      <c r="AC34" s="132" t="n">
        <f aca="false">IFERROR(IF(OR(7&gt;$B$3,ISBLANK(Actuals!I40)),"",(Budget!I40-Actuals!I40)/ABS(Budget!I40)),"")</f>
        <v>0.406696078431372</v>
      </c>
      <c r="AD34" s="131" t="n">
        <f aca="false">Budget!J40</f>
        <v>-1020</v>
      </c>
      <c r="AE34" s="131" t="n">
        <f aca="false">IF(OR(8&gt;$B$3,ISBLANK(Actuals!J40)),"",Actuals!J40)</f>
        <v>-3520.23</v>
      </c>
      <c r="AF34" s="132" t="n">
        <f aca="false">IF(OR(8&gt;$B$3,ISBLANK(Actuals!J40)),"",Budget!J40-Actuals!J40)</f>
        <v>2500.23</v>
      </c>
      <c r="AG34" s="132" t="n">
        <f aca="false">IFERROR(IF(OR(8&gt;$B$3,ISBLANK(Actuals!J40)),"",(Budget!J40-Actuals!J40)/ABS(Budget!J40)),"")</f>
        <v>2.45120588235294</v>
      </c>
      <c r="AH34" s="131" t="n">
        <f aca="false">Budget!K40</f>
        <v>-1020</v>
      </c>
      <c r="AI34" s="131" t="n">
        <f aca="false">IF(OR(9&gt;$B$3,ISBLANK(Actuals!K40)),"",Actuals!K40)</f>
        <v>-987.24</v>
      </c>
      <c r="AJ34" s="132" t="n">
        <f aca="false">IF(OR(9&gt;$B$3,ISBLANK(Actuals!K40)),"",Budget!K40-Actuals!K40)</f>
        <v>-32.76</v>
      </c>
      <c r="AK34" s="132" t="n">
        <f aca="false">IFERROR(IF(OR(9&gt;$B$3,ISBLANK(Actuals!K40)),"",(Budget!K40-Actuals!K40)/ABS(Budget!K40)),"")</f>
        <v>-0.0321176470588235</v>
      </c>
      <c r="AL34" s="131" t="n">
        <f aca="false">Budget!L40</f>
        <v>-1020</v>
      </c>
      <c r="AM34" s="131" t="str">
        <f aca="false">IF(OR(10&gt;$B$3,ISBLANK(Actuals!L40)),"",Actuals!L40)</f>
        <v/>
      </c>
      <c r="AN34" s="132" t="str">
        <f aca="false">IF(OR(10&gt;$B$3,ISBLANK(Actuals!L40)),"",Budget!L40-Actuals!L40)</f>
        <v/>
      </c>
      <c r="AO34" s="132" t="str">
        <f aca="false">IFERROR(IF(OR(10&gt;$B$3,ISBLANK(Actuals!L40)),"",(Budget!L40-Actuals!L40)/ABS(Budget!L40)),"")</f>
        <v/>
      </c>
      <c r="AP34" s="131" t="n">
        <f aca="false">Budget!M40</f>
        <v>-1020</v>
      </c>
      <c r="AQ34" s="131" t="str">
        <f aca="false">IF(OR(11&gt;$B$3,ISBLANK(Actuals!M40)),"",Actuals!M40)</f>
        <v/>
      </c>
      <c r="AR34" s="132" t="str">
        <f aca="false">IF(OR(11&gt;$B$3,ISBLANK(Actuals!M40)),"",Budget!M40-Actuals!M40)</f>
        <v/>
      </c>
      <c r="AS34" s="132" t="str">
        <f aca="false">IFERROR(IF(OR(11&gt;$B$3,ISBLANK(Actuals!M40)),"",(Budget!M40-Actuals!M40)/ABS(Budget!M40)),"")</f>
        <v/>
      </c>
      <c r="AT34" s="131" t="n">
        <f aca="false">Budget!N40</f>
        <v>-1020</v>
      </c>
      <c r="AU34" s="131" t="str">
        <f aca="false">IF(OR(12&gt;$B$3,ISBLANK(Actuals!N40)),"",Actuals!N40)</f>
        <v/>
      </c>
      <c r="AV34" s="132" t="str">
        <f aca="false">IF(OR(12&gt;$B$3,ISBLANK(Actuals!N40)),"",Budget!N40-Actuals!N40)</f>
        <v/>
      </c>
      <c r="AW34" s="132" t="str">
        <f aca="false">IFERROR(IF(OR(12&gt;$B$3,ISBLANK(Actuals!N40)),"",(Budget!N40-Actuals!N40)/ABS(Budget!N40)),"")</f>
        <v/>
      </c>
      <c r="AX34" s="133" t="n">
        <f aca="false">SUMPRODUCT((Actuals!C40:N40&lt;&gt;"")*(Budget!C40:N40))</f>
        <v>-9060</v>
      </c>
      <c r="AY34" s="133" t="n">
        <f aca="false">SUM(Actuals!C40:N40)</f>
        <v>-19846.54</v>
      </c>
      <c r="AZ34" s="134" t="n">
        <f aca="false">AX34-AY34</f>
        <v>10786.54</v>
      </c>
    </row>
    <row r="35" customFormat="false" ht="15" hidden="false" customHeight="true" outlineLevel="0" collapsed="false">
      <c r="A35" s="130" t="s">
        <v>84</v>
      </c>
      <c r="B35" s="131" t="n">
        <f aca="false">Budget!C41</f>
        <v>0</v>
      </c>
      <c r="C35" s="131" t="n">
        <f aca="false">IF(OR(1&gt;$B$3,ISBLANK(Actuals!C41)),"",Actuals!C41)</f>
        <v>0</v>
      </c>
      <c r="D35" s="132" t="n">
        <f aca="false">IF(OR(1&gt;$B$3,ISBLANK(Actuals!C41)),"",Budget!C41-Actuals!C41)</f>
        <v>0</v>
      </c>
      <c r="E35" s="132" t="str">
        <f aca="false">IFERROR(IF(OR(1&gt;$B$3,ISBLANK(Actuals!C41)),"",(Budget!C41-Actuals!C41)/ABS(Budget!C41)),"")</f>
        <v/>
      </c>
      <c r="F35" s="131" t="n">
        <f aca="false">Budget!D41</f>
        <v>0</v>
      </c>
      <c r="G35" s="131" t="n">
        <f aca="false">IF(OR(2&gt;$B$3,ISBLANK(Actuals!D41)),"",Actuals!D41)</f>
        <v>0</v>
      </c>
      <c r="H35" s="132" t="n">
        <f aca="false">IF(OR(2&gt;$B$3,ISBLANK(Actuals!D41)),"",Budget!D41-Actuals!D41)</f>
        <v>0</v>
      </c>
      <c r="I35" s="132" t="str">
        <f aca="false">IFERROR(IF(OR(2&gt;$B$3,ISBLANK(Actuals!D41)),"",(Budget!D41-Actuals!D41)/ABS(Budget!D41)),"")</f>
        <v/>
      </c>
      <c r="J35" s="131" t="n">
        <f aca="false">Budget!E41</f>
        <v>0</v>
      </c>
      <c r="K35" s="131" t="n">
        <f aca="false">IF(OR(3&gt;$B$3,ISBLANK(Actuals!E41)),"",Actuals!E41)</f>
        <v>-41990</v>
      </c>
      <c r="L35" s="132" t="n">
        <f aca="false">IF(OR(3&gt;$B$3,ISBLANK(Actuals!E41)),"",Budget!E41-Actuals!E41)</f>
        <v>41990</v>
      </c>
      <c r="M35" s="132" t="str">
        <f aca="false">IFERROR(IF(OR(3&gt;$B$3,ISBLANK(Actuals!E41)),"",(Budget!E41-Actuals!E41)/ABS(Budget!E41)),"")</f>
        <v/>
      </c>
      <c r="N35" s="131" t="n">
        <f aca="false">Budget!F41</f>
        <v>0</v>
      </c>
      <c r="O35" s="131" t="n">
        <f aca="false">IF(OR(4&gt;$B$3,ISBLANK(Actuals!F41)),"",Actuals!F41)</f>
        <v>-42500</v>
      </c>
      <c r="P35" s="132" t="n">
        <f aca="false">IF(OR(4&gt;$B$3,ISBLANK(Actuals!F41)),"",Budget!F41-Actuals!F41)</f>
        <v>42500</v>
      </c>
      <c r="Q35" s="132" t="str">
        <f aca="false">IFERROR(IF(OR(4&gt;$B$3,ISBLANK(Actuals!F41)),"",(Budget!F41-Actuals!F41)/ABS(Budget!F41)),"")</f>
        <v/>
      </c>
      <c r="R35" s="131" t="n">
        <f aca="false">Budget!G41</f>
        <v>0</v>
      </c>
      <c r="S35" s="131" t="n">
        <f aca="false">IF(OR(5&gt;$B$3,ISBLANK(Actuals!G41)),"",Actuals!G41)</f>
        <v>-21000</v>
      </c>
      <c r="T35" s="132" t="n">
        <f aca="false">IF(OR(5&gt;$B$3,ISBLANK(Actuals!G41)),"",Budget!G41-Actuals!G41)</f>
        <v>21000</v>
      </c>
      <c r="U35" s="132" t="str">
        <f aca="false">IFERROR(IF(OR(5&gt;$B$3,ISBLANK(Actuals!G41)),"",(Budget!G41-Actuals!G41)/ABS(Budget!G41)),"")</f>
        <v/>
      </c>
      <c r="V35" s="131" t="n">
        <f aca="false">Budget!H41</f>
        <v>0</v>
      </c>
      <c r="W35" s="131" t="n">
        <f aca="false">IF(OR(6&gt;$B$3,ISBLANK(Actuals!H41)),"",Actuals!H41)</f>
        <v>0</v>
      </c>
      <c r="X35" s="132" t="n">
        <f aca="false">IF(OR(6&gt;$B$3,ISBLANK(Actuals!H41)),"",Budget!H41-Actuals!H41)</f>
        <v>0</v>
      </c>
      <c r="Y35" s="132" t="str">
        <f aca="false">IFERROR(IF(OR(6&gt;$B$3,ISBLANK(Actuals!H41)),"",(Budget!H41-Actuals!H41)/ABS(Budget!H41)),"")</f>
        <v/>
      </c>
      <c r="Z35" s="131" t="n">
        <f aca="false">Budget!I41</f>
        <v>0</v>
      </c>
      <c r="AA35" s="131" t="n">
        <f aca="false">IF(OR(7&gt;$B$3,ISBLANK(Actuals!I41)),"",Actuals!I41)</f>
        <v>0</v>
      </c>
      <c r="AB35" s="132" t="n">
        <f aca="false">IF(OR(7&gt;$B$3,ISBLANK(Actuals!I41)),"",Budget!I41-Actuals!I41)</f>
        <v>0</v>
      </c>
      <c r="AC35" s="132" t="str">
        <f aca="false">IFERROR(IF(OR(7&gt;$B$3,ISBLANK(Actuals!I41)),"",(Budget!I41-Actuals!I41)/ABS(Budget!I41)),"")</f>
        <v/>
      </c>
      <c r="AD35" s="131" t="n">
        <f aca="false">Budget!J41</f>
        <v>0</v>
      </c>
      <c r="AE35" s="131" t="n">
        <f aca="false">IF(OR(8&gt;$B$3,ISBLANK(Actuals!J41)),"",Actuals!J41)</f>
        <v>0</v>
      </c>
      <c r="AF35" s="132" t="n">
        <f aca="false">IF(OR(8&gt;$B$3,ISBLANK(Actuals!J41)),"",Budget!J41-Actuals!J41)</f>
        <v>0</v>
      </c>
      <c r="AG35" s="132" t="str">
        <f aca="false">IFERROR(IF(OR(8&gt;$B$3,ISBLANK(Actuals!J41)),"",(Budget!J41-Actuals!J41)/ABS(Budget!J41)),"")</f>
        <v/>
      </c>
      <c r="AH35" s="131" t="n">
        <f aca="false">Budget!K41</f>
        <v>0</v>
      </c>
      <c r="AI35" s="131" t="n">
        <f aca="false">IF(OR(9&gt;$B$3,ISBLANK(Actuals!K41)),"",Actuals!K41)</f>
        <v>0</v>
      </c>
      <c r="AJ35" s="132" t="n">
        <f aca="false">IF(OR(9&gt;$B$3,ISBLANK(Actuals!K41)),"",Budget!K41-Actuals!K41)</f>
        <v>0</v>
      </c>
      <c r="AK35" s="132" t="str">
        <f aca="false">IFERROR(IF(OR(9&gt;$B$3,ISBLANK(Actuals!K41)),"",(Budget!K41-Actuals!K41)/ABS(Budget!K41)),"")</f>
        <v/>
      </c>
      <c r="AL35" s="131" t="n">
        <f aca="false">Budget!L41</f>
        <v>0</v>
      </c>
      <c r="AM35" s="131" t="str">
        <f aca="false">IF(OR(10&gt;$B$3,ISBLANK(Actuals!L41)),"",Actuals!L41)</f>
        <v/>
      </c>
      <c r="AN35" s="132" t="str">
        <f aca="false">IF(OR(10&gt;$B$3,ISBLANK(Actuals!L41)),"",Budget!L41-Actuals!L41)</f>
        <v/>
      </c>
      <c r="AO35" s="132" t="str">
        <f aca="false">IFERROR(IF(OR(10&gt;$B$3,ISBLANK(Actuals!L41)),"",(Budget!L41-Actuals!L41)/ABS(Budget!L41)),"")</f>
        <v/>
      </c>
      <c r="AP35" s="131" t="n">
        <f aca="false">Budget!M41</f>
        <v>0</v>
      </c>
      <c r="AQ35" s="131" t="str">
        <f aca="false">IF(OR(11&gt;$B$3,ISBLANK(Actuals!M41)),"",Actuals!M41)</f>
        <v/>
      </c>
      <c r="AR35" s="132" t="str">
        <f aca="false">IF(OR(11&gt;$B$3,ISBLANK(Actuals!M41)),"",Budget!M41-Actuals!M41)</f>
        <v/>
      </c>
      <c r="AS35" s="132" t="str">
        <f aca="false">IFERROR(IF(OR(11&gt;$B$3,ISBLANK(Actuals!M41)),"",(Budget!M41-Actuals!M41)/ABS(Budget!M41)),"")</f>
        <v/>
      </c>
      <c r="AT35" s="131" t="n">
        <f aca="false">Budget!N41</f>
        <v>0</v>
      </c>
      <c r="AU35" s="131" t="str">
        <f aca="false">IF(OR(12&gt;$B$3,ISBLANK(Actuals!N41)),"",Actuals!N41)</f>
        <v/>
      </c>
      <c r="AV35" s="132" t="str">
        <f aca="false">IF(OR(12&gt;$B$3,ISBLANK(Actuals!N41)),"",Budget!N41-Actuals!N41)</f>
        <v/>
      </c>
      <c r="AW35" s="132" t="str">
        <f aca="false">IFERROR(IF(OR(12&gt;$B$3,ISBLANK(Actuals!N41)),"",(Budget!N41-Actuals!N41)/ABS(Budget!N41)),"")</f>
        <v/>
      </c>
      <c r="AX35" s="133" t="n">
        <f aca="false">SUMPRODUCT((Actuals!C41:N41&lt;&gt;"")*(Budget!C41:N41))</f>
        <v>0</v>
      </c>
      <c r="AY35" s="133" t="n">
        <f aca="false">SUM(Actuals!C41:N41)</f>
        <v>-105490</v>
      </c>
      <c r="AZ35" s="134" t="n">
        <f aca="false">AX35-AY35</f>
        <v>105490</v>
      </c>
    </row>
    <row r="36" customFormat="false" ht="15" hidden="false" customHeight="true" outlineLevel="0" collapsed="false">
      <c r="A36" s="130" t="s">
        <v>85</v>
      </c>
      <c r="B36" s="131" t="n">
        <f aca="false">Budget!C42</f>
        <v>0</v>
      </c>
      <c r="C36" s="131" t="n">
        <f aca="false">IF(OR(1&gt;$B$3,ISBLANK(Actuals!C42)),"",Actuals!C42)</f>
        <v>-165</v>
      </c>
      <c r="D36" s="132" t="n">
        <f aca="false">IF(OR(1&gt;$B$3,ISBLANK(Actuals!C42)),"",Budget!C42-Actuals!C42)</f>
        <v>165</v>
      </c>
      <c r="E36" s="132" t="str">
        <f aca="false">IFERROR(IF(OR(1&gt;$B$3,ISBLANK(Actuals!C42)),"",(Budget!C42-Actuals!C42)/ABS(Budget!C42)),"")</f>
        <v/>
      </c>
      <c r="F36" s="131" t="n">
        <f aca="false">Budget!D42</f>
        <v>0</v>
      </c>
      <c r="G36" s="131" t="n">
        <f aca="false">IF(OR(2&gt;$B$3,ISBLANK(Actuals!D42)),"",Actuals!D42)</f>
        <v>0</v>
      </c>
      <c r="H36" s="132" t="n">
        <f aca="false">IF(OR(2&gt;$B$3,ISBLANK(Actuals!D42)),"",Budget!D42-Actuals!D42)</f>
        <v>0</v>
      </c>
      <c r="I36" s="132" t="str">
        <f aca="false">IFERROR(IF(OR(2&gt;$B$3,ISBLANK(Actuals!D42)),"",(Budget!D42-Actuals!D42)/ABS(Budget!D42)),"")</f>
        <v/>
      </c>
      <c r="J36" s="131" t="n">
        <f aca="false">Budget!E42</f>
        <v>0</v>
      </c>
      <c r="K36" s="131" t="n">
        <f aca="false">IF(OR(3&gt;$B$3,ISBLANK(Actuals!E42)),"",Actuals!E42)</f>
        <v>0</v>
      </c>
      <c r="L36" s="132" t="n">
        <f aca="false">IF(OR(3&gt;$B$3,ISBLANK(Actuals!E42)),"",Budget!E42-Actuals!E42)</f>
        <v>0</v>
      </c>
      <c r="M36" s="132" t="str">
        <f aca="false">IFERROR(IF(OR(3&gt;$B$3,ISBLANK(Actuals!E42)),"",(Budget!E42-Actuals!E42)/ABS(Budget!E42)),"")</f>
        <v/>
      </c>
      <c r="N36" s="131" t="n">
        <f aca="false">Budget!F42</f>
        <v>0</v>
      </c>
      <c r="O36" s="131" t="n">
        <f aca="false">IF(OR(4&gt;$B$3,ISBLANK(Actuals!F42)),"",Actuals!F42)</f>
        <v>-165</v>
      </c>
      <c r="P36" s="132" t="n">
        <f aca="false">IF(OR(4&gt;$B$3,ISBLANK(Actuals!F42)),"",Budget!F42-Actuals!F42)</f>
        <v>165</v>
      </c>
      <c r="Q36" s="132" t="str">
        <f aca="false">IFERROR(IF(OR(4&gt;$B$3,ISBLANK(Actuals!F42)),"",(Budget!F42-Actuals!F42)/ABS(Budget!F42)),"")</f>
        <v/>
      </c>
      <c r="R36" s="131" t="n">
        <f aca="false">Budget!G42</f>
        <v>0</v>
      </c>
      <c r="S36" s="131" t="n">
        <f aca="false">IF(OR(5&gt;$B$3,ISBLANK(Actuals!G42)),"",Actuals!G42)</f>
        <v>0</v>
      </c>
      <c r="T36" s="132" t="n">
        <f aca="false">IF(OR(5&gt;$B$3,ISBLANK(Actuals!G42)),"",Budget!G42-Actuals!G42)</f>
        <v>0</v>
      </c>
      <c r="U36" s="132" t="str">
        <f aca="false">IFERROR(IF(OR(5&gt;$B$3,ISBLANK(Actuals!G42)),"",(Budget!G42-Actuals!G42)/ABS(Budget!G42)),"")</f>
        <v/>
      </c>
      <c r="V36" s="131" t="n">
        <f aca="false">Budget!H42</f>
        <v>0</v>
      </c>
      <c r="W36" s="131" t="n">
        <f aca="false">IF(OR(6&gt;$B$3,ISBLANK(Actuals!H42)),"",Actuals!H42)</f>
        <v>-165</v>
      </c>
      <c r="X36" s="132" t="n">
        <f aca="false">IF(OR(6&gt;$B$3,ISBLANK(Actuals!H42)),"",Budget!H42-Actuals!H42)</f>
        <v>165</v>
      </c>
      <c r="Y36" s="132" t="str">
        <f aca="false">IFERROR(IF(OR(6&gt;$B$3,ISBLANK(Actuals!H42)),"",(Budget!H42-Actuals!H42)/ABS(Budget!H42)),"")</f>
        <v/>
      </c>
      <c r="Z36" s="131" t="n">
        <f aca="false">Budget!I42</f>
        <v>0</v>
      </c>
      <c r="AA36" s="131" t="n">
        <f aca="false">IF(OR(7&gt;$B$3,ISBLANK(Actuals!I42)),"",Actuals!I42)</f>
        <v>0</v>
      </c>
      <c r="AB36" s="132" t="n">
        <f aca="false">IF(OR(7&gt;$B$3,ISBLANK(Actuals!I42)),"",Budget!I42-Actuals!I42)</f>
        <v>0</v>
      </c>
      <c r="AC36" s="132" t="str">
        <f aca="false">IFERROR(IF(OR(7&gt;$B$3,ISBLANK(Actuals!I42)),"",(Budget!I42-Actuals!I42)/ABS(Budget!I42)),"")</f>
        <v/>
      </c>
      <c r="AD36" s="131" t="n">
        <f aca="false">Budget!J42</f>
        <v>0</v>
      </c>
      <c r="AE36" s="131" t="n">
        <f aca="false">IF(OR(8&gt;$B$3,ISBLANK(Actuals!J42)),"",Actuals!J42)</f>
        <v>0</v>
      </c>
      <c r="AF36" s="132" t="n">
        <f aca="false">IF(OR(8&gt;$B$3,ISBLANK(Actuals!J42)),"",Budget!J42-Actuals!J42)</f>
        <v>0</v>
      </c>
      <c r="AG36" s="132" t="str">
        <f aca="false">IFERROR(IF(OR(8&gt;$B$3,ISBLANK(Actuals!J42)),"",(Budget!J42-Actuals!J42)/ABS(Budget!J42)),"")</f>
        <v/>
      </c>
      <c r="AH36" s="131" t="n">
        <f aca="false">Budget!K42</f>
        <v>0</v>
      </c>
      <c r="AI36" s="131" t="n">
        <f aca="false">IF(OR(9&gt;$B$3,ISBLANK(Actuals!K42)),"",Actuals!K42)</f>
        <v>-330</v>
      </c>
      <c r="AJ36" s="132" t="n">
        <f aca="false">IF(OR(9&gt;$B$3,ISBLANK(Actuals!K42)),"",Budget!K42-Actuals!K42)</f>
        <v>330</v>
      </c>
      <c r="AK36" s="132" t="str">
        <f aca="false">IFERROR(IF(OR(9&gt;$B$3,ISBLANK(Actuals!K42)),"",(Budget!K42-Actuals!K42)/ABS(Budget!K42)),"")</f>
        <v/>
      </c>
      <c r="AL36" s="131" t="n">
        <f aca="false">Budget!L42</f>
        <v>0</v>
      </c>
      <c r="AM36" s="131" t="str">
        <f aca="false">IF(OR(10&gt;$B$3,ISBLANK(Actuals!L42)),"",Actuals!L42)</f>
        <v/>
      </c>
      <c r="AN36" s="132" t="str">
        <f aca="false">IF(OR(10&gt;$B$3,ISBLANK(Actuals!L42)),"",Budget!L42-Actuals!L42)</f>
        <v/>
      </c>
      <c r="AO36" s="132" t="str">
        <f aca="false">IFERROR(IF(OR(10&gt;$B$3,ISBLANK(Actuals!L42)),"",(Budget!L42-Actuals!L42)/ABS(Budget!L42)),"")</f>
        <v/>
      </c>
      <c r="AP36" s="131" t="n">
        <f aca="false">Budget!M42</f>
        <v>0</v>
      </c>
      <c r="AQ36" s="131" t="str">
        <f aca="false">IF(OR(11&gt;$B$3,ISBLANK(Actuals!M42)),"",Actuals!M42)</f>
        <v/>
      </c>
      <c r="AR36" s="132" t="str">
        <f aca="false">IF(OR(11&gt;$B$3,ISBLANK(Actuals!M42)),"",Budget!M42-Actuals!M42)</f>
        <v/>
      </c>
      <c r="AS36" s="132" t="str">
        <f aca="false">IFERROR(IF(OR(11&gt;$B$3,ISBLANK(Actuals!M42)),"",(Budget!M42-Actuals!M42)/ABS(Budget!M42)),"")</f>
        <v/>
      </c>
      <c r="AT36" s="131" t="n">
        <f aca="false">Budget!N42</f>
        <v>0</v>
      </c>
      <c r="AU36" s="131" t="str">
        <f aca="false">IF(OR(12&gt;$B$3,ISBLANK(Actuals!N42)),"",Actuals!N42)</f>
        <v/>
      </c>
      <c r="AV36" s="132" t="str">
        <f aca="false">IF(OR(12&gt;$B$3,ISBLANK(Actuals!N42)),"",Budget!N42-Actuals!N42)</f>
        <v/>
      </c>
      <c r="AW36" s="132" t="str">
        <f aca="false">IFERROR(IF(OR(12&gt;$B$3,ISBLANK(Actuals!N42)),"",(Budget!N42-Actuals!N42)/ABS(Budget!N42)),"")</f>
        <v/>
      </c>
      <c r="AX36" s="133" t="n">
        <f aca="false">SUMPRODUCT((Actuals!C42:N42&lt;&gt;"")*(Budget!C42:N42))</f>
        <v>0</v>
      </c>
      <c r="AY36" s="133" t="n">
        <f aca="false">SUM(Actuals!C42:N42)</f>
        <v>-825</v>
      </c>
      <c r="AZ36" s="134" t="n">
        <f aca="false">AX36-AY36</f>
        <v>825</v>
      </c>
    </row>
    <row r="37" customFormat="false" ht="15" hidden="false" customHeight="true" outlineLevel="0" collapsed="false">
      <c r="A37" s="130" t="s">
        <v>86</v>
      </c>
      <c r="B37" s="131" t="n">
        <f aca="false">Budget!C43</f>
        <v>0</v>
      </c>
      <c r="C37" s="131" t="n">
        <f aca="false">IF(OR(1&gt;$B$3,ISBLANK(Actuals!C43)),"",Actuals!C43)</f>
        <v>0</v>
      </c>
      <c r="D37" s="132" t="n">
        <f aca="false">IF(OR(1&gt;$B$3,ISBLANK(Actuals!C43)),"",Budget!C43-Actuals!C43)</f>
        <v>0</v>
      </c>
      <c r="E37" s="132" t="str">
        <f aca="false">IFERROR(IF(OR(1&gt;$B$3,ISBLANK(Actuals!C43)),"",(Budget!C43-Actuals!C43)/ABS(Budget!C43)),"")</f>
        <v/>
      </c>
      <c r="F37" s="131" t="n">
        <f aca="false">Budget!D43</f>
        <v>0</v>
      </c>
      <c r="G37" s="131" t="n">
        <f aca="false">IF(OR(2&gt;$B$3,ISBLANK(Actuals!D43)),"",Actuals!D43)</f>
        <v>0</v>
      </c>
      <c r="H37" s="132" t="n">
        <f aca="false">IF(OR(2&gt;$B$3,ISBLANK(Actuals!D43)),"",Budget!D43-Actuals!D43)</f>
        <v>0</v>
      </c>
      <c r="I37" s="132" t="str">
        <f aca="false">IFERROR(IF(OR(2&gt;$B$3,ISBLANK(Actuals!D43)),"",(Budget!D43-Actuals!D43)/ABS(Budget!D43)),"")</f>
        <v/>
      </c>
      <c r="J37" s="131" t="n">
        <f aca="false">Budget!E43</f>
        <v>0</v>
      </c>
      <c r="K37" s="131" t="n">
        <f aca="false">IF(OR(3&gt;$B$3,ISBLANK(Actuals!E43)),"",Actuals!E43)</f>
        <v>0</v>
      </c>
      <c r="L37" s="132" t="n">
        <f aca="false">IF(OR(3&gt;$B$3,ISBLANK(Actuals!E43)),"",Budget!E43-Actuals!E43)</f>
        <v>0</v>
      </c>
      <c r="M37" s="132" t="str">
        <f aca="false">IFERROR(IF(OR(3&gt;$B$3,ISBLANK(Actuals!E43)),"",(Budget!E43-Actuals!E43)/ABS(Budget!E43)),"")</f>
        <v/>
      </c>
      <c r="N37" s="131" t="n">
        <f aca="false">Budget!F43</f>
        <v>0</v>
      </c>
      <c r="O37" s="131" t="n">
        <f aca="false">IF(OR(4&gt;$B$3,ISBLANK(Actuals!F43)),"",Actuals!F43)</f>
        <v>-1036.49</v>
      </c>
      <c r="P37" s="132" t="n">
        <f aca="false">IF(OR(4&gt;$B$3,ISBLANK(Actuals!F43)),"",Budget!F43-Actuals!F43)</f>
        <v>1036.49</v>
      </c>
      <c r="Q37" s="132" t="str">
        <f aca="false">IFERROR(IF(OR(4&gt;$B$3,ISBLANK(Actuals!F43)),"",(Budget!F43-Actuals!F43)/ABS(Budget!F43)),"")</f>
        <v/>
      </c>
      <c r="R37" s="131" t="n">
        <f aca="false">Budget!G43</f>
        <v>0</v>
      </c>
      <c r="S37" s="131" t="n">
        <f aca="false">IF(OR(5&gt;$B$3,ISBLANK(Actuals!G43)),"",Actuals!G43)</f>
        <v>0</v>
      </c>
      <c r="T37" s="132" t="n">
        <f aca="false">IF(OR(5&gt;$B$3,ISBLANK(Actuals!G43)),"",Budget!G43-Actuals!G43)</f>
        <v>0</v>
      </c>
      <c r="U37" s="132" t="str">
        <f aca="false">IFERROR(IF(OR(5&gt;$B$3,ISBLANK(Actuals!G43)),"",(Budget!G43-Actuals!G43)/ABS(Budget!G43)),"")</f>
        <v/>
      </c>
      <c r="V37" s="131" t="n">
        <f aca="false">Budget!H43</f>
        <v>0</v>
      </c>
      <c r="W37" s="131" t="n">
        <f aca="false">IF(OR(6&gt;$B$3,ISBLANK(Actuals!H43)),"",Actuals!H43)</f>
        <v>-4308.58</v>
      </c>
      <c r="X37" s="132" t="n">
        <f aca="false">IF(OR(6&gt;$B$3,ISBLANK(Actuals!H43)),"",Budget!H43-Actuals!H43)</f>
        <v>4308.58</v>
      </c>
      <c r="Y37" s="132" t="str">
        <f aca="false">IFERROR(IF(OR(6&gt;$B$3,ISBLANK(Actuals!H43)),"",(Budget!H43-Actuals!H43)/ABS(Budget!H43)),"")</f>
        <v/>
      </c>
      <c r="Z37" s="131" t="n">
        <f aca="false">Budget!I43</f>
        <v>0</v>
      </c>
      <c r="AA37" s="131" t="n">
        <f aca="false">IF(OR(7&gt;$B$3,ISBLANK(Actuals!I43)),"",Actuals!I43)</f>
        <v>-362.98</v>
      </c>
      <c r="AB37" s="132" t="n">
        <f aca="false">IF(OR(7&gt;$B$3,ISBLANK(Actuals!I43)),"",Budget!I43-Actuals!I43)</f>
        <v>362.98</v>
      </c>
      <c r="AC37" s="132" t="str">
        <f aca="false">IFERROR(IF(OR(7&gt;$B$3,ISBLANK(Actuals!I43)),"",(Budget!I43-Actuals!I43)/ABS(Budget!I43)),"")</f>
        <v/>
      </c>
      <c r="AD37" s="131" t="n">
        <f aca="false">Budget!J43</f>
        <v>0</v>
      </c>
      <c r="AE37" s="131" t="n">
        <f aca="false">IF(OR(8&gt;$B$3,ISBLANK(Actuals!J43)),"",Actuals!J43)</f>
        <v>0</v>
      </c>
      <c r="AF37" s="132" t="n">
        <f aca="false">IF(OR(8&gt;$B$3,ISBLANK(Actuals!J43)),"",Budget!J43-Actuals!J43)</f>
        <v>0</v>
      </c>
      <c r="AG37" s="132" t="str">
        <f aca="false">IFERROR(IF(OR(8&gt;$B$3,ISBLANK(Actuals!J43)),"",(Budget!J43-Actuals!J43)/ABS(Budget!J43)),"")</f>
        <v/>
      </c>
      <c r="AH37" s="131" t="n">
        <f aca="false">Budget!K43</f>
        <v>0</v>
      </c>
      <c r="AI37" s="131" t="n">
        <f aca="false">IF(OR(9&gt;$B$3,ISBLANK(Actuals!K43)),"",Actuals!K43)</f>
        <v>0</v>
      </c>
      <c r="AJ37" s="132" t="n">
        <f aca="false">IF(OR(9&gt;$B$3,ISBLANK(Actuals!K43)),"",Budget!K43-Actuals!K43)</f>
        <v>0</v>
      </c>
      <c r="AK37" s="132" t="str">
        <f aca="false">IFERROR(IF(OR(9&gt;$B$3,ISBLANK(Actuals!K43)),"",(Budget!K43-Actuals!K43)/ABS(Budget!K43)),"")</f>
        <v/>
      </c>
      <c r="AL37" s="131" t="n">
        <f aca="false">Budget!L43</f>
        <v>0</v>
      </c>
      <c r="AM37" s="131" t="str">
        <f aca="false">IF(OR(10&gt;$B$3,ISBLANK(Actuals!L43)),"",Actuals!L43)</f>
        <v/>
      </c>
      <c r="AN37" s="132" t="str">
        <f aca="false">IF(OR(10&gt;$B$3,ISBLANK(Actuals!L43)),"",Budget!L43-Actuals!L43)</f>
        <v/>
      </c>
      <c r="AO37" s="132" t="str">
        <f aca="false">IFERROR(IF(OR(10&gt;$B$3,ISBLANK(Actuals!L43)),"",(Budget!L43-Actuals!L43)/ABS(Budget!L43)),"")</f>
        <v/>
      </c>
      <c r="AP37" s="131" t="n">
        <f aca="false">Budget!M43</f>
        <v>0</v>
      </c>
      <c r="AQ37" s="131" t="str">
        <f aca="false">IF(OR(11&gt;$B$3,ISBLANK(Actuals!M43)),"",Actuals!M43)</f>
        <v/>
      </c>
      <c r="AR37" s="132" t="str">
        <f aca="false">IF(OR(11&gt;$B$3,ISBLANK(Actuals!M43)),"",Budget!M43-Actuals!M43)</f>
        <v/>
      </c>
      <c r="AS37" s="132" t="str">
        <f aca="false">IFERROR(IF(OR(11&gt;$B$3,ISBLANK(Actuals!M43)),"",(Budget!M43-Actuals!M43)/ABS(Budget!M43)),"")</f>
        <v/>
      </c>
      <c r="AT37" s="131" t="n">
        <f aca="false">Budget!N43</f>
        <v>0</v>
      </c>
      <c r="AU37" s="131" t="str">
        <f aca="false">IF(OR(12&gt;$B$3,ISBLANK(Actuals!N43)),"",Actuals!N43)</f>
        <v/>
      </c>
      <c r="AV37" s="132" t="str">
        <f aca="false">IF(OR(12&gt;$B$3,ISBLANK(Actuals!N43)),"",Budget!N43-Actuals!N43)</f>
        <v/>
      </c>
      <c r="AW37" s="132" t="str">
        <f aca="false">IFERROR(IF(OR(12&gt;$B$3,ISBLANK(Actuals!N43)),"",(Budget!N43-Actuals!N43)/ABS(Budget!N43)),"")</f>
        <v/>
      </c>
      <c r="AX37" s="133" t="n">
        <f aca="false">SUMPRODUCT((Actuals!C43:N43&lt;&gt;"")*(Budget!C43:N43))</f>
        <v>0</v>
      </c>
      <c r="AY37" s="133" t="n">
        <f aca="false">SUM(Actuals!C43:N43)</f>
        <v>-5708.05</v>
      </c>
      <c r="AZ37" s="134" t="n">
        <f aca="false">AX37-AY37</f>
        <v>5708.05</v>
      </c>
    </row>
    <row r="38" customFormat="false" ht="15" hidden="false" customHeight="true" outlineLevel="0" collapsed="false">
      <c r="A38" s="130" t="s">
        <v>87</v>
      </c>
      <c r="B38" s="131" t="n">
        <f aca="false">Budget!C44</f>
        <v>0</v>
      </c>
      <c r="C38" s="131" t="n">
        <f aca="false">IF(OR(1&gt;$B$3,ISBLANK(Actuals!C44)),"",Actuals!C44)</f>
        <v>-550</v>
      </c>
      <c r="D38" s="132" t="n">
        <f aca="false">IF(OR(1&gt;$B$3,ISBLANK(Actuals!C44)),"",Budget!C44-Actuals!C44)</f>
        <v>550</v>
      </c>
      <c r="E38" s="132" t="str">
        <f aca="false">IFERROR(IF(OR(1&gt;$B$3,ISBLANK(Actuals!C44)),"",(Budget!C44-Actuals!C44)/ABS(Budget!C44)),"")</f>
        <v/>
      </c>
      <c r="F38" s="131" t="n">
        <f aca="false">Budget!D44</f>
        <v>0</v>
      </c>
      <c r="G38" s="131" t="n">
        <f aca="false">IF(OR(2&gt;$B$3,ISBLANK(Actuals!D44)),"",Actuals!D44)</f>
        <v>-550</v>
      </c>
      <c r="H38" s="132" t="n">
        <f aca="false">IF(OR(2&gt;$B$3,ISBLANK(Actuals!D44)),"",Budget!D44-Actuals!D44)</f>
        <v>550</v>
      </c>
      <c r="I38" s="132" t="str">
        <f aca="false">IFERROR(IF(OR(2&gt;$B$3,ISBLANK(Actuals!D44)),"",(Budget!D44-Actuals!D44)/ABS(Budget!D44)),"")</f>
        <v/>
      </c>
      <c r="J38" s="131" t="n">
        <f aca="false">Budget!E44</f>
        <v>0</v>
      </c>
      <c r="K38" s="131" t="n">
        <f aca="false">IF(OR(3&gt;$B$3,ISBLANK(Actuals!E44)),"",Actuals!E44)</f>
        <v>-550</v>
      </c>
      <c r="L38" s="132" t="n">
        <f aca="false">IF(OR(3&gt;$B$3,ISBLANK(Actuals!E44)),"",Budget!E44-Actuals!E44)</f>
        <v>550</v>
      </c>
      <c r="M38" s="132" t="str">
        <f aca="false">IFERROR(IF(OR(3&gt;$B$3,ISBLANK(Actuals!E44)),"",(Budget!E44-Actuals!E44)/ABS(Budget!E44)),"")</f>
        <v/>
      </c>
      <c r="N38" s="131" t="n">
        <f aca="false">Budget!F44</f>
        <v>0</v>
      </c>
      <c r="O38" s="131" t="n">
        <f aca="false">IF(OR(4&gt;$B$3,ISBLANK(Actuals!F44)),"",Actuals!F44)</f>
        <v>-600</v>
      </c>
      <c r="P38" s="132" t="n">
        <f aca="false">IF(OR(4&gt;$B$3,ISBLANK(Actuals!F44)),"",Budget!F44-Actuals!F44)</f>
        <v>600</v>
      </c>
      <c r="Q38" s="132" t="str">
        <f aca="false">IFERROR(IF(OR(4&gt;$B$3,ISBLANK(Actuals!F44)),"",(Budget!F44-Actuals!F44)/ABS(Budget!F44)),"")</f>
        <v/>
      </c>
      <c r="R38" s="131" t="n">
        <f aca="false">Budget!G44</f>
        <v>0</v>
      </c>
      <c r="S38" s="131" t="n">
        <f aca="false">IF(OR(5&gt;$B$3,ISBLANK(Actuals!G44)),"",Actuals!G44)</f>
        <v>-650</v>
      </c>
      <c r="T38" s="132" t="n">
        <f aca="false">IF(OR(5&gt;$B$3,ISBLANK(Actuals!G44)),"",Budget!G44-Actuals!G44)</f>
        <v>650</v>
      </c>
      <c r="U38" s="132" t="str">
        <f aca="false">IFERROR(IF(OR(5&gt;$B$3,ISBLANK(Actuals!G44)),"",(Budget!G44-Actuals!G44)/ABS(Budget!G44)),"")</f>
        <v/>
      </c>
      <c r="V38" s="131" t="n">
        <f aca="false">Budget!H44</f>
        <v>0</v>
      </c>
      <c r="W38" s="131" t="n">
        <f aca="false">IF(OR(6&gt;$B$3,ISBLANK(Actuals!H44)),"",Actuals!H44)</f>
        <v>-575</v>
      </c>
      <c r="X38" s="132" t="n">
        <f aca="false">IF(OR(6&gt;$B$3,ISBLANK(Actuals!H44)),"",Budget!H44-Actuals!H44)</f>
        <v>575</v>
      </c>
      <c r="Y38" s="132" t="str">
        <f aca="false">IFERROR(IF(OR(6&gt;$B$3,ISBLANK(Actuals!H44)),"",(Budget!H44-Actuals!H44)/ABS(Budget!H44)),"")</f>
        <v/>
      </c>
      <c r="Z38" s="131" t="n">
        <f aca="false">Budget!I44</f>
        <v>0</v>
      </c>
      <c r="AA38" s="131" t="n">
        <f aca="false">IF(OR(7&gt;$B$3,ISBLANK(Actuals!I44)),"",Actuals!I44)</f>
        <v>-1300</v>
      </c>
      <c r="AB38" s="132" t="n">
        <f aca="false">IF(OR(7&gt;$B$3,ISBLANK(Actuals!I44)),"",Budget!I44-Actuals!I44)</f>
        <v>1300</v>
      </c>
      <c r="AC38" s="132" t="str">
        <f aca="false">IFERROR(IF(OR(7&gt;$B$3,ISBLANK(Actuals!I44)),"",(Budget!I44-Actuals!I44)/ABS(Budget!I44)),"")</f>
        <v/>
      </c>
      <c r="AD38" s="131" t="n">
        <f aca="false">Budget!J44</f>
        <v>0</v>
      </c>
      <c r="AE38" s="131" t="n">
        <f aca="false">IF(OR(8&gt;$B$3,ISBLANK(Actuals!J44)),"",Actuals!J44)</f>
        <v>-325</v>
      </c>
      <c r="AF38" s="132" t="n">
        <f aca="false">IF(OR(8&gt;$B$3,ISBLANK(Actuals!J44)),"",Budget!J44-Actuals!J44)</f>
        <v>325</v>
      </c>
      <c r="AG38" s="132" t="str">
        <f aca="false">IFERROR(IF(OR(8&gt;$B$3,ISBLANK(Actuals!J44)),"",(Budget!J44-Actuals!J44)/ABS(Budget!J44)),"")</f>
        <v/>
      </c>
      <c r="AH38" s="131" t="n">
        <f aca="false">Budget!K44</f>
        <v>0</v>
      </c>
      <c r="AI38" s="131" t="n">
        <f aca="false">IF(OR(9&gt;$B$3,ISBLANK(Actuals!K44)),"",Actuals!K44)</f>
        <v>-975</v>
      </c>
      <c r="AJ38" s="132" t="n">
        <f aca="false">IF(OR(9&gt;$B$3,ISBLANK(Actuals!K44)),"",Budget!K44-Actuals!K44)</f>
        <v>975</v>
      </c>
      <c r="AK38" s="132" t="str">
        <f aca="false">IFERROR(IF(OR(9&gt;$B$3,ISBLANK(Actuals!K44)),"",(Budget!K44-Actuals!K44)/ABS(Budget!K44)),"")</f>
        <v/>
      </c>
      <c r="AL38" s="131" t="n">
        <f aca="false">Budget!L44</f>
        <v>0</v>
      </c>
      <c r="AM38" s="131" t="str">
        <f aca="false">IF(OR(10&gt;$B$3,ISBLANK(Actuals!L44)),"",Actuals!L44)</f>
        <v/>
      </c>
      <c r="AN38" s="132" t="str">
        <f aca="false">IF(OR(10&gt;$B$3,ISBLANK(Actuals!L44)),"",Budget!L44-Actuals!L44)</f>
        <v/>
      </c>
      <c r="AO38" s="132" t="str">
        <f aca="false">IFERROR(IF(OR(10&gt;$B$3,ISBLANK(Actuals!L44)),"",(Budget!L44-Actuals!L44)/ABS(Budget!L44)),"")</f>
        <v/>
      </c>
      <c r="AP38" s="131" t="n">
        <f aca="false">Budget!M44</f>
        <v>0</v>
      </c>
      <c r="AQ38" s="131" t="str">
        <f aca="false">IF(OR(11&gt;$B$3,ISBLANK(Actuals!M44)),"",Actuals!M44)</f>
        <v/>
      </c>
      <c r="AR38" s="132" t="str">
        <f aca="false">IF(OR(11&gt;$B$3,ISBLANK(Actuals!M44)),"",Budget!M44-Actuals!M44)</f>
        <v/>
      </c>
      <c r="AS38" s="132" t="str">
        <f aca="false">IFERROR(IF(OR(11&gt;$B$3,ISBLANK(Actuals!M44)),"",(Budget!M44-Actuals!M44)/ABS(Budget!M44)),"")</f>
        <v/>
      </c>
      <c r="AT38" s="131" t="n">
        <f aca="false">Budget!N44</f>
        <v>0</v>
      </c>
      <c r="AU38" s="131" t="str">
        <f aca="false">IF(OR(12&gt;$B$3,ISBLANK(Actuals!N44)),"",Actuals!N44)</f>
        <v/>
      </c>
      <c r="AV38" s="132" t="str">
        <f aca="false">IF(OR(12&gt;$B$3,ISBLANK(Actuals!N44)),"",Budget!N44-Actuals!N44)</f>
        <v/>
      </c>
      <c r="AW38" s="132" t="str">
        <f aca="false">IFERROR(IF(OR(12&gt;$B$3,ISBLANK(Actuals!N44)),"",(Budget!N44-Actuals!N44)/ABS(Budget!N44)),"")</f>
        <v/>
      </c>
      <c r="AX38" s="133" t="n">
        <f aca="false">SUMPRODUCT((Actuals!C44:N44&lt;&gt;"")*(Budget!C44:N44))</f>
        <v>0</v>
      </c>
      <c r="AY38" s="133" t="n">
        <f aca="false">SUM(Actuals!C44:N44)</f>
        <v>-6075</v>
      </c>
      <c r="AZ38" s="134" t="n">
        <f aca="false">AX38-AY38</f>
        <v>6075</v>
      </c>
    </row>
    <row r="39" customFormat="false" ht="15" hidden="false" customHeight="true" outlineLevel="0" collapsed="false">
      <c r="A39" s="130" t="s">
        <v>88</v>
      </c>
      <c r="B39" s="131" t="n">
        <f aca="false">Budget!C45</f>
        <v>-4166.67</v>
      </c>
      <c r="C39" s="131" t="n">
        <f aca="false">IF(OR(1&gt;$B$3,ISBLANK(Actuals!C45)),"",Actuals!C45)</f>
        <v>-19223.75</v>
      </c>
      <c r="D39" s="132" t="n">
        <f aca="false">IF(OR(1&gt;$B$3,ISBLANK(Actuals!C45)),"",Budget!C45-Actuals!C45)</f>
        <v>15057.08</v>
      </c>
      <c r="E39" s="132" t="n">
        <f aca="false">IFERROR(IF(OR(1&gt;$B$3,ISBLANK(Actuals!C45)),"",(Budget!C45-Actuals!C45)/ABS(Budget!C45)),"")</f>
        <v>3.61369630904295</v>
      </c>
      <c r="F39" s="131" t="n">
        <f aca="false">Budget!D45</f>
        <v>-4166.67</v>
      </c>
      <c r="G39" s="131" t="n">
        <f aca="false">IF(OR(2&gt;$B$3,ISBLANK(Actuals!D45)),"",Actuals!D45)</f>
        <v>-13381.97</v>
      </c>
      <c r="H39" s="132" t="n">
        <f aca="false">IF(OR(2&gt;$B$3,ISBLANK(Actuals!D45)),"",Budget!D45-Actuals!D45)</f>
        <v>9215.3</v>
      </c>
      <c r="I39" s="132" t="n">
        <f aca="false">IFERROR(IF(OR(2&gt;$B$3,ISBLANK(Actuals!D45)),"",(Budget!D45-Actuals!D45)/ABS(Budget!D45)),"")</f>
        <v>2.21167023066382</v>
      </c>
      <c r="J39" s="131" t="n">
        <f aca="false">Budget!E45</f>
        <v>-4166.67</v>
      </c>
      <c r="K39" s="131" t="n">
        <f aca="false">IF(OR(3&gt;$B$3,ISBLANK(Actuals!E45)),"",Actuals!E45)</f>
        <v>-20308.69</v>
      </c>
      <c r="L39" s="132" t="n">
        <f aca="false">IF(OR(3&gt;$B$3,ISBLANK(Actuals!E45)),"",Budget!E45-Actuals!E45)</f>
        <v>16142.02</v>
      </c>
      <c r="M39" s="132" t="n">
        <f aca="false">IFERROR(IF(OR(3&gt;$B$3,ISBLANK(Actuals!E45)),"",(Budget!E45-Actuals!E45)/ABS(Budget!E45)),"")</f>
        <v>3.87408170073464</v>
      </c>
      <c r="N39" s="131" t="n">
        <f aca="false">Budget!F45</f>
        <v>-4166.67</v>
      </c>
      <c r="O39" s="131" t="n">
        <f aca="false">IF(OR(4&gt;$B$3,ISBLANK(Actuals!F45)),"",Actuals!F45)</f>
        <v>-16948.76</v>
      </c>
      <c r="P39" s="132" t="n">
        <f aca="false">IF(OR(4&gt;$B$3,ISBLANK(Actuals!F45)),"",Budget!F45-Actuals!F45)</f>
        <v>12782.09</v>
      </c>
      <c r="Q39" s="132" t="n">
        <f aca="false">IFERROR(IF(OR(4&gt;$B$3,ISBLANK(Actuals!F45)),"",(Budget!F45-Actuals!F45)/ABS(Budget!F45)),"")</f>
        <v>3.06769914584068</v>
      </c>
      <c r="R39" s="131" t="n">
        <f aca="false">Budget!G45</f>
        <v>-4166.67</v>
      </c>
      <c r="S39" s="131" t="n">
        <f aca="false">IF(OR(5&gt;$B$3,ISBLANK(Actuals!G45)),"",Actuals!G45)</f>
        <v>-29716.98</v>
      </c>
      <c r="T39" s="132" t="n">
        <f aca="false">IF(OR(5&gt;$B$3,ISBLANK(Actuals!G45)),"",Budget!G45-Actuals!G45)</f>
        <v>25550.31</v>
      </c>
      <c r="U39" s="132" t="n">
        <f aca="false">IFERROR(IF(OR(5&gt;$B$3,ISBLANK(Actuals!G45)),"",(Budget!G45-Actuals!G45)/ABS(Budget!G45)),"")</f>
        <v>6.1320694943444</v>
      </c>
      <c r="V39" s="131" t="n">
        <f aca="false">Budget!H45</f>
        <v>-4166.67</v>
      </c>
      <c r="W39" s="131" t="n">
        <f aca="false">IF(OR(6&gt;$B$3,ISBLANK(Actuals!H45)),"",Actuals!H45)</f>
        <v>-11335.64</v>
      </c>
      <c r="X39" s="132" t="n">
        <f aca="false">IF(OR(6&gt;$B$3,ISBLANK(Actuals!H45)),"",Budget!H45-Actuals!H45)</f>
        <v>7168.97</v>
      </c>
      <c r="Y39" s="132" t="n">
        <f aca="false">IFERROR(IF(OR(6&gt;$B$3,ISBLANK(Actuals!H45)),"",(Budget!H45-Actuals!H45)/ABS(Budget!H45)),"")</f>
        <v>1.72055142355886</v>
      </c>
      <c r="Z39" s="131" t="n">
        <f aca="false">Budget!I45</f>
        <v>-4250</v>
      </c>
      <c r="AA39" s="131" t="n">
        <f aca="false">IF(OR(7&gt;$B$3,ISBLANK(Actuals!I45)),"",Actuals!I45)</f>
        <v>-11387.12</v>
      </c>
      <c r="AB39" s="132" t="n">
        <f aca="false">IF(OR(7&gt;$B$3,ISBLANK(Actuals!I45)),"",Budget!I45-Actuals!I45)</f>
        <v>7137.12</v>
      </c>
      <c r="AC39" s="132" t="n">
        <f aca="false">IFERROR(IF(OR(7&gt;$B$3,ISBLANK(Actuals!I45)),"",(Budget!I45-Actuals!I45)/ABS(Budget!I45)),"")</f>
        <v>1.67932235294118</v>
      </c>
      <c r="AD39" s="131" t="n">
        <f aca="false">Budget!J45</f>
        <v>-4250</v>
      </c>
      <c r="AE39" s="131" t="n">
        <f aca="false">IF(OR(8&gt;$B$3,ISBLANK(Actuals!J45)),"",Actuals!J45)</f>
        <v>-19873.14</v>
      </c>
      <c r="AF39" s="132" t="n">
        <f aca="false">IF(OR(8&gt;$B$3,ISBLANK(Actuals!J45)),"",Budget!J45-Actuals!J45)</f>
        <v>15623.14</v>
      </c>
      <c r="AG39" s="132" t="n">
        <f aca="false">IFERROR(IF(OR(8&gt;$B$3,ISBLANK(Actuals!J45)),"",(Budget!J45-Actuals!J45)/ABS(Budget!J45)),"")</f>
        <v>3.67603294117647</v>
      </c>
      <c r="AH39" s="131" t="n">
        <f aca="false">Budget!K45</f>
        <v>-4250</v>
      </c>
      <c r="AI39" s="131" t="n">
        <f aca="false">IF(OR(9&gt;$B$3,ISBLANK(Actuals!K45)),"",Actuals!K45)</f>
        <v>42.99</v>
      </c>
      <c r="AJ39" s="132" t="n">
        <f aca="false">IF(OR(9&gt;$B$3,ISBLANK(Actuals!K45)),"",Budget!K45-Actuals!K45)</f>
        <v>-4292.99</v>
      </c>
      <c r="AK39" s="132" t="n">
        <f aca="false">IFERROR(IF(OR(9&gt;$B$3,ISBLANK(Actuals!K45)),"",(Budget!K45-Actuals!K45)/ABS(Budget!K45)),"")</f>
        <v>-1.01011529411765</v>
      </c>
      <c r="AL39" s="131" t="n">
        <f aca="false">Budget!L45</f>
        <v>-4250</v>
      </c>
      <c r="AM39" s="131" t="str">
        <f aca="false">IF(OR(10&gt;$B$3,ISBLANK(Actuals!L45)),"",Actuals!L45)</f>
        <v/>
      </c>
      <c r="AN39" s="132" t="str">
        <f aca="false">IF(OR(10&gt;$B$3,ISBLANK(Actuals!L45)),"",Budget!L45-Actuals!L45)</f>
        <v/>
      </c>
      <c r="AO39" s="132" t="str">
        <f aca="false">IFERROR(IF(OR(10&gt;$B$3,ISBLANK(Actuals!L45)),"",(Budget!L45-Actuals!L45)/ABS(Budget!L45)),"")</f>
        <v/>
      </c>
      <c r="AP39" s="131" t="n">
        <f aca="false">Budget!M45</f>
        <v>-4250</v>
      </c>
      <c r="AQ39" s="131" t="str">
        <f aca="false">IF(OR(11&gt;$B$3,ISBLANK(Actuals!M45)),"",Actuals!M45)</f>
        <v/>
      </c>
      <c r="AR39" s="132" t="str">
        <f aca="false">IF(OR(11&gt;$B$3,ISBLANK(Actuals!M45)),"",Budget!M45-Actuals!M45)</f>
        <v/>
      </c>
      <c r="AS39" s="132" t="str">
        <f aca="false">IFERROR(IF(OR(11&gt;$B$3,ISBLANK(Actuals!M45)),"",(Budget!M45-Actuals!M45)/ABS(Budget!M45)),"")</f>
        <v/>
      </c>
      <c r="AT39" s="131" t="n">
        <f aca="false">Budget!N45</f>
        <v>-4250</v>
      </c>
      <c r="AU39" s="131" t="str">
        <f aca="false">IF(OR(12&gt;$B$3,ISBLANK(Actuals!N45)),"",Actuals!N45)</f>
        <v/>
      </c>
      <c r="AV39" s="132" t="str">
        <f aca="false">IF(OR(12&gt;$B$3,ISBLANK(Actuals!N45)),"",Budget!N45-Actuals!N45)</f>
        <v/>
      </c>
      <c r="AW39" s="132" t="str">
        <f aca="false">IFERROR(IF(OR(12&gt;$B$3,ISBLANK(Actuals!N45)),"",(Budget!N45-Actuals!N45)/ABS(Budget!N45)),"")</f>
        <v/>
      </c>
      <c r="AX39" s="133" t="n">
        <f aca="false">SUMPRODUCT((Actuals!C45:N45&lt;&gt;"")*(Budget!C45:N45))</f>
        <v>-37750.02</v>
      </c>
      <c r="AY39" s="133" t="n">
        <f aca="false">SUM(Actuals!C45:N45)</f>
        <v>-142133.06</v>
      </c>
      <c r="AZ39" s="134" t="n">
        <f aca="false">AX39-AY39</f>
        <v>104383.04</v>
      </c>
    </row>
    <row r="40" customFormat="false" ht="15" hidden="false" customHeight="true" outlineLevel="0" collapsed="false">
      <c r="A40" s="130" t="s">
        <v>89</v>
      </c>
      <c r="B40" s="131" t="n">
        <f aca="false">Budget!C46</f>
        <v>-1000</v>
      </c>
      <c r="C40" s="131" t="n">
        <f aca="false">IF(OR(1&gt;$B$3,ISBLANK(Actuals!C46)),"",Actuals!C46)</f>
        <v>-1909.98</v>
      </c>
      <c r="D40" s="132" t="n">
        <f aca="false">IF(OR(1&gt;$B$3,ISBLANK(Actuals!C46)),"",Budget!C46-Actuals!C46)</f>
        <v>909.98</v>
      </c>
      <c r="E40" s="132" t="n">
        <f aca="false">IFERROR(IF(OR(1&gt;$B$3,ISBLANK(Actuals!C46)),"",(Budget!C46-Actuals!C46)/ABS(Budget!C46)),"")</f>
        <v>0.90998</v>
      </c>
      <c r="F40" s="131" t="n">
        <f aca="false">Budget!D46</f>
        <v>-1000</v>
      </c>
      <c r="G40" s="131" t="n">
        <f aca="false">IF(OR(2&gt;$B$3,ISBLANK(Actuals!D46)),"",Actuals!D46)</f>
        <v>-190.1</v>
      </c>
      <c r="H40" s="132" t="n">
        <f aca="false">IF(OR(2&gt;$B$3,ISBLANK(Actuals!D46)),"",Budget!D46-Actuals!D46)</f>
        <v>-809.9</v>
      </c>
      <c r="I40" s="132" t="n">
        <f aca="false">IFERROR(IF(OR(2&gt;$B$3,ISBLANK(Actuals!D46)),"",(Budget!D46-Actuals!D46)/ABS(Budget!D46)),"")</f>
        <v>-0.8099</v>
      </c>
      <c r="J40" s="131" t="n">
        <f aca="false">Budget!E46</f>
        <v>-1000</v>
      </c>
      <c r="K40" s="131" t="n">
        <f aca="false">IF(OR(3&gt;$B$3,ISBLANK(Actuals!E46)),"",Actuals!E46)</f>
        <v>-2166.92</v>
      </c>
      <c r="L40" s="132" t="n">
        <f aca="false">IF(OR(3&gt;$B$3,ISBLANK(Actuals!E46)),"",Budget!E46-Actuals!E46)</f>
        <v>1166.92</v>
      </c>
      <c r="M40" s="132" t="n">
        <f aca="false">IFERROR(IF(OR(3&gt;$B$3,ISBLANK(Actuals!E46)),"",(Budget!E46-Actuals!E46)/ABS(Budget!E46)),"")</f>
        <v>1.16692</v>
      </c>
      <c r="N40" s="131" t="n">
        <f aca="false">Budget!F46</f>
        <v>-1000</v>
      </c>
      <c r="O40" s="131" t="n">
        <f aca="false">IF(OR(4&gt;$B$3,ISBLANK(Actuals!F46)),"",Actuals!F46)</f>
        <v>-1816.95</v>
      </c>
      <c r="P40" s="132" t="n">
        <f aca="false">IF(OR(4&gt;$B$3,ISBLANK(Actuals!F46)),"",Budget!F46-Actuals!F46)</f>
        <v>816.95</v>
      </c>
      <c r="Q40" s="132" t="n">
        <f aca="false">IFERROR(IF(OR(4&gt;$B$3,ISBLANK(Actuals!F46)),"",(Budget!F46-Actuals!F46)/ABS(Budget!F46)),"")</f>
        <v>0.81695</v>
      </c>
      <c r="R40" s="131" t="n">
        <f aca="false">Budget!G46</f>
        <v>-1000</v>
      </c>
      <c r="S40" s="131" t="n">
        <f aca="false">IF(OR(5&gt;$B$3,ISBLANK(Actuals!G46)),"",Actuals!G46)</f>
        <v>-1452.9</v>
      </c>
      <c r="T40" s="132" t="n">
        <f aca="false">IF(OR(5&gt;$B$3,ISBLANK(Actuals!G46)),"",Budget!G46-Actuals!G46)</f>
        <v>452.9</v>
      </c>
      <c r="U40" s="132" t="n">
        <f aca="false">IFERROR(IF(OR(5&gt;$B$3,ISBLANK(Actuals!G46)),"",(Budget!G46-Actuals!G46)/ABS(Budget!G46)),"")</f>
        <v>0.4529</v>
      </c>
      <c r="V40" s="131" t="n">
        <f aca="false">Budget!H46</f>
        <v>-1000</v>
      </c>
      <c r="W40" s="131" t="n">
        <f aca="false">IF(OR(6&gt;$B$3,ISBLANK(Actuals!H46)),"",Actuals!H46)</f>
        <v>-13918.31</v>
      </c>
      <c r="X40" s="132" t="n">
        <f aca="false">IF(OR(6&gt;$B$3,ISBLANK(Actuals!H46)),"",Budget!H46-Actuals!H46)</f>
        <v>12918.31</v>
      </c>
      <c r="Y40" s="132" t="n">
        <f aca="false">IFERROR(IF(OR(6&gt;$B$3,ISBLANK(Actuals!H46)),"",(Budget!H46-Actuals!H46)/ABS(Budget!H46)),"")</f>
        <v>12.91831</v>
      </c>
      <c r="Z40" s="131" t="n">
        <f aca="false">Budget!I46</f>
        <v>-1020</v>
      </c>
      <c r="AA40" s="131" t="n">
        <f aca="false">IF(OR(7&gt;$B$3,ISBLANK(Actuals!I46)),"",Actuals!I46)</f>
        <v>9546.02</v>
      </c>
      <c r="AB40" s="132" t="n">
        <f aca="false">IF(OR(7&gt;$B$3,ISBLANK(Actuals!I46)),"",Budget!I46-Actuals!I46)</f>
        <v>-10566.02</v>
      </c>
      <c r="AC40" s="132" t="n">
        <f aca="false">IFERROR(IF(OR(7&gt;$B$3,ISBLANK(Actuals!I46)),"",(Budget!I46-Actuals!I46)/ABS(Budget!I46)),"")</f>
        <v>-10.3588431372549</v>
      </c>
      <c r="AD40" s="131" t="n">
        <f aca="false">Budget!J46</f>
        <v>-1020</v>
      </c>
      <c r="AE40" s="131" t="n">
        <f aca="false">IF(OR(8&gt;$B$3,ISBLANK(Actuals!J46)),"",Actuals!J46)</f>
        <v>-840.61</v>
      </c>
      <c r="AF40" s="132" t="n">
        <f aca="false">IF(OR(8&gt;$B$3,ISBLANK(Actuals!J46)),"",Budget!J46-Actuals!J46)</f>
        <v>-179.39</v>
      </c>
      <c r="AG40" s="132" t="n">
        <f aca="false">IFERROR(IF(OR(8&gt;$B$3,ISBLANK(Actuals!J46)),"",(Budget!J46-Actuals!J46)/ABS(Budget!J46)),"")</f>
        <v>-0.175872549019608</v>
      </c>
      <c r="AH40" s="131" t="n">
        <f aca="false">Budget!K46</f>
        <v>-1020</v>
      </c>
      <c r="AI40" s="131" t="n">
        <f aca="false">IF(OR(9&gt;$B$3,ISBLANK(Actuals!K46)),"",Actuals!K46)</f>
        <v>-941.44</v>
      </c>
      <c r="AJ40" s="132" t="n">
        <f aca="false">IF(OR(9&gt;$B$3,ISBLANK(Actuals!K46)),"",Budget!K46-Actuals!K46)</f>
        <v>-78.56</v>
      </c>
      <c r="AK40" s="132" t="n">
        <f aca="false">IFERROR(IF(OR(9&gt;$B$3,ISBLANK(Actuals!K46)),"",(Budget!K46-Actuals!K46)/ABS(Budget!K46)),"")</f>
        <v>-0.0770196078431372</v>
      </c>
      <c r="AL40" s="131" t="n">
        <f aca="false">Budget!L46</f>
        <v>-1020</v>
      </c>
      <c r="AM40" s="131" t="str">
        <f aca="false">IF(OR(10&gt;$B$3,ISBLANK(Actuals!L46)),"",Actuals!L46)</f>
        <v/>
      </c>
      <c r="AN40" s="132" t="str">
        <f aca="false">IF(OR(10&gt;$B$3,ISBLANK(Actuals!L46)),"",Budget!L46-Actuals!L46)</f>
        <v/>
      </c>
      <c r="AO40" s="132" t="str">
        <f aca="false">IFERROR(IF(OR(10&gt;$B$3,ISBLANK(Actuals!L46)),"",(Budget!L46-Actuals!L46)/ABS(Budget!L46)),"")</f>
        <v/>
      </c>
      <c r="AP40" s="131" t="n">
        <f aca="false">Budget!M46</f>
        <v>-1020</v>
      </c>
      <c r="AQ40" s="131" t="str">
        <f aca="false">IF(OR(11&gt;$B$3,ISBLANK(Actuals!M46)),"",Actuals!M46)</f>
        <v/>
      </c>
      <c r="AR40" s="132" t="str">
        <f aca="false">IF(OR(11&gt;$B$3,ISBLANK(Actuals!M46)),"",Budget!M46-Actuals!M46)</f>
        <v/>
      </c>
      <c r="AS40" s="132" t="str">
        <f aca="false">IFERROR(IF(OR(11&gt;$B$3,ISBLANK(Actuals!M46)),"",(Budget!M46-Actuals!M46)/ABS(Budget!M46)),"")</f>
        <v/>
      </c>
      <c r="AT40" s="131" t="n">
        <f aca="false">Budget!N46</f>
        <v>-1020</v>
      </c>
      <c r="AU40" s="131" t="str">
        <f aca="false">IF(OR(12&gt;$B$3,ISBLANK(Actuals!N46)),"",Actuals!N46)</f>
        <v/>
      </c>
      <c r="AV40" s="132" t="str">
        <f aca="false">IF(OR(12&gt;$B$3,ISBLANK(Actuals!N46)),"",Budget!N46-Actuals!N46)</f>
        <v/>
      </c>
      <c r="AW40" s="132" t="str">
        <f aca="false">IFERROR(IF(OR(12&gt;$B$3,ISBLANK(Actuals!N46)),"",(Budget!N46-Actuals!N46)/ABS(Budget!N46)),"")</f>
        <v/>
      </c>
      <c r="AX40" s="133" t="n">
        <f aca="false">SUMPRODUCT((Actuals!C46:N46&lt;&gt;"")*(Budget!C46:N46))</f>
        <v>-9060</v>
      </c>
      <c r="AY40" s="133" t="n">
        <f aca="false">SUM(Actuals!C46:N46)</f>
        <v>-13691.19</v>
      </c>
      <c r="AZ40" s="134" t="n">
        <f aca="false">AX40-AY40</f>
        <v>4631.19</v>
      </c>
    </row>
    <row r="41" customFormat="false" ht="15" hidden="false" customHeight="true" outlineLevel="0" collapsed="false">
      <c r="A41" s="130" t="s">
        <v>90</v>
      </c>
      <c r="B41" s="131" t="n">
        <f aca="false">Budget!C47</f>
        <v>0</v>
      </c>
      <c r="C41" s="131" t="n">
        <f aca="false">IF(OR(1&gt;$B$3,ISBLANK(Actuals!C47)),"",Actuals!C47)</f>
        <v>-320</v>
      </c>
      <c r="D41" s="132" t="n">
        <f aca="false">IF(OR(1&gt;$B$3,ISBLANK(Actuals!C47)),"",Budget!C47-Actuals!C47)</f>
        <v>320</v>
      </c>
      <c r="E41" s="132" t="str">
        <f aca="false">IFERROR(IF(OR(1&gt;$B$3,ISBLANK(Actuals!C47)),"",(Budget!C47-Actuals!C47)/ABS(Budget!C47)),"")</f>
        <v/>
      </c>
      <c r="F41" s="131" t="n">
        <f aca="false">Budget!D47</f>
        <v>0</v>
      </c>
      <c r="G41" s="131" t="n">
        <f aca="false">IF(OR(2&gt;$B$3,ISBLANK(Actuals!D47)),"",Actuals!D47)</f>
        <v>-160</v>
      </c>
      <c r="H41" s="132" t="n">
        <f aca="false">IF(OR(2&gt;$B$3,ISBLANK(Actuals!D47)),"",Budget!D47-Actuals!D47)</f>
        <v>160</v>
      </c>
      <c r="I41" s="132" t="str">
        <f aca="false">IFERROR(IF(OR(2&gt;$B$3,ISBLANK(Actuals!D47)),"",(Budget!D47-Actuals!D47)/ABS(Budget!D47)),"")</f>
        <v/>
      </c>
      <c r="J41" s="131" t="n">
        <f aca="false">Budget!E47</f>
        <v>0</v>
      </c>
      <c r="K41" s="131" t="n">
        <f aca="false">IF(OR(3&gt;$B$3,ISBLANK(Actuals!E47)),"",Actuals!E47)</f>
        <v>0</v>
      </c>
      <c r="L41" s="132" t="n">
        <f aca="false">IF(OR(3&gt;$B$3,ISBLANK(Actuals!E47)),"",Budget!E47-Actuals!E47)</f>
        <v>0</v>
      </c>
      <c r="M41" s="132" t="str">
        <f aca="false">IFERROR(IF(OR(3&gt;$B$3,ISBLANK(Actuals!E47)),"",(Budget!E47-Actuals!E47)/ABS(Budget!E47)),"")</f>
        <v/>
      </c>
      <c r="N41" s="131" t="n">
        <f aca="false">Budget!F47</f>
        <v>0</v>
      </c>
      <c r="O41" s="131" t="n">
        <f aca="false">IF(OR(4&gt;$B$3,ISBLANK(Actuals!F47)),"",Actuals!F47)</f>
        <v>0</v>
      </c>
      <c r="P41" s="132" t="n">
        <f aca="false">IF(OR(4&gt;$B$3,ISBLANK(Actuals!F47)),"",Budget!F47-Actuals!F47)</f>
        <v>0</v>
      </c>
      <c r="Q41" s="132" t="str">
        <f aca="false">IFERROR(IF(OR(4&gt;$B$3,ISBLANK(Actuals!F47)),"",(Budget!F47-Actuals!F47)/ABS(Budget!F47)),"")</f>
        <v/>
      </c>
      <c r="R41" s="131" t="n">
        <f aca="false">Budget!G47</f>
        <v>0</v>
      </c>
      <c r="S41" s="131" t="n">
        <f aca="false">IF(OR(5&gt;$B$3,ISBLANK(Actuals!G47)),"",Actuals!G47)</f>
        <v>-320</v>
      </c>
      <c r="T41" s="132" t="n">
        <f aca="false">IF(OR(5&gt;$B$3,ISBLANK(Actuals!G47)),"",Budget!G47-Actuals!G47)</f>
        <v>320</v>
      </c>
      <c r="U41" s="132" t="str">
        <f aca="false">IFERROR(IF(OR(5&gt;$B$3,ISBLANK(Actuals!G47)),"",(Budget!G47-Actuals!G47)/ABS(Budget!G47)),"")</f>
        <v/>
      </c>
      <c r="V41" s="131" t="n">
        <f aca="false">Budget!H47</f>
        <v>0</v>
      </c>
      <c r="W41" s="131" t="n">
        <f aca="false">IF(OR(6&gt;$B$3,ISBLANK(Actuals!H47)),"",Actuals!H47)</f>
        <v>-320</v>
      </c>
      <c r="X41" s="132" t="n">
        <f aca="false">IF(OR(6&gt;$B$3,ISBLANK(Actuals!H47)),"",Budget!H47-Actuals!H47)</f>
        <v>320</v>
      </c>
      <c r="Y41" s="132" t="str">
        <f aca="false">IFERROR(IF(OR(6&gt;$B$3,ISBLANK(Actuals!H47)),"",(Budget!H47-Actuals!H47)/ABS(Budget!H47)),"")</f>
        <v/>
      </c>
      <c r="Z41" s="131" t="n">
        <f aca="false">Budget!I47</f>
        <v>0</v>
      </c>
      <c r="AA41" s="131" t="n">
        <f aca="false">IF(OR(7&gt;$B$3,ISBLANK(Actuals!I47)),"",Actuals!I47)</f>
        <v>0</v>
      </c>
      <c r="AB41" s="132" t="n">
        <f aca="false">IF(OR(7&gt;$B$3,ISBLANK(Actuals!I47)),"",Budget!I47-Actuals!I47)</f>
        <v>0</v>
      </c>
      <c r="AC41" s="132" t="str">
        <f aca="false">IFERROR(IF(OR(7&gt;$B$3,ISBLANK(Actuals!I47)),"",(Budget!I47-Actuals!I47)/ABS(Budget!I47)),"")</f>
        <v/>
      </c>
      <c r="AD41" s="131" t="n">
        <f aca="false">Budget!J47</f>
        <v>0</v>
      </c>
      <c r="AE41" s="131" t="n">
        <f aca="false">IF(OR(8&gt;$B$3,ISBLANK(Actuals!J47)),"",Actuals!J47)</f>
        <v>-160</v>
      </c>
      <c r="AF41" s="132" t="n">
        <f aca="false">IF(OR(8&gt;$B$3,ISBLANK(Actuals!J47)),"",Budget!J47-Actuals!J47)</f>
        <v>160</v>
      </c>
      <c r="AG41" s="132" t="str">
        <f aca="false">IFERROR(IF(OR(8&gt;$B$3,ISBLANK(Actuals!J47)),"",(Budget!J47-Actuals!J47)/ABS(Budget!J47)),"")</f>
        <v/>
      </c>
      <c r="AH41" s="131" t="n">
        <f aca="false">Budget!K47</f>
        <v>0</v>
      </c>
      <c r="AI41" s="131" t="n">
        <f aca="false">IF(OR(9&gt;$B$3,ISBLANK(Actuals!K47)),"",Actuals!K47)</f>
        <v>-160</v>
      </c>
      <c r="AJ41" s="132" t="n">
        <f aca="false">IF(OR(9&gt;$B$3,ISBLANK(Actuals!K47)),"",Budget!K47-Actuals!K47)</f>
        <v>160</v>
      </c>
      <c r="AK41" s="132" t="str">
        <f aca="false">IFERROR(IF(OR(9&gt;$B$3,ISBLANK(Actuals!K47)),"",(Budget!K47-Actuals!K47)/ABS(Budget!K47)),"")</f>
        <v/>
      </c>
      <c r="AL41" s="131" t="n">
        <f aca="false">Budget!L47</f>
        <v>0</v>
      </c>
      <c r="AM41" s="131" t="str">
        <f aca="false">IF(OR(10&gt;$B$3,ISBLANK(Actuals!L47)),"",Actuals!L47)</f>
        <v/>
      </c>
      <c r="AN41" s="132" t="str">
        <f aca="false">IF(OR(10&gt;$B$3,ISBLANK(Actuals!L47)),"",Budget!L47-Actuals!L47)</f>
        <v/>
      </c>
      <c r="AO41" s="132" t="str">
        <f aca="false">IFERROR(IF(OR(10&gt;$B$3,ISBLANK(Actuals!L47)),"",(Budget!L47-Actuals!L47)/ABS(Budget!L47)),"")</f>
        <v/>
      </c>
      <c r="AP41" s="131" t="n">
        <f aca="false">Budget!M47</f>
        <v>0</v>
      </c>
      <c r="AQ41" s="131" t="str">
        <f aca="false">IF(OR(11&gt;$B$3,ISBLANK(Actuals!M47)),"",Actuals!M47)</f>
        <v/>
      </c>
      <c r="AR41" s="132" t="str">
        <f aca="false">IF(OR(11&gt;$B$3,ISBLANK(Actuals!M47)),"",Budget!M47-Actuals!M47)</f>
        <v/>
      </c>
      <c r="AS41" s="132" t="str">
        <f aca="false">IFERROR(IF(OR(11&gt;$B$3,ISBLANK(Actuals!M47)),"",(Budget!M47-Actuals!M47)/ABS(Budget!M47)),"")</f>
        <v/>
      </c>
      <c r="AT41" s="131" t="n">
        <f aca="false">Budget!N47</f>
        <v>0</v>
      </c>
      <c r="AU41" s="131" t="str">
        <f aca="false">IF(OR(12&gt;$B$3,ISBLANK(Actuals!N47)),"",Actuals!N47)</f>
        <v/>
      </c>
      <c r="AV41" s="132" t="str">
        <f aca="false">IF(OR(12&gt;$B$3,ISBLANK(Actuals!N47)),"",Budget!N47-Actuals!N47)</f>
        <v/>
      </c>
      <c r="AW41" s="132" t="str">
        <f aca="false">IFERROR(IF(OR(12&gt;$B$3,ISBLANK(Actuals!N47)),"",(Budget!N47-Actuals!N47)/ABS(Budget!N47)),"")</f>
        <v/>
      </c>
      <c r="AX41" s="133" t="n">
        <f aca="false">SUMPRODUCT((Actuals!C47:N47&lt;&gt;"")*(Budget!C47:N47))</f>
        <v>0</v>
      </c>
      <c r="AY41" s="133" t="n">
        <f aca="false">SUM(Actuals!C47:N47)</f>
        <v>-1440</v>
      </c>
      <c r="AZ41" s="134" t="n">
        <f aca="false">AX41-AY41</f>
        <v>1440</v>
      </c>
    </row>
    <row r="42" customFormat="false" ht="15" hidden="false" customHeight="true" outlineLevel="0" collapsed="false">
      <c r="A42" s="130" t="s">
        <v>91</v>
      </c>
      <c r="B42" s="131" t="n">
        <f aca="false">Budget!C48</f>
        <v>-4166.67</v>
      </c>
      <c r="C42" s="131" t="n">
        <f aca="false">IF(OR(1&gt;$B$3,ISBLANK(Actuals!C48)),"",Actuals!C48)</f>
        <v>-17660.72</v>
      </c>
      <c r="D42" s="132" t="n">
        <f aca="false">IF(OR(1&gt;$B$3,ISBLANK(Actuals!C48)),"",Budget!C48-Actuals!C48)</f>
        <v>13494.05</v>
      </c>
      <c r="E42" s="132" t="n">
        <f aca="false">IFERROR(IF(OR(1&gt;$B$3,ISBLANK(Actuals!C48)),"",(Budget!C48-Actuals!C48)/ABS(Budget!C48)),"")</f>
        <v>3.23856940914447</v>
      </c>
      <c r="F42" s="131" t="n">
        <f aca="false">Budget!D48</f>
        <v>-4166.67</v>
      </c>
      <c r="G42" s="131" t="n">
        <f aca="false">IF(OR(2&gt;$B$3,ISBLANK(Actuals!D48)),"",Actuals!D48)</f>
        <v>-5799</v>
      </c>
      <c r="H42" s="132" t="n">
        <f aca="false">IF(OR(2&gt;$B$3,ISBLANK(Actuals!D48)),"",Budget!D48-Actuals!D48)</f>
        <v>1632.33</v>
      </c>
      <c r="I42" s="132" t="n">
        <f aca="false">IFERROR(IF(OR(2&gt;$B$3,ISBLANK(Actuals!D48)),"",(Budget!D48-Actuals!D48)/ABS(Budget!D48)),"")</f>
        <v>0.391758886592891</v>
      </c>
      <c r="J42" s="131" t="n">
        <f aca="false">Budget!E48</f>
        <v>-4166.67</v>
      </c>
      <c r="K42" s="131" t="n">
        <f aca="false">IF(OR(3&gt;$B$3,ISBLANK(Actuals!E48)),"",Actuals!E48)</f>
        <v>-3432.18</v>
      </c>
      <c r="L42" s="132" t="n">
        <f aca="false">IF(OR(3&gt;$B$3,ISBLANK(Actuals!E48)),"",Budget!E48-Actuals!E48)</f>
        <v>-734.49</v>
      </c>
      <c r="M42" s="132" t="n">
        <f aca="false">IFERROR(IF(OR(3&gt;$B$3,ISBLANK(Actuals!E48)),"",(Budget!E48-Actuals!E48)/ABS(Budget!E48)),"")</f>
        <v>-0.176277458978033</v>
      </c>
      <c r="N42" s="131" t="n">
        <f aca="false">Budget!F48</f>
        <v>-4166.67</v>
      </c>
      <c r="O42" s="131" t="n">
        <f aca="false">IF(OR(4&gt;$B$3,ISBLANK(Actuals!F48)),"",Actuals!F48)</f>
        <v>0</v>
      </c>
      <c r="P42" s="132" t="n">
        <f aca="false">IF(OR(4&gt;$B$3,ISBLANK(Actuals!F48)),"",Budget!F48-Actuals!F48)</f>
        <v>-4166.67</v>
      </c>
      <c r="Q42" s="132" t="n">
        <f aca="false">IFERROR(IF(OR(4&gt;$B$3,ISBLANK(Actuals!F48)),"",(Budget!F48-Actuals!F48)/ABS(Budget!F48)),"")</f>
        <v>-1</v>
      </c>
      <c r="R42" s="131" t="n">
        <f aca="false">Budget!G48</f>
        <v>-4166.67</v>
      </c>
      <c r="S42" s="131" t="n">
        <f aca="false">IF(OR(5&gt;$B$3,ISBLANK(Actuals!G48)),"",Actuals!G48)</f>
        <v>-73874.29</v>
      </c>
      <c r="T42" s="132" t="n">
        <f aca="false">IF(OR(5&gt;$B$3,ISBLANK(Actuals!G48)),"",Budget!G48-Actuals!G48)</f>
        <v>69707.62</v>
      </c>
      <c r="U42" s="132" t="n">
        <f aca="false">IFERROR(IF(OR(5&gt;$B$3,ISBLANK(Actuals!G48)),"",(Budget!G48-Actuals!G48)/ABS(Budget!G48)),"")</f>
        <v>16.7298154161477</v>
      </c>
      <c r="V42" s="131" t="n">
        <f aca="false">Budget!H48</f>
        <v>-4166.67</v>
      </c>
      <c r="W42" s="131" t="n">
        <f aca="false">IF(OR(6&gt;$B$3,ISBLANK(Actuals!H48)),"",Actuals!H48)</f>
        <v>0</v>
      </c>
      <c r="X42" s="132" t="n">
        <f aca="false">IF(OR(6&gt;$B$3,ISBLANK(Actuals!H48)),"",Budget!H48-Actuals!H48)</f>
        <v>-4166.67</v>
      </c>
      <c r="Y42" s="132" t="n">
        <f aca="false">IFERROR(IF(OR(6&gt;$B$3,ISBLANK(Actuals!H48)),"",(Budget!H48-Actuals!H48)/ABS(Budget!H48)),"")</f>
        <v>-1</v>
      </c>
      <c r="Z42" s="131" t="n">
        <f aca="false">Budget!I48</f>
        <v>-4250</v>
      </c>
      <c r="AA42" s="131" t="n">
        <f aca="false">IF(OR(7&gt;$B$3,ISBLANK(Actuals!I48)),"",Actuals!I48)</f>
        <v>0</v>
      </c>
      <c r="AB42" s="132" t="n">
        <f aca="false">IF(OR(7&gt;$B$3,ISBLANK(Actuals!I48)),"",Budget!I48-Actuals!I48)</f>
        <v>-4250</v>
      </c>
      <c r="AC42" s="132" t="n">
        <f aca="false">IFERROR(IF(OR(7&gt;$B$3,ISBLANK(Actuals!I48)),"",(Budget!I48-Actuals!I48)/ABS(Budget!I48)),"")</f>
        <v>-1</v>
      </c>
      <c r="AD42" s="131" t="n">
        <f aca="false">Budget!J48</f>
        <v>-4250</v>
      </c>
      <c r="AE42" s="131" t="n">
        <f aca="false">IF(OR(8&gt;$B$3,ISBLANK(Actuals!J48)),"",Actuals!J48)</f>
        <v>-1372.32</v>
      </c>
      <c r="AF42" s="132" t="n">
        <f aca="false">IF(OR(8&gt;$B$3,ISBLANK(Actuals!J48)),"",Budget!J48-Actuals!J48)</f>
        <v>-2877.68</v>
      </c>
      <c r="AG42" s="132" t="n">
        <f aca="false">IFERROR(IF(OR(8&gt;$B$3,ISBLANK(Actuals!J48)),"",(Budget!J48-Actuals!J48)/ABS(Budget!J48)),"")</f>
        <v>-0.677101176470588</v>
      </c>
      <c r="AH42" s="131" t="n">
        <f aca="false">Budget!K48</f>
        <v>-4250</v>
      </c>
      <c r="AI42" s="131" t="n">
        <f aca="false">IF(OR(9&gt;$B$3,ISBLANK(Actuals!K48)),"",Actuals!K48)</f>
        <v>0</v>
      </c>
      <c r="AJ42" s="132" t="n">
        <f aca="false">IF(OR(9&gt;$B$3,ISBLANK(Actuals!K48)),"",Budget!K48-Actuals!K48)</f>
        <v>-4250</v>
      </c>
      <c r="AK42" s="132" t="n">
        <f aca="false">IFERROR(IF(OR(9&gt;$B$3,ISBLANK(Actuals!K48)),"",(Budget!K48-Actuals!K48)/ABS(Budget!K48)),"")</f>
        <v>-1</v>
      </c>
      <c r="AL42" s="131" t="n">
        <f aca="false">Budget!L48</f>
        <v>-4250</v>
      </c>
      <c r="AM42" s="131" t="str">
        <f aca="false">IF(OR(10&gt;$B$3,ISBLANK(Actuals!L48)),"",Actuals!L48)</f>
        <v/>
      </c>
      <c r="AN42" s="132" t="str">
        <f aca="false">IF(OR(10&gt;$B$3,ISBLANK(Actuals!L48)),"",Budget!L48-Actuals!L48)</f>
        <v/>
      </c>
      <c r="AO42" s="132" t="str">
        <f aca="false">IFERROR(IF(OR(10&gt;$B$3,ISBLANK(Actuals!L48)),"",(Budget!L48-Actuals!L48)/ABS(Budget!L48)),"")</f>
        <v/>
      </c>
      <c r="AP42" s="131" t="n">
        <f aca="false">Budget!M48</f>
        <v>-4250</v>
      </c>
      <c r="AQ42" s="131" t="str">
        <f aca="false">IF(OR(11&gt;$B$3,ISBLANK(Actuals!M48)),"",Actuals!M48)</f>
        <v/>
      </c>
      <c r="AR42" s="132" t="str">
        <f aca="false">IF(OR(11&gt;$B$3,ISBLANK(Actuals!M48)),"",Budget!M48-Actuals!M48)</f>
        <v/>
      </c>
      <c r="AS42" s="132" t="str">
        <f aca="false">IFERROR(IF(OR(11&gt;$B$3,ISBLANK(Actuals!M48)),"",(Budget!M48-Actuals!M48)/ABS(Budget!M48)),"")</f>
        <v/>
      </c>
      <c r="AT42" s="131" t="n">
        <f aca="false">Budget!N48</f>
        <v>-4250</v>
      </c>
      <c r="AU42" s="131" t="str">
        <f aca="false">IF(OR(12&gt;$B$3,ISBLANK(Actuals!N48)),"",Actuals!N48)</f>
        <v/>
      </c>
      <c r="AV42" s="132" t="str">
        <f aca="false">IF(OR(12&gt;$B$3,ISBLANK(Actuals!N48)),"",Budget!N48-Actuals!N48)</f>
        <v/>
      </c>
      <c r="AW42" s="132" t="str">
        <f aca="false">IFERROR(IF(OR(12&gt;$B$3,ISBLANK(Actuals!N48)),"",(Budget!N48-Actuals!N48)/ABS(Budget!N48)),"")</f>
        <v/>
      </c>
      <c r="AX42" s="133" t="n">
        <f aca="false">SUMPRODUCT((Actuals!C48:N48&lt;&gt;"")*(Budget!C48:N48))</f>
        <v>-37750.02</v>
      </c>
      <c r="AY42" s="133" t="n">
        <f aca="false">SUM(Actuals!C48:N48)</f>
        <v>-102138.51</v>
      </c>
      <c r="AZ42" s="134" t="n">
        <f aca="false">AX42-AY42</f>
        <v>64388.49</v>
      </c>
    </row>
    <row r="43" customFormat="false" ht="15" hidden="false" customHeight="true" outlineLevel="0" collapsed="false">
      <c r="A43" s="130" t="s">
        <v>92</v>
      </c>
      <c r="B43" s="131" t="n">
        <f aca="false">Budget!C49</f>
        <v>0</v>
      </c>
      <c r="C43" s="131" t="n">
        <f aca="false">IF(OR(1&gt;$B$3,ISBLANK(Actuals!C49)),"",Actuals!C49)</f>
        <v>-1913.91</v>
      </c>
      <c r="D43" s="132" t="n">
        <f aca="false">IF(OR(1&gt;$B$3,ISBLANK(Actuals!C49)),"",Budget!C49-Actuals!C49)</f>
        <v>1913.91</v>
      </c>
      <c r="E43" s="132" t="str">
        <f aca="false">IFERROR(IF(OR(1&gt;$B$3,ISBLANK(Actuals!C49)),"",(Budget!C49-Actuals!C49)/ABS(Budget!C49)),"")</f>
        <v/>
      </c>
      <c r="F43" s="131" t="n">
        <f aca="false">Budget!D49</f>
        <v>0</v>
      </c>
      <c r="G43" s="131" t="n">
        <f aca="false">IF(OR(2&gt;$B$3,ISBLANK(Actuals!D49)),"",Actuals!D49)</f>
        <v>-2254.72</v>
      </c>
      <c r="H43" s="132" t="n">
        <f aca="false">IF(OR(2&gt;$B$3,ISBLANK(Actuals!D49)),"",Budget!D49-Actuals!D49)</f>
        <v>2254.72</v>
      </c>
      <c r="I43" s="132" t="str">
        <f aca="false">IFERROR(IF(OR(2&gt;$B$3,ISBLANK(Actuals!D49)),"",(Budget!D49-Actuals!D49)/ABS(Budget!D49)),"")</f>
        <v/>
      </c>
      <c r="J43" s="131" t="n">
        <f aca="false">Budget!E49</f>
        <v>0</v>
      </c>
      <c r="K43" s="131" t="n">
        <f aca="false">IF(OR(3&gt;$B$3,ISBLANK(Actuals!E49)),"",Actuals!E49)</f>
        <v>-1913.91</v>
      </c>
      <c r="L43" s="132" t="n">
        <f aca="false">IF(OR(3&gt;$B$3,ISBLANK(Actuals!E49)),"",Budget!E49-Actuals!E49)</f>
        <v>1913.91</v>
      </c>
      <c r="M43" s="132" t="str">
        <f aca="false">IFERROR(IF(OR(3&gt;$B$3,ISBLANK(Actuals!E49)),"",(Budget!E49-Actuals!E49)/ABS(Budget!E49)),"")</f>
        <v/>
      </c>
      <c r="N43" s="131" t="n">
        <f aca="false">Budget!F49</f>
        <v>0</v>
      </c>
      <c r="O43" s="131" t="n">
        <f aca="false">IF(OR(4&gt;$B$3,ISBLANK(Actuals!F49)),"",Actuals!F49)</f>
        <v>-1609.91</v>
      </c>
      <c r="P43" s="132" t="n">
        <f aca="false">IF(OR(4&gt;$B$3,ISBLANK(Actuals!F49)),"",Budget!F49-Actuals!F49)</f>
        <v>1609.91</v>
      </c>
      <c r="Q43" s="132" t="str">
        <f aca="false">IFERROR(IF(OR(4&gt;$B$3,ISBLANK(Actuals!F49)),"",(Budget!F49-Actuals!F49)/ABS(Budget!F49)),"")</f>
        <v/>
      </c>
      <c r="R43" s="131" t="n">
        <f aca="false">Budget!G49</f>
        <v>0</v>
      </c>
      <c r="S43" s="131" t="n">
        <f aca="false">IF(OR(5&gt;$B$3,ISBLANK(Actuals!G49)),"",Actuals!G49)</f>
        <v>-2760.86</v>
      </c>
      <c r="T43" s="132" t="n">
        <f aca="false">IF(OR(5&gt;$B$3,ISBLANK(Actuals!G49)),"",Budget!G49-Actuals!G49)</f>
        <v>2760.86</v>
      </c>
      <c r="U43" s="132" t="str">
        <f aca="false">IFERROR(IF(OR(5&gt;$B$3,ISBLANK(Actuals!G49)),"",(Budget!G49-Actuals!G49)/ABS(Budget!G49)),"")</f>
        <v/>
      </c>
      <c r="V43" s="131" t="n">
        <f aca="false">Budget!H49</f>
        <v>0</v>
      </c>
      <c r="W43" s="131" t="n">
        <f aca="false">IF(OR(6&gt;$B$3,ISBLANK(Actuals!H49)),"",Actuals!H49)</f>
        <v>0</v>
      </c>
      <c r="X43" s="132" t="n">
        <f aca="false">IF(OR(6&gt;$B$3,ISBLANK(Actuals!H49)),"",Budget!H49-Actuals!H49)</f>
        <v>0</v>
      </c>
      <c r="Y43" s="132" t="str">
        <f aca="false">IFERROR(IF(OR(6&gt;$B$3,ISBLANK(Actuals!H49)),"",(Budget!H49-Actuals!H49)/ABS(Budget!H49)),"")</f>
        <v/>
      </c>
      <c r="Z43" s="131" t="n">
        <f aca="false">Budget!I49</f>
        <v>0</v>
      </c>
      <c r="AA43" s="131" t="n">
        <f aca="false">IF(OR(7&gt;$B$3,ISBLANK(Actuals!I49)),"",Actuals!I49)</f>
        <v>0</v>
      </c>
      <c r="AB43" s="132" t="n">
        <f aca="false">IF(OR(7&gt;$B$3,ISBLANK(Actuals!I49)),"",Budget!I49-Actuals!I49)</f>
        <v>0</v>
      </c>
      <c r="AC43" s="132" t="str">
        <f aca="false">IFERROR(IF(OR(7&gt;$B$3,ISBLANK(Actuals!I49)),"",(Budget!I49-Actuals!I49)/ABS(Budget!I49)),"")</f>
        <v/>
      </c>
      <c r="AD43" s="131" t="n">
        <f aca="false">Budget!J49</f>
        <v>0</v>
      </c>
      <c r="AE43" s="131" t="n">
        <f aca="false">IF(OR(8&gt;$B$3,ISBLANK(Actuals!J49)),"",Actuals!J49)</f>
        <v>-11.02</v>
      </c>
      <c r="AF43" s="132" t="n">
        <f aca="false">IF(OR(8&gt;$B$3,ISBLANK(Actuals!J49)),"",Budget!J49-Actuals!J49)</f>
        <v>11.02</v>
      </c>
      <c r="AG43" s="132" t="str">
        <f aca="false">IFERROR(IF(OR(8&gt;$B$3,ISBLANK(Actuals!J49)),"",(Budget!J49-Actuals!J49)/ABS(Budget!J49)),"")</f>
        <v/>
      </c>
      <c r="AH43" s="131" t="n">
        <f aca="false">Budget!K49</f>
        <v>0</v>
      </c>
      <c r="AI43" s="131" t="n">
        <f aca="false">IF(OR(9&gt;$B$3,ISBLANK(Actuals!K49)),"",Actuals!K49)</f>
        <v>-41.55</v>
      </c>
      <c r="AJ43" s="132" t="n">
        <f aca="false">IF(OR(9&gt;$B$3,ISBLANK(Actuals!K49)),"",Budget!K49-Actuals!K49)</f>
        <v>41.55</v>
      </c>
      <c r="AK43" s="132" t="str">
        <f aca="false">IFERROR(IF(OR(9&gt;$B$3,ISBLANK(Actuals!K49)),"",(Budget!K49-Actuals!K49)/ABS(Budget!K49)),"")</f>
        <v/>
      </c>
      <c r="AL43" s="131" t="n">
        <f aca="false">Budget!L49</f>
        <v>0</v>
      </c>
      <c r="AM43" s="131" t="str">
        <f aca="false">IF(OR(10&gt;$B$3,ISBLANK(Actuals!L49)),"",Actuals!L49)</f>
        <v/>
      </c>
      <c r="AN43" s="132" t="str">
        <f aca="false">IF(OR(10&gt;$B$3,ISBLANK(Actuals!L49)),"",Budget!L49-Actuals!L49)</f>
        <v/>
      </c>
      <c r="AO43" s="132" t="str">
        <f aca="false">IFERROR(IF(OR(10&gt;$B$3,ISBLANK(Actuals!L49)),"",(Budget!L49-Actuals!L49)/ABS(Budget!L49)),"")</f>
        <v/>
      </c>
      <c r="AP43" s="131" t="n">
        <f aca="false">Budget!M49</f>
        <v>0</v>
      </c>
      <c r="AQ43" s="131" t="str">
        <f aca="false">IF(OR(11&gt;$B$3,ISBLANK(Actuals!M49)),"",Actuals!M49)</f>
        <v/>
      </c>
      <c r="AR43" s="132" t="str">
        <f aca="false">IF(OR(11&gt;$B$3,ISBLANK(Actuals!M49)),"",Budget!M49-Actuals!M49)</f>
        <v/>
      </c>
      <c r="AS43" s="132" t="str">
        <f aca="false">IFERROR(IF(OR(11&gt;$B$3,ISBLANK(Actuals!M49)),"",(Budget!M49-Actuals!M49)/ABS(Budget!M49)),"")</f>
        <v/>
      </c>
      <c r="AT43" s="131" t="n">
        <f aca="false">Budget!N49</f>
        <v>0</v>
      </c>
      <c r="AU43" s="131" t="str">
        <f aca="false">IF(OR(12&gt;$B$3,ISBLANK(Actuals!N49)),"",Actuals!N49)</f>
        <v/>
      </c>
      <c r="AV43" s="132" t="str">
        <f aca="false">IF(OR(12&gt;$B$3,ISBLANK(Actuals!N49)),"",Budget!N49-Actuals!N49)</f>
        <v/>
      </c>
      <c r="AW43" s="132" t="str">
        <f aca="false">IFERROR(IF(OR(12&gt;$B$3,ISBLANK(Actuals!N49)),"",(Budget!N49-Actuals!N49)/ABS(Budget!N49)),"")</f>
        <v/>
      </c>
      <c r="AX43" s="133" t="n">
        <f aca="false">SUMPRODUCT((Actuals!C49:N49&lt;&gt;"")*(Budget!C49:N49))</f>
        <v>0</v>
      </c>
      <c r="AY43" s="133" t="n">
        <f aca="false">SUM(Actuals!C49:N49)</f>
        <v>-10505.88</v>
      </c>
      <c r="AZ43" s="134" t="n">
        <f aca="false">AX43-AY43</f>
        <v>10505.88</v>
      </c>
    </row>
    <row r="44" customFormat="false" ht="15" hidden="false" customHeight="true" outlineLevel="0" collapsed="false">
      <c r="A44" s="130" t="s">
        <v>93</v>
      </c>
      <c r="B44" s="131" t="n">
        <f aca="false">Budget!C50</f>
        <v>-166.67</v>
      </c>
      <c r="C44" s="131" t="n">
        <f aca="false">IF(OR(1&gt;$B$3,ISBLANK(Actuals!C50)),"",Actuals!C50)</f>
        <v>0</v>
      </c>
      <c r="D44" s="132" t="n">
        <f aca="false">IF(OR(1&gt;$B$3,ISBLANK(Actuals!C50)),"",Budget!C50-Actuals!C50)</f>
        <v>-166.67</v>
      </c>
      <c r="E44" s="132" t="n">
        <f aca="false">IFERROR(IF(OR(1&gt;$B$3,ISBLANK(Actuals!C50)),"",(Budget!C50-Actuals!C50)/ABS(Budget!C50)),"")</f>
        <v>-1</v>
      </c>
      <c r="F44" s="131" t="n">
        <f aca="false">Budget!D50</f>
        <v>-166.67</v>
      </c>
      <c r="G44" s="131" t="n">
        <f aca="false">IF(OR(2&gt;$B$3,ISBLANK(Actuals!D50)),"",Actuals!D50)</f>
        <v>-75</v>
      </c>
      <c r="H44" s="132" t="n">
        <f aca="false">IF(OR(2&gt;$B$3,ISBLANK(Actuals!D50)),"",Budget!D50-Actuals!D50)</f>
        <v>-91.67</v>
      </c>
      <c r="I44" s="132" t="n">
        <f aca="false">IFERROR(IF(OR(2&gt;$B$3,ISBLANK(Actuals!D50)),"",(Budget!D50-Actuals!D50)/ABS(Budget!D50)),"")</f>
        <v>-0.550008999820004</v>
      </c>
      <c r="J44" s="131" t="n">
        <f aca="false">Budget!E50</f>
        <v>-166.67</v>
      </c>
      <c r="K44" s="131" t="n">
        <f aca="false">IF(OR(3&gt;$B$3,ISBLANK(Actuals!E50)),"",Actuals!E50)</f>
        <v>-5</v>
      </c>
      <c r="L44" s="132" t="n">
        <f aca="false">IF(OR(3&gt;$B$3,ISBLANK(Actuals!E50)),"",Budget!E50-Actuals!E50)</f>
        <v>-161.67</v>
      </c>
      <c r="M44" s="132" t="n">
        <f aca="false">IFERROR(IF(OR(3&gt;$B$3,ISBLANK(Actuals!E50)),"",(Budget!E50-Actuals!E50)/ABS(Budget!E50)),"")</f>
        <v>-0.970000599988</v>
      </c>
      <c r="N44" s="131" t="n">
        <f aca="false">Budget!F50</f>
        <v>-166.67</v>
      </c>
      <c r="O44" s="131" t="n">
        <f aca="false">IF(OR(4&gt;$B$3,ISBLANK(Actuals!F50)),"",Actuals!F50)</f>
        <v>0</v>
      </c>
      <c r="P44" s="132" t="n">
        <f aca="false">IF(OR(4&gt;$B$3,ISBLANK(Actuals!F50)),"",Budget!F50-Actuals!F50)</f>
        <v>-166.67</v>
      </c>
      <c r="Q44" s="132" t="n">
        <f aca="false">IFERROR(IF(OR(4&gt;$B$3,ISBLANK(Actuals!F50)),"",(Budget!F50-Actuals!F50)/ABS(Budget!F50)),"")</f>
        <v>-1</v>
      </c>
      <c r="R44" s="131" t="n">
        <f aca="false">Budget!G50</f>
        <v>-166.67</v>
      </c>
      <c r="S44" s="131" t="n">
        <f aca="false">IF(OR(5&gt;$B$3,ISBLANK(Actuals!G50)),"",Actuals!G50)</f>
        <v>0</v>
      </c>
      <c r="T44" s="132" t="n">
        <f aca="false">IF(OR(5&gt;$B$3,ISBLANK(Actuals!G50)),"",Budget!G50-Actuals!G50)</f>
        <v>-166.67</v>
      </c>
      <c r="U44" s="132" t="n">
        <f aca="false">IFERROR(IF(OR(5&gt;$B$3,ISBLANK(Actuals!G50)),"",(Budget!G50-Actuals!G50)/ABS(Budget!G50)),"")</f>
        <v>-1</v>
      </c>
      <c r="V44" s="131" t="n">
        <f aca="false">Budget!H50</f>
        <v>-166.67</v>
      </c>
      <c r="W44" s="131" t="n">
        <f aca="false">IF(OR(6&gt;$B$3,ISBLANK(Actuals!H50)),"",Actuals!H50)</f>
        <v>0</v>
      </c>
      <c r="X44" s="132" t="n">
        <f aca="false">IF(OR(6&gt;$B$3,ISBLANK(Actuals!H50)),"",Budget!H50-Actuals!H50)</f>
        <v>-166.67</v>
      </c>
      <c r="Y44" s="132" t="n">
        <f aca="false">IFERROR(IF(OR(6&gt;$B$3,ISBLANK(Actuals!H50)),"",(Budget!H50-Actuals!H50)/ABS(Budget!H50)),"")</f>
        <v>-1</v>
      </c>
      <c r="Z44" s="131" t="n">
        <f aca="false">Budget!I50</f>
        <v>-170</v>
      </c>
      <c r="AA44" s="131" t="n">
        <f aca="false">IF(OR(7&gt;$B$3,ISBLANK(Actuals!I50)),"",Actuals!I50)</f>
        <v>-5</v>
      </c>
      <c r="AB44" s="132" t="n">
        <f aca="false">IF(OR(7&gt;$B$3,ISBLANK(Actuals!I50)),"",Budget!I50-Actuals!I50)</f>
        <v>-165</v>
      </c>
      <c r="AC44" s="132" t="n">
        <f aca="false">IFERROR(IF(OR(7&gt;$B$3,ISBLANK(Actuals!I50)),"",(Budget!I50-Actuals!I50)/ABS(Budget!I50)),"")</f>
        <v>-0.970588235294118</v>
      </c>
      <c r="AD44" s="131" t="n">
        <f aca="false">Budget!J50</f>
        <v>-170</v>
      </c>
      <c r="AE44" s="131" t="n">
        <f aca="false">IF(OR(8&gt;$B$3,ISBLANK(Actuals!J50)),"",Actuals!J50)</f>
        <v>-50</v>
      </c>
      <c r="AF44" s="132" t="n">
        <f aca="false">IF(OR(8&gt;$B$3,ISBLANK(Actuals!J50)),"",Budget!J50-Actuals!J50)</f>
        <v>-120</v>
      </c>
      <c r="AG44" s="132" t="n">
        <f aca="false">IFERROR(IF(OR(8&gt;$B$3,ISBLANK(Actuals!J50)),"",(Budget!J50-Actuals!J50)/ABS(Budget!J50)),"")</f>
        <v>-0.705882352941177</v>
      </c>
      <c r="AH44" s="131" t="n">
        <f aca="false">Budget!K50</f>
        <v>-170</v>
      </c>
      <c r="AI44" s="131" t="n">
        <f aca="false">IF(OR(9&gt;$B$3,ISBLANK(Actuals!K50)),"",Actuals!K50)</f>
        <v>-75</v>
      </c>
      <c r="AJ44" s="132" t="n">
        <f aca="false">IF(OR(9&gt;$B$3,ISBLANK(Actuals!K50)),"",Budget!K50-Actuals!K50)</f>
        <v>-95</v>
      </c>
      <c r="AK44" s="132" t="n">
        <f aca="false">IFERROR(IF(OR(9&gt;$B$3,ISBLANK(Actuals!K50)),"",(Budget!K50-Actuals!K50)/ABS(Budget!K50)),"")</f>
        <v>-0.558823529411765</v>
      </c>
      <c r="AL44" s="131" t="n">
        <f aca="false">Budget!L50</f>
        <v>-170</v>
      </c>
      <c r="AM44" s="131" t="str">
        <f aca="false">IF(OR(10&gt;$B$3,ISBLANK(Actuals!L50)),"",Actuals!L50)</f>
        <v/>
      </c>
      <c r="AN44" s="132" t="str">
        <f aca="false">IF(OR(10&gt;$B$3,ISBLANK(Actuals!L50)),"",Budget!L50-Actuals!L50)</f>
        <v/>
      </c>
      <c r="AO44" s="132" t="str">
        <f aca="false">IFERROR(IF(OR(10&gt;$B$3,ISBLANK(Actuals!L50)),"",(Budget!L50-Actuals!L50)/ABS(Budget!L50)),"")</f>
        <v/>
      </c>
      <c r="AP44" s="131" t="n">
        <f aca="false">Budget!M50</f>
        <v>-170</v>
      </c>
      <c r="AQ44" s="131" t="str">
        <f aca="false">IF(OR(11&gt;$B$3,ISBLANK(Actuals!M50)),"",Actuals!M50)</f>
        <v/>
      </c>
      <c r="AR44" s="132" t="str">
        <f aca="false">IF(OR(11&gt;$B$3,ISBLANK(Actuals!M50)),"",Budget!M50-Actuals!M50)</f>
        <v/>
      </c>
      <c r="AS44" s="132" t="str">
        <f aca="false">IFERROR(IF(OR(11&gt;$B$3,ISBLANK(Actuals!M50)),"",(Budget!M50-Actuals!M50)/ABS(Budget!M50)),"")</f>
        <v/>
      </c>
      <c r="AT44" s="131" t="n">
        <f aca="false">Budget!N50</f>
        <v>-170</v>
      </c>
      <c r="AU44" s="131" t="str">
        <f aca="false">IF(OR(12&gt;$B$3,ISBLANK(Actuals!N50)),"",Actuals!N50)</f>
        <v/>
      </c>
      <c r="AV44" s="132" t="str">
        <f aca="false">IF(OR(12&gt;$B$3,ISBLANK(Actuals!N50)),"",Budget!N50-Actuals!N50)</f>
        <v/>
      </c>
      <c r="AW44" s="132" t="str">
        <f aca="false">IFERROR(IF(OR(12&gt;$B$3,ISBLANK(Actuals!N50)),"",(Budget!N50-Actuals!N50)/ABS(Budget!N50)),"")</f>
        <v/>
      </c>
      <c r="AX44" s="133" t="n">
        <f aca="false">SUMPRODUCT((Actuals!C50:N50&lt;&gt;"")*(Budget!C50:N50))</f>
        <v>-1510.02</v>
      </c>
      <c r="AY44" s="133" t="n">
        <f aca="false">SUM(Actuals!C50:N50)</f>
        <v>-210</v>
      </c>
      <c r="AZ44" s="134" t="n">
        <f aca="false">AX44-AY44</f>
        <v>-1300.02</v>
      </c>
    </row>
    <row r="45" customFormat="false" ht="15" hidden="false" customHeight="true" outlineLevel="0" collapsed="false">
      <c r="A45" s="130" t="s">
        <v>94</v>
      </c>
      <c r="B45" s="131" t="n">
        <f aca="false">Budget!C51</f>
        <v>0</v>
      </c>
      <c r="C45" s="131" t="n">
        <f aca="false">IF(OR(1&gt;$B$3,ISBLANK(Actuals!C51)),"",Actuals!C51)</f>
        <v>0</v>
      </c>
      <c r="D45" s="132" t="n">
        <f aca="false">IF(OR(1&gt;$B$3,ISBLANK(Actuals!C51)),"",Budget!C51-Actuals!C51)</f>
        <v>0</v>
      </c>
      <c r="E45" s="132" t="str">
        <f aca="false">IFERROR(IF(OR(1&gt;$B$3,ISBLANK(Actuals!C51)),"",(Budget!C51-Actuals!C51)/ABS(Budget!C51)),"")</f>
        <v/>
      </c>
      <c r="F45" s="131" t="n">
        <f aca="false">Budget!D51</f>
        <v>0</v>
      </c>
      <c r="G45" s="131" t="n">
        <f aca="false">IF(OR(2&gt;$B$3,ISBLANK(Actuals!D51)),"",Actuals!D51)</f>
        <v>-63</v>
      </c>
      <c r="H45" s="132" t="n">
        <f aca="false">IF(OR(2&gt;$B$3,ISBLANK(Actuals!D51)),"",Budget!D51-Actuals!D51)</f>
        <v>63</v>
      </c>
      <c r="I45" s="132" t="str">
        <f aca="false">IFERROR(IF(OR(2&gt;$B$3,ISBLANK(Actuals!D51)),"",(Budget!D51-Actuals!D51)/ABS(Budget!D51)),"")</f>
        <v/>
      </c>
      <c r="J45" s="131" t="n">
        <f aca="false">Budget!E51</f>
        <v>0</v>
      </c>
      <c r="K45" s="131" t="n">
        <f aca="false">IF(OR(3&gt;$B$3,ISBLANK(Actuals!E51)),"",Actuals!E51)</f>
        <v>0</v>
      </c>
      <c r="L45" s="132" t="n">
        <f aca="false">IF(OR(3&gt;$B$3,ISBLANK(Actuals!E51)),"",Budget!E51-Actuals!E51)</f>
        <v>0</v>
      </c>
      <c r="M45" s="132" t="str">
        <f aca="false">IFERROR(IF(OR(3&gt;$B$3,ISBLANK(Actuals!E51)),"",(Budget!E51-Actuals!E51)/ABS(Budget!E51)),"")</f>
        <v/>
      </c>
      <c r="N45" s="131" t="n">
        <f aca="false">Budget!F51</f>
        <v>0</v>
      </c>
      <c r="O45" s="131" t="n">
        <f aca="false">IF(OR(4&gt;$B$3,ISBLANK(Actuals!F51)),"",Actuals!F51)</f>
        <v>0</v>
      </c>
      <c r="P45" s="132" t="n">
        <f aca="false">IF(OR(4&gt;$B$3,ISBLANK(Actuals!F51)),"",Budget!F51-Actuals!F51)</f>
        <v>0</v>
      </c>
      <c r="Q45" s="132" t="str">
        <f aca="false">IFERROR(IF(OR(4&gt;$B$3,ISBLANK(Actuals!F51)),"",(Budget!F51-Actuals!F51)/ABS(Budget!F51)),"")</f>
        <v/>
      </c>
      <c r="R45" s="131" t="n">
        <f aca="false">Budget!G51</f>
        <v>0</v>
      </c>
      <c r="S45" s="131" t="n">
        <f aca="false">IF(OR(5&gt;$B$3,ISBLANK(Actuals!G51)),"",Actuals!G51)</f>
        <v>0</v>
      </c>
      <c r="T45" s="132" t="n">
        <f aca="false">IF(OR(5&gt;$B$3,ISBLANK(Actuals!G51)),"",Budget!G51-Actuals!G51)</f>
        <v>0</v>
      </c>
      <c r="U45" s="132" t="str">
        <f aca="false">IFERROR(IF(OR(5&gt;$B$3,ISBLANK(Actuals!G51)),"",(Budget!G51-Actuals!G51)/ABS(Budget!G51)),"")</f>
        <v/>
      </c>
      <c r="V45" s="131" t="n">
        <f aca="false">Budget!H51</f>
        <v>0</v>
      </c>
      <c r="W45" s="131" t="n">
        <f aca="false">IF(OR(6&gt;$B$3,ISBLANK(Actuals!H51)),"",Actuals!H51)</f>
        <v>0</v>
      </c>
      <c r="X45" s="132" t="n">
        <f aca="false">IF(OR(6&gt;$B$3,ISBLANK(Actuals!H51)),"",Budget!H51-Actuals!H51)</f>
        <v>0</v>
      </c>
      <c r="Y45" s="132" t="str">
        <f aca="false">IFERROR(IF(OR(6&gt;$B$3,ISBLANK(Actuals!H51)),"",(Budget!H51-Actuals!H51)/ABS(Budget!H51)),"")</f>
        <v/>
      </c>
      <c r="Z45" s="131" t="n">
        <f aca="false">Budget!I51</f>
        <v>0</v>
      </c>
      <c r="AA45" s="131" t="n">
        <f aca="false">IF(OR(7&gt;$B$3,ISBLANK(Actuals!I51)),"",Actuals!I51)</f>
        <v>0</v>
      </c>
      <c r="AB45" s="132" t="n">
        <f aca="false">IF(OR(7&gt;$B$3,ISBLANK(Actuals!I51)),"",Budget!I51-Actuals!I51)</f>
        <v>0</v>
      </c>
      <c r="AC45" s="132" t="str">
        <f aca="false">IFERROR(IF(OR(7&gt;$B$3,ISBLANK(Actuals!I51)),"",(Budget!I51-Actuals!I51)/ABS(Budget!I51)),"")</f>
        <v/>
      </c>
      <c r="AD45" s="131" t="n">
        <f aca="false">Budget!J51</f>
        <v>0</v>
      </c>
      <c r="AE45" s="131" t="n">
        <f aca="false">IF(OR(8&gt;$B$3,ISBLANK(Actuals!J51)),"",Actuals!J51)</f>
        <v>0</v>
      </c>
      <c r="AF45" s="132" t="n">
        <f aca="false">IF(OR(8&gt;$B$3,ISBLANK(Actuals!J51)),"",Budget!J51-Actuals!J51)</f>
        <v>0</v>
      </c>
      <c r="AG45" s="132" t="str">
        <f aca="false">IFERROR(IF(OR(8&gt;$B$3,ISBLANK(Actuals!J51)),"",(Budget!J51-Actuals!J51)/ABS(Budget!J51)),"")</f>
        <v/>
      </c>
      <c r="AH45" s="131" t="n">
        <f aca="false">Budget!K51</f>
        <v>0</v>
      </c>
      <c r="AI45" s="131" t="n">
        <f aca="false">IF(OR(9&gt;$B$3,ISBLANK(Actuals!K51)),"",Actuals!K51)</f>
        <v>0</v>
      </c>
      <c r="AJ45" s="132" t="n">
        <f aca="false">IF(OR(9&gt;$B$3,ISBLANK(Actuals!K51)),"",Budget!K51-Actuals!K51)</f>
        <v>0</v>
      </c>
      <c r="AK45" s="132" t="str">
        <f aca="false">IFERROR(IF(OR(9&gt;$B$3,ISBLANK(Actuals!K51)),"",(Budget!K51-Actuals!K51)/ABS(Budget!K51)),"")</f>
        <v/>
      </c>
      <c r="AL45" s="131" t="n">
        <f aca="false">Budget!L51</f>
        <v>0</v>
      </c>
      <c r="AM45" s="131" t="str">
        <f aca="false">IF(OR(10&gt;$B$3,ISBLANK(Actuals!L51)),"",Actuals!L51)</f>
        <v/>
      </c>
      <c r="AN45" s="132" t="str">
        <f aca="false">IF(OR(10&gt;$B$3,ISBLANK(Actuals!L51)),"",Budget!L51-Actuals!L51)</f>
        <v/>
      </c>
      <c r="AO45" s="132" t="str">
        <f aca="false">IFERROR(IF(OR(10&gt;$B$3,ISBLANK(Actuals!L51)),"",(Budget!L51-Actuals!L51)/ABS(Budget!L51)),"")</f>
        <v/>
      </c>
      <c r="AP45" s="131" t="n">
        <f aca="false">Budget!M51</f>
        <v>0</v>
      </c>
      <c r="AQ45" s="131" t="str">
        <f aca="false">IF(OR(11&gt;$B$3,ISBLANK(Actuals!M51)),"",Actuals!M51)</f>
        <v/>
      </c>
      <c r="AR45" s="132" t="str">
        <f aca="false">IF(OR(11&gt;$B$3,ISBLANK(Actuals!M51)),"",Budget!M51-Actuals!M51)</f>
        <v/>
      </c>
      <c r="AS45" s="132" t="str">
        <f aca="false">IFERROR(IF(OR(11&gt;$B$3,ISBLANK(Actuals!M51)),"",(Budget!M51-Actuals!M51)/ABS(Budget!M51)),"")</f>
        <v/>
      </c>
      <c r="AT45" s="131" t="n">
        <f aca="false">Budget!N51</f>
        <v>0</v>
      </c>
      <c r="AU45" s="131" t="str">
        <f aca="false">IF(OR(12&gt;$B$3,ISBLANK(Actuals!N51)),"",Actuals!N51)</f>
        <v/>
      </c>
      <c r="AV45" s="132" t="str">
        <f aca="false">IF(OR(12&gt;$B$3,ISBLANK(Actuals!N51)),"",Budget!N51-Actuals!N51)</f>
        <v/>
      </c>
      <c r="AW45" s="132" t="str">
        <f aca="false">IFERROR(IF(OR(12&gt;$B$3,ISBLANK(Actuals!N51)),"",(Budget!N51-Actuals!N51)/ABS(Budget!N51)),"")</f>
        <v/>
      </c>
      <c r="AX45" s="133" t="n">
        <f aca="false">SUMPRODUCT((Actuals!C51:N51&lt;&gt;"")*(Budget!C51:N51))</f>
        <v>0</v>
      </c>
      <c r="AY45" s="133" t="n">
        <f aca="false">SUM(Actuals!C51:N51)</f>
        <v>-63</v>
      </c>
      <c r="AZ45" s="134" t="n">
        <f aca="false">AX45-AY45</f>
        <v>63</v>
      </c>
    </row>
    <row r="46" customFormat="false" ht="15" hidden="false" customHeight="true" outlineLevel="0" collapsed="false">
      <c r="A46" s="130" t="s">
        <v>516</v>
      </c>
      <c r="B46" s="131" t="n">
        <f aca="false">Budget!C52</f>
        <v>0</v>
      </c>
      <c r="C46" s="131" t="str">
        <f aca="false">IF(OR(1&gt;$B$3,ISBLANK(Actuals!C52)),"",Actuals!C52)</f>
        <v/>
      </c>
      <c r="D46" s="132" t="str">
        <f aca="false">IF(OR(1&gt;$B$3,ISBLANK(Actuals!C52)),"",Budget!C52-Actuals!C52)</f>
        <v/>
      </c>
      <c r="E46" s="132" t="str">
        <f aca="false">IFERROR(IF(OR(1&gt;$B$3,ISBLANK(Actuals!C52)),"",(Budget!C52-Actuals!C52)/ABS(Budget!C52)),"")</f>
        <v/>
      </c>
      <c r="F46" s="131" t="n">
        <f aca="false">Budget!D52</f>
        <v>0</v>
      </c>
      <c r="G46" s="131" t="str">
        <f aca="false">IF(OR(2&gt;$B$3,ISBLANK(Actuals!D52)),"",Actuals!D52)</f>
        <v/>
      </c>
      <c r="H46" s="132" t="str">
        <f aca="false">IF(OR(2&gt;$B$3,ISBLANK(Actuals!D52)),"",Budget!D52-Actuals!D52)</f>
        <v/>
      </c>
      <c r="I46" s="132" t="str">
        <f aca="false">IFERROR(IF(OR(2&gt;$B$3,ISBLANK(Actuals!D52)),"",(Budget!D52-Actuals!D52)/ABS(Budget!D52)),"")</f>
        <v/>
      </c>
      <c r="J46" s="131" t="n">
        <f aca="false">Budget!E52</f>
        <v>0</v>
      </c>
      <c r="K46" s="131" t="str">
        <f aca="false">IF(OR(3&gt;$B$3,ISBLANK(Actuals!E52)),"",Actuals!E52)</f>
        <v/>
      </c>
      <c r="L46" s="132" t="str">
        <f aca="false">IF(OR(3&gt;$B$3,ISBLANK(Actuals!E52)),"",Budget!E52-Actuals!E52)</f>
        <v/>
      </c>
      <c r="M46" s="132" t="str">
        <f aca="false">IFERROR(IF(OR(3&gt;$B$3,ISBLANK(Actuals!E52)),"",(Budget!E52-Actuals!E52)/ABS(Budget!E52)),"")</f>
        <v/>
      </c>
      <c r="N46" s="131" t="n">
        <f aca="false">Budget!F52</f>
        <v>0</v>
      </c>
      <c r="O46" s="131" t="str">
        <f aca="false">IF(OR(4&gt;$B$3,ISBLANK(Actuals!F52)),"",Actuals!F52)</f>
        <v/>
      </c>
      <c r="P46" s="132" t="str">
        <f aca="false">IF(OR(4&gt;$B$3,ISBLANK(Actuals!F52)),"",Budget!F52-Actuals!F52)</f>
        <v/>
      </c>
      <c r="Q46" s="132" t="str">
        <f aca="false">IFERROR(IF(OR(4&gt;$B$3,ISBLANK(Actuals!F52)),"",(Budget!F52-Actuals!F52)/ABS(Budget!F52)),"")</f>
        <v/>
      </c>
      <c r="R46" s="131" t="n">
        <f aca="false">Budget!G52</f>
        <v>0</v>
      </c>
      <c r="S46" s="131" t="str">
        <f aca="false">IF(OR(5&gt;$B$3,ISBLANK(Actuals!G52)),"",Actuals!G52)</f>
        <v/>
      </c>
      <c r="T46" s="132" t="str">
        <f aca="false">IF(OR(5&gt;$B$3,ISBLANK(Actuals!G52)),"",Budget!G52-Actuals!G52)</f>
        <v/>
      </c>
      <c r="U46" s="132" t="str">
        <f aca="false">IFERROR(IF(OR(5&gt;$B$3,ISBLANK(Actuals!G52)),"",(Budget!G52-Actuals!G52)/ABS(Budget!G52)),"")</f>
        <v/>
      </c>
      <c r="V46" s="131" t="n">
        <f aca="false">Budget!H52</f>
        <v>0</v>
      </c>
      <c r="W46" s="131" t="str">
        <f aca="false">IF(OR(6&gt;$B$3,ISBLANK(Actuals!H52)),"",Actuals!H52)</f>
        <v/>
      </c>
      <c r="X46" s="132" t="str">
        <f aca="false">IF(OR(6&gt;$B$3,ISBLANK(Actuals!H52)),"",Budget!H52-Actuals!H52)</f>
        <v/>
      </c>
      <c r="Y46" s="132" t="str">
        <f aca="false">IFERROR(IF(OR(6&gt;$B$3,ISBLANK(Actuals!H52)),"",(Budget!H52-Actuals!H52)/ABS(Budget!H52)),"")</f>
        <v/>
      </c>
      <c r="Z46" s="131" t="n">
        <f aca="false">Budget!I52</f>
        <v>0</v>
      </c>
      <c r="AA46" s="131" t="str">
        <f aca="false">IF(OR(7&gt;$B$3,ISBLANK(Actuals!I52)),"",Actuals!I52)</f>
        <v/>
      </c>
      <c r="AB46" s="132" t="str">
        <f aca="false">IF(OR(7&gt;$B$3,ISBLANK(Actuals!I52)),"",Budget!I52-Actuals!I52)</f>
        <v/>
      </c>
      <c r="AC46" s="132" t="str">
        <f aca="false">IFERROR(IF(OR(7&gt;$B$3,ISBLANK(Actuals!I52)),"",(Budget!I52-Actuals!I52)/ABS(Budget!I52)),"")</f>
        <v/>
      </c>
      <c r="AD46" s="131" t="n">
        <f aca="false">Budget!J52</f>
        <v>0</v>
      </c>
      <c r="AE46" s="131" t="str">
        <f aca="false">IF(OR(8&gt;$B$3,ISBLANK(Actuals!J52)),"",Actuals!J52)</f>
        <v/>
      </c>
      <c r="AF46" s="132" t="str">
        <f aca="false">IF(OR(8&gt;$B$3,ISBLANK(Actuals!J52)),"",Budget!J52-Actuals!J52)</f>
        <v/>
      </c>
      <c r="AG46" s="132" t="str">
        <f aca="false">IFERROR(IF(OR(8&gt;$B$3,ISBLANK(Actuals!J52)),"",(Budget!J52-Actuals!J52)/ABS(Budget!J52)),"")</f>
        <v/>
      </c>
      <c r="AH46" s="131" t="n">
        <f aca="false">Budget!K52</f>
        <v>0</v>
      </c>
      <c r="AI46" s="131" t="str">
        <f aca="false">IF(OR(9&gt;$B$3,ISBLANK(Actuals!K52)),"",Actuals!K52)</f>
        <v/>
      </c>
      <c r="AJ46" s="132" t="str">
        <f aca="false">IF(OR(9&gt;$B$3,ISBLANK(Actuals!K52)),"",Budget!K52-Actuals!K52)</f>
        <v/>
      </c>
      <c r="AK46" s="132" t="str">
        <f aca="false">IFERROR(IF(OR(9&gt;$B$3,ISBLANK(Actuals!K52)),"",(Budget!K52-Actuals!K52)/ABS(Budget!K52)),"")</f>
        <v/>
      </c>
      <c r="AL46" s="131" t="n">
        <f aca="false">Budget!L52</f>
        <v>0</v>
      </c>
      <c r="AM46" s="131" t="str">
        <f aca="false">IF(OR(10&gt;$B$3,ISBLANK(Actuals!L52)),"",Actuals!L52)</f>
        <v/>
      </c>
      <c r="AN46" s="132" t="str">
        <f aca="false">IF(OR(10&gt;$B$3,ISBLANK(Actuals!L52)),"",Budget!L52-Actuals!L52)</f>
        <v/>
      </c>
      <c r="AO46" s="132" t="str">
        <f aca="false">IFERROR(IF(OR(10&gt;$B$3,ISBLANK(Actuals!L52)),"",(Budget!L52-Actuals!L52)/ABS(Budget!L52)),"")</f>
        <v/>
      </c>
      <c r="AP46" s="131" t="n">
        <f aca="false">Budget!M52</f>
        <v>0</v>
      </c>
      <c r="AQ46" s="131" t="str">
        <f aca="false">IF(OR(11&gt;$B$3,ISBLANK(Actuals!M52)),"",Actuals!M52)</f>
        <v/>
      </c>
      <c r="AR46" s="132" t="str">
        <f aca="false">IF(OR(11&gt;$B$3,ISBLANK(Actuals!M52)),"",Budget!M52-Actuals!M52)</f>
        <v/>
      </c>
      <c r="AS46" s="132" t="str">
        <f aca="false">IFERROR(IF(OR(11&gt;$B$3,ISBLANK(Actuals!M52)),"",(Budget!M52-Actuals!M52)/ABS(Budget!M52)),"")</f>
        <v/>
      </c>
      <c r="AT46" s="131" t="n">
        <f aca="false">Budget!N52</f>
        <v>0</v>
      </c>
      <c r="AU46" s="131" t="str">
        <f aca="false">IF(OR(12&gt;$B$3,ISBLANK(Actuals!N52)),"",Actuals!N52)</f>
        <v/>
      </c>
      <c r="AV46" s="132" t="str">
        <f aca="false">IF(OR(12&gt;$B$3,ISBLANK(Actuals!N52)),"",Budget!N52-Actuals!N52)</f>
        <v/>
      </c>
      <c r="AW46" s="132" t="str">
        <f aca="false">IFERROR(IF(OR(12&gt;$B$3,ISBLANK(Actuals!N52)),"",(Budget!N52-Actuals!N52)/ABS(Budget!N52)),"")</f>
        <v/>
      </c>
      <c r="AX46" s="133" t="n">
        <f aca="false">SUMPRODUCT((Actuals!C52:N52&lt;&gt;"")*(Budget!C52:N52))</f>
        <v>0</v>
      </c>
      <c r="AY46" s="133" t="n">
        <f aca="false">SUM(Actuals!C52:N52)</f>
        <v>0</v>
      </c>
      <c r="AZ46" s="134" t="n">
        <f aca="false">AX46-AY46</f>
        <v>0</v>
      </c>
    </row>
    <row r="47" customFormat="false" ht="15" hidden="false" customHeight="true" outlineLevel="0" collapsed="false">
      <c r="A47" s="130" t="s">
        <v>96</v>
      </c>
      <c r="B47" s="131" t="n">
        <f aca="false">Budget!C53</f>
        <v>-416.67</v>
      </c>
      <c r="C47" s="131" t="n">
        <f aca="false">IF(OR(1&gt;$B$3,ISBLANK(Actuals!C53)),"",Actuals!C53)</f>
        <v>0</v>
      </c>
      <c r="D47" s="132" t="n">
        <f aca="false">IF(OR(1&gt;$B$3,ISBLANK(Actuals!C53)),"",Budget!C53-Actuals!C53)</f>
        <v>-416.67</v>
      </c>
      <c r="E47" s="132" t="n">
        <f aca="false">IFERROR(IF(OR(1&gt;$B$3,ISBLANK(Actuals!C53)),"",(Budget!C53-Actuals!C53)/ABS(Budget!C53)),"")</f>
        <v>-1</v>
      </c>
      <c r="F47" s="131" t="n">
        <f aca="false">Budget!D53</f>
        <v>-416.67</v>
      </c>
      <c r="G47" s="131" t="n">
        <f aca="false">IF(OR(2&gt;$B$3,ISBLANK(Actuals!D53)),"",Actuals!D53)</f>
        <v>0</v>
      </c>
      <c r="H47" s="132" t="n">
        <f aca="false">IF(OR(2&gt;$B$3,ISBLANK(Actuals!D53)),"",Budget!D53-Actuals!D53)</f>
        <v>-416.67</v>
      </c>
      <c r="I47" s="132" t="n">
        <f aca="false">IFERROR(IF(OR(2&gt;$B$3,ISBLANK(Actuals!D53)),"",(Budget!D53-Actuals!D53)/ABS(Budget!D53)),"")</f>
        <v>-1</v>
      </c>
      <c r="J47" s="131" t="n">
        <f aca="false">Budget!E53</f>
        <v>-416.67</v>
      </c>
      <c r="K47" s="131" t="n">
        <f aca="false">IF(OR(3&gt;$B$3,ISBLANK(Actuals!E53)),"",Actuals!E53)</f>
        <v>-11105.35</v>
      </c>
      <c r="L47" s="132" t="n">
        <f aca="false">IF(OR(3&gt;$B$3,ISBLANK(Actuals!E53)),"",Budget!E53-Actuals!E53)</f>
        <v>10688.68</v>
      </c>
      <c r="M47" s="132" t="n">
        <f aca="false">IFERROR(IF(OR(3&gt;$B$3,ISBLANK(Actuals!E53)),"",(Budget!E53-Actuals!E53)/ABS(Budget!E53)),"")</f>
        <v>25.6526267789858</v>
      </c>
      <c r="N47" s="131" t="n">
        <f aca="false">Budget!F53</f>
        <v>-416.67</v>
      </c>
      <c r="O47" s="131" t="n">
        <f aca="false">IF(OR(4&gt;$B$3,ISBLANK(Actuals!F53)),"",Actuals!F53)</f>
        <v>0</v>
      </c>
      <c r="P47" s="132" t="n">
        <f aca="false">IF(OR(4&gt;$B$3,ISBLANK(Actuals!F53)),"",Budget!F53-Actuals!F53)</f>
        <v>-416.67</v>
      </c>
      <c r="Q47" s="132" t="n">
        <f aca="false">IFERROR(IF(OR(4&gt;$B$3,ISBLANK(Actuals!F53)),"",(Budget!F53-Actuals!F53)/ABS(Budget!F53)),"")</f>
        <v>-1</v>
      </c>
      <c r="R47" s="131" t="n">
        <f aca="false">Budget!G53</f>
        <v>-416.67</v>
      </c>
      <c r="S47" s="131" t="n">
        <f aca="false">IF(OR(5&gt;$B$3,ISBLANK(Actuals!G53)),"",Actuals!G53)</f>
        <v>0</v>
      </c>
      <c r="T47" s="132" t="n">
        <f aca="false">IF(OR(5&gt;$B$3,ISBLANK(Actuals!G53)),"",Budget!G53-Actuals!G53)</f>
        <v>-416.67</v>
      </c>
      <c r="U47" s="132" t="n">
        <f aca="false">IFERROR(IF(OR(5&gt;$B$3,ISBLANK(Actuals!G53)),"",(Budget!G53-Actuals!G53)/ABS(Budget!G53)),"")</f>
        <v>-1</v>
      </c>
      <c r="V47" s="131" t="n">
        <f aca="false">Budget!H53</f>
        <v>-416.67</v>
      </c>
      <c r="W47" s="131" t="n">
        <f aca="false">IF(OR(6&gt;$B$3,ISBLANK(Actuals!H53)),"",Actuals!H53)</f>
        <v>0</v>
      </c>
      <c r="X47" s="132" t="n">
        <f aca="false">IF(OR(6&gt;$B$3,ISBLANK(Actuals!H53)),"",Budget!H53-Actuals!H53)</f>
        <v>-416.67</v>
      </c>
      <c r="Y47" s="132" t="n">
        <f aca="false">IFERROR(IF(OR(6&gt;$B$3,ISBLANK(Actuals!H53)),"",(Budget!H53-Actuals!H53)/ABS(Budget!H53)),"")</f>
        <v>-1</v>
      </c>
      <c r="Z47" s="131" t="n">
        <f aca="false">Budget!I53</f>
        <v>-425</v>
      </c>
      <c r="AA47" s="131" t="n">
        <f aca="false">IF(OR(7&gt;$B$3,ISBLANK(Actuals!I53)),"",Actuals!I53)</f>
        <v>0</v>
      </c>
      <c r="AB47" s="132" t="n">
        <f aca="false">IF(OR(7&gt;$B$3,ISBLANK(Actuals!I53)),"",Budget!I53-Actuals!I53)</f>
        <v>-425</v>
      </c>
      <c r="AC47" s="132" t="n">
        <f aca="false">IFERROR(IF(OR(7&gt;$B$3,ISBLANK(Actuals!I53)),"",(Budget!I53-Actuals!I53)/ABS(Budget!I53)),"")</f>
        <v>-1</v>
      </c>
      <c r="AD47" s="131" t="n">
        <f aca="false">Budget!J53</f>
        <v>-425</v>
      </c>
      <c r="AE47" s="131" t="n">
        <f aca="false">IF(OR(8&gt;$B$3,ISBLANK(Actuals!J53)),"",Actuals!J53)</f>
        <v>0</v>
      </c>
      <c r="AF47" s="132" t="n">
        <f aca="false">IF(OR(8&gt;$B$3,ISBLANK(Actuals!J53)),"",Budget!J53-Actuals!J53)</f>
        <v>-425</v>
      </c>
      <c r="AG47" s="132" t="n">
        <f aca="false">IFERROR(IF(OR(8&gt;$B$3,ISBLANK(Actuals!J53)),"",(Budget!J53-Actuals!J53)/ABS(Budget!J53)),"")</f>
        <v>-1</v>
      </c>
      <c r="AH47" s="131" t="n">
        <f aca="false">Budget!K53</f>
        <v>-425</v>
      </c>
      <c r="AI47" s="131" t="n">
        <f aca="false">IF(OR(9&gt;$B$3,ISBLANK(Actuals!K53)),"",Actuals!K53)</f>
        <v>0</v>
      </c>
      <c r="AJ47" s="132" t="n">
        <f aca="false">IF(OR(9&gt;$B$3,ISBLANK(Actuals!K53)),"",Budget!K53-Actuals!K53)</f>
        <v>-425</v>
      </c>
      <c r="AK47" s="132" t="n">
        <f aca="false">IFERROR(IF(OR(9&gt;$B$3,ISBLANK(Actuals!K53)),"",(Budget!K53-Actuals!K53)/ABS(Budget!K53)),"")</f>
        <v>-1</v>
      </c>
      <c r="AL47" s="131" t="n">
        <f aca="false">Budget!L53</f>
        <v>-425</v>
      </c>
      <c r="AM47" s="131" t="str">
        <f aca="false">IF(OR(10&gt;$B$3,ISBLANK(Actuals!L53)),"",Actuals!L53)</f>
        <v/>
      </c>
      <c r="AN47" s="132" t="str">
        <f aca="false">IF(OR(10&gt;$B$3,ISBLANK(Actuals!L53)),"",Budget!L53-Actuals!L53)</f>
        <v/>
      </c>
      <c r="AO47" s="132" t="str">
        <f aca="false">IFERROR(IF(OR(10&gt;$B$3,ISBLANK(Actuals!L53)),"",(Budget!L53-Actuals!L53)/ABS(Budget!L53)),"")</f>
        <v/>
      </c>
      <c r="AP47" s="131" t="n">
        <f aca="false">Budget!M53</f>
        <v>-425</v>
      </c>
      <c r="AQ47" s="131" t="str">
        <f aca="false">IF(OR(11&gt;$B$3,ISBLANK(Actuals!M53)),"",Actuals!M53)</f>
        <v/>
      </c>
      <c r="AR47" s="132" t="str">
        <f aca="false">IF(OR(11&gt;$B$3,ISBLANK(Actuals!M53)),"",Budget!M53-Actuals!M53)</f>
        <v/>
      </c>
      <c r="AS47" s="132" t="str">
        <f aca="false">IFERROR(IF(OR(11&gt;$B$3,ISBLANK(Actuals!M53)),"",(Budget!M53-Actuals!M53)/ABS(Budget!M53)),"")</f>
        <v/>
      </c>
      <c r="AT47" s="131" t="n">
        <f aca="false">Budget!N53</f>
        <v>-425</v>
      </c>
      <c r="AU47" s="131" t="str">
        <f aca="false">IF(OR(12&gt;$B$3,ISBLANK(Actuals!N53)),"",Actuals!N53)</f>
        <v/>
      </c>
      <c r="AV47" s="132" t="str">
        <f aca="false">IF(OR(12&gt;$B$3,ISBLANK(Actuals!N53)),"",Budget!N53-Actuals!N53)</f>
        <v/>
      </c>
      <c r="AW47" s="132" t="str">
        <f aca="false">IFERROR(IF(OR(12&gt;$B$3,ISBLANK(Actuals!N53)),"",(Budget!N53-Actuals!N53)/ABS(Budget!N53)),"")</f>
        <v/>
      </c>
      <c r="AX47" s="133" t="n">
        <f aca="false">SUMPRODUCT((Actuals!C53:N53&lt;&gt;"")*(Budget!C53:N53))</f>
        <v>-3775.02</v>
      </c>
      <c r="AY47" s="133" t="n">
        <f aca="false">SUM(Actuals!C53:N53)</f>
        <v>-11105.35</v>
      </c>
      <c r="AZ47" s="134" t="n">
        <f aca="false">AX47-AY47</f>
        <v>7330.33</v>
      </c>
    </row>
    <row r="48" customFormat="false" ht="15" hidden="false" customHeight="true" outlineLevel="0" collapsed="false">
      <c r="A48" s="130" t="s">
        <v>517</v>
      </c>
      <c r="B48" s="131" t="n">
        <f aca="false">Budget!C54</f>
        <v>0</v>
      </c>
      <c r="C48" s="131" t="str">
        <f aca="false">IF(OR(1&gt;$B$3,ISBLANK(Actuals!C54)),"",Actuals!C54)</f>
        <v/>
      </c>
      <c r="D48" s="132" t="str">
        <f aca="false">IF(OR(1&gt;$B$3,ISBLANK(Actuals!C54)),"",Budget!C54-Actuals!C54)</f>
        <v/>
      </c>
      <c r="E48" s="132" t="str">
        <f aca="false">IFERROR(IF(OR(1&gt;$B$3,ISBLANK(Actuals!C54)),"",(Budget!C54-Actuals!C54)/ABS(Budget!C54)),"")</f>
        <v/>
      </c>
      <c r="F48" s="131" t="n">
        <f aca="false">Budget!D54</f>
        <v>0</v>
      </c>
      <c r="G48" s="131" t="str">
        <f aca="false">IF(OR(2&gt;$B$3,ISBLANK(Actuals!D54)),"",Actuals!D54)</f>
        <v/>
      </c>
      <c r="H48" s="132" t="str">
        <f aca="false">IF(OR(2&gt;$B$3,ISBLANK(Actuals!D54)),"",Budget!D54-Actuals!D54)</f>
        <v/>
      </c>
      <c r="I48" s="132" t="str">
        <f aca="false">IFERROR(IF(OR(2&gt;$B$3,ISBLANK(Actuals!D54)),"",(Budget!D54-Actuals!D54)/ABS(Budget!D54)),"")</f>
        <v/>
      </c>
      <c r="J48" s="131" t="n">
        <f aca="false">Budget!E54</f>
        <v>0</v>
      </c>
      <c r="K48" s="131" t="str">
        <f aca="false">IF(OR(3&gt;$B$3,ISBLANK(Actuals!E54)),"",Actuals!E54)</f>
        <v/>
      </c>
      <c r="L48" s="132" t="str">
        <f aca="false">IF(OR(3&gt;$B$3,ISBLANK(Actuals!E54)),"",Budget!E54-Actuals!E54)</f>
        <v/>
      </c>
      <c r="M48" s="132" t="str">
        <f aca="false">IFERROR(IF(OR(3&gt;$B$3,ISBLANK(Actuals!E54)),"",(Budget!E54-Actuals!E54)/ABS(Budget!E54)),"")</f>
        <v/>
      </c>
      <c r="N48" s="131" t="n">
        <f aca="false">Budget!F54</f>
        <v>0</v>
      </c>
      <c r="O48" s="131" t="str">
        <f aca="false">IF(OR(4&gt;$B$3,ISBLANK(Actuals!F54)),"",Actuals!F54)</f>
        <v/>
      </c>
      <c r="P48" s="132" t="str">
        <f aca="false">IF(OR(4&gt;$B$3,ISBLANK(Actuals!F54)),"",Budget!F54-Actuals!F54)</f>
        <v/>
      </c>
      <c r="Q48" s="132" t="str">
        <f aca="false">IFERROR(IF(OR(4&gt;$B$3,ISBLANK(Actuals!F54)),"",(Budget!F54-Actuals!F54)/ABS(Budget!F54)),"")</f>
        <v/>
      </c>
      <c r="R48" s="131" t="n">
        <f aca="false">Budget!G54</f>
        <v>0</v>
      </c>
      <c r="S48" s="131" t="str">
        <f aca="false">IF(OR(5&gt;$B$3,ISBLANK(Actuals!G54)),"",Actuals!G54)</f>
        <v/>
      </c>
      <c r="T48" s="132" t="str">
        <f aca="false">IF(OR(5&gt;$B$3,ISBLANK(Actuals!G54)),"",Budget!G54-Actuals!G54)</f>
        <v/>
      </c>
      <c r="U48" s="132" t="str">
        <f aca="false">IFERROR(IF(OR(5&gt;$B$3,ISBLANK(Actuals!G54)),"",(Budget!G54-Actuals!G54)/ABS(Budget!G54)),"")</f>
        <v/>
      </c>
      <c r="V48" s="131" t="n">
        <f aca="false">Budget!H54</f>
        <v>0</v>
      </c>
      <c r="W48" s="131" t="n">
        <f aca="false">IF(OR(6&gt;$B$3,ISBLANK(Actuals!H54)),"",Actuals!H54)</f>
        <v>-612.68</v>
      </c>
      <c r="X48" s="132" t="n">
        <f aca="false">IF(OR(6&gt;$B$3,ISBLANK(Actuals!H54)),"",Budget!H54-Actuals!H54)</f>
        <v>612.68</v>
      </c>
      <c r="Y48" s="132" t="str">
        <f aca="false">IFERROR(IF(OR(6&gt;$B$3,ISBLANK(Actuals!H54)),"",(Budget!H54-Actuals!H54)/ABS(Budget!H54)),"")</f>
        <v/>
      </c>
      <c r="Z48" s="131" t="n">
        <f aca="false">Budget!I54</f>
        <v>0</v>
      </c>
      <c r="AA48" s="131" t="n">
        <f aca="false">IF(OR(7&gt;$B$3,ISBLANK(Actuals!I54)),"",Actuals!I54)</f>
        <v>-1609.91</v>
      </c>
      <c r="AB48" s="132" t="n">
        <f aca="false">IF(OR(7&gt;$B$3,ISBLANK(Actuals!I54)),"",Budget!I54-Actuals!I54)</f>
        <v>1609.91</v>
      </c>
      <c r="AC48" s="132" t="str">
        <f aca="false">IFERROR(IF(OR(7&gt;$B$3,ISBLANK(Actuals!I54)),"",(Budget!I54-Actuals!I54)/ABS(Budget!I54)),"")</f>
        <v/>
      </c>
      <c r="AD48" s="131" t="n">
        <f aca="false">Budget!J54</f>
        <v>0</v>
      </c>
      <c r="AE48" s="131" t="n">
        <f aca="false">IF(OR(8&gt;$B$3,ISBLANK(Actuals!J54)),"",Actuals!J54)</f>
        <v>-1609.91</v>
      </c>
      <c r="AF48" s="132" t="n">
        <f aca="false">IF(OR(8&gt;$B$3,ISBLANK(Actuals!J54)),"",Budget!J54-Actuals!J54)</f>
        <v>1609.91</v>
      </c>
      <c r="AG48" s="132" t="str">
        <f aca="false">IFERROR(IF(OR(8&gt;$B$3,ISBLANK(Actuals!J54)),"",(Budget!J54-Actuals!J54)/ABS(Budget!J54)),"")</f>
        <v/>
      </c>
      <c r="AH48" s="131" t="n">
        <f aca="false">Budget!K54</f>
        <v>0</v>
      </c>
      <c r="AI48" s="131" t="n">
        <f aca="false">IF(OR(9&gt;$B$3,ISBLANK(Actuals!K54)),"",Actuals!K54)</f>
        <v>-1609.91</v>
      </c>
      <c r="AJ48" s="132" t="n">
        <f aca="false">IF(OR(9&gt;$B$3,ISBLANK(Actuals!K54)),"",Budget!K54-Actuals!K54)</f>
        <v>1609.91</v>
      </c>
      <c r="AK48" s="132" t="str">
        <f aca="false">IFERROR(IF(OR(9&gt;$B$3,ISBLANK(Actuals!K54)),"",(Budget!K54-Actuals!K54)/ABS(Budget!K54)),"")</f>
        <v/>
      </c>
      <c r="AL48" s="131" t="n">
        <f aca="false">Budget!L54</f>
        <v>0</v>
      </c>
      <c r="AM48" s="131" t="str">
        <f aca="false">IF(OR(10&gt;$B$3,ISBLANK(Actuals!L54)),"",Actuals!L54)</f>
        <v/>
      </c>
      <c r="AN48" s="132" t="str">
        <f aca="false">IF(OR(10&gt;$B$3,ISBLANK(Actuals!L54)),"",Budget!L54-Actuals!L54)</f>
        <v/>
      </c>
      <c r="AO48" s="132" t="str">
        <f aca="false">IFERROR(IF(OR(10&gt;$B$3,ISBLANK(Actuals!L54)),"",(Budget!L54-Actuals!L54)/ABS(Budget!L54)),"")</f>
        <v/>
      </c>
      <c r="AP48" s="131" t="n">
        <f aca="false">Budget!M54</f>
        <v>0</v>
      </c>
      <c r="AQ48" s="131" t="str">
        <f aca="false">IF(OR(11&gt;$B$3,ISBLANK(Actuals!M54)),"",Actuals!M54)</f>
        <v/>
      </c>
      <c r="AR48" s="132" t="str">
        <f aca="false">IF(OR(11&gt;$B$3,ISBLANK(Actuals!M54)),"",Budget!M54-Actuals!M54)</f>
        <v/>
      </c>
      <c r="AS48" s="132" t="str">
        <f aca="false">IFERROR(IF(OR(11&gt;$B$3,ISBLANK(Actuals!M54)),"",(Budget!M54-Actuals!M54)/ABS(Budget!M54)),"")</f>
        <v/>
      </c>
      <c r="AT48" s="131" t="n">
        <f aca="false">Budget!N54</f>
        <v>0</v>
      </c>
      <c r="AU48" s="131" t="str">
        <f aca="false">IF(OR(12&gt;$B$3,ISBLANK(Actuals!N54)),"",Actuals!N54)</f>
        <v/>
      </c>
      <c r="AV48" s="132" t="str">
        <f aca="false">IF(OR(12&gt;$B$3,ISBLANK(Actuals!N54)),"",Budget!N54-Actuals!N54)</f>
        <v/>
      </c>
      <c r="AW48" s="132" t="str">
        <f aca="false">IFERROR(IF(OR(12&gt;$B$3,ISBLANK(Actuals!N54)),"",(Budget!N54-Actuals!N54)/ABS(Budget!N54)),"")</f>
        <v/>
      </c>
      <c r="AX48" s="133" t="n">
        <f aca="false">SUMPRODUCT((Actuals!C54:N54&lt;&gt;"")*(Budget!C54:N54))</f>
        <v>0</v>
      </c>
      <c r="AY48" s="133" t="n">
        <f aca="false">SUM(Actuals!C54:N54)</f>
        <v>-5442.41</v>
      </c>
      <c r="AZ48" s="134" t="n">
        <f aca="false">AX48-AY48</f>
        <v>5442.41</v>
      </c>
    </row>
    <row r="49" customFormat="false" ht="15" hidden="false" customHeight="true" outlineLevel="0" collapsed="false">
      <c r="A49" s="130" t="s">
        <v>101</v>
      </c>
      <c r="B49" s="131" t="n">
        <f aca="false">Budget!C64</f>
        <v>833.33</v>
      </c>
      <c r="C49" s="131" t="n">
        <f aca="false">IF(OR(1&gt;$B$3,ISBLANK(Actuals!C64)),"",Actuals!C64)</f>
        <v>833.33</v>
      </c>
      <c r="D49" s="132" t="n">
        <f aca="false">IF(OR(1&gt;$B$3,ISBLANK(Actuals!C64)),"",Budget!C64-Actuals!C64)</f>
        <v>0</v>
      </c>
      <c r="E49" s="132" t="n">
        <f aca="false">IFERROR(IF(OR(1&gt;$B$3,ISBLANK(Actuals!C64)),"",(Budget!C64-Actuals!C64)/ABS(Budget!C64)),"")</f>
        <v>0</v>
      </c>
      <c r="F49" s="131" t="n">
        <f aca="false">Budget!D64</f>
        <v>833.33</v>
      </c>
      <c r="G49" s="131" t="n">
        <f aca="false">IF(OR(2&gt;$B$3,ISBLANK(Actuals!D64)),"",Actuals!D64)</f>
        <v>833.33</v>
      </c>
      <c r="H49" s="132" t="n">
        <f aca="false">IF(OR(2&gt;$B$3,ISBLANK(Actuals!D64)),"",Budget!D64-Actuals!D64)</f>
        <v>0</v>
      </c>
      <c r="I49" s="132" t="n">
        <f aca="false">IFERROR(IF(OR(2&gt;$B$3,ISBLANK(Actuals!D64)),"",(Budget!D64-Actuals!D64)/ABS(Budget!D64)),"")</f>
        <v>0</v>
      </c>
      <c r="J49" s="131" t="n">
        <f aca="false">Budget!E64</f>
        <v>833.33</v>
      </c>
      <c r="K49" s="131" t="n">
        <f aca="false">IF(OR(3&gt;$B$3,ISBLANK(Actuals!E64)),"",Actuals!E64)</f>
        <v>833.33</v>
      </c>
      <c r="L49" s="132" t="n">
        <f aca="false">IF(OR(3&gt;$B$3,ISBLANK(Actuals!E64)),"",Budget!E64-Actuals!E64)</f>
        <v>0</v>
      </c>
      <c r="M49" s="132" t="n">
        <f aca="false">IFERROR(IF(OR(3&gt;$B$3,ISBLANK(Actuals!E64)),"",(Budget!E64-Actuals!E64)/ABS(Budget!E64)),"")</f>
        <v>0</v>
      </c>
      <c r="N49" s="131" t="n">
        <f aca="false">Budget!F64</f>
        <v>833.33</v>
      </c>
      <c r="O49" s="131" t="n">
        <f aca="false">IF(OR(4&gt;$B$3,ISBLANK(Actuals!F64)),"",Actuals!F64)</f>
        <v>833.33</v>
      </c>
      <c r="P49" s="132" t="n">
        <f aca="false">IF(OR(4&gt;$B$3,ISBLANK(Actuals!F64)),"",Budget!F64-Actuals!F64)</f>
        <v>0</v>
      </c>
      <c r="Q49" s="132" t="n">
        <f aca="false">IFERROR(IF(OR(4&gt;$B$3,ISBLANK(Actuals!F64)),"",(Budget!F64-Actuals!F64)/ABS(Budget!F64)),"")</f>
        <v>0</v>
      </c>
      <c r="R49" s="131" t="n">
        <f aca="false">Budget!G64</f>
        <v>833.33</v>
      </c>
      <c r="S49" s="131" t="n">
        <f aca="false">IF(OR(5&gt;$B$3,ISBLANK(Actuals!G64)),"",Actuals!G64)</f>
        <v>833.33</v>
      </c>
      <c r="T49" s="132" t="n">
        <f aca="false">IF(OR(5&gt;$B$3,ISBLANK(Actuals!G64)),"",Budget!G64-Actuals!G64)</f>
        <v>0</v>
      </c>
      <c r="U49" s="132" t="n">
        <f aca="false">IFERROR(IF(OR(5&gt;$B$3,ISBLANK(Actuals!G64)),"",(Budget!G64-Actuals!G64)/ABS(Budget!G64)),"")</f>
        <v>0</v>
      </c>
      <c r="V49" s="131" t="n">
        <f aca="false">Budget!H64</f>
        <v>833.33</v>
      </c>
      <c r="W49" s="131" t="n">
        <f aca="false">IF(OR(6&gt;$B$3,ISBLANK(Actuals!H64)),"",Actuals!H64)</f>
        <v>833.33</v>
      </c>
      <c r="X49" s="132" t="n">
        <f aca="false">IF(OR(6&gt;$B$3,ISBLANK(Actuals!H64)),"",Budget!H64-Actuals!H64)</f>
        <v>0</v>
      </c>
      <c r="Y49" s="132" t="n">
        <f aca="false">IFERROR(IF(OR(6&gt;$B$3,ISBLANK(Actuals!H64)),"",(Budget!H64-Actuals!H64)/ABS(Budget!H64)),"")</f>
        <v>0</v>
      </c>
      <c r="Z49" s="131" t="n">
        <f aca="false">Budget!I64</f>
        <v>833.33</v>
      </c>
      <c r="AA49" s="131" t="n">
        <f aca="false">IF(OR(7&gt;$B$3,ISBLANK(Actuals!I64)),"",Actuals!I64)</f>
        <v>833.33</v>
      </c>
      <c r="AB49" s="132" t="n">
        <f aca="false">IF(OR(7&gt;$B$3,ISBLANK(Actuals!I64)),"",Budget!I64-Actuals!I64)</f>
        <v>0</v>
      </c>
      <c r="AC49" s="132" t="n">
        <f aca="false">IFERROR(IF(OR(7&gt;$B$3,ISBLANK(Actuals!I64)),"",(Budget!I64-Actuals!I64)/ABS(Budget!I64)),"")</f>
        <v>0</v>
      </c>
      <c r="AD49" s="131" t="n">
        <f aca="false">Budget!J64</f>
        <v>833.33</v>
      </c>
      <c r="AE49" s="131" t="n">
        <f aca="false">IF(OR(8&gt;$B$3,ISBLANK(Actuals!J64)),"",Actuals!J64)</f>
        <v>833.33</v>
      </c>
      <c r="AF49" s="132" t="n">
        <f aca="false">IF(OR(8&gt;$B$3,ISBLANK(Actuals!J64)),"",Budget!J64-Actuals!J64)</f>
        <v>0</v>
      </c>
      <c r="AG49" s="132" t="n">
        <f aca="false">IFERROR(IF(OR(8&gt;$B$3,ISBLANK(Actuals!J64)),"",(Budget!J64-Actuals!J64)/ABS(Budget!J64)),"")</f>
        <v>0</v>
      </c>
      <c r="AH49" s="131" t="n">
        <f aca="false">Budget!K64</f>
        <v>833.33</v>
      </c>
      <c r="AI49" s="131" t="n">
        <f aca="false">IF(OR(9&gt;$B$3,ISBLANK(Actuals!K64)),"",Actuals!K64)</f>
        <v>-833.33</v>
      </c>
      <c r="AJ49" s="132" t="n">
        <f aca="false">IF(OR(9&gt;$B$3,ISBLANK(Actuals!K64)),"",Budget!K64-Actuals!K64)</f>
        <v>1666.66</v>
      </c>
      <c r="AK49" s="132" t="n">
        <f aca="false">IFERROR(IF(OR(9&gt;$B$3,ISBLANK(Actuals!K64)),"",(Budget!K64-Actuals!K64)/ABS(Budget!K64)),"")</f>
        <v>2</v>
      </c>
      <c r="AL49" s="131" t="n">
        <f aca="false">Budget!L64</f>
        <v>833.33</v>
      </c>
      <c r="AM49" s="131" t="str">
        <f aca="false">IF(OR(10&gt;$B$3,ISBLANK(Actuals!L64)),"",Actuals!L64)</f>
        <v/>
      </c>
      <c r="AN49" s="132" t="str">
        <f aca="false">IF(OR(10&gt;$B$3,ISBLANK(Actuals!L64)),"",Budget!L64-Actuals!L64)</f>
        <v/>
      </c>
      <c r="AO49" s="132" t="str">
        <f aca="false">IFERROR(IF(OR(10&gt;$B$3,ISBLANK(Actuals!L64)),"",(Budget!L64-Actuals!L64)/ABS(Budget!L64)),"")</f>
        <v/>
      </c>
      <c r="AP49" s="131" t="n">
        <f aca="false">Budget!M64</f>
        <v>833.33</v>
      </c>
      <c r="AQ49" s="131" t="str">
        <f aca="false">IF(OR(11&gt;$B$3,ISBLANK(Actuals!M64)),"",Actuals!M64)</f>
        <v/>
      </c>
      <c r="AR49" s="132" t="str">
        <f aca="false">IF(OR(11&gt;$B$3,ISBLANK(Actuals!M64)),"",Budget!M64-Actuals!M64)</f>
        <v/>
      </c>
      <c r="AS49" s="132" t="str">
        <f aca="false">IFERROR(IF(OR(11&gt;$B$3,ISBLANK(Actuals!M64)),"",(Budget!M64-Actuals!M64)/ABS(Budget!M64)),"")</f>
        <v/>
      </c>
      <c r="AT49" s="131" t="n">
        <f aca="false">Budget!N64</f>
        <v>833.33</v>
      </c>
      <c r="AU49" s="131" t="str">
        <f aca="false">IF(OR(12&gt;$B$3,ISBLANK(Actuals!N64)),"",Actuals!N64)</f>
        <v/>
      </c>
      <c r="AV49" s="132" t="str">
        <f aca="false">IF(OR(12&gt;$B$3,ISBLANK(Actuals!N64)),"",Budget!N64-Actuals!N64)</f>
        <v/>
      </c>
      <c r="AW49" s="132" t="str">
        <f aca="false">IFERROR(IF(OR(12&gt;$B$3,ISBLANK(Actuals!N64)),"",(Budget!N64-Actuals!N64)/ABS(Budget!N64)),"")</f>
        <v/>
      </c>
      <c r="AX49" s="133" t="n">
        <f aca="false">SUMPRODUCT((Actuals!C64:N64&lt;&gt;"")*(Budget!C64:N64))</f>
        <v>7499.97</v>
      </c>
      <c r="AY49" s="133" t="n">
        <f aca="false">SUM(Actuals!C64:N64)</f>
        <v>5833.31</v>
      </c>
      <c r="AZ49" s="134" t="n">
        <f aca="false">AX49-AY49</f>
        <v>1666.66</v>
      </c>
    </row>
    <row r="50" customFormat="false" ht="15" hidden="false" customHeight="true" outlineLevel="0" collapsed="false">
      <c r="A50" s="130" t="s">
        <v>102</v>
      </c>
      <c r="B50" s="131" t="n">
        <f aca="false">Budget!C65</f>
        <v>36538.46</v>
      </c>
      <c r="C50" s="131" t="n">
        <f aca="false">IF(OR(1&gt;$B$3,ISBLANK(Actuals!C65)),"",Actuals!C65)</f>
        <v>23906.25</v>
      </c>
      <c r="D50" s="132" t="n">
        <f aca="false">IF(OR(1&gt;$B$3,ISBLANK(Actuals!C65)),"",Budget!C65-Actuals!C65)</f>
        <v>12632.21</v>
      </c>
      <c r="E50" s="132" t="n">
        <f aca="false">IFERROR(IF(OR(1&gt;$B$3,ISBLANK(Actuals!C65)),"",(Budget!C65-Actuals!C65)/ABS(Budget!C65)),"")</f>
        <v>0.345723656662049</v>
      </c>
      <c r="F50" s="131" t="n">
        <f aca="false">Budget!D65</f>
        <v>36538.46</v>
      </c>
      <c r="G50" s="131" t="n">
        <f aca="false">IF(OR(2&gt;$B$3,ISBLANK(Actuals!D65)),"",Actuals!D65)</f>
        <v>23906.25</v>
      </c>
      <c r="H50" s="132" t="n">
        <f aca="false">IF(OR(2&gt;$B$3,ISBLANK(Actuals!D65)),"",Budget!D65-Actuals!D65)</f>
        <v>12632.21</v>
      </c>
      <c r="I50" s="132" t="n">
        <f aca="false">IFERROR(IF(OR(2&gt;$B$3,ISBLANK(Actuals!D65)),"",(Budget!D65-Actuals!D65)/ABS(Budget!D65)),"")</f>
        <v>0.345723656662049</v>
      </c>
      <c r="J50" s="131" t="n">
        <f aca="false">Budget!E65</f>
        <v>36538.46</v>
      </c>
      <c r="K50" s="131" t="n">
        <f aca="false">IF(OR(3&gt;$B$3,ISBLANK(Actuals!E65)),"",Actuals!E65)</f>
        <v>23906.25</v>
      </c>
      <c r="L50" s="132" t="n">
        <f aca="false">IF(OR(3&gt;$B$3,ISBLANK(Actuals!E65)),"",Budget!E65-Actuals!E65)</f>
        <v>12632.21</v>
      </c>
      <c r="M50" s="132" t="n">
        <f aca="false">IFERROR(IF(OR(3&gt;$B$3,ISBLANK(Actuals!E65)),"",(Budget!E65-Actuals!E65)/ABS(Budget!E65)),"")</f>
        <v>0.345723656662049</v>
      </c>
      <c r="N50" s="131" t="n">
        <f aca="false">Budget!F65</f>
        <v>36538.46</v>
      </c>
      <c r="O50" s="131" t="n">
        <f aca="false">IF(OR(4&gt;$B$3,ISBLANK(Actuals!F65)),"",Actuals!F65)</f>
        <v>23906.25</v>
      </c>
      <c r="P50" s="132" t="n">
        <f aca="false">IF(OR(4&gt;$B$3,ISBLANK(Actuals!F65)),"",Budget!F65-Actuals!F65)</f>
        <v>12632.21</v>
      </c>
      <c r="Q50" s="132" t="n">
        <f aca="false">IFERROR(IF(OR(4&gt;$B$3,ISBLANK(Actuals!F65)),"",(Budget!F65-Actuals!F65)/ABS(Budget!F65)),"")</f>
        <v>0.345723656662049</v>
      </c>
      <c r="R50" s="131" t="n">
        <f aca="false">Budget!G65</f>
        <v>36538.46</v>
      </c>
      <c r="S50" s="131" t="n">
        <f aca="false">IF(OR(5&gt;$B$3,ISBLANK(Actuals!G65)),"",Actuals!G65)</f>
        <v>23906.25</v>
      </c>
      <c r="T50" s="132" t="n">
        <f aca="false">IF(OR(5&gt;$B$3,ISBLANK(Actuals!G65)),"",Budget!G65-Actuals!G65)</f>
        <v>12632.21</v>
      </c>
      <c r="U50" s="132" t="n">
        <f aca="false">IFERROR(IF(OR(5&gt;$B$3,ISBLANK(Actuals!G65)),"",(Budget!G65-Actuals!G65)/ABS(Budget!G65)),"")</f>
        <v>0.345723656662049</v>
      </c>
      <c r="V50" s="131" t="n">
        <f aca="false">Budget!H65</f>
        <v>36538.46</v>
      </c>
      <c r="W50" s="131" t="n">
        <f aca="false">IF(OR(6&gt;$B$3,ISBLANK(Actuals!H65)),"",Actuals!H65)</f>
        <v>23906.25</v>
      </c>
      <c r="X50" s="132" t="n">
        <f aca="false">IF(OR(6&gt;$B$3,ISBLANK(Actuals!H65)),"",Budget!H65-Actuals!H65)</f>
        <v>12632.21</v>
      </c>
      <c r="Y50" s="132" t="n">
        <f aca="false">IFERROR(IF(OR(6&gt;$B$3,ISBLANK(Actuals!H65)),"",(Budget!H65-Actuals!H65)/ABS(Budget!H65)),"")</f>
        <v>0.345723656662049</v>
      </c>
      <c r="Z50" s="131" t="n">
        <f aca="false">Budget!I65</f>
        <v>36538.46</v>
      </c>
      <c r="AA50" s="131" t="n">
        <f aca="false">IF(OR(7&gt;$B$3,ISBLANK(Actuals!I65)),"",Actuals!I65)</f>
        <v>23906.25</v>
      </c>
      <c r="AB50" s="132" t="n">
        <f aca="false">IF(OR(7&gt;$B$3,ISBLANK(Actuals!I65)),"",Budget!I65-Actuals!I65)</f>
        <v>12632.21</v>
      </c>
      <c r="AC50" s="132" t="n">
        <f aca="false">IFERROR(IF(OR(7&gt;$B$3,ISBLANK(Actuals!I65)),"",(Budget!I65-Actuals!I65)/ABS(Budget!I65)),"")</f>
        <v>0.345723656662049</v>
      </c>
      <c r="AD50" s="131" t="n">
        <f aca="false">Budget!J65</f>
        <v>36538.46</v>
      </c>
      <c r="AE50" s="131" t="n">
        <f aca="false">IF(OR(8&gt;$B$3,ISBLANK(Actuals!J65)),"",Actuals!J65)</f>
        <v>23906.25</v>
      </c>
      <c r="AF50" s="132" t="n">
        <f aca="false">IF(OR(8&gt;$B$3,ISBLANK(Actuals!J65)),"",Budget!J65-Actuals!J65)</f>
        <v>12632.21</v>
      </c>
      <c r="AG50" s="132" t="n">
        <f aca="false">IFERROR(IF(OR(8&gt;$B$3,ISBLANK(Actuals!J65)),"",(Budget!J65-Actuals!J65)/ABS(Budget!J65)),"")</f>
        <v>0.345723656662049</v>
      </c>
      <c r="AH50" s="131" t="n">
        <f aca="false">Budget!K65</f>
        <v>36538.46</v>
      </c>
      <c r="AI50" s="131" t="n">
        <f aca="false">IF(OR(9&gt;$B$3,ISBLANK(Actuals!K65)),"",Actuals!K65)</f>
        <v>23906.25</v>
      </c>
      <c r="AJ50" s="132" t="n">
        <f aca="false">IF(OR(9&gt;$B$3,ISBLANK(Actuals!K65)),"",Budget!K65-Actuals!K65)</f>
        <v>12632.21</v>
      </c>
      <c r="AK50" s="132" t="n">
        <f aca="false">IFERROR(IF(OR(9&gt;$B$3,ISBLANK(Actuals!K65)),"",(Budget!K65-Actuals!K65)/ABS(Budget!K65)),"")</f>
        <v>0.345723656662049</v>
      </c>
      <c r="AL50" s="131" t="n">
        <f aca="false">Budget!L65</f>
        <v>36538.46</v>
      </c>
      <c r="AM50" s="131" t="str">
        <f aca="false">IF(OR(10&gt;$B$3,ISBLANK(Actuals!L65)),"",Actuals!L65)</f>
        <v/>
      </c>
      <c r="AN50" s="132" t="str">
        <f aca="false">IF(OR(10&gt;$B$3,ISBLANK(Actuals!L65)),"",Budget!L65-Actuals!L65)</f>
        <v/>
      </c>
      <c r="AO50" s="132" t="str">
        <f aca="false">IFERROR(IF(OR(10&gt;$B$3,ISBLANK(Actuals!L65)),"",(Budget!L65-Actuals!L65)/ABS(Budget!L65)),"")</f>
        <v/>
      </c>
      <c r="AP50" s="131" t="n">
        <f aca="false">Budget!M65</f>
        <v>36538.46</v>
      </c>
      <c r="AQ50" s="131" t="str">
        <f aca="false">IF(OR(11&gt;$B$3,ISBLANK(Actuals!M65)),"",Actuals!M65)</f>
        <v/>
      </c>
      <c r="AR50" s="132" t="str">
        <f aca="false">IF(OR(11&gt;$B$3,ISBLANK(Actuals!M65)),"",Budget!M65-Actuals!M65)</f>
        <v/>
      </c>
      <c r="AS50" s="132" t="str">
        <f aca="false">IFERROR(IF(OR(11&gt;$B$3,ISBLANK(Actuals!M65)),"",(Budget!M65-Actuals!M65)/ABS(Budget!M65)),"")</f>
        <v/>
      </c>
      <c r="AT50" s="131" t="n">
        <f aca="false">Budget!N65</f>
        <v>36538.46</v>
      </c>
      <c r="AU50" s="131" t="str">
        <f aca="false">IF(OR(12&gt;$B$3,ISBLANK(Actuals!N65)),"",Actuals!N65)</f>
        <v/>
      </c>
      <c r="AV50" s="132" t="str">
        <f aca="false">IF(OR(12&gt;$B$3,ISBLANK(Actuals!N65)),"",Budget!N65-Actuals!N65)</f>
        <v/>
      </c>
      <c r="AW50" s="132" t="str">
        <f aca="false">IFERROR(IF(OR(12&gt;$B$3,ISBLANK(Actuals!N65)),"",(Budget!N65-Actuals!N65)/ABS(Budget!N65)),"")</f>
        <v/>
      </c>
      <c r="AX50" s="133" t="n">
        <f aca="false">SUMPRODUCT((Actuals!C65:N65&lt;&gt;"")*(Budget!C65:N65))</f>
        <v>328846.14</v>
      </c>
      <c r="AY50" s="133" t="n">
        <f aca="false">SUM(Actuals!C65:N65)</f>
        <v>215156.25</v>
      </c>
      <c r="AZ50" s="134" t="n">
        <f aca="false">AX50-AY50</f>
        <v>113689.89</v>
      </c>
    </row>
    <row r="51" customFormat="false" ht="15" hidden="false" customHeight="true" outlineLevel="0" collapsed="false">
      <c r="A51" s="130" t="s">
        <v>103</v>
      </c>
      <c r="B51" s="131" t="n">
        <f aca="false">Budget!C66</f>
        <v>0</v>
      </c>
      <c r="C51" s="131" t="str">
        <f aca="false">IF(OR(1&gt;$B$3,ISBLANK(Actuals!C66)),"",Actuals!C66)</f>
        <v/>
      </c>
      <c r="D51" s="132" t="str">
        <f aca="false">IF(OR(1&gt;$B$3,ISBLANK(Actuals!C66)),"",Budget!C66-Actuals!C66)</f>
        <v/>
      </c>
      <c r="E51" s="132" t="str">
        <f aca="false">IFERROR(IF(OR(1&gt;$B$3,ISBLANK(Actuals!C66)),"",(Budget!C66-Actuals!C66)/ABS(Budget!C66)),"")</f>
        <v/>
      </c>
      <c r="F51" s="131" t="n">
        <f aca="false">Budget!D66</f>
        <v>0</v>
      </c>
      <c r="G51" s="131" t="str">
        <f aca="false">IF(OR(2&gt;$B$3,ISBLANK(Actuals!D66)),"",Actuals!D66)</f>
        <v/>
      </c>
      <c r="H51" s="132" t="str">
        <f aca="false">IF(OR(2&gt;$B$3,ISBLANK(Actuals!D66)),"",Budget!D66-Actuals!D66)</f>
        <v/>
      </c>
      <c r="I51" s="132" t="str">
        <f aca="false">IFERROR(IF(OR(2&gt;$B$3,ISBLANK(Actuals!D66)),"",(Budget!D66-Actuals!D66)/ABS(Budget!D66)),"")</f>
        <v/>
      </c>
      <c r="J51" s="131" t="n">
        <f aca="false">Budget!E66</f>
        <v>0</v>
      </c>
      <c r="K51" s="131" t="str">
        <f aca="false">IF(OR(3&gt;$B$3,ISBLANK(Actuals!E66)),"",Actuals!E66)</f>
        <v/>
      </c>
      <c r="L51" s="132" t="str">
        <f aca="false">IF(OR(3&gt;$B$3,ISBLANK(Actuals!E66)),"",Budget!E66-Actuals!E66)</f>
        <v/>
      </c>
      <c r="M51" s="132" t="str">
        <f aca="false">IFERROR(IF(OR(3&gt;$B$3,ISBLANK(Actuals!E66)),"",(Budget!E66-Actuals!E66)/ABS(Budget!E66)),"")</f>
        <v/>
      </c>
      <c r="N51" s="131" t="n">
        <f aca="false">Budget!F66</f>
        <v>0</v>
      </c>
      <c r="O51" s="131" t="str">
        <f aca="false">IF(OR(4&gt;$B$3,ISBLANK(Actuals!F66)),"",Actuals!F66)</f>
        <v/>
      </c>
      <c r="P51" s="132" t="str">
        <f aca="false">IF(OR(4&gt;$B$3,ISBLANK(Actuals!F66)),"",Budget!F66-Actuals!F66)</f>
        <v/>
      </c>
      <c r="Q51" s="132" t="str">
        <f aca="false">IFERROR(IF(OR(4&gt;$B$3,ISBLANK(Actuals!F66)),"",(Budget!F66-Actuals!F66)/ABS(Budget!F66)),"")</f>
        <v/>
      </c>
      <c r="R51" s="131" t="n">
        <f aca="false">Budget!G66</f>
        <v>0</v>
      </c>
      <c r="S51" s="131" t="str">
        <f aca="false">IF(OR(5&gt;$B$3,ISBLANK(Actuals!G66)),"",Actuals!G66)</f>
        <v/>
      </c>
      <c r="T51" s="132" t="str">
        <f aca="false">IF(OR(5&gt;$B$3,ISBLANK(Actuals!G66)),"",Budget!G66-Actuals!G66)</f>
        <v/>
      </c>
      <c r="U51" s="132" t="str">
        <f aca="false">IFERROR(IF(OR(5&gt;$B$3,ISBLANK(Actuals!G66)),"",(Budget!G66-Actuals!G66)/ABS(Budget!G66)),"")</f>
        <v/>
      </c>
      <c r="V51" s="131" t="n">
        <f aca="false">Budget!H66</f>
        <v>0</v>
      </c>
      <c r="W51" s="131" t="str">
        <f aca="false">IF(OR(6&gt;$B$3,ISBLANK(Actuals!H66)),"",Actuals!H66)</f>
        <v/>
      </c>
      <c r="X51" s="132" t="str">
        <f aca="false">IF(OR(6&gt;$B$3,ISBLANK(Actuals!H66)),"",Budget!H66-Actuals!H66)</f>
        <v/>
      </c>
      <c r="Y51" s="132" t="str">
        <f aca="false">IFERROR(IF(OR(6&gt;$B$3,ISBLANK(Actuals!H66)),"",(Budget!H66-Actuals!H66)/ABS(Budget!H66)),"")</f>
        <v/>
      </c>
      <c r="Z51" s="131" t="n">
        <f aca="false">Budget!I66</f>
        <v>0</v>
      </c>
      <c r="AA51" s="131" t="str">
        <f aca="false">IF(OR(7&gt;$B$3,ISBLANK(Actuals!I66)),"",Actuals!I66)</f>
        <v/>
      </c>
      <c r="AB51" s="132" t="str">
        <f aca="false">IF(OR(7&gt;$B$3,ISBLANK(Actuals!I66)),"",Budget!I66-Actuals!I66)</f>
        <v/>
      </c>
      <c r="AC51" s="132" t="str">
        <f aca="false">IFERROR(IF(OR(7&gt;$B$3,ISBLANK(Actuals!I66)),"",(Budget!I66-Actuals!I66)/ABS(Budget!I66)),"")</f>
        <v/>
      </c>
      <c r="AD51" s="131" t="n">
        <f aca="false">Budget!J66</f>
        <v>0</v>
      </c>
      <c r="AE51" s="131" t="str">
        <f aca="false">IF(OR(8&gt;$B$3,ISBLANK(Actuals!J66)),"",Actuals!J66)</f>
        <v/>
      </c>
      <c r="AF51" s="132" t="str">
        <f aca="false">IF(OR(8&gt;$B$3,ISBLANK(Actuals!J66)),"",Budget!J66-Actuals!J66)</f>
        <v/>
      </c>
      <c r="AG51" s="132" t="str">
        <f aca="false">IFERROR(IF(OR(8&gt;$B$3,ISBLANK(Actuals!J66)),"",(Budget!J66-Actuals!J66)/ABS(Budget!J66)),"")</f>
        <v/>
      </c>
      <c r="AH51" s="131" t="n">
        <f aca="false">Budget!K66</f>
        <v>0</v>
      </c>
      <c r="AI51" s="131" t="str">
        <f aca="false">IF(OR(9&gt;$B$3,ISBLANK(Actuals!K66)),"",Actuals!K66)</f>
        <v/>
      </c>
      <c r="AJ51" s="132" t="str">
        <f aca="false">IF(OR(9&gt;$B$3,ISBLANK(Actuals!K66)),"",Budget!K66-Actuals!K66)</f>
        <v/>
      </c>
      <c r="AK51" s="132" t="str">
        <f aca="false">IFERROR(IF(OR(9&gt;$B$3,ISBLANK(Actuals!K66)),"",(Budget!K66-Actuals!K66)/ABS(Budget!K66)),"")</f>
        <v/>
      </c>
      <c r="AL51" s="131" t="n">
        <f aca="false">Budget!L66</f>
        <v>0</v>
      </c>
      <c r="AM51" s="131" t="str">
        <f aca="false">IF(OR(10&gt;$B$3,ISBLANK(Actuals!L66)),"",Actuals!L66)</f>
        <v/>
      </c>
      <c r="AN51" s="132" t="str">
        <f aca="false">IF(OR(10&gt;$B$3,ISBLANK(Actuals!L66)),"",Budget!L66-Actuals!L66)</f>
        <v/>
      </c>
      <c r="AO51" s="132" t="str">
        <f aca="false">IFERROR(IF(OR(10&gt;$B$3,ISBLANK(Actuals!L66)),"",(Budget!L66-Actuals!L66)/ABS(Budget!L66)),"")</f>
        <v/>
      </c>
      <c r="AP51" s="131" t="n">
        <f aca="false">Budget!M66</f>
        <v>0</v>
      </c>
      <c r="AQ51" s="131" t="str">
        <f aca="false">IF(OR(11&gt;$B$3,ISBLANK(Actuals!M66)),"",Actuals!M66)</f>
        <v/>
      </c>
      <c r="AR51" s="132" t="str">
        <f aca="false">IF(OR(11&gt;$B$3,ISBLANK(Actuals!M66)),"",Budget!M66-Actuals!M66)</f>
        <v/>
      </c>
      <c r="AS51" s="132" t="str">
        <f aca="false">IFERROR(IF(OR(11&gt;$B$3,ISBLANK(Actuals!M66)),"",(Budget!M66-Actuals!M66)/ABS(Budget!M66)),"")</f>
        <v/>
      </c>
      <c r="AT51" s="131" t="n">
        <f aca="false">Budget!N66</f>
        <v>0</v>
      </c>
      <c r="AU51" s="131" t="str">
        <f aca="false">IF(OR(12&gt;$B$3,ISBLANK(Actuals!N66)),"",Actuals!N66)</f>
        <v/>
      </c>
      <c r="AV51" s="132" t="str">
        <f aca="false">IF(OR(12&gt;$B$3,ISBLANK(Actuals!N66)),"",Budget!N66-Actuals!N66)</f>
        <v/>
      </c>
      <c r="AW51" s="132" t="str">
        <f aca="false">IFERROR(IF(OR(12&gt;$B$3,ISBLANK(Actuals!N66)),"",(Budget!N66-Actuals!N66)/ABS(Budget!N66)),"")</f>
        <v/>
      </c>
      <c r="AX51" s="133" t="n">
        <f aca="false">SUMPRODUCT((Actuals!C66:N66&lt;&gt;"")*(Budget!C66:N66))</f>
        <v>0</v>
      </c>
      <c r="AY51" s="133" t="n">
        <f aca="false">SUM(Actuals!C66:N66)</f>
        <v>0</v>
      </c>
      <c r="AZ51" s="134" t="n">
        <f aca="false">AX51-AY51</f>
        <v>0</v>
      </c>
    </row>
    <row r="52" customFormat="false" ht="15" hidden="false" customHeight="true" outlineLevel="0" collapsed="false">
      <c r="A52" s="130" t="s">
        <v>104</v>
      </c>
      <c r="B52" s="131" t="n">
        <f aca="false">Budget!C67</f>
        <v>0</v>
      </c>
      <c r="C52" s="131" t="str">
        <f aca="false">IF(OR(1&gt;$B$3,ISBLANK(Actuals!C67)),"",Actuals!C67)</f>
        <v/>
      </c>
      <c r="D52" s="132" t="str">
        <f aca="false">IF(OR(1&gt;$B$3,ISBLANK(Actuals!C67)),"",Budget!C67-Actuals!C67)</f>
        <v/>
      </c>
      <c r="E52" s="132" t="str">
        <f aca="false">IFERROR(IF(OR(1&gt;$B$3,ISBLANK(Actuals!C67)),"",(Budget!C67-Actuals!C67)/ABS(Budget!C67)),"")</f>
        <v/>
      </c>
      <c r="F52" s="131" t="n">
        <f aca="false">Budget!D67</f>
        <v>0</v>
      </c>
      <c r="G52" s="131" t="str">
        <f aca="false">IF(OR(2&gt;$B$3,ISBLANK(Actuals!D67)),"",Actuals!D67)</f>
        <v/>
      </c>
      <c r="H52" s="132" t="str">
        <f aca="false">IF(OR(2&gt;$B$3,ISBLANK(Actuals!D67)),"",Budget!D67-Actuals!D67)</f>
        <v/>
      </c>
      <c r="I52" s="132" t="str">
        <f aca="false">IFERROR(IF(OR(2&gt;$B$3,ISBLANK(Actuals!D67)),"",(Budget!D67-Actuals!D67)/ABS(Budget!D67)),"")</f>
        <v/>
      </c>
      <c r="J52" s="131" t="n">
        <f aca="false">Budget!E67</f>
        <v>0</v>
      </c>
      <c r="K52" s="131" t="str">
        <f aca="false">IF(OR(3&gt;$B$3,ISBLANK(Actuals!E67)),"",Actuals!E67)</f>
        <v/>
      </c>
      <c r="L52" s="132" t="str">
        <f aca="false">IF(OR(3&gt;$B$3,ISBLANK(Actuals!E67)),"",Budget!E67-Actuals!E67)</f>
        <v/>
      </c>
      <c r="M52" s="132" t="str">
        <f aca="false">IFERROR(IF(OR(3&gt;$B$3,ISBLANK(Actuals!E67)),"",(Budget!E67-Actuals!E67)/ABS(Budget!E67)),"")</f>
        <v/>
      </c>
      <c r="N52" s="131" t="n">
        <f aca="false">Budget!F67</f>
        <v>0</v>
      </c>
      <c r="O52" s="131" t="str">
        <f aca="false">IF(OR(4&gt;$B$3,ISBLANK(Actuals!F67)),"",Actuals!F67)</f>
        <v/>
      </c>
      <c r="P52" s="132" t="str">
        <f aca="false">IF(OR(4&gt;$B$3,ISBLANK(Actuals!F67)),"",Budget!F67-Actuals!F67)</f>
        <v/>
      </c>
      <c r="Q52" s="132" t="str">
        <f aca="false">IFERROR(IF(OR(4&gt;$B$3,ISBLANK(Actuals!F67)),"",(Budget!F67-Actuals!F67)/ABS(Budget!F67)),"")</f>
        <v/>
      </c>
      <c r="R52" s="131" t="n">
        <f aca="false">Budget!G67</f>
        <v>0</v>
      </c>
      <c r="S52" s="131" t="str">
        <f aca="false">IF(OR(5&gt;$B$3,ISBLANK(Actuals!G67)),"",Actuals!G67)</f>
        <v/>
      </c>
      <c r="T52" s="132" t="str">
        <f aca="false">IF(OR(5&gt;$B$3,ISBLANK(Actuals!G67)),"",Budget!G67-Actuals!G67)</f>
        <v/>
      </c>
      <c r="U52" s="132" t="str">
        <f aca="false">IFERROR(IF(OR(5&gt;$B$3,ISBLANK(Actuals!G67)),"",(Budget!G67-Actuals!G67)/ABS(Budget!G67)),"")</f>
        <v/>
      </c>
      <c r="V52" s="131" t="n">
        <f aca="false">Budget!H67</f>
        <v>0</v>
      </c>
      <c r="W52" s="131" t="str">
        <f aca="false">IF(OR(6&gt;$B$3,ISBLANK(Actuals!H67)),"",Actuals!H67)</f>
        <v/>
      </c>
      <c r="X52" s="132" t="str">
        <f aca="false">IF(OR(6&gt;$B$3,ISBLANK(Actuals!H67)),"",Budget!H67-Actuals!H67)</f>
        <v/>
      </c>
      <c r="Y52" s="132" t="str">
        <f aca="false">IFERROR(IF(OR(6&gt;$B$3,ISBLANK(Actuals!H67)),"",(Budget!H67-Actuals!H67)/ABS(Budget!H67)),"")</f>
        <v/>
      </c>
      <c r="Z52" s="131" t="n">
        <f aca="false">Budget!I67</f>
        <v>0</v>
      </c>
      <c r="AA52" s="131" t="str">
        <f aca="false">IF(OR(7&gt;$B$3,ISBLANK(Actuals!I67)),"",Actuals!I67)</f>
        <v/>
      </c>
      <c r="AB52" s="132" t="str">
        <f aca="false">IF(OR(7&gt;$B$3,ISBLANK(Actuals!I67)),"",Budget!I67-Actuals!I67)</f>
        <v/>
      </c>
      <c r="AC52" s="132" t="str">
        <f aca="false">IFERROR(IF(OR(7&gt;$B$3,ISBLANK(Actuals!I67)),"",(Budget!I67-Actuals!I67)/ABS(Budget!I67)),"")</f>
        <v/>
      </c>
      <c r="AD52" s="131" t="n">
        <f aca="false">Budget!J67</f>
        <v>0</v>
      </c>
      <c r="AE52" s="131" t="str">
        <f aca="false">IF(OR(8&gt;$B$3,ISBLANK(Actuals!J67)),"",Actuals!J67)</f>
        <v/>
      </c>
      <c r="AF52" s="132" t="str">
        <f aca="false">IF(OR(8&gt;$B$3,ISBLANK(Actuals!J67)),"",Budget!J67-Actuals!J67)</f>
        <v/>
      </c>
      <c r="AG52" s="132" t="str">
        <f aca="false">IFERROR(IF(OR(8&gt;$B$3,ISBLANK(Actuals!J67)),"",(Budget!J67-Actuals!J67)/ABS(Budget!J67)),"")</f>
        <v/>
      </c>
      <c r="AH52" s="131" t="n">
        <f aca="false">Budget!K67</f>
        <v>0</v>
      </c>
      <c r="AI52" s="131" t="str">
        <f aca="false">IF(OR(9&gt;$B$3,ISBLANK(Actuals!K67)),"",Actuals!K67)</f>
        <v/>
      </c>
      <c r="AJ52" s="132" t="str">
        <f aca="false">IF(OR(9&gt;$B$3,ISBLANK(Actuals!K67)),"",Budget!K67-Actuals!K67)</f>
        <v/>
      </c>
      <c r="AK52" s="132" t="str">
        <f aca="false">IFERROR(IF(OR(9&gt;$B$3,ISBLANK(Actuals!K67)),"",(Budget!K67-Actuals!K67)/ABS(Budget!K67)),"")</f>
        <v/>
      </c>
      <c r="AL52" s="131" t="n">
        <f aca="false">Budget!L67</f>
        <v>0</v>
      </c>
      <c r="AM52" s="131" t="str">
        <f aca="false">IF(OR(10&gt;$B$3,ISBLANK(Actuals!L67)),"",Actuals!L67)</f>
        <v/>
      </c>
      <c r="AN52" s="132" t="str">
        <f aca="false">IF(OR(10&gt;$B$3,ISBLANK(Actuals!L67)),"",Budget!L67-Actuals!L67)</f>
        <v/>
      </c>
      <c r="AO52" s="132" t="str">
        <f aca="false">IFERROR(IF(OR(10&gt;$B$3,ISBLANK(Actuals!L67)),"",(Budget!L67-Actuals!L67)/ABS(Budget!L67)),"")</f>
        <v/>
      </c>
      <c r="AP52" s="131" t="n">
        <f aca="false">Budget!M67</f>
        <v>0</v>
      </c>
      <c r="AQ52" s="131" t="str">
        <f aca="false">IF(OR(11&gt;$B$3,ISBLANK(Actuals!M67)),"",Actuals!M67)</f>
        <v/>
      </c>
      <c r="AR52" s="132" t="str">
        <f aca="false">IF(OR(11&gt;$B$3,ISBLANK(Actuals!M67)),"",Budget!M67-Actuals!M67)</f>
        <v/>
      </c>
      <c r="AS52" s="132" t="str">
        <f aca="false">IFERROR(IF(OR(11&gt;$B$3,ISBLANK(Actuals!M67)),"",(Budget!M67-Actuals!M67)/ABS(Budget!M67)),"")</f>
        <v/>
      </c>
      <c r="AT52" s="131" t="n">
        <f aca="false">Budget!N67</f>
        <v>0</v>
      </c>
      <c r="AU52" s="131" t="str">
        <f aca="false">IF(OR(12&gt;$B$3,ISBLANK(Actuals!N67)),"",Actuals!N67)</f>
        <v/>
      </c>
      <c r="AV52" s="132" t="str">
        <f aca="false">IF(OR(12&gt;$B$3,ISBLANK(Actuals!N67)),"",Budget!N67-Actuals!N67)</f>
        <v/>
      </c>
      <c r="AW52" s="132" t="str">
        <f aca="false">IFERROR(IF(OR(12&gt;$B$3,ISBLANK(Actuals!N67)),"",(Budget!N67-Actuals!N67)/ABS(Budget!N67)),"")</f>
        <v/>
      </c>
      <c r="AX52" s="133" t="n">
        <f aca="false">SUMPRODUCT((Actuals!C67:N67&lt;&gt;"")*(Budget!C67:N67))</f>
        <v>0</v>
      </c>
      <c r="AY52" s="133" t="n">
        <f aca="false">SUM(Actuals!C67:N67)</f>
        <v>0</v>
      </c>
      <c r="AZ52" s="134" t="n">
        <f aca="false">AX52-AY52</f>
        <v>0</v>
      </c>
    </row>
    <row r="53" customFormat="false" ht="15" hidden="false" customHeight="true" outlineLevel="0" collapsed="false">
      <c r="A53" s="130" t="s">
        <v>105</v>
      </c>
      <c r="B53" s="131" t="n">
        <f aca="false">Budget!C68</f>
        <v>0</v>
      </c>
      <c r="C53" s="131" t="str">
        <f aca="false">IF(OR(1&gt;$B$3,ISBLANK(Actuals!C68)),"",Actuals!C68)</f>
        <v/>
      </c>
      <c r="D53" s="132" t="str">
        <f aca="false">IF(OR(1&gt;$B$3,ISBLANK(Actuals!C68)),"",Budget!C68-Actuals!C68)</f>
        <v/>
      </c>
      <c r="E53" s="132" t="str">
        <f aca="false">IFERROR(IF(OR(1&gt;$B$3,ISBLANK(Actuals!C68)),"",(Budget!C68-Actuals!C68)/ABS(Budget!C68)),"")</f>
        <v/>
      </c>
      <c r="F53" s="131" t="n">
        <f aca="false">Budget!D68</f>
        <v>0</v>
      </c>
      <c r="G53" s="131" t="str">
        <f aca="false">IF(OR(2&gt;$B$3,ISBLANK(Actuals!D68)),"",Actuals!D68)</f>
        <v/>
      </c>
      <c r="H53" s="132" t="str">
        <f aca="false">IF(OR(2&gt;$B$3,ISBLANK(Actuals!D68)),"",Budget!D68-Actuals!D68)</f>
        <v/>
      </c>
      <c r="I53" s="132" t="str">
        <f aca="false">IFERROR(IF(OR(2&gt;$B$3,ISBLANK(Actuals!D68)),"",(Budget!D68-Actuals!D68)/ABS(Budget!D68)),"")</f>
        <v/>
      </c>
      <c r="J53" s="131" t="n">
        <f aca="false">Budget!E68</f>
        <v>0</v>
      </c>
      <c r="K53" s="131" t="str">
        <f aca="false">IF(OR(3&gt;$B$3,ISBLANK(Actuals!E68)),"",Actuals!E68)</f>
        <v/>
      </c>
      <c r="L53" s="132" t="str">
        <f aca="false">IF(OR(3&gt;$B$3,ISBLANK(Actuals!E68)),"",Budget!E68-Actuals!E68)</f>
        <v/>
      </c>
      <c r="M53" s="132" t="str">
        <f aca="false">IFERROR(IF(OR(3&gt;$B$3,ISBLANK(Actuals!E68)),"",(Budget!E68-Actuals!E68)/ABS(Budget!E68)),"")</f>
        <v/>
      </c>
      <c r="N53" s="131" t="n">
        <f aca="false">Budget!F68</f>
        <v>0</v>
      </c>
      <c r="O53" s="131" t="str">
        <f aca="false">IF(OR(4&gt;$B$3,ISBLANK(Actuals!F68)),"",Actuals!F68)</f>
        <v/>
      </c>
      <c r="P53" s="132" t="str">
        <f aca="false">IF(OR(4&gt;$B$3,ISBLANK(Actuals!F68)),"",Budget!F68-Actuals!F68)</f>
        <v/>
      </c>
      <c r="Q53" s="132" t="str">
        <f aca="false">IFERROR(IF(OR(4&gt;$B$3,ISBLANK(Actuals!F68)),"",(Budget!F68-Actuals!F68)/ABS(Budget!F68)),"")</f>
        <v/>
      </c>
      <c r="R53" s="131" t="n">
        <f aca="false">Budget!G68</f>
        <v>0</v>
      </c>
      <c r="S53" s="131" t="str">
        <f aca="false">IF(OR(5&gt;$B$3,ISBLANK(Actuals!G68)),"",Actuals!G68)</f>
        <v/>
      </c>
      <c r="T53" s="132" t="str">
        <f aca="false">IF(OR(5&gt;$B$3,ISBLANK(Actuals!G68)),"",Budget!G68-Actuals!G68)</f>
        <v/>
      </c>
      <c r="U53" s="132" t="str">
        <f aca="false">IFERROR(IF(OR(5&gt;$B$3,ISBLANK(Actuals!G68)),"",(Budget!G68-Actuals!G68)/ABS(Budget!G68)),"")</f>
        <v/>
      </c>
      <c r="V53" s="131" t="n">
        <f aca="false">Budget!H68</f>
        <v>0</v>
      </c>
      <c r="W53" s="131" t="str">
        <f aca="false">IF(OR(6&gt;$B$3,ISBLANK(Actuals!H68)),"",Actuals!H68)</f>
        <v/>
      </c>
      <c r="X53" s="132" t="str">
        <f aca="false">IF(OR(6&gt;$B$3,ISBLANK(Actuals!H68)),"",Budget!H68-Actuals!H68)</f>
        <v/>
      </c>
      <c r="Y53" s="132" t="str">
        <f aca="false">IFERROR(IF(OR(6&gt;$B$3,ISBLANK(Actuals!H68)),"",(Budget!H68-Actuals!H68)/ABS(Budget!H68)),"")</f>
        <v/>
      </c>
      <c r="Z53" s="131" t="n">
        <f aca="false">Budget!I68</f>
        <v>0</v>
      </c>
      <c r="AA53" s="131" t="str">
        <f aca="false">IF(OR(7&gt;$B$3,ISBLANK(Actuals!I68)),"",Actuals!I68)</f>
        <v/>
      </c>
      <c r="AB53" s="132" t="str">
        <f aca="false">IF(OR(7&gt;$B$3,ISBLANK(Actuals!I68)),"",Budget!I68-Actuals!I68)</f>
        <v/>
      </c>
      <c r="AC53" s="132" t="str">
        <f aca="false">IFERROR(IF(OR(7&gt;$B$3,ISBLANK(Actuals!I68)),"",(Budget!I68-Actuals!I68)/ABS(Budget!I68)),"")</f>
        <v/>
      </c>
      <c r="AD53" s="131" t="n">
        <f aca="false">Budget!J68</f>
        <v>0</v>
      </c>
      <c r="AE53" s="131" t="str">
        <f aca="false">IF(OR(8&gt;$B$3,ISBLANK(Actuals!J68)),"",Actuals!J68)</f>
        <v/>
      </c>
      <c r="AF53" s="132" t="str">
        <f aca="false">IF(OR(8&gt;$B$3,ISBLANK(Actuals!J68)),"",Budget!J68-Actuals!J68)</f>
        <v/>
      </c>
      <c r="AG53" s="132" t="str">
        <f aca="false">IFERROR(IF(OR(8&gt;$B$3,ISBLANK(Actuals!J68)),"",(Budget!J68-Actuals!J68)/ABS(Budget!J68)),"")</f>
        <v/>
      </c>
      <c r="AH53" s="131" t="n">
        <f aca="false">Budget!K68</f>
        <v>0</v>
      </c>
      <c r="AI53" s="131" t="str">
        <f aca="false">IF(OR(9&gt;$B$3,ISBLANK(Actuals!K68)),"",Actuals!K68)</f>
        <v/>
      </c>
      <c r="AJ53" s="132" t="str">
        <f aca="false">IF(OR(9&gt;$B$3,ISBLANK(Actuals!K68)),"",Budget!K68-Actuals!K68)</f>
        <v/>
      </c>
      <c r="AK53" s="132" t="str">
        <f aca="false">IFERROR(IF(OR(9&gt;$B$3,ISBLANK(Actuals!K68)),"",(Budget!K68-Actuals!K68)/ABS(Budget!K68)),"")</f>
        <v/>
      </c>
      <c r="AL53" s="131" t="n">
        <f aca="false">Budget!L68</f>
        <v>0</v>
      </c>
      <c r="AM53" s="131" t="str">
        <f aca="false">IF(OR(10&gt;$B$3,ISBLANK(Actuals!L68)),"",Actuals!L68)</f>
        <v/>
      </c>
      <c r="AN53" s="132" t="str">
        <f aca="false">IF(OR(10&gt;$B$3,ISBLANK(Actuals!L68)),"",Budget!L68-Actuals!L68)</f>
        <v/>
      </c>
      <c r="AO53" s="132" t="str">
        <f aca="false">IFERROR(IF(OR(10&gt;$B$3,ISBLANK(Actuals!L68)),"",(Budget!L68-Actuals!L68)/ABS(Budget!L68)),"")</f>
        <v/>
      </c>
      <c r="AP53" s="131" t="n">
        <f aca="false">Budget!M68</f>
        <v>0</v>
      </c>
      <c r="AQ53" s="131" t="str">
        <f aca="false">IF(OR(11&gt;$B$3,ISBLANK(Actuals!M68)),"",Actuals!M68)</f>
        <v/>
      </c>
      <c r="AR53" s="132" t="str">
        <f aca="false">IF(OR(11&gt;$B$3,ISBLANK(Actuals!M68)),"",Budget!M68-Actuals!M68)</f>
        <v/>
      </c>
      <c r="AS53" s="132" t="str">
        <f aca="false">IFERROR(IF(OR(11&gt;$B$3,ISBLANK(Actuals!M68)),"",(Budget!M68-Actuals!M68)/ABS(Budget!M68)),"")</f>
        <v/>
      </c>
      <c r="AT53" s="131" t="n">
        <f aca="false">Budget!N68</f>
        <v>0</v>
      </c>
      <c r="AU53" s="131" t="str">
        <f aca="false">IF(OR(12&gt;$B$3,ISBLANK(Actuals!N68)),"",Actuals!N68)</f>
        <v/>
      </c>
      <c r="AV53" s="132" t="str">
        <f aca="false">IF(OR(12&gt;$B$3,ISBLANK(Actuals!N68)),"",Budget!N68-Actuals!N68)</f>
        <v/>
      </c>
      <c r="AW53" s="132" t="str">
        <f aca="false">IFERROR(IF(OR(12&gt;$B$3,ISBLANK(Actuals!N68)),"",(Budget!N68-Actuals!N68)/ABS(Budget!N68)),"")</f>
        <v/>
      </c>
      <c r="AX53" s="133" t="n">
        <f aca="false">SUMPRODUCT((Actuals!C68:N68&lt;&gt;"")*(Budget!C68:N68))</f>
        <v>0</v>
      </c>
      <c r="AY53" s="133" t="n">
        <f aca="false">SUM(Actuals!C68:N68)</f>
        <v>0</v>
      </c>
      <c r="AZ53" s="134" t="n">
        <f aca="false">AX53-AY53</f>
        <v>0</v>
      </c>
    </row>
    <row r="54" customFormat="false" ht="15" hidden="false" customHeight="true" outlineLevel="0" collapsed="false">
      <c r="A54" s="130" t="s">
        <v>106</v>
      </c>
      <c r="B54" s="131" t="n">
        <f aca="false">Budget!C69</f>
        <v>10227.27</v>
      </c>
      <c r="C54" s="131" t="n">
        <f aca="false">IF(OR(1&gt;$B$3,ISBLANK(Actuals!C69)),"",Actuals!C69)</f>
        <v>9375</v>
      </c>
      <c r="D54" s="132" t="n">
        <f aca="false">IF(OR(1&gt;$B$3,ISBLANK(Actuals!C69)),"",Budget!C69-Actuals!C69)</f>
        <v>852.27</v>
      </c>
      <c r="E54" s="132" t="n">
        <f aca="false">IFERROR(IF(OR(1&gt;$B$3,ISBLANK(Actuals!C69)),"",(Budget!C69-Actuals!C69)/ABS(Budget!C69)),"")</f>
        <v>0.0833330888888237</v>
      </c>
      <c r="F54" s="131" t="n">
        <f aca="false">Budget!D69</f>
        <v>10227.27</v>
      </c>
      <c r="G54" s="131" t="n">
        <f aca="false">IF(OR(2&gt;$B$3,ISBLANK(Actuals!D69)),"",Actuals!D69)</f>
        <v>9375</v>
      </c>
      <c r="H54" s="132" t="n">
        <f aca="false">IF(OR(2&gt;$B$3,ISBLANK(Actuals!D69)),"",Budget!D69-Actuals!D69)</f>
        <v>852.27</v>
      </c>
      <c r="I54" s="132" t="n">
        <f aca="false">IFERROR(IF(OR(2&gt;$B$3,ISBLANK(Actuals!D69)),"",(Budget!D69-Actuals!D69)/ABS(Budget!D69)),"")</f>
        <v>0.0833330888888237</v>
      </c>
      <c r="J54" s="131" t="n">
        <f aca="false">Budget!E69</f>
        <v>10227.27</v>
      </c>
      <c r="K54" s="131" t="n">
        <f aca="false">IF(OR(3&gt;$B$3,ISBLANK(Actuals!E69)),"",Actuals!E69)</f>
        <v>9375</v>
      </c>
      <c r="L54" s="132" t="n">
        <f aca="false">IF(OR(3&gt;$B$3,ISBLANK(Actuals!E69)),"",Budget!E69-Actuals!E69)</f>
        <v>852.27</v>
      </c>
      <c r="M54" s="132" t="n">
        <f aca="false">IFERROR(IF(OR(3&gt;$B$3,ISBLANK(Actuals!E69)),"",(Budget!E69-Actuals!E69)/ABS(Budget!E69)),"")</f>
        <v>0.0833330888888237</v>
      </c>
      <c r="N54" s="131" t="n">
        <f aca="false">Budget!F69</f>
        <v>10227.27</v>
      </c>
      <c r="O54" s="131" t="n">
        <f aca="false">IF(OR(4&gt;$B$3,ISBLANK(Actuals!F69)),"",Actuals!F69)</f>
        <v>9375</v>
      </c>
      <c r="P54" s="132" t="n">
        <f aca="false">IF(OR(4&gt;$B$3,ISBLANK(Actuals!F69)),"",Budget!F69-Actuals!F69)</f>
        <v>852.27</v>
      </c>
      <c r="Q54" s="132" t="n">
        <f aca="false">IFERROR(IF(OR(4&gt;$B$3,ISBLANK(Actuals!F69)),"",(Budget!F69-Actuals!F69)/ABS(Budget!F69)),"")</f>
        <v>0.0833330888888237</v>
      </c>
      <c r="R54" s="131" t="n">
        <f aca="false">Budget!G69</f>
        <v>10227.27</v>
      </c>
      <c r="S54" s="131" t="n">
        <f aca="false">IF(OR(5&gt;$B$3,ISBLANK(Actuals!G69)),"",Actuals!G69)</f>
        <v>9375</v>
      </c>
      <c r="T54" s="132" t="n">
        <f aca="false">IF(OR(5&gt;$B$3,ISBLANK(Actuals!G69)),"",Budget!G69-Actuals!G69)</f>
        <v>852.27</v>
      </c>
      <c r="U54" s="132" t="n">
        <f aca="false">IFERROR(IF(OR(5&gt;$B$3,ISBLANK(Actuals!G69)),"",(Budget!G69-Actuals!G69)/ABS(Budget!G69)),"")</f>
        <v>0.0833330888888237</v>
      </c>
      <c r="V54" s="131" t="n">
        <f aca="false">Budget!H69</f>
        <v>10227.27</v>
      </c>
      <c r="W54" s="131" t="n">
        <f aca="false">IF(OR(6&gt;$B$3,ISBLANK(Actuals!H69)),"",Actuals!H69)</f>
        <v>9375</v>
      </c>
      <c r="X54" s="132" t="n">
        <f aca="false">IF(OR(6&gt;$B$3,ISBLANK(Actuals!H69)),"",Budget!H69-Actuals!H69)</f>
        <v>852.27</v>
      </c>
      <c r="Y54" s="132" t="n">
        <f aca="false">IFERROR(IF(OR(6&gt;$B$3,ISBLANK(Actuals!H69)),"",(Budget!H69-Actuals!H69)/ABS(Budget!H69)),"")</f>
        <v>0.0833330888888237</v>
      </c>
      <c r="Z54" s="131" t="n">
        <f aca="false">Budget!I69</f>
        <v>10227.27</v>
      </c>
      <c r="AA54" s="131" t="n">
        <f aca="false">IF(OR(7&gt;$B$3,ISBLANK(Actuals!I69)),"",Actuals!I69)</f>
        <v>9375</v>
      </c>
      <c r="AB54" s="132" t="n">
        <f aca="false">IF(OR(7&gt;$B$3,ISBLANK(Actuals!I69)),"",Budget!I69-Actuals!I69)</f>
        <v>852.27</v>
      </c>
      <c r="AC54" s="132" t="n">
        <f aca="false">IFERROR(IF(OR(7&gt;$B$3,ISBLANK(Actuals!I69)),"",(Budget!I69-Actuals!I69)/ABS(Budget!I69)),"")</f>
        <v>0.0833330888888237</v>
      </c>
      <c r="AD54" s="131" t="n">
        <f aca="false">Budget!J69</f>
        <v>10227.27</v>
      </c>
      <c r="AE54" s="131" t="n">
        <f aca="false">IF(OR(8&gt;$B$3,ISBLANK(Actuals!J69)),"",Actuals!J69)</f>
        <v>9375</v>
      </c>
      <c r="AF54" s="132" t="n">
        <f aca="false">IF(OR(8&gt;$B$3,ISBLANK(Actuals!J69)),"",Budget!J69-Actuals!J69)</f>
        <v>852.27</v>
      </c>
      <c r="AG54" s="132" t="n">
        <f aca="false">IFERROR(IF(OR(8&gt;$B$3,ISBLANK(Actuals!J69)),"",(Budget!J69-Actuals!J69)/ABS(Budget!J69)),"")</f>
        <v>0.0833330888888237</v>
      </c>
      <c r="AH54" s="131" t="n">
        <f aca="false">Budget!K69</f>
        <v>10227.27</v>
      </c>
      <c r="AI54" s="131" t="n">
        <f aca="false">IF(OR(9&gt;$B$3,ISBLANK(Actuals!K69)),"",Actuals!K69)</f>
        <v>9375</v>
      </c>
      <c r="AJ54" s="132" t="n">
        <f aca="false">IF(OR(9&gt;$B$3,ISBLANK(Actuals!K69)),"",Budget!K69-Actuals!K69)</f>
        <v>852.27</v>
      </c>
      <c r="AK54" s="132" t="n">
        <f aca="false">IFERROR(IF(OR(9&gt;$B$3,ISBLANK(Actuals!K69)),"",(Budget!K69-Actuals!K69)/ABS(Budget!K69)),"")</f>
        <v>0.0833330888888237</v>
      </c>
      <c r="AL54" s="131" t="n">
        <f aca="false">Budget!L69</f>
        <v>0</v>
      </c>
      <c r="AM54" s="131" t="str">
        <f aca="false">IF(OR(10&gt;$B$3,ISBLANK(Actuals!L69)),"",Actuals!L69)</f>
        <v/>
      </c>
      <c r="AN54" s="132" t="str">
        <f aca="false">IF(OR(10&gt;$B$3,ISBLANK(Actuals!L69)),"",Budget!L69-Actuals!L69)</f>
        <v/>
      </c>
      <c r="AO54" s="132" t="str">
        <f aca="false">IFERROR(IF(OR(10&gt;$B$3,ISBLANK(Actuals!L69)),"",(Budget!L69-Actuals!L69)/ABS(Budget!L69)),"")</f>
        <v/>
      </c>
      <c r="AP54" s="131" t="n">
        <f aca="false">Budget!M69</f>
        <v>0</v>
      </c>
      <c r="AQ54" s="131" t="str">
        <f aca="false">IF(OR(11&gt;$B$3,ISBLANK(Actuals!M69)),"",Actuals!M69)</f>
        <v/>
      </c>
      <c r="AR54" s="132" t="str">
        <f aca="false">IF(OR(11&gt;$B$3,ISBLANK(Actuals!M69)),"",Budget!M69-Actuals!M69)</f>
        <v/>
      </c>
      <c r="AS54" s="132" t="str">
        <f aca="false">IFERROR(IF(OR(11&gt;$B$3,ISBLANK(Actuals!M69)),"",(Budget!M69-Actuals!M69)/ABS(Budget!M69)),"")</f>
        <v/>
      </c>
      <c r="AT54" s="131" t="n">
        <f aca="false">Budget!N69</f>
        <v>0</v>
      </c>
      <c r="AU54" s="131" t="str">
        <f aca="false">IF(OR(12&gt;$B$3,ISBLANK(Actuals!N69)),"",Actuals!N69)</f>
        <v/>
      </c>
      <c r="AV54" s="132" t="str">
        <f aca="false">IF(OR(12&gt;$B$3,ISBLANK(Actuals!N69)),"",Budget!N69-Actuals!N69)</f>
        <v/>
      </c>
      <c r="AW54" s="132" t="str">
        <f aca="false">IFERROR(IF(OR(12&gt;$B$3,ISBLANK(Actuals!N69)),"",(Budget!N69-Actuals!N69)/ABS(Budget!N69)),"")</f>
        <v/>
      </c>
      <c r="AX54" s="133" t="n">
        <f aca="false">SUMPRODUCT((Actuals!C69:N69&lt;&gt;"")*(Budget!C69:N69))</f>
        <v>92045.43</v>
      </c>
      <c r="AY54" s="133" t="n">
        <f aca="false">SUM(Actuals!C69:N69)</f>
        <v>84375</v>
      </c>
      <c r="AZ54" s="134" t="n">
        <f aca="false">AX54-AY54</f>
        <v>7670.43000000001</v>
      </c>
    </row>
    <row r="55" customFormat="false" ht="15" hidden="false" customHeight="true" outlineLevel="0" collapsed="false">
      <c r="A55" s="130" t="s">
        <v>107</v>
      </c>
      <c r="B55" s="131" t="n">
        <f aca="false">Budget!C70</f>
        <v>0</v>
      </c>
      <c r="C55" s="131" t="str">
        <f aca="false">IF(OR(1&gt;$B$3,ISBLANK(Actuals!C70)),"",Actuals!C70)</f>
        <v/>
      </c>
      <c r="D55" s="132" t="str">
        <f aca="false">IF(OR(1&gt;$B$3,ISBLANK(Actuals!C70)),"",Budget!C70-Actuals!C70)</f>
        <v/>
      </c>
      <c r="E55" s="132" t="str">
        <f aca="false">IFERROR(IF(OR(1&gt;$B$3,ISBLANK(Actuals!C70)),"",(Budget!C70-Actuals!C70)/ABS(Budget!C70)),"")</f>
        <v/>
      </c>
      <c r="F55" s="131" t="n">
        <f aca="false">Budget!D70</f>
        <v>0</v>
      </c>
      <c r="G55" s="131" t="str">
        <f aca="false">IF(OR(2&gt;$B$3,ISBLANK(Actuals!D70)),"",Actuals!D70)</f>
        <v/>
      </c>
      <c r="H55" s="132" t="str">
        <f aca="false">IF(OR(2&gt;$B$3,ISBLANK(Actuals!D70)),"",Budget!D70-Actuals!D70)</f>
        <v/>
      </c>
      <c r="I55" s="132" t="str">
        <f aca="false">IFERROR(IF(OR(2&gt;$B$3,ISBLANK(Actuals!D70)),"",(Budget!D70-Actuals!D70)/ABS(Budget!D70)),"")</f>
        <v/>
      </c>
      <c r="J55" s="131" t="n">
        <f aca="false">Budget!E70</f>
        <v>0</v>
      </c>
      <c r="K55" s="131" t="str">
        <f aca="false">IF(OR(3&gt;$B$3,ISBLANK(Actuals!E70)),"",Actuals!E70)</f>
        <v/>
      </c>
      <c r="L55" s="132" t="str">
        <f aca="false">IF(OR(3&gt;$B$3,ISBLANK(Actuals!E70)),"",Budget!E70-Actuals!E70)</f>
        <v/>
      </c>
      <c r="M55" s="132" t="str">
        <f aca="false">IFERROR(IF(OR(3&gt;$B$3,ISBLANK(Actuals!E70)),"",(Budget!E70-Actuals!E70)/ABS(Budget!E70)),"")</f>
        <v/>
      </c>
      <c r="N55" s="131" t="n">
        <f aca="false">Budget!F70</f>
        <v>11875</v>
      </c>
      <c r="O55" s="131" t="str">
        <f aca="false">IF(OR(4&gt;$B$3,ISBLANK(Actuals!F70)),"",Actuals!F70)</f>
        <v/>
      </c>
      <c r="P55" s="132" t="str">
        <f aca="false">IF(OR(4&gt;$B$3,ISBLANK(Actuals!F70)),"",Budget!F70-Actuals!F70)</f>
        <v/>
      </c>
      <c r="Q55" s="132" t="str">
        <f aca="false">IFERROR(IF(OR(4&gt;$B$3,ISBLANK(Actuals!F70)),"",(Budget!F70-Actuals!F70)/ABS(Budget!F70)),"")</f>
        <v/>
      </c>
      <c r="R55" s="131" t="n">
        <f aca="false">Budget!G70</f>
        <v>11875</v>
      </c>
      <c r="S55" s="131" t="str">
        <f aca="false">IF(OR(5&gt;$B$3,ISBLANK(Actuals!G70)),"",Actuals!G70)</f>
        <v/>
      </c>
      <c r="T55" s="132" t="str">
        <f aca="false">IF(OR(5&gt;$B$3,ISBLANK(Actuals!G70)),"",Budget!G70-Actuals!G70)</f>
        <v/>
      </c>
      <c r="U55" s="132" t="str">
        <f aca="false">IFERROR(IF(OR(5&gt;$B$3,ISBLANK(Actuals!G70)),"",(Budget!G70-Actuals!G70)/ABS(Budget!G70)),"")</f>
        <v/>
      </c>
      <c r="V55" s="131" t="n">
        <f aca="false">Budget!H70</f>
        <v>11875</v>
      </c>
      <c r="W55" s="131" t="str">
        <f aca="false">IF(OR(6&gt;$B$3,ISBLANK(Actuals!H70)),"",Actuals!H70)</f>
        <v/>
      </c>
      <c r="X55" s="132" t="str">
        <f aca="false">IF(OR(6&gt;$B$3,ISBLANK(Actuals!H70)),"",Budget!H70-Actuals!H70)</f>
        <v/>
      </c>
      <c r="Y55" s="132" t="str">
        <f aca="false">IFERROR(IF(OR(6&gt;$B$3,ISBLANK(Actuals!H70)),"",(Budget!H70-Actuals!H70)/ABS(Budget!H70)),"")</f>
        <v/>
      </c>
      <c r="Z55" s="131" t="n">
        <f aca="false">Budget!I70</f>
        <v>11875</v>
      </c>
      <c r="AA55" s="131" t="n">
        <f aca="false">IF(OR(7&gt;$B$3,ISBLANK(Actuals!I70)),"",Actuals!I70)</f>
        <v>44000</v>
      </c>
      <c r="AB55" s="132" t="n">
        <f aca="false">IF(OR(7&gt;$B$3,ISBLANK(Actuals!I70)),"",Budget!I70-Actuals!I70)</f>
        <v>-32125</v>
      </c>
      <c r="AC55" s="132" t="n">
        <f aca="false">IFERROR(IF(OR(7&gt;$B$3,ISBLANK(Actuals!I70)),"",(Budget!I70-Actuals!I70)/ABS(Budget!I70)),"")</f>
        <v>-2.70526315789474</v>
      </c>
      <c r="AD55" s="131" t="n">
        <f aca="false">Budget!J70</f>
        <v>11875</v>
      </c>
      <c r="AE55" s="131" t="n">
        <f aca="false">IF(OR(8&gt;$B$3,ISBLANK(Actuals!J70)),"",Actuals!J70)</f>
        <v>19000</v>
      </c>
      <c r="AF55" s="132" t="n">
        <f aca="false">IF(OR(8&gt;$B$3,ISBLANK(Actuals!J70)),"",Budget!J70-Actuals!J70)</f>
        <v>-7125</v>
      </c>
      <c r="AG55" s="132" t="n">
        <f aca="false">IFERROR(IF(OR(8&gt;$B$3,ISBLANK(Actuals!J70)),"",(Budget!J70-Actuals!J70)/ABS(Budget!J70)),"")</f>
        <v>-0.6</v>
      </c>
      <c r="AH55" s="131" t="n">
        <f aca="false">Budget!K70</f>
        <v>11875</v>
      </c>
      <c r="AI55" s="131" t="n">
        <f aca="false">IF(OR(9&gt;$B$3,ISBLANK(Actuals!K70)),"",Actuals!K70)</f>
        <v>8800</v>
      </c>
      <c r="AJ55" s="132" t="n">
        <f aca="false">IF(OR(9&gt;$B$3,ISBLANK(Actuals!K70)),"",Budget!K70-Actuals!K70)</f>
        <v>3075</v>
      </c>
      <c r="AK55" s="132" t="n">
        <f aca="false">IFERROR(IF(OR(9&gt;$B$3,ISBLANK(Actuals!K70)),"",(Budget!K70-Actuals!K70)/ABS(Budget!K70)),"")</f>
        <v>0.258947368421053</v>
      </c>
      <c r="AL55" s="131" t="n">
        <f aca="false">Budget!L70</f>
        <v>11875</v>
      </c>
      <c r="AM55" s="131" t="str">
        <f aca="false">IF(OR(10&gt;$B$3,ISBLANK(Actuals!L70)),"",Actuals!L70)</f>
        <v/>
      </c>
      <c r="AN55" s="132" t="str">
        <f aca="false">IF(OR(10&gt;$B$3,ISBLANK(Actuals!L70)),"",Budget!L70-Actuals!L70)</f>
        <v/>
      </c>
      <c r="AO55" s="132" t="str">
        <f aca="false">IFERROR(IF(OR(10&gt;$B$3,ISBLANK(Actuals!L70)),"",(Budget!L70-Actuals!L70)/ABS(Budget!L70)),"")</f>
        <v/>
      </c>
      <c r="AP55" s="131" t="n">
        <f aca="false">Budget!M70</f>
        <v>11875</v>
      </c>
      <c r="AQ55" s="131" t="str">
        <f aca="false">IF(OR(11&gt;$B$3,ISBLANK(Actuals!M70)),"",Actuals!M70)</f>
        <v/>
      </c>
      <c r="AR55" s="132" t="str">
        <f aca="false">IF(OR(11&gt;$B$3,ISBLANK(Actuals!M70)),"",Budget!M70-Actuals!M70)</f>
        <v/>
      </c>
      <c r="AS55" s="132" t="str">
        <f aca="false">IFERROR(IF(OR(11&gt;$B$3,ISBLANK(Actuals!M70)),"",(Budget!M70-Actuals!M70)/ABS(Budget!M70)),"")</f>
        <v/>
      </c>
      <c r="AT55" s="131" t="n">
        <f aca="false">Budget!N70</f>
        <v>11875</v>
      </c>
      <c r="AU55" s="131" t="str">
        <f aca="false">IF(OR(12&gt;$B$3,ISBLANK(Actuals!N70)),"",Actuals!N70)</f>
        <v/>
      </c>
      <c r="AV55" s="132" t="str">
        <f aca="false">IF(OR(12&gt;$B$3,ISBLANK(Actuals!N70)),"",Budget!N70-Actuals!N70)</f>
        <v/>
      </c>
      <c r="AW55" s="132" t="str">
        <f aca="false">IFERROR(IF(OR(12&gt;$B$3,ISBLANK(Actuals!N70)),"",(Budget!N70-Actuals!N70)/ABS(Budget!N70)),"")</f>
        <v/>
      </c>
      <c r="AX55" s="133" t="n">
        <f aca="false">SUMPRODUCT((Actuals!C70:N70&lt;&gt;"")*(Budget!C70:N70))</f>
        <v>35625</v>
      </c>
      <c r="AY55" s="133" t="n">
        <f aca="false">SUM(Actuals!C70:N70)</f>
        <v>71800</v>
      </c>
      <c r="AZ55" s="134" t="n">
        <f aca="false">AX55-AY55</f>
        <v>-36175</v>
      </c>
    </row>
    <row r="56" customFormat="false" ht="15" hidden="false" customHeight="true" outlineLevel="0" collapsed="false">
      <c r="A56" s="130" t="s">
        <v>360</v>
      </c>
      <c r="B56" s="131" t="n">
        <f aca="false">Budget!C71</f>
        <v>0</v>
      </c>
      <c r="C56" s="131" t="str">
        <f aca="false">IF(OR(1&gt;$B$3,ISBLANK(Actuals!C71)),"",Actuals!C71)</f>
        <v/>
      </c>
      <c r="D56" s="132" t="str">
        <f aca="false">IF(OR(1&gt;$B$3,ISBLANK(Actuals!C71)),"",Budget!C71-Actuals!C71)</f>
        <v/>
      </c>
      <c r="E56" s="132" t="str">
        <f aca="false">IFERROR(IF(OR(1&gt;$B$3,ISBLANK(Actuals!C71)),"",(Budget!C71-Actuals!C71)/ABS(Budget!C71)),"")</f>
        <v/>
      </c>
      <c r="F56" s="131" t="n">
        <f aca="false">Budget!D71</f>
        <v>0</v>
      </c>
      <c r="G56" s="131" t="str">
        <f aca="false">IF(OR(2&gt;$B$3,ISBLANK(Actuals!D71)),"",Actuals!D71)</f>
        <v/>
      </c>
      <c r="H56" s="132" t="str">
        <f aca="false">IF(OR(2&gt;$B$3,ISBLANK(Actuals!D71)),"",Budget!D71-Actuals!D71)</f>
        <v/>
      </c>
      <c r="I56" s="132" t="str">
        <f aca="false">IFERROR(IF(OR(2&gt;$B$3,ISBLANK(Actuals!D71)),"",(Budget!D71-Actuals!D71)/ABS(Budget!D71)),"")</f>
        <v/>
      </c>
      <c r="J56" s="131" t="n">
        <f aca="false">Budget!E71</f>
        <v>0</v>
      </c>
      <c r="K56" s="131" t="str">
        <f aca="false">IF(OR(3&gt;$B$3,ISBLANK(Actuals!E71)),"",Actuals!E71)</f>
        <v/>
      </c>
      <c r="L56" s="132" t="str">
        <f aca="false">IF(OR(3&gt;$B$3,ISBLANK(Actuals!E71)),"",Budget!E71-Actuals!E71)</f>
        <v/>
      </c>
      <c r="M56" s="132" t="str">
        <f aca="false">IFERROR(IF(OR(3&gt;$B$3,ISBLANK(Actuals!E71)),"",(Budget!E71-Actuals!E71)/ABS(Budget!E71)),"")</f>
        <v/>
      </c>
      <c r="N56" s="131" t="n">
        <f aca="false">Budget!F71</f>
        <v>0</v>
      </c>
      <c r="O56" s="131" t="str">
        <f aca="false">IF(OR(4&gt;$B$3,ISBLANK(Actuals!F71)),"",Actuals!F71)</f>
        <v/>
      </c>
      <c r="P56" s="132" t="str">
        <f aca="false">IF(OR(4&gt;$B$3,ISBLANK(Actuals!F71)),"",Budget!F71-Actuals!F71)</f>
        <v/>
      </c>
      <c r="Q56" s="132" t="str">
        <f aca="false">IFERROR(IF(OR(4&gt;$B$3,ISBLANK(Actuals!F71)),"",(Budget!F71-Actuals!F71)/ABS(Budget!F71)),"")</f>
        <v/>
      </c>
      <c r="R56" s="131" t="n">
        <f aca="false">Budget!G71</f>
        <v>0</v>
      </c>
      <c r="S56" s="131" t="str">
        <f aca="false">IF(OR(5&gt;$B$3,ISBLANK(Actuals!G71)),"",Actuals!G71)</f>
        <v/>
      </c>
      <c r="T56" s="132" t="str">
        <f aca="false">IF(OR(5&gt;$B$3,ISBLANK(Actuals!G71)),"",Budget!G71-Actuals!G71)</f>
        <v/>
      </c>
      <c r="U56" s="132" t="str">
        <f aca="false">IFERROR(IF(OR(5&gt;$B$3,ISBLANK(Actuals!G71)),"",(Budget!G71-Actuals!G71)/ABS(Budget!G71)),"")</f>
        <v/>
      </c>
      <c r="V56" s="131" t="n">
        <f aca="false">Budget!H71</f>
        <v>0</v>
      </c>
      <c r="W56" s="131" t="str">
        <f aca="false">IF(OR(6&gt;$B$3,ISBLANK(Actuals!H71)),"",Actuals!H71)</f>
        <v/>
      </c>
      <c r="X56" s="132" t="str">
        <f aca="false">IF(OR(6&gt;$B$3,ISBLANK(Actuals!H71)),"",Budget!H71-Actuals!H71)</f>
        <v/>
      </c>
      <c r="Y56" s="132" t="str">
        <f aca="false">IFERROR(IF(OR(6&gt;$B$3,ISBLANK(Actuals!H71)),"",(Budget!H71-Actuals!H71)/ABS(Budget!H71)),"")</f>
        <v/>
      </c>
      <c r="Z56" s="131" t="n">
        <f aca="false">Budget!I71</f>
        <v>0</v>
      </c>
      <c r="AA56" s="131" t="str">
        <f aca="false">IF(OR(7&gt;$B$3,ISBLANK(Actuals!I71)),"",Actuals!I71)</f>
        <v/>
      </c>
      <c r="AB56" s="132" t="str">
        <f aca="false">IF(OR(7&gt;$B$3,ISBLANK(Actuals!I71)),"",Budget!I71-Actuals!I71)</f>
        <v/>
      </c>
      <c r="AC56" s="132" t="str">
        <f aca="false">IFERROR(IF(OR(7&gt;$B$3,ISBLANK(Actuals!I71)),"",(Budget!I71-Actuals!I71)/ABS(Budget!I71)),"")</f>
        <v/>
      </c>
      <c r="AD56" s="131" t="n">
        <f aca="false">Budget!J71</f>
        <v>0</v>
      </c>
      <c r="AE56" s="131" t="str">
        <f aca="false">IF(OR(8&gt;$B$3,ISBLANK(Actuals!J71)),"",Actuals!J71)</f>
        <v/>
      </c>
      <c r="AF56" s="132" t="str">
        <f aca="false">IF(OR(8&gt;$B$3,ISBLANK(Actuals!J71)),"",Budget!J71-Actuals!J71)</f>
        <v/>
      </c>
      <c r="AG56" s="132" t="str">
        <f aca="false">IFERROR(IF(OR(8&gt;$B$3,ISBLANK(Actuals!J71)),"",(Budget!J71-Actuals!J71)/ABS(Budget!J71)),"")</f>
        <v/>
      </c>
      <c r="AH56" s="131" t="n">
        <f aca="false">Budget!K71</f>
        <v>0</v>
      </c>
      <c r="AI56" s="131" t="str">
        <f aca="false">IF(OR(9&gt;$B$3,ISBLANK(Actuals!K71)),"",Actuals!K71)</f>
        <v/>
      </c>
      <c r="AJ56" s="132" t="str">
        <f aca="false">IF(OR(9&gt;$B$3,ISBLANK(Actuals!K71)),"",Budget!K71-Actuals!K71)</f>
        <v/>
      </c>
      <c r="AK56" s="132" t="str">
        <f aca="false">IFERROR(IF(OR(9&gt;$B$3,ISBLANK(Actuals!K71)),"",(Budget!K71-Actuals!K71)/ABS(Budget!K71)),"")</f>
        <v/>
      </c>
      <c r="AL56" s="131" t="n">
        <f aca="false">Budget!L71</f>
        <v>0</v>
      </c>
      <c r="AM56" s="131" t="str">
        <f aca="false">IF(OR(10&gt;$B$3,ISBLANK(Actuals!L71)),"",Actuals!L71)</f>
        <v/>
      </c>
      <c r="AN56" s="132" t="str">
        <f aca="false">IF(OR(10&gt;$B$3,ISBLANK(Actuals!L71)),"",Budget!L71-Actuals!L71)</f>
        <v/>
      </c>
      <c r="AO56" s="132" t="str">
        <f aca="false">IFERROR(IF(OR(10&gt;$B$3,ISBLANK(Actuals!L71)),"",(Budget!L71-Actuals!L71)/ABS(Budget!L71)),"")</f>
        <v/>
      </c>
      <c r="AP56" s="131" t="n">
        <f aca="false">Budget!M71</f>
        <v>0</v>
      </c>
      <c r="AQ56" s="131" t="str">
        <f aca="false">IF(OR(11&gt;$B$3,ISBLANK(Actuals!M71)),"",Actuals!M71)</f>
        <v/>
      </c>
      <c r="AR56" s="132" t="str">
        <f aca="false">IF(OR(11&gt;$B$3,ISBLANK(Actuals!M71)),"",Budget!M71-Actuals!M71)</f>
        <v/>
      </c>
      <c r="AS56" s="132" t="str">
        <f aca="false">IFERROR(IF(OR(11&gt;$B$3,ISBLANK(Actuals!M71)),"",(Budget!M71-Actuals!M71)/ABS(Budget!M71)),"")</f>
        <v/>
      </c>
      <c r="AT56" s="131" t="n">
        <f aca="false">Budget!N71</f>
        <v>0</v>
      </c>
      <c r="AU56" s="131" t="str">
        <f aca="false">IF(OR(12&gt;$B$3,ISBLANK(Actuals!N71)),"",Actuals!N71)</f>
        <v/>
      </c>
      <c r="AV56" s="132" t="str">
        <f aca="false">IF(OR(12&gt;$B$3,ISBLANK(Actuals!N71)),"",Budget!N71-Actuals!N71)</f>
        <v/>
      </c>
      <c r="AW56" s="132" t="str">
        <f aca="false">IFERROR(IF(OR(12&gt;$B$3,ISBLANK(Actuals!N71)),"",(Budget!N71-Actuals!N71)/ABS(Budget!N71)),"")</f>
        <v/>
      </c>
      <c r="AX56" s="133" t="n">
        <f aca="false">SUMPRODUCT((Actuals!C71:N71&lt;&gt;"")*(Budget!C71:N71))</f>
        <v>0</v>
      </c>
      <c r="AY56" s="133" t="n">
        <f aca="false">SUM(Actuals!C71:N71)</f>
        <v>0</v>
      </c>
      <c r="AZ56" s="134" t="n">
        <f aca="false">AX56-AY56</f>
        <v>0</v>
      </c>
    </row>
    <row r="57" customFormat="false" ht="15" hidden="false" customHeight="true" outlineLevel="0" collapsed="false">
      <c r="A57" s="130" t="s">
        <v>109</v>
      </c>
      <c r="B57" s="131" t="n">
        <f aca="false">Budget!C72</f>
        <v>0</v>
      </c>
      <c r="C57" s="131" t="str">
        <f aca="false">IF(OR(1&gt;$B$3,ISBLANK(Actuals!C72)),"",Actuals!C72)</f>
        <v/>
      </c>
      <c r="D57" s="132" t="str">
        <f aca="false">IF(OR(1&gt;$B$3,ISBLANK(Actuals!C72)),"",Budget!C72-Actuals!C72)</f>
        <v/>
      </c>
      <c r="E57" s="132" t="str">
        <f aca="false">IFERROR(IF(OR(1&gt;$B$3,ISBLANK(Actuals!C72)),"",(Budget!C72-Actuals!C72)/ABS(Budget!C72)),"")</f>
        <v/>
      </c>
      <c r="F57" s="131" t="n">
        <f aca="false">Budget!D72</f>
        <v>0</v>
      </c>
      <c r="G57" s="131" t="str">
        <f aca="false">IF(OR(2&gt;$B$3,ISBLANK(Actuals!D72)),"",Actuals!D72)</f>
        <v/>
      </c>
      <c r="H57" s="132" t="str">
        <f aca="false">IF(OR(2&gt;$B$3,ISBLANK(Actuals!D72)),"",Budget!D72-Actuals!D72)</f>
        <v/>
      </c>
      <c r="I57" s="132" t="str">
        <f aca="false">IFERROR(IF(OR(2&gt;$B$3,ISBLANK(Actuals!D72)),"",(Budget!D72-Actuals!D72)/ABS(Budget!D72)),"")</f>
        <v/>
      </c>
      <c r="J57" s="131" t="n">
        <f aca="false">Budget!E72</f>
        <v>0</v>
      </c>
      <c r="K57" s="131" t="str">
        <f aca="false">IF(OR(3&gt;$B$3,ISBLANK(Actuals!E72)),"",Actuals!E72)</f>
        <v/>
      </c>
      <c r="L57" s="132" t="str">
        <f aca="false">IF(OR(3&gt;$B$3,ISBLANK(Actuals!E72)),"",Budget!E72-Actuals!E72)</f>
        <v/>
      </c>
      <c r="M57" s="132" t="str">
        <f aca="false">IFERROR(IF(OR(3&gt;$B$3,ISBLANK(Actuals!E72)),"",(Budget!E72-Actuals!E72)/ABS(Budget!E72)),"")</f>
        <v/>
      </c>
      <c r="N57" s="131" t="n">
        <f aca="false">Budget!F72</f>
        <v>0</v>
      </c>
      <c r="O57" s="131" t="str">
        <f aca="false">IF(OR(4&gt;$B$3,ISBLANK(Actuals!F72)),"",Actuals!F72)</f>
        <v/>
      </c>
      <c r="P57" s="132" t="str">
        <f aca="false">IF(OR(4&gt;$B$3,ISBLANK(Actuals!F72)),"",Budget!F72-Actuals!F72)</f>
        <v/>
      </c>
      <c r="Q57" s="132" t="str">
        <f aca="false">IFERROR(IF(OR(4&gt;$B$3,ISBLANK(Actuals!F72)),"",(Budget!F72-Actuals!F72)/ABS(Budget!F72)),"")</f>
        <v/>
      </c>
      <c r="R57" s="131" t="n">
        <f aca="false">Budget!G72</f>
        <v>0</v>
      </c>
      <c r="S57" s="131" t="str">
        <f aca="false">IF(OR(5&gt;$B$3,ISBLANK(Actuals!G72)),"",Actuals!G72)</f>
        <v/>
      </c>
      <c r="T57" s="132" t="str">
        <f aca="false">IF(OR(5&gt;$B$3,ISBLANK(Actuals!G72)),"",Budget!G72-Actuals!G72)</f>
        <v/>
      </c>
      <c r="U57" s="132" t="str">
        <f aca="false">IFERROR(IF(OR(5&gt;$B$3,ISBLANK(Actuals!G72)),"",(Budget!G72-Actuals!G72)/ABS(Budget!G72)),"")</f>
        <v/>
      </c>
      <c r="V57" s="131" t="n">
        <f aca="false">Budget!H72</f>
        <v>0</v>
      </c>
      <c r="W57" s="131" t="str">
        <f aca="false">IF(OR(6&gt;$B$3,ISBLANK(Actuals!H72)),"",Actuals!H72)</f>
        <v/>
      </c>
      <c r="X57" s="132" t="str">
        <f aca="false">IF(OR(6&gt;$B$3,ISBLANK(Actuals!H72)),"",Budget!H72-Actuals!H72)</f>
        <v/>
      </c>
      <c r="Y57" s="132" t="str">
        <f aca="false">IFERROR(IF(OR(6&gt;$B$3,ISBLANK(Actuals!H72)),"",(Budget!H72-Actuals!H72)/ABS(Budget!H72)),"")</f>
        <v/>
      </c>
      <c r="Z57" s="131" t="n">
        <f aca="false">Budget!I72</f>
        <v>0</v>
      </c>
      <c r="AA57" s="131" t="str">
        <f aca="false">IF(OR(7&gt;$B$3,ISBLANK(Actuals!I72)),"",Actuals!I72)</f>
        <v/>
      </c>
      <c r="AB57" s="132" t="str">
        <f aca="false">IF(OR(7&gt;$B$3,ISBLANK(Actuals!I72)),"",Budget!I72-Actuals!I72)</f>
        <v/>
      </c>
      <c r="AC57" s="132" t="str">
        <f aca="false">IFERROR(IF(OR(7&gt;$B$3,ISBLANK(Actuals!I72)),"",(Budget!I72-Actuals!I72)/ABS(Budget!I72)),"")</f>
        <v/>
      </c>
      <c r="AD57" s="131" t="n">
        <f aca="false">Budget!J72</f>
        <v>0</v>
      </c>
      <c r="AE57" s="131" t="str">
        <f aca="false">IF(OR(8&gt;$B$3,ISBLANK(Actuals!J72)),"",Actuals!J72)</f>
        <v/>
      </c>
      <c r="AF57" s="132" t="str">
        <f aca="false">IF(OR(8&gt;$B$3,ISBLANK(Actuals!J72)),"",Budget!J72-Actuals!J72)</f>
        <v/>
      </c>
      <c r="AG57" s="132" t="str">
        <f aca="false">IFERROR(IF(OR(8&gt;$B$3,ISBLANK(Actuals!J72)),"",(Budget!J72-Actuals!J72)/ABS(Budget!J72)),"")</f>
        <v/>
      </c>
      <c r="AH57" s="131" t="n">
        <f aca="false">Budget!K72</f>
        <v>0</v>
      </c>
      <c r="AI57" s="131" t="str">
        <f aca="false">IF(OR(9&gt;$B$3,ISBLANK(Actuals!K72)),"",Actuals!K72)</f>
        <v/>
      </c>
      <c r="AJ57" s="132" t="str">
        <f aca="false">IF(OR(9&gt;$B$3,ISBLANK(Actuals!K72)),"",Budget!K72-Actuals!K72)</f>
        <v/>
      </c>
      <c r="AK57" s="132" t="str">
        <f aca="false">IFERROR(IF(OR(9&gt;$B$3,ISBLANK(Actuals!K72)),"",(Budget!K72-Actuals!K72)/ABS(Budget!K72)),"")</f>
        <v/>
      </c>
      <c r="AL57" s="131" t="n">
        <f aca="false">Budget!L72</f>
        <v>0</v>
      </c>
      <c r="AM57" s="131" t="str">
        <f aca="false">IF(OR(10&gt;$B$3,ISBLANK(Actuals!L72)),"",Actuals!L72)</f>
        <v/>
      </c>
      <c r="AN57" s="132" t="str">
        <f aca="false">IF(OR(10&gt;$B$3,ISBLANK(Actuals!L72)),"",Budget!L72-Actuals!L72)</f>
        <v/>
      </c>
      <c r="AO57" s="132" t="str">
        <f aca="false">IFERROR(IF(OR(10&gt;$B$3,ISBLANK(Actuals!L72)),"",(Budget!L72-Actuals!L72)/ABS(Budget!L72)),"")</f>
        <v/>
      </c>
      <c r="AP57" s="131" t="n">
        <f aca="false">Budget!M72</f>
        <v>0</v>
      </c>
      <c r="AQ57" s="131" t="str">
        <f aca="false">IF(OR(11&gt;$B$3,ISBLANK(Actuals!M72)),"",Actuals!M72)</f>
        <v/>
      </c>
      <c r="AR57" s="132" t="str">
        <f aca="false">IF(OR(11&gt;$B$3,ISBLANK(Actuals!M72)),"",Budget!M72-Actuals!M72)</f>
        <v/>
      </c>
      <c r="AS57" s="132" t="str">
        <f aca="false">IFERROR(IF(OR(11&gt;$B$3,ISBLANK(Actuals!M72)),"",(Budget!M72-Actuals!M72)/ABS(Budget!M72)),"")</f>
        <v/>
      </c>
      <c r="AT57" s="131" t="n">
        <f aca="false">Budget!N72</f>
        <v>0</v>
      </c>
      <c r="AU57" s="131" t="str">
        <f aca="false">IF(OR(12&gt;$B$3,ISBLANK(Actuals!N72)),"",Actuals!N72)</f>
        <v/>
      </c>
      <c r="AV57" s="132" t="str">
        <f aca="false">IF(OR(12&gt;$B$3,ISBLANK(Actuals!N72)),"",Budget!N72-Actuals!N72)</f>
        <v/>
      </c>
      <c r="AW57" s="132" t="str">
        <f aca="false">IFERROR(IF(OR(12&gt;$B$3,ISBLANK(Actuals!N72)),"",(Budget!N72-Actuals!N72)/ABS(Budget!N72)),"")</f>
        <v/>
      </c>
      <c r="AX57" s="133" t="n">
        <f aca="false">SUMPRODUCT((Actuals!C72:N72&lt;&gt;"")*(Budget!C72:N72))</f>
        <v>0</v>
      </c>
      <c r="AY57" s="133" t="n">
        <f aca="false">SUM(Actuals!C72:N72)</f>
        <v>0</v>
      </c>
      <c r="AZ57" s="134" t="n">
        <f aca="false">AX57-AY57</f>
        <v>0</v>
      </c>
    </row>
    <row r="58" customFormat="false" ht="15" hidden="false" customHeight="true" outlineLevel="0" collapsed="false">
      <c r="A58" s="130" t="s">
        <v>361</v>
      </c>
      <c r="B58" s="131" t="n">
        <f aca="false">Budget!C73</f>
        <v>0</v>
      </c>
      <c r="C58" s="131" t="str">
        <f aca="false">IF(OR(1&gt;$B$3,ISBLANK(Actuals!C73)),"",Actuals!C73)</f>
        <v/>
      </c>
      <c r="D58" s="132" t="str">
        <f aca="false">IF(OR(1&gt;$B$3,ISBLANK(Actuals!C73)),"",Budget!C73-Actuals!C73)</f>
        <v/>
      </c>
      <c r="E58" s="132" t="str">
        <f aca="false">IFERROR(IF(OR(1&gt;$B$3,ISBLANK(Actuals!C73)),"",(Budget!C73-Actuals!C73)/ABS(Budget!C73)),"")</f>
        <v/>
      </c>
      <c r="F58" s="131" t="n">
        <f aca="false">Budget!D73</f>
        <v>0</v>
      </c>
      <c r="G58" s="131" t="str">
        <f aca="false">IF(OR(2&gt;$B$3,ISBLANK(Actuals!D73)),"",Actuals!D73)</f>
        <v/>
      </c>
      <c r="H58" s="132" t="str">
        <f aca="false">IF(OR(2&gt;$B$3,ISBLANK(Actuals!D73)),"",Budget!D73-Actuals!D73)</f>
        <v/>
      </c>
      <c r="I58" s="132" t="str">
        <f aca="false">IFERROR(IF(OR(2&gt;$B$3,ISBLANK(Actuals!D73)),"",(Budget!D73-Actuals!D73)/ABS(Budget!D73)),"")</f>
        <v/>
      </c>
      <c r="J58" s="131" t="n">
        <f aca="false">Budget!E73</f>
        <v>0</v>
      </c>
      <c r="K58" s="131" t="str">
        <f aca="false">IF(OR(3&gt;$B$3,ISBLANK(Actuals!E73)),"",Actuals!E73)</f>
        <v/>
      </c>
      <c r="L58" s="132" t="str">
        <f aca="false">IF(OR(3&gt;$B$3,ISBLANK(Actuals!E73)),"",Budget!E73-Actuals!E73)</f>
        <v/>
      </c>
      <c r="M58" s="132" t="str">
        <f aca="false">IFERROR(IF(OR(3&gt;$B$3,ISBLANK(Actuals!E73)),"",(Budget!E73-Actuals!E73)/ABS(Budget!E73)),"")</f>
        <v/>
      </c>
      <c r="N58" s="131" t="n">
        <f aca="false">Budget!F73</f>
        <v>0</v>
      </c>
      <c r="O58" s="131" t="str">
        <f aca="false">IF(OR(4&gt;$B$3,ISBLANK(Actuals!F73)),"",Actuals!F73)</f>
        <v/>
      </c>
      <c r="P58" s="132" t="str">
        <f aca="false">IF(OR(4&gt;$B$3,ISBLANK(Actuals!F73)),"",Budget!F73-Actuals!F73)</f>
        <v/>
      </c>
      <c r="Q58" s="132" t="str">
        <f aca="false">IFERROR(IF(OR(4&gt;$B$3,ISBLANK(Actuals!F73)),"",(Budget!F73-Actuals!F73)/ABS(Budget!F73)),"")</f>
        <v/>
      </c>
      <c r="R58" s="131" t="n">
        <f aca="false">Budget!G73</f>
        <v>0</v>
      </c>
      <c r="S58" s="131" t="str">
        <f aca="false">IF(OR(5&gt;$B$3,ISBLANK(Actuals!G73)),"",Actuals!G73)</f>
        <v/>
      </c>
      <c r="T58" s="132" t="str">
        <f aca="false">IF(OR(5&gt;$B$3,ISBLANK(Actuals!G73)),"",Budget!G73-Actuals!G73)</f>
        <v/>
      </c>
      <c r="U58" s="132" t="str">
        <f aca="false">IFERROR(IF(OR(5&gt;$B$3,ISBLANK(Actuals!G73)),"",(Budget!G73-Actuals!G73)/ABS(Budget!G73)),"")</f>
        <v/>
      </c>
      <c r="V58" s="131" t="n">
        <f aca="false">Budget!H73</f>
        <v>0</v>
      </c>
      <c r="W58" s="131" t="str">
        <f aca="false">IF(OR(6&gt;$B$3,ISBLANK(Actuals!H73)),"",Actuals!H73)</f>
        <v/>
      </c>
      <c r="X58" s="132" t="str">
        <f aca="false">IF(OR(6&gt;$B$3,ISBLANK(Actuals!H73)),"",Budget!H73-Actuals!H73)</f>
        <v/>
      </c>
      <c r="Y58" s="132" t="str">
        <f aca="false">IFERROR(IF(OR(6&gt;$B$3,ISBLANK(Actuals!H73)),"",(Budget!H73-Actuals!H73)/ABS(Budget!H73)),"")</f>
        <v/>
      </c>
      <c r="Z58" s="131" t="n">
        <f aca="false">Budget!I73</f>
        <v>0</v>
      </c>
      <c r="AA58" s="131" t="str">
        <f aca="false">IF(OR(7&gt;$B$3,ISBLANK(Actuals!I73)),"",Actuals!I73)</f>
        <v/>
      </c>
      <c r="AB58" s="132" t="str">
        <f aca="false">IF(OR(7&gt;$B$3,ISBLANK(Actuals!I73)),"",Budget!I73-Actuals!I73)</f>
        <v/>
      </c>
      <c r="AC58" s="132" t="str">
        <f aca="false">IFERROR(IF(OR(7&gt;$B$3,ISBLANK(Actuals!I73)),"",(Budget!I73-Actuals!I73)/ABS(Budget!I73)),"")</f>
        <v/>
      </c>
      <c r="AD58" s="131" t="n">
        <f aca="false">Budget!J73</f>
        <v>0</v>
      </c>
      <c r="AE58" s="131" t="str">
        <f aca="false">IF(OR(8&gt;$B$3,ISBLANK(Actuals!J73)),"",Actuals!J73)</f>
        <v/>
      </c>
      <c r="AF58" s="132" t="str">
        <f aca="false">IF(OR(8&gt;$B$3,ISBLANK(Actuals!J73)),"",Budget!J73-Actuals!J73)</f>
        <v/>
      </c>
      <c r="AG58" s="132" t="str">
        <f aca="false">IFERROR(IF(OR(8&gt;$B$3,ISBLANK(Actuals!J73)),"",(Budget!J73-Actuals!J73)/ABS(Budget!J73)),"")</f>
        <v/>
      </c>
      <c r="AH58" s="131" t="n">
        <f aca="false">Budget!K73</f>
        <v>0</v>
      </c>
      <c r="AI58" s="131" t="str">
        <f aca="false">IF(OR(9&gt;$B$3,ISBLANK(Actuals!K73)),"",Actuals!K73)</f>
        <v/>
      </c>
      <c r="AJ58" s="132" t="str">
        <f aca="false">IF(OR(9&gt;$B$3,ISBLANK(Actuals!K73)),"",Budget!K73-Actuals!K73)</f>
        <v/>
      </c>
      <c r="AK58" s="132" t="str">
        <f aca="false">IFERROR(IF(OR(9&gt;$B$3,ISBLANK(Actuals!K73)),"",(Budget!K73-Actuals!K73)/ABS(Budget!K73)),"")</f>
        <v/>
      </c>
      <c r="AL58" s="131" t="n">
        <f aca="false">Budget!L73</f>
        <v>0</v>
      </c>
      <c r="AM58" s="131" t="str">
        <f aca="false">IF(OR(10&gt;$B$3,ISBLANK(Actuals!L73)),"",Actuals!L73)</f>
        <v/>
      </c>
      <c r="AN58" s="132" t="str">
        <f aca="false">IF(OR(10&gt;$B$3,ISBLANK(Actuals!L73)),"",Budget!L73-Actuals!L73)</f>
        <v/>
      </c>
      <c r="AO58" s="132" t="str">
        <f aca="false">IFERROR(IF(OR(10&gt;$B$3,ISBLANK(Actuals!L73)),"",(Budget!L73-Actuals!L73)/ABS(Budget!L73)),"")</f>
        <v/>
      </c>
      <c r="AP58" s="131" t="n">
        <f aca="false">Budget!M73</f>
        <v>0</v>
      </c>
      <c r="AQ58" s="131" t="str">
        <f aca="false">IF(OR(11&gt;$B$3,ISBLANK(Actuals!M73)),"",Actuals!M73)</f>
        <v/>
      </c>
      <c r="AR58" s="132" t="str">
        <f aca="false">IF(OR(11&gt;$B$3,ISBLANK(Actuals!M73)),"",Budget!M73-Actuals!M73)</f>
        <v/>
      </c>
      <c r="AS58" s="132" t="str">
        <f aca="false">IFERROR(IF(OR(11&gt;$B$3,ISBLANK(Actuals!M73)),"",(Budget!M73-Actuals!M73)/ABS(Budget!M73)),"")</f>
        <v/>
      </c>
      <c r="AT58" s="131" t="n">
        <f aca="false">Budget!N73</f>
        <v>0</v>
      </c>
      <c r="AU58" s="131" t="str">
        <f aca="false">IF(OR(12&gt;$B$3,ISBLANK(Actuals!N73)),"",Actuals!N73)</f>
        <v/>
      </c>
      <c r="AV58" s="132" t="str">
        <f aca="false">IF(OR(12&gt;$B$3,ISBLANK(Actuals!N73)),"",Budget!N73-Actuals!N73)</f>
        <v/>
      </c>
      <c r="AW58" s="132" t="str">
        <f aca="false">IFERROR(IF(OR(12&gt;$B$3,ISBLANK(Actuals!N73)),"",(Budget!N73-Actuals!N73)/ABS(Budget!N73)),"")</f>
        <v/>
      </c>
      <c r="AX58" s="133" t="n">
        <f aca="false">SUMPRODUCT((Actuals!C73:N73&lt;&gt;"")*(Budget!C73:N73))</f>
        <v>0</v>
      </c>
      <c r="AY58" s="133" t="n">
        <f aca="false">SUM(Actuals!C73:N73)</f>
        <v>0</v>
      </c>
      <c r="AZ58" s="134" t="n">
        <f aca="false">AX58-AY58</f>
        <v>0</v>
      </c>
    </row>
    <row r="59" customFormat="false" ht="15" hidden="false" customHeight="true" outlineLevel="0" collapsed="false">
      <c r="A59" s="130" t="s">
        <v>362</v>
      </c>
      <c r="B59" s="131" t="n">
        <f aca="false">Budget!C74</f>
        <v>0</v>
      </c>
      <c r="C59" s="131" t="str">
        <f aca="false">IF(OR(1&gt;$B$3,ISBLANK(Actuals!C74)),"",Actuals!C74)</f>
        <v/>
      </c>
      <c r="D59" s="132" t="str">
        <f aca="false">IF(OR(1&gt;$B$3,ISBLANK(Actuals!C74)),"",Budget!C74-Actuals!C74)</f>
        <v/>
      </c>
      <c r="E59" s="132" t="str">
        <f aca="false">IFERROR(IF(OR(1&gt;$B$3,ISBLANK(Actuals!C74)),"",(Budget!C74-Actuals!C74)/ABS(Budget!C74)),"")</f>
        <v/>
      </c>
      <c r="F59" s="131" t="n">
        <f aca="false">Budget!D74</f>
        <v>0</v>
      </c>
      <c r="G59" s="131" t="str">
        <f aca="false">IF(OR(2&gt;$B$3,ISBLANK(Actuals!D74)),"",Actuals!D74)</f>
        <v/>
      </c>
      <c r="H59" s="132" t="str">
        <f aca="false">IF(OR(2&gt;$B$3,ISBLANK(Actuals!D74)),"",Budget!D74-Actuals!D74)</f>
        <v/>
      </c>
      <c r="I59" s="132" t="str">
        <f aca="false">IFERROR(IF(OR(2&gt;$B$3,ISBLANK(Actuals!D74)),"",(Budget!D74-Actuals!D74)/ABS(Budget!D74)),"")</f>
        <v/>
      </c>
      <c r="J59" s="131" t="n">
        <f aca="false">Budget!E74</f>
        <v>0</v>
      </c>
      <c r="K59" s="131" t="str">
        <f aca="false">IF(OR(3&gt;$B$3,ISBLANK(Actuals!E74)),"",Actuals!E74)</f>
        <v/>
      </c>
      <c r="L59" s="132" t="str">
        <f aca="false">IF(OR(3&gt;$B$3,ISBLANK(Actuals!E74)),"",Budget!E74-Actuals!E74)</f>
        <v/>
      </c>
      <c r="M59" s="132" t="str">
        <f aca="false">IFERROR(IF(OR(3&gt;$B$3,ISBLANK(Actuals!E74)),"",(Budget!E74-Actuals!E74)/ABS(Budget!E74)),"")</f>
        <v/>
      </c>
      <c r="N59" s="131" t="n">
        <f aca="false">Budget!F74</f>
        <v>0</v>
      </c>
      <c r="O59" s="131" t="str">
        <f aca="false">IF(OR(4&gt;$B$3,ISBLANK(Actuals!F74)),"",Actuals!F74)</f>
        <v/>
      </c>
      <c r="P59" s="132" t="str">
        <f aca="false">IF(OR(4&gt;$B$3,ISBLANK(Actuals!F74)),"",Budget!F74-Actuals!F74)</f>
        <v/>
      </c>
      <c r="Q59" s="132" t="str">
        <f aca="false">IFERROR(IF(OR(4&gt;$B$3,ISBLANK(Actuals!F74)),"",(Budget!F74-Actuals!F74)/ABS(Budget!F74)),"")</f>
        <v/>
      </c>
      <c r="R59" s="131" t="n">
        <f aca="false">Budget!G74</f>
        <v>0</v>
      </c>
      <c r="S59" s="131" t="str">
        <f aca="false">IF(OR(5&gt;$B$3,ISBLANK(Actuals!G74)),"",Actuals!G74)</f>
        <v/>
      </c>
      <c r="T59" s="132" t="str">
        <f aca="false">IF(OR(5&gt;$B$3,ISBLANK(Actuals!G74)),"",Budget!G74-Actuals!G74)</f>
        <v/>
      </c>
      <c r="U59" s="132" t="str">
        <f aca="false">IFERROR(IF(OR(5&gt;$B$3,ISBLANK(Actuals!G74)),"",(Budget!G74-Actuals!G74)/ABS(Budget!G74)),"")</f>
        <v/>
      </c>
      <c r="V59" s="131" t="n">
        <f aca="false">Budget!H74</f>
        <v>0</v>
      </c>
      <c r="W59" s="131" t="str">
        <f aca="false">IF(OR(6&gt;$B$3,ISBLANK(Actuals!H74)),"",Actuals!H74)</f>
        <v/>
      </c>
      <c r="X59" s="132" t="str">
        <f aca="false">IF(OR(6&gt;$B$3,ISBLANK(Actuals!H74)),"",Budget!H74-Actuals!H74)</f>
        <v/>
      </c>
      <c r="Y59" s="132" t="str">
        <f aca="false">IFERROR(IF(OR(6&gt;$B$3,ISBLANK(Actuals!H74)),"",(Budget!H74-Actuals!H74)/ABS(Budget!H74)),"")</f>
        <v/>
      </c>
      <c r="Z59" s="131" t="n">
        <f aca="false">Budget!I74</f>
        <v>0</v>
      </c>
      <c r="AA59" s="131" t="str">
        <f aca="false">IF(OR(7&gt;$B$3,ISBLANK(Actuals!I74)),"",Actuals!I74)</f>
        <v/>
      </c>
      <c r="AB59" s="132" t="str">
        <f aca="false">IF(OR(7&gt;$B$3,ISBLANK(Actuals!I74)),"",Budget!I74-Actuals!I74)</f>
        <v/>
      </c>
      <c r="AC59" s="132" t="str">
        <f aca="false">IFERROR(IF(OR(7&gt;$B$3,ISBLANK(Actuals!I74)),"",(Budget!I74-Actuals!I74)/ABS(Budget!I74)),"")</f>
        <v/>
      </c>
      <c r="AD59" s="131" t="n">
        <f aca="false">Budget!J74</f>
        <v>0</v>
      </c>
      <c r="AE59" s="131" t="str">
        <f aca="false">IF(OR(8&gt;$B$3,ISBLANK(Actuals!J74)),"",Actuals!J74)</f>
        <v/>
      </c>
      <c r="AF59" s="132" t="str">
        <f aca="false">IF(OR(8&gt;$B$3,ISBLANK(Actuals!J74)),"",Budget!J74-Actuals!J74)</f>
        <v/>
      </c>
      <c r="AG59" s="132" t="str">
        <f aca="false">IFERROR(IF(OR(8&gt;$B$3,ISBLANK(Actuals!J74)),"",(Budget!J74-Actuals!J74)/ABS(Budget!J74)),"")</f>
        <v/>
      </c>
      <c r="AH59" s="131" t="n">
        <f aca="false">Budget!K74</f>
        <v>0</v>
      </c>
      <c r="AI59" s="131" t="str">
        <f aca="false">IF(OR(9&gt;$B$3,ISBLANK(Actuals!K74)),"",Actuals!K74)</f>
        <v/>
      </c>
      <c r="AJ59" s="132" t="str">
        <f aca="false">IF(OR(9&gt;$B$3,ISBLANK(Actuals!K74)),"",Budget!K74-Actuals!K74)</f>
        <v/>
      </c>
      <c r="AK59" s="132" t="str">
        <f aca="false">IFERROR(IF(OR(9&gt;$B$3,ISBLANK(Actuals!K74)),"",(Budget!K74-Actuals!K74)/ABS(Budget!K74)),"")</f>
        <v/>
      </c>
      <c r="AL59" s="131" t="n">
        <f aca="false">Budget!L74</f>
        <v>0</v>
      </c>
      <c r="AM59" s="131" t="str">
        <f aca="false">IF(OR(10&gt;$B$3,ISBLANK(Actuals!L74)),"",Actuals!L74)</f>
        <v/>
      </c>
      <c r="AN59" s="132" t="str">
        <f aca="false">IF(OR(10&gt;$B$3,ISBLANK(Actuals!L74)),"",Budget!L74-Actuals!L74)</f>
        <v/>
      </c>
      <c r="AO59" s="132" t="str">
        <f aca="false">IFERROR(IF(OR(10&gt;$B$3,ISBLANK(Actuals!L74)),"",(Budget!L74-Actuals!L74)/ABS(Budget!L74)),"")</f>
        <v/>
      </c>
      <c r="AP59" s="131" t="n">
        <f aca="false">Budget!M74</f>
        <v>0</v>
      </c>
      <c r="AQ59" s="131" t="str">
        <f aca="false">IF(OR(11&gt;$B$3,ISBLANK(Actuals!M74)),"",Actuals!M74)</f>
        <v/>
      </c>
      <c r="AR59" s="132" t="str">
        <f aca="false">IF(OR(11&gt;$B$3,ISBLANK(Actuals!M74)),"",Budget!M74-Actuals!M74)</f>
        <v/>
      </c>
      <c r="AS59" s="132" t="str">
        <f aca="false">IFERROR(IF(OR(11&gt;$B$3,ISBLANK(Actuals!M74)),"",(Budget!M74-Actuals!M74)/ABS(Budget!M74)),"")</f>
        <v/>
      </c>
      <c r="AT59" s="131" t="n">
        <f aca="false">Budget!N74</f>
        <v>0</v>
      </c>
      <c r="AU59" s="131" t="str">
        <f aca="false">IF(OR(12&gt;$B$3,ISBLANK(Actuals!N74)),"",Actuals!N74)</f>
        <v/>
      </c>
      <c r="AV59" s="132" t="str">
        <f aca="false">IF(OR(12&gt;$B$3,ISBLANK(Actuals!N74)),"",Budget!N74-Actuals!N74)</f>
        <v/>
      </c>
      <c r="AW59" s="132" t="str">
        <f aca="false">IFERROR(IF(OR(12&gt;$B$3,ISBLANK(Actuals!N74)),"",(Budget!N74-Actuals!N74)/ABS(Budget!N74)),"")</f>
        <v/>
      </c>
      <c r="AX59" s="133" t="n">
        <f aca="false">SUMPRODUCT((Actuals!C74:N74&lt;&gt;"")*(Budget!C74:N74))</f>
        <v>0</v>
      </c>
      <c r="AY59" s="133" t="n">
        <f aca="false">SUM(Actuals!C74:N74)</f>
        <v>0</v>
      </c>
      <c r="AZ59" s="134" t="n">
        <f aca="false">AX59-AY59</f>
        <v>0</v>
      </c>
    </row>
    <row r="60" customFormat="false" ht="15" hidden="false" customHeight="true" outlineLevel="0" collapsed="false">
      <c r="A60" s="130" t="s">
        <v>112</v>
      </c>
      <c r="B60" s="131" t="n">
        <f aca="false">Budget!C75</f>
        <v>0</v>
      </c>
      <c r="C60" s="131" t="str">
        <f aca="false">IF(OR(1&gt;$B$3,ISBLANK(Actuals!C75)),"",Actuals!C75)</f>
        <v/>
      </c>
      <c r="D60" s="132" t="str">
        <f aca="false">IF(OR(1&gt;$B$3,ISBLANK(Actuals!C75)),"",Budget!C75-Actuals!C75)</f>
        <v/>
      </c>
      <c r="E60" s="132" t="str">
        <f aca="false">IFERROR(IF(OR(1&gt;$B$3,ISBLANK(Actuals!C75)),"",(Budget!C75-Actuals!C75)/ABS(Budget!C75)),"")</f>
        <v/>
      </c>
      <c r="F60" s="131" t="n">
        <f aca="false">Budget!D75</f>
        <v>0</v>
      </c>
      <c r="G60" s="131" t="str">
        <f aca="false">IF(OR(2&gt;$B$3,ISBLANK(Actuals!D75)),"",Actuals!D75)</f>
        <v/>
      </c>
      <c r="H60" s="132" t="str">
        <f aca="false">IF(OR(2&gt;$B$3,ISBLANK(Actuals!D75)),"",Budget!D75-Actuals!D75)</f>
        <v/>
      </c>
      <c r="I60" s="132" t="str">
        <f aca="false">IFERROR(IF(OR(2&gt;$B$3,ISBLANK(Actuals!D75)),"",(Budget!D75-Actuals!D75)/ABS(Budget!D75)),"")</f>
        <v/>
      </c>
      <c r="J60" s="131" t="n">
        <f aca="false">Budget!E75</f>
        <v>0</v>
      </c>
      <c r="K60" s="131" t="str">
        <f aca="false">IF(OR(3&gt;$B$3,ISBLANK(Actuals!E75)),"",Actuals!E75)</f>
        <v/>
      </c>
      <c r="L60" s="132" t="str">
        <f aca="false">IF(OR(3&gt;$B$3,ISBLANK(Actuals!E75)),"",Budget!E75-Actuals!E75)</f>
        <v/>
      </c>
      <c r="M60" s="132" t="str">
        <f aca="false">IFERROR(IF(OR(3&gt;$B$3,ISBLANK(Actuals!E75)),"",(Budget!E75-Actuals!E75)/ABS(Budget!E75)),"")</f>
        <v/>
      </c>
      <c r="N60" s="131" t="n">
        <f aca="false">Budget!F75</f>
        <v>0</v>
      </c>
      <c r="O60" s="131" t="str">
        <f aca="false">IF(OR(4&gt;$B$3,ISBLANK(Actuals!F75)),"",Actuals!F75)</f>
        <v/>
      </c>
      <c r="P60" s="132" t="str">
        <f aca="false">IF(OR(4&gt;$B$3,ISBLANK(Actuals!F75)),"",Budget!F75-Actuals!F75)</f>
        <v/>
      </c>
      <c r="Q60" s="132" t="str">
        <f aca="false">IFERROR(IF(OR(4&gt;$B$3,ISBLANK(Actuals!F75)),"",(Budget!F75-Actuals!F75)/ABS(Budget!F75)),"")</f>
        <v/>
      </c>
      <c r="R60" s="131" t="n">
        <f aca="false">Budget!G75</f>
        <v>0</v>
      </c>
      <c r="S60" s="131" t="str">
        <f aca="false">IF(OR(5&gt;$B$3,ISBLANK(Actuals!G75)),"",Actuals!G75)</f>
        <v/>
      </c>
      <c r="T60" s="132" t="str">
        <f aca="false">IF(OR(5&gt;$B$3,ISBLANK(Actuals!G75)),"",Budget!G75-Actuals!G75)</f>
        <v/>
      </c>
      <c r="U60" s="132" t="str">
        <f aca="false">IFERROR(IF(OR(5&gt;$B$3,ISBLANK(Actuals!G75)),"",(Budget!G75-Actuals!G75)/ABS(Budget!G75)),"")</f>
        <v/>
      </c>
      <c r="V60" s="131" t="n">
        <f aca="false">Budget!H75</f>
        <v>0</v>
      </c>
      <c r="W60" s="131" t="str">
        <f aca="false">IF(OR(6&gt;$B$3,ISBLANK(Actuals!H75)),"",Actuals!H75)</f>
        <v/>
      </c>
      <c r="X60" s="132" t="str">
        <f aca="false">IF(OR(6&gt;$B$3,ISBLANK(Actuals!H75)),"",Budget!H75-Actuals!H75)</f>
        <v/>
      </c>
      <c r="Y60" s="132" t="str">
        <f aca="false">IFERROR(IF(OR(6&gt;$B$3,ISBLANK(Actuals!H75)),"",(Budget!H75-Actuals!H75)/ABS(Budget!H75)),"")</f>
        <v/>
      </c>
      <c r="Z60" s="131" t="n">
        <f aca="false">Budget!I75</f>
        <v>0</v>
      </c>
      <c r="AA60" s="131" t="str">
        <f aca="false">IF(OR(7&gt;$B$3,ISBLANK(Actuals!I75)),"",Actuals!I75)</f>
        <v/>
      </c>
      <c r="AB60" s="132" t="str">
        <f aca="false">IF(OR(7&gt;$B$3,ISBLANK(Actuals!I75)),"",Budget!I75-Actuals!I75)</f>
        <v/>
      </c>
      <c r="AC60" s="132" t="str">
        <f aca="false">IFERROR(IF(OR(7&gt;$B$3,ISBLANK(Actuals!I75)),"",(Budget!I75-Actuals!I75)/ABS(Budget!I75)),"")</f>
        <v/>
      </c>
      <c r="AD60" s="131" t="n">
        <f aca="false">Budget!J75</f>
        <v>0</v>
      </c>
      <c r="AE60" s="131" t="str">
        <f aca="false">IF(OR(8&gt;$B$3,ISBLANK(Actuals!J75)),"",Actuals!J75)</f>
        <v/>
      </c>
      <c r="AF60" s="132" t="str">
        <f aca="false">IF(OR(8&gt;$B$3,ISBLANK(Actuals!J75)),"",Budget!J75-Actuals!J75)</f>
        <v/>
      </c>
      <c r="AG60" s="132" t="str">
        <f aca="false">IFERROR(IF(OR(8&gt;$B$3,ISBLANK(Actuals!J75)),"",(Budget!J75-Actuals!J75)/ABS(Budget!J75)),"")</f>
        <v/>
      </c>
      <c r="AH60" s="131" t="n">
        <f aca="false">Budget!K75</f>
        <v>0</v>
      </c>
      <c r="AI60" s="131" t="str">
        <f aca="false">IF(OR(9&gt;$B$3,ISBLANK(Actuals!K75)),"",Actuals!K75)</f>
        <v/>
      </c>
      <c r="AJ60" s="132" t="str">
        <f aca="false">IF(OR(9&gt;$B$3,ISBLANK(Actuals!K75)),"",Budget!K75-Actuals!K75)</f>
        <v/>
      </c>
      <c r="AK60" s="132" t="str">
        <f aca="false">IFERROR(IF(OR(9&gt;$B$3,ISBLANK(Actuals!K75)),"",(Budget!K75-Actuals!K75)/ABS(Budget!K75)),"")</f>
        <v/>
      </c>
      <c r="AL60" s="131" t="n">
        <f aca="false">Budget!L75</f>
        <v>0</v>
      </c>
      <c r="AM60" s="131" t="str">
        <f aca="false">IF(OR(10&gt;$B$3,ISBLANK(Actuals!L75)),"",Actuals!L75)</f>
        <v/>
      </c>
      <c r="AN60" s="132" t="str">
        <f aca="false">IF(OR(10&gt;$B$3,ISBLANK(Actuals!L75)),"",Budget!L75-Actuals!L75)</f>
        <v/>
      </c>
      <c r="AO60" s="132" t="str">
        <f aca="false">IFERROR(IF(OR(10&gt;$B$3,ISBLANK(Actuals!L75)),"",(Budget!L75-Actuals!L75)/ABS(Budget!L75)),"")</f>
        <v/>
      </c>
      <c r="AP60" s="131" t="n">
        <f aca="false">Budget!M75</f>
        <v>0</v>
      </c>
      <c r="AQ60" s="131" t="str">
        <f aca="false">IF(OR(11&gt;$B$3,ISBLANK(Actuals!M75)),"",Actuals!M75)</f>
        <v/>
      </c>
      <c r="AR60" s="132" t="str">
        <f aca="false">IF(OR(11&gt;$B$3,ISBLANK(Actuals!M75)),"",Budget!M75-Actuals!M75)</f>
        <v/>
      </c>
      <c r="AS60" s="132" t="str">
        <f aca="false">IFERROR(IF(OR(11&gt;$B$3,ISBLANK(Actuals!M75)),"",(Budget!M75-Actuals!M75)/ABS(Budget!M75)),"")</f>
        <v/>
      </c>
      <c r="AT60" s="131" t="n">
        <f aca="false">Budget!N75</f>
        <v>0</v>
      </c>
      <c r="AU60" s="131" t="str">
        <f aca="false">IF(OR(12&gt;$B$3,ISBLANK(Actuals!N75)),"",Actuals!N75)</f>
        <v/>
      </c>
      <c r="AV60" s="132" t="str">
        <f aca="false">IF(OR(12&gt;$B$3,ISBLANK(Actuals!N75)),"",Budget!N75-Actuals!N75)</f>
        <v/>
      </c>
      <c r="AW60" s="132" t="str">
        <f aca="false">IFERROR(IF(OR(12&gt;$B$3,ISBLANK(Actuals!N75)),"",(Budget!N75-Actuals!N75)/ABS(Budget!N75)),"")</f>
        <v/>
      </c>
      <c r="AX60" s="133" t="n">
        <f aca="false">SUMPRODUCT((Actuals!C75:N75&lt;&gt;"")*(Budget!C75:N75))</f>
        <v>0</v>
      </c>
      <c r="AY60" s="133" t="n">
        <f aca="false">SUM(Actuals!C75:N75)</f>
        <v>0</v>
      </c>
      <c r="AZ60" s="134" t="n">
        <f aca="false">AX60-AY60</f>
        <v>0</v>
      </c>
    </row>
    <row r="61" customFormat="false" ht="15" hidden="false" customHeight="true" outlineLevel="0" collapsed="false">
      <c r="A61" s="130" t="s">
        <v>363</v>
      </c>
      <c r="B61" s="131" t="n">
        <f aca="false">Budget!C76</f>
        <v>0</v>
      </c>
      <c r="C61" s="131" t="str">
        <f aca="false">IF(OR(1&gt;$B$3,ISBLANK(Actuals!C76)),"",Actuals!C76)</f>
        <v/>
      </c>
      <c r="D61" s="132" t="str">
        <f aca="false">IF(OR(1&gt;$B$3,ISBLANK(Actuals!C76)),"",Budget!C76-Actuals!C76)</f>
        <v/>
      </c>
      <c r="E61" s="132" t="str">
        <f aca="false">IFERROR(IF(OR(1&gt;$B$3,ISBLANK(Actuals!C76)),"",(Budget!C76-Actuals!C76)/ABS(Budget!C76)),"")</f>
        <v/>
      </c>
      <c r="F61" s="131" t="n">
        <f aca="false">Budget!D76</f>
        <v>0</v>
      </c>
      <c r="G61" s="131" t="str">
        <f aca="false">IF(OR(2&gt;$B$3,ISBLANK(Actuals!D76)),"",Actuals!D76)</f>
        <v/>
      </c>
      <c r="H61" s="132" t="str">
        <f aca="false">IF(OR(2&gt;$B$3,ISBLANK(Actuals!D76)),"",Budget!D76-Actuals!D76)</f>
        <v/>
      </c>
      <c r="I61" s="132" t="str">
        <f aca="false">IFERROR(IF(OR(2&gt;$B$3,ISBLANK(Actuals!D76)),"",(Budget!D76-Actuals!D76)/ABS(Budget!D76)),"")</f>
        <v/>
      </c>
      <c r="J61" s="131" t="n">
        <f aca="false">Budget!E76</f>
        <v>0</v>
      </c>
      <c r="K61" s="131" t="str">
        <f aca="false">IF(OR(3&gt;$B$3,ISBLANK(Actuals!E76)),"",Actuals!E76)</f>
        <v/>
      </c>
      <c r="L61" s="132" t="str">
        <f aca="false">IF(OR(3&gt;$B$3,ISBLANK(Actuals!E76)),"",Budget!E76-Actuals!E76)</f>
        <v/>
      </c>
      <c r="M61" s="132" t="str">
        <f aca="false">IFERROR(IF(OR(3&gt;$B$3,ISBLANK(Actuals!E76)),"",(Budget!E76-Actuals!E76)/ABS(Budget!E76)),"")</f>
        <v/>
      </c>
      <c r="N61" s="131" t="n">
        <f aca="false">Budget!F76</f>
        <v>0</v>
      </c>
      <c r="O61" s="131" t="str">
        <f aca="false">IF(OR(4&gt;$B$3,ISBLANK(Actuals!F76)),"",Actuals!F76)</f>
        <v/>
      </c>
      <c r="P61" s="132" t="str">
        <f aca="false">IF(OR(4&gt;$B$3,ISBLANK(Actuals!F76)),"",Budget!F76-Actuals!F76)</f>
        <v/>
      </c>
      <c r="Q61" s="132" t="str">
        <f aca="false">IFERROR(IF(OR(4&gt;$B$3,ISBLANK(Actuals!F76)),"",(Budget!F76-Actuals!F76)/ABS(Budget!F76)),"")</f>
        <v/>
      </c>
      <c r="R61" s="131" t="n">
        <f aca="false">Budget!G76</f>
        <v>0</v>
      </c>
      <c r="S61" s="131" t="str">
        <f aca="false">IF(OR(5&gt;$B$3,ISBLANK(Actuals!G76)),"",Actuals!G76)</f>
        <v/>
      </c>
      <c r="T61" s="132" t="str">
        <f aca="false">IF(OR(5&gt;$B$3,ISBLANK(Actuals!G76)),"",Budget!G76-Actuals!G76)</f>
        <v/>
      </c>
      <c r="U61" s="132" t="str">
        <f aca="false">IFERROR(IF(OR(5&gt;$B$3,ISBLANK(Actuals!G76)),"",(Budget!G76-Actuals!G76)/ABS(Budget!G76)),"")</f>
        <v/>
      </c>
      <c r="V61" s="131" t="n">
        <f aca="false">Budget!H76</f>
        <v>0</v>
      </c>
      <c r="W61" s="131" t="str">
        <f aca="false">IF(OR(6&gt;$B$3,ISBLANK(Actuals!H76)),"",Actuals!H76)</f>
        <v/>
      </c>
      <c r="X61" s="132" t="str">
        <f aca="false">IF(OR(6&gt;$B$3,ISBLANK(Actuals!H76)),"",Budget!H76-Actuals!H76)</f>
        <v/>
      </c>
      <c r="Y61" s="132" t="str">
        <f aca="false">IFERROR(IF(OR(6&gt;$B$3,ISBLANK(Actuals!H76)),"",(Budget!H76-Actuals!H76)/ABS(Budget!H76)),"")</f>
        <v/>
      </c>
      <c r="Z61" s="131" t="n">
        <f aca="false">Budget!I76</f>
        <v>0</v>
      </c>
      <c r="AA61" s="131" t="str">
        <f aca="false">IF(OR(7&gt;$B$3,ISBLANK(Actuals!I76)),"",Actuals!I76)</f>
        <v/>
      </c>
      <c r="AB61" s="132" t="str">
        <f aca="false">IF(OR(7&gt;$B$3,ISBLANK(Actuals!I76)),"",Budget!I76-Actuals!I76)</f>
        <v/>
      </c>
      <c r="AC61" s="132" t="str">
        <f aca="false">IFERROR(IF(OR(7&gt;$B$3,ISBLANK(Actuals!I76)),"",(Budget!I76-Actuals!I76)/ABS(Budget!I76)),"")</f>
        <v/>
      </c>
      <c r="AD61" s="131" t="n">
        <f aca="false">Budget!J76</f>
        <v>0</v>
      </c>
      <c r="AE61" s="131" t="str">
        <f aca="false">IF(OR(8&gt;$B$3,ISBLANK(Actuals!J76)),"",Actuals!J76)</f>
        <v/>
      </c>
      <c r="AF61" s="132" t="str">
        <f aca="false">IF(OR(8&gt;$B$3,ISBLANK(Actuals!J76)),"",Budget!J76-Actuals!J76)</f>
        <v/>
      </c>
      <c r="AG61" s="132" t="str">
        <f aca="false">IFERROR(IF(OR(8&gt;$B$3,ISBLANK(Actuals!J76)),"",(Budget!J76-Actuals!J76)/ABS(Budget!J76)),"")</f>
        <v/>
      </c>
      <c r="AH61" s="131" t="n">
        <f aca="false">Budget!K76</f>
        <v>0</v>
      </c>
      <c r="AI61" s="131" t="str">
        <f aca="false">IF(OR(9&gt;$B$3,ISBLANK(Actuals!K76)),"",Actuals!K76)</f>
        <v/>
      </c>
      <c r="AJ61" s="132" t="str">
        <f aca="false">IF(OR(9&gt;$B$3,ISBLANK(Actuals!K76)),"",Budget!K76-Actuals!K76)</f>
        <v/>
      </c>
      <c r="AK61" s="132" t="str">
        <f aca="false">IFERROR(IF(OR(9&gt;$B$3,ISBLANK(Actuals!K76)),"",(Budget!K76-Actuals!K76)/ABS(Budget!K76)),"")</f>
        <v/>
      </c>
      <c r="AL61" s="131" t="n">
        <f aca="false">Budget!L76</f>
        <v>0</v>
      </c>
      <c r="AM61" s="131" t="str">
        <f aca="false">IF(OR(10&gt;$B$3,ISBLANK(Actuals!L76)),"",Actuals!L76)</f>
        <v/>
      </c>
      <c r="AN61" s="132" t="str">
        <f aca="false">IF(OR(10&gt;$B$3,ISBLANK(Actuals!L76)),"",Budget!L76-Actuals!L76)</f>
        <v/>
      </c>
      <c r="AO61" s="132" t="str">
        <f aca="false">IFERROR(IF(OR(10&gt;$B$3,ISBLANK(Actuals!L76)),"",(Budget!L76-Actuals!L76)/ABS(Budget!L76)),"")</f>
        <v/>
      </c>
      <c r="AP61" s="131" t="n">
        <f aca="false">Budget!M76</f>
        <v>0</v>
      </c>
      <c r="AQ61" s="131" t="str">
        <f aca="false">IF(OR(11&gt;$B$3,ISBLANK(Actuals!M76)),"",Actuals!M76)</f>
        <v/>
      </c>
      <c r="AR61" s="132" t="str">
        <f aca="false">IF(OR(11&gt;$B$3,ISBLANK(Actuals!M76)),"",Budget!M76-Actuals!M76)</f>
        <v/>
      </c>
      <c r="AS61" s="132" t="str">
        <f aca="false">IFERROR(IF(OR(11&gt;$B$3,ISBLANK(Actuals!M76)),"",(Budget!M76-Actuals!M76)/ABS(Budget!M76)),"")</f>
        <v/>
      </c>
      <c r="AT61" s="131" t="n">
        <f aca="false">Budget!N76</f>
        <v>0</v>
      </c>
      <c r="AU61" s="131" t="str">
        <f aca="false">IF(OR(12&gt;$B$3,ISBLANK(Actuals!N76)),"",Actuals!N76)</f>
        <v/>
      </c>
      <c r="AV61" s="132" t="str">
        <f aca="false">IF(OR(12&gt;$B$3,ISBLANK(Actuals!N76)),"",Budget!N76-Actuals!N76)</f>
        <v/>
      </c>
      <c r="AW61" s="132" t="str">
        <f aca="false">IFERROR(IF(OR(12&gt;$B$3,ISBLANK(Actuals!N76)),"",(Budget!N76-Actuals!N76)/ABS(Budget!N76)),"")</f>
        <v/>
      </c>
      <c r="AX61" s="133" t="n">
        <f aca="false">SUMPRODUCT((Actuals!C76:N76&lt;&gt;"")*(Budget!C76:N76))</f>
        <v>0</v>
      </c>
      <c r="AY61" s="133" t="n">
        <f aca="false">SUM(Actuals!C76:N76)</f>
        <v>0</v>
      </c>
      <c r="AZ61" s="134" t="n">
        <f aca="false">AX61-AY61</f>
        <v>0</v>
      </c>
    </row>
    <row r="62" customFormat="false" ht="15" hidden="false" customHeight="true" outlineLevel="0" collapsed="false">
      <c r="A62" s="130" t="s">
        <v>114</v>
      </c>
      <c r="B62" s="131" t="n">
        <f aca="false">Budget!C77</f>
        <v>0</v>
      </c>
      <c r="C62" s="131" t="str">
        <f aca="false">IF(OR(1&gt;$B$3,ISBLANK(Actuals!C77)),"",Actuals!C77)</f>
        <v/>
      </c>
      <c r="D62" s="132" t="str">
        <f aca="false">IF(OR(1&gt;$B$3,ISBLANK(Actuals!C77)),"",Budget!C77-Actuals!C77)</f>
        <v/>
      </c>
      <c r="E62" s="132" t="str">
        <f aca="false">IFERROR(IF(OR(1&gt;$B$3,ISBLANK(Actuals!C77)),"",(Budget!C77-Actuals!C77)/ABS(Budget!C77)),"")</f>
        <v/>
      </c>
      <c r="F62" s="131" t="n">
        <f aca="false">Budget!D77</f>
        <v>0</v>
      </c>
      <c r="G62" s="131" t="str">
        <f aca="false">IF(OR(2&gt;$B$3,ISBLANK(Actuals!D77)),"",Actuals!D77)</f>
        <v/>
      </c>
      <c r="H62" s="132" t="str">
        <f aca="false">IF(OR(2&gt;$B$3,ISBLANK(Actuals!D77)),"",Budget!D77-Actuals!D77)</f>
        <v/>
      </c>
      <c r="I62" s="132" t="str">
        <f aca="false">IFERROR(IF(OR(2&gt;$B$3,ISBLANK(Actuals!D77)),"",(Budget!D77-Actuals!D77)/ABS(Budget!D77)),"")</f>
        <v/>
      </c>
      <c r="J62" s="131" t="n">
        <f aca="false">Budget!E77</f>
        <v>0</v>
      </c>
      <c r="K62" s="131" t="str">
        <f aca="false">IF(OR(3&gt;$B$3,ISBLANK(Actuals!E77)),"",Actuals!E77)</f>
        <v/>
      </c>
      <c r="L62" s="132" t="str">
        <f aca="false">IF(OR(3&gt;$B$3,ISBLANK(Actuals!E77)),"",Budget!E77-Actuals!E77)</f>
        <v/>
      </c>
      <c r="M62" s="132" t="str">
        <f aca="false">IFERROR(IF(OR(3&gt;$B$3,ISBLANK(Actuals!E77)),"",(Budget!E77-Actuals!E77)/ABS(Budget!E77)),"")</f>
        <v/>
      </c>
      <c r="N62" s="131" t="n">
        <f aca="false">Budget!F77</f>
        <v>0</v>
      </c>
      <c r="O62" s="131" t="str">
        <f aca="false">IF(OR(4&gt;$B$3,ISBLANK(Actuals!F77)),"",Actuals!F77)</f>
        <v/>
      </c>
      <c r="P62" s="132" t="str">
        <f aca="false">IF(OR(4&gt;$B$3,ISBLANK(Actuals!F77)),"",Budget!F77-Actuals!F77)</f>
        <v/>
      </c>
      <c r="Q62" s="132" t="str">
        <f aca="false">IFERROR(IF(OR(4&gt;$B$3,ISBLANK(Actuals!F77)),"",(Budget!F77-Actuals!F77)/ABS(Budget!F77)),"")</f>
        <v/>
      </c>
      <c r="R62" s="131" t="n">
        <f aca="false">Budget!G77</f>
        <v>0</v>
      </c>
      <c r="S62" s="131" t="str">
        <f aca="false">IF(OR(5&gt;$B$3,ISBLANK(Actuals!G77)),"",Actuals!G77)</f>
        <v/>
      </c>
      <c r="T62" s="132" t="str">
        <f aca="false">IF(OR(5&gt;$B$3,ISBLANK(Actuals!G77)),"",Budget!G77-Actuals!G77)</f>
        <v/>
      </c>
      <c r="U62" s="132" t="str">
        <f aca="false">IFERROR(IF(OR(5&gt;$B$3,ISBLANK(Actuals!G77)),"",(Budget!G77-Actuals!G77)/ABS(Budget!G77)),"")</f>
        <v/>
      </c>
      <c r="V62" s="131" t="n">
        <f aca="false">Budget!H77</f>
        <v>0</v>
      </c>
      <c r="W62" s="131" t="str">
        <f aca="false">IF(OR(6&gt;$B$3,ISBLANK(Actuals!H77)),"",Actuals!H77)</f>
        <v/>
      </c>
      <c r="X62" s="132" t="str">
        <f aca="false">IF(OR(6&gt;$B$3,ISBLANK(Actuals!H77)),"",Budget!H77-Actuals!H77)</f>
        <v/>
      </c>
      <c r="Y62" s="132" t="str">
        <f aca="false">IFERROR(IF(OR(6&gt;$B$3,ISBLANK(Actuals!H77)),"",(Budget!H77-Actuals!H77)/ABS(Budget!H77)),"")</f>
        <v/>
      </c>
      <c r="Z62" s="131" t="n">
        <f aca="false">Budget!I77</f>
        <v>0</v>
      </c>
      <c r="AA62" s="131" t="str">
        <f aca="false">IF(OR(7&gt;$B$3,ISBLANK(Actuals!I77)),"",Actuals!I77)</f>
        <v/>
      </c>
      <c r="AB62" s="132" t="str">
        <f aca="false">IF(OR(7&gt;$B$3,ISBLANK(Actuals!I77)),"",Budget!I77-Actuals!I77)</f>
        <v/>
      </c>
      <c r="AC62" s="132" t="str">
        <f aca="false">IFERROR(IF(OR(7&gt;$B$3,ISBLANK(Actuals!I77)),"",(Budget!I77-Actuals!I77)/ABS(Budget!I77)),"")</f>
        <v/>
      </c>
      <c r="AD62" s="131" t="n">
        <f aca="false">Budget!J77</f>
        <v>0</v>
      </c>
      <c r="AE62" s="131" t="n">
        <f aca="false">IF(OR(8&gt;$B$3,ISBLANK(Actuals!J77)),"",Actuals!J77)</f>
        <v>127514</v>
      </c>
      <c r="AF62" s="132" t="n">
        <f aca="false">IF(OR(8&gt;$B$3,ISBLANK(Actuals!J77)),"",Budget!J77-Actuals!J77)</f>
        <v>-127514</v>
      </c>
      <c r="AG62" s="132" t="str">
        <f aca="false">IFERROR(IF(OR(8&gt;$B$3,ISBLANK(Actuals!J77)),"",(Budget!J77-Actuals!J77)/ABS(Budget!J77)),"")</f>
        <v/>
      </c>
      <c r="AH62" s="131" t="n">
        <f aca="false">Budget!K77</f>
        <v>0</v>
      </c>
      <c r="AI62" s="131" t="str">
        <f aca="false">IF(OR(9&gt;$B$3,ISBLANK(Actuals!K77)),"",Actuals!K77)</f>
        <v/>
      </c>
      <c r="AJ62" s="132" t="str">
        <f aca="false">IF(OR(9&gt;$B$3,ISBLANK(Actuals!K77)),"",Budget!K77-Actuals!K77)</f>
        <v/>
      </c>
      <c r="AK62" s="132" t="str">
        <f aca="false">IFERROR(IF(OR(9&gt;$B$3,ISBLANK(Actuals!K77)),"",(Budget!K77-Actuals!K77)/ABS(Budget!K77)),"")</f>
        <v/>
      </c>
      <c r="AL62" s="131" t="n">
        <f aca="false">Budget!L77</f>
        <v>0</v>
      </c>
      <c r="AM62" s="131" t="str">
        <f aca="false">IF(OR(10&gt;$B$3,ISBLANK(Actuals!L77)),"",Actuals!L77)</f>
        <v/>
      </c>
      <c r="AN62" s="132" t="str">
        <f aca="false">IF(OR(10&gt;$B$3,ISBLANK(Actuals!L77)),"",Budget!L77-Actuals!L77)</f>
        <v/>
      </c>
      <c r="AO62" s="132" t="str">
        <f aca="false">IFERROR(IF(OR(10&gt;$B$3,ISBLANK(Actuals!L77)),"",(Budget!L77-Actuals!L77)/ABS(Budget!L77)),"")</f>
        <v/>
      </c>
      <c r="AP62" s="131" t="n">
        <f aca="false">Budget!M77</f>
        <v>0</v>
      </c>
      <c r="AQ62" s="131" t="str">
        <f aca="false">IF(OR(11&gt;$B$3,ISBLANK(Actuals!M77)),"",Actuals!M77)</f>
        <v/>
      </c>
      <c r="AR62" s="132" t="str">
        <f aca="false">IF(OR(11&gt;$B$3,ISBLANK(Actuals!M77)),"",Budget!M77-Actuals!M77)</f>
        <v/>
      </c>
      <c r="AS62" s="132" t="str">
        <f aca="false">IFERROR(IF(OR(11&gt;$B$3,ISBLANK(Actuals!M77)),"",(Budget!M77-Actuals!M77)/ABS(Budget!M77)),"")</f>
        <v/>
      </c>
      <c r="AT62" s="131" t="n">
        <f aca="false">Budget!N77</f>
        <v>0</v>
      </c>
      <c r="AU62" s="131" t="str">
        <f aca="false">IF(OR(12&gt;$B$3,ISBLANK(Actuals!N77)),"",Actuals!N77)</f>
        <v/>
      </c>
      <c r="AV62" s="132" t="str">
        <f aca="false">IF(OR(12&gt;$B$3,ISBLANK(Actuals!N77)),"",Budget!N77-Actuals!N77)</f>
        <v/>
      </c>
      <c r="AW62" s="132" t="str">
        <f aca="false">IFERROR(IF(OR(12&gt;$B$3,ISBLANK(Actuals!N77)),"",(Budget!N77-Actuals!N77)/ABS(Budget!N77)),"")</f>
        <v/>
      </c>
      <c r="AX62" s="133" t="n">
        <f aca="false">SUMPRODUCT((Actuals!C77:N77&lt;&gt;"")*(Budget!C77:N77))</f>
        <v>0</v>
      </c>
      <c r="AY62" s="133" t="n">
        <f aca="false">SUM(Actuals!C77:N77)</f>
        <v>127514</v>
      </c>
      <c r="AZ62" s="134" t="n">
        <f aca="false">AX62-AY62</f>
        <v>-127514</v>
      </c>
    </row>
    <row r="63" customFormat="false" ht="15" hidden="false" customHeight="true" outlineLevel="0" collapsed="false">
      <c r="A63" s="130" t="s">
        <v>115</v>
      </c>
      <c r="B63" s="131" t="n">
        <f aca="false">Budget!C78</f>
        <v>0</v>
      </c>
      <c r="C63" s="131" t="str">
        <f aca="false">IF(OR(1&gt;$B$3,ISBLANK(Actuals!C78)),"",Actuals!C78)</f>
        <v/>
      </c>
      <c r="D63" s="132" t="str">
        <f aca="false">IF(OR(1&gt;$B$3,ISBLANK(Actuals!C78)),"",Budget!C78-Actuals!C78)</f>
        <v/>
      </c>
      <c r="E63" s="132" t="str">
        <f aca="false">IFERROR(IF(OR(1&gt;$B$3,ISBLANK(Actuals!C78)),"",(Budget!C78-Actuals!C78)/ABS(Budget!C78)),"")</f>
        <v/>
      </c>
      <c r="F63" s="131" t="n">
        <f aca="false">Budget!D78</f>
        <v>0</v>
      </c>
      <c r="G63" s="131" t="str">
        <f aca="false">IF(OR(2&gt;$B$3,ISBLANK(Actuals!D78)),"",Actuals!D78)</f>
        <v/>
      </c>
      <c r="H63" s="132" t="str">
        <f aca="false">IF(OR(2&gt;$B$3,ISBLANK(Actuals!D78)),"",Budget!D78-Actuals!D78)</f>
        <v/>
      </c>
      <c r="I63" s="132" t="str">
        <f aca="false">IFERROR(IF(OR(2&gt;$B$3,ISBLANK(Actuals!D78)),"",(Budget!D78-Actuals!D78)/ABS(Budget!D78)),"")</f>
        <v/>
      </c>
      <c r="J63" s="131" t="n">
        <f aca="false">Budget!E78</f>
        <v>0</v>
      </c>
      <c r="K63" s="131" t="str">
        <f aca="false">IF(OR(3&gt;$B$3,ISBLANK(Actuals!E78)),"",Actuals!E78)</f>
        <v/>
      </c>
      <c r="L63" s="132" t="str">
        <f aca="false">IF(OR(3&gt;$B$3,ISBLANK(Actuals!E78)),"",Budget!E78-Actuals!E78)</f>
        <v/>
      </c>
      <c r="M63" s="132" t="str">
        <f aca="false">IFERROR(IF(OR(3&gt;$B$3,ISBLANK(Actuals!E78)),"",(Budget!E78-Actuals!E78)/ABS(Budget!E78)),"")</f>
        <v/>
      </c>
      <c r="N63" s="131" t="n">
        <f aca="false">Budget!F78</f>
        <v>0</v>
      </c>
      <c r="O63" s="131" t="str">
        <f aca="false">IF(OR(4&gt;$B$3,ISBLANK(Actuals!F78)),"",Actuals!F78)</f>
        <v/>
      </c>
      <c r="P63" s="132" t="str">
        <f aca="false">IF(OR(4&gt;$B$3,ISBLANK(Actuals!F78)),"",Budget!F78-Actuals!F78)</f>
        <v/>
      </c>
      <c r="Q63" s="132" t="str">
        <f aca="false">IFERROR(IF(OR(4&gt;$B$3,ISBLANK(Actuals!F78)),"",(Budget!F78-Actuals!F78)/ABS(Budget!F78)),"")</f>
        <v/>
      </c>
      <c r="R63" s="131" t="n">
        <f aca="false">Budget!G78</f>
        <v>0</v>
      </c>
      <c r="S63" s="131" t="str">
        <f aca="false">IF(OR(5&gt;$B$3,ISBLANK(Actuals!G78)),"",Actuals!G78)</f>
        <v/>
      </c>
      <c r="T63" s="132" t="str">
        <f aca="false">IF(OR(5&gt;$B$3,ISBLANK(Actuals!G78)),"",Budget!G78-Actuals!G78)</f>
        <v/>
      </c>
      <c r="U63" s="132" t="str">
        <f aca="false">IFERROR(IF(OR(5&gt;$B$3,ISBLANK(Actuals!G78)),"",(Budget!G78-Actuals!G78)/ABS(Budget!G78)),"")</f>
        <v/>
      </c>
      <c r="V63" s="131" t="n">
        <f aca="false">Budget!H78</f>
        <v>0</v>
      </c>
      <c r="W63" s="131" t="str">
        <f aca="false">IF(OR(6&gt;$B$3,ISBLANK(Actuals!H78)),"",Actuals!H78)</f>
        <v/>
      </c>
      <c r="X63" s="132" t="str">
        <f aca="false">IF(OR(6&gt;$B$3,ISBLANK(Actuals!H78)),"",Budget!H78-Actuals!H78)</f>
        <v/>
      </c>
      <c r="Y63" s="132" t="str">
        <f aca="false">IFERROR(IF(OR(6&gt;$B$3,ISBLANK(Actuals!H78)),"",(Budget!H78-Actuals!H78)/ABS(Budget!H78)),"")</f>
        <v/>
      </c>
      <c r="Z63" s="131" t="n">
        <f aca="false">Budget!I78</f>
        <v>0</v>
      </c>
      <c r="AA63" s="131" t="str">
        <f aca="false">IF(OR(7&gt;$B$3,ISBLANK(Actuals!I78)),"",Actuals!I78)</f>
        <v/>
      </c>
      <c r="AB63" s="132" t="str">
        <f aca="false">IF(OR(7&gt;$B$3,ISBLANK(Actuals!I78)),"",Budget!I78-Actuals!I78)</f>
        <v/>
      </c>
      <c r="AC63" s="132" t="str">
        <f aca="false">IFERROR(IF(OR(7&gt;$B$3,ISBLANK(Actuals!I78)),"",(Budget!I78-Actuals!I78)/ABS(Budget!I78)),"")</f>
        <v/>
      </c>
      <c r="AD63" s="131" t="n">
        <f aca="false">Budget!J78</f>
        <v>0</v>
      </c>
      <c r="AE63" s="131" t="str">
        <f aca="false">IF(OR(8&gt;$B$3,ISBLANK(Actuals!J78)),"",Actuals!J78)</f>
        <v/>
      </c>
      <c r="AF63" s="132" t="str">
        <f aca="false">IF(OR(8&gt;$B$3,ISBLANK(Actuals!J78)),"",Budget!J78-Actuals!J78)</f>
        <v/>
      </c>
      <c r="AG63" s="132" t="str">
        <f aca="false">IFERROR(IF(OR(8&gt;$B$3,ISBLANK(Actuals!J78)),"",(Budget!J78-Actuals!J78)/ABS(Budget!J78)),"")</f>
        <v/>
      </c>
      <c r="AH63" s="131" t="n">
        <f aca="false">Budget!K78</f>
        <v>0</v>
      </c>
      <c r="AI63" s="131" t="str">
        <f aca="false">IF(OR(9&gt;$B$3,ISBLANK(Actuals!K78)),"",Actuals!K78)</f>
        <v/>
      </c>
      <c r="AJ63" s="132" t="str">
        <f aca="false">IF(OR(9&gt;$B$3,ISBLANK(Actuals!K78)),"",Budget!K78-Actuals!K78)</f>
        <v/>
      </c>
      <c r="AK63" s="132" t="str">
        <f aca="false">IFERROR(IF(OR(9&gt;$B$3,ISBLANK(Actuals!K78)),"",(Budget!K78-Actuals!K78)/ABS(Budget!K78)),"")</f>
        <v/>
      </c>
      <c r="AL63" s="131" t="n">
        <f aca="false">Budget!L78</f>
        <v>0</v>
      </c>
      <c r="AM63" s="131" t="str">
        <f aca="false">IF(OR(10&gt;$B$3,ISBLANK(Actuals!L78)),"",Actuals!L78)</f>
        <v/>
      </c>
      <c r="AN63" s="132" t="str">
        <f aca="false">IF(OR(10&gt;$B$3,ISBLANK(Actuals!L78)),"",Budget!L78-Actuals!L78)</f>
        <v/>
      </c>
      <c r="AO63" s="132" t="str">
        <f aca="false">IFERROR(IF(OR(10&gt;$B$3,ISBLANK(Actuals!L78)),"",(Budget!L78-Actuals!L78)/ABS(Budget!L78)),"")</f>
        <v/>
      </c>
      <c r="AP63" s="131" t="n">
        <f aca="false">Budget!M78</f>
        <v>0</v>
      </c>
      <c r="AQ63" s="131" t="str">
        <f aca="false">IF(OR(11&gt;$B$3,ISBLANK(Actuals!M78)),"",Actuals!M78)</f>
        <v/>
      </c>
      <c r="AR63" s="132" t="str">
        <f aca="false">IF(OR(11&gt;$B$3,ISBLANK(Actuals!M78)),"",Budget!M78-Actuals!M78)</f>
        <v/>
      </c>
      <c r="AS63" s="132" t="str">
        <f aca="false">IFERROR(IF(OR(11&gt;$B$3,ISBLANK(Actuals!M78)),"",(Budget!M78-Actuals!M78)/ABS(Budget!M78)),"")</f>
        <v/>
      </c>
      <c r="AT63" s="131" t="n">
        <f aca="false">Budget!N78</f>
        <v>0</v>
      </c>
      <c r="AU63" s="131" t="str">
        <f aca="false">IF(OR(12&gt;$B$3,ISBLANK(Actuals!N78)),"",Actuals!N78)</f>
        <v/>
      </c>
      <c r="AV63" s="132" t="str">
        <f aca="false">IF(OR(12&gt;$B$3,ISBLANK(Actuals!N78)),"",Budget!N78-Actuals!N78)</f>
        <v/>
      </c>
      <c r="AW63" s="132" t="str">
        <f aca="false">IFERROR(IF(OR(12&gt;$B$3,ISBLANK(Actuals!N78)),"",(Budget!N78-Actuals!N78)/ABS(Budget!N78)),"")</f>
        <v/>
      </c>
      <c r="AX63" s="133" t="n">
        <f aca="false">SUMPRODUCT((Actuals!C78:N78&lt;&gt;"")*(Budget!C78:N78))</f>
        <v>0</v>
      </c>
      <c r="AY63" s="133" t="n">
        <f aca="false">SUM(Actuals!C78:N78)</f>
        <v>0</v>
      </c>
      <c r="AZ63" s="134" t="n">
        <f aca="false">AX63-AY63</f>
        <v>0</v>
      </c>
    </row>
    <row r="64" customFormat="false" ht="15" hidden="false" customHeight="true" outlineLevel="0" collapsed="false">
      <c r="A64" s="130" t="s">
        <v>116</v>
      </c>
      <c r="B64" s="131" t="n">
        <f aca="false">Budget!C79</f>
        <v>0</v>
      </c>
      <c r="C64" s="131" t="str">
        <f aca="false">IF(OR(1&gt;$B$3,ISBLANK(Actuals!C79)),"",Actuals!C79)</f>
        <v/>
      </c>
      <c r="D64" s="132" t="str">
        <f aca="false">IF(OR(1&gt;$B$3,ISBLANK(Actuals!C79)),"",Budget!C79-Actuals!C79)</f>
        <v/>
      </c>
      <c r="E64" s="132" t="str">
        <f aca="false">IFERROR(IF(OR(1&gt;$B$3,ISBLANK(Actuals!C79)),"",(Budget!C79-Actuals!C79)/ABS(Budget!C79)),"")</f>
        <v/>
      </c>
      <c r="F64" s="131" t="n">
        <f aca="false">Budget!D79</f>
        <v>0</v>
      </c>
      <c r="G64" s="131" t="str">
        <f aca="false">IF(OR(2&gt;$B$3,ISBLANK(Actuals!D79)),"",Actuals!D79)</f>
        <v/>
      </c>
      <c r="H64" s="132" t="str">
        <f aca="false">IF(OR(2&gt;$B$3,ISBLANK(Actuals!D79)),"",Budget!D79-Actuals!D79)</f>
        <v/>
      </c>
      <c r="I64" s="132" t="str">
        <f aca="false">IFERROR(IF(OR(2&gt;$B$3,ISBLANK(Actuals!D79)),"",(Budget!D79-Actuals!D79)/ABS(Budget!D79)),"")</f>
        <v/>
      </c>
      <c r="J64" s="131" t="n">
        <f aca="false">Budget!E79</f>
        <v>0</v>
      </c>
      <c r="K64" s="131" t="str">
        <f aca="false">IF(OR(3&gt;$B$3,ISBLANK(Actuals!E79)),"",Actuals!E79)</f>
        <v/>
      </c>
      <c r="L64" s="132" t="str">
        <f aca="false">IF(OR(3&gt;$B$3,ISBLANK(Actuals!E79)),"",Budget!E79-Actuals!E79)</f>
        <v/>
      </c>
      <c r="M64" s="132" t="str">
        <f aca="false">IFERROR(IF(OR(3&gt;$B$3,ISBLANK(Actuals!E79)),"",(Budget!E79-Actuals!E79)/ABS(Budget!E79)),"")</f>
        <v/>
      </c>
      <c r="N64" s="131" t="n">
        <f aca="false">Budget!F79</f>
        <v>0</v>
      </c>
      <c r="O64" s="131" t="str">
        <f aca="false">IF(OR(4&gt;$B$3,ISBLANK(Actuals!F79)),"",Actuals!F79)</f>
        <v/>
      </c>
      <c r="P64" s="132" t="str">
        <f aca="false">IF(OR(4&gt;$B$3,ISBLANK(Actuals!F79)),"",Budget!F79-Actuals!F79)</f>
        <v/>
      </c>
      <c r="Q64" s="132" t="str">
        <f aca="false">IFERROR(IF(OR(4&gt;$B$3,ISBLANK(Actuals!F79)),"",(Budget!F79-Actuals!F79)/ABS(Budget!F79)),"")</f>
        <v/>
      </c>
      <c r="R64" s="131" t="n">
        <f aca="false">Budget!G79</f>
        <v>0</v>
      </c>
      <c r="S64" s="131" t="str">
        <f aca="false">IF(OR(5&gt;$B$3,ISBLANK(Actuals!G79)),"",Actuals!G79)</f>
        <v/>
      </c>
      <c r="T64" s="132" t="str">
        <f aca="false">IF(OR(5&gt;$B$3,ISBLANK(Actuals!G79)),"",Budget!G79-Actuals!G79)</f>
        <v/>
      </c>
      <c r="U64" s="132" t="str">
        <f aca="false">IFERROR(IF(OR(5&gt;$B$3,ISBLANK(Actuals!G79)),"",(Budget!G79-Actuals!G79)/ABS(Budget!G79)),"")</f>
        <v/>
      </c>
      <c r="V64" s="131" t="n">
        <f aca="false">Budget!H79</f>
        <v>0</v>
      </c>
      <c r="W64" s="131" t="str">
        <f aca="false">IF(OR(6&gt;$B$3,ISBLANK(Actuals!H79)),"",Actuals!H79)</f>
        <v/>
      </c>
      <c r="X64" s="132" t="str">
        <f aca="false">IF(OR(6&gt;$B$3,ISBLANK(Actuals!H79)),"",Budget!H79-Actuals!H79)</f>
        <v/>
      </c>
      <c r="Y64" s="132" t="str">
        <f aca="false">IFERROR(IF(OR(6&gt;$B$3,ISBLANK(Actuals!H79)),"",(Budget!H79-Actuals!H79)/ABS(Budget!H79)),"")</f>
        <v/>
      </c>
      <c r="Z64" s="131" t="n">
        <f aca="false">Budget!I79</f>
        <v>0</v>
      </c>
      <c r="AA64" s="131" t="str">
        <f aca="false">IF(OR(7&gt;$B$3,ISBLANK(Actuals!I79)),"",Actuals!I79)</f>
        <v/>
      </c>
      <c r="AB64" s="132" t="str">
        <f aca="false">IF(OR(7&gt;$B$3,ISBLANK(Actuals!I79)),"",Budget!I79-Actuals!I79)</f>
        <v/>
      </c>
      <c r="AC64" s="132" t="str">
        <f aca="false">IFERROR(IF(OR(7&gt;$B$3,ISBLANK(Actuals!I79)),"",(Budget!I79-Actuals!I79)/ABS(Budget!I79)),"")</f>
        <v/>
      </c>
      <c r="AD64" s="131" t="n">
        <f aca="false">Budget!J79</f>
        <v>0</v>
      </c>
      <c r="AE64" s="131" t="str">
        <f aca="false">IF(OR(8&gt;$B$3,ISBLANK(Actuals!J79)),"",Actuals!J79)</f>
        <v/>
      </c>
      <c r="AF64" s="132" t="str">
        <f aca="false">IF(OR(8&gt;$B$3,ISBLANK(Actuals!J79)),"",Budget!J79-Actuals!J79)</f>
        <v/>
      </c>
      <c r="AG64" s="132" t="str">
        <f aca="false">IFERROR(IF(OR(8&gt;$B$3,ISBLANK(Actuals!J79)),"",(Budget!J79-Actuals!J79)/ABS(Budget!J79)),"")</f>
        <v/>
      </c>
      <c r="AH64" s="131" t="n">
        <f aca="false">Budget!K79</f>
        <v>0</v>
      </c>
      <c r="AI64" s="131" t="str">
        <f aca="false">IF(OR(9&gt;$B$3,ISBLANK(Actuals!K79)),"",Actuals!K79)</f>
        <v/>
      </c>
      <c r="AJ64" s="132" t="str">
        <f aca="false">IF(OR(9&gt;$B$3,ISBLANK(Actuals!K79)),"",Budget!K79-Actuals!K79)</f>
        <v/>
      </c>
      <c r="AK64" s="132" t="str">
        <f aca="false">IFERROR(IF(OR(9&gt;$B$3,ISBLANK(Actuals!K79)),"",(Budget!K79-Actuals!K79)/ABS(Budget!K79)),"")</f>
        <v/>
      </c>
      <c r="AL64" s="131" t="n">
        <f aca="false">Budget!L79</f>
        <v>0</v>
      </c>
      <c r="AM64" s="131" t="str">
        <f aca="false">IF(OR(10&gt;$B$3,ISBLANK(Actuals!L79)),"",Actuals!L79)</f>
        <v/>
      </c>
      <c r="AN64" s="132" t="str">
        <f aca="false">IF(OR(10&gt;$B$3,ISBLANK(Actuals!L79)),"",Budget!L79-Actuals!L79)</f>
        <v/>
      </c>
      <c r="AO64" s="132" t="str">
        <f aca="false">IFERROR(IF(OR(10&gt;$B$3,ISBLANK(Actuals!L79)),"",(Budget!L79-Actuals!L79)/ABS(Budget!L79)),"")</f>
        <v/>
      </c>
      <c r="AP64" s="131" t="n">
        <f aca="false">Budget!M79</f>
        <v>0</v>
      </c>
      <c r="AQ64" s="131" t="str">
        <f aca="false">IF(OR(11&gt;$B$3,ISBLANK(Actuals!M79)),"",Actuals!M79)</f>
        <v/>
      </c>
      <c r="AR64" s="132" t="str">
        <f aca="false">IF(OR(11&gt;$B$3,ISBLANK(Actuals!M79)),"",Budget!M79-Actuals!M79)</f>
        <v/>
      </c>
      <c r="AS64" s="132" t="str">
        <f aca="false">IFERROR(IF(OR(11&gt;$B$3,ISBLANK(Actuals!M79)),"",(Budget!M79-Actuals!M79)/ABS(Budget!M79)),"")</f>
        <v/>
      </c>
      <c r="AT64" s="131" t="n">
        <f aca="false">Budget!N79</f>
        <v>0</v>
      </c>
      <c r="AU64" s="131" t="str">
        <f aca="false">IF(OR(12&gt;$B$3,ISBLANK(Actuals!N79)),"",Actuals!N79)</f>
        <v/>
      </c>
      <c r="AV64" s="132" t="str">
        <f aca="false">IF(OR(12&gt;$B$3,ISBLANK(Actuals!N79)),"",Budget!N79-Actuals!N79)</f>
        <v/>
      </c>
      <c r="AW64" s="132" t="str">
        <f aca="false">IFERROR(IF(OR(12&gt;$B$3,ISBLANK(Actuals!N79)),"",(Budget!N79-Actuals!N79)/ABS(Budget!N79)),"")</f>
        <v/>
      </c>
      <c r="AX64" s="133" t="n">
        <f aca="false">SUMPRODUCT((Actuals!C79:N79&lt;&gt;"")*(Budget!C79:N79))</f>
        <v>0</v>
      </c>
      <c r="AY64" s="133" t="n">
        <f aca="false">SUM(Actuals!C79:N79)</f>
        <v>0</v>
      </c>
      <c r="AZ64" s="134" t="n">
        <f aca="false">AX64-AY64</f>
        <v>0</v>
      </c>
    </row>
    <row r="65" customFormat="false" ht="15" hidden="false" customHeight="true" outlineLevel="0" collapsed="false">
      <c r="A65" s="130" t="s">
        <v>364</v>
      </c>
      <c r="B65" s="131" t="n">
        <f aca="false">Budget!C80</f>
        <v>0</v>
      </c>
      <c r="C65" s="131" t="str">
        <f aca="false">IF(OR(1&gt;$B$3,ISBLANK(Actuals!C80)),"",Actuals!C80)</f>
        <v/>
      </c>
      <c r="D65" s="132" t="str">
        <f aca="false">IF(OR(1&gt;$B$3,ISBLANK(Actuals!C80)),"",Budget!C80-Actuals!C80)</f>
        <v/>
      </c>
      <c r="E65" s="132" t="str">
        <f aca="false">IFERROR(IF(OR(1&gt;$B$3,ISBLANK(Actuals!C80)),"",(Budget!C80-Actuals!C80)/ABS(Budget!C80)),"")</f>
        <v/>
      </c>
      <c r="F65" s="131" t="n">
        <f aca="false">Budget!D80</f>
        <v>0</v>
      </c>
      <c r="G65" s="131" t="str">
        <f aca="false">IF(OR(2&gt;$B$3,ISBLANK(Actuals!D80)),"",Actuals!D80)</f>
        <v/>
      </c>
      <c r="H65" s="132" t="str">
        <f aca="false">IF(OR(2&gt;$B$3,ISBLANK(Actuals!D80)),"",Budget!D80-Actuals!D80)</f>
        <v/>
      </c>
      <c r="I65" s="132" t="str">
        <f aca="false">IFERROR(IF(OR(2&gt;$B$3,ISBLANK(Actuals!D80)),"",(Budget!D80-Actuals!D80)/ABS(Budget!D80)),"")</f>
        <v/>
      </c>
      <c r="J65" s="131" t="n">
        <f aca="false">Budget!E80</f>
        <v>0</v>
      </c>
      <c r="K65" s="131" t="str">
        <f aca="false">IF(OR(3&gt;$B$3,ISBLANK(Actuals!E80)),"",Actuals!E80)</f>
        <v/>
      </c>
      <c r="L65" s="132" t="str">
        <f aca="false">IF(OR(3&gt;$B$3,ISBLANK(Actuals!E80)),"",Budget!E80-Actuals!E80)</f>
        <v/>
      </c>
      <c r="M65" s="132" t="str">
        <f aca="false">IFERROR(IF(OR(3&gt;$B$3,ISBLANK(Actuals!E80)),"",(Budget!E80-Actuals!E80)/ABS(Budget!E80)),"")</f>
        <v/>
      </c>
      <c r="N65" s="131" t="n">
        <f aca="false">Budget!F80</f>
        <v>0</v>
      </c>
      <c r="O65" s="131" t="str">
        <f aca="false">IF(OR(4&gt;$B$3,ISBLANK(Actuals!F80)),"",Actuals!F80)</f>
        <v/>
      </c>
      <c r="P65" s="132" t="str">
        <f aca="false">IF(OR(4&gt;$B$3,ISBLANK(Actuals!F80)),"",Budget!F80-Actuals!F80)</f>
        <v/>
      </c>
      <c r="Q65" s="132" t="str">
        <f aca="false">IFERROR(IF(OR(4&gt;$B$3,ISBLANK(Actuals!F80)),"",(Budget!F80-Actuals!F80)/ABS(Budget!F80)),"")</f>
        <v/>
      </c>
      <c r="R65" s="131" t="n">
        <f aca="false">Budget!G80</f>
        <v>0</v>
      </c>
      <c r="S65" s="131" t="str">
        <f aca="false">IF(OR(5&gt;$B$3,ISBLANK(Actuals!G80)),"",Actuals!G80)</f>
        <v/>
      </c>
      <c r="T65" s="132" t="str">
        <f aca="false">IF(OR(5&gt;$B$3,ISBLANK(Actuals!G80)),"",Budget!G80-Actuals!G80)</f>
        <v/>
      </c>
      <c r="U65" s="132" t="str">
        <f aca="false">IFERROR(IF(OR(5&gt;$B$3,ISBLANK(Actuals!G80)),"",(Budget!G80-Actuals!G80)/ABS(Budget!G80)),"")</f>
        <v/>
      </c>
      <c r="V65" s="131" t="n">
        <f aca="false">Budget!H80</f>
        <v>0</v>
      </c>
      <c r="W65" s="131" t="str">
        <f aca="false">IF(OR(6&gt;$B$3,ISBLANK(Actuals!H80)),"",Actuals!H80)</f>
        <v/>
      </c>
      <c r="X65" s="132" t="str">
        <f aca="false">IF(OR(6&gt;$B$3,ISBLANK(Actuals!H80)),"",Budget!H80-Actuals!H80)</f>
        <v/>
      </c>
      <c r="Y65" s="132" t="str">
        <f aca="false">IFERROR(IF(OR(6&gt;$B$3,ISBLANK(Actuals!H80)),"",(Budget!H80-Actuals!H80)/ABS(Budget!H80)),"")</f>
        <v/>
      </c>
      <c r="Z65" s="131" t="n">
        <f aca="false">Budget!I80</f>
        <v>0</v>
      </c>
      <c r="AA65" s="131" t="str">
        <f aca="false">IF(OR(7&gt;$B$3,ISBLANK(Actuals!I80)),"",Actuals!I80)</f>
        <v/>
      </c>
      <c r="AB65" s="132" t="str">
        <f aca="false">IF(OR(7&gt;$B$3,ISBLANK(Actuals!I80)),"",Budget!I80-Actuals!I80)</f>
        <v/>
      </c>
      <c r="AC65" s="132" t="str">
        <f aca="false">IFERROR(IF(OR(7&gt;$B$3,ISBLANK(Actuals!I80)),"",(Budget!I80-Actuals!I80)/ABS(Budget!I80)),"")</f>
        <v/>
      </c>
      <c r="AD65" s="131" t="n">
        <f aca="false">Budget!J80</f>
        <v>0</v>
      </c>
      <c r="AE65" s="131" t="str">
        <f aca="false">IF(OR(8&gt;$B$3,ISBLANK(Actuals!J80)),"",Actuals!J80)</f>
        <v/>
      </c>
      <c r="AF65" s="132" t="str">
        <f aca="false">IF(OR(8&gt;$B$3,ISBLANK(Actuals!J80)),"",Budget!J80-Actuals!J80)</f>
        <v/>
      </c>
      <c r="AG65" s="132" t="str">
        <f aca="false">IFERROR(IF(OR(8&gt;$B$3,ISBLANK(Actuals!J80)),"",(Budget!J80-Actuals!J80)/ABS(Budget!J80)),"")</f>
        <v/>
      </c>
      <c r="AH65" s="131" t="n">
        <f aca="false">Budget!K80</f>
        <v>0</v>
      </c>
      <c r="AI65" s="131" t="str">
        <f aca="false">IF(OR(9&gt;$B$3,ISBLANK(Actuals!K80)),"",Actuals!K80)</f>
        <v/>
      </c>
      <c r="AJ65" s="132" t="str">
        <f aca="false">IF(OR(9&gt;$B$3,ISBLANK(Actuals!K80)),"",Budget!K80-Actuals!K80)</f>
        <v/>
      </c>
      <c r="AK65" s="132" t="str">
        <f aca="false">IFERROR(IF(OR(9&gt;$B$3,ISBLANK(Actuals!K80)),"",(Budget!K80-Actuals!K80)/ABS(Budget!K80)),"")</f>
        <v/>
      </c>
      <c r="AL65" s="131" t="n">
        <f aca="false">Budget!L80</f>
        <v>0</v>
      </c>
      <c r="AM65" s="131" t="str">
        <f aca="false">IF(OR(10&gt;$B$3,ISBLANK(Actuals!L80)),"",Actuals!L80)</f>
        <v/>
      </c>
      <c r="AN65" s="132" t="str">
        <f aca="false">IF(OR(10&gt;$B$3,ISBLANK(Actuals!L80)),"",Budget!L80-Actuals!L80)</f>
        <v/>
      </c>
      <c r="AO65" s="132" t="str">
        <f aca="false">IFERROR(IF(OR(10&gt;$B$3,ISBLANK(Actuals!L80)),"",(Budget!L80-Actuals!L80)/ABS(Budget!L80)),"")</f>
        <v/>
      </c>
      <c r="AP65" s="131" t="n">
        <f aca="false">Budget!M80</f>
        <v>0</v>
      </c>
      <c r="AQ65" s="131" t="str">
        <f aca="false">IF(OR(11&gt;$B$3,ISBLANK(Actuals!M80)),"",Actuals!M80)</f>
        <v/>
      </c>
      <c r="AR65" s="132" t="str">
        <f aca="false">IF(OR(11&gt;$B$3,ISBLANK(Actuals!M80)),"",Budget!M80-Actuals!M80)</f>
        <v/>
      </c>
      <c r="AS65" s="132" t="str">
        <f aca="false">IFERROR(IF(OR(11&gt;$B$3,ISBLANK(Actuals!M80)),"",(Budget!M80-Actuals!M80)/ABS(Budget!M80)),"")</f>
        <v/>
      </c>
      <c r="AT65" s="131" t="n">
        <f aca="false">Budget!N80</f>
        <v>0</v>
      </c>
      <c r="AU65" s="131" t="str">
        <f aca="false">IF(OR(12&gt;$B$3,ISBLANK(Actuals!N80)),"",Actuals!N80)</f>
        <v/>
      </c>
      <c r="AV65" s="132" t="str">
        <f aca="false">IF(OR(12&gt;$B$3,ISBLANK(Actuals!N80)),"",Budget!N80-Actuals!N80)</f>
        <v/>
      </c>
      <c r="AW65" s="132" t="str">
        <f aca="false">IFERROR(IF(OR(12&gt;$B$3,ISBLANK(Actuals!N80)),"",(Budget!N80-Actuals!N80)/ABS(Budget!N80)),"")</f>
        <v/>
      </c>
      <c r="AX65" s="133" t="n">
        <f aca="false">SUMPRODUCT((Actuals!C80:N80&lt;&gt;"")*(Budget!C80:N80))</f>
        <v>0</v>
      </c>
      <c r="AY65" s="133" t="n">
        <f aca="false">SUM(Actuals!C80:N80)</f>
        <v>0</v>
      </c>
      <c r="AZ65" s="134" t="n">
        <f aca="false">AX65-AY65</f>
        <v>0</v>
      </c>
    </row>
    <row r="66" customFormat="false" ht="15" hidden="false" customHeight="true" outlineLevel="0" collapsed="false">
      <c r="A66" s="90" t="s">
        <v>118</v>
      </c>
      <c r="B66" s="131" t="n">
        <f aca="false">Budget!C63</f>
        <v>0</v>
      </c>
      <c r="C66" s="131" t="str">
        <f aca="false">IF(OR(1&gt;$B$3,ISBLANK(Actuals!C63)),"",Actuals!C63)</f>
        <v/>
      </c>
      <c r="D66" s="132" t="str">
        <f aca="false">IF(OR(1&gt;$B$3,ISBLANK(Actuals!C63)),"",Budget!C63-Actuals!C63)</f>
        <v/>
      </c>
      <c r="E66" s="132" t="str">
        <f aca="false">IFERROR(IF(OR(1&gt;$B$3,ISBLANK(Actuals!C63)),"",(Budget!C63-Actuals!C63)/ABS(Budget!C63)),"")</f>
        <v/>
      </c>
      <c r="F66" s="131" t="n">
        <f aca="false">Budget!D63</f>
        <v>0</v>
      </c>
      <c r="G66" s="131" t="str">
        <f aca="false">IF(OR(2&gt;$B$3,ISBLANK(Actuals!D63)),"",Actuals!D63)</f>
        <v/>
      </c>
      <c r="H66" s="132" t="str">
        <f aca="false">IF(OR(2&gt;$B$3,ISBLANK(Actuals!D63)),"",Budget!D63-Actuals!D63)</f>
        <v/>
      </c>
      <c r="I66" s="132" t="str">
        <f aca="false">IFERROR(IF(OR(2&gt;$B$3,ISBLANK(Actuals!D63)),"",(Budget!D63-Actuals!D63)/ABS(Budget!D63)),"")</f>
        <v/>
      </c>
      <c r="J66" s="131" t="n">
        <f aca="false">Budget!E63</f>
        <v>0</v>
      </c>
      <c r="K66" s="131" t="str">
        <f aca="false">IF(OR(3&gt;$B$3,ISBLANK(Actuals!E63)),"",Actuals!E63)</f>
        <v/>
      </c>
      <c r="L66" s="132" t="str">
        <f aca="false">IF(OR(3&gt;$B$3,ISBLANK(Actuals!E63)),"",Budget!E63-Actuals!E63)</f>
        <v/>
      </c>
      <c r="M66" s="132" t="str">
        <f aca="false">IFERROR(IF(OR(3&gt;$B$3,ISBLANK(Actuals!E63)),"",(Budget!E63-Actuals!E63)/ABS(Budget!E63)),"")</f>
        <v/>
      </c>
      <c r="N66" s="131" t="n">
        <f aca="false">Budget!F63</f>
        <v>0</v>
      </c>
      <c r="O66" s="131" t="str">
        <f aca="false">IF(OR(4&gt;$B$3,ISBLANK(Actuals!F63)),"",Actuals!F63)</f>
        <v/>
      </c>
      <c r="P66" s="132" t="str">
        <f aca="false">IF(OR(4&gt;$B$3,ISBLANK(Actuals!F63)),"",Budget!F63-Actuals!F63)</f>
        <v/>
      </c>
      <c r="Q66" s="132" t="str">
        <f aca="false">IFERROR(IF(OR(4&gt;$B$3,ISBLANK(Actuals!F63)),"",(Budget!F63-Actuals!F63)/ABS(Budget!F63)),"")</f>
        <v/>
      </c>
      <c r="R66" s="131" t="n">
        <f aca="false">Budget!G63</f>
        <v>0</v>
      </c>
      <c r="S66" s="131" t="str">
        <f aca="false">IF(OR(5&gt;$B$3,ISBLANK(Actuals!G63)),"",Actuals!G63)</f>
        <v/>
      </c>
      <c r="T66" s="132" t="str">
        <f aca="false">IF(OR(5&gt;$B$3,ISBLANK(Actuals!G63)),"",Budget!G63-Actuals!G63)</f>
        <v/>
      </c>
      <c r="U66" s="132" t="str">
        <f aca="false">IFERROR(IF(OR(5&gt;$B$3,ISBLANK(Actuals!G63)),"",(Budget!G63-Actuals!G63)/ABS(Budget!G63)),"")</f>
        <v/>
      </c>
      <c r="V66" s="131" t="n">
        <f aca="false">Budget!H63</f>
        <v>0</v>
      </c>
      <c r="W66" s="131" t="n">
        <f aca="false">IF(OR(6&gt;$B$3,ISBLANK(Actuals!H63)),"",Actuals!H63)</f>
        <v>299000</v>
      </c>
      <c r="X66" s="132" t="n">
        <f aca="false">IF(OR(6&gt;$B$3,ISBLANK(Actuals!H63)),"",Budget!H63-Actuals!H63)</f>
        <v>-299000</v>
      </c>
      <c r="Y66" s="132" t="str">
        <f aca="false">IFERROR(IF(OR(6&gt;$B$3,ISBLANK(Actuals!H63)),"",(Budget!H63-Actuals!H63)/ABS(Budget!H63)),"")</f>
        <v/>
      </c>
      <c r="Z66" s="131" t="n">
        <f aca="false">Budget!I63</f>
        <v>0</v>
      </c>
      <c r="AA66" s="131" t="n">
        <f aca="false">IF(OR(7&gt;$B$3,ISBLANK(Actuals!I63)),"",Actuals!I63)</f>
        <v>0</v>
      </c>
      <c r="AB66" s="132" t="n">
        <f aca="false">IF(OR(7&gt;$B$3,ISBLANK(Actuals!I63)),"",Budget!I63-Actuals!I63)</f>
        <v>0</v>
      </c>
      <c r="AC66" s="132" t="str">
        <f aca="false">IFERROR(IF(OR(7&gt;$B$3,ISBLANK(Actuals!I63)),"",(Budget!I63-Actuals!I63)/ABS(Budget!I63)),"")</f>
        <v/>
      </c>
      <c r="AD66" s="131" t="n">
        <f aca="false">Budget!J63</f>
        <v>0</v>
      </c>
      <c r="AE66" s="131" t="n">
        <f aca="false">IF(OR(8&gt;$B$3,ISBLANK(Actuals!J63)),"",Actuals!J63)</f>
        <v>0</v>
      </c>
      <c r="AF66" s="132" t="n">
        <f aca="false">IF(OR(8&gt;$B$3,ISBLANK(Actuals!J63)),"",Budget!J63-Actuals!J63)</f>
        <v>0</v>
      </c>
      <c r="AG66" s="132" t="str">
        <f aca="false">IFERROR(IF(OR(8&gt;$B$3,ISBLANK(Actuals!J63)),"",(Budget!J63-Actuals!J63)/ABS(Budget!J63)),"")</f>
        <v/>
      </c>
      <c r="AH66" s="131" t="n">
        <f aca="false">Budget!K63</f>
        <v>0</v>
      </c>
      <c r="AI66" s="131" t="n">
        <f aca="false">IF(OR(9&gt;$B$3,ISBLANK(Actuals!K63)),"",Actuals!K63)</f>
        <v>0</v>
      </c>
      <c r="AJ66" s="132" t="n">
        <f aca="false">IF(OR(9&gt;$B$3,ISBLANK(Actuals!K63)),"",Budget!K63-Actuals!K63)</f>
        <v>0</v>
      </c>
      <c r="AK66" s="132" t="str">
        <f aca="false">IFERROR(IF(OR(9&gt;$B$3,ISBLANK(Actuals!K63)),"",(Budget!K63-Actuals!K63)/ABS(Budget!K63)),"")</f>
        <v/>
      </c>
      <c r="AL66" s="131" t="n">
        <f aca="false">Budget!L63</f>
        <v>0</v>
      </c>
      <c r="AM66" s="131" t="str">
        <f aca="false">IF(OR(10&gt;$B$3,ISBLANK(Actuals!L63)),"",Actuals!L63)</f>
        <v/>
      </c>
      <c r="AN66" s="132" t="str">
        <f aca="false">IF(OR(10&gt;$B$3,ISBLANK(Actuals!L63)),"",Budget!L63-Actuals!L63)</f>
        <v/>
      </c>
      <c r="AO66" s="132" t="str">
        <f aca="false">IFERROR(IF(OR(10&gt;$B$3,ISBLANK(Actuals!L63)),"",(Budget!L63-Actuals!L63)/ABS(Budget!L63)),"")</f>
        <v/>
      </c>
      <c r="AP66" s="131" t="n">
        <f aca="false">Budget!M63</f>
        <v>0</v>
      </c>
      <c r="AQ66" s="131" t="str">
        <f aca="false">IF(OR(11&gt;$B$3,ISBLANK(Actuals!M63)),"",Actuals!M63)</f>
        <v/>
      </c>
      <c r="AR66" s="132" t="str">
        <f aca="false">IF(OR(11&gt;$B$3,ISBLANK(Actuals!M63)),"",Budget!M63-Actuals!M63)</f>
        <v/>
      </c>
      <c r="AS66" s="132" t="str">
        <f aca="false">IFERROR(IF(OR(11&gt;$B$3,ISBLANK(Actuals!M63)),"",(Budget!M63-Actuals!M63)/ABS(Budget!M63)),"")</f>
        <v/>
      </c>
      <c r="AT66" s="131" t="n">
        <f aca="false">Budget!N63</f>
        <v>0</v>
      </c>
      <c r="AU66" s="131" t="str">
        <f aca="false">IF(OR(12&gt;$B$3,ISBLANK(Actuals!N63)),"",Actuals!N63)</f>
        <v/>
      </c>
      <c r="AV66" s="132" t="str">
        <f aca="false">IF(OR(12&gt;$B$3,ISBLANK(Actuals!N63)),"",Budget!N63-Actuals!N63)</f>
        <v/>
      </c>
      <c r="AW66" s="132" t="str">
        <f aca="false">IFERROR(IF(OR(12&gt;$B$3,ISBLANK(Actuals!N63)),"",(Budget!N63-Actuals!N63)/ABS(Budget!N63)),"")</f>
        <v/>
      </c>
      <c r="AX66" s="133" t="n">
        <f aca="false">SUMPRODUCT((Actuals!C63:N66&lt;&gt;"")*(Budget!C63:N66))</f>
        <v>336346.11</v>
      </c>
      <c r="AY66" s="133" t="n">
        <f aca="false">SUM(Actuals!C63:N66)</f>
        <v>519989.56</v>
      </c>
      <c r="AZ66" s="134" t="n">
        <f aca="false">AX66-AY66</f>
        <v>-183643.45</v>
      </c>
    </row>
    <row r="67" customFormat="false" ht="15" hidden="false" customHeight="true" outlineLevel="0" collapsed="false">
      <c r="A67" s="130" t="s">
        <v>123</v>
      </c>
      <c r="B67" s="131" t="n">
        <f aca="false">Budget!C83</f>
        <v>-90233.32</v>
      </c>
      <c r="C67" s="131" t="n">
        <f aca="false">IF(OR(1&gt;$B$3,ISBLANK(Actuals!C83)),"",Actuals!C83)</f>
        <v>-54421</v>
      </c>
      <c r="D67" s="132" t="n">
        <f aca="false">IF(OR(1&gt;$B$3,ISBLANK(Actuals!C83)),"",Budget!C83-Actuals!C83)</f>
        <v>-35812.32</v>
      </c>
      <c r="E67" s="132" t="n">
        <f aca="false">IFERROR(IF(OR(1&gt;$B$3,ISBLANK(Actuals!C83)),"",(Budget!C83-Actuals!C83)/ABS(Budget!C83)),"")</f>
        <v>-0.396885762376914</v>
      </c>
      <c r="F67" s="131" t="n">
        <f aca="false">Budget!D83</f>
        <v>-90233.32</v>
      </c>
      <c r="G67" s="131" t="n">
        <f aca="false">IF(OR(2&gt;$B$3,ISBLANK(Actuals!D83)),"",Actuals!D83)</f>
        <v>-54166.68</v>
      </c>
      <c r="H67" s="132" t="n">
        <f aca="false">IF(OR(2&gt;$B$3,ISBLANK(Actuals!D83)),"",Budget!D83-Actuals!D83)</f>
        <v>-36066.64</v>
      </c>
      <c r="I67" s="132" t="n">
        <f aca="false">IFERROR(IF(OR(2&gt;$B$3,ISBLANK(Actuals!D83)),"",(Budget!D83-Actuals!D83)/ABS(Budget!D83)),"")</f>
        <v>-0.399704233425081</v>
      </c>
      <c r="J67" s="131" t="n">
        <f aca="false">Budget!E83</f>
        <v>-90233.32</v>
      </c>
      <c r="K67" s="131" t="n">
        <f aca="false">IF(OR(3&gt;$B$3,ISBLANK(Actuals!E83)),"",Actuals!E83)</f>
        <v>-54166.68</v>
      </c>
      <c r="L67" s="132" t="n">
        <f aca="false">IF(OR(3&gt;$B$3,ISBLANK(Actuals!E83)),"",Budget!E83-Actuals!E83)</f>
        <v>-36066.64</v>
      </c>
      <c r="M67" s="132" t="n">
        <f aca="false">IFERROR(IF(OR(3&gt;$B$3,ISBLANK(Actuals!E83)),"",(Budget!E83-Actuals!E83)/ABS(Budget!E83)),"")</f>
        <v>-0.399704233425081</v>
      </c>
      <c r="N67" s="131" t="n">
        <f aca="false">Budget!F83</f>
        <v>-90233.32</v>
      </c>
      <c r="O67" s="131" t="n">
        <f aca="false">IF(OR(4&gt;$B$3,ISBLANK(Actuals!F83)),"",Actuals!F83)</f>
        <v>-54166.68</v>
      </c>
      <c r="P67" s="132" t="n">
        <f aca="false">IF(OR(4&gt;$B$3,ISBLANK(Actuals!F83)),"",Budget!F83-Actuals!F83)</f>
        <v>-36066.64</v>
      </c>
      <c r="Q67" s="132" t="n">
        <f aca="false">IFERROR(IF(OR(4&gt;$B$3,ISBLANK(Actuals!F83)),"",(Budget!F83-Actuals!F83)/ABS(Budget!F83)),"")</f>
        <v>-0.399704233425081</v>
      </c>
      <c r="R67" s="131" t="n">
        <f aca="false">Budget!G83</f>
        <v>-90233.32</v>
      </c>
      <c r="S67" s="131" t="n">
        <f aca="false">IF(OR(5&gt;$B$3,ISBLANK(Actuals!G83)),"",Actuals!G83)</f>
        <v>-54166.68</v>
      </c>
      <c r="T67" s="132" t="n">
        <f aca="false">IF(OR(5&gt;$B$3,ISBLANK(Actuals!G83)),"",Budget!G83-Actuals!G83)</f>
        <v>-36066.64</v>
      </c>
      <c r="U67" s="132" t="n">
        <f aca="false">IFERROR(IF(OR(5&gt;$B$3,ISBLANK(Actuals!G83)),"",(Budget!G83-Actuals!G83)/ABS(Budget!G83)),"")</f>
        <v>-0.399704233425081</v>
      </c>
      <c r="V67" s="131" t="n">
        <f aca="false">Budget!H83</f>
        <v>-90233.32</v>
      </c>
      <c r="W67" s="131" t="n">
        <f aca="false">IF(OR(6&gt;$B$3,ISBLANK(Actuals!H83)),"",Actuals!H83)</f>
        <v>-54166.68</v>
      </c>
      <c r="X67" s="132" t="n">
        <f aca="false">IF(OR(6&gt;$B$3,ISBLANK(Actuals!H83)),"",Budget!H83-Actuals!H83)</f>
        <v>-36066.64</v>
      </c>
      <c r="Y67" s="132" t="n">
        <f aca="false">IFERROR(IF(OR(6&gt;$B$3,ISBLANK(Actuals!H83)),"",(Budget!H83-Actuals!H83)/ABS(Budget!H83)),"")</f>
        <v>-0.399704233425081</v>
      </c>
      <c r="Z67" s="131" t="n">
        <f aca="false">Budget!I83</f>
        <v>-89059.65</v>
      </c>
      <c r="AA67" s="131" t="n">
        <f aca="false">IF(OR(7&gt;$B$3,ISBLANK(Actuals!I83)),"",Actuals!I83)</f>
        <v>-54166.68</v>
      </c>
      <c r="AB67" s="132" t="n">
        <f aca="false">IF(OR(7&gt;$B$3,ISBLANK(Actuals!I83)),"",Budget!I83-Actuals!I83)</f>
        <v>-34892.97</v>
      </c>
      <c r="AC67" s="132" t="n">
        <f aca="false">IFERROR(IF(OR(7&gt;$B$3,ISBLANK(Actuals!I83)),"",(Budget!I83-Actuals!I83)/ABS(Budget!I83)),"")</f>
        <v>-0.391793253173575</v>
      </c>
      <c r="AD67" s="131" t="n">
        <f aca="false">Budget!J83</f>
        <v>-89059.65</v>
      </c>
      <c r="AE67" s="131" t="n">
        <f aca="false">IF(OR(8&gt;$B$3,ISBLANK(Actuals!J83)),"",Actuals!J83)</f>
        <v>-54166.68</v>
      </c>
      <c r="AF67" s="132" t="n">
        <f aca="false">IF(OR(8&gt;$B$3,ISBLANK(Actuals!J83)),"",Budget!J83-Actuals!J83)</f>
        <v>-34892.97</v>
      </c>
      <c r="AG67" s="132" t="n">
        <f aca="false">IFERROR(IF(OR(8&gt;$B$3,ISBLANK(Actuals!J83)),"",(Budget!J83-Actuals!J83)/ABS(Budget!J83)),"")</f>
        <v>-0.391793253173575</v>
      </c>
      <c r="AH67" s="131" t="n">
        <f aca="false">Budget!K83</f>
        <v>-89059.65</v>
      </c>
      <c r="AI67" s="131" t="n">
        <f aca="false">IF(OR(9&gt;$B$3,ISBLANK(Actuals!K83)),"",Actuals!K83)</f>
        <v>-54166.68</v>
      </c>
      <c r="AJ67" s="132" t="n">
        <f aca="false">IF(OR(9&gt;$B$3,ISBLANK(Actuals!K83)),"",Budget!K83-Actuals!K83)</f>
        <v>-34892.97</v>
      </c>
      <c r="AK67" s="132" t="n">
        <f aca="false">IFERROR(IF(OR(9&gt;$B$3,ISBLANK(Actuals!K83)),"",(Budget!K83-Actuals!K83)/ABS(Budget!K83)),"")</f>
        <v>-0.391793253173575</v>
      </c>
      <c r="AL67" s="131" t="n">
        <f aca="false">Budget!L83</f>
        <v>-89059.65</v>
      </c>
      <c r="AM67" s="131" t="str">
        <f aca="false">IF(OR(10&gt;$B$3,ISBLANK(Actuals!L83)),"",Actuals!L83)</f>
        <v/>
      </c>
      <c r="AN67" s="132" t="str">
        <f aca="false">IF(OR(10&gt;$B$3,ISBLANK(Actuals!L83)),"",Budget!L83-Actuals!L83)</f>
        <v/>
      </c>
      <c r="AO67" s="132" t="str">
        <f aca="false">IFERROR(IF(OR(10&gt;$B$3,ISBLANK(Actuals!L83)),"",(Budget!L83-Actuals!L83)/ABS(Budget!L83)),"")</f>
        <v/>
      </c>
      <c r="AP67" s="131" t="n">
        <f aca="false">Budget!M83</f>
        <v>-89059.65</v>
      </c>
      <c r="AQ67" s="131" t="str">
        <f aca="false">IF(OR(11&gt;$B$3,ISBLANK(Actuals!M83)),"",Actuals!M83)</f>
        <v/>
      </c>
      <c r="AR67" s="132" t="str">
        <f aca="false">IF(OR(11&gt;$B$3,ISBLANK(Actuals!M83)),"",Budget!M83-Actuals!M83)</f>
        <v/>
      </c>
      <c r="AS67" s="132" t="str">
        <f aca="false">IFERROR(IF(OR(11&gt;$B$3,ISBLANK(Actuals!M83)),"",(Budget!M83-Actuals!M83)/ABS(Budget!M83)),"")</f>
        <v/>
      </c>
      <c r="AT67" s="131" t="n">
        <f aca="false">Budget!N83</f>
        <v>-89059.65</v>
      </c>
      <c r="AU67" s="131" t="str">
        <f aca="false">IF(OR(12&gt;$B$3,ISBLANK(Actuals!N83)),"",Actuals!N83)</f>
        <v/>
      </c>
      <c r="AV67" s="132" t="str">
        <f aca="false">IF(OR(12&gt;$B$3,ISBLANK(Actuals!N83)),"",Budget!N83-Actuals!N83)</f>
        <v/>
      </c>
      <c r="AW67" s="132" t="str">
        <f aca="false">IFERROR(IF(OR(12&gt;$B$3,ISBLANK(Actuals!N83)),"",(Budget!N83-Actuals!N83)/ABS(Budget!N83)),"")</f>
        <v/>
      </c>
      <c r="AX67" s="133" t="n">
        <f aca="false">SUMPRODUCT((Actuals!C83:N83&lt;&gt;"")*(Budget!C83:N83))</f>
        <v>-808578.87</v>
      </c>
      <c r="AY67" s="133" t="n">
        <f aca="false">SUM(Actuals!C83:N83)</f>
        <v>-487754.44</v>
      </c>
      <c r="AZ67" s="134" t="n">
        <f aca="false">AX67-AY67</f>
        <v>-320824.43</v>
      </c>
    </row>
    <row r="68" customFormat="false" ht="15" hidden="false" customHeight="true" outlineLevel="0" collapsed="false">
      <c r="A68" s="130" t="s">
        <v>65</v>
      </c>
      <c r="B68" s="131" t="n">
        <f aca="false">Budget!C84</f>
        <v>-8125</v>
      </c>
      <c r="C68" s="131" t="n">
        <f aca="false">IF(OR(1&gt;$B$3,ISBLANK(Actuals!C84)),"",Actuals!C84)</f>
        <v>-5302</v>
      </c>
      <c r="D68" s="132" t="n">
        <f aca="false">IF(OR(1&gt;$B$3,ISBLANK(Actuals!C84)),"",Budget!C84-Actuals!C84)</f>
        <v>-2823</v>
      </c>
      <c r="E68" s="132" t="n">
        <f aca="false">IFERROR(IF(OR(1&gt;$B$3,ISBLANK(Actuals!C84)),"",(Budget!C84-Actuals!C84)/ABS(Budget!C84)),"")</f>
        <v>-0.347446153846154</v>
      </c>
      <c r="F68" s="131" t="n">
        <f aca="false">Budget!D84</f>
        <v>-8125</v>
      </c>
      <c r="G68" s="131" t="n">
        <f aca="false">IF(OR(2&gt;$B$3,ISBLANK(Actuals!D84)),"",Actuals!D84)</f>
        <v>-4279.79</v>
      </c>
      <c r="H68" s="132" t="n">
        <f aca="false">IF(OR(2&gt;$B$3,ISBLANK(Actuals!D84)),"",Budget!D84-Actuals!D84)</f>
        <v>-3845.21</v>
      </c>
      <c r="I68" s="132" t="n">
        <f aca="false">IFERROR(IF(OR(2&gt;$B$3,ISBLANK(Actuals!D84)),"",(Budget!D84-Actuals!D84)/ABS(Budget!D84)),"")</f>
        <v>-0.473256615384615</v>
      </c>
      <c r="J68" s="131" t="n">
        <f aca="false">Budget!E84</f>
        <v>-8125</v>
      </c>
      <c r="K68" s="131" t="n">
        <f aca="false">IF(OR(3&gt;$B$3,ISBLANK(Actuals!E84)),"",Actuals!E84)</f>
        <v>-4145.97</v>
      </c>
      <c r="L68" s="132" t="n">
        <f aca="false">IF(OR(3&gt;$B$3,ISBLANK(Actuals!E84)),"",Budget!E84-Actuals!E84)</f>
        <v>-3979.03</v>
      </c>
      <c r="M68" s="132" t="n">
        <f aca="false">IFERROR(IF(OR(3&gt;$B$3,ISBLANK(Actuals!E84)),"",(Budget!E84-Actuals!E84)/ABS(Budget!E84)),"")</f>
        <v>-0.489726769230769</v>
      </c>
      <c r="N68" s="131" t="n">
        <f aca="false">Budget!F84</f>
        <v>-8125</v>
      </c>
      <c r="O68" s="131" t="n">
        <f aca="false">IF(OR(4&gt;$B$3,ISBLANK(Actuals!F84)),"",Actuals!F84)</f>
        <v>-4145.96</v>
      </c>
      <c r="P68" s="132" t="n">
        <f aca="false">IF(OR(4&gt;$B$3,ISBLANK(Actuals!F84)),"",Budget!F84-Actuals!F84)</f>
        <v>-3979.04</v>
      </c>
      <c r="Q68" s="132" t="n">
        <f aca="false">IFERROR(IF(OR(4&gt;$B$3,ISBLANK(Actuals!F84)),"",(Budget!F84-Actuals!F84)/ABS(Budget!F84)),"")</f>
        <v>-0.489728</v>
      </c>
      <c r="R68" s="131" t="n">
        <f aca="false">Budget!G84</f>
        <v>-8125</v>
      </c>
      <c r="S68" s="131" t="n">
        <f aca="false">IF(OR(5&gt;$B$3,ISBLANK(Actuals!G84)),"",Actuals!G84)</f>
        <v>-4145.99</v>
      </c>
      <c r="T68" s="132" t="n">
        <f aca="false">IF(OR(5&gt;$B$3,ISBLANK(Actuals!G84)),"",Budget!G84-Actuals!G84)</f>
        <v>-3979.01</v>
      </c>
      <c r="U68" s="132" t="n">
        <f aca="false">IFERROR(IF(OR(5&gt;$B$3,ISBLANK(Actuals!G84)),"",(Budget!G84-Actuals!G84)/ABS(Budget!G84)),"")</f>
        <v>-0.489724307692308</v>
      </c>
      <c r="V68" s="131" t="n">
        <f aca="false">Budget!H84</f>
        <v>-8125</v>
      </c>
      <c r="W68" s="131" t="n">
        <f aca="false">IF(OR(6&gt;$B$3,ISBLANK(Actuals!H84)),"",Actuals!H84)</f>
        <v>-4145.95</v>
      </c>
      <c r="X68" s="132" t="n">
        <f aca="false">IF(OR(6&gt;$B$3,ISBLANK(Actuals!H84)),"",Budget!H84-Actuals!H84)</f>
        <v>-3979.05</v>
      </c>
      <c r="Y68" s="132" t="n">
        <f aca="false">IFERROR(IF(OR(6&gt;$B$3,ISBLANK(Actuals!H84)),"",(Budget!H84-Actuals!H84)/ABS(Budget!H84)),"")</f>
        <v>-0.489729230769231</v>
      </c>
      <c r="Z68" s="131" t="n">
        <f aca="false">Budget!I84</f>
        <v>-8125</v>
      </c>
      <c r="AA68" s="131" t="n">
        <f aca="false">IF(OR(7&gt;$B$3,ISBLANK(Actuals!I84)),"",Actuals!I84)</f>
        <v>-4145.97</v>
      </c>
      <c r="AB68" s="132" t="n">
        <f aca="false">IF(OR(7&gt;$B$3,ISBLANK(Actuals!I84)),"",Budget!I84-Actuals!I84)</f>
        <v>-3979.03</v>
      </c>
      <c r="AC68" s="132" t="n">
        <f aca="false">IFERROR(IF(OR(7&gt;$B$3,ISBLANK(Actuals!I84)),"",(Budget!I84-Actuals!I84)/ABS(Budget!I84)),"")</f>
        <v>-0.489726769230769</v>
      </c>
      <c r="AD68" s="131" t="n">
        <f aca="false">Budget!J84</f>
        <v>-8125</v>
      </c>
      <c r="AE68" s="131" t="n">
        <f aca="false">IF(OR(8&gt;$B$3,ISBLANK(Actuals!J84)),"",Actuals!J84)</f>
        <v>-4145.97</v>
      </c>
      <c r="AF68" s="132" t="n">
        <f aca="false">IF(OR(8&gt;$B$3,ISBLANK(Actuals!J84)),"",Budget!J84-Actuals!J84)</f>
        <v>-3979.03</v>
      </c>
      <c r="AG68" s="132" t="n">
        <f aca="false">IFERROR(IF(OR(8&gt;$B$3,ISBLANK(Actuals!J84)),"",(Budget!J84-Actuals!J84)/ABS(Budget!J84)),"")</f>
        <v>-0.489726769230769</v>
      </c>
      <c r="AH68" s="131" t="n">
        <f aca="false">Budget!K84</f>
        <v>-8125</v>
      </c>
      <c r="AI68" s="131" t="n">
        <f aca="false">IF(OR(9&gt;$B$3,ISBLANK(Actuals!K84)),"",Actuals!K84)</f>
        <v>-3786.97</v>
      </c>
      <c r="AJ68" s="132" t="n">
        <f aca="false">IF(OR(9&gt;$B$3,ISBLANK(Actuals!K84)),"",Budget!K84-Actuals!K84)</f>
        <v>-4338.03</v>
      </c>
      <c r="AK68" s="132" t="n">
        <f aca="false">IFERROR(IF(OR(9&gt;$B$3,ISBLANK(Actuals!K84)),"",(Budget!K84-Actuals!K84)/ABS(Budget!K84)),"")</f>
        <v>-0.533911384615385</v>
      </c>
      <c r="AL68" s="131" t="n">
        <f aca="false">Budget!L84</f>
        <v>-8125</v>
      </c>
      <c r="AM68" s="131" t="str">
        <f aca="false">IF(OR(10&gt;$B$3,ISBLANK(Actuals!L84)),"",Actuals!L84)</f>
        <v/>
      </c>
      <c r="AN68" s="132" t="str">
        <f aca="false">IF(OR(10&gt;$B$3,ISBLANK(Actuals!L84)),"",Budget!L84-Actuals!L84)</f>
        <v/>
      </c>
      <c r="AO68" s="132" t="str">
        <f aca="false">IFERROR(IF(OR(10&gt;$B$3,ISBLANK(Actuals!L84)),"",(Budget!L84-Actuals!L84)/ABS(Budget!L84)),"")</f>
        <v/>
      </c>
      <c r="AP68" s="131" t="n">
        <f aca="false">Budget!M84</f>
        <v>-8125</v>
      </c>
      <c r="AQ68" s="131" t="str">
        <f aca="false">IF(OR(11&gt;$B$3,ISBLANK(Actuals!M84)),"",Actuals!M84)</f>
        <v/>
      </c>
      <c r="AR68" s="132" t="str">
        <f aca="false">IF(OR(11&gt;$B$3,ISBLANK(Actuals!M84)),"",Budget!M84-Actuals!M84)</f>
        <v/>
      </c>
      <c r="AS68" s="132" t="str">
        <f aca="false">IFERROR(IF(OR(11&gt;$B$3,ISBLANK(Actuals!M84)),"",(Budget!M84-Actuals!M84)/ABS(Budget!M84)),"")</f>
        <v/>
      </c>
      <c r="AT68" s="131" t="n">
        <f aca="false">Budget!N84</f>
        <v>-8125</v>
      </c>
      <c r="AU68" s="131" t="str">
        <f aca="false">IF(OR(12&gt;$B$3,ISBLANK(Actuals!N84)),"",Actuals!N84)</f>
        <v/>
      </c>
      <c r="AV68" s="132" t="str">
        <f aca="false">IF(OR(12&gt;$B$3,ISBLANK(Actuals!N84)),"",Budget!N84-Actuals!N84)</f>
        <v/>
      </c>
      <c r="AW68" s="132" t="str">
        <f aca="false">IFERROR(IF(OR(12&gt;$B$3,ISBLANK(Actuals!N84)),"",(Budget!N84-Actuals!N84)/ABS(Budget!N84)),"")</f>
        <v/>
      </c>
      <c r="AX68" s="133" t="n">
        <f aca="false">SUMPRODUCT((Actuals!C84:N84&lt;&gt;"")*(Budget!C84:N84))</f>
        <v>-73125</v>
      </c>
      <c r="AY68" s="133" t="n">
        <f aca="false">SUM(Actuals!C84:N84)</f>
        <v>-38244.57</v>
      </c>
      <c r="AZ68" s="134" t="n">
        <f aca="false">AX68-AY68</f>
        <v>-34880.43</v>
      </c>
    </row>
    <row r="69" customFormat="false" ht="15" hidden="false" customHeight="true" outlineLevel="0" collapsed="false">
      <c r="A69" s="130" t="s">
        <v>67</v>
      </c>
      <c r="B69" s="131" t="n">
        <f aca="false">Budget!C85</f>
        <v>-6554.17</v>
      </c>
      <c r="C69" s="131" t="n">
        <f aca="false">IF(OR(1&gt;$B$3,ISBLANK(Actuals!C85)),"",Actuals!C85)</f>
        <v>-12137.77</v>
      </c>
      <c r="D69" s="132" t="n">
        <f aca="false">IF(OR(1&gt;$B$3,ISBLANK(Actuals!C85)),"",Budget!C85-Actuals!C85)</f>
        <v>5583.6</v>
      </c>
      <c r="E69" s="132" t="n">
        <f aca="false">IFERROR(IF(OR(1&gt;$B$3,ISBLANK(Actuals!C85)),"",(Budget!C85-Actuals!C85)/ABS(Budget!C85)),"")</f>
        <v>0.85191565064684</v>
      </c>
      <c r="F69" s="131" t="n">
        <f aca="false">Budget!D85</f>
        <v>-6554.17</v>
      </c>
      <c r="G69" s="131" t="n">
        <f aca="false">IF(OR(2&gt;$B$3,ISBLANK(Actuals!D85)),"",Actuals!D85)</f>
        <v>-12137.78</v>
      </c>
      <c r="H69" s="132" t="n">
        <f aca="false">IF(OR(2&gt;$B$3,ISBLANK(Actuals!D85)),"",Budget!D85-Actuals!D85)</f>
        <v>5583.61</v>
      </c>
      <c r="I69" s="132" t="n">
        <f aca="false">IFERROR(IF(OR(2&gt;$B$3,ISBLANK(Actuals!D85)),"",(Budget!D85-Actuals!D85)/ABS(Budget!D85)),"")</f>
        <v>0.851917176393045</v>
      </c>
      <c r="J69" s="131" t="n">
        <f aca="false">Budget!E85</f>
        <v>-6554.17</v>
      </c>
      <c r="K69" s="131" t="n">
        <f aca="false">IF(OR(3&gt;$B$3,ISBLANK(Actuals!E85)),"",Actuals!E85)</f>
        <v>-12137.78</v>
      </c>
      <c r="L69" s="132" t="n">
        <f aca="false">IF(OR(3&gt;$B$3,ISBLANK(Actuals!E85)),"",Budget!E85-Actuals!E85)</f>
        <v>5583.61</v>
      </c>
      <c r="M69" s="132" t="n">
        <f aca="false">IFERROR(IF(OR(3&gt;$B$3,ISBLANK(Actuals!E85)),"",(Budget!E85-Actuals!E85)/ABS(Budget!E85)),"")</f>
        <v>0.851917176393045</v>
      </c>
      <c r="N69" s="131" t="n">
        <f aca="false">Budget!F85</f>
        <v>-6554.17</v>
      </c>
      <c r="O69" s="131" t="n">
        <f aca="false">IF(OR(4&gt;$B$3,ISBLANK(Actuals!F85)),"",Actuals!F85)</f>
        <v>-12137.78</v>
      </c>
      <c r="P69" s="132" t="n">
        <f aca="false">IF(OR(4&gt;$B$3,ISBLANK(Actuals!F85)),"",Budget!F85-Actuals!F85)</f>
        <v>5583.61</v>
      </c>
      <c r="Q69" s="132" t="n">
        <f aca="false">IFERROR(IF(OR(4&gt;$B$3,ISBLANK(Actuals!F85)),"",(Budget!F85-Actuals!F85)/ABS(Budget!F85)),"")</f>
        <v>0.851917176393045</v>
      </c>
      <c r="R69" s="131" t="n">
        <f aca="false">Budget!G85</f>
        <v>-6554.17</v>
      </c>
      <c r="S69" s="131" t="n">
        <f aca="false">IF(OR(5&gt;$B$3,ISBLANK(Actuals!G85)),"",Actuals!G85)</f>
        <v>-12137.78</v>
      </c>
      <c r="T69" s="132" t="n">
        <f aca="false">IF(OR(5&gt;$B$3,ISBLANK(Actuals!G85)),"",Budget!G85-Actuals!G85)</f>
        <v>5583.61</v>
      </c>
      <c r="U69" s="132" t="n">
        <f aca="false">IFERROR(IF(OR(5&gt;$B$3,ISBLANK(Actuals!G85)),"",(Budget!G85-Actuals!G85)/ABS(Budget!G85)),"")</f>
        <v>0.851917176393045</v>
      </c>
      <c r="V69" s="131" t="n">
        <f aca="false">Budget!H85</f>
        <v>-6554.17</v>
      </c>
      <c r="W69" s="131" t="n">
        <f aca="false">IF(OR(6&gt;$B$3,ISBLANK(Actuals!H85)),"",Actuals!H85)</f>
        <v>-12137.78</v>
      </c>
      <c r="X69" s="132" t="n">
        <f aca="false">IF(OR(6&gt;$B$3,ISBLANK(Actuals!H85)),"",Budget!H85-Actuals!H85)</f>
        <v>5583.61</v>
      </c>
      <c r="Y69" s="132" t="n">
        <f aca="false">IFERROR(IF(OR(6&gt;$B$3,ISBLANK(Actuals!H85)),"",(Budget!H85-Actuals!H85)/ABS(Budget!H85)),"")</f>
        <v>0.851917176393045</v>
      </c>
      <c r="Z69" s="131" t="n">
        <f aca="false">Budget!I85</f>
        <v>-6554.17</v>
      </c>
      <c r="AA69" s="131" t="n">
        <f aca="false">IF(OR(7&gt;$B$3,ISBLANK(Actuals!I85)),"",Actuals!I85)</f>
        <v>-12137.78</v>
      </c>
      <c r="AB69" s="132" t="n">
        <f aca="false">IF(OR(7&gt;$B$3,ISBLANK(Actuals!I85)),"",Budget!I85-Actuals!I85)</f>
        <v>5583.61</v>
      </c>
      <c r="AC69" s="132" t="n">
        <f aca="false">IFERROR(IF(OR(7&gt;$B$3,ISBLANK(Actuals!I85)),"",(Budget!I85-Actuals!I85)/ABS(Budget!I85)),"")</f>
        <v>0.851917176393045</v>
      </c>
      <c r="AD69" s="131" t="n">
        <f aca="false">Budget!J85</f>
        <v>-6554.17</v>
      </c>
      <c r="AE69" s="131" t="n">
        <f aca="false">IF(OR(8&gt;$B$3,ISBLANK(Actuals!J85)),"",Actuals!J85)</f>
        <v>-12137.78</v>
      </c>
      <c r="AF69" s="132" t="n">
        <f aca="false">IF(OR(8&gt;$B$3,ISBLANK(Actuals!J85)),"",Budget!J85-Actuals!J85)</f>
        <v>5583.61</v>
      </c>
      <c r="AG69" s="132" t="n">
        <f aca="false">IFERROR(IF(OR(8&gt;$B$3,ISBLANK(Actuals!J85)),"",(Budget!J85-Actuals!J85)/ABS(Budget!J85)),"")</f>
        <v>0.851917176393045</v>
      </c>
      <c r="AH69" s="131" t="n">
        <f aca="false">Budget!K85</f>
        <v>-6554.17</v>
      </c>
      <c r="AI69" s="131" t="n">
        <f aca="false">IF(OR(9&gt;$B$3,ISBLANK(Actuals!K85)),"",Actuals!K85)</f>
        <v>-12137.78</v>
      </c>
      <c r="AJ69" s="132" t="n">
        <f aca="false">IF(OR(9&gt;$B$3,ISBLANK(Actuals!K85)),"",Budget!K85-Actuals!K85)</f>
        <v>5583.61</v>
      </c>
      <c r="AK69" s="132" t="n">
        <f aca="false">IFERROR(IF(OR(9&gt;$B$3,ISBLANK(Actuals!K85)),"",(Budget!K85-Actuals!K85)/ABS(Budget!K85)),"")</f>
        <v>0.851917176393045</v>
      </c>
      <c r="AL69" s="131" t="n">
        <f aca="false">Budget!L85</f>
        <v>-6554.17</v>
      </c>
      <c r="AM69" s="131" t="str">
        <f aca="false">IF(OR(10&gt;$B$3,ISBLANK(Actuals!L85)),"",Actuals!L85)</f>
        <v/>
      </c>
      <c r="AN69" s="132" t="str">
        <f aca="false">IF(OR(10&gt;$B$3,ISBLANK(Actuals!L85)),"",Budget!L85-Actuals!L85)</f>
        <v/>
      </c>
      <c r="AO69" s="132" t="str">
        <f aca="false">IFERROR(IF(OR(10&gt;$B$3,ISBLANK(Actuals!L85)),"",(Budget!L85-Actuals!L85)/ABS(Budget!L85)),"")</f>
        <v/>
      </c>
      <c r="AP69" s="131" t="n">
        <f aca="false">Budget!M85</f>
        <v>-6554.17</v>
      </c>
      <c r="AQ69" s="131" t="str">
        <f aca="false">IF(OR(11&gt;$B$3,ISBLANK(Actuals!M85)),"",Actuals!M85)</f>
        <v/>
      </c>
      <c r="AR69" s="132" t="str">
        <f aca="false">IF(OR(11&gt;$B$3,ISBLANK(Actuals!M85)),"",Budget!M85-Actuals!M85)</f>
        <v/>
      </c>
      <c r="AS69" s="132" t="str">
        <f aca="false">IFERROR(IF(OR(11&gt;$B$3,ISBLANK(Actuals!M85)),"",(Budget!M85-Actuals!M85)/ABS(Budget!M85)),"")</f>
        <v/>
      </c>
      <c r="AT69" s="131" t="n">
        <f aca="false">Budget!N85</f>
        <v>-6554.17</v>
      </c>
      <c r="AU69" s="131" t="str">
        <f aca="false">IF(OR(12&gt;$B$3,ISBLANK(Actuals!N85)),"",Actuals!N85)</f>
        <v/>
      </c>
      <c r="AV69" s="132" t="str">
        <f aca="false">IF(OR(12&gt;$B$3,ISBLANK(Actuals!N85)),"",Budget!N85-Actuals!N85)</f>
        <v/>
      </c>
      <c r="AW69" s="132" t="str">
        <f aca="false">IFERROR(IF(OR(12&gt;$B$3,ISBLANK(Actuals!N85)),"",(Budget!N85-Actuals!N85)/ABS(Budget!N85)),"")</f>
        <v/>
      </c>
      <c r="AX69" s="133" t="n">
        <f aca="false">SUMPRODUCT((Actuals!C85:N85&lt;&gt;"")*(Budget!C85:N85))</f>
        <v>-58987.53</v>
      </c>
      <c r="AY69" s="133" t="n">
        <f aca="false">SUM(Actuals!C85:N85)</f>
        <v>-109240.01</v>
      </c>
      <c r="AZ69" s="134" t="n">
        <f aca="false">AX69-AY69</f>
        <v>50252.48</v>
      </c>
    </row>
    <row r="70" customFormat="false" ht="15" hidden="false" customHeight="true" outlineLevel="0" collapsed="false">
      <c r="A70" s="130" t="s">
        <v>68</v>
      </c>
      <c r="B70" s="131" t="n">
        <f aca="false">Budget!C86</f>
        <v>-487.5</v>
      </c>
      <c r="C70" s="131" t="n">
        <f aca="false">IF(OR(1&gt;$B$3,ISBLANK(Actuals!C86)),"",Actuals!C86)</f>
        <v>-475.76</v>
      </c>
      <c r="D70" s="132" t="n">
        <f aca="false">IF(OR(1&gt;$B$3,ISBLANK(Actuals!C86)),"",Budget!C86-Actuals!C86)</f>
        <v>-11.74</v>
      </c>
      <c r="E70" s="132" t="n">
        <f aca="false">IFERROR(IF(OR(1&gt;$B$3,ISBLANK(Actuals!C86)),"",(Budget!C86-Actuals!C86)/ABS(Budget!C86)),"")</f>
        <v>-0.0240820512820513</v>
      </c>
      <c r="F70" s="131" t="n">
        <f aca="false">Budget!D86</f>
        <v>-487.5</v>
      </c>
      <c r="G70" s="131" t="n">
        <f aca="false">IF(OR(2&gt;$B$3,ISBLANK(Actuals!D86)),"",Actuals!D86)</f>
        <v>-475.76</v>
      </c>
      <c r="H70" s="132" t="n">
        <f aca="false">IF(OR(2&gt;$B$3,ISBLANK(Actuals!D86)),"",Budget!D86-Actuals!D86)</f>
        <v>-11.74</v>
      </c>
      <c r="I70" s="132" t="n">
        <f aca="false">IFERROR(IF(OR(2&gt;$B$3,ISBLANK(Actuals!D86)),"",(Budget!D86-Actuals!D86)/ABS(Budget!D86)),"")</f>
        <v>-0.0240820512820513</v>
      </c>
      <c r="J70" s="131" t="n">
        <f aca="false">Budget!E86</f>
        <v>-487.5</v>
      </c>
      <c r="K70" s="131" t="n">
        <f aca="false">IF(OR(3&gt;$B$3,ISBLANK(Actuals!E86)),"",Actuals!E86)</f>
        <v>-475.76</v>
      </c>
      <c r="L70" s="132" t="n">
        <f aca="false">IF(OR(3&gt;$B$3,ISBLANK(Actuals!E86)),"",Budget!E86-Actuals!E86)</f>
        <v>-11.74</v>
      </c>
      <c r="M70" s="132" t="n">
        <f aca="false">IFERROR(IF(OR(3&gt;$B$3,ISBLANK(Actuals!E86)),"",(Budget!E86-Actuals!E86)/ABS(Budget!E86)),"")</f>
        <v>-0.0240820512820513</v>
      </c>
      <c r="N70" s="131" t="n">
        <f aca="false">Budget!F86</f>
        <v>-487.5</v>
      </c>
      <c r="O70" s="131" t="n">
        <f aca="false">IF(OR(4&gt;$B$3,ISBLANK(Actuals!F86)),"",Actuals!F86)</f>
        <v>-475.76</v>
      </c>
      <c r="P70" s="132" t="n">
        <f aca="false">IF(OR(4&gt;$B$3,ISBLANK(Actuals!F86)),"",Budget!F86-Actuals!F86)</f>
        <v>-11.74</v>
      </c>
      <c r="Q70" s="132" t="n">
        <f aca="false">IFERROR(IF(OR(4&gt;$B$3,ISBLANK(Actuals!F86)),"",(Budget!F86-Actuals!F86)/ABS(Budget!F86)),"")</f>
        <v>-0.0240820512820513</v>
      </c>
      <c r="R70" s="131" t="n">
        <f aca="false">Budget!G86</f>
        <v>-487.5</v>
      </c>
      <c r="S70" s="131" t="n">
        <f aca="false">IF(OR(5&gt;$B$3,ISBLANK(Actuals!G86)),"",Actuals!G86)</f>
        <v>-475.76</v>
      </c>
      <c r="T70" s="132" t="n">
        <f aca="false">IF(OR(5&gt;$B$3,ISBLANK(Actuals!G86)),"",Budget!G86-Actuals!G86)</f>
        <v>-11.74</v>
      </c>
      <c r="U70" s="132" t="n">
        <f aca="false">IFERROR(IF(OR(5&gt;$B$3,ISBLANK(Actuals!G86)),"",(Budget!G86-Actuals!G86)/ABS(Budget!G86)),"")</f>
        <v>-0.0240820512820513</v>
      </c>
      <c r="V70" s="131" t="n">
        <f aca="false">Budget!H86</f>
        <v>-487.5</v>
      </c>
      <c r="W70" s="131" t="n">
        <f aca="false">IF(OR(6&gt;$B$3,ISBLANK(Actuals!H86)),"",Actuals!H86)</f>
        <v>-475.76</v>
      </c>
      <c r="X70" s="132" t="n">
        <f aca="false">IF(OR(6&gt;$B$3,ISBLANK(Actuals!H86)),"",Budget!H86-Actuals!H86)</f>
        <v>-11.74</v>
      </c>
      <c r="Y70" s="132" t="n">
        <f aca="false">IFERROR(IF(OR(6&gt;$B$3,ISBLANK(Actuals!H86)),"",(Budget!H86-Actuals!H86)/ABS(Budget!H86)),"")</f>
        <v>-0.0240820512820513</v>
      </c>
      <c r="Z70" s="131" t="n">
        <f aca="false">Budget!I86</f>
        <v>-487.5</v>
      </c>
      <c r="AA70" s="131" t="n">
        <f aca="false">IF(OR(7&gt;$B$3,ISBLANK(Actuals!I86)),"",Actuals!I86)</f>
        <v>-475.76</v>
      </c>
      <c r="AB70" s="132" t="n">
        <f aca="false">IF(OR(7&gt;$B$3,ISBLANK(Actuals!I86)),"",Budget!I86-Actuals!I86)</f>
        <v>-11.74</v>
      </c>
      <c r="AC70" s="132" t="n">
        <f aca="false">IFERROR(IF(OR(7&gt;$B$3,ISBLANK(Actuals!I86)),"",(Budget!I86-Actuals!I86)/ABS(Budget!I86)),"")</f>
        <v>-0.0240820512820513</v>
      </c>
      <c r="AD70" s="131" t="n">
        <f aca="false">Budget!J86</f>
        <v>-487.5</v>
      </c>
      <c r="AE70" s="131" t="n">
        <f aca="false">IF(OR(8&gt;$B$3,ISBLANK(Actuals!J86)),"",Actuals!J86)</f>
        <v>-475.76</v>
      </c>
      <c r="AF70" s="132" t="n">
        <f aca="false">IF(OR(8&gt;$B$3,ISBLANK(Actuals!J86)),"",Budget!J86-Actuals!J86)</f>
        <v>-11.74</v>
      </c>
      <c r="AG70" s="132" t="n">
        <f aca="false">IFERROR(IF(OR(8&gt;$B$3,ISBLANK(Actuals!J86)),"",(Budget!J86-Actuals!J86)/ABS(Budget!J86)),"")</f>
        <v>-0.0240820512820513</v>
      </c>
      <c r="AH70" s="131" t="n">
        <f aca="false">Budget!K86</f>
        <v>-487.5</v>
      </c>
      <c r="AI70" s="131" t="n">
        <f aca="false">IF(OR(9&gt;$B$3,ISBLANK(Actuals!K86)),"",Actuals!K86)</f>
        <v>-475.76</v>
      </c>
      <c r="AJ70" s="132" t="n">
        <f aca="false">IF(OR(9&gt;$B$3,ISBLANK(Actuals!K86)),"",Budget!K86-Actuals!K86)</f>
        <v>-11.74</v>
      </c>
      <c r="AK70" s="132" t="n">
        <f aca="false">IFERROR(IF(OR(9&gt;$B$3,ISBLANK(Actuals!K86)),"",(Budget!K86-Actuals!K86)/ABS(Budget!K86)),"")</f>
        <v>-0.0240820512820513</v>
      </c>
      <c r="AL70" s="131" t="n">
        <f aca="false">Budget!L86</f>
        <v>-487.5</v>
      </c>
      <c r="AM70" s="131" t="str">
        <f aca="false">IF(OR(10&gt;$B$3,ISBLANK(Actuals!L86)),"",Actuals!L86)</f>
        <v/>
      </c>
      <c r="AN70" s="132" t="str">
        <f aca="false">IF(OR(10&gt;$B$3,ISBLANK(Actuals!L86)),"",Budget!L86-Actuals!L86)</f>
        <v/>
      </c>
      <c r="AO70" s="132" t="str">
        <f aca="false">IFERROR(IF(OR(10&gt;$B$3,ISBLANK(Actuals!L86)),"",(Budget!L86-Actuals!L86)/ABS(Budget!L86)),"")</f>
        <v/>
      </c>
      <c r="AP70" s="131" t="n">
        <f aca="false">Budget!M86</f>
        <v>-487.5</v>
      </c>
      <c r="AQ70" s="131" t="str">
        <f aca="false">IF(OR(11&gt;$B$3,ISBLANK(Actuals!M86)),"",Actuals!M86)</f>
        <v/>
      </c>
      <c r="AR70" s="132" t="str">
        <f aca="false">IF(OR(11&gt;$B$3,ISBLANK(Actuals!M86)),"",Budget!M86-Actuals!M86)</f>
        <v/>
      </c>
      <c r="AS70" s="132" t="str">
        <f aca="false">IFERROR(IF(OR(11&gt;$B$3,ISBLANK(Actuals!M86)),"",(Budget!M86-Actuals!M86)/ABS(Budget!M86)),"")</f>
        <v/>
      </c>
      <c r="AT70" s="131" t="n">
        <f aca="false">Budget!N86</f>
        <v>-487.5</v>
      </c>
      <c r="AU70" s="131" t="str">
        <f aca="false">IF(OR(12&gt;$B$3,ISBLANK(Actuals!N86)),"",Actuals!N86)</f>
        <v/>
      </c>
      <c r="AV70" s="132" t="str">
        <f aca="false">IF(OR(12&gt;$B$3,ISBLANK(Actuals!N86)),"",Budget!N86-Actuals!N86)</f>
        <v/>
      </c>
      <c r="AW70" s="132" t="str">
        <f aca="false">IFERROR(IF(OR(12&gt;$B$3,ISBLANK(Actuals!N86)),"",(Budget!N86-Actuals!N86)/ABS(Budget!N86)),"")</f>
        <v/>
      </c>
      <c r="AX70" s="133" t="n">
        <f aca="false">SUMPRODUCT((Actuals!C86:N86&lt;&gt;"")*(Budget!C86:N86))</f>
        <v>-4387.5</v>
      </c>
      <c r="AY70" s="133" t="n">
        <f aca="false">SUM(Actuals!C86:N86)</f>
        <v>-4281.84</v>
      </c>
      <c r="AZ70" s="134" t="n">
        <f aca="false">AX70-AY70</f>
        <v>-105.66</v>
      </c>
    </row>
    <row r="71" customFormat="false" ht="15" hidden="false" customHeight="true" outlineLevel="0" collapsed="false">
      <c r="A71" s="130" t="s">
        <v>69</v>
      </c>
      <c r="B71" s="131" t="n">
        <f aca="false">Budget!C87</f>
        <v>-270.83</v>
      </c>
      <c r="C71" s="131" t="n">
        <f aca="false">IF(OR(1&gt;$B$3,ISBLANK(Actuals!C87)),"",Actuals!C87)</f>
        <v>-2200.12</v>
      </c>
      <c r="D71" s="132" t="n">
        <f aca="false">IF(OR(1&gt;$B$3,ISBLANK(Actuals!C87)),"",Budget!C87-Actuals!C87)</f>
        <v>1929.29</v>
      </c>
      <c r="E71" s="132" t="n">
        <f aca="false">IFERROR(IF(OR(1&gt;$B$3,ISBLANK(Actuals!C87)),"",(Budget!C87-Actuals!C87)/ABS(Budget!C87)),"")</f>
        <v>7.12361998301518</v>
      </c>
      <c r="F71" s="131" t="n">
        <f aca="false">Budget!D87</f>
        <v>-270.83</v>
      </c>
      <c r="G71" s="131" t="n">
        <f aca="false">IF(OR(2&gt;$B$3,ISBLANK(Actuals!D87)),"",Actuals!D87)</f>
        <v>-2200.12</v>
      </c>
      <c r="H71" s="132" t="n">
        <f aca="false">IF(OR(2&gt;$B$3,ISBLANK(Actuals!D87)),"",Budget!D87-Actuals!D87)</f>
        <v>1929.29</v>
      </c>
      <c r="I71" s="132" t="n">
        <f aca="false">IFERROR(IF(OR(2&gt;$B$3,ISBLANK(Actuals!D87)),"",(Budget!D87-Actuals!D87)/ABS(Budget!D87)),"")</f>
        <v>7.12361998301518</v>
      </c>
      <c r="J71" s="131" t="n">
        <f aca="false">Budget!E87</f>
        <v>-270.83</v>
      </c>
      <c r="K71" s="131" t="n">
        <f aca="false">IF(OR(3&gt;$B$3,ISBLANK(Actuals!E87)),"",Actuals!E87)</f>
        <v>-2200.12</v>
      </c>
      <c r="L71" s="132" t="n">
        <f aca="false">IF(OR(3&gt;$B$3,ISBLANK(Actuals!E87)),"",Budget!E87-Actuals!E87)</f>
        <v>1929.29</v>
      </c>
      <c r="M71" s="132" t="n">
        <f aca="false">IFERROR(IF(OR(3&gt;$B$3,ISBLANK(Actuals!E87)),"",(Budget!E87-Actuals!E87)/ABS(Budget!E87)),"")</f>
        <v>7.12361998301518</v>
      </c>
      <c r="N71" s="131" t="n">
        <f aca="false">Budget!F87</f>
        <v>-270.83</v>
      </c>
      <c r="O71" s="131" t="n">
        <f aca="false">IF(OR(4&gt;$B$3,ISBLANK(Actuals!F87)),"",Actuals!F87)</f>
        <v>-2200.12</v>
      </c>
      <c r="P71" s="132" t="n">
        <f aca="false">IF(OR(4&gt;$B$3,ISBLANK(Actuals!F87)),"",Budget!F87-Actuals!F87)</f>
        <v>1929.29</v>
      </c>
      <c r="Q71" s="132" t="n">
        <f aca="false">IFERROR(IF(OR(4&gt;$B$3,ISBLANK(Actuals!F87)),"",(Budget!F87-Actuals!F87)/ABS(Budget!F87)),"")</f>
        <v>7.12361998301518</v>
      </c>
      <c r="R71" s="131" t="n">
        <f aca="false">Budget!G87</f>
        <v>-270.83</v>
      </c>
      <c r="S71" s="131" t="n">
        <f aca="false">IF(OR(5&gt;$B$3,ISBLANK(Actuals!G87)),"",Actuals!G87)</f>
        <v>-2200.12</v>
      </c>
      <c r="T71" s="132" t="n">
        <f aca="false">IF(OR(5&gt;$B$3,ISBLANK(Actuals!G87)),"",Budget!G87-Actuals!G87)</f>
        <v>1929.29</v>
      </c>
      <c r="U71" s="132" t="n">
        <f aca="false">IFERROR(IF(OR(5&gt;$B$3,ISBLANK(Actuals!G87)),"",(Budget!G87-Actuals!G87)/ABS(Budget!G87)),"")</f>
        <v>7.12361998301518</v>
      </c>
      <c r="V71" s="131" t="n">
        <f aca="false">Budget!H87</f>
        <v>-270.83</v>
      </c>
      <c r="W71" s="131" t="n">
        <f aca="false">IF(OR(6&gt;$B$3,ISBLANK(Actuals!H87)),"",Actuals!H87)</f>
        <v>-2200.12</v>
      </c>
      <c r="X71" s="132" t="n">
        <f aca="false">IF(OR(6&gt;$B$3,ISBLANK(Actuals!H87)),"",Budget!H87-Actuals!H87)</f>
        <v>1929.29</v>
      </c>
      <c r="Y71" s="132" t="n">
        <f aca="false">IFERROR(IF(OR(6&gt;$B$3,ISBLANK(Actuals!H87)),"",(Budget!H87-Actuals!H87)/ABS(Budget!H87)),"")</f>
        <v>7.12361998301518</v>
      </c>
      <c r="Z71" s="131" t="n">
        <f aca="false">Budget!I87</f>
        <v>-270.83</v>
      </c>
      <c r="AA71" s="131" t="n">
        <f aca="false">IF(OR(7&gt;$B$3,ISBLANK(Actuals!I87)),"",Actuals!I87)</f>
        <v>-2200.12</v>
      </c>
      <c r="AB71" s="132" t="n">
        <f aca="false">IF(OR(7&gt;$B$3,ISBLANK(Actuals!I87)),"",Budget!I87-Actuals!I87)</f>
        <v>1929.29</v>
      </c>
      <c r="AC71" s="132" t="n">
        <f aca="false">IFERROR(IF(OR(7&gt;$B$3,ISBLANK(Actuals!I87)),"",(Budget!I87-Actuals!I87)/ABS(Budget!I87)),"")</f>
        <v>7.12361998301518</v>
      </c>
      <c r="AD71" s="131" t="n">
        <f aca="false">Budget!J87</f>
        <v>-270.83</v>
      </c>
      <c r="AE71" s="131" t="n">
        <f aca="false">IF(OR(8&gt;$B$3,ISBLANK(Actuals!J87)),"",Actuals!J87)</f>
        <v>-2200.12</v>
      </c>
      <c r="AF71" s="132" t="n">
        <f aca="false">IF(OR(8&gt;$B$3,ISBLANK(Actuals!J87)),"",Budget!J87-Actuals!J87)</f>
        <v>1929.29</v>
      </c>
      <c r="AG71" s="132" t="n">
        <f aca="false">IFERROR(IF(OR(8&gt;$B$3,ISBLANK(Actuals!J87)),"",(Budget!J87-Actuals!J87)/ABS(Budget!J87)),"")</f>
        <v>7.12361998301518</v>
      </c>
      <c r="AH71" s="131" t="n">
        <f aca="false">Budget!K87</f>
        <v>-270.83</v>
      </c>
      <c r="AI71" s="131" t="n">
        <f aca="false">IF(OR(9&gt;$B$3,ISBLANK(Actuals!K87)),"",Actuals!K87)</f>
        <v>-2200.12</v>
      </c>
      <c r="AJ71" s="132" t="n">
        <f aca="false">IF(OR(9&gt;$B$3,ISBLANK(Actuals!K87)),"",Budget!K87-Actuals!K87)</f>
        <v>1929.29</v>
      </c>
      <c r="AK71" s="132" t="n">
        <f aca="false">IFERROR(IF(OR(9&gt;$B$3,ISBLANK(Actuals!K87)),"",(Budget!K87-Actuals!K87)/ABS(Budget!K87)),"")</f>
        <v>7.12361998301518</v>
      </c>
      <c r="AL71" s="131" t="n">
        <f aca="false">Budget!L87</f>
        <v>-270.83</v>
      </c>
      <c r="AM71" s="131" t="str">
        <f aca="false">IF(OR(10&gt;$B$3,ISBLANK(Actuals!L87)),"",Actuals!L87)</f>
        <v/>
      </c>
      <c r="AN71" s="132" t="str">
        <f aca="false">IF(OR(10&gt;$B$3,ISBLANK(Actuals!L87)),"",Budget!L87-Actuals!L87)</f>
        <v/>
      </c>
      <c r="AO71" s="132" t="str">
        <f aca="false">IFERROR(IF(OR(10&gt;$B$3,ISBLANK(Actuals!L87)),"",(Budget!L87-Actuals!L87)/ABS(Budget!L87)),"")</f>
        <v/>
      </c>
      <c r="AP71" s="131" t="n">
        <f aca="false">Budget!M87</f>
        <v>-270.83</v>
      </c>
      <c r="AQ71" s="131" t="str">
        <f aca="false">IF(OR(11&gt;$B$3,ISBLANK(Actuals!M87)),"",Actuals!M87)</f>
        <v/>
      </c>
      <c r="AR71" s="132" t="str">
        <f aca="false">IF(OR(11&gt;$B$3,ISBLANK(Actuals!M87)),"",Budget!M87-Actuals!M87)</f>
        <v/>
      </c>
      <c r="AS71" s="132" t="str">
        <f aca="false">IFERROR(IF(OR(11&gt;$B$3,ISBLANK(Actuals!M87)),"",(Budget!M87-Actuals!M87)/ABS(Budget!M87)),"")</f>
        <v/>
      </c>
      <c r="AT71" s="131" t="n">
        <f aca="false">Budget!N87</f>
        <v>-270.83</v>
      </c>
      <c r="AU71" s="131" t="str">
        <f aca="false">IF(OR(12&gt;$B$3,ISBLANK(Actuals!N87)),"",Actuals!N87)</f>
        <v/>
      </c>
      <c r="AV71" s="132" t="str">
        <f aca="false">IF(OR(12&gt;$B$3,ISBLANK(Actuals!N87)),"",Budget!N87-Actuals!N87)</f>
        <v/>
      </c>
      <c r="AW71" s="132" t="str">
        <f aca="false">IFERROR(IF(OR(12&gt;$B$3,ISBLANK(Actuals!N87)),"",(Budget!N87-Actuals!N87)/ABS(Budget!N87)),"")</f>
        <v/>
      </c>
      <c r="AX71" s="133" t="n">
        <f aca="false">SUMPRODUCT((Actuals!C87:N87&lt;&gt;"")*(Budget!C87:N87))</f>
        <v>-2437.47</v>
      </c>
      <c r="AY71" s="133" t="n">
        <f aca="false">SUM(Actuals!C87:N87)</f>
        <v>-19801.08</v>
      </c>
      <c r="AZ71" s="134" t="n">
        <f aca="false">AX71-AY71</f>
        <v>17363.61</v>
      </c>
    </row>
    <row r="72" customFormat="false" ht="15" hidden="false" customHeight="true" outlineLevel="0" collapsed="false">
      <c r="A72" s="130" t="s">
        <v>72</v>
      </c>
      <c r="B72" s="131" t="n">
        <f aca="false">Budget!C88</f>
        <v>-8000</v>
      </c>
      <c r="C72" s="131" t="n">
        <f aca="false">IF(OR(1&gt;$B$3,ISBLANK(Actuals!C88)),"",Actuals!C88)</f>
        <v>-8848.65</v>
      </c>
      <c r="D72" s="132" t="n">
        <f aca="false">IF(OR(1&gt;$B$3,ISBLANK(Actuals!C88)),"",Budget!C88-Actuals!C88)</f>
        <v>848.65</v>
      </c>
      <c r="E72" s="132" t="n">
        <f aca="false">IFERROR(IF(OR(1&gt;$B$3,ISBLANK(Actuals!C88)),"",(Budget!C88-Actuals!C88)/ABS(Budget!C88)),"")</f>
        <v>0.10608125</v>
      </c>
      <c r="F72" s="131" t="n">
        <f aca="false">Budget!D88</f>
        <v>-8000</v>
      </c>
      <c r="G72" s="131" t="n">
        <f aca="false">IF(OR(2&gt;$B$3,ISBLANK(Actuals!D88)),"",Actuals!D88)</f>
        <v>-8817.63</v>
      </c>
      <c r="H72" s="132" t="n">
        <f aca="false">IF(OR(2&gt;$B$3,ISBLANK(Actuals!D88)),"",Budget!D88-Actuals!D88)</f>
        <v>817.629999999999</v>
      </c>
      <c r="I72" s="132" t="n">
        <f aca="false">IFERROR(IF(OR(2&gt;$B$3,ISBLANK(Actuals!D88)),"",(Budget!D88-Actuals!D88)/ABS(Budget!D88)),"")</f>
        <v>0.10220375</v>
      </c>
      <c r="J72" s="131" t="n">
        <f aca="false">Budget!E88</f>
        <v>-8000</v>
      </c>
      <c r="K72" s="131" t="n">
        <f aca="false">IF(OR(3&gt;$B$3,ISBLANK(Actuals!E88)),"",Actuals!E88)</f>
        <v>-3775.91</v>
      </c>
      <c r="L72" s="132" t="n">
        <f aca="false">IF(OR(3&gt;$B$3,ISBLANK(Actuals!E88)),"",Budget!E88-Actuals!E88)</f>
        <v>-4224.09</v>
      </c>
      <c r="M72" s="132" t="n">
        <f aca="false">IFERROR(IF(OR(3&gt;$B$3,ISBLANK(Actuals!E88)),"",(Budget!E88-Actuals!E88)/ABS(Budget!E88)),"")</f>
        <v>-0.52801125</v>
      </c>
      <c r="N72" s="131" t="n">
        <f aca="false">Budget!F88</f>
        <v>-8000</v>
      </c>
      <c r="O72" s="131" t="n">
        <f aca="false">IF(OR(4&gt;$B$3,ISBLANK(Actuals!F88)),"",Actuals!F88)</f>
        <v>-8731.12</v>
      </c>
      <c r="P72" s="132" t="n">
        <f aca="false">IF(OR(4&gt;$B$3,ISBLANK(Actuals!F88)),"",Budget!F88-Actuals!F88)</f>
        <v>731.120000000001</v>
      </c>
      <c r="Q72" s="132" t="n">
        <f aca="false">IFERROR(IF(OR(4&gt;$B$3,ISBLANK(Actuals!F88)),"",(Budget!F88-Actuals!F88)/ABS(Budget!F88)),"")</f>
        <v>0.0913900000000001</v>
      </c>
      <c r="R72" s="131" t="n">
        <f aca="false">Budget!G88</f>
        <v>-8000</v>
      </c>
      <c r="S72" s="131" t="n">
        <f aca="false">IF(OR(5&gt;$B$3,ISBLANK(Actuals!G88)),"",Actuals!G88)</f>
        <v>-8739.17</v>
      </c>
      <c r="T72" s="132" t="n">
        <f aca="false">IF(OR(5&gt;$B$3,ISBLANK(Actuals!G88)),"",Budget!G88-Actuals!G88)</f>
        <v>739.17</v>
      </c>
      <c r="U72" s="132" t="n">
        <f aca="false">IFERROR(IF(OR(5&gt;$B$3,ISBLANK(Actuals!G88)),"",(Budget!G88-Actuals!G88)/ABS(Budget!G88)),"")</f>
        <v>0.09239625</v>
      </c>
      <c r="V72" s="131" t="n">
        <f aca="false">Budget!H88</f>
        <v>-8000</v>
      </c>
      <c r="W72" s="131" t="n">
        <f aca="false">IF(OR(6&gt;$B$3,ISBLANK(Actuals!H88)),"",Actuals!H88)</f>
        <v>-8771.99</v>
      </c>
      <c r="X72" s="132" t="n">
        <f aca="false">IF(OR(6&gt;$B$3,ISBLANK(Actuals!H88)),"",Budget!H88-Actuals!H88)</f>
        <v>771.99</v>
      </c>
      <c r="Y72" s="132" t="n">
        <f aca="false">IFERROR(IF(OR(6&gt;$B$3,ISBLANK(Actuals!H88)),"",(Budget!H88-Actuals!H88)/ABS(Budget!H88)),"")</f>
        <v>0.09649875</v>
      </c>
      <c r="Z72" s="131" t="n">
        <f aca="false">Budget!I88</f>
        <v>-8160</v>
      </c>
      <c r="AA72" s="131" t="n">
        <f aca="false">IF(OR(7&gt;$B$3,ISBLANK(Actuals!I88)),"",Actuals!I88)</f>
        <v>-13832.56</v>
      </c>
      <c r="AB72" s="132" t="n">
        <f aca="false">IF(OR(7&gt;$B$3,ISBLANK(Actuals!I88)),"",Budget!I88-Actuals!I88)</f>
        <v>5672.56</v>
      </c>
      <c r="AC72" s="132" t="n">
        <f aca="false">IFERROR(IF(OR(7&gt;$B$3,ISBLANK(Actuals!I88)),"",(Budget!I88-Actuals!I88)/ABS(Budget!I88)),"")</f>
        <v>0.695166666666667</v>
      </c>
      <c r="AD72" s="131" t="n">
        <f aca="false">Budget!J88</f>
        <v>-8160</v>
      </c>
      <c r="AE72" s="131" t="n">
        <f aca="false">IF(OR(8&gt;$B$3,ISBLANK(Actuals!J88)),"",Actuals!J88)</f>
        <v>-3870.05</v>
      </c>
      <c r="AF72" s="132" t="n">
        <f aca="false">IF(OR(8&gt;$B$3,ISBLANK(Actuals!J88)),"",Budget!J88-Actuals!J88)</f>
        <v>-4289.95</v>
      </c>
      <c r="AG72" s="132" t="n">
        <f aca="false">IFERROR(IF(OR(8&gt;$B$3,ISBLANK(Actuals!J88)),"",(Budget!J88-Actuals!J88)/ABS(Budget!J88)),"")</f>
        <v>-0.525729166666667</v>
      </c>
      <c r="AH72" s="131" t="n">
        <f aca="false">Budget!K88</f>
        <v>-8160</v>
      </c>
      <c r="AI72" s="131" t="n">
        <f aca="false">IF(OR(9&gt;$B$3,ISBLANK(Actuals!K88)),"",Actuals!K88)</f>
        <v>-8909.61</v>
      </c>
      <c r="AJ72" s="132" t="n">
        <f aca="false">IF(OR(9&gt;$B$3,ISBLANK(Actuals!K88)),"",Budget!K88-Actuals!K88)</f>
        <v>749.610000000001</v>
      </c>
      <c r="AK72" s="132" t="n">
        <f aca="false">IFERROR(IF(OR(9&gt;$B$3,ISBLANK(Actuals!K88)),"",(Budget!K88-Actuals!K88)/ABS(Budget!K88)),"")</f>
        <v>0.0918639705882354</v>
      </c>
      <c r="AL72" s="131" t="n">
        <f aca="false">Budget!L88</f>
        <v>-8160</v>
      </c>
      <c r="AM72" s="131" t="str">
        <f aca="false">IF(OR(10&gt;$B$3,ISBLANK(Actuals!L88)),"",Actuals!L88)</f>
        <v/>
      </c>
      <c r="AN72" s="132" t="str">
        <f aca="false">IF(OR(10&gt;$B$3,ISBLANK(Actuals!L88)),"",Budget!L88-Actuals!L88)</f>
        <v/>
      </c>
      <c r="AO72" s="132" t="str">
        <f aca="false">IFERROR(IF(OR(10&gt;$B$3,ISBLANK(Actuals!L88)),"",(Budget!L88-Actuals!L88)/ABS(Budget!L88)),"")</f>
        <v/>
      </c>
      <c r="AP72" s="131" t="n">
        <f aca="false">Budget!M88</f>
        <v>-8160</v>
      </c>
      <c r="AQ72" s="131" t="str">
        <f aca="false">IF(OR(11&gt;$B$3,ISBLANK(Actuals!M88)),"",Actuals!M88)</f>
        <v/>
      </c>
      <c r="AR72" s="132" t="str">
        <f aca="false">IF(OR(11&gt;$B$3,ISBLANK(Actuals!M88)),"",Budget!M88-Actuals!M88)</f>
        <v/>
      </c>
      <c r="AS72" s="132" t="str">
        <f aca="false">IFERROR(IF(OR(11&gt;$B$3,ISBLANK(Actuals!M88)),"",(Budget!M88-Actuals!M88)/ABS(Budget!M88)),"")</f>
        <v/>
      </c>
      <c r="AT72" s="131" t="n">
        <f aca="false">Budget!N88</f>
        <v>-8160</v>
      </c>
      <c r="AU72" s="131" t="str">
        <f aca="false">IF(OR(12&gt;$B$3,ISBLANK(Actuals!N88)),"",Actuals!N88)</f>
        <v/>
      </c>
      <c r="AV72" s="132" t="str">
        <f aca="false">IF(OR(12&gt;$B$3,ISBLANK(Actuals!N88)),"",Budget!N88-Actuals!N88)</f>
        <v/>
      </c>
      <c r="AW72" s="132" t="str">
        <f aca="false">IFERROR(IF(OR(12&gt;$B$3,ISBLANK(Actuals!N88)),"",(Budget!N88-Actuals!N88)/ABS(Budget!N88)),"")</f>
        <v/>
      </c>
      <c r="AX72" s="133" t="n">
        <f aca="false">SUMPRODUCT((Actuals!C88:N88&lt;&gt;"")*(Budget!C88:N88))</f>
        <v>-72480</v>
      </c>
      <c r="AY72" s="133" t="n">
        <f aca="false">SUM(Actuals!C88:N88)</f>
        <v>-74296.69</v>
      </c>
      <c r="AZ72" s="134" t="n">
        <f aca="false">AX72-AY72</f>
        <v>1816.69</v>
      </c>
    </row>
    <row r="73" customFormat="false" ht="15" hidden="false" customHeight="true" outlineLevel="0" collapsed="false">
      <c r="A73" s="130" t="s">
        <v>73</v>
      </c>
      <c r="B73" s="131" t="n">
        <f aca="false">Budget!C89</f>
        <v>-183.33</v>
      </c>
      <c r="C73" s="131" t="n">
        <f aca="false">IF(OR(1&gt;$B$3,ISBLANK(Actuals!C89)),"",Actuals!C89)</f>
        <v>-1722.9</v>
      </c>
      <c r="D73" s="132" t="n">
        <f aca="false">IF(OR(1&gt;$B$3,ISBLANK(Actuals!C89)),"",Budget!C89-Actuals!C89)</f>
        <v>1539.57</v>
      </c>
      <c r="E73" s="132" t="n">
        <f aca="false">IFERROR(IF(OR(1&gt;$B$3,ISBLANK(Actuals!C89)),"",(Budget!C89-Actuals!C89)/ABS(Budget!C89)),"")</f>
        <v>8.39780723285878</v>
      </c>
      <c r="F73" s="131" t="n">
        <f aca="false">Budget!D89</f>
        <v>-183.33</v>
      </c>
      <c r="G73" s="131" t="n">
        <f aca="false">IF(OR(2&gt;$B$3,ISBLANK(Actuals!D89)),"",Actuals!D89)</f>
        <v>0</v>
      </c>
      <c r="H73" s="132" t="n">
        <f aca="false">IF(OR(2&gt;$B$3,ISBLANK(Actuals!D89)),"",Budget!D89-Actuals!D89)</f>
        <v>-183.33</v>
      </c>
      <c r="I73" s="132" t="n">
        <f aca="false">IFERROR(IF(OR(2&gt;$B$3,ISBLANK(Actuals!D89)),"",(Budget!D89-Actuals!D89)/ABS(Budget!D89)),"")</f>
        <v>-1</v>
      </c>
      <c r="J73" s="131" t="n">
        <f aca="false">Budget!E89</f>
        <v>-183.33</v>
      </c>
      <c r="K73" s="131" t="n">
        <f aca="false">IF(OR(3&gt;$B$3,ISBLANK(Actuals!E89)),"",Actuals!E89)</f>
        <v>-28.51</v>
      </c>
      <c r="L73" s="132" t="n">
        <f aca="false">IF(OR(3&gt;$B$3,ISBLANK(Actuals!E89)),"",Budget!E89-Actuals!E89)</f>
        <v>-154.82</v>
      </c>
      <c r="M73" s="132" t="n">
        <f aca="false">IFERROR(IF(OR(3&gt;$B$3,ISBLANK(Actuals!E89)),"",(Budget!E89-Actuals!E89)/ABS(Budget!E89)),"")</f>
        <v>-0.844488081601484</v>
      </c>
      <c r="N73" s="131" t="n">
        <f aca="false">Budget!F89</f>
        <v>-183.33</v>
      </c>
      <c r="O73" s="131" t="n">
        <f aca="false">IF(OR(4&gt;$B$3,ISBLANK(Actuals!F89)),"",Actuals!F89)</f>
        <v>0</v>
      </c>
      <c r="P73" s="132" t="n">
        <f aca="false">IF(OR(4&gt;$B$3,ISBLANK(Actuals!F89)),"",Budget!F89-Actuals!F89)</f>
        <v>-183.33</v>
      </c>
      <c r="Q73" s="132" t="n">
        <f aca="false">IFERROR(IF(OR(4&gt;$B$3,ISBLANK(Actuals!F89)),"",(Budget!F89-Actuals!F89)/ABS(Budget!F89)),"")</f>
        <v>-1</v>
      </c>
      <c r="R73" s="131" t="n">
        <f aca="false">Budget!G89</f>
        <v>-183.33</v>
      </c>
      <c r="S73" s="131" t="n">
        <f aca="false">IF(OR(5&gt;$B$3,ISBLANK(Actuals!G89)),"",Actuals!G89)</f>
        <v>-212.12</v>
      </c>
      <c r="T73" s="132" t="n">
        <f aca="false">IF(OR(5&gt;$B$3,ISBLANK(Actuals!G89)),"",Budget!G89-Actuals!G89)</f>
        <v>28.79</v>
      </c>
      <c r="U73" s="132" t="n">
        <f aca="false">IFERROR(IF(OR(5&gt;$B$3,ISBLANK(Actuals!G89)),"",(Budget!G89-Actuals!G89)/ABS(Budget!G89)),"")</f>
        <v>0.157039218894889</v>
      </c>
      <c r="V73" s="131" t="n">
        <f aca="false">Budget!H89</f>
        <v>-183.33</v>
      </c>
      <c r="W73" s="131" t="n">
        <f aca="false">IF(OR(6&gt;$B$3,ISBLANK(Actuals!H89)),"",Actuals!H89)</f>
        <v>-83.92</v>
      </c>
      <c r="X73" s="132" t="n">
        <f aca="false">IF(OR(6&gt;$B$3,ISBLANK(Actuals!H89)),"",Budget!H89-Actuals!H89)</f>
        <v>-99.41</v>
      </c>
      <c r="Y73" s="132" t="n">
        <f aca="false">IFERROR(IF(OR(6&gt;$B$3,ISBLANK(Actuals!H89)),"",(Budget!H89-Actuals!H89)/ABS(Budget!H89)),"")</f>
        <v>-0.542246222658594</v>
      </c>
      <c r="Z73" s="131" t="n">
        <f aca="false">Budget!I89</f>
        <v>-187</v>
      </c>
      <c r="AA73" s="131" t="n">
        <f aca="false">IF(OR(7&gt;$B$3,ISBLANK(Actuals!I89)),"",Actuals!I89)</f>
        <v>-530</v>
      </c>
      <c r="AB73" s="132" t="n">
        <f aca="false">IF(OR(7&gt;$B$3,ISBLANK(Actuals!I89)),"",Budget!I89-Actuals!I89)</f>
        <v>343</v>
      </c>
      <c r="AC73" s="132" t="n">
        <f aca="false">IFERROR(IF(OR(7&gt;$B$3,ISBLANK(Actuals!I89)),"",(Budget!I89-Actuals!I89)/ABS(Budget!I89)),"")</f>
        <v>1.83422459893048</v>
      </c>
      <c r="AD73" s="131" t="n">
        <f aca="false">Budget!J89</f>
        <v>-187</v>
      </c>
      <c r="AE73" s="131" t="n">
        <f aca="false">IF(OR(8&gt;$B$3,ISBLANK(Actuals!J89)),"",Actuals!J89)</f>
        <v>-180.23</v>
      </c>
      <c r="AF73" s="132" t="n">
        <f aca="false">IF(OR(8&gt;$B$3,ISBLANK(Actuals!J89)),"",Budget!J89-Actuals!J89)</f>
        <v>-6.77000000000001</v>
      </c>
      <c r="AG73" s="132" t="n">
        <f aca="false">IFERROR(IF(OR(8&gt;$B$3,ISBLANK(Actuals!J89)),"",(Budget!J89-Actuals!J89)/ABS(Budget!J89)),"")</f>
        <v>-0.0362032085561498</v>
      </c>
      <c r="AH73" s="131" t="n">
        <f aca="false">Budget!K89</f>
        <v>-187</v>
      </c>
      <c r="AI73" s="131" t="n">
        <f aca="false">IF(OR(9&gt;$B$3,ISBLANK(Actuals!K89)),"",Actuals!K89)</f>
        <v>-952.23</v>
      </c>
      <c r="AJ73" s="132" t="n">
        <f aca="false">IF(OR(9&gt;$B$3,ISBLANK(Actuals!K89)),"",Budget!K89-Actuals!K89)</f>
        <v>765.23</v>
      </c>
      <c r="AK73" s="132" t="n">
        <f aca="false">IFERROR(IF(OR(9&gt;$B$3,ISBLANK(Actuals!K89)),"",(Budget!K89-Actuals!K89)/ABS(Budget!K89)),"")</f>
        <v>4.09213903743316</v>
      </c>
      <c r="AL73" s="131" t="n">
        <f aca="false">Budget!L89</f>
        <v>-187</v>
      </c>
      <c r="AM73" s="131" t="str">
        <f aca="false">IF(OR(10&gt;$B$3,ISBLANK(Actuals!L89)),"",Actuals!L89)</f>
        <v/>
      </c>
      <c r="AN73" s="132" t="str">
        <f aca="false">IF(OR(10&gt;$B$3,ISBLANK(Actuals!L89)),"",Budget!L89-Actuals!L89)</f>
        <v/>
      </c>
      <c r="AO73" s="132" t="str">
        <f aca="false">IFERROR(IF(OR(10&gt;$B$3,ISBLANK(Actuals!L89)),"",(Budget!L89-Actuals!L89)/ABS(Budget!L89)),"")</f>
        <v/>
      </c>
      <c r="AP73" s="131" t="n">
        <f aca="false">Budget!M89</f>
        <v>-187</v>
      </c>
      <c r="AQ73" s="131" t="str">
        <f aca="false">IF(OR(11&gt;$B$3,ISBLANK(Actuals!M89)),"",Actuals!M89)</f>
        <v/>
      </c>
      <c r="AR73" s="132" t="str">
        <f aca="false">IF(OR(11&gt;$B$3,ISBLANK(Actuals!M89)),"",Budget!M89-Actuals!M89)</f>
        <v/>
      </c>
      <c r="AS73" s="132" t="str">
        <f aca="false">IFERROR(IF(OR(11&gt;$B$3,ISBLANK(Actuals!M89)),"",(Budget!M89-Actuals!M89)/ABS(Budget!M89)),"")</f>
        <v/>
      </c>
      <c r="AT73" s="131" t="n">
        <f aca="false">Budget!N89</f>
        <v>-187</v>
      </c>
      <c r="AU73" s="131" t="str">
        <f aca="false">IF(OR(12&gt;$B$3,ISBLANK(Actuals!N89)),"",Actuals!N89)</f>
        <v/>
      </c>
      <c r="AV73" s="132" t="str">
        <f aca="false">IF(OR(12&gt;$B$3,ISBLANK(Actuals!N89)),"",Budget!N89-Actuals!N89)</f>
        <v/>
      </c>
      <c r="AW73" s="132" t="str">
        <f aca="false">IFERROR(IF(OR(12&gt;$B$3,ISBLANK(Actuals!N89)),"",(Budget!N89-Actuals!N89)/ABS(Budget!N89)),"")</f>
        <v/>
      </c>
      <c r="AX73" s="133" t="n">
        <f aca="false">SUMPRODUCT((Actuals!C89:N89&lt;&gt;"")*(Budget!C89:N89))</f>
        <v>-1660.98</v>
      </c>
      <c r="AY73" s="133" t="n">
        <f aca="false">SUM(Actuals!C89:N89)</f>
        <v>-3709.91</v>
      </c>
      <c r="AZ73" s="134" t="n">
        <f aca="false">AX73-AY73</f>
        <v>2048.93</v>
      </c>
    </row>
    <row r="74" customFormat="false" ht="15" hidden="false" customHeight="true" outlineLevel="0" collapsed="false">
      <c r="A74" s="130" t="s">
        <v>124</v>
      </c>
      <c r="B74" s="131" t="n">
        <f aca="false">Budget!C90</f>
        <v>-3000</v>
      </c>
      <c r="C74" s="131" t="n">
        <f aca="false">IF(OR(1&gt;$B$3,ISBLANK(Actuals!C90)),"",Actuals!C90)</f>
        <v>-246.85</v>
      </c>
      <c r="D74" s="132" t="n">
        <f aca="false">IF(OR(1&gt;$B$3,ISBLANK(Actuals!C90)),"",Budget!C90-Actuals!C90)</f>
        <v>-2753.15</v>
      </c>
      <c r="E74" s="132" t="n">
        <f aca="false">IFERROR(IF(OR(1&gt;$B$3,ISBLANK(Actuals!C90)),"",(Budget!C90-Actuals!C90)/ABS(Budget!C90)),"")</f>
        <v>-0.917716666666667</v>
      </c>
      <c r="F74" s="131" t="n">
        <f aca="false">Budget!D90</f>
        <v>-3000</v>
      </c>
      <c r="G74" s="131" t="n">
        <f aca="false">IF(OR(2&gt;$B$3,ISBLANK(Actuals!D90)),"",Actuals!D90)</f>
        <v>0</v>
      </c>
      <c r="H74" s="132" t="n">
        <f aca="false">IF(OR(2&gt;$B$3,ISBLANK(Actuals!D90)),"",Budget!D90-Actuals!D90)</f>
        <v>-3000</v>
      </c>
      <c r="I74" s="132" t="n">
        <f aca="false">IFERROR(IF(OR(2&gt;$B$3,ISBLANK(Actuals!D90)),"",(Budget!D90-Actuals!D90)/ABS(Budget!D90)),"")</f>
        <v>-1</v>
      </c>
      <c r="J74" s="131" t="n">
        <f aca="false">Budget!E90</f>
        <v>-3000</v>
      </c>
      <c r="K74" s="131" t="n">
        <f aca="false">IF(OR(3&gt;$B$3,ISBLANK(Actuals!E90)),"",Actuals!E90)</f>
        <v>-4246.73</v>
      </c>
      <c r="L74" s="132" t="n">
        <f aca="false">IF(OR(3&gt;$B$3,ISBLANK(Actuals!E90)),"",Budget!E90-Actuals!E90)</f>
        <v>1246.73</v>
      </c>
      <c r="M74" s="132" t="n">
        <f aca="false">IFERROR(IF(OR(3&gt;$B$3,ISBLANK(Actuals!E90)),"",(Budget!E90-Actuals!E90)/ABS(Budget!E90)),"")</f>
        <v>0.415576666666667</v>
      </c>
      <c r="N74" s="131" t="n">
        <f aca="false">Budget!F90</f>
        <v>-3000</v>
      </c>
      <c r="O74" s="131" t="n">
        <f aca="false">IF(OR(4&gt;$B$3,ISBLANK(Actuals!F90)),"",Actuals!F90)</f>
        <v>-3123.87</v>
      </c>
      <c r="P74" s="132" t="n">
        <f aca="false">IF(OR(4&gt;$B$3,ISBLANK(Actuals!F90)),"",Budget!F90-Actuals!F90)</f>
        <v>123.87</v>
      </c>
      <c r="Q74" s="132" t="n">
        <f aca="false">IFERROR(IF(OR(4&gt;$B$3,ISBLANK(Actuals!F90)),"",(Budget!F90-Actuals!F90)/ABS(Budget!F90)),"")</f>
        <v>0.04129</v>
      </c>
      <c r="R74" s="131" t="n">
        <f aca="false">Budget!G90</f>
        <v>-3000</v>
      </c>
      <c r="S74" s="131" t="n">
        <f aca="false">IF(OR(5&gt;$B$3,ISBLANK(Actuals!G90)),"",Actuals!G90)</f>
        <v>-3184.88</v>
      </c>
      <c r="T74" s="132" t="n">
        <f aca="false">IF(OR(5&gt;$B$3,ISBLANK(Actuals!G90)),"",Budget!G90-Actuals!G90)</f>
        <v>184.88</v>
      </c>
      <c r="U74" s="132" t="n">
        <f aca="false">IFERROR(IF(OR(5&gt;$B$3,ISBLANK(Actuals!G90)),"",(Budget!G90-Actuals!G90)/ABS(Budget!G90)),"")</f>
        <v>0.0616266666666667</v>
      </c>
      <c r="V74" s="131" t="n">
        <f aca="false">Budget!H90</f>
        <v>-3000</v>
      </c>
      <c r="W74" s="131" t="n">
        <f aca="false">IF(OR(6&gt;$B$3,ISBLANK(Actuals!H90)),"",Actuals!H90)</f>
        <v>-4015.94</v>
      </c>
      <c r="X74" s="132" t="n">
        <f aca="false">IF(OR(6&gt;$B$3,ISBLANK(Actuals!H90)),"",Budget!H90-Actuals!H90)</f>
        <v>1015.94</v>
      </c>
      <c r="Y74" s="132" t="n">
        <f aca="false">IFERROR(IF(OR(6&gt;$B$3,ISBLANK(Actuals!H90)),"",(Budget!H90-Actuals!H90)/ABS(Budget!H90)),"")</f>
        <v>0.338646666666667</v>
      </c>
      <c r="Z74" s="131" t="n">
        <f aca="false">Budget!I90</f>
        <v>-3060</v>
      </c>
      <c r="AA74" s="131" t="n">
        <f aca="false">IF(OR(7&gt;$B$3,ISBLANK(Actuals!I90)),"",Actuals!I90)</f>
        <v>-759.45</v>
      </c>
      <c r="AB74" s="132" t="n">
        <f aca="false">IF(OR(7&gt;$B$3,ISBLANK(Actuals!I90)),"",Budget!I90-Actuals!I90)</f>
        <v>-2300.55</v>
      </c>
      <c r="AC74" s="132" t="n">
        <f aca="false">IFERROR(IF(OR(7&gt;$B$3,ISBLANK(Actuals!I90)),"",(Budget!I90-Actuals!I90)/ABS(Budget!I90)),"")</f>
        <v>-0.751813725490196</v>
      </c>
      <c r="AD74" s="131" t="n">
        <f aca="false">Budget!J90</f>
        <v>-3060</v>
      </c>
      <c r="AE74" s="131" t="n">
        <f aca="false">IF(OR(8&gt;$B$3,ISBLANK(Actuals!J90)),"",Actuals!J90)</f>
        <v>-6023.52</v>
      </c>
      <c r="AF74" s="132" t="n">
        <f aca="false">IF(OR(8&gt;$B$3,ISBLANK(Actuals!J90)),"",Budget!J90-Actuals!J90)</f>
        <v>2963.52</v>
      </c>
      <c r="AG74" s="132" t="n">
        <f aca="false">IFERROR(IF(OR(8&gt;$B$3,ISBLANK(Actuals!J90)),"",(Budget!J90-Actuals!J90)/ABS(Budget!J90)),"")</f>
        <v>0.968470588235294</v>
      </c>
      <c r="AH74" s="131" t="n">
        <f aca="false">Budget!K90</f>
        <v>-3060</v>
      </c>
      <c r="AI74" s="131" t="n">
        <f aca="false">IF(OR(9&gt;$B$3,ISBLANK(Actuals!K90)),"",Actuals!K90)</f>
        <v>-1177.72</v>
      </c>
      <c r="AJ74" s="132" t="n">
        <f aca="false">IF(OR(9&gt;$B$3,ISBLANK(Actuals!K90)),"",Budget!K90-Actuals!K90)</f>
        <v>-1882.28</v>
      </c>
      <c r="AK74" s="132" t="n">
        <f aca="false">IFERROR(IF(OR(9&gt;$B$3,ISBLANK(Actuals!K90)),"",(Budget!K90-Actuals!K90)/ABS(Budget!K90)),"")</f>
        <v>-0.615124183006536</v>
      </c>
      <c r="AL74" s="131" t="n">
        <f aca="false">Budget!L90</f>
        <v>-3060</v>
      </c>
      <c r="AM74" s="131" t="str">
        <f aca="false">IF(OR(10&gt;$B$3,ISBLANK(Actuals!L90)),"",Actuals!L90)</f>
        <v/>
      </c>
      <c r="AN74" s="132" t="str">
        <f aca="false">IF(OR(10&gt;$B$3,ISBLANK(Actuals!L90)),"",Budget!L90-Actuals!L90)</f>
        <v/>
      </c>
      <c r="AO74" s="132" t="str">
        <f aca="false">IFERROR(IF(OR(10&gt;$B$3,ISBLANK(Actuals!L90)),"",(Budget!L90-Actuals!L90)/ABS(Budget!L90)),"")</f>
        <v/>
      </c>
      <c r="AP74" s="131" t="n">
        <f aca="false">Budget!M90</f>
        <v>-3060</v>
      </c>
      <c r="AQ74" s="131" t="str">
        <f aca="false">IF(OR(11&gt;$B$3,ISBLANK(Actuals!M90)),"",Actuals!M90)</f>
        <v/>
      </c>
      <c r="AR74" s="132" t="str">
        <f aca="false">IF(OR(11&gt;$B$3,ISBLANK(Actuals!M90)),"",Budget!M90-Actuals!M90)</f>
        <v/>
      </c>
      <c r="AS74" s="132" t="str">
        <f aca="false">IFERROR(IF(OR(11&gt;$B$3,ISBLANK(Actuals!M90)),"",(Budget!M90-Actuals!M90)/ABS(Budget!M90)),"")</f>
        <v/>
      </c>
      <c r="AT74" s="131" t="n">
        <f aca="false">Budget!N90</f>
        <v>-3060</v>
      </c>
      <c r="AU74" s="131" t="str">
        <f aca="false">IF(OR(12&gt;$B$3,ISBLANK(Actuals!N90)),"",Actuals!N90)</f>
        <v/>
      </c>
      <c r="AV74" s="132" t="str">
        <f aca="false">IF(OR(12&gt;$B$3,ISBLANK(Actuals!N90)),"",Budget!N90-Actuals!N90)</f>
        <v/>
      </c>
      <c r="AW74" s="132" t="str">
        <f aca="false">IFERROR(IF(OR(12&gt;$B$3,ISBLANK(Actuals!N90)),"",(Budget!N90-Actuals!N90)/ABS(Budget!N90)),"")</f>
        <v/>
      </c>
      <c r="AX74" s="133" t="n">
        <f aca="false">SUMPRODUCT((Actuals!C90:N90&lt;&gt;"")*(Budget!C90:N90))</f>
        <v>-27180</v>
      </c>
      <c r="AY74" s="133" t="n">
        <f aca="false">SUM(Actuals!C90:N90)</f>
        <v>-22778.96</v>
      </c>
      <c r="AZ74" s="134" t="n">
        <f aca="false">AX74-AY74</f>
        <v>-4401.04</v>
      </c>
    </row>
    <row r="75" customFormat="false" ht="15" hidden="false" customHeight="true" outlineLevel="0" collapsed="false">
      <c r="A75" s="130" t="s">
        <v>125</v>
      </c>
      <c r="B75" s="131" t="n">
        <f aca="false">Budget!C91</f>
        <v>0</v>
      </c>
      <c r="C75" s="131" t="n">
        <f aca="false">IF(OR(1&gt;$B$3,ISBLANK(Actuals!C91)),"",Actuals!C91)</f>
        <v>0</v>
      </c>
      <c r="D75" s="132" t="n">
        <f aca="false">IF(OR(1&gt;$B$3,ISBLANK(Actuals!C91)),"",Budget!C91-Actuals!C91)</f>
        <v>0</v>
      </c>
      <c r="E75" s="132" t="str">
        <f aca="false">IFERROR(IF(OR(1&gt;$B$3,ISBLANK(Actuals!C91)),"",(Budget!C91-Actuals!C91)/ABS(Budget!C91)),"")</f>
        <v/>
      </c>
      <c r="F75" s="131" t="n">
        <f aca="false">Budget!D91</f>
        <v>0</v>
      </c>
      <c r="G75" s="131" t="n">
        <f aca="false">IF(OR(2&gt;$B$3,ISBLANK(Actuals!D91)),"",Actuals!D91)</f>
        <v>0</v>
      </c>
      <c r="H75" s="132" t="n">
        <f aca="false">IF(OR(2&gt;$B$3,ISBLANK(Actuals!D91)),"",Budget!D91-Actuals!D91)</f>
        <v>0</v>
      </c>
      <c r="I75" s="132" t="str">
        <f aca="false">IFERROR(IF(OR(2&gt;$B$3,ISBLANK(Actuals!D91)),"",(Budget!D91-Actuals!D91)/ABS(Budget!D91)),"")</f>
        <v/>
      </c>
      <c r="J75" s="131" t="n">
        <f aca="false">Budget!E91</f>
        <v>0</v>
      </c>
      <c r="K75" s="131" t="n">
        <f aca="false">IF(OR(3&gt;$B$3,ISBLANK(Actuals!E91)),"",Actuals!E91)</f>
        <v>-870</v>
      </c>
      <c r="L75" s="132" t="n">
        <f aca="false">IF(OR(3&gt;$B$3,ISBLANK(Actuals!E91)),"",Budget!E91-Actuals!E91)</f>
        <v>870</v>
      </c>
      <c r="M75" s="132" t="str">
        <f aca="false">IFERROR(IF(OR(3&gt;$B$3,ISBLANK(Actuals!E91)),"",(Budget!E91-Actuals!E91)/ABS(Budget!E91)),"")</f>
        <v/>
      </c>
      <c r="N75" s="131" t="n">
        <f aca="false">Budget!F91</f>
        <v>0</v>
      </c>
      <c r="O75" s="131" t="n">
        <f aca="false">IF(OR(4&gt;$B$3,ISBLANK(Actuals!F91)),"",Actuals!F91)</f>
        <v>0</v>
      </c>
      <c r="P75" s="132" t="n">
        <f aca="false">IF(OR(4&gt;$B$3,ISBLANK(Actuals!F91)),"",Budget!F91-Actuals!F91)</f>
        <v>0</v>
      </c>
      <c r="Q75" s="132" t="str">
        <f aca="false">IFERROR(IF(OR(4&gt;$B$3,ISBLANK(Actuals!F91)),"",(Budget!F91-Actuals!F91)/ABS(Budget!F91)),"")</f>
        <v/>
      </c>
      <c r="R75" s="131" t="n">
        <f aca="false">Budget!G91</f>
        <v>0</v>
      </c>
      <c r="S75" s="131" t="n">
        <f aca="false">IF(OR(5&gt;$B$3,ISBLANK(Actuals!G91)),"",Actuals!G91)</f>
        <v>0</v>
      </c>
      <c r="T75" s="132" t="n">
        <f aca="false">IF(OR(5&gt;$B$3,ISBLANK(Actuals!G91)),"",Budget!G91-Actuals!G91)</f>
        <v>0</v>
      </c>
      <c r="U75" s="132" t="str">
        <f aca="false">IFERROR(IF(OR(5&gt;$B$3,ISBLANK(Actuals!G91)),"",(Budget!G91-Actuals!G91)/ABS(Budget!G91)),"")</f>
        <v/>
      </c>
      <c r="V75" s="131" t="n">
        <f aca="false">Budget!H91</f>
        <v>0</v>
      </c>
      <c r="W75" s="131" t="n">
        <f aca="false">IF(OR(6&gt;$B$3,ISBLANK(Actuals!H91)),"",Actuals!H91)</f>
        <v>0</v>
      </c>
      <c r="X75" s="132" t="n">
        <f aca="false">IF(OR(6&gt;$B$3,ISBLANK(Actuals!H91)),"",Budget!H91-Actuals!H91)</f>
        <v>0</v>
      </c>
      <c r="Y75" s="132" t="str">
        <f aca="false">IFERROR(IF(OR(6&gt;$B$3,ISBLANK(Actuals!H91)),"",(Budget!H91-Actuals!H91)/ABS(Budget!H91)),"")</f>
        <v/>
      </c>
      <c r="Z75" s="131" t="n">
        <f aca="false">Budget!I91</f>
        <v>0</v>
      </c>
      <c r="AA75" s="131" t="n">
        <f aca="false">IF(OR(7&gt;$B$3,ISBLANK(Actuals!I91)),"",Actuals!I91)</f>
        <v>0</v>
      </c>
      <c r="AB75" s="132" t="n">
        <f aca="false">IF(OR(7&gt;$B$3,ISBLANK(Actuals!I91)),"",Budget!I91-Actuals!I91)</f>
        <v>0</v>
      </c>
      <c r="AC75" s="132" t="str">
        <f aca="false">IFERROR(IF(OR(7&gt;$B$3,ISBLANK(Actuals!I91)),"",(Budget!I91-Actuals!I91)/ABS(Budget!I91)),"")</f>
        <v/>
      </c>
      <c r="AD75" s="131" t="n">
        <f aca="false">Budget!J91</f>
        <v>0</v>
      </c>
      <c r="AE75" s="131" t="n">
        <f aca="false">IF(OR(8&gt;$B$3,ISBLANK(Actuals!J91)),"",Actuals!J91)</f>
        <v>0</v>
      </c>
      <c r="AF75" s="132" t="n">
        <f aca="false">IF(OR(8&gt;$B$3,ISBLANK(Actuals!J91)),"",Budget!J91-Actuals!J91)</f>
        <v>0</v>
      </c>
      <c r="AG75" s="132" t="str">
        <f aca="false">IFERROR(IF(OR(8&gt;$B$3,ISBLANK(Actuals!J91)),"",(Budget!J91-Actuals!J91)/ABS(Budget!J91)),"")</f>
        <v/>
      </c>
      <c r="AH75" s="131" t="n">
        <f aca="false">Budget!K91</f>
        <v>0</v>
      </c>
      <c r="AI75" s="131" t="n">
        <f aca="false">IF(OR(9&gt;$B$3,ISBLANK(Actuals!K91)),"",Actuals!K91)</f>
        <v>0</v>
      </c>
      <c r="AJ75" s="132" t="n">
        <f aca="false">IF(OR(9&gt;$B$3,ISBLANK(Actuals!K91)),"",Budget!K91-Actuals!K91)</f>
        <v>0</v>
      </c>
      <c r="AK75" s="132" t="str">
        <f aca="false">IFERROR(IF(OR(9&gt;$B$3,ISBLANK(Actuals!K91)),"",(Budget!K91-Actuals!K91)/ABS(Budget!K91)),"")</f>
        <v/>
      </c>
      <c r="AL75" s="131" t="n">
        <f aca="false">Budget!L91</f>
        <v>0</v>
      </c>
      <c r="AM75" s="131" t="str">
        <f aca="false">IF(OR(10&gt;$B$3,ISBLANK(Actuals!L91)),"",Actuals!L91)</f>
        <v/>
      </c>
      <c r="AN75" s="132" t="str">
        <f aca="false">IF(OR(10&gt;$B$3,ISBLANK(Actuals!L91)),"",Budget!L91-Actuals!L91)</f>
        <v/>
      </c>
      <c r="AO75" s="132" t="str">
        <f aca="false">IFERROR(IF(OR(10&gt;$B$3,ISBLANK(Actuals!L91)),"",(Budget!L91-Actuals!L91)/ABS(Budget!L91)),"")</f>
        <v/>
      </c>
      <c r="AP75" s="131" t="n">
        <f aca="false">Budget!M91</f>
        <v>0</v>
      </c>
      <c r="AQ75" s="131" t="str">
        <f aca="false">IF(OR(11&gt;$B$3,ISBLANK(Actuals!M91)),"",Actuals!M91)</f>
        <v/>
      </c>
      <c r="AR75" s="132" t="str">
        <f aca="false">IF(OR(11&gt;$B$3,ISBLANK(Actuals!M91)),"",Budget!M91-Actuals!M91)</f>
        <v/>
      </c>
      <c r="AS75" s="132" t="str">
        <f aca="false">IFERROR(IF(OR(11&gt;$B$3,ISBLANK(Actuals!M91)),"",(Budget!M91-Actuals!M91)/ABS(Budget!M91)),"")</f>
        <v/>
      </c>
      <c r="AT75" s="131" t="n">
        <f aca="false">Budget!N91</f>
        <v>0</v>
      </c>
      <c r="AU75" s="131" t="str">
        <f aca="false">IF(OR(12&gt;$B$3,ISBLANK(Actuals!N91)),"",Actuals!N91)</f>
        <v/>
      </c>
      <c r="AV75" s="132" t="str">
        <f aca="false">IF(OR(12&gt;$B$3,ISBLANK(Actuals!N91)),"",Budget!N91-Actuals!N91)</f>
        <v/>
      </c>
      <c r="AW75" s="132" t="str">
        <f aca="false">IFERROR(IF(OR(12&gt;$B$3,ISBLANK(Actuals!N91)),"",(Budget!N91-Actuals!N91)/ABS(Budget!N91)),"")</f>
        <v/>
      </c>
      <c r="AX75" s="133" t="n">
        <f aca="false">SUMPRODUCT((Actuals!C91:N91&lt;&gt;"")*(Budget!C91:N91))</f>
        <v>0</v>
      </c>
      <c r="AY75" s="133" t="n">
        <f aca="false">SUM(Actuals!C91:N91)</f>
        <v>-870</v>
      </c>
      <c r="AZ75" s="134" t="n">
        <f aca="false">AX75-AY75</f>
        <v>870</v>
      </c>
    </row>
    <row r="76" customFormat="false" ht="15" hidden="false" customHeight="true" outlineLevel="0" collapsed="false">
      <c r="A76" s="130" t="s">
        <v>126</v>
      </c>
      <c r="B76" s="131" t="n">
        <f aca="false">Budget!C92</f>
        <v>0</v>
      </c>
      <c r="C76" s="131" t="n">
        <f aca="false">IF(OR(1&gt;$B$3,ISBLANK(Actuals!C92)),"",Actuals!C92)</f>
        <v>-245</v>
      </c>
      <c r="D76" s="132" t="n">
        <f aca="false">IF(OR(1&gt;$B$3,ISBLANK(Actuals!C92)),"",Budget!C92-Actuals!C92)</f>
        <v>245</v>
      </c>
      <c r="E76" s="132" t="str">
        <f aca="false">IFERROR(IF(OR(1&gt;$B$3,ISBLANK(Actuals!C92)),"",(Budget!C92-Actuals!C92)/ABS(Budget!C92)),"")</f>
        <v/>
      </c>
      <c r="F76" s="131" t="n">
        <f aca="false">Budget!D92</f>
        <v>0</v>
      </c>
      <c r="G76" s="131" t="n">
        <f aca="false">IF(OR(2&gt;$B$3,ISBLANK(Actuals!D92)),"",Actuals!D92)</f>
        <v>-245</v>
      </c>
      <c r="H76" s="132" t="n">
        <f aca="false">IF(OR(2&gt;$B$3,ISBLANK(Actuals!D92)),"",Budget!D92-Actuals!D92)</f>
        <v>245</v>
      </c>
      <c r="I76" s="132" t="str">
        <f aca="false">IFERROR(IF(OR(2&gt;$B$3,ISBLANK(Actuals!D92)),"",(Budget!D92-Actuals!D92)/ABS(Budget!D92)),"")</f>
        <v/>
      </c>
      <c r="J76" s="131" t="n">
        <f aca="false">Budget!E92</f>
        <v>0</v>
      </c>
      <c r="K76" s="131" t="n">
        <f aca="false">IF(OR(3&gt;$B$3,ISBLANK(Actuals!E92)),"",Actuals!E92)</f>
        <v>-245</v>
      </c>
      <c r="L76" s="132" t="n">
        <f aca="false">IF(OR(3&gt;$B$3,ISBLANK(Actuals!E92)),"",Budget!E92-Actuals!E92)</f>
        <v>245</v>
      </c>
      <c r="M76" s="132" t="str">
        <f aca="false">IFERROR(IF(OR(3&gt;$B$3,ISBLANK(Actuals!E92)),"",(Budget!E92-Actuals!E92)/ABS(Budget!E92)),"")</f>
        <v/>
      </c>
      <c r="N76" s="131" t="n">
        <f aca="false">Budget!F92</f>
        <v>0</v>
      </c>
      <c r="O76" s="131" t="n">
        <f aca="false">IF(OR(4&gt;$B$3,ISBLANK(Actuals!F92)),"",Actuals!F92)</f>
        <v>-245</v>
      </c>
      <c r="P76" s="132" t="n">
        <f aca="false">IF(OR(4&gt;$B$3,ISBLANK(Actuals!F92)),"",Budget!F92-Actuals!F92)</f>
        <v>245</v>
      </c>
      <c r="Q76" s="132" t="str">
        <f aca="false">IFERROR(IF(OR(4&gt;$B$3,ISBLANK(Actuals!F92)),"",(Budget!F92-Actuals!F92)/ABS(Budget!F92)),"")</f>
        <v/>
      </c>
      <c r="R76" s="131" t="n">
        <f aca="false">Budget!G92</f>
        <v>0</v>
      </c>
      <c r="S76" s="131" t="n">
        <f aca="false">IF(OR(5&gt;$B$3,ISBLANK(Actuals!G92)),"",Actuals!G92)</f>
        <v>-245</v>
      </c>
      <c r="T76" s="132" t="n">
        <f aca="false">IF(OR(5&gt;$B$3,ISBLANK(Actuals!G92)),"",Budget!G92-Actuals!G92)</f>
        <v>245</v>
      </c>
      <c r="U76" s="132" t="str">
        <f aca="false">IFERROR(IF(OR(5&gt;$B$3,ISBLANK(Actuals!G92)),"",(Budget!G92-Actuals!G92)/ABS(Budget!G92)),"")</f>
        <v/>
      </c>
      <c r="V76" s="131" t="n">
        <f aca="false">Budget!H92</f>
        <v>0</v>
      </c>
      <c r="W76" s="131" t="n">
        <f aca="false">IF(OR(6&gt;$B$3,ISBLANK(Actuals!H92)),"",Actuals!H92)</f>
        <v>-245</v>
      </c>
      <c r="X76" s="132" t="n">
        <f aca="false">IF(OR(6&gt;$B$3,ISBLANK(Actuals!H92)),"",Budget!H92-Actuals!H92)</f>
        <v>245</v>
      </c>
      <c r="Y76" s="132" t="str">
        <f aca="false">IFERROR(IF(OR(6&gt;$B$3,ISBLANK(Actuals!H92)),"",(Budget!H92-Actuals!H92)/ABS(Budget!H92)),"")</f>
        <v/>
      </c>
      <c r="Z76" s="131" t="n">
        <f aca="false">Budget!I92</f>
        <v>0</v>
      </c>
      <c r="AA76" s="131" t="n">
        <f aca="false">IF(OR(7&gt;$B$3,ISBLANK(Actuals!I92)),"",Actuals!I92)</f>
        <v>-245</v>
      </c>
      <c r="AB76" s="132" t="n">
        <f aca="false">IF(OR(7&gt;$B$3,ISBLANK(Actuals!I92)),"",Budget!I92-Actuals!I92)</f>
        <v>245</v>
      </c>
      <c r="AC76" s="132" t="str">
        <f aca="false">IFERROR(IF(OR(7&gt;$B$3,ISBLANK(Actuals!I92)),"",(Budget!I92-Actuals!I92)/ABS(Budget!I92)),"")</f>
        <v/>
      </c>
      <c r="AD76" s="131" t="n">
        <f aca="false">Budget!J92</f>
        <v>0</v>
      </c>
      <c r="AE76" s="131" t="n">
        <f aca="false">IF(OR(8&gt;$B$3,ISBLANK(Actuals!J92)),"",Actuals!J92)</f>
        <v>0</v>
      </c>
      <c r="AF76" s="132" t="n">
        <f aca="false">IF(OR(8&gt;$B$3,ISBLANK(Actuals!J92)),"",Budget!J92-Actuals!J92)</f>
        <v>0</v>
      </c>
      <c r="AG76" s="132" t="str">
        <f aca="false">IFERROR(IF(OR(8&gt;$B$3,ISBLANK(Actuals!J92)),"",(Budget!J92-Actuals!J92)/ABS(Budget!J92)),"")</f>
        <v/>
      </c>
      <c r="AH76" s="131" t="n">
        <f aca="false">Budget!K92</f>
        <v>0</v>
      </c>
      <c r="AI76" s="131" t="n">
        <f aca="false">IF(OR(9&gt;$B$3,ISBLANK(Actuals!K92)),"",Actuals!K92)</f>
        <v>-245</v>
      </c>
      <c r="AJ76" s="132" t="n">
        <f aca="false">IF(OR(9&gt;$B$3,ISBLANK(Actuals!K92)),"",Budget!K92-Actuals!K92)</f>
        <v>245</v>
      </c>
      <c r="AK76" s="132" t="str">
        <f aca="false">IFERROR(IF(OR(9&gt;$B$3,ISBLANK(Actuals!K92)),"",(Budget!K92-Actuals!K92)/ABS(Budget!K92)),"")</f>
        <v/>
      </c>
      <c r="AL76" s="131" t="n">
        <f aca="false">Budget!L92</f>
        <v>0</v>
      </c>
      <c r="AM76" s="131" t="str">
        <f aca="false">IF(OR(10&gt;$B$3,ISBLANK(Actuals!L92)),"",Actuals!L92)</f>
        <v/>
      </c>
      <c r="AN76" s="132" t="str">
        <f aca="false">IF(OR(10&gt;$B$3,ISBLANK(Actuals!L92)),"",Budget!L92-Actuals!L92)</f>
        <v/>
      </c>
      <c r="AO76" s="132" t="str">
        <f aca="false">IFERROR(IF(OR(10&gt;$B$3,ISBLANK(Actuals!L92)),"",(Budget!L92-Actuals!L92)/ABS(Budget!L92)),"")</f>
        <v/>
      </c>
      <c r="AP76" s="131" t="n">
        <f aca="false">Budget!M92</f>
        <v>0</v>
      </c>
      <c r="AQ76" s="131" t="str">
        <f aca="false">IF(OR(11&gt;$B$3,ISBLANK(Actuals!M92)),"",Actuals!M92)</f>
        <v/>
      </c>
      <c r="AR76" s="132" t="str">
        <f aca="false">IF(OR(11&gt;$B$3,ISBLANK(Actuals!M92)),"",Budget!M92-Actuals!M92)</f>
        <v/>
      </c>
      <c r="AS76" s="132" t="str">
        <f aca="false">IFERROR(IF(OR(11&gt;$B$3,ISBLANK(Actuals!M92)),"",(Budget!M92-Actuals!M92)/ABS(Budget!M92)),"")</f>
        <v/>
      </c>
      <c r="AT76" s="131" t="n">
        <f aca="false">Budget!N92</f>
        <v>0</v>
      </c>
      <c r="AU76" s="131" t="str">
        <f aca="false">IF(OR(12&gt;$B$3,ISBLANK(Actuals!N92)),"",Actuals!N92)</f>
        <v/>
      </c>
      <c r="AV76" s="132" t="str">
        <f aca="false">IF(OR(12&gt;$B$3,ISBLANK(Actuals!N92)),"",Budget!N92-Actuals!N92)</f>
        <v/>
      </c>
      <c r="AW76" s="132" t="str">
        <f aca="false">IFERROR(IF(OR(12&gt;$B$3,ISBLANK(Actuals!N92)),"",(Budget!N92-Actuals!N92)/ABS(Budget!N92)),"")</f>
        <v/>
      </c>
      <c r="AX76" s="133" t="n">
        <f aca="false">SUMPRODUCT((Actuals!C92:N92&lt;&gt;"")*(Budget!C92:N92))</f>
        <v>0</v>
      </c>
      <c r="AY76" s="133" t="n">
        <f aca="false">SUM(Actuals!C92:N92)</f>
        <v>-1960</v>
      </c>
      <c r="AZ76" s="134" t="n">
        <f aca="false">AX76-AY76</f>
        <v>1960</v>
      </c>
    </row>
    <row r="77" customFormat="false" ht="15" hidden="false" customHeight="true" outlineLevel="0" collapsed="false">
      <c r="A77" s="130" t="s">
        <v>127</v>
      </c>
      <c r="B77" s="131" t="n">
        <f aca="false">Budget!C93</f>
        <v>-3000</v>
      </c>
      <c r="C77" s="131" t="n">
        <f aca="false">IF(OR(1&gt;$B$3,ISBLANK(Actuals!C93)),"",Actuals!C93)</f>
        <v>-986.57</v>
      </c>
      <c r="D77" s="132" t="n">
        <f aca="false">IF(OR(1&gt;$B$3,ISBLANK(Actuals!C93)),"",Budget!C93-Actuals!C93)</f>
        <v>-2013.43</v>
      </c>
      <c r="E77" s="132" t="n">
        <f aca="false">IFERROR(IF(OR(1&gt;$B$3,ISBLANK(Actuals!C93)),"",(Budget!C93-Actuals!C93)/ABS(Budget!C93)),"")</f>
        <v>-0.671143333333333</v>
      </c>
      <c r="F77" s="131" t="n">
        <f aca="false">Budget!D93</f>
        <v>-3000</v>
      </c>
      <c r="G77" s="131" t="n">
        <f aca="false">IF(OR(2&gt;$B$3,ISBLANK(Actuals!D93)),"",Actuals!D93)</f>
        <v>-1254.61</v>
      </c>
      <c r="H77" s="132" t="n">
        <f aca="false">IF(OR(2&gt;$B$3,ISBLANK(Actuals!D93)),"",Budget!D93-Actuals!D93)</f>
        <v>-1745.39</v>
      </c>
      <c r="I77" s="132" t="n">
        <f aca="false">IFERROR(IF(OR(2&gt;$B$3,ISBLANK(Actuals!D93)),"",(Budget!D93-Actuals!D93)/ABS(Budget!D93)),"")</f>
        <v>-0.581796666666667</v>
      </c>
      <c r="J77" s="131" t="n">
        <f aca="false">Budget!E93</f>
        <v>-3000</v>
      </c>
      <c r="K77" s="131" t="n">
        <f aca="false">IF(OR(3&gt;$B$3,ISBLANK(Actuals!E93)),"",Actuals!E93)</f>
        <v>-1297.31</v>
      </c>
      <c r="L77" s="132" t="n">
        <f aca="false">IF(OR(3&gt;$B$3,ISBLANK(Actuals!E93)),"",Budget!E93-Actuals!E93)</f>
        <v>-1702.69</v>
      </c>
      <c r="M77" s="132" t="n">
        <f aca="false">IFERROR(IF(OR(3&gt;$B$3,ISBLANK(Actuals!E93)),"",(Budget!E93-Actuals!E93)/ABS(Budget!E93)),"")</f>
        <v>-0.567563333333333</v>
      </c>
      <c r="N77" s="131" t="n">
        <f aca="false">Budget!F93</f>
        <v>-3000</v>
      </c>
      <c r="O77" s="131" t="n">
        <f aca="false">IF(OR(4&gt;$B$3,ISBLANK(Actuals!F93)),"",Actuals!F93)</f>
        <v>-48.78</v>
      </c>
      <c r="P77" s="132" t="n">
        <f aca="false">IF(OR(4&gt;$B$3,ISBLANK(Actuals!F93)),"",Budget!F93-Actuals!F93)</f>
        <v>-2951.22</v>
      </c>
      <c r="Q77" s="132" t="n">
        <f aca="false">IFERROR(IF(OR(4&gt;$B$3,ISBLANK(Actuals!F93)),"",(Budget!F93-Actuals!F93)/ABS(Budget!F93)),"")</f>
        <v>-0.98374</v>
      </c>
      <c r="R77" s="131" t="n">
        <f aca="false">Budget!G93</f>
        <v>-3000</v>
      </c>
      <c r="S77" s="131" t="n">
        <f aca="false">IF(OR(5&gt;$B$3,ISBLANK(Actuals!G93)),"",Actuals!G93)</f>
        <v>-4199.86</v>
      </c>
      <c r="T77" s="132" t="n">
        <f aca="false">IF(OR(5&gt;$B$3,ISBLANK(Actuals!G93)),"",Budget!G93-Actuals!G93)</f>
        <v>1199.86</v>
      </c>
      <c r="U77" s="132" t="n">
        <f aca="false">IFERROR(IF(OR(5&gt;$B$3,ISBLANK(Actuals!G93)),"",(Budget!G93-Actuals!G93)/ABS(Budget!G93)),"")</f>
        <v>0.399953333333333</v>
      </c>
      <c r="V77" s="131" t="n">
        <f aca="false">Budget!H93</f>
        <v>-3000</v>
      </c>
      <c r="W77" s="131" t="n">
        <f aca="false">IF(OR(6&gt;$B$3,ISBLANK(Actuals!H93)),"",Actuals!H93)</f>
        <v>-3433.39</v>
      </c>
      <c r="X77" s="132" t="n">
        <f aca="false">IF(OR(6&gt;$B$3,ISBLANK(Actuals!H93)),"",Budget!H93-Actuals!H93)</f>
        <v>433.39</v>
      </c>
      <c r="Y77" s="132" t="n">
        <f aca="false">IFERROR(IF(OR(6&gt;$B$3,ISBLANK(Actuals!H93)),"",(Budget!H93-Actuals!H93)/ABS(Budget!H93)),"")</f>
        <v>0.144463333333333</v>
      </c>
      <c r="Z77" s="131" t="n">
        <f aca="false">Budget!I93</f>
        <v>-3060</v>
      </c>
      <c r="AA77" s="131" t="n">
        <f aca="false">IF(OR(7&gt;$B$3,ISBLANK(Actuals!I93)),"",Actuals!I93)</f>
        <v>0</v>
      </c>
      <c r="AB77" s="132" t="n">
        <f aca="false">IF(OR(7&gt;$B$3,ISBLANK(Actuals!I93)),"",Budget!I93-Actuals!I93)</f>
        <v>-3060</v>
      </c>
      <c r="AC77" s="132" t="n">
        <f aca="false">IFERROR(IF(OR(7&gt;$B$3,ISBLANK(Actuals!I93)),"",(Budget!I93-Actuals!I93)/ABS(Budget!I93)),"")</f>
        <v>-1</v>
      </c>
      <c r="AD77" s="131" t="n">
        <f aca="false">Budget!J93</f>
        <v>-3060</v>
      </c>
      <c r="AE77" s="131" t="n">
        <f aca="false">IF(OR(8&gt;$B$3,ISBLANK(Actuals!J93)),"",Actuals!J93)</f>
        <v>-9.99</v>
      </c>
      <c r="AF77" s="132" t="n">
        <f aca="false">IF(OR(8&gt;$B$3,ISBLANK(Actuals!J93)),"",Budget!J93-Actuals!J93)</f>
        <v>-3050.01</v>
      </c>
      <c r="AG77" s="132" t="n">
        <f aca="false">IFERROR(IF(OR(8&gt;$B$3,ISBLANK(Actuals!J93)),"",(Budget!J93-Actuals!J93)/ABS(Budget!J93)),"")</f>
        <v>-0.996735294117647</v>
      </c>
      <c r="AH77" s="131" t="n">
        <f aca="false">Budget!K93</f>
        <v>-3060</v>
      </c>
      <c r="AI77" s="131" t="n">
        <f aca="false">IF(OR(9&gt;$B$3,ISBLANK(Actuals!K93)),"",Actuals!K93)</f>
        <v>-3772.85</v>
      </c>
      <c r="AJ77" s="132" t="n">
        <f aca="false">IF(OR(9&gt;$B$3,ISBLANK(Actuals!K93)),"",Budget!K93-Actuals!K93)</f>
        <v>712.85</v>
      </c>
      <c r="AK77" s="132" t="n">
        <f aca="false">IFERROR(IF(OR(9&gt;$B$3,ISBLANK(Actuals!K93)),"",(Budget!K93-Actuals!K93)/ABS(Budget!K93)),"")</f>
        <v>0.232957516339869</v>
      </c>
      <c r="AL77" s="131" t="n">
        <f aca="false">Budget!L93</f>
        <v>-3060</v>
      </c>
      <c r="AM77" s="131" t="str">
        <f aca="false">IF(OR(10&gt;$B$3,ISBLANK(Actuals!L93)),"",Actuals!L93)</f>
        <v/>
      </c>
      <c r="AN77" s="132" t="str">
        <f aca="false">IF(OR(10&gt;$B$3,ISBLANK(Actuals!L93)),"",Budget!L93-Actuals!L93)</f>
        <v/>
      </c>
      <c r="AO77" s="132" t="str">
        <f aca="false">IFERROR(IF(OR(10&gt;$B$3,ISBLANK(Actuals!L93)),"",(Budget!L93-Actuals!L93)/ABS(Budget!L93)),"")</f>
        <v/>
      </c>
      <c r="AP77" s="131" t="n">
        <f aca="false">Budget!M93</f>
        <v>-3060</v>
      </c>
      <c r="AQ77" s="131" t="str">
        <f aca="false">IF(OR(11&gt;$B$3,ISBLANK(Actuals!M93)),"",Actuals!M93)</f>
        <v/>
      </c>
      <c r="AR77" s="132" t="str">
        <f aca="false">IF(OR(11&gt;$B$3,ISBLANK(Actuals!M93)),"",Budget!M93-Actuals!M93)</f>
        <v/>
      </c>
      <c r="AS77" s="132" t="str">
        <f aca="false">IFERROR(IF(OR(11&gt;$B$3,ISBLANK(Actuals!M93)),"",(Budget!M93-Actuals!M93)/ABS(Budget!M93)),"")</f>
        <v/>
      </c>
      <c r="AT77" s="131" t="n">
        <f aca="false">Budget!N93</f>
        <v>-3060</v>
      </c>
      <c r="AU77" s="131" t="str">
        <f aca="false">IF(OR(12&gt;$B$3,ISBLANK(Actuals!N93)),"",Actuals!N93)</f>
        <v/>
      </c>
      <c r="AV77" s="132" t="str">
        <f aca="false">IF(OR(12&gt;$B$3,ISBLANK(Actuals!N93)),"",Budget!N93-Actuals!N93)</f>
        <v/>
      </c>
      <c r="AW77" s="132" t="str">
        <f aca="false">IFERROR(IF(OR(12&gt;$B$3,ISBLANK(Actuals!N93)),"",(Budget!N93-Actuals!N93)/ABS(Budget!N93)),"")</f>
        <v/>
      </c>
      <c r="AX77" s="133" t="n">
        <f aca="false">SUMPRODUCT((Actuals!C93:N93&lt;&gt;"")*(Budget!C93:N93))</f>
        <v>-27180</v>
      </c>
      <c r="AY77" s="133" t="n">
        <f aca="false">SUM(Actuals!C93:N93)</f>
        <v>-15003.36</v>
      </c>
      <c r="AZ77" s="134" t="n">
        <f aca="false">AX77-AY77</f>
        <v>-12176.64</v>
      </c>
    </row>
    <row r="78" customFormat="false" ht="15" hidden="false" customHeight="true" outlineLevel="0" collapsed="false">
      <c r="A78" s="130" t="s">
        <v>128</v>
      </c>
      <c r="B78" s="131" t="n">
        <f aca="false">Budget!C94</f>
        <v>-833.33</v>
      </c>
      <c r="C78" s="131" t="n">
        <f aca="false">IF(OR(1&gt;$B$3,ISBLANK(Actuals!C94)),"",Actuals!C94)</f>
        <v>-588.66</v>
      </c>
      <c r="D78" s="132" t="n">
        <f aca="false">IF(OR(1&gt;$B$3,ISBLANK(Actuals!C94)),"",Budget!C94-Actuals!C94)</f>
        <v>-244.67</v>
      </c>
      <c r="E78" s="132" t="n">
        <f aca="false">IFERROR(IF(OR(1&gt;$B$3,ISBLANK(Actuals!C94)),"",(Budget!C94-Actuals!C94)/ABS(Budget!C94)),"")</f>
        <v>-0.293605174420698</v>
      </c>
      <c r="F78" s="131" t="n">
        <f aca="false">Budget!D94</f>
        <v>-833.33</v>
      </c>
      <c r="G78" s="131" t="n">
        <f aca="false">IF(OR(2&gt;$B$3,ISBLANK(Actuals!D94)),"",Actuals!D94)</f>
        <v>-22.94</v>
      </c>
      <c r="H78" s="132" t="n">
        <f aca="false">IF(OR(2&gt;$B$3,ISBLANK(Actuals!D94)),"",Budget!D94-Actuals!D94)</f>
        <v>-810.39</v>
      </c>
      <c r="I78" s="132" t="n">
        <f aca="false">IFERROR(IF(OR(2&gt;$B$3,ISBLANK(Actuals!D94)),"",(Budget!D94-Actuals!D94)/ABS(Budget!D94)),"")</f>
        <v>-0.97247188988756</v>
      </c>
      <c r="J78" s="131" t="n">
        <f aca="false">Budget!E94</f>
        <v>-833.33</v>
      </c>
      <c r="K78" s="131" t="n">
        <f aca="false">IF(OR(3&gt;$B$3,ISBLANK(Actuals!E94)),"",Actuals!E94)</f>
        <v>-487.3</v>
      </c>
      <c r="L78" s="132" t="n">
        <f aca="false">IF(OR(3&gt;$B$3,ISBLANK(Actuals!E94)),"",Budget!E94-Actuals!E94)</f>
        <v>-346.03</v>
      </c>
      <c r="M78" s="132" t="n">
        <f aca="false">IFERROR(IF(OR(3&gt;$B$3,ISBLANK(Actuals!E94)),"",(Budget!E94-Actuals!E94)/ABS(Budget!E94)),"")</f>
        <v>-0.415237660950644</v>
      </c>
      <c r="N78" s="131" t="n">
        <f aca="false">Budget!F94</f>
        <v>-833.33</v>
      </c>
      <c r="O78" s="131" t="n">
        <f aca="false">IF(OR(4&gt;$B$3,ISBLANK(Actuals!F94)),"",Actuals!F94)</f>
        <v>-399.98</v>
      </c>
      <c r="P78" s="132" t="n">
        <f aca="false">IF(OR(4&gt;$B$3,ISBLANK(Actuals!F94)),"",Budget!F94-Actuals!F94)</f>
        <v>-433.35</v>
      </c>
      <c r="Q78" s="132" t="n">
        <f aca="false">IFERROR(IF(OR(4&gt;$B$3,ISBLANK(Actuals!F94)),"",(Budget!F94-Actuals!F94)/ABS(Budget!F94)),"")</f>
        <v>-0.52002208008832</v>
      </c>
      <c r="R78" s="131" t="n">
        <f aca="false">Budget!G94</f>
        <v>-833.33</v>
      </c>
      <c r="S78" s="131" t="n">
        <f aca="false">IF(OR(5&gt;$B$3,ISBLANK(Actuals!G94)),"",Actuals!G94)</f>
        <v>-216.15</v>
      </c>
      <c r="T78" s="132" t="n">
        <f aca="false">IF(OR(5&gt;$B$3,ISBLANK(Actuals!G94)),"",Budget!G94-Actuals!G94)</f>
        <v>-617.18</v>
      </c>
      <c r="U78" s="132" t="n">
        <f aca="false">IFERROR(IF(OR(5&gt;$B$3,ISBLANK(Actuals!G94)),"",(Budget!G94-Actuals!G94)/ABS(Budget!G94)),"")</f>
        <v>-0.74061896247585</v>
      </c>
      <c r="V78" s="131" t="n">
        <f aca="false">Budget!H94</f>
        <v>-833.33</v>
      </c>
      <c r="W78" s="131" t="n">
        <f aca="false">IF(OR(6&gt;$B$3,ISBLANK(Actuals!H94)),"",Actuals!H94)</f>
        <v>-936.05</v>
      </c>
      <c r="X78" s="132" t="n">
        <f aca="false">IF(OR(6&gt;$B$3,ISBLANK(Actuals!H94)),"",Budget!H94-Actuals!H94)</f>
        <v>102.72</v>
      </c>
      <c r="Y78" s="132" t="n">
        <f aca="false">IFERROR(IF(OR(6&gt;$B$3,ISBLANK(Actuals!H94)),"",(Budget!H94-Actuals!H94)/ABS(Budget!H94)),"")</f>
        <v>0.123264493057972</v>
      </c>
      <c r="Z78" s="131" t="n">
        <f aca="false">Budget!I94</f>
        <v>-850</v>
      </c>
      <c r="AA78" s="131" t="n">
        <f aca="false">IF(OR(7&gt;$B$3,ISBLANK(Actuals!I94)),"",Actuals!I94)</f>
        <v>-9.99</v>
      </c>
      <c r="AB78" s="132" t="n">
        <f aca="false">IF(OR(7&gt;$B$3,ISBLANK(Actuals!I94)),"",Budget!I94-Actuals!I94)</f>
        <v>-840.01</v>
      </c>
      <c r="AC78" s="132" t="n">
        <f aca="false">IFERROR(IF(OR(7&gt;$B$3,ISBLANK(Actuals!I94)),"",(Budget!I94-Actuals!I94)/ABS(Budget!I94)),"")</f>
        <v>-0.988247058823529</v>
      </c>
      <c r="AD78" s="131" t="n">
        <f aca="false">Budget!J94</f>
        <v>-850</v>
      </c>
      <c r="AE78" s="131" t="n">
        <f aca="false">IF(OR(8&gt;$B$3,ISBLANK(Actuals!J94)),"",Actuals!J94)</f>
        <v>-32.2</v>
      </c>
      <c r="AF78" s="132" t="n">
        <f aca="false">IF(OR(8&gt;$B$3,ISBLANK(Actuals!J94)),"",Budget!J94-Actuals!J94)</f>
        <v>-817.8</v>
      </c>
      <c r="AG78" s="132" t="n">
        <f aca="false">IFERROR(IF(OR(8&gt;$B$3,ISBLANK(Actuals!J94)),"",(Budget!J94-Actuals!J94)/ABS(Budget!J94)),"")</f>
        <v>-0.962117647058824</v>
      </c>
      <c r="AH78" s="131" t="n">
        <f aca="false">Budget!K94</f>
        <v>-850</v>
      </c>
      <c r="AI78" s="131" t="n">
        <f aca="false">IF(OR(9&gt;$B$3,ISBLANK(Actuals!K94)),"",Actuals!K94)</f>
        <v>-436.42</v>
      </c>
      <c r="AJ78" s="132" t="n">
        <f aca="false">IF(OR(9&gt;$B$3,ISBLANK(Actuals!K94)),"",Budget!K94-Actuals!K94)</f>
        <v>-413.58</v>
      </c>
      <c r="AK78" s="132" t="n">
        <f aca="false">IFERROR(IF(OR(9&gt;$B$3,ISBLANK(Actuals!K94)),"",(Budget!K94-Actuals!K94)/ABS(Budget!K94)),"")</f>
        <v>-0.486564705882353</v>
      </c>
      <c r="AL78" s="131" t="n">
        <f aca="false">Budget!L94</f>
        <v>-850</v>
      </c>
      <c r="AM78" s="131" t="str">
        <f aca="false">IF(OR(10&gt;$B$3,ISBLANK(Actuals!L94)),"",Actuals!L94)</f>
        <v/>
      </c>
      <c r="AN78" s="132" t="str">
        <f aca="false">IF(OR(10&gt;$B$3,ISBLANK(Actuals!L94)),"",Budget!L94-Actuals!L94)</f>
        <v/>
      </c>
      <c r="AO78" s="132" t="str">
        <f aca="false">IFERROR(IF(OR(10&gt;$B$3,ISBLANK(Actuals!L94)),"",(Budget!L94-Actuals!L94)/ABS(Budget!L94)),"")</f>
        <v/>
      </c>
      <c r="AP78" s="131" t="n">
        <f aca="false">Budget!M94</f>
        <v>-850</v>
      </c>
      <c r="AQ78" s="131" t="str">
        <f aca="false">IF(OR(11&gt;$B$3,ISBLANK(Actuals!M94)),"",Actuals!M94)</f>
        <v/>
      </c>
      <c r="AR78" s="132" t="str">
        <f aca="false">IF(OR(11&gt;$B$3,ISBLANK(Actuals!M94)),"",Budget!M94-Actuals!M94)</f>
        <v/>
      </c>
      <c r="AS78" s="132" t="str">
        <f aca="false">IFERROR(IF(OR(11&gt;$B$3,ISBLANK(Actuals!M94)),"",(Budget!M94-Actuals!M94)/ABS(Budget!M94)),"")</f>
        <v/>
      </c>
      <c r="AT78" s="131" t="n">
        <f aca="false">Budget!N94</f>
        <v>-850</v>
      </c>
      <c r="AU78" s="131" t="str">
        <f aca="false">IF(OR(12&gt;$B$3,ISBLANK(Actuals!N94)),"",Actuals!N94)</f>
        <v/>
      </c>
      <c r="AV78" s="132" t="str">
        <f aca="false">IF(OR(12&gt;$B$3,ISBLANK(Actuals!N94)),"",Budget!N94-Actuals!N94)</f>
        <v/>
      </c>
      <c r="AW78" s="132" t="str">
        <f aca="false">IFERROR(IF(OR(12&gt;$B$3,ISBLANK(Actuals!N94)),"",(Budget!N94-Actuals!N94)/ABS(Budget!N94)),"")</f>
        <v/>
      </c>
      <c r="AX78" s="133" t="n">
        <f aca="false">SUMPRODUCT((Actuals!C94:N94&lt;&gt;"")*(Budget!C94:N94))</f>
        <v>-7549.98</v>
      </c>
      <c r="AY78" s="133" t="n">
        <f aca="false">SUM(Actuals!C94:N94)</f>
        <v>-3129.69</v>
      </c>
      <c r="AZ78" s="134" t="n">
        <f aca="false">AX78-AY78</f>
        <v>-4420.29</v>
      </c>
    </row>
    <row r="79" customFormat="false" ht="15" hidden="false" customHeight="true" outlineLevel="0" collapsed="false">
      <c r="A79" s="130" t="s">
        <v>129</v>
      </c>
      <c r="B79" s="131" t="n">
        <f aca="false">Budget!C95</f>
        <v>0</v>
      </c>
      <c r="C79" s="131" t="n">
        <f aca="false">IF(OR(1&gt;$B$3,ISBLANK(Actuals!C95)),"",Actuals!C95)</f>
        <v>0</v>
      </c>
      <c r="D79" s="132" t="n">
        <f aca="false">IF(OR(1&gt;$B$3,ISBLANK(Actuals!C95)),"",Budget!C95-Actuals!C95)</f>
        <v>0</v>
      </c>
      <c r="E79" s="132" t="str">
        <f aca="false">IFERROR(IF(OR(1&gt;$B$3,ISBLANK(Actuals!C95)),"",(Budget!C95-Actuals!C95)/ABS(Budget!C95)),"")</f>
        <v/>
      </c>
      <c r="F79" s="131" t="n">
        <f aca="false">Budget!D95</f>
        <v>0</v>
      </c>
      <c r="G79" s="131" t="n">
        <f aca="false">IF(OR(2&gt;$B$3,ISBLANK(Actuals!D95)),"",Actuals!D95)</f>
        <v>-92.75</v>
      </c>
      <c r="H79" s="132" t="n">
        <f aca="false">IF(OR(2&gt;$B$3,ISBLANK(Actuals!D95)),"",Budget!D95-Actuals!D95)</f>
        <v>92.75</v>
      </c>
      <c r="I79" s="132" t="str">
        <f aca="false">IFERROR(IF(OR(2&gt;$B$3,ISBLANK(Actuals!D95)),"",(Budget!D95-Actuals!D95)/ABS(Budget!D95)),"")</f>
        <v/>
      </c>
      <c r="J79" s="131" t="n">
        <f aca="false">Budget!E95</f>
        <v>0</v>
      </c>
      <c r="K79" s="131" t="n">
        <f aca="false">IF(OR(3&gt;$B$3,ISBLANK(Actuals!E95)),"",Actuals!E95)</f>
        <v>-57.46</v>
      </c>
      <c r="L79" s="132" t="n">
        <f aca="false">IF(OR(3&gt;$B$3,ISBLANK(Actuals!E95)),"",Budget!E95-Actuals!E95)</f>
        <v>57.46</v>
      </c>
      <c r="M79" s="132" t="str">
        <f aca="false">IFERROR(IF(OR(3&gt;$B$3,ISBLANK(Actuals!E95)),"",(Budget!E95-Actuals!E95)/ABS(Budget!E95)),"")</f>
        <v/>
      </c>
      <c r="N79" s="131" t="n">
        <f aca="false">Budget!F95</f>
        <v>0</v>
      </c>
      <c r="O79" s="131" t="n">
        <f aca="false">IF(OR(4&gt;$B$3,ISBLANK(Actuals!F95)),"",Actuals!F95)</f>
        <v>0</v>
      </c>
      <c r="P79" s="132" t="n">
        <f aca="false">IF(OR(4&gt;$B$3,ISBLANK(Actuals!F95)),"",Budget!F95-Actuals!F95)</f>
        <v>0</v>
      </c>
      <c r="Q79" s="132" t="str">
        <f aca="false">IFERROR(IF(OR(4&gt;$B$3,ISBLANK(Actuals!F95)),"",(Budget!F95-Actuals!F95)/ABS(Budget!F95)),"")</f>
        <v/>
      </c>
      <c r="R79" s="131" t="n">
        <f aca="false">Budget!G95</f>
        <v>0</v>
      </c>
      <c r="S79" s="131" t="n">
        <f aca="false">IF(OR(5&gt;$B$3,ISBLANK(Actuals!G95)),"",Actuals!G95)</f>
        <v>-24.3</v>
      </c>
      <c r="T79" s="132" t="n">
        <f aca="false">IF(OR(5&gt;$B$3,ISBLANK(Actuals!G95)),"",Budget!G95-Actuals!G95)</f>
        <v>24.3</v>
      </c>
      <c r="U79" s="132" t="str">
        <f aca="false">IFERROR(IF(OR(5&gt;$B$3,ISBLANK(Actuals!G95)),"",(Budget!G95-Actuals!G95)/ABS(Budget!G95)),"")</f>
        <v/>
      </c>
      <c r="V79" s="131" t="n">
        <f aca="false">Budget!H95</f>
        <v>0</v>
      </c>
      <c r="W79" s="131" t="n">
        <f aca="false">IF(OR(6&gt;$B$3,ISBLANK(Actuals!H95)),"",Actuals!H95)</f>
        <v>-917.7</v>
      </c>
      <c r="X79" s="132" t="n">
        <f aca="false">IF(OR(6&gt;$B$3,ISBLANK(Actuals!H95)),"",Budget!H95-Actuals!H95)</f>
        <v>917.7</v>
      </c>
      <c r="Y79" s="132" t="str">
        <f aca="false">IFERROR(IF(OR(6&gt;$B$3,ISBLANK(Actuals!H95)),"",(Budget!H95-Actuals!H95)/ABS(Budget!H95)),"")</f>
        <v/>
      </c>
      <c r="Z79" s="131" t="n">
        <f aca="false">Budget!I95</f>
        <v>0</v>
      </c>
      <c r="AA79" s="131" t="n">
        <f aca="false">IF(OR(7&gt;$B$3,ISBLANK(Actuals!I95)),"",Actuals!I95)</f>
        <v>0</v>
      </c>
      <c r="AB79" s="132" t="n">
        <f aca="false">IF(OR(7&gt;$B$3,ISBLANK(Actuals!I95)),"",Budget!I95-Actuals!I95)</f>
        <v>0</v>
      </c>
      <c r="AC79" s="132" t="str">
        <f aca="false">IFERROR(IF(OR(7&gt;$B$3,ISBLANK(Actuals!I95)),"",(Budget!I95-Actuals!I95)/ABS(Budget!I95)),"")</f>
        <v/>
      </c>
      <c r="AD79" s="131" t="n">
        <f aca="false">Budget!J95</f>
        <v>0</v>
      </c>
      <c r="AE79" s="131" t="n">
        <f aca="false">IF(OR(8&gt;$B$3,ISBLANK(Actuals!J95)),"",Actuals!J95)</f>
        <v>-70.35</v>
      </c>
      <c r="AF79" s="132" t="n">
        <f aca="false">IF(OR(8&gt;$B$3,ISBLANK(Actuals!J95)),"",Budget!J95-Actuals!J95)</f>
        <v>70.35</v>
      </c>
      <c r="AG79" s="132" t="str">
        <f aca="false">IFERROR(IF(OR(8&gt;$B$3,ISBLANK(Actuals!J95)),"",(Budget!J95-Actuals!J95)/ABS(Budget!J95)),"")</f>
        <v/>
      </c>
      <c r="AH79" s="131" t="n">
        <f aca="false">Budget!K95</f>
        <v>0</v>
      </c>
      <c r="AI79" s="131" t="n">
        <f aca="false">IF(OR(9&gt;$B$3,ISBLANK(Actuals!K95)),"",Actuals!K95)</f>
        <v>-160</v>
      </c>
      <c r="AJ79" s="132" t="n">
        <f aca="false">IF(OR(9&gt;$B$3,ISBLANK(Actuals!K95)),"",Budget!K95-Actuals!K95)</f>
        <v>160</v>
      </c>
      <c r="AK79" s="132" t="str">
        <f aca="false">IFERROR(IF(OR(9&gt;$B$3,ISBLANK(Actuals!K95)),"",(Budget!K95-Actuals!K95)/ABS(Budget!K95)),"")</f>
        <v/>
      </c>
      <c r="AL79" s="131" t="n">
        <f aca="false">Budget!L95</f>
        <v>0</v>
      </c>
      <c r="AM79" s="131" t="str">
        <f aca="false">IF(OR(10&gt;$B$3,ISBLANK(Actuals!L95)),"",Actuals!L95)</f>
        <v/>
      </c>
      <c r="AN79" s="132" t="str">
        <f aca="false">IF(OR(10&gt;$B$3,ISBLANK(Actuals!L95)),"",Budget!L95-Actuals!L95)</f>
        <v/>
      </c>
      <c r="AO79" s="132" t="str">
        <f aca="false">IFERROR(IF(OR(10&gt;$B$3,ISBLANK(Actuals!L95)),"",(Budget!L95-Actuals!L95)/ABS(Budget!L95)),"")</f>
        <v/>
      </c>
      <c r="AP79" s="131" t="n">
        <f aca="false">Budget!M95</f>
        <v>0</v>
      </c>
      <c r="AQ79" s="131" t="str">
        <f aca="false">IF(OR(11&gt;$B$3,ISBLANK(Actuals!M95)),"",Actuals!M95)</f>
        <v/>
      </c>
      <c r="AR79" s="132" t="str">
        <f aca="false">IF(OR(11&gt;$B$3,ISBLANK(Actuals!M95)),"",Budget!M95-Actuals!M95)</f>
        <v/>
      </c>
      <c r="AS79" s="132" t="str">
        <f aca="false">IFERROR(IF(OR(11&gt;$B$3,ISBLANK(Actuals!M95)),"",(Budget!M95-Actuals!M95)/ABS(Budget!M95)),"")</f>
        <v/>
      </c>
      <c r="AT79" s="131" t="n">
        <f aca="false">Budget!N95</f>
        <v>0</v>
      </c>
      <c r="AU79" s="131" t="str">
        <f aca="false">IF(OR(12&gt;$B$3,ISBLANK(Actuals!N95)),"",Actuals!N95)</f>
        <v/>
      </c>
      <c r="AV79" s="132" t="str">
        <f aca="false">IF(OR(12&gt;$B$3,ISBLANK(Actuals!N95)),"",Budget!N95-Actuals!N95)</f>
        <v/>
      </c>
      <c r="AW79" s="132" t="str">
        <f aca="false">IFERROR(IF(OR(12&gt;$B$3,ISBLANK(Actuals!N95)),"",(Budget!N95-Actuals!N95)/ABS(Budget!N95)),"")</f>
        <v/>
      </c>
      <c r="AX79" s="133" t="n">
        <f aca="false">SUMPRODUCT((Actuals!C95:N95&lt;&gt;"")*(Budget!C95:N95))</f>
        <v>0</v>
      </c>
      <c r="AY79" s="133" t="n">
        <f aca="false">SUM(Actuals!C95:N95)</f>
        <v>-1322.56</v>
      </c>
      <c r="AZ79" s="134" t="n">
        <f aca="false">AX79-AY79</f>
        <v>1322.56</v>
      </c>
    </row>
    <row r="80" customFormat="false" ht="15" hidden="false" customHeight="true" outlineLevel="0" collapsed="false">
      <c r="A80" s="130" t="s">
        <v>78</v>
      </c>
      <c r="B80" s="131" t="n">
        <f aca="false">Budget!C96</f>
        <v>-3000</v>
      </c>
      <c r="C80" s="131" t="n">
        <f aca="false">IF(OR(1&gt;$B$3,ISBLANK(Actuals!C96)),"",Actuals!C96)</f>
        <v>-640.88</v>
      </c>
      <c r="D80" s="132" t="n">
        <f aca="false">IF(OR(1&gt;$B$3,ISBLANK(Actuals!C96)),"",Budget!C96-Actuals!C96)</f>
        <v>-2359.12</v>
      </c>
      <c r="E80" s="132" t="n">
        <f aca="false">IFERROR(IF(OR(1&gt;$B$3,ISBLANK(Actuals!C96)),"",(Budget!C96-Actuals!C96)/ABS(Budget!C96)),"")</f>
        <v>-0.786373333333333</v>
      </c>
      <c r="F80" s="131" t="n">
        <f aca="false">Budget!D96</f>
        <v>-3000</v>
      </c>
      <c r="G80" s="131" t="n">
        <f aca="false">IF(OR(2&gt;$B$3,ISBLANK(Actuals!D96)),"",Actuals!D96)</f>
        <v>-872.64</v>
      </c>
      <c r="H80" s="132" t="n">
        <f aca="false">IF(OR(2&gt;$B$3,ISBLANK(Actuals!D96)),"",Budget!D96-Actuals!D96)</f>
        <v>-2127.36</v>
      </c>
      <c r="I80" s="132" t="n">
        <f aca="false">IFERROR(IF(OR(2&gt;$B$3,ISBLANK(Actuals!D96)),"",(Budget!D96-Actuals!D96)/ABS(Budget!D96)),"")</f>
        <v>-0.70912</v>
      </c>
      <c r="J80" s="131" t="n">
        <f aca="false">Budget!E96</f>
        <v>-3000</v>
      </c>
      <c r="K80" s="131" t="n">
        <f aca="false">IF(OR(3&gt;$B$3,ISBLANK(Actuals!E96)),"",Actuals!E96)</f>
        <v>-1175.78</v>
      </c>
      <c r="L80" s="132" t="n">
        <f aca="false">IF(OR(3&gt;$B$3,ISBLANK(Actuals!E96)),"",Budget!E96-Actuals!E96)</f>
        <v>-1824.22</v>
      </c>
      <c r="M80" s="132" t="n">
        <f aca="false">IFERROR(IF(OR(3&gt;$B$3,ISBLANK(Actuals!E96)),"",(Budget!E96-Actuals!E96)/ABS(Budget!E96)),"")</f>
        <v>-0.608073333333333</v>
      </c>
      <c r="N80" s="131" t="n">
        <f aca="false">Budget!F96</f>
        <v>-3000</v>
      </c>
      <c r="O80" s="131" t="n">
        <f aca="false">IF(OR(4&gt;$B$3,ISBLANK(Actuals!F96)),"",Actuals!F96)</f>
        <v>-471.38</v>
      </c>
      <c r="P80" s="132" t="n">
        <f aca="false">IF(OR(4&gt;$B$3,ISBLANK(Actuals!F96)),"",Budget!F96-Actuals!F96)</f>
        <v>-2528.62</v>
      </c>
      <c r="Q80" s="132" t="n">
        <f aca="false">IFERROR(IF(OR(4&gt;$B$3,ISBLANK(Actuals!F96)),"",(Budget!F96-Actuals!F96)/ABS(Budget!F96)),"")</f>
        <v>-0.842873333333333</v>
      </c>
      <c r="R80" s="131" t="n">
        <f aca="false">Budget!G96</f>
        <v>-3000</v>
      </c>
      <c r="S80" s="131" t="n">
        <f aca="false">IF(OR(5&gt;$B$3,ISBLANK(Actuals!G96)),"",Actuals!G96)</f>
        <v>-1307.57</v>
      </c>
      <c r="T80" s="132" t="n">
        <f aca="false">IF(OR(5&gt;$B$3,ISBLANK(Actuals!G96)),"",Budget!G96-Actuals!G96)</f>
        <v>-1692.43</v>
      </c>
      <c r="U80" s="132" t="n">
        <f aca="false">IFERROR(IF(OR(5&gt;$B$3,ISBLANK(Actuals!G96)),"",(Budget!G96-Actuals!G96)/ABS(Budget!G96)),"")</f>
        <v>-0.564143333333333</v>
      </c>
      <c r="V80" s="131" t="n">
        <f aca="false">Budget!H96</f>
        <v>-3000</v>
      </c>
      <c r="W80" s="131" t="n">
        <f aca="false">IF(OR(6&gt;$B$3,ISBLANK(Actuals!H96)),"",Actuals!H96)</f>
        <v>-3067.11</v>
      </c>
      <c r="X80" s="132" t="n">
        <f aca="false">IF(OR(6&gt;$B$3,ISBLANK(Actuals!H96)),"",Budget!H96-Actuals!H96)</f>
        <v>67.1100000000001</v>
      </c>
      <c r="Y80" s="132" t="n">
        <f aca="false">IFERROR(IF(OR(6&gt;$B$3,ISBLANK(Actuals!H96)),"",(Budget!H96-Actuals!H96)/ABS(Budget!H96)),"")</f>
        <v>0.02237</v>
      </c>
      <c r="Z80" s="131" t="n">
        <f aca="false">Budget!I96</f>
        <v>-3060</v>
      </c>
      <c r="AA80" s="131" t="n">
        <f aca="false">IF(OR(7&gt;$B$3,ISBLANK(Actuals!I96)),"",Actuals!I96)</f>
        <v>-131.02</v>
      </c>
      <c r="AB80" s="132" t="n">
        <f aca="false">IF(OR(7&gt;$B$3,ISBLANK(Actuals!I96)),"",Budget!I96-Actuals!I96)</f>
        <v>-2928.98</v>
      </c>
      <c r="AC80" s="132" t="n">
        <f aca="false">IFERROR(IF(OR(7&gt;$B$3,ISBLANK(Actuals!I96)),"",(Budget!I96-Actuals!I96)/ABS(Budget!I96)),"")</f>
        <v>-0.957183006535948</v>
      </c>
      <c r="AD80" s="131" t="n">
        <f aca="false">Budget!J96</f>
        <v>-3060</v>
      </c>
      <c r="AE80" s="131" t="n">
        <f aca="false">IF(OR(8&gt;$B$3,ISBLANK(Actuals!J96)),"",Actuals!J96)</f>
        <v>-13.5</v>
      </c>
      <c r="AF80" s="132" t="n">
        <f aca="false">IF(OR(8&gt;$B$3,ISBLANK(Actuals!J96)),"",Budget!J96-Actuals!J96)</f>
        <v>-3046.5</v>
      </c>
      <c r="AG80" s="132" t="n">
        <f aca="false">IFERROR(IF(OR(8&gt;$B$3,ISBLANK(Actuals!J96)),"",(Budget!J96-Actuals!J96)/ABS(Budget!J96)),"")</f>
        <v>-0.995588235294118</v>
      </c>
      <c r="AH80" s="131" t="n">
        <f aca="false">Budget!K96</f>
        <v>-3060</v>
      </c>
      <c r="AI80" s="131" t="n">
        <f aca="false">IF(OR(9&gt;$B$3,ISBLANK(Actuals!K96)),"",Actuals!K96)</f>
        <v>-1504.31</v>
      </c>
      <c r="AJ80" s="132" t="n">
        <f aca="false">IF(OR(9&gt;$B$3,ISBLANK(Actuals!K96)),"",Budget!K96-Actuals!K96)</f>
        <v>-1555.69</v>
      </c>
      <c r="AK80" s="132" t="n">
        <f aca="false">IFERROR(IF(OR(9&gt;$B$3,ISBLANK(Actuals!K96)),"",(Budget!K96-Actuals!K96)/ABS(Budget!K96)),"")</f>
        <v>-0.508395424836601</v>
      </c>
      <c r="AL80" s="131" t="n">
        <f aca="false">Budget!L96</f>
        <v>-3060</v>
      </c>
      <c r="AM80" s="131" t="str">
        <f aca="false">IF(OR(10&gt;$B$3,ISBLANK(Actuals!L96)),"",Actuals!L96)</f>
        <v/>
      </c>
      <c r="AN80" s="132" t="str">
        <f aca="false">IF(OR(10&gt;$B$3,ISBLANK(Actuals!L96)),"",Budget!L96-Actuals!L96)</f>
        <v/>
      </c>
      <c r="AO80" s="132" t="str">
        <f aca="false">IFERROR(IF(OR(10&gt;$B$3,ISBLANK(Actuals!L96)),"",(Budget!L96-Actuals!L96)/ABS(Budget!L96)),"")</f>
        <v/>
      </c>
      <c r="AP80" s="131" t="n">
        <f aca="false">Budget!M96</f>
        <v>-3060</v>
      </c>
      <c r="AQ80" s="131" t="str">
        <f aca="false">IF(OR(11&gt;$B$3,ISBLANK(Actuals!M96)),"",Actuals!M96)</f>
        <v/>
      </c>
      <c r="AR80" s="132" t="str">
        <f aca="false">IF(OR(11&gt;$B$3,ISBLANK(Actuals!M96)),"",Budget!M96-Actuals!M96)</f>
        <v/>
      </c>
      <c r="AS80" s="132" t="str">
        <f aca="false">IFERROR(IF(OR(11&gt;$B$3,ISBLANK(Actuals!M96)),"",(Budget!M96-Actuals!M96)/ABS(Budget!M96)),"")</f>
        <v/>
      </c>
      <c r="AT80" s="131" t="n">
        <f aca="false">Budget!N96</f>
        <v>-3060</v>
      </c>
      <c r="AU80" s="131" t="str">
        <f aca="false">IF(OR(12&gt;$B$3,ISBLANK(Actuals!N96)),"",Actuals!N96)</f>
        <v/>
      </c>
      <c r="AV80" s="132" t="str">
        <f aca="false">IF(OR(12&gt;$B$3,ISBLANK(Actuals!N96)),"",Budget!N96-Actuals!N96)</f>
        <v/>
      </c>
      <c r="AW80" s="132" t="str">
        <f aca="false">IFERROR(IF(OR(12&gt;$B$3,ISBLANK(Actuals!N96)),"",(Budget!N96-Actuals!N96)/ABS(Budget!N96)),"")</f>
        <v/>
      </c>
      <c r="AX80" s="133" t="n">
        <f aca="false">SUMPRODUCT((Actuals!C96:N96&lt;&gt;"")*(Budget!C96:N96))</f>
        <v>-27180</v>
      </c>
      <c r="AY80" s="133" t="n">
        <f aca="false">SUM(Actuals!C96:N96)</f>
        <v>-9184.19</v>
      </c>
      <c r="AZ80" s="134" t="n">
        <f aca="false">AX80-AY80</f>
        <v>-17995.81</v>
      </c>
    </row>
    <row r="81" customFormat="false" ht="15" hidden="false" customHeight="true" outlineLevel="0" collapsed="false">
      <c r="A81" s="130" t="s">
        <v>79</v>
      </c>
      <c r="B81" s="131" t="n">
        <f aca="false">Budget!C97</f>
        <v>-500</v>
      </c>
      <c r="C81" s="131" t="n">
        <f aca="false">IF(OR(1&gt;$B$3,ISBLANK(Actuals!C97)),"",Actuals!C97)</f>
        <v>0</v>
      </c>
      <c r="D81" s="132" t="n">
        <f aca="false">IF(OR(1&gt;$B$3,ISBLANK(Actuals!C97)),"",Budget!C97-Actuals!C97)</f>
        <v>-500</v>
      </c>
      <c r="E81" s="132" t="n">
        <f aca="false">IFERROR(IF(OR(1&gt;$B$3,ISBLANK(Actuals!C97)),"",(Budget!C97-Actuals!C97)/ABS(Budget!C97)),"")</f>
        <v>-1</v>
      </c>
      <c r="F81" s="131" t="n">
        <f aca="false">Budget!D97</f>
        <v>-500</v>
      </c>
      <c r="G81" s="131" t="n">
        <f aca="false">IF(OR(2&gt;$B$3,ISBLANK(Actuals!D97)),"",Actuals!D97)</f>
        <v>0</v>
      </c>
      <c r="H81" s="132" t="n">
        <f aca="false">IF(OR(2&gt;$B$3,ISBLANK(Actuals!D97)),"",Budget!D97-Actuals!D97)</f>
        <v>-500</v>
      </c>
      <c r="I81" s="132" t="n">
        <f aca="false">IFERROR(IF(OR(2&gt;$B$3,ISBLANK(Actuals!D97)),"",(Budget!D97-Actuals!D97)/ABS(Budget!D97)),"")</f>
        <v>-1</v>
      </c>
      <c r="J81" s="131" t="n">
        <f aca="false">Budget!E97</f>
        <v>-500</v>
      </c>
      <c r="K81" s="131" t="n">
        <f aca="false">IF(OR(3&gt;$B$3,ISBLANK(Actuals!E97)),"",Actuals!E97)</f>
        <v>-38050.5</v>
      </c>
      <c r="L81" s="132" t="n">
        <f aca="false">IF(OR(3&gt;$B$3,ISBLANK(Actuals!E97)),"",Budget!E97-Actuals!E97)</f>
        <v>37550.5</v>
      </c>
      <c r="M81" s="132" t="n">
        <f aca="false">IFERROR(IF(OR(3&gt;$B$3,ISBLANK(Actuals!E97)),"",(Budget!E97-Actuals!E97)/ABS(Budget!E97)),"")</f>
        <v>75.101</v>
      </c>
      <c r="N81" s="131" t="n">
        <f aca="false">Budget!F97</f>
        <v>-500</v>
      </c>
      <c r="O81" s="131" t="n">
        <f aca="false">IF(OR(4&gt;$B$3,ISBLANK(Actuals!F97)),"",Actuals!F97)</f>
        <v>0</v>
      </c>
      <c r="P81" s="132" t="n">
        <f aca="false">IF(OR(4&gt;$B$3,ISBLANK(Actuals!F97)),"",Budget!F97-Actuals!F97)</f>
        <v>-500</v>
      </c>
      <c r="Q81" s="132" t="n">
        <f aca="false">IFERROR(IF(OR(4&gt;$B$3,ISBLANK(Actuals!F97)),"",(Budget!F97-Actuals!F97)/ABS(Budget!F97)),"")</f>
        <v>-1</v>
      </c>
      <c r="R81" s="131" t="n">
        <f aca="false">Budget!G97</f>
        <v>-500</v>
      </c>
      <c r="S81" s="131" t="n">
        <f aca="false">IF(OR(5&gt;$B$3,ISBLANK(Actuals!G97)),"",Actuals!G97)</f>
        <v>-986.5</v>
      </c>
      <c r="T81" s="132" t="n">
        <f aca="false">IF(OR(5&gt;$B$3,ISBLANK(Actuals!G97)),"",Budget!G97-Actuals!G97)</f>
        <v>486.5</v>
      </c>
      <c r="U81" s="132" t="n">
        <f aca="false">IFERROR(IF(OR(5&gt;$B$3,ISBLANK(Actuals!G97)),"",(Budget!G97-Actuals!G97)/ABS(Budget!G97)),"")</f>
        <v>0.973</v>
      </c>
      <c r="V81" s="131" t="n">
        <f aca="false">Budget!H97</f>
        <v>-500</v>
      </c>
      <c r="W81" s="131" t="n">
        <f aca="false">IF(OR(6&gt;$B$3,ISBLANK(Actuals!H97)),"",Actuals!H97)</f>
        <v>-4830</v>
      </c>
      <c r="X81" s="132" t="n">
        <f aca="false">IF(OR(6&gt;$B$3,ISBLANK(Actuals!H97)),"",Budget!H97-Actuals!H97)</f>
        <v>4330</v>
      </c>
      <c r="Y81" s="132" t="n">
        <f aca="false">IFERROR(IF(OR(6&gt;$B$3,ISBLANK(Actuals!H97)),"",(Budget!H97-Actuals!H97)/ABS(Budget!H97)),"")</f>
        <v>8.66</v>
      </c>
      <c r="Z81" s="131" t="n">
        <f aca="false">Budget!I97</f>
        <v>-510</v>
      </c>
      <c r="AA81" s="131" t="n">
        <f aca="false">IF(OR(7&gt;$B$3,ISBLANK(Actuals!I97)),"",Actuals!I97)</f>
        <v>0</v>
      </c>
      <c r="AB81" s="132" t="n">
        <f aca="false">IF(OR(7&gt;$B$3,ISBLANK(Actuals!I97)),"",Budget!I97-Actuals!I97)</f>
        <v>-510</v>
      </c>
      <c r="AC81" s="132" t="n">
        <f aca="false">IFERROR(IF(OR(7&gt;$B$3,ISBLANK(Actuals!I97)),"",(Budget!I97-Actuals!I97)/ABS(Budget!I97)),"")</f>
        <v>-1</v>
      </c>
      <c r="AD81" s="131" t="n">
        <f aca="false">Budget!J97</f>
        <v>-510</v>
      </c>
      <c r="AE81" s="131" t="n">
        <f aca="false">IF(OR(8&gt;$B$3,ISBLANK(Actuals!J97)),"",Actuals!J97)</f>
        <v>0</v>
      </c>
      <c r="AF81" s="132" t="n">
        <f aca="false">IF(OR(8&gt;$B$3,ISBLANK(Actuals!J97)),"",Budget!J97-Actuals!J97)</f>
        <v>-510</v>
      </c>
      <c r="AG81" s="132" t="n">
        <f aca="false">IFERROR(IF(OR(8&gt;$B$3,ISBLANK(Actuals!J97)),"",(Budget!J97-Actuals!J97)/ABS(Budget!J97)),"")</f>
        <v>-1</v>
      </c>
      <c r="AH81" s="131" t="n">
        <f aca="false">Budget!K97</f>
        <v>-510</v>
      </c>
      <c r="AI81" s="131" t="n">
        <f aca="false">IF(OR(9&gt;$B$3,ISBLANK(Actuals!K97)),"",Actuals!K97)</f>
        <v>0</v>
      </c>
      <c r="AJ81" s="132" t="n">
        <f aca="false">IF(OR(9&gt;$B$3,ISBLANK(Actuals!K97)),"",Budget!K97-Actuals!K97)</f>
        <v>-510</v>
      </c>
      <c r="AK81" s="132" t="n">
        <f aca="false">IFERROR(IF(OR(9&gt;$B$3,ISBLANK(Actuals!K97)),"",(Budget!K97-Actuals!K97)/ABS(Budget!K97)),"")</f>
        <v>-1</v>
      </c>
      <c r="AL81" s="131" t="n">
        <f aca="false">Budget!L97</f>
        <v>-510</v>
      </c>
      <c r="AM81" s="131" t="str">
        <f aca="false">IF(OR(10&gt;$B$3,ISBLANK(Actuals!L97)),"",Actuals!L97)</f>
        <v/>
      </c>
      <c r="AN81" s="132" t="str">
        <f aca="false">IF(OR(10&gt;$B$3,ISBLANK(Actuals!L97)),"",Budget!L97-Actuals!L97)</f>
        <v/>
      </c>
      <c r="AO81" s="132" t="str">
        <f aca="false">IFERROR(IF(OR(10&gt;$B$3,ISBLANK(Actuals!L97)),"",(Budget!L97-Actuals!L97)/ABS(Budget!L97)),"")</f>
        <v/>
      </c>
      <c r="AP81" s="131" t="n">
        <f aca="false">Budget!M97</f>
        <v>-510</v>
      </c>
      <c r="AQ81" s="131" t="str">
        <f aca="false">IF(OR(11&gt;$B$3,ISBLANK(Actuals!M97)),"",Actuals!M97)</f>
        <v/>
      </c>
      <c r="AR81" s="132" t="str">
        <f aca="false">IF(OR(11&gt;$B$3,ISBLANK(Actuals!M97)),"",Budget!M97-Actuals!M97)</f>
        <v/>
      </c>
      <c r="AS81" s="132" t="str">
        <f aca="false">IFERROR(IF(OR(11&gt;$B$3,ISBLANK(Actuals!M97)),"",(Budget!M97-Actuals!M97)/ABS(Budget!M97)),"")</f>
        <v/>
      </c>
      <c r="AT81" s="131" t="n">
        <f aca="false">Budget!N97</f>
        <v>-510</v>
      </c>
      <c r="AU81" s="131" t="str">
        <f aca="false">IF(OR(12&gt;$B$3,ISBLANK(Actuals!N97)),"",Actuals!N97)</f>
        <v/>
      </c>
      <c r="AV81" s="132" t="str">
        <f aca="false">IF(OR(12&gt;$B$3,ISBLANK(Actuals!N97)),"",Budget!N97-Actuals!N97)</f>
        <v/>
      </c>
      <c r="AW81" s="132" t="str">
        <f aca="false">IFERROR(IF(OR(12&gt;$B$3,ISBLANK(Actuals!N97)),"",(Budget!N97-Actuals!N97)/ABS(Budget!N97)),"")</f>
        <v/>
      </c>
      <c r="AX81" s="133" t="n">
        <f aca="false">SUMPRODUCT((Actuals!C97:N97&lt;&gt;"")*(Budget!C97:N97))</f>
        <v>-4530</v>
      </c>
      <c r="AY81" s="133" t="n">
        <f aca="false">SUM(Actuals!C97:N97)</f>
        <v>-43867</v>
      </c>
      <c r="AZ81" s="134" t="n">
        <f aca="false">AX81-AY81</f>
        <v>39337</v>
      </c>
    </row>
    <row r="82" customFormat="false" ht="15" hidden="false" customHeight="true" outlineLevel="0" collapsed="false">
      <c r="A82" s="130" t="s">
        <v>80</v>
      </c>
      <c r="B82" s="131" t="n">
        <f aca="false">Budget!C98</f>
        <v>-5500</v>
      </c>
      <c r="C82" s="131" t="n">
        <f aca="false">IF(OR(1&gt;$B$3,ISBLANK(Actuals!C98)),"",Actuals!C98)</f>
        <v>-4097.78</v>
      </c>
      <c r="D82" s="132" t="n">
        <f aca="false">IF(OR(1&gt;$B$3,ISBLANK(Actuals!C98)),"",Budget!C98-Actuals!C98)</f>
        <v>-1402.22</v>
      </c>
      <c r="E82" s="132" t="n">
        <f aca="false">IFERROR(IF(OR(1&gt;$B$3,ISBLANK(Actuals!C98)),"",(Budget!C98-Actuals!C98)/ABS(Budget!C98)),"")</f>
        <v>-0.254949090909091</v>
      </c>
      <c r="F82" s="131" t="n">
        <f aca="false">Budget!D98</f>
        <v>-5500</v>
      </c>
      <c r="G82" s="131" t="n">
        <f aca="false">IF(OR(2&gt;$B$3,ISBLANK(Actuals!D98)),"",Actuals!D98)</f>
        <v>-1950.2</v>
      </c>
      <c r="H82" s="132" t="n">
        <f aca="false">IF(OR(2&gt;$B$3,ISBLANK(Actuals!D98)),"",Budget!D98-Actuals!D98)</f>
        <v>-3549.8</v>
      </c>
      <c r="I82" s="132" t="n">
        <f aca="false">IFERROR(IF(OR(2&gt;$B$3,ISBLANK(Actuals!D98)),"",(Budget!D98-Actuals!D98)/ABS(Budget!D98)),"")</f>
        <v>-0.645418181818182</v>
      </c>
      <c r="J82" s="131" t="n">
        <f aca="false">Budget!E98</f>
        <v>-5500</v>
      </c>
      <c r="K82" s="131" t="n">
        <f aca="false">IF(OR(3&gt;$B$3,ISBLANK(Actuals!E98)),"",Actuals!E98)</f>
        <v>-1978.2</v>
      </c>
      <c r="L82" s="132" t="n">
        <f aca="false">IF(OR(3&gt;$B$3,ISBLANK(Actuals!E98)),"",Budget!E98-Actuals!E98)</f>
        <v>-3521.8</v>
      </c>
      <c r="M82" s="132" t="n">
        <f aca="false">IFERROR(IF(OR(3&gt;$B$3,ISBLANK(Actuals!E98)),"",(Budget!E98-Actuals!E98)/ABS(Budget!E98)),"")</f>
        <v>-0.640327272727273</v>
      </c>
      <c r="N82" s="131" t="n">
        <f aca="false">Budget!F98</f>
        <v>-5500</v>
      </c>
      <c r="O82" s="131" t="n">
        <f aca="false">IF(OR(4&gt;$B$3,ISBLANK(Actuals!F98)),"",Actuals!F98)</f>
        <v>-1970.2</v>
      </c>
      <c r="P82" s="132" t="n">
        <f aca="false">IF(OR(4&gt;$B$3,ISBLANK(Actuals!F98)),"",Budget!F98-Actuals!F98)</f>
        <v>-3529.8</v>
      </c>
      <c r="Q82" s="132" t="n">
        <f aca="false">IFERROR(IF(OR(4&gt;$B$3,ISBLANK(Actuals!F98)),"",(Budget!F98-Actuals!F98)/ABS(Budget!F98)),"")</f>
        <v>-0.641781818181818</v>
      </c>
      <c r="R82" s="131" t="n">
        <f aca="false">Budget!G98</f>
        <v>-5500</v>
      </c>
      <c r="S82" s="131" t="n">
        <f aca="false">IF(OR(5&gt;$B$3,ISBLANK(Actuals!G98)),"",Actuals!G98)</f>
        <v>-6126.2</v>
      </c>
      <c r="T82" s="132" t="n">
        <f aca="false">IF(OR(5&gt;$B$3,ISBLANK(Actuals!G98)),"",Budget!G98-Actuals!G98)</f>
        <v>626.2</v>
      </c>
      <c r="U82" s="132" t="n">
        <f aca="false">IFERROR(IF(OR(5&gt;$B$3,ISBLANK(Actuals!G98)),"",(Budget!G98-Actuals!G98)/ABS(Budget!G98)),"")</f>
        <v>0.113854545454545</v>
      </c>
      <c r="V82" s="131" t="n">
        <f aca="false">Budget!H98</f>
        <v>-5500</v>
      </c>
      <c r="W82" s="131" t="n">
        <f aca="false">IF(OR(6&gt;$B$3,ISBLANK(Actuals!H98)),"",Actuals!H98)</f>
        <v>-1993.2</v>
      </c>
      <c r="X82" s="132" t="n">
        <f aca="false">IF(OR(6&gt;$B$3,ISBLANK(Actuals!H98)),"",Budget!H98-Actuals!H98)</f>
        <v>-3506.8</v>
      </c>
      <c r="Y82" s="132" t="n">
        <f aca="false">IFERROR(IF(OR(6&gt;$B$3,ISBLANK(Actuals!H98)),"",(Budget!H98-Actuals!H98)/ABS(Budget!H98)),"")</f>
        <v>-0.6376</v>
      </c>
      <c r="Z82" s="131" t="n">
        <f aca="false">Budget!I98</f>
        <v>-5610</v>
      </c>
      <c r="AA82" s="131" t="n">
        <f aca="false">IF(OR(7&gt;$B$3,ISBLANK(Actuals!I98)),"",Actuals!I98)</f>
        <v>-2040.2</v>
      </c>
      <c r="AB82" s="132" t="n">
        <f aca="false">IF(OR(7&gt;$B$3,ISBLANK(Actuals!I98)),"",Budget!I98-Actuals!I98)</f>
        <v>-3569.8</v>
      </c>
      <c r="AC82" s="132" t="n">
        <f aca="false">IFERROR(IF(OR(7&gt;$B$3,ISBLANK(Actuals!I98)),"",(Budget!I98-Actuals!I98)/ABS(Budget!I98)),"")</f>
        <v>-0.636327985739751</v>
      </c>
      <c r="AD82" s="131" t="n">
        <f aca="false">Budget!J98</f>
        <v>-5610</v>
      </c>
      <c r="AE82" s="131" t="n">
        <f aca="false">IF(OR(8&gt;$B$3,ISBLANK(Actuals!J98)),"",Actuals!J98)</f>
        <v>-2271.2</v>
      </c>
      <c r="AF82" s="132" t="n">
        <f aca="false">IF(OR(8&gt;$B$3,ISBLANK(Actuals!J98)),"",Budget!J98-Actuals!J98)</f>
        <v>-3338.8</v>
      </c>
      <c r="AG82" s="132" t="n">
        <f aca="false">IFERROR(IF(OR(8&gt;$B$3,ISBLANK(Actuals!J98)),"",(Budget!J98-Actuals!J98)/ABS(Budget!J98)),"")</f>
        <v>-0.595151515151515</v>
      </c>
      <c r="AH82" s="131" t="n">
        <f aca="false">Budget!K98</f>
        <v>-5610</v>
      </c>
      <c r="AI82" s="131" t="n">
        <f aca="false">IF(OR(9&gt;$B$3,ISBLANK(Actuals!K98)),"",Actuals!K98)</f>
        <v>-21969.2</v>
      </c>
      <c r="AJ82" s="132" t="n">
        <f aca="false">IF(OR(9&gt;$B$3,ISBLANK(Actuals!K98)),"",Budget!K98-Actuals!K98)</f>
        <v>16359.2</v>
      </c>
      <c r="AK82" s="132" t="n">
        <f aca="false">IFERROR(IF(OR(9&gt;$B$3,ISBLANK(Actuals!K98)),"",(Budget!K98-Actuals!K98)/ABS(Budget!K98)),"")</f>
        <v>2.91607843137255</v>
      </c>
      <c r="AL82" s="131" t="n">
        <f aca="false">Budget!L98</f>
        <v>-5610</v>
      </c>
      <c r="AM82" s="131" t="str">
        <f aca="false">IF(OR(10&gt;$B$3,ISBLANK(Actuals!L98)),"",Actuals!L98)</f>
        <v/>
      </c>
      <c r="AN82" s="132" t="str">
        <f aca="false">IF(OR(10&gt;$B$3,ISBLANK(Actuals!L98)),"",Budget!L98-Actuals!L98)</f>
        <v/>
      </c>
      <c r="AO82" s="132" t="str">
        <f aca="false">IFERROR(IF(OR(10&gt;$B$3,ISBLANK(Actuals!L98)),"",(Budget!L98-Actuals!L98)/ABS(Budget!L98)),"")</f>
        <v/>
      </c>
      <c r="AP82" s="131" t="n">
        <f aca="false">Budget!M98</f>
        <v>-5610</v>
      </c>
      <c r="AQ82" s="131" t="str">
        <f aca="false">IF(OR(11&gt;$B$3,ISBLANK(Actuals!M98)),"",Actuals!M98)</f>
        <v/>
      </c>
      <c r="AR82" s="132" t="str">
        <f aca="false">IF(OR(11&gt;$B$3,ISBLANK(Actuals!M98)),"",Budget!M98-Actuals!M98)</f>
        <v/>
      </c>
      <c r="AS82" s="132" t="str">
        <f aca="false">IFERROR(IF(OR(11&gt;$B$3,ISBLANK(Actuals!M98)),"",(Budget!M98-Actuals!M98)/ABS(Budget!M98)),"")</f>
        <v/>
      </c>
      <c r="AT82" s="131" t="n">
        <f aca="false">Budget!N98</f>
        <v>-5610</v>
      </c>
      <c r="AU82" s="131" t="str">
        <f aca="false">IF(OR(12&gt;$B$3,ISBLANK(Actuals!N98)),"",Actuals!N98)</f>
        <v/>
      </c>
      <c r="AV82" s="132" t="str">
        <f aca="false">IF(OR(12&gt;$B$3,ISBLANK(Actuals!N98)),"",Budget!N98-Actuals!N98)</f>
        <v/>
      </c>
      <c r="AW82" s="132" t="str">
        <f aca="false">IFERROR(IF(OR(12&gt;$B$3,ISBLANK(Actuals!N98)),"",(Budget!N98-Actuals!N98)/ABS(Budget!N98)),"")</f>
        <v/>
      </c>
      <c r="AX82" s="133" t="n">
        <f aca="false">SUMPRODUCT((Actuals!C98:N98&lt;&gt;"")*(Budget!C98:N98))</f>
        <v>-49830</v>
      </c>
      <c r="AY82" s="133" t="n">
        <f aca="false">SUM(Actuals!C98:N98)</f>
        <v>-44396.38</v>
      </c>
      <c r="AZ82" s="134" t="n">
        <f aca="false">AX82-AY82</f>
        <v>-5433.62</v>
      </c>
    </row>
    <row r="83" customFormat="false" ht="15" hidden="false" customHeight="true" outlineLevel="0" collapsed="false">
      <c r="A83" s="130" t="s">
        <v>81</v>
      </c>
      <c r="B83" s="131" t="n">
        <f aca="false">Budget!C99</f>
        <v>-2083.33</v>
      </c>
      <c r="C83" s="131" t="n">
        <f aca="false">IF(OR(1&gt;$B$3,ISBLANK(Actuals!C99)),"",Actuals!C99)</f>
        <v>-28038</v>
      </c>
      <c r="D83" s="132" t="n">
        <f aca="false">IF(OR(1&gt;$B$3,ISBLANK(Actuals!C99)),"",Budget!C99-Actuals!C99)</f>
        <v>25954.67</v>
      </c>
      <c r="E83" s="132" t="n">
        <f aca="false">IFERROR(IF(OR(1&gt;$B$3,ISBLANK(Actuals!C99)),"",(Budget!C99-Actuals!C99)/ABS(Budget!C99)),"")</f>
        <v>12.4582615332185</v>
      </c>
      <c r="F83" s="131" t="n">
        <f aca="false">Budget!D99</f>
        <v>-2083.33</v>
      </c>
      <c r="G83" s="131" t="n">
        <f aca="false">IF(OR(2&gt;$B$3,ISBLANK(Actuals!D99)),"",Actuals!D99)</f>
        <v>-29387.5</v>
      </c>
      <c r="H83" s="132" t="n">
        <f aca="false">IF(OR(2&gt;$B$3,ISBLANK(Actuals!D99)),"",Budget!D99-Actuals!D99)</f>
        <v>27304.17</v>
      </c>
      <c r="I83" s="132" t="n">
        <f aca="false">IFERROR(IF(OR(2&gt;$B$3,ISBLANK(Actuals!D99)),"",(Budget!D99-Actuals!D99)/ABS(Budget!D99)),"")</f>
        <v>13.1060225696361</v>
      </c>
      <c r="J83" s="131" t="n">
        <f aca="false">Budget!E99</f>
        <v>-2083.33</v>
      </c>
      <c r="K83" s="131" t="n">
        <f aca="false">IF(OR(3&gt;$B$3,ISBLANK(Actuals!E99)),"",Actuals!E99)</f>
        <v>-28083</v>
      </c>
      <c r="L83" s="132" t="n">
        <f aca="false">IF(OR(3&gt;$B$3,ISBLANK(Actuals!E99)),"",Budget!E99-Actuals!E99)</f>
        <v>25999.67</v>
      </c>
      <c r="M83" s="132" t="n">
        <f aca="false">IFERROR(IF(OR(3&gt;$B$3,ISBLANK(Actuals!E99)),"",(Budget!E99-Actuals!E99)/ABS(Budget!E99)),"")</f>
        <v>12.4798615677785</v>
      </c>
      <c r="N83" s="131" t="n">
        <f aca="false">Budget!F99</f>
        <v>-2083.33</v>
      </c>
      <c r="O83" s="131" t="n">
        <f aca="false">IF(OR(4&gt;$B$3,ISBLANK(Actuals!F99)),"",Actuals!F99)</f>
        <v>-28083</v>
      </c>
      <c r="P83" s="132" t="n">
        <f aca="false">IF(OR(4&gt;$B$3,ISBLANK(Actuals!F99)),"",Budget!F99-Actuals!F99)</f>
        <v>25999.67</v>
      </c>
      <c r="Q83" s="132" t="n">
        <f aca="false">IFERROR(IF(OR(4&gt;$B$3,ISBLANK(Actuals!F99)),"",(Budget!F99-Actuals!F99)/ABS(Budget!F99)),"")</f>
        <v>12.4798615677785</v>
      </c>
      <c r="R83" s="131" t="n">
        <f aca="false">Budget!G99</f>
        <v>-2083.33</v>
      </c>
      <c r="S83" s="131" t="n">
        <f aca="false">IF(OR(5&gt;$B$3,ISBLANK(Actuals!G99)),"",Actuals!G99)</f>
        <v>-69333</v>
      </c>
      <c r="T83" s="132" t="n">
        <f aca="false">IF(OR(5&gt;$B$3,ISBLANK(Actuals!G99)),"",Budget!G99-Actuals!G99)</f>
        <v>67249.67</v>
      </c>
      <c r="U83" s="132" t="n">
        <f aca="false">IFERROR(IF(OR(5&gt;$B$3,ISBLANK(Actuals!G99)),"",(Budget!G99-Actuals!G99)/ABS(Budget!G99)),"")</f>
        <v>32.2798932478292</v>
      </c>
      <c r="V83" s="131" t="n">
        <f aca="false">Budget!H99</f>
        <v>-2083.33</v>
      </c>
      <c r="W83" s="131" t="n">
        <f aca="false">IF(OR(6&gt;$B$3,ISBLANK(Actuals!H99)),"",Actuals!H99)</f>
        <v>-28083</v>
      </c>
      <c r="X83" s="132" t="n">
        <f aca="false">IF(OR(6&gt;$B$3,ISBLANK(Actuals!H99)),"",Budget!H99-Actuals!H99)</f>
        <v>25999.67</v>
      </c>
      <c r="Y83" s="132" t="n">
        <f aca="false">IFERROR(IF(OR(6&gt;$B$3,ISBLANK(Actuals!H99)),"",(Budget!H99-Actuals!H99)/ABS(Budget!H99)),"")</f>
        <v>12.4798615677785</v>
      </c>
      <c r="Z83" s="131" t="n">
        <f aca="false">Budget!I99</f>
        <v>-2125</v>
      </c>
      <c r="AA83" s="131" t="n">
        <f aca="false">IF(OR(7&gt;$B$3,ISBLANK(Actuals!I99)),"",Actuals!I99)</f>
        <v>-28628</v>
      </c>
      <c r="AB83" s="132" t="n">
        <f aca="false">IF(OR(7&gt;$B$3,ISBLANK(Actuals!I99)),"",Budget!I99-Actuals!I99)</f>
        <v>26503</v>
      </c>
      <c r="AC83" s="132" t="n">
        <f aca="false">IFERROR(IF(OR(7&gt;$B$3,ISBLANK(Actuals!I99)),"",(Budget!I99-Actuals!I99)/ABS(Budget!I99)),"")</f>
        <v>12.472</v>
      </c>
      <c r="AD83" s="131" t="n">
        <f aca="false">Budget!J99</f>
        <v>-2125</v>
      </c>
      <c r="AE83" s="131" t="n">
        <f aca="false">IF(OR(8&gt;$B$3,ISBLANK(Actuals!J99)),"",Actuals!J99)</f>
        <v>-28083</v>
      </c>
      <c r="AF83" s="132" t="n">
        <f aca="false">IF(OR(8&gt;$B$3,ISBLANK(Actuals!J99)),"",Budget!J99-Actuals!J99)</f>
        <v>25958</v>
      </c>
      <c r="AG83" s="132" t="n">
        <f aca="false">IFERROR(IF(OR(8&gt;$B$3,ISBLANK(Actuals!J99)),"",(Budget!J99-Actuals!J99)/ABS(Budget!J99)),"")</f>
        <v>12.2155294117647</v>
      </c>
      <c r="AH83" s="131" t="n">
        <f aca="false">Budget!K99</f>
        <v>-2125</v>
      </c>
      <c r="AI83" s="131" t="n">
        <f aca="false">IF(OR(9&gt;$B$3,ISBLANK(Actuals!K99)),"",Actuals!K99)</f>
        <v>-28083</v>
      </c>
      <c r="AJ83" s="132" t="n">
        <f aca="false">IF(OR(9&gt;$B$3,ISBLANK(Actuals!K99)),"",Budget!K99-Actuals!K99)</f>
        <v>25958</v>
      </c>
      <c r="AK83" s="132" t="n">
        <f aca="false">IFERROR(IF(OR(9&gt;$B$3,ISBLANK(Actuals!K99)),"",(Budget!K99-Actuals!K99)/ABS(Budget!K99)),"")</f>
        <v>12.2155294117647</v>
      </c>
      <c r="AL83" s="131" t="n">
        <f aca="false">Budget!L99</f>
        <v>-2125</v>
      </c>
      <c r="AM83" s="131" t="str">
        <f aca="false">IF(OR(10&gt;$B$3,ISBLANK(Actuals!L99)),"",Actuals!L99)</f>
        <v/>
      </c>
      <c r="AN83" s="132" t="str">
        <f aca="false">IF(OR(10&gt;$B$3,ISBLANK(Actuals!L99)),"",Budget!L99-Actuals!L99)</f>
        <v/>
      </c>
      <c r="AO83" s="132" t="str">
        <f aca="false">IFERROR(IF(OR(10&gt;$B$3,ISBLANK(Actuals!L99)),"",(Budget!L99-Actuals!L99)/ABS(Budget!L99)),"")</f>
        <v/>
      </c>
      <c r="AP83" s="131" t="n">
        <f aca="false">Budget!M99</f>
        <v>-2125</v>
      </c>
      <c r="AQ83" s="131" t="str">
        <f aca="false">IF(OR(11&gt;$B$3,ISBLANK(Actuals!M99)),"",Actuals!M99)</f>
        <v/>
      </c>
      <c r="AR83" s="132" t="str">
        <f aca="false">IF(OR(11&gt;$B$3,ISBLANK(Actuals!M99)),"",Budget!M99-Actuals!M99)</f>
        <v/>
      </c>
      <c r="AS83" s="132" t="str">
        <f aca="false">IFERROR(IF(OR(11&gt;$B$3,ISBLANK(Actuals!M99)),"",(Budget!M99-Actuals!M99)/ABS(Budget!M99)),"")</f>
        <v/>
      </c>
      <c r="AT83" s="131" t="n">
        <f aca="false">Budget!N99</f>
        <v>-2125</v>
      </c>
      <c r="AU83" s="131" t="str">
        <f aca="false">IF(OR(12&gt;$B$3,ISBLANK(Actuals!N99)),"",Actuals!N99)</f>
        <v/>
      </c>
      <c r="AV83" s="132" t="str">
        <f aca="false">IF(OR(12&gt;$B$3,ISBLANK(Actuals!N99)),"",Budget!N99-Actuals!N99)</f>
        <v/>
      </c>
      <c r="AW83" s="132" t="str">
        <f aca="false">IFERROR(IF(OR(12&gt;$B$3,ISBLANK(Actuals!N99)),"",(Budget!N99-Actuals!N99)/ABS(Budget!N99)),"")</f>
        <v/>
      </c>
      <c r="AX83" s="133" t="n">
        <f aca="false">SUMPRODUCT((Actuals!C99:N99&lt;&gt;"")*(Budget!C99:N99))</f>
        <v>-18874.98</v>
      </c>
      <c r="AY83" s="133" t="n">
        <f aca="false">SUM(Actuals!C99:N99)</f>
        <v>-295801.5</v>
      </c>
      <c r="AZ83" s="134" t="n">
        <f aca="false">AX83-AY83</f>
        <v>276926.52</v>
      </c>
    </row>
    <row r="84" customFormat="false" ht="15" hidden="false" customHeight="true" outlineLevel="0" collapsed="false">
      <c r="A84" s="130" t="s">
        <v>130</v>
      </c>
      <c r="B84" s="131" t="n">
        <f aca="false">Budget!C100</f>
        <v>-500</v>
      </c>
      <c r="C84" s="131" t="n">
        <f aca="false">IF(OR(1&gt;$B$3,ISBLANK(Actuals!C100)),"",Actuals!C100)</f>
        <v>-268</v>
      </c>
      <c r="D84" s="132" t="n">
        <f aca="false">IF(OR(1&gt;$B$3,ISBLANK(Actuals!C100)),"",Budget!C100-Actuals!C100)</f>
        <v>-232</v>
      </c>
      <c r="E84" s="132" t="n">
        <f aca="false">IFERROR(IF(OR(1&gt;$B$3,ISBLANK(Actuals!C100)),"",(Budget!C100-Actuals!C100)/ABS(Budget!C100)),"")</f>
        <v>-0.464</v>
      </c>
      <c r="F84" s="131" t="n">
        <f aca="false">Budget!D100</f>
        <v>-500</v>
      </c>
      <c r="G84" s="131" t="n">
        <f aca="false">IF(OR(2&gt;$B$3,ISBLANK(Actuals!D100)),"",Actuals!D100)</f>
        <v>-2088.75</v>
      </c>
      <c r="H84" s="132" t="n">
        <f aca="false">IF(OR(2&gt;$B$3,ISBLANK(Actuals!D100)),"",Budget!D100-Actuals!D100)</f>
        <v>1588.75</v>
      </c>
      <c r="I84" s="132" t="n">
        <f aca="false">IFERROR(IF(OR(2&gt;$B$3,ISBLANK(Actuals!D100)),"",(Budget!D100-Actuals!D100)/ABS(Budget!D100)),"")</f>
        <v>3.1775</v>
      </c>
      <c r="J84" s="131" t="n">
        <f aca="false">Budget!E100</f>
        <v>-500</v>
      </c>
      <c r="K84" s="131" t="n">
        <f aca="false">IF(OR(3&gt;$B$3,ISBLANK(Actuals!E100)),"",Actuals!E100)</f>
        <v>-2401.75</v>
      </c>
      <c r="L84" s="132" t="n">
        <f aca="false">IF(OR(3&gt;$B$3,ISBLANK(Actuals!E100)),"",Budget!E100-Actuals!E100)</f>
        <v>1901.75</v>
      </c>
      <c r="M84" s="132" t="n">
        <f aca="false">IFERROR(IF(OR(3&gt;$B$3,ISBLANK(Actuals!E100)),"",(Budget!E100-Actuals!E100)/ABS(Budget!E100)),"")</f>
        <v>3.8035</v>
      </c>
      <c r="N84" s="131" t="n">
        <f aca="false">Budget!F100</f>
        <v>-500</v>
      </c>
      <c r="O84" s="131" t="n">
        <f aca="false">IF(OR(4&gt;$B$3,ISBLANK(Actuals!F100)),"",Actuals!F100)</f>
        <v>-4209.5</v>
      </c>
      <c r="P84" s="132" t="n">
        <f aca="false">IF(OR(4&gt;$B$3,ISBLANK(Actuals!F100)),"",Budget!F100-Actuals!F100)</f>
        <v>3709.5</v>
      </c>
      <c r="Q84" s="132" t="n">
        <f aca="false">IFERROR(IF(OR(4&gt;$B$3,ISBLANK(Actuals!F100)),"",(Budget!F100-Actuals!F100)/ABS(Budget!F100)),"")</f>
        <v>7.419</v>
      </c>
      <c r="R84" s="131" t="n">
        <f aca="false">Budget!G100</f>
        <v>-500</v>
      </c>
      <c r="S84" s="131" t="n">
        <f aca="false">IF(OR(5&gt;$B$3,ISBLANK(Actuals!G100)),"",Actuals!G100)</f>
        <v>-2377.59</v>
      </c>
      <c r="T84" s="132" t="n">
        <f aca="false">IF(OR(5&gt;$B$3,ISBLANK(Actuals!G100)),"",Budget!G100-Actuals!G100)</f>
        <v>1877.59</v>
      </c>
      <c r="U84" s="132" t="n">
        <f aca="false">IFERROR(IF(OR(5&gt;$B$3,ISBLANK(Actuals!G100)),"",(Budget!G100-Actuals!G100)/ABS(Budget!G100)),"")</f>
        <v>3.75518</v>
      </c>
      <c r="V84" s="131" t="n">
        <f aca="false">Budget!H100</f>
        <v>-500</v>
      </c>
      <c r="W84" s="131" t="n">
        <f aca="false">IF(OR(6&gt;$B$3,ISBLANK(Actuals!H100)),"",Actuals!H100)</f>
        <v>-16</v>
      </c>
      <c r="X84" s="132" t="n">
        <f aca="false">IF(OR(6&gt;$B$3,ISBLANK(Actuals!H100)),"",Budget!H100-Actuals!H100)</f>
        <v>-484</v>
      </c>
      <c r="Y84" s="132" t="n">
        <f aca="false">IFERROR(IF(OR(6&gt;$B$3,ISBLANK(Actuals!H100)),"",(Budget!H100-Actuals!H100)/ABS(Budget!H100)),"")</f>
        <v>-0.968</v>
      </c>
      <c r="Z84" s="131" t="n">
        <f aca="false">Budget!I100</f>
        <v>-510</v>
      </c>
      <c r="AA84" s="131" t="n">
        <f aca="false">IF(OR(7&gt;$B$3,ISBLANK(Actuals!I100)),"",Actuals!I100)</f>
        <v>-4592.5</v>
      </c>
      <c r="AB84" s="132" t="n">
        <f aca="false">IF(OR(7&gt;$B$3,ISBLANK(Actuals!I100)),"",Budget!I100-Actuals!I100)</f>
        <v>4082.5</v>
      </c>
      <c r="AC84" s="132" t="n">
        <f aca="false">IFERROR(IF(OR(7&gt;$B$3,ISBLANK(Actuals!I100)),"",(Budget!I100-Actuals!I100)/ABS(Budget!I100)),"")</f>
        <v>8.00490196078432</v>
      </c>
      <c r="AD84" s="131" t="n">
        <f aca="false">Budget!J100</f>
        <v>-510</v>
      </c>
      <c r="AE84" s="131" t="n">
        <f aca="false">IF(OR(8&gt;$B$3,ISBLANK(Actuals!J100)),"",Actuals!J100)</f>
        <v>-268</v>
      </c>
      <c r="AF84" s="132" t="n">
        <f aca="false">IF(OR(8&gt;$B$3,ISBLANK(Actuals!J100)),"",Budget!J100-Actuals!J100)</f>
        <v>-242</v>
      </c>
      <c r="AG84" s="132" t="n">
        <f aca="false">IFERROR(IF(OR(8&gt;$B$3,ISBLANK(Actuals!J100)),"",(Budget!J100-Actuals!J100)/ABS(Budget!J100)),"")</f>
        <v>-0.474509803921569</v>
      </c>
      <c r="AH84" s="131" t="n">
        <f aca="false">Budget!K100</f>
        <v>-510</v>
      </c>
      <c r="AI84" s="131" t="n">
        <f aca="false">IF(OR(9&gt;$B$3,ISBLANK(Actuals!K100)),"",Actuals!K100)</f>
        <v>-16</v>
      </c>
      <c r="AJ84" s="132" t="n">
        <f aca="false">IF(OR(9&gt;$B$3,ISBLANK(Actuals!K100)),"",Budget!K100-Actuals!K100)</f>
        <v>-494</v>
      </c>
      <c r="AK84" s="132" t="n">
        <f aca="false">IFERROR(IF(OR(9&gt;$B$3,ISBLANK(Actuals!K100)),"",(Budget!K100-Actuals!K100)/ABS(Budget!K100)),"")</f>
        <v>-0.968627450980392</v>
      </c>
      <c r="AL84" s="131" t="n">
        <f aca="false">Budget!L100</f>
        <v>-510</v>
      </c>
      <c r="AM84" s="131" t="str">
        <f aca="false">IF(OR(10&gt;$B$3,ISBLANK(Actuals!L100)),"",Actuals!L100)</f>
        <v/>
      </c>
      <c r="AN84" s="132" t="str">
        <f aca="false">IF(OR(10&gt;$B$3,ISBLANK(Actuals!L100)),"",Budget!L100-Actuals!L100)</f>
        <v/>
      </c>
      <c r="AO84" s="132" t="str">
        <f aca="false">IFERROR(IF(OR(10&gt;$B$3,ISBLANK(Actuals!L100)),"",(Budget!L100-Actuals!L100)/ABS(Budget!L100)),"")</f>
        <v/>
      </c>
      <c r="AP84" s="131" t="n">
        <f aca="false">Budget!M100</f>
        <v>-510</v>
      </c>
      <c r="AQ84" s="131" t="str">
        <f aca="false">IF(OR(11&gt;$B$3,ISBLANK(Actuals!M100)),"",Actuals!M100)</f>
        <v/>
      </c>
      <c r="AR84" s="132" t="str">
        <f aca="false">IF(OR(11&gt;$B$3,ISBLANK(Actuals!M100)),"",Budget!M100-Actuals!M100)</f>
        <v/>
      </c>
      <c r="AS84" s="132" t="str">
        <f aca="false">IFERROR(IF(OR(11&gt;$B$3,ISBLANK(Actuals!M100)),"",(Budget!M100-Actuals!M100)/ABS(Budget!M100)),"")</f>
        <v/>
      </c>
      <c r="AT84" s="131" t="n">
        <f aca="false">Budget!N100</f>
        <v>-510</v>
      </c>
      <c r="AU84" s="131" t="str">
        <f aca="false">IF(OR(12&gt;$B$3,ISBLANK(Actuals!N100)),"",Actuals!N100)</f>
        <v/>
      </c>
      <c r="AV84" s="132" t="str">
        <f aca="false">IF(OR(12&gt;$B$3,ISBLANK(Actuals!N100)),"",Budget!N100-Actuals!N100)</f>
        <v/>
      </c>
      <c r="AW84" s="132" t="str">
        <f aca="false">IFERROR(IF(OR(12&gt;$B$3,ISBLANK(Actuals!N100)),"",(Budget!N100-Actuals!N100)/ABS(Budget!N100)),"")</f>
        <v/>
      </c>
      <c r="AX84" s="133" t="n">
        <f aca="false">SUMPRODUCT((Actuals!C100:N100&lt;&gt;"")*(Budget!C100:N100))</f>
        <v>-4530</v>
      </c>
      <c r="AY84" s="133" t="n">
        <f aca="false">SUM(Actuals!C100:N100)</f>
        <v>-16238.09</v>
      </c>
      <c r="AZ84" s="134" t="n">
        <f aca="false">AX84-AY84</f>
        <v>11708.09</v>
      </c>
    </row>
    <row r="85" customFormat="false" ht="15" hidden="false" customHeight="true" outlineLevel="0" collapsed="false">
      <c r="A85" s="130" t="s">
        <v>131</v>
      </c>
      <c r="B85" s="131" t="n">
        <f aca="false">Budget!C101</f>
        <v>-2000</v>
      </c>
      <c r="C85" s="131" t="n">
        <f aca="false">IF(OR(1&gt;$B$3,ISBLANK(Actuals!C101)),"",Actuals!C101)</f>
        <v>-341.83</v>
      </c>
      <c r="D85" s="132" t="n">
        <f aca="false">IF(OR(1&gt;$B$3,ISBLANK(Actuals!C101)),"",Budget!C101-Actuals!C101)</f>
        <v>-1658.17</v>
      </c>
      <c r="E85" s="132" t="n">
        <f aca="false">IFERROR(IF(OR(1&gt;$B$3,ISBLANK(Actuals!C101)),"",(Budget!C101-Actuals!C101)/ABS(Budget!C101)),"")</f>
        <v>-0.829085</v>
      </c>
      <c r="F85" s="131" t="n">
        <f aca="false">Budget!D101</f>
        <v>-2000</v>
      </c>
      <c r="G85" s="131" t="n">
        <f aca="false">IF(OR(2&gt;$B$3,ISBLANK(Actuals!D101)),"",Actuals!D101)</f>
        <v>-728</v>
      </c>
      <c r="H85" s="132" t="n">
        <f aca="false">IF(OR(2&gt;$B$3,ISBLANK(Actuals!D101)),"",Budget!D101-Actuals!D101)</f>
        <v>-1272</v>
      </c>
      <c r="I85" s="132" t="n">
        <f aca="false">IFERROR(IF(OR(2&gt;$B$3,ISBLANK(Actuals!D101)),"",(Budget!D101-Actuals!D101)/ABS(Budget!D101)),"")</f>
        <v>-0.636</v>
      </c>
      <c r="J85" s="131" t="n">
        <f aca="false">Budget!E101</f>
        <v>-2000</v>
      </c>
      <c r="K85" s="131" t="n">
        <f aca="false">IF(OR(3&gt;$B$3,ISBLANK(Actuals!E101)),"",Actuals!E101)</f>
        <v>-15256.75</v>
      </c>
      <c r="L85" s="132" t="n">
        <f aca="false">IF(OR(3&gt;$B$3,ISBLANK(Actuals!E101)),"",Budget!E101-Actuals!E101)</f>
        <v>13256.75</v>
      </c>
      <c r="M85" s="132" t="n">
        <f aca="false">IFERROR(IF(OR(3&gt;$B$3,ISBLANK(Actuals!E101)),"",(Budget!E101-Actuals!E101)/ABS(Budget!E101)),"")</f>
        <v>6.628375</v>
      </c>
      <c r="N85" s="131" t="n">
        <f aca="false">Budget!F101</f>
        <v>-2000</v>
      </c>
      <c r="O85" s="131" t="n">
        <f aca="false">IF(OR(4&gt;$B$3,ISBLANK(Actuals!F101)),"",Actuals!F101)</f>
        <v>-1033.41</v>
      </c>
      <c r="P85" s="132" t="n">
        <f aca="false">IF(OR(4&gt;$B$3,ISBLANK(Actuals!F101)),"",Budget!F101-Actuals!F101)</f>
        <v>-966.59</v>
      </c>
      <c r="Q85" s="132" t="n">
        <f aca="false">IFERROR(IF(OR(4&gt;$B$3,ISBLANK(Actuals!F101)),"",(Budget!F101-Actuals!F101)/ABS(Budget!F101)),"")</f>
        <v>-0.483295</v>
      </c>
      <c r="R85" s="131" t="n">
        <f aca="false">Budget!G101</f>
        <v>-2000</v>
      </c>
      <c r="S85" s="131" t="n">
        <f aca="false">IF(OR(5&gt;$B$3,ISBLANK(Actuals!G101)),"",Actuals!G101)</f>
        <v>-3499</v>
      </c>
      <c r="T85" s="132" t="n">
        <f aca="false">IF(OR(5&gt;$B$3,ISBLANK(Actuals!G101)),"",Budget!G101-Actuals!G101)</f>
        <v>1499</v>
      </c>
      <c r="U85" s="132" t="n">
        <f aca="false">IFERROR(IF(OR(5&gt;$B$3,ISBLANK(Actuals!G101)),"",(Budget!G101-Actuals!G101)/ABS(Budget!G101)),"")</f>
        <v>0.7495</v>
      </c>
      <c r="V85" s="131" t="n">
        <f aca="false">Budget!H101</f>
        <v>-2000</v>
      </c>
      <c r="W85" s="131" t="n">
        <f aca="false">IF(OR(6&gt;$B$3,ISBLANK(Actuals!H101)),"",Actuals!H101)</f>
        <v>-1033.41</v>
      </c>
      <c r="X85" s="132" t="n">
        <f aca="false">IF(OR(6&gt;$B$3,ISBLANK(Actuals!H101)),"",Budget!H101-Actuals!H101)</f>
        <v>-966.59</v>
      </c>
      <c r="Y85" s="132" t="n">
        <f aca="false">IFERROR(IF(OR(6&gt;$B$3,ISBLANK(Actuals!H101)),"",(Budget!H101-Actuals!H101)/ABS(Budget!H101)),"")</f>
        <v>-0.483295</v>
      </c>
      <c r="Z85" s="131" t="n">
        <f aca="false">Budget!I101</f>
        <v>-2040</v>
      </c>
      <c r="AA85" s="131" t="n">
        <f aca="false">IF(OR(7&gt;$B$3,ISBLANK(Actuals!I101)),"",Actuals!I101)</f>
        <v>-537.06</v>
      </c>
      <c r="AB85" s="132" t="n">
        <f aca="false">IF(OR(7&gt;$B$3,ISBLANK(Actuals!I101)),"",Budget!I101-Actuals!I101)</f>
        <v>-1502.94</v>
      </c>
      <c r="AC85" s="132" t="n">
        <f aca="false">IFERROR(IF(OR(7&gt;$B$3,ISBLANK(Actuals!I101)),"",(Budget!I101-Actuals!I101)/ABS(Budget!I101)),"")</f>
        <v>-0.736735294117647</v>
      </c>
      <c r="AD85" s="131" t="n">
        <f aca="false">Budget!J101</f>
        <v>-2040</v>
      </c>
      <c r="AE85" s="131" t="n">
        <f aca="false">IF(OR(8&gt;$B$3,ISBLANK(Actuals!J101)),"",Actuals!J101)</f>
        <v>-1903.22</v>
      </c>
      <c r="AF85" s="132" t="n">
        <f aca="false">IF(OR(8&gt;$B$3,ISBLANK(Actuals!J101)),"",Budget!J101-Actuals!J101)</f>
        <v>-136.78</v>
      </c>
      <c r="AG85" s="132" t="n">
        <f aca="false">IFERROR(IF(OR(8&gt;$B$3,ISBLANK(Actuals!J101)),"",(Budget!J101-Actuals!J101)/ABS(Budget!J101)),"")</f>
        <v>-0.0670490196078431</v>
      </c>
      <c r="AH85" s="131" t="n">
        <f aca="false">Budget!K101</f>
        <v>-2040</v>
      </c>
      <c r="AI85" s="131" t="n">
        <f aca="false">IF(OR(9&gt;$B$3,ISBLANK(Actuals!K101)),"",Actuals!K101)</f>
        <v>-192</v>
      </c>
      <c r="AJ85" s="132" t="n">
        <f aca="false">IF(OR(9&gt;$B$3,ISBLANK(Actuals!K101)),"",Budget!K101-Actuals!K101)</f>
        <v>-1848</v>
      </c>
      <c r="AK85" s="132" t="n">
        <f aca="false">IFERROR(IF(OR(9&gt;$B$3,ISBLANK(Actuals!K101)),"",(Budget!K101-Actuals!K101)/ABS(Budget!K101)),"")</f>
        <v>-0.905882352941177</v>
      </c>
      <c r="AL85" s="131" t="n">
        <f aca="false">Budget!L101</f>
        <v>-2040</v>
      </c>
      <c r="AM85" s="131" t="str">
        <f aca="false">IF(OR(10&gt;$B$3,ISBLANK(Actuals!L101)),"",Actuals!L101)</f>
        <v/>
      </c>
      <c r="AN85" s="132" t="str">
        <f aca="false">IF(OR(10&gt;$B$3,ISBLANK(Actuals!L101)),"",Budget!L101-Actuals!L101)</f>
        <v/>
      </c>
      <c r="AO85" s="132" t="str">
        <f aca="false">IFERROR(IF(OR(10&gt;$B$3,ISBLANK(Actuals!L101)),"",(Budget!L101-Actuals!L101)/ABS(Budget!L101)),"")</f>
        <v/>
      </c>
      <c r="AP85" s="131" t="n">
        <f aca="false">Budget!M101</f>
        <v>-2040</v>
      </c>
      <c r="AQ85" s="131" t="str">
        <f aca="false">IF(OR(11&gt;$B$3,ISBLANK(Actuals!M101)),"",Actuals!M101)</f>
        <v/>
      </c>
      <c r="AR85" s="132" t="str">
        <f aca="false">IF(OR(11&gt;$B$3,ISBLANK(Actuals!M101)),"",Budget!M101-Actuals!M101)</f>
        <v/>
      </c>
      <c r="AS85" s="132" t="str">
        <f aca="false">IFERROR(IF(OR(11&gt;$B$3,ISBLANK(Actuals!M101)),"",(Budget!M101-Actuals!M101)/ABS(Budget!M101)),"")</f>
        <v/>
      </c>
      <c r="AT85" s="131" t="n">
        <f aca="false">Budget!N101</f>
        <v>-2040</v>
      </c>
      <c r="AU85" s="131" t="str">
        <f aca="false">IF(OR(12&gt;$B$3,ISBLANK(Actuals!N101)),"",Actuals!N101)</f>
        <v/>
      </c>
      <c r="AV85" s="132" t="str">
        <f aca="false">IF(OR(12&gt;$B$3,ISBLANK(Actuals!N101)),"",Budget!N101-Actuals!N101)</f>
        <v/>
      </c>
      <c r="AW85" s="132" t="str">
        <f aca="false">IFERROR(IF(OR(12&gt;$B$3,ISBLANK(Actuals!N101)),"",(Budget!N101-Actuals!N101)/ABS(Budget!N101)),"")</f>
        <v/>
      </c>
      <c r="AX85" s="133" t="n">
        <f aca="false">SUMPRODUCT((Actuals!C101:N101&lt;&gt;"")*(Budget!C101:N101))</f>
        <v>-18120</v>
      </c>
      <c r="AY85" s="133" t="n">
        <f aca="false">SUM(Actuals!C101:N101)</f>
        <v>-24524.68</v>
      </c>
      <c r="AZ85" s="134" t="n">
        <f aca="false">AX85-AY85</f>
        <v>6404.68</v>
      </c>
    </row>
    <row r="86" customFormat="false" ht="15" hidden="false" customHeight="true" outlineLevel="0" collapsed="false">
      <c r="A86" s="130" t="s">
        <v>132</v>
      </c>
      <c r="B86" s="131" t="n">
        <f aca="false">Budget!C102</f>
        <v>-1541.67</v>
      </c>
      <c r="C86" s="131" t="n">
        <f aca="false">IF(OR(1&gt;$B$3,ISBLANK(Actuals!C102)),"",Actuals!C102)</f>
        <v>-1905.31</v>
      </c>
      <c r="D86" s="132" t="n">
        <f aca="false">IF(OR(1&gt;$B$3,ISBLANK(Actuals!C102)),"",Budget!C102-Actuals!C102)</f>
        <v>363.64</v>
      </c>
      <c r="E86" s="132" t="n">
        <f aca="false">IFERROR(IF(OR(1&gt;$B$3,ISBLANK(Actuals!C102)),"",(Budget!C102-Actuals!C102)/ABS(Budget!C102)),"")</f>
        <v>0.235874084596574</v>
      </c>
      <c r="F86" s="131" t="n">
        <f aca="false">Budget!D102</f>
        <v>-1541.67</v>
      </c>
      <c r="G86" s="131" t="n">
        <f aca="false">IF(OR(2&gt;$B$3,ISBLANK(Actuals!D102)),"",Actuals!D102)</f>
        <v>-1905.31</v>
      </c>
      <c r="H86" s="132" t="n">
        <f aca="false">IF(OR(2&gt;$B$3,ISBLANK(Actuals!D102)),"",Budget!D102-Actuals!D102)</f>
        <v>363.64</v>
      </c>
      <c r="I86" s="132" t="n">
        <f aca="false">IFERROR(IF(OR(2&gt;$B$3,ISBLANK(Actuals!D102)),"",(Budget!D102-Actuals!D102)/ABS(Budget!D102)),"")</f>
        <v>0.235874084596574</v>
      </c>
      <c r="J86" s="131" t="n">
        <f aca="false">Budget!E102</f>
        <v>-1541.67</v>
      </c>
      <c r="K86" s="131" t="n">
        <f aca="false">IF(OR(3&gt;$B$3,ISBLANK(Actuals!E102)),"",Actuals!E102)</f>
        <v>-1905.31</v>
      </c>
      <c r="L86" s="132" t="n">
        <f aca="false">IF(OR(3&gt;$B$3,ISBLANK(Actuals!E102)),"",Budget!E102-Actuals!E102)</f>
        <v>363.64</v>
      </c>
      <c r="M86" s="132" t="n">
        <f aca="false">IFERROR(IF(OR(3&gt;$B$3,ISBLANK(Actuals!E102)),"",(Budget!E102-Actuals!E102)/ABS(Budget!E102)),"")</f>
        <v>0.235874084596574</v>
      </c>
      <c r="N86" s="131" t="n">
        <f aca="false">Budget!F102</f>
        <v>-1541.67</v>
      </c>
      <c r="O86" s="131" t="n">
        <f aca="false">IF(OR(4&gt;$B$3,ISBLANK(Actuals!F102)),"",Actuals!F102)</f>
        <v>-1905.31</v>
      </c>
      <c r="P86" s="132" t="n">
        <f aca="false">IF(OR(4&gt;$B$3,ISBLANK(Actuals!F102)),"",Budget!F102-Actuals!F102)</f>
        <v>363.64</v>
      </c>
      <c r="Q86" s="132" t="n">
        <f aca="false">IFERROR(IF(OR(4&gt;$B$3,ISBLANK(Actuals!F102)),"",(Budget!F102-Actuals!F102)/ABS(Budget!F102)),"")</f>
        <v>0.235874084596574</v>
      </c>
      <c r="R86" s="131" t="n">
        <f aca="false">Budget!G102</f>
        <v>-1541.67</v>
      </c>
      <c r="S86" s="131" t="n">
        <f aca="false">IF(OR(5&gt;$B$3,ISBLANK(Actuals!G102)),"",Actuals!G102)</f>
        <v>-1905.31</v>
      </c>
      <c r="T86" s="132" t="n">
        <f aca="false">IF(OR(5&gt;$B$3,ISBLANK(Actuals!G102)),"",Budget!G102-Actuals!G102)</f>
        <v>363.64</v>
      </c>
      <c r="U86" s="132" t="n">
        <f aca="false">IFERROR(IF(OR(5&gt;$B$3,ISBLANK(Actuals!G102)),"",(Budget!G102-Actuals!G102)/ABS(Budget!G102)),"")</f>
        <v>0.235874084596574</v>
      </c>
      <c r="V86" s="131" t="n">
        <f aca="false">Budget!H102</f>
        <v>-1541.67</v>
      </c>
      <c r="W86" s="131" t="n">
        <f aca="false">IF(OR(6&gt;$B$3,ISBLANK(Actuals!H102)),"",Actuals!H102)</f>
        <v>-1905.31</v>
      </c>
      <c r="X86" s="132" t="n">
        <f aca="false">IF(OR(6&gt;$B$3,ISBLANK(Actuals!H102)),"",Budget!H102-Actuals!H102)</f>
        <v>363.64</v>
      </c>
      <c r="Y86" s="132" t="n">
        <f aca="false">IFERROR(IF(OR(6&gt;$B$3,ISBLANK(Actuals!H102)),"",(Budget!H102-Actuals!H102)/ABS(Budget!H102)),"")</f>
        <v>0.235874084596574</v>
      </c>
      <c r="Z86" s="131" t="n">
        <f aca="false">Budget!I102</f>
        <v>-1572.5</v>
      </c>
      <c r="AA86" s="131" t="n">
        <f aca="false">IF(OR(7&gt;$B$3,ISBLANK(Actuals!I102)),"",Actuals!I102)</f>
        <v>-1905.31</v>
      </c>
      <c r="AB86" s="132" t="n">
        <f aca="false">IF(OR(7&gt;$B$3,ISBLANK(Actuals!I102)),"",Budget!I102-Actuals!I102)</f>
        <v>332.81</v>
      </c>
      <c r="AC86" s="132" t="n">
        <f aca="false">IFERROR(IF(OR(7&gt;$B$3,ISBLANK(Actuals!I102)),"",(Budget!I102-Actuals!I102)/ABS(Budget!I102)),"")</f>
        <v>0.211643879173291</v>
      </c>
      <c r="AD86" s="131" t="n">
        <f aca="false">Budget!J102</f>
        <v>-1572.5</v>
      </c>
      <c r="AE86" s="131" t="n">
        <f aca="false">IF(OR(8&gt;$B$3,ISBLANK(Actuals!J102)),"",Actuals!J102)</f>
        <v>-1905.31</v>
      </c>
      <c r="AF86" s="132" t="n">
        <f aca="false">IF(OR(8&gt;$B$3,ISBLANK(Actuals!J102)),"",Budget!J102-Actuals!J102)</f>
        <v>332.81</v>
      </c>
      <c r="AG86" s="132" t="n">
        <f aca="false">IFERROR(IF(OR(8&gt;$B$3,ISBLANK(Actuals!J102)),"",(Budget!J102-Actuals!J102)/ABS(Budget!J102)),"")</f>
        <v>0.211643879173291</v>
      </c>
      <c r="AH86" s="131" t="n">
        <f aca="false">Budget!K102</f>
        <v>-1572.5</v>
      </c>
      <c r="AI86" s="131" t="n">
        <f aca="false">IF(OR(9&gt;$B$3,ISBLANK(Actuals!K102)),"",Actuals!K102)</f>
        <v>-1451.67</v>
      </c>
      <c r="AJ86" s="132" t="n">
        <f aca="false">IF(OR(9&gt;$B$3,ISBLANK(Actuals!K102)),"",Budget!K102-Actuals!K102)</f>
        <v>-120.83</v>
      </c>
      <c r="AK86" s="132" t="n">
        <f aca="false">IFERROR(IF(OR(9&gt;$B$3,ISBLANK(Actuals!K102)),"",(Budget!K102-Actuals!K102)/ABS(Budget!K102)),"")</f>
        <v>-0.076839427662957</v>
      </c>
      <c r="AL86" s="131" t="n">
        <f aca="false">Budget!L102</f>
        <v>-1572.5</v>
      </c>
      <c r="AM86" s="131" t="str">
        <f aca="false">IF(OR(10&gt;$B$3,ISBLANK(Actuals!L102)),"",Actuals!L102)</f>
        <v/>
      </c>
      <c r="AN86" s="132" t="str">
        <f aca="false">IF(OR(10&gt;$B$3,ISBLANK(Actuals!L102)),"",Budget!L102-Actuals!L102)</f>
        <v/>
      </c>
      <c r="AO86" s="132" t="str">
        <f aca="false">IFERROR(IF(OR(10&gt;$B$3,ISBLANK(Actuals!L102)),"",(Budget!L102-Actuals!L102)/ABS(Budget!L102)),"")</f>
        <v/>
      </c>
      <c r="AP86" s="131" t="n">
        <f aca="false">Budget!M102</f>
        <v>-1572.5</v>
      </c>
      <c r="AQ86" s="131" t="str">
        <f aca="false">IF(OR(11&gt;$B$3,ISBLANK(Actuals!M102)),"",Actuals!M102)</f>
        <v/>
      </c>
      <c r="AR86" s="132" t="str">
        <f aca="false">IF(OR(11&gt;$B$3,ISBLANK(Actuals!M102)),"",Budget!M102-Actuals!M102)</f>
        <v/>
      </c>
      <c r="AS86" s="132" t="str">
        <f aca="false">IFERROR(IF(OR(11&gt;$B$3,ISBLANK(Actuals!M102)),"",(Budget!M102-Actuals!M102)/ABS(Budget!M102)),"")</f>
        <v/>
      </c>
      <c r="AT86" s="131" t="n">
        <f aca="false">Budget!N102</f>
        <v>-1572.5</v>
      </c>
      <c r="AU86" s="131" t="str">
        <f aca="false">IF(OR(12&gt;$B$3,ISBLANK(Actuals!N102)),"",Actuals!N102)</f>
        <v/>
      </c>
      <c r="AV86" s="132" t="str">
        <f aca="false">IF(OR(12&gt;$B$3,ISBLANK(Actuals!N102)),"",Budget!N102-Actuals!N102)</f>
        <v/>
      </c>
      <c r="AW86" s="132" t="str">
        <f aca="false">IFERROR(IF(OR(12&gt;$B$3,ISBLANK(Actuals!N102)),"",(Budget!N102-Actuals!N102)/ABS(Budget!N102)),"")</f>
        <v/>
      </c>
      <c r="AX86" s="133" t="n">
        <f aca="false">SUMPRODUCT((Actuals!C102:N102&lt;&gt;"")*(Budget!C102:N102))</f>
        <v>-13967.52</v>
      </c>
      <c r="AY86" s="133" t="n">
        <f aca="false">SUM(Actuals!C102:N102)</f>
        <v>-16694.15</v>
      </c>
      <c r="AZ86" s="134" t="n">
        <f aca="false">AX86-AY86</f>
        <v>2726.63</v>
      </c>
    </row>
    <row r="87" customFormat="false" ht="15" hidden="false" customHeight="true" outlineLevel="0" collapsed="false">
      <c r="A87" s="130" t="s">
        <v>133</v>
      </c>
      <c r="B87" s="131" t="n">
        <f aca="false">Budget!C103</f>
        <v>-2100</v>
      </c>
      <c r="C87" s="131" t="n">
        <f aca="false">IF(OR(1&gt;$B$3,ISBLANK(Actuals!C103)),"",Actuals!C103)</f>
        <v>-2100</v>
      </c>
      <c r="D87" s="132" t="n">
        <f aca="false">IF(OR(1&gt;$B$3,ISBLANK(Actuals!C103)),"",Budget!C103-Actuals!C103)</f>
        <v>0</v>
      </c>
      <c r="E87" s="132" t="n">
        <f aca="false">IFERROR(IF(OR(1&gt;$B$3,ISBLANK(Actuals!C103)),"",(Budget!C103-Actuals!C103)/ABS(Budget!C103)),"")</f>
        <v>0</v>
      </c>
      <c r="F87" s="131" t="n">
        <f aca="false">Budget!D103</f>
        <v>-2100</v>
      </c>
      <c r="G87" s="131" t="n">
        <f aca="false">IF(OR(2&gt;$B$3,ISBLANK(Actuals!D103)),"",Actuals!D103)</f>
        <v>-2100</v>
      </c>
      <c r="H87" s="132" t="n">
        <f aca="false">IF(OR(2&gt;$B$3,ISBLANK(Actuals!D103)),"",Budget!D103-Actuals!D103)</f>
        <v>0</v>
      </c>
      <c r="I87" s="132" t="n">
        <f aca="false">IFERROR(IF(OR(2&gt;$B$3,ISBLANK(Actuals!D103)),"",(Budget!D103-Actuals!D103)/ABS(Budget!D103)),"")</f>
        <v>0</v>
      </c>
      <c r="J87" s="131" t="n">
        <f aca="false">Budget!E103</f>
        <v>-2100</v>
      </c>
      <c r="K87" s="131" t="n">
        <f aca="false">IF(OR(3&gt;$B$3,ISBLANK(Actuals!E103)),"",Actuals!E103)</f>
        <v>-2100</v>
      </c>
      <c r="L87" s="132" t="n">
        <f aca="false">IF(OR(3&gt;$B$3,ISBLANK(Actuals!E103)),"",Budget!E103-Actuals!E103)</f>
        <v>0</v>
      </c>
      <c r="M87" s="132" t="n">
        <f aca="false">IFERROR(IF(OR(3&gt;$B$3,ISBLANK(Actuals!E103)),"",(Budget!E103-Actuals!E103)/ABS(Budget!E103)),"")</f>
        <v>0</v>
      </c>
      <c r="N87" s="131" t="n">
        <f aca="false">Budget!F103</f>
        <v>-2100</v>
      </c>
      <c r="O87" s="131" t="n">
        <f aca="false">IF(OR(4&gt;$B$3,ISBLANK(Actuals!F103)),"",Actuals!F103)</f>
        <v>-2100</v>
      </c>
      <c r="P87" s="132" t="n">
        <f aca="false">IF(OR(4&gt;$B$3,ISBLANK(Actuals!F103)),"",Budget!F103-Actuals!F103)</f>
        <v>0</v>
      </c>
      <c r="Q87" s="132" t="n">
        <f aca="false">IFERROR(IF(OR(4&gt;$B$3,ISBLANK(Actuals!F103)),"",(Budget!F103-Actuals!F103)/ABS(Budget!F103)),"")</f>
        <v>0</v>
      </c>
      <c r="R87" s="131" t="n">
        <f aca="false">Budget!G103</f>
        <v>-2100</v>
      </c>
      <c r="S87" s="131" t="n">
        <f aca="false">IF(OR(5&gt;$B$3,ISBLANK(Actuals!G103)),"",Actuals!G103)</f>
        <v>-2100</v>
      </c>
      <c r="T87" s="132" t="n">
        <f aca="false">IF(OR(5&gt;$B$3,ISBLANK(Actuals!G103)),"",Budget!G103-Actuals!G103)</f>
        <v>0</v>
      </c>
      <c r="U87" s="132" t="n">
        <f aca="false">IFERROR(IF(OR(5&gt;$B$3,ISBLANK(Actuals!G103)),"",(Budget!G103-Actuals!G103)/ABS(Budget!G103)),"")</f>
        <v>0</v>
      </c>
      <c r="V87" s="131" t="n">
        <f aca="false">Budget!H103</f>
        <v>-2100</v>
      </c>
      <c r="W87" s="131" t="n">
        <f aca="false">IF(OR(6&gt;$B$3,ISBLANK(Actuals!H103)),"",Actuals!H103)</f>
        <v>-2100</v>
      </c>
      <c r="X87" s="132" t="n">
        <f aca="false">IF(OR(6&gt;$B$3,ISBLANK(Actuals!H103)),"",Budget!H103-Actuals!H103)</f>
        <v>0</v>
      </c>
      <c r="Y87" s="132" t="n">
        <f aca="false">IFERROR(IF(OR(6&gt;$B$3,ISBLANK(Actuals!H103)),"",(Budget!H103-Actuals!H103)/ABS(Budget!H103)),"")</f>
        <v>0</v>
      </c>
      <c r="Z87" s="131" t="n">
        <f aca="false">Budget!I103</f>
        <v>-2142</v>
      </c>
      <c r="AA87" s="131" t="n">
        <f aca="false">IF(OR(7&gt;$B$3,ISBLANK(Actuals!I103)),"",Actuals!I103)</f>
        <v>-2100</v>
      </c>
      <c r="AB87" s="132" t="n">
        <f aca="false">IF(OR(7&gt;$B$3,ISBLANK(Actuals!I103)),"",Budget!I103-Actuals!I103)</f>
        <v>-42</v>
      </c>
      <c r="AC87" s="132" t="n">
        <f aca="false">IFERROR(IF(OR(7&gt;$B$3,ISBLANK(Actuals!I103)),"",(Budget!I103-Actuals!I103)/ABS(Budget!I103)),"")</f>
        <v>-0.0196078431372549</v>
      </c>
      <c r="AD87" s="131" t="n">
        <f aca="false">Budget!J103</f>
        <v>-2142</v>
      </c>
      <c r="AE87" s="131" t="n">
        <f aca="false">IF(OR(8&gt;$B$3,ISBLANK(Actuals!J103)),"",Actuals!J103)</f>
        <v>-2100</v>
      </c>
      <c r="AF87" s="132" t="n">
        <f aca="false">IF(OR(8&gt;$B$3,ISBLANK(Actuals!J103)),"",Budget!J103-Actuals!J103)</f>
        <v>-42</v>
      </c>
      <c r="AG87" s="132" t="n">
        <f aca="false">IFERROR(IF(OR(8&gt;$B$3,ISBLANK(Actuals!J103)),"",(Budget!J103-Actuals!J103)/ABS(Budget!J103)),"")</f>
        <v>-0.0196078431372549</v>
      </c>
      <c r="AH87" s="131" t="n">
        <f aca="false">Budget!K103</f>
        <v>-2142</v>
      </c>
      <c r="AI87" s="131" t="n">
        <f aca="false">IF(OR(9&gt;$B$3,ISBLANK(Actuals!K103)),"",Actuals!K103)</f>
        <v>-2100</v>
      </c>
      <c r="AJ87" s="132" t="n">
        <f aca="false">IF(OR(9&gt;$B$3,ISBLANK(Actuals!K103)),"",Budget!K103-Actuals!K103)</f>
        <v>-42</v>
      </c>
      <c r="AK87" s="132" t="n">
        <f aca="false">IFERROR(IF(OR(9&gt;$B$3,ISBLANK(Actuals!K103)),"",(Budget!K103-Actuals!K103)/ABS(Budget!K103)),"")</f>
        <v>-0.0196078431372549</v>
      </c>
      <c r="AL87" s="131" t="n">
        <f aca="false">Budget!L103</f>
        <v>-2142</v>
      </c>
      <c r="AM87" s="131" t="str">
        <f aca="false">IF(OR(10&gt;$B$3,ISBLANK(Actuals!L103)),"",Actuals!L103)</f>
        <v/>
      </c>
      <c r="AN87" s="132" t="str">
        <f aca="false">IF(OR(10&gt;$B$3,ISBLANK(Actuals!L103)),"",Budget!L103-Actuals!L103)</f>
        <v/>
      </c>
      <c r="AO87" s="132" t="str">
        <f aca="false">IFERROR(IF(OR(10&gt;$B$3,ISBLANK(Actuals!L103)),"",(Budget!L103-Actuals!L103)/ABS(Budget!L103)),"")</f>
        <v/>
      </c>
      <c r="AP87" s="131" t="n">
        <f aca="false">Budget!M103</f>
        <v>-2142</v>
      </c>
      <c r="AQ87" s="131" t="str">
        <f aca="false">IF(OR(11&gt;$B$3,ISBLANK(Actuals!M103)),"",Actuals!M103)</f>
        <v/>
      </c>
      <c r="AR87" s="132" t="str">
        <f aca="false">IF(OR(11&gt;$B$3,ISBLANK(Actuals!M103)),"",Budget!M103-Actuals!M103)</f>
        <v/>
      </c>
      <c r="AS87" s="132" t="str">
        <f aca="false">IFERROR(IF(OR(11&gt;$B$3,ISBLANK(Actuals!M103)),"",(Budget!M103-Actuals!M103)/ABS(Budget!M103)),"")</f>
        <v/>
      </c>
      <c r="AT87" s="131" t="n">
        <f aca="false">Budget!N103</f>
        <v>-2142</v>
      </c>
      <c r="AU87" s="131" t="str">
        <f aca="false">IF(OR(12&gt;$B$3,ISBLANK(Actuals!N103)),"",Actuals!N103)</f>
        <v/>
      </c>
      <c r="AV87" s="132" t="str">
        <f aca="false">IF(OR(12&gt;$B$3,ISBLANK(Actuals!N103)),"",Budget!N103-Actuals!N103)</f>
        <v/>
      </c>
      <c r="AW87" s="132" t="str">
        <f aca="false">IFERROR(IF(OR(12&gt;$B$3,ISBLANK(Actuals!N103)),"",(Budget!N103-Actuals!N103)/ABS(Budget!N103)),"")</f>
        <v/>
      </c>
      <c r="AX87" s="133" t="n">
        <f aca="false">SUMPRODUCT((Actuals!C103:N103&lt;&gt;"")*(Budget!C103:N103))</f>
        <v>-19026</v>
      </c>
      <c r="AY87" s="133" t="n">
        <f aca="false">SUM(Actuals!C103:N103)</f>
        <v>-18900</v>
      </c>
      <c r="AZ87" s="134" t="n">
        <f aca="false">AX87-AY87</f>
        <v>-126</v>
      </c>
    </row>
    <row r="88" customFormat="false" ht="15" hidden="false" customHeight="true" outlineLevel="0" collapsed="false">
      <c r="A88" s="130" t="s">
        <v>84</v>
      </c>
      <c r="B88" s="131" t="n">
        <f aca="false">Budget!C104</f>
        <v>0</v>
      </c>
      <c r="C88" s="131" t="n">
        <f aca="false">IF(OR(1&gt;$B$3,ISBLANK(Actuals!C104)),"",Actuals!C104)</f>
        <v>-66666.66</v>
      </c>
      <c r="D88" s="132" t="n">
        <f aca="false">IF(OR(1&gt;$B$3,ISBLANK(Actuals!C104)),"",Budget!C104-Actuals!C104)</f>
        <v>66666.66</v>
      </c>
      <c r="E88" s="132" t="str">
        <f aca="false">IFERROR(IF(OR(1&gt;$B$3,ISBLANK(Actuals!C104)),"",(Budget!C104-Actuals!C104)/ABS(Budget!C104)),"")</f>
        <v/>
      </c>
      <c r="F88" s="131" t="n">
        <f aca="false">Budget!D104</f>
        <v>0</v>
      </c>
      <c r="G88" s="131" t="n">
        <f aca="false">IF(OR(2&gt;$B$3,ISBLANK(Actuals!D104)),"",Actuals!D104)</f>
        <v>-66666.66</v>
      </c>
      <c r="H88" s="132" t="n">
        <f aca="false">IF(OR(2&gt;$B$3,ISBLANK(Actuals!D104)),"",Budget!D104-Actuals!D104)</f>
        <v>66666.66</v>
      </c>
      <c r="I88" s="132" t="str">
        <f aca="false">IFERROR(IF(OR(2&gt;$B$3,ISBLANK(Actuals!D104)),"",(Budget!D104-Actuals!D104)/ABS(Budget!D104)),"")</f>
        <v/>
      </c>
      <c r="J88" s="131" t="n">
        <f aca="false">Budget!E104</f>
        <v>0</v>
      </c>
      <c r="K88" s="131" t="n">
        <f aca="false">IF(OR(3&gt;$B$3,ISBLANK(Actuals!E104)),"",Actuals!E104)</f>
        <v>-66666.66</v>
      </c>
      <c r="L88" s="132" t="n">
        <f aca="false">IF(OR(3&gt;$B$3,ISBLANK(Actuals!E104)),"",Budget!E104-Actuals!E104)</f>
        <v>66666.66</v>
      </c>
      <c r="M88" s="132" t="str">
        <f aca="false">IFERROR(IF(OR(3&gt;$B$3,ISBLANK(Actuals!E104)),"",(Budget!E104-Actuals!E104)/ABS(Budget!E104)),"")</f>
        <v/>
      </c>
      <c r="N88" s="131" t="n">
        <f aca="false">Budget!F104</f>
        <v>0</v>
      </c>
      <c r="O88" s="131" t="n">
        <f aca="false">IF(OR(4&gt;$B$3,ISBLANK(Actuals!F104)),"",Actuals!F104)</f>
        <v>-66666.66</v>
      </c>
      <c r="P88" s="132" t="n">
        <f aca="false">IF(OR(4&gt;$B$3,ISBLANK(Actuals!F104)),"",Budget!F104-Actuals!F104)</f>
        <v>66666.66</v>
      </c>
      <c r="Q88" s="132" t="str">
        <f aca="false">IFERROR(IF(OR(4&gt;$B$3,ISBLANK(Actuals!F104)),"",(Budget!F104-Actuals!F104)/ABS(Budget!F104)),"")</f>
        <v/>
      </c>
      <c r="R88" s="131" t="n">
        <f aca="false">Budget!G104</f>
        <v>0</v>
      </c>
      <c r="S88" s="131" t="n">
        <f aca="false">IF(OR(5&gt;$B$3,ISBLANK(Actuals!G104)),"",Actuals!G104)</f>
        <v>-66666.66</v>
      </c>
      <c r="T88" s="132" t="n">
        <f aca="false">IF(OR(5&gt;$B$3,ISBLANK(Actuals!G104)),"",Budget!G104-Actuals!G104)</f>
        <v>66666.66</v>
      </c>
      <c r="U88" s="132" t="str">
        <f aca="false">IFERROR(IF(OR(5&gt;$B$3,ISBLANK(Actuals!G104)),"",(Budget!G104-Actuals!G104)/ABS(Budget!G104)),"")</f>
        <v/>
      </c>
      <c r="V88" s="131" t="n">
        <f aca="false">Budget!H104</f>
        <v>0</v>
      </c>
      <c r="W88" s="131" t="n">
        <f aca="false">IF(OR(6&gt;$B$3,ISBLANK(Actuals!H104)),"",Actuals!H104)</f>
        <v>-66666.66</v>
      </c>
      <c r="X88" s="132" t="n">
        <f aca="false">IF(OR(6&gt;$B$3,ISBLANK(Actuals!H104)),"",Budget!H104-Actuals!H104)</f>
        <v>66666.66</v>
      </c>
      <c r="Y88" s="132" t="str">
        <f aca="false">IFERROR(IF(OR(6&gt;$B$3,ISBLANK(Actuals!H104)),"",(Budget!H104-Actuals!H104)/ABS(Budget!H104)),"")</f>
        <v/>
      </c>
      <c r="Z88" s="131" t="n">
        <f aca="false">Budget!I104</f>
        <v>0</v>
      </c>
      <c r="AA88" s="131" t="n">
        <f aca="false">IF(OR(7&gt;$B$3,ISBLANK(Actuals!I104)),"",Actuals!I104)</f>
        <v>-66666.66</v>
      </c>
      <c r="AB88" s="132" t="n">
        <f aca="false">IF(OR(7&gt;$B$3,ISBLANK(Actuals!I104)),"",Budget!I104-Actuals!I104)</f>
        <v>66666.66</v>
      </c>
      <c r="AC88" s="132" t="str">
        <f aca="false">IFERROR(IF(OR(7&gt;$B$3,ISBLANK(Actuals!I104)),"",(Budget!I104-Actuals!I104)/ABS(Budget!I104)),"")</f>
        <v/>
      </c>
      <c r="AD88" s="131" t="n">
        <f aca="false">Budget!J104</f>
        <v>0</v>
      </c>
      <c r="AE88" s="131" t="n">
        <f aca="false">IF(OR(8&gt;$B$3,ISBLANK(Actuals!J104)),"",Actuals!J104)</f>
        <v>-66666.66</v>
      </c>
      <c r="AF88" s="132" t="n">
        <f aca="false">IF(OR(8&gt;$B$3,ISBLANK(Actuals!J104)),"",Budget!J104-Actuals!J104)</f>
        <v>66666.66</v>
      </c>
      <c r="AG88" s="132" t="str">
        <f aca="false">IFERROR(IF(OR(8&gt;$B$3,ISBLANK(Actuals!J104)),"",(Budget!J104-Actuals!J104)/ABS(Budget!J104)),"")</f>
        <v/>
      </c>
      <c r="AH88" s="131" t="n">
        <f aca="false">Budget!K104</f>
        <v>0</v>
      </c>
      <c r="AI88" s="131" t="n">
        <f aca="false">IF(OR(9&gt;$B$3,ISBLANK(Actuals!K104)),"",Actuals!K104)</f>
        <v>-66666.66</v>
      </c>
      <c r="AJ88" s="132" t="n">
        <f aca="false">IF(OR(9&gt;$B$3,ISBLANK(Actuals!K104)),"",Budget!K104-Actuals!K104)</f>
        <v>66666.66</v>
      </c>
      <c r="AK88" s="132" t="str">
        <f aca="false">IFERROR(IF(OR(9&gt;$B$3,ISBLANK(Actuals!K104)),"",(Budget!K104-Actuals!K104)/ABS(Budget!K104)),"")</f>
        <v/>
      </c>
      <c r="AL88" s="131" t="n">
        <f aca="false">Budget!L104</f>
        <v>0</v>
      </c>
      <c r="AM88" s="131" t="str">
        <f aca="false">IF(OR(10&gt;$B$3,ISBLANK(Actuals!L104)),"",Actuals!L104)</f>
        <v/>
      </c>
      <c r="AN88" s="132" t="str">
        <f aca="false">IF(OR(10&gt;$B$3,ISBLANK(Actuals!L104)),"",Budget!L104-Actuals!L104)</f>
        <v/>
      </c>
      <c r="AO88" s="132" t="str">
        <f aca="false">IFERROR(IF(OR(10&gt;$B$3,ISBLANK(Actuals!L104)),"",(Budget!L104-Actuals!L104)/ABS(Budget!L104)),"")</f>
        <v/>
      </c>
      <c r="AP88" s="131" t="n">
        <f aca="false">Budget!M104</f>
        <v>0</v>
      </c>
      <c r="AQ88" s="131" t="str">
        <f aca="false">IF(OR(11&gt;$B$3,ISBLANK(Actuals!M104)),"",Actuals!M104)</f>
        <v/>
      </c>
      <c r="AR88" s="132" t="str">
        <f aca="false">IF(OR(11&gt;$B$3,ISBLANK(Actuals!M104)),"",Budget!M104-Actuals!M104)</f>
        <v/>
      </c>
      <c r="AS88" s="132" t="str">
        <f aca="false">IFERROR(IF(OR(11&gt;$B$3,ISBLANK(Actuals!M104)),"",(Budget!M104-Actuals!M104)/ABS(Budget!M104)),"")</f>
        <v/>
      </c>
      <c r="AT88" s="131" t="n">
        <f aca="false">Budget!N104</f>
        <v>0</v>
      </c>
      <c r="AU88" s="131" t="str">
        <f aca="false">IF(OR(12&gt;$B$3,ISBLANK(Actuals!N104)),"",Actuals!N104)</f>
        <v/>
      </c>
      <c r="AV88" s="132" t="str">
        <f aca="false">IF(OR(12&gt;$B$3,ISBLANK(Actuals!N104)),"",Budget!N104-Actuals!N104)</f>
        <v/>
      </c>
      <c r="AW88" s="132" t="str">
        <f aca="false">IFERROR(IF(OR(12&gt;$B$3,ISBLANK(Actuals!N104)),"",(Budget!N104-Actuals!N104)/ABS(Budget!N104)),"")</f>
        <v/>
      </c>
      <c r="AX88" s="133" t="n">
        <f aca="false">SUMPRODUCT((Actuals!C104:N104&lt;&gt;"")*(Budget!C104:N104))</f>
        <v>0</v>
      </c>
      <c r="AY88" s="133" t="n">
        <f aca="false">SUM(Actuals!C104:N104)</f>
        <v>-599999.94</v>
      </c>
      <c r="AZ88" s="134" t="n">
        <f aca="false">AX88-AY88</f>
        <v>599999.94</v>
      </c>
    </row>
    <row r="89" customFormat="false" ht="15" hidden="false" customHeight="true" outlineLevel="0" collapsed="false">
      <c r="A89" s="130" t="s">
        <v>92</v>
      </c>
      <c r="B89" s="131" t="n">
        <f aca="false">Budget!C105</f>
        <v>0</v>
      </c>
      <c r="C89" s="131" t="n">
        <f aca="false">IF(OR(1&gt;$B$3,ISBLANK(Actuals!C105)),"",Actuals!C105)</f>
        <v>-6935.84</v>
      </c>
      <c r="D89" s="132" t="n">
        <f aca="false">IF(OR(1&gt;$B$3,ISBLANK(Actuals!C105)),"",Budget!C105-Actuals!C105)</f>
        <v>6935.84</v>
      </c>
      <c r="E89" s="132" t="str">
        <f aca="false">IFERROR(IF(OR(1&gt;$B$3,ISBLANK(Actuals!C105)),"",(Budget!C105-Actuals!C105)/ABS(Budget!C105)),"")</f>
        <v/>
      </c>
      <c r="F89" s="131" t="n">
        <f aca="false">Budget!D105</f>
        <v>0</v>
      </c>
      <c r="G89" s="131" t="n">
        <f aca="false">IF(OR(2&gt;$B$3,ISBLANK(Actuals!D105)),"",Actuals!D105)</f>
        <v>-2799.88</v>
      </c>
      <c r="H89" s="132" t="n">
        <f aca="false">IF(OR(2&gt;$B$3,ISBLANK(Actuals!D105)),"",Budget!D105-Actuals!D105)</f>
        <v>2799.88</v>
      </c>
      <c r="I89" s="132" t="str">
        <f aca="false">IFERROR(IF(OR(2&gt;$B$3,ISBLANK(Actuals!D105)),"",(Budget!D105-Actuals!D105)/ABS(Budget!D105)),"")</f>
        <v/>
      </c>
      <c r="J89" s="131" t="n">
        <f aca="false">Budget!E105</f>
        <v>0</v>
      </c>
      <c r="K89" s="131" t="n">
        <f aca="false">IF(OR(3&gt;$B$3,ISBLANK(Actuals!E105)),"",Actuals!E105)</f>
        <v>-12899.88</v>
      </c>
      <c r="L89" s="132" t="n">
        <f aca="false">IF(OR(3&gt;$B$3,ISBLANK(Actuals!E105)),"",Budget!E105-Actuals!E105)</f>
        <v>12899.88</v>
      </c>
      <c r="M89" s="132" t="str">
        <f aca="false">IFERROR(IF(OR(3&gt;$B$3,ISBLANK(Actuals!E105)),"",(Budget!E105-Actuals!E105)/ABS(Budget!E105)),"")</f>
        <v/>
      </c>
      <c r="N89" s="131" t="n">
        <f aca="false">Budget!F105</f>
        <v>0</v>
      </c>
      <c r="O89" s="131" t="n">
        <f aca="false">IF(OR(4&gt;$B$3,ISBLANK(Actuals!F105)),"",Actuals!F105)</f>
        <v>-2932.88</v>
      </c>
      <c r="P89" s="132" t="n">
        <f aca="false">IF(OR(4&gt;$B$3,ISBLANK(Actuals!F105)),"",Budget!F105-Actuals!F105)</f>
        <v>2932.88</v>
      </c>
      <c r="Q89" s="132" t="str">
        <f aca="false">IFERROR(IF(OR(4&gt;$B$3,ISBLANK(Actuals!F105)),"",(Budget!F105-Actuals!F105)/ABS(Budget!F105)),"")</f>
        <v/>
      </c>
      <c r="R89" s="131" t="n">
        <f aca="false">Budget!G105</f>
        <v>0</v>
      </c>
      <c r="S89" s="131" t="n">
        <f aca="false">IF(OR(5&gt;$B$3,ISBLANK(Actuals!G105)),"",Actuals!G105)</f>
        <v>-5474.88</v>
      </c>
      <c r="T89" s="132" t="n">
        <f aca="false">IF(OR(5&gt;$B$3,ISBLANK(Actuals!G105)),"",Budget!G105-Actuals!G105)</f>
        <v>5474.88</v>
      </c>
      <c r="U89" s="132" t="str">
        <f aca="false">IFERROR(IF(OR(5&gt;$B$3,ISBLANK(Actuals!G105)),"",(Budget!G105-Actuals!G105)/ABS(Budget!G105)),"")</f>
        <v/>
      </c>
      <c r="V89" s="131" t="n">
        <f aca="false">Budget!H105</f>
        <v>0</v>
      </c>
      <c r="W89" s="131" t="n">
        <f aca="false">IF(OR(6&gt;$B$3,ISBLANK(Actuals!H105)),"",Actuals!H105)</f>
        <v>-5</v>
      </c>
      <c r="X89" s="132" t="n">
        <f aca="false">IF(OR(6&gt;$B$3,ISBLANK(Actuals!H105)),"",Budget!H105-Actuals!H105)</f>
        <v>5</v>
      </c>
      <c r="Y89" s="132" t="str">
        <f aca="false">IFERROR(IF(OR(6&gt;$B$3,ISBLANK(Actuals!H105)),"",(Budget!H105-Actuals!H105)/ABS(Budget!H105)),"")</f>
        <v/>
      </c>
      <c r="Z89" s="131" t="n">
        <f aca="false">Budget!I105</f>
        <v>0</v>
      </c>
      <c r="AA89" s="131" t="n">
        <f aca="false">IF(OR(7&gt;$B$3,ISBLANK(Actuals!I105)),"",Actuals!I105)</f>
        <v>-255</v>
      </c>
      <c r="AB89" s="132" t="n">
        <f aca="false">IF(OR(7&gt;$B$3,ISBLANK(Actuals!I105)),"",Budget!I105-Actuals!I105)</f>
        <v>255</v>
      </c>
      <c r="AC89" s="132" t="str">
        <f aca="false">IFERROR(IF(OR(7&gt;$B$3,ISBLANK(Actuals!I105)),"",(Budget!I105-Actuals!I105)/ABS(Budget!I105)),"")</f>
        <v/>
      </c>
      <c r="AD89" s="131" t="n">
        <f aca="false">Budget!J105</f>
        <v>0</v>
      </c>
      <c r="AE89" s="131" t="n">
        <f aca="false">IF(OR(8&gt;$B$3,ISBLANK(Actuals!J105)),"",Actuals!J105)</f>
        <v>4520.8</v>
      </c>
      <c r="AF89" s="132" t="n">
        <f aca="false">IF(OR(8&gt;$B$3,ISBLANK(Actuals!J105)),"",Budget!J105-Actuals!J105)</f>
        <v>-4520.8</v>
      </c>
      <c r="AG89" s="132" t="str">
        <f aca="false">IFERROR(IF(OR(8&gt;$B$3,ISBLANK(Actuals!J105)),"",(Budget!J105-Actuals!J105)/ABS(Budget!J105)),"")</f>
        <v/>
      </c>
      <c r="AH89" s="131" t="n">
        <f aca="false">Budget!K105</f>
        <v>0</v>
      </c>
      <c r="AI89" s="131" t="n">
        <f aca="false">IF(OR(9&gt;$B$3,ISBLANK(Actuals!K105)),"",Actuals!K105)</f>
        <v>-5476.82</v>
      </c>
      <c r="AJ89" s="132" t="n">
        <f aca="false">IF(OR(9&gt;$B$3,ISBLANK(Actuals!K105)),"",Budget!K105-Actuals!K105)</f>
        <v>5476.82</v>
      </c>
      <c r="AK89" s="132" t="str">
        <f aca="false">IFERROR(IF(OR(9&gt;$B$3,ISBLANK(Actuals!K105)),"",(Budget!K105-Actuals!K105)/ABS(Budget!K105)),"")</f>
        <v/>
      </c>
      <c r="AL89" s="131" t="n">
        <f aca="false">Budget!L105</f>
        <v>0</v>
      </c>
      <c r="AM89" s="131" t="str">
        <f aca="false">IF(OR(10&gt;$B$3,ISBLANK(Actuals!L105)),"",Actuals!L105)</f>
        <v/>
      </c>
      <c r="AN89" s="132" t="str">
        <f aca="false">IF(OR(10&gt;$B$3,ISBLANK(Actuals!L105)),"",Budget!L105-Actuals!L105)</f>
        <v/>
      </c>
      <c r="AO89" s="132" t="str">
        <f aca="false">IFERROR(IF(OR(10&gt;$B$3,ISBLANK(Actuals!L105)),"",(Budget!L105-Actuals!L105)/ABS(Budget!L105)),"")</f>
        <v/>
      </c>
      <c r="AP89" s="131" t="n">
        <f aca="false">Budget!M105</f>
        <v>0</v>
      </c>
      <c r="AQ89" s="131" t="str">
        <f aca="false">IF(OR(11&gt;$B$3,ISBLANK(Actuals!M105)),"",Actuals!M105)</f>
        <v/>
      </c>
      <c r="AR89" s="132" t="str">
        <f aca="false">IF(OR(11&gt;$B$3,ISBLANK(Actuals!M105)),"",Budget!M105-Actuals!M105)</f>
        <v/>
      </c>
      <c r="AS89" s="132" t="str">
        <f aca="false">IFERROR(IF(OR(11&gt;$B$3,ISBLANK(Actuals!M105)),"",(Budget!M105-Actuals!M105)/ABS(Budget!M105)),"")</f>
        <v/>
      </c>
      <c r="AT89" s="131" t="n">
        <f aca="false">Budget!N105</f>
        <v>0</v>
      </c>
      <c r="AU89" s="131" t="str">
        <f aca="false">IF(OR(12&gt;$B$3,ISBLANK(Actuals!N105)),"",Actuals!N105)</f>
        <v/>
      </c>
      <c r="AV89" s="132" t="str">
        <f aca="false">IF(OR(12&gt;$B$3,ISBLANK(Actuals!N105)),"",Budget!N105-Actuals!N105)</f>
        <v/>
      </c>
      <c r="AW89" s="132" t="str">
        <f aca="false">IFERROR(IF(OR(12&gt;$B$3,ISBLANK(Actuals!N105)),"",(Budget!N105-Actuals!N105)/ABS(Budget!N105)),"")</f>
        <v/>
      </c>
      <c r="AX89" s="133" t="n">
        <f aca="false">SUMPRODUCT((Actuals!C105:N105&lt;&gt;"")*(Budget!C105:N105))</f>
        <v>0</v>
      </c>
      <c r="AY89" s="133" t="n">
        <f aca="false">SUM(Actuals!C105:N105)</f>
        <v>-32259.38</v>
      </c>
      <c r="AZ89" s="134" t="n">
        <f aca="false">AX89-AY89</f>
        <v>32259.38</v>
      </c>
    </row>
    <row r="90" customFormat="false" ht="15" hidden="false" customHeight="true" outlineLevel="0" collapsed="false">
      <c r="A90" s="130" t="s">
        <v>93</v>
      </c>
      <c r="B90" s="131" t="n">
        <f aca="false">Budget!C106</f>
        <v>-500</v>
      </c>
      <c r="C90" s="131" t="n">
        <f aca="false">IF(OR(1&gt;$B$3,ISBLANK(Actuals!C106)),"",Actuals!C106)</f>
        <v>-658.14</v>
      </c>
      <c r="D90" s="132" t="n">
        <f aca="false">IF(OR(1&gt;$B$3,ISBLANK(Actuals!C106)),"",Budget!C106-Actuals!C106)</f>
        <v>158.14</v>
      </c>
      <c r="E90" s="132" t="n">
        <f aca="false">IFERROR(IF(OR(1&gt;$B$3,ISBLANK(Actuals!C106)),"",(Budget!C106-Actuals!C106)/ABS(Budget!C106)),"")</f>
        <v>0.31628</v>
      </c>
      <c r="F90" s="131" t="n">
        <f aca="false">Budget!D106</f>
        <v>-500</v>
      </c>
      <c r="G90" s="131" t="n">
        <f aca="false">IF(OR(2&gt;$B$3,ISBLANK(Actuals!D106)),"",Actuals!D106)</f>
        <v>-310</v>
      </c>
      <c r="H90" s="132" t="n">
        <f aca="false">IF(OR(2&gt;$B$3,ISBLANK(Actuals!D106)),"",Budget!D106-Actuals!D106)</f>
        <v>-190</v>
      </c>
      <c r="I90" s="132" t="n">
        <f aca="false">IFERROR(IF(OR(2&gt;$B$3,ISBLANK(Actuals!D106)),"",(Budget!D106-Actuals!D106)/ABS(Budget!D106)),"")</f>
        <v>-0.38</v>
      </c>
      <c r="J90" s="131" t="n">
        <f aca="false">Budget!E106</f>
        <v>-500</v>
      </c>
      <c r="K90" s="131" t="n">
        <f aca="false">IF(OR(3&gt;$B$3,ISBLANK(Actuals!E106)),"",Actuals!E106)</f>
        <v>-371.74</v>
      </c>
      <c r="L90" s="132" t="n">
        <f aca="false">IF(OR(3&gt;$B$3,ISBLANK(Actuals!E106)),"",Budget!E106-Actuals!E106)</f>
        <v>-128.26</v>
      </c>
      <c r="M90" s="132" t="n">
        <f aca="false">IFERROR(IF(OR(3&gt;$B$3,ISBLANK(Actuals!E106)),"",(Budget!E106-Actuals!E106)/ABS(Budget!E106)),"")</f>
        <v>-0.25652</v>
      </c>
      <c r="N90" s="131" t="n">
        <f aca="false">Budget!F106</f>
        <v>-500</v>
      </c>
      <c r="O90" s="131" t="n">
        <f aca="false">IF(OR(4&gt;$B$3,ISBLANK(Actuals!F106)),"",Actuals!F106)</f>
        <v>-857.33</v>
      </c>
      <c r="P90" s="132" t="n">
        <f aca="false">IF(OR(4&gt;$B$3,ISBLANK(Actuals!F106)),"",Budget!F106-Actuals!F106)</f>
        <v>357.33</v>
      </c>
      <c r="Q90" s="132" t="n">
        <f aca="false">IFERROR(IF(OR(4&gt;$B$3,ISBLANK(Actuals!F106)),"",(Budget!F106-Actuals!F106)/ABS(Budget!F106)),"")</f>
        <v>0.71466</v>
      </c>
      <c r="R90" s="131" t="n">
        <f aca="false">Budget!G106</f>
        <v>-500</v>
      </c>
      <c r="S90" s="131" t="n">
        <f aca="false">IF(OR(5&gt;$B$3,ISBLANK(Actuals!G106)),"",Actuals!G106)</f>
        <v>-305</v>
      </c>
      <c r="T90" s="132" t="n">
        <f aca="false">IF(OR(5&gt;$B$3,ISBLANK(Actuals!G106)),"",Budget!G106-Actuals!G106)</f>
        <v>-195</v>
      </c>
      <c r="U90" s="132" t="n">
        <f aca="false">IFERROR(IF(OR(5&gt;$B$3,ISBLANK(Actuals!G106)),"",(Budget!G106-Actuals!G106)/ABS(Budget!G106)),"")</f>
        <v>-0.39</v>
      </c>
      <c r="V90" s="131" t="n">
        <f aca="false">Budget!H106</f>
        <v>-500</v>
      </c>
      <c r="W90" s="131" t="n">
        <f aca="false">IF(OR(6&gt;$B$3,ISBLANK(Actuals!H106)),"",Actuals!H106)</f>
        <v>-352.5</v>
      </c>
      <c r="X90" s="132" t="n">
        <f aca="false">IF(OR(6&gt;$B$3,ISBLANK(Actuals!H106)),"",Budget!H106-Actuals!H106)</f>
        <v>-147.5</v>
      </c>
      <c r="Y90" s="132" t="n">
        <f aca="false">IFERROR(IF(OR(6&gt;$B$3,ISBLANK(Actuals!H106)),"",(Budget!H106-Actuals!H106)/ABS(Budget!H106)),"")</f>
        <v>-0.295</v>
      </c>
      <c r="Z90" s="131" t="n">
        <f aca="false">Budget!I106</f>
        <v>-510</v>
      </c>
      <c r="AA90" s="131" t="n">
        <f aca="false">IF(OR(7&gt;$B$3,ISBLANK(Actuals!I106)),"",Actuals!I106)</f>
        <v>-204</v>
      </c>
      <c r="AB90" s="132" t="n">
        <f aca="false">IF(OR(7&gt;$B$3,ISBLANK(Actuals!I106)),"",Budget!I106-Actuals!I106)</f>
        <v>-306</v>
      </c>
      <c r="AC90" s="132" t="n">
        <f aca="false">IFERROR(IF(OR(7&gt;$B$3,ISBLANK(Actuals!I106)),"",(Budget!I106-Actuals!I106)/ABS(Budget!I106)),"")</f>
        <v>-0.6</v>
      </c>
      <c r="AD90" s="131" t="n">
        <f aca="false">Budget!J106</f>
        <v>-510</v>
      </c>
      <c r="AE90" s="131" t="n">
        <f aca="false">IF(OR(8&gt;$B$3,ISBLANK(Actuals!J106)),"",Actuals!J106)</f>
        <v>-1477.65</v>
      </c>
      <c r="AF90" s="132" t="n">
        <f aca="false">IF(OR(8&gt;$B$3,ISBLANK(Actuals!J106)),"",Budget!J106-Actuals!J106)</f>
        <v>967.65</v>
      </c>
      <c r="AG90" s="132" t="n">
        <f aca="false">IFERROR(IF(OR(8&gt;$B$3,ISBLANK(Actuals!J106)),"",(Budget!J106-Actuals!J106)/ABS(Budget!J106)),"")</f>
        <v>1.89735294117647</v>
      </c>
      <c r="AH90" s="131" t="n">
        <f aca="false">Budget!K106</f>
        <v>-510</v>
      </c>
      <c r="AI90" s="131" t="n">
        <f aca="false">IF(OR(9&gt;$B$3,ISBLANK(Actuals!K106)),"",Actuals!K106)</f>
        <v>-1132.51</v>
      </c>
      <c r="AJ90" s="132" t="n">
        <f aca="false">IF(OR(9&gt;$B$3,ISBLANK(Actuals!K106)),"",Budget!K106-Actuals!K106)</f>
        <v>622.51</v>
      </c>
      <c r="AK90" s="132" t="n">
        <f aca="false">IFERROR(IF(OR(9&gt;$B$3,ISBLANK(Actuals!K106)),"",(Budget!K106-Actuals!K106)/ABS(Budget!K106)),"")</f>
        <v>1.22060784313726</v>
      </c>
      <c r="AL90" s="131" t="n">
        <f aca="false">Budget!L106</f>
        <v>-510</v>
      </c>
      <c r="AM90" s="131" t="str">
        <f aca="false">IF(OR(10&gt;$B$3,ISBLANK(Actuals!L106)),"",Actuals!L106)</f>
        <v/>
      </c>
      <c r="AN90" s="132" t="str">
        <f aca="false">IF(OR(10&gt;$B$3,ISBLANK(Actuals!L106)),"",Budget!L106-Actuals!L106)</f>
        <v/>
      </c>
      <c r="AO90" s="132" t="str">
        <f aca="false">IFERROR(IF(OR(10&gt;$B$3,ISBLANK(Actuals!L106)),"",(Budget!L106-Actuals!L106)/ABS(Budget!L106)),"")</f>
        <v/>
      </c>
      <c r="AP90" s="131" t="n">
        <f aca="false">Budget!M106</f>
        <v>-510</v>
      </c>
      <c r="AQ90" s="131" t="str">
        <f aca="false">IF(OR(11&gt;$B$3,ISBLANK(Actuals!M106)),"",Actuals!M106)</f>
        <v/>
      </c>
      <c r="AR90" s="132" t="str">
        <f aca="false">IF(OR(11&gt;$B$3,ISBLANK(Actuals!M106)),"",Budget!M106-Actuals!M106)</f>
        <v/>
      </c>
      <c r="AS90" s="132" t="str">
        <f aca="false">IFERROR(IF(OR(11&gt;$B$3,ISBLANK(Actuals!M106)),"",(Budget!M106-Actuals!M106)/ABS(Budget!M106)),"")</f>
        <v/>
      </c>
      <c r="AT90" s="131" t="n">
        <f aca="false">Budget!N106</f>
        <v>-510</v>
      </c>
      <c r="AU90" s="131" t="str">
        <f aca="false">IF(OR(12&gt;$B$3,ISBLANK(Actuals!N106)),"",Actuals!N106)</f>
        <v/>
      </c>
      <c r="AV90" s="132" t="str">
        <f aca="false">IF(OR(12&gt;$B$3,ISBLANK(Actuals!N106)),"",Budget!N106-Actuals!N106)</f>
        <v/>
      </c>
      <c r="AW90" s="132" t="str">
        <f aca="false">IFERROR(IF(OR(12&gt;$B$3,ISBLANK(Actuals!N106)),"",(Budget!N106-Actuals!N106)/ABS(Budget!N106)),"")</f>
        <v/>
      </c>
      <c r="AX90" s="133" t="n">
        <f aca="false">SUMPRODUCT((Actuals!C106:N106&lt;&gt;"")*(Budget!C106:N106))</f>
        <v>-4530</v>
      </c>
      <c r="AY90" s="133" t="n">
        <f aca="false">SUM(Actuals!C106:N106)</f>
        <v>-5668.87</v>
      </c>
      <c r="AZ90" s="134" t="n">
        <f aca="false">AX90-AY90</f>
        <v>1138.87</v>
      </c>
    </row>
    <row r="91" customFormat="false" ht="15" hidden="false" customHeight="true" outlineLevel="0" collapsed="false">
      <c r="A91" s="130" t="s">
        <v>134</v>
      </c>
      <c r="B91" s="131" t="n">
        <f aca="false">Budget!C107</f>
        <v>0</v>
      </c>
      <c r="C91" s="131" t="str">
        <f aca="false">IF(OR(1&gt;$B$3,ISBLANK(Actuals!C107)),"",Actuals!C107)</f>
        <v/>
      </c>
      <c r="D91" s="132" t="str">
        <f aca="false">IF(OR(1&gt;$B$3,ISBLANK(Actuals!C107)),"",Budget!C107-Actuals!C107)</f>
        <v/>
      </c>
      <c r="E91" s="132" t="str">
        <f aca="false">IFERROR(IF(OR(1&gt;$B$3,ISBLANK(Actuals!C107)),"",(Budget!C107-Actuals!C107)/ABS(Budget!C107)),"")</f>
        <v/>
      </c>
      <c r="F91" s="131" t="n">
        <f aca="false">Budget!D107</f>
        <v>0</v>
      </c>
      <c r="G91" s="131" t="str">
        <f aca="false">IF(OR(2&gt;$B$3,ISBLANK(Actuals!D107)),"",Actuals!D107)</f>
        <v/>
      </c>
      <c r="H91" s="132" t="str">
        <f aca="false">IF(OR(2&gt;$B$3,ISBLANK(Actuals!D107)),"",Budget!D107-Actuals!D107)</f>
        <v/>
      </c>
      <c r="I91" s="132" t="str">
        <f aca="false">IFERROR(IF(OR(2&gt;$B$3,ISBLANK(Actuals!D107)),"",(Budget!D107-Actuals!D107)/ABS(Budget!D107)),"")</f>
        <v/>
      </c>
      <c r="J91" s="131" t="n">
        <f aca="false">Budget!E107</f>
        <v>0</v>
      </c>
      <c r="K91" s="131" t="str">
        <f aca="false">IF(OR(3&gt;$B$3,ISBLANK(Actuals!E107)),"",Actuals!E107)</f>
        <v/>
      </c>
      <c r="L91" s="132" t="str">
        <f aca="false">IF(OR(3&gt;$B$3,ISBLANK(Actuals!E107)),"",Budget!E107-Actuals!E107)</f>
        <v/>
      </c>
      <c r="M91" s="132" t="str">
        <f aca="false">IFERROR(IF(OR(3&gt;$B$3,ISBLANK(Actuals!E107)),"",(Budget!E107-Actuals!E107)/ABS(Budget!E107)),"")</f>
        <v/>
      </c>
      <c r="N91" s="131" t="n">
        <f aca="false">Budget!F107</f>
        <v>0</v>
      </c>
      <c r="O91" s="131" t="str">
        <f aca="false">IF(OR(4&gt;$B$3,ISBLANK(Actuals!F107)),"",Actuals!F107)</f>
        <v/>
      </c>
      <c r="P91" s="132" t="str">
        <f aca="false">IF(OR(4&gt;$B$3,ISBLANK(Actuals!F107)),"",Budget!F107-Actuals!F107)</f>
        <v/>
      </c>
      <c r="Q91" s="132" t="str">
        <f aca="false">IFERROR(IF(OR(4&gt;$B$3,ISBLANK(Actuals!F107)),"",(Budget!F107-Actuals!F107)/ABS(Budget!F107)),"")</f>
        <v/>
      </c>
      <c r="R91" s="131" t="n">
        <f aca="false">Budget!G107</f>
        <v>0</v>
      </c>
      <c r="S91" s="131" t="str">
        <f aca="false">IF(OR(5&gt;$B$3,ISBLANK(Actuals!G107)),"",Actuals!G107)</f>
        <v/>
      </c>
      <c r="T91" s="132" t="str">
        <f aca="false">IF(OR(5&gt;$B$3,ISBLANK(Actuals!G107)),"",Budget!G107-Actuals!G107)</f>
        <v/>
      </c>
      <c r="U91" s="132" t="str">
        <f aca="false">IFERROR(IF(OR(5&gt;$B$3,ISBLANK(Actuals!G107)),"",(Budget!G107-Actuals!G107)/ABS(Budget!G107)),"")</f>
        <v/>
      </c>
      <c r="V91" s="131" t="n">
        <f aca="false">Budget!H107</f>
        <v>0</v>
      </c>
      <c r="W91" s="131" t="str">
        <f aca="false">IF(OR(6&gt;$B$3,ISBLANK(Actuals!H107)),"",Actuals!H107)</f>
        <v/>
      </c>
      <c r="X91" s="132" t="str">
        <f aca="false">IF(OR(6&gt;$B$3,ISBLANK(Actuals!H107)),"",Budget!H107-Actuals!H107)</f>
        <v/>
      </c>
      <c r="Y91" s="132" t="str">
        <f aca="false">IFERROR(IF(OR(6&gt;$B$3,ISBLANK(Actuals!H107)),"",(Budget!H107-Actuals!H107)/ABS(Budget!H107)),"")</f>
        <v/>
      </c>
      <c r="Z91" s="131" t="n">
        <f aca="false">Budget!I107</f>
        <v>0</v>
      </c>
      <c r="AA91" s="131" t="str">
        <f aca="false">IF(OR(7&gt;$B$3,ISBLANK(Actuals!I107)),"",Actuals!I107)</f>
        <v/>
      </c>
      <c r="AB91" s="132" t="str">
        <f aca="false">IF(OR(7&gt;$B$3,ISBLANK(Actuals!I107)),"",Budget!I107-Actuals!I107)</f>
        <v/>
      </c>
      <c r="AC91" s="132" t="str">
        <f aca="false">IFERROR(IF(OR(7&gt;$B$3,ISBLANK(Actuals!I107)),"",(Budget!I107-Actuals!I107)/ABS(Budget!I107)),"")</f>
        <v/>
      </c>
      <c r="AD91" s="131" t="n">
        <f aca="false">Budget!J107</f>
        <v>0</v>
      </c>
      <c r="AE91" s="131" t="str">
        <f aca="false">IF(OR(8&gt;$B$3,ISBLANK(Actuals!J107)),"",Actuals!J107)</f>
        <v/>
      </c>
      <c r="AF91" s="132" t="str">
        <f aca="false">IF(OR(8&gt;$B$3,ISBLANK(Actuals!J107)),"",Budget!J107-Actuals!J107)</f>
        <v/>
      </c>
      <c r="AG91" s="132" t="str">
        <f aca="false">IFERROR(IF(OR(8&gt;$B$3,ISBLANK(Actuals!J107)),"",(Budget!J107-Actuals!J107)/ABS(Budget!J107)),"")</f>
        <v/>
      </c>
      <c r="AH91" s="131" t="n">
        <f aca="false">Budget!K107</f>
        <v>0</v>
      </c>
      <c r="AI91" s="131" t="str">
        <f aca="false">IF(OR(9&gt;$B$3,ISBLANK(Actuals!K107)),"",Actuals!K107)</f>
        <v/>
      </c>
      <c r="AJ91" s="132" t="str">
        <f aca="false">IF(OR(9&gt;$B$3,ISBLANK(Actuals!K107)),"",Budget!K107-Actuals!K107)</f>
        <v/>
      </c>
      <c r="AK91" s="132" t="str">
        <f aca="false">IFERROR(IF(OR(9&gt;$B$3,ISBLANK(Actuals!K107)),"",(Budget!K107-Actuals!K107)/ABS(Budget!K107)),"")</f>
        <v/>
      </c>
      <c r="AL91" s="131" t="n">
        <f aca="false">Budget!L107</f>
        <v>0</v>
      </c>
      <c r="AM91" s="131" t="str">
        <f aca="false">IF(OR(10&gt;$B$3,ISBLANK(Actuals!L107)),"",Actuals!L107)</f>
        <v/>
      </c>
      <c r="AN91" s="132" t="str">
        <f aca="false">IF(OR(10&gt;$B$3,ISBLANK(Actuals!L107)),"",Budget!L107-Actuals!L107)</f>
        <v/>
      </c>
      <c r="AO91" s="132" t="str">
        <f aca="false">IFERROR(IF(OR(10&gt;$B$3,ISBLANK(Actuals!L107)),"",(Budget!L107-Actuals!L107)/ABS(Budget!L107)),"")</f>
        <v/>
      </c>
      <c r="AP91" s="131" t="n">
        <f aca="false">Budget!M107</f>
        <v>0</v>
      </c>
      <c r="AQ91" s="131" t="str">
        <f aca="false">IF(OR(11&gt;$B$3,ISBLANK(Actuals!M107)),"",Actuals!M107)</f>
        <v/>
      </c>
      <c r="AR91" s="132" t="str">
        <f aca="false">IF(OR(11&gt;$B$3,ISBLANK(Actuals!M107)),"",Budget!M107-Actuals!M107)</f>
        <v/>
      </c>
      <c r="AS91" s="132" t="str">
        <f aca="false">IFERROR(IF(OR(11&gt;$B$3,ISBLANK(Actuals!M107)),"",(Budget!M107-Actuals!M107)/ABS(Budget!M107)),"")</f>
        <v/>
      </c>
      <c r="AT91" s="131" t="n">
        <f aca="false">Budget!N107</f>
        <v>0</v>
      </c>
      <c r="AU91" s="131" t="str">
        <f aca="false">IF(OR(12&gt;$B$3,ISBLANK(Actuals!N107)),"",Actuals!N107)</f>
        <v/>
      </c>
      <c r="AV91" s="132" t="str">
        <f aca="false">IF(OR(12&gt;$B$3,ISBLANK(Actuals!N107)),"",Budget!N107-Actuals!N107)</f>
        <v/>
      </c>
      <c r="AW91" s="132" t="str">
        <f aca="false">IFERROR(IF(OR(12&gt;$B$3,ISBLANK(Actuals!N107)),"",(Budget!N107-Actuals!N107)/ABS(Budget!N107)),"")</f>
        <v/>
      </c>
      <c r="AX91" s="133" t="n">
        <f aca="false">SUMPRODUCT((Actuals!C107:N107&lt;&gt;"")*(Budget!C107:N107))</f>
        <v>0</v>
      </c>
      <c r="AY91" s="133" t="n">
        <f aca="false">SUM(Actuals!C107:N107)</f>
        <v>0</v>
      </c>
      <c r="AZ91" s="134" t="n">
        <f aca="false">AX91-AY91</f>
        <v>0</v>
      </c>
    </row>
    <row r="92" customFormat="false" ht="15" hidden="false" customHeight="true" outlineLevel="0" collapsed="false">
      <c r="A92" s="130" t="s">
        <v>135</v>
      </c>
      <c r="B92" s="131" t="n">
        <f aca="false">Budget!C108</f>
        <v>0</v>
      </c>
      <c r="C92" s="131" t="str">
        <f aca="false">IF(OR(1&gt;$B$3,ISBLANK(Actuals!C108)),"",Actuals!C108)</f>
        <v/>
      </c>
      <c r="D92" s="132" t="str">
        <f aca="false">IF(OR(1&gt;$B$3,ISBLANK(Actuals!C108)),"",Budget!C108-Actuals!C108)</f>
        <v/>
      </c>
      <c r="E92" s="132" t="str">
        <f aca="false">IFERROR(IF(OR(1&gt;$B$3,ISBLANK(Actuals!C108)),"",(Budget!C108-Actuals!C108)/ABS(Budget!C108)),"")</f>
        <v/>
      </c>
      <c r="F92" s="131" t="n">
        <f aca="false">Budget!D108</f>
        <v>0</v>
      </c>
      <c r="G92" s="131" t="str">
        <f aca="false">IF(OR(2&gt;$B$3,ISBLANK(Actuals!D108)),"",Actuals!D108)</f>
        <v/>
      </c>
      <c r="H92" s="132" t="str">
        <f aca="false">IF(OR(2&gt;$B$3,ISBLANK(Actuals!D108)),"",Budget!D108-Actuals!D108)</f>
        <v/>
      </c>
      <c r="I92" s="132" t="str">
        <f aca="false">IFERROR(IF(OR(2&gt;$B$3,ISBLANK(Actuals!D108)),"",(Budget!D108-Actuals!D108)/ABS(Budget!D108)),"")</f>
        <v/>
      </c>
      <c r="J92" s="131" t="n">
        <f aca="false">Budget!E108</f>
        <v>0</v>
      </c>
      <c r="K92" s="131" t="str">
        <f aca="false">IF(OR(3&gt;$B$3,ISBLANK(Actuals!E108)),"",Actuals!E108)</f>
        <v/>
      </c>
      <c r="L92" s="132" t="str">
        <f aca="false">IF(OR(3&gt;$B$3,ISBLANK(Actuals!E108)),"",Budget!E108-Actuals!E108)</f>
        <v/>
      </c>
      <c r="M92" s="132" t="str">
        <f aca="false">IFERROR(IF(OR(3&gt;$B$3,ISBLANK(Actuals!E108)),"",(Budget!E108-Actuals!E108)/ABS(Budget!E108)),"")</f>
        <v/>
      </c>
      <c r="N92" s="131" t="n">
        <f aca="false">Budget!F108</f>
        <v>0</v>
      </c>
      <c r="O92" s="131" t="str">
        <f aca="false">IF(OR(4&gt;$B$3,ISBLANK(Actuals!F108)),"",Actuals!F108)</f>
        <v/>
      </c>
      <c r="P92" s="132" t="str">
        <f aca="false">IF(OR(4&gt;$B$3,ISBLANK(Actuals!F108)),"",Budget!F108-Actuals!F108)</f>
        <v/>
      </c>
      <c r="Q92" s="132" t="str">
        <f aca="false">IFERROR(IF(OR(4&gt;$B$3,ISBLANK(Actuals!F108)),"",(Budget!F108-Actuals!F108)/ABS(Budget!F108)),"")</f>
        <v/>
      </c>
      <c r="R92" s="131" t="n">
        <f aca="false">Budget!G108</f>
        <v>0</v>
      </c>
      <c r="S92" s="131" t="str">
        <f aca="false">IF(OR(5&gt;$B$3,ISBLANK(Actuals!G108)),"",Actuals!G108)</f>
        <v/>
      </c>
      <c r="T92" s="132" t="str">
        <f aca="false">IF(OR(5&gt;$B$3,ISBLANK(Actuals!G108)),"",Budget!G108-Actuals!G108)</f>
        <v/>
      </c>
      <c r="U92" s="132" t="str">
        <f aca="false">IFERROR(IF(OR(5&gt;$B$3,ISBLANK(Actuals!G108)),"",(Budget!G108-Actuals!G108)/ABS(Budget!G108)),"")</f>
        <v/>
      </c>
      <c r="V92" s="131" t="n">
        <f aca="false">Budget!H108</f>
        <v>0</v>
      </c>
      <c r="W92" s="131" t="str">
        <f aca="false">IF(OR(6&gt;$B$3,ISBLANK(Actuals!H108)),"",Actuals!H108)</f>
        <v/>
      </c>
      <c r="X92" s="132" t="str">
        <f aca="false">IF(OR(6&gt;$B$3,ISBLANK(Actuals!H108)),"",Budget!H108-Actuals!H108)</f>
        <v/>
      </c>
      <c r="Y92" s="132" t="str">
        <f aca="false">IFERROR(IF(OR(6&gt;$B$3,ISBLANK(Actuals!H108)),"",(Budget!H108-Actuals!H108)/ABS(Budget!H108)),"")</f>
        <v/>
      </c>
      <c r="Z92" s="131" t="n">
        <f aca="false">Budget!I108</f>
        <v>0</v>
      </c>
      <c r="AA92" s="131" t="str">
        <f aca="false">IF(OR(7&gt;$B$3,ISBLANK(Actuals!I108)),"",Actuals!I108)</f>
        <v/>
      </c>
      <c r="AB92" s="132" t="str">
        <f aca="false">IF(OR(7&gt;$B$3,ISBLANK(Actuals!I108)),"",Budget!I108-Actuals!I108)</f>
        <v/>
      </c>
      <c r="AC92" s="132" t="str">
        <f aca="false">IFERROR(IF(OR(7&gt;$B$3,ISBLANK(Actuals!I108)),"",(Budget!I108-Actuals!I108)/ABS(Budget!I108)),"")</f>
        <v/>
      </c>
      <c r="AD92" s="131" t="n">
        <f aca="false">Budget!J108</f>
        <v>0</v>
      </c>
      <c r="AE92" s="131" t="str">
        <f aca="false">IF(OR(8&gt;$B$3,ISBLANK(Actuals!J108)),"",Actuals!J108)</f>
        <v/>
      </c>
      <c r="AF92" s="132" t="str">
        <f aca="false">IF(OR(8&gt;$B$3,ISBLANK(Actuals!J108)),"",Budget!J108-Actuals!J108)</f>
        <v/>
      </c>
      <c r="AG92" s="132" t="str">
        <f aca="false">IFERROR(IF(OR(8&gt;$B$3,ISBLANK(Actuals!J108)),"",(Budget!J108-Actuals!J108)/ABS(Budget!J108)),"")</f>
        <v/>
      </c>
      <c r="AH92" s="131" t="n">
        <f aca="false">Budget!K108</f>
        <v>0</v>
      </c>
      <c r="AI92" s="131" t="str">
        <f aca="false">IF(OR(9&gt;$B$3,ISBLANK(Actuals!K108)),"",Actuals!K108)</f>
        <v/>
      </c>
      <c r="AJ92" s="132" t="str">
        <f aca="false">IF(OR(9&gt;$B$3,ISBLANK(Actuals!K108)),"",Budget!K108-Actuals!K108)</f>
        <v/>
      </c>
      <c r="AK92" s="132" t="str">
        <f aca="false">IFERROR(IF(OR(9&gt;$B$3,ISBLANK(Actuals!K108)),"",(Budget!K108-Actuals!K108)/ABS(Budget!K108)),"")</f>
        <v/>
      </c>
      <c r="AL92" s="131" t="n">
        <f aca="false">Budget!L108</f>
        <v>0</v>
      </c>
      <c r="AM92" s="131" t="str">
        <f aca="false">IF(OR(10&gt;$B$3,ISBLANK(Actuals!L108)),"",Actuals!L108)</f>
        <v/>
      </c>
      <c r="AN92" s="132" t="str">
        <f aca="false">IF(OR(10&gt;$B$3,ISBLANK(Actuals!L108)),"",Budget!L108-Actuals!L108)</f>
        <v/>
      </c>
      <c r="AO92" s="132" t="str">
        <f aca="false">IFERROR(IF(OR(10&gt;$B$3,ISBLANK(Actuals!L108)),"",(Budget!L108-Actuals!L108)/ABS(Budget!L108)),"")</f>
        <v/>
      </c>
      <c r="AP92" s="131" t="n">
        <f aca="false">Budget!M108</f>
        <v>0</v>
      </c>
      <c r="AQ92" s="131" t="str">
        <f aca="false">IF(OR(11&gt;$B$3,ISBLANK(Actuals!M108)),"",Actuals!M108)</f>
        <v/>
      </c>
      <c r="AR92" s="132" t="str">
        <f aca="false">IF(OR(11&gt;$B$3,ISBLANK(Actuals!M108)),"",Budget!M108-Actuals!M108)</f>
        <v/>
      </c>
      <c r="AS92" s="132" t="str">
        <f aca="false">IFERROR(IF(OR(11&gt;$B$3,ISBLANK(Actuals!M108)),"",(Budget!M108-Actuals!M108)/ABS(Budget!M108)),"")</f>
        <v/>
      </c>
      <c r="AT92" s="131" t="n">
        <f aca="false">Budget!N108</f>
        <v>0</v>
      </c>
      <c r="AU92" s="131" t="str">
        <f aca="false">IF(OR(12&gt;$B$3,ISBLANK(Actuals!N108)),"",Actuals!N108)</f>
        <v/>
      </c>
      <c r="AV92" s="132" t="str">
        <f aca="false">IF(OR(12&gt;$B$3,ISBLANK(Actuals!N108)),"",Budget!N108-Actuals!N108)</f>
        <v/>
      </c>
      <c r="AW92" s="132" t="str">
        <f aca="false">IFERROR(IF(OR(12&gt;$B$3,ISBLANK(Actuals!N108)),"",(Budget!N108-Actuals!N108)/ABS(Budget!N108)),"")</f>
        <v/>
      </c>
      <c r="AX92" s="133" t="n">
        <f aca="false">SUMPRODUCT((Actuals!C108:N108&lt;&gt;"")*(Budget!C108:N108))</f>
        <v>0</v>
      </c>
      <c r="AY92" s="133" t="n">
        <f aca="false">SUM(Actuals!C108:N108)</f>
        <v>0</v>
      </c>
      <c r="AZ92" s="134" t="n">
        <f aca="false">AX92-AY92</f>
        <v>0</v>
      </c>
    </row>
    <row r="93" customFormat="false" ht="15" hidden="false" customHeight="true" outlineLevel="0" collapsed="false">
      <c r="A93" s="130" t="s">
        <v>136</v>
      </c>
      <c r="B93" s="131" t="n">
        <f aca="false">Budget!C109</f>
        <v>0</v>
      </c>
      <c r="C93" s="131" t="str">
        <f aca="false">IF(OR(1&gt;$B$3,ISBLANK(Actuals!C109)),"",Actuals!C109)</f>
        <v/>
      </c>
      <c r="D93" s="132" t="str">
        <f aca="false">IF(OR(1&gt;$B$3,ISBLANK(Actuals!C109)),"",Budget!C109-Actuals!C109)</f>
        <v/>
      </c>
      <c r="E93" s="132" t="str">
        <f aca="false">IFERROR(IF(OR(1&gt;$B$3,ISBLANK(Actuals!C109)),"",(Budget!C109-Actuals!C109)/ABS(Budget!C109)),"")</f>
        <v/>
      </c>
      <c r="F93" s="131" t="n">
        <f aca="false">Budget!D109</f>
        <v>0</v>
      </c>
      <c r="G93" s="131" t="str">
        <f aca="false">IF(OR(2&gt;$B$3,ISBLANK(Actuals!D109)),"",Actuals!D109)</f>
        <v/>
      </c>
      <c r="H93" s="132" t="str">
        <f aca="false">IF(OR(2&gt;$B$3,ISBLANK(Actuals!D109)),"",Budget!D109-Actuals!D109)</f>
        <v/>
      </c>
      <c r="I93" s="132" t="str">
        <f aca="false">IFERROR(IF(OR(2&gt;$B$3,ISBLANK(Actuals!D109)),"",(Budget!D109-Actuals!D109)/ABS(Budget!D109)),"")</f>
        <v/>
      </c>
      <c r="J93" s="131" t="n">
        <f aca="false">Budget!E109</f>
        <v>0</v>
      </c>
      <c r="K93" s="131" t="str">
        <f aca="false">IF(OR(3&gt;$B$3,ISBLANK(Actuals!E109)),"",Actuals!E109)</f>
        <v/>
      </c>
      <c r="L93" s="132" t="str">
        <f aca="false">IF(OR(3&gt;$B$3,ISBLANK(Actuals!E109)),"",Budget!E109-Actuals!E109)</f>
        <v/>
      </c>
      <c r="M93" s="132" t="str">
        <f aca="false">IFERROR(IF(OR(3&gt;$B$3,ISBLANK(Actuals!E109)),"",(Budget!E109-Actuals!E109)/ABS(Budget!E109)),"")</f>
        <v/>
      </c>
      <c r="N93" s="131" t="n">
        <f aca="false">Budget!F109</f>
        <v>0</v>
      </c>
      <c r="O93" s="131" t="str">
        <f aca="false">IF(OR(4&gt;$B$3,ISBLANK(Actuals!F109)),"",Actuals!F109)</f>
        <v/>
      </c>
      <c r="P93" s="132" t="str">
        <f aca="false">IF(OR(4&gt;$B$3,ISBLANK(Actuals!F109)),"",Budget!F109-Actuals!F109)</f>
        <v/>
      </c>
      <c r="Q93" s="132" t="str">
        <f aca="false">IFERROR(IF(OR(4&gt;$B$3,ISBLANK(Actuals!F109)),"",(Budget!F109-Actuals!F109)/ABS(Budget!F109)),"")</f>
        <v/>
      </c>
      <c r="R93" s="131" t="n">
        <f aca="false">Budget!G109</f>
        <v>0</v>
      </c>
      <c r="S93" s="131" t="str">
        <f aca="false">IF(OR(5&gt;$B$3,ISBLANK(Actuals!G109)),"",Actuals!G109)</f>
        <v/>
      </c>
      <c r="T93" s="132" t="str">
        <f aca="false">IF(OR(5&gt;$B$3,ISBLANK(Actuals!G109)),"",Budget!G109-Actuals!G109)</f>
        <v/>
      </c>
      <c r="U93" s="132" t="str">
        <f aca="false">IFERROR(IF(OR(5&gt;$B$3,ISBLANK(Actuals!G109)),"",(Budget!G109-Actuals!G109)/ABS(Budget!G109)),"")</f>
        <v/>
      </c>
      <c r="V93" s="131" t="n">
        <f aca="false">Budget!H109</f>
        <v>0</v>
      </c>
      <c r="W93" s="131" t="str">
        <f aca="false">IF(OR(6&gt;$B$3,ISBLANK(Actuals!H109)),"",Actuals!H109)</f>
        <v/>
      </c>
      <c r="X93" s="132" t="str">
        <f aca="false">IF(OR(6&gt;$B$3,ISBLANK(Actuals!H109)),"",Budget!H109-Actuals!H109)</f>
        <v/>
      </c>
      <c r="Y93" s="132" t="str">
        <f aca="false">IFERROR(IF(OR(6&gt;$B$3,ISBLANK(Actuals!H109)),"",(Budget!H109-Actuals!H109)/ABS(Budget!H109)),"")</f>
        <v/>
      </c>
      <c r="Z93" s="131" t="n">
        <f aca="false">Budget!I109</f>
        <v>0</v>
      </c>
      <c r="AA93" s="131" t="str">
        <f aca="false">IF(OR(7&gt;$B$3,ISBLANK(Actuals!I109)),"",Actuals!I109)</f>
        <v/>
      </c>
      <c r="AB93" s="132" t="str">
        <f aca="false">IF(OR(7&gt;$B$3,ISBLANK(Actuals!I109)),"",Budget!I109-Actuals!I109)</f>
        <v/>
      </c>
      <c r="AC93" s="132" t="str">
        <f aca="false">IFERROR(IF(OR(7&gt;$B$3,ISBLANK(Actuals!I109)),"",(Budget!I109-Actuals!I109)/ABS(Budget!I109)),"")</f>
        <v/>
      </c>
      <c r="AD93" s="131" t="n">
        <f aca="false">Budget!J109</f>
        <v>0</v>
      </c>
      <c r="AE93" s="131" t="n">
        <f aca="false">IF(OR(8&gt;$B$3,ISBLANK(Actuals!J109)),"",Actuals!J109)</f>
        <v>0</v>
      </c>
      <c r="AF93" s="132" t="n">
        <f aca="false">IF(OR(8&gt;$B$3,ISBLANK(Actuals!J109)),"",Budget!J109-Actuals!J109)</f>
        <v>0</v>
      </c>
      <c r="AG93" s="132" t="str">
        <f aca="false">IFERROR(IF(OR(8&gt;$B$3,ISBLANK(Actuals!J109)),"",(Budget!J109-Actuals!J109)/ABS(Budget!J109)),"")</f>
        <v/>
      </c>
      <c r="AH93" s="131" t="n">
        <f aca="false">Budget!K109</f>
        <v>0</v>
      </c>
      <c r="AI93" s="131" t="str">
        <f aca="false">IF(OR(9&gt;$B$3,ISBLANK(Actuals!K109)),"",Actuals!K109)</f>
        <v/>
      </c>
      <c r="AJ93" s="132" t="str">
        <f aca="false">IF(OR(9&gt;$B$3,ISBLANK(Actuals!K109)),"",Budget!K109-Actuals!K109)</f>
        <v/>
      </c>
      <c r="AK93" s="132" t="str">
        <f aca="false">IFERROR(IF(OR(9&gt;$B$3,ISBLANK(Actuals!K109)),"",(Budget!K109-Actuals!K109)/ABS(Budget!K109)),"")</f>
        <v/>
      </c>
      <c r="AL93" s="131" t="n">
        <f aca="false">Budget!L109</f>
        <v>0</v>
      </c>
      <c r="AM93" s="131" t="str">
        <f aca="false">IF(OR(10&gt;$B$3,ISBLANK(Actuals!L109)),"",Actuals!L109)</f>
        <v/>
      </c>
      <c r="AN93" s="132" t="str">
        <f aca="false">IF(OR(10&gt;$B$3,ISBLANK(Actuals!L109)),"",Budget!L109-Actuals!L109)</f>
        <v/>
      </c>
      <c r="AO93" s="132" t="str">
        <f aca="false">IFERROR(IF(OR(10&gt;$B$3,ISBLANK(Actuals!L109)),"",(Budget!L109-Actuals!L109)/ABS(Budget!L109)),"")</f>
        <v/>
      </c>
      <c r="AP93" s="131" t="n">
        <f aca="false">Budget!M109</f>
        <v>0</v>
      </c>
      <c r="AQ93" s="131" t="str">
        <f aca="false">IF(OR(11&gt;$B$3,ISBLANK(Actuals!M109)),"",Actuals!M109)</f>
        <v/>
      </c>
      <c r="AR93" s="132" t="str">
        <f aca="false">IF(OR(11&gt;$B$3,ISBLANK(Actuals!M109)),"",Budget!M109-Actuals!M109)</f>
        <v/>
      </c>
      <c r="AS93" s="132" t="str">
        <f aca="false">IFERROR(IF(OR(11&gt;$B$3,ISBLANK(Actuals!M109)),"",(Budget!M109-Actuals!M109)/ABS(Budget!M109)),"")</f>
        <v/>
      </c>
      <c r="AT93" s="131" t="n">
        <f aca="false">Budget!N109</f>
        <v>0</v>
      </c>
      <c r="AU93" s="131" t="str">
        <f aca="false">IF(OR(12&gt;$B$3,ISBLANK(Actuals!N109)),"",Actuals!N109)</f>
        <v/>
      </c>
      <c r="AV93" s="132" t="str">
        <f aca="false">IF(OR(12&gt;$B$3,ISBLANK(Actuals!N109)),"",Budget!N109-Actuals!N109)</f>
        <v/>
      </c>
      <c r="AW93" s="132" t="str">
        <f aca="false">IFERROR(IF(OR(12&gt;$B$3,ISBLANK(Actuals!N109)),"",(Budget!N109-Actuals!N109)/ABS(Budget!N109)),"")</f>
        <v/>
      </c>
      <c r="AX93" s="133" t="n">
        <f aca="false">SUMPRODUCT((Actuals!C109:N109&lt;&gt;"")*(Budget!C109:N109))</f>
        <v>0</v>
      </c>
      <c r="AY93" s="133" t="n">
        <f aca="false">SUM(Actuals!C109:N109)</f>
        <v>0</v>
      </c>
      <c r="AZ93" s="134" t="n">
        <f aca="false">AX93-AY93</f>
        <v>0</v>
      </c>
    </row>
    <row r="94" customFormat="false" ht="15" hidden="false" customHeight="true" outlineLevel="0" collapsed="false">
      <c r="A94" s="130" t="s">
        <v>137</v>
      </c>
      <c r="B94" s="131" t="n">
        <f aca="false">Budget!C110</f>
        <v>0</v>
      </c>
      <c r="C94" s="131" t="str">
        <f aca="false">IF(OR(1&gt;$B$3,ISBLANK(Actuals!C110)),"",Actuals!C110)</f>
        <v/>
      </c>
      <c r="D94" s="132" t="str">
        <f aca="false">IF(OR(1&gt;$B$3,ISBLANK(Actuals!C110)),"",Budget!C110-Actuals!C110)</f>
        <v/>
      </c>
      <c r="E94" s="132" t="str">
        <f aca="false">IFERROR(IF(OR(1&gt;$B$3,ISBLANK(Actuals!C110)),"",(Budget!C110-Actuals!C110)/ABS(Budget!C110)),"")</f>
        <v/>
      </c>
      <c r="F94" s="131" t="n">
        <f aca="false">Budget!D110</f>
        <v>0</v>
      </c>
      <c r="G94" s="131" t="str">
        <f aca="false">IF(OR(2&gt;$B$3,ISBLANK(Actuals!D110)),"",Actuals!D110)</f>
        <v/>
      </c>
      <c r="H94" s="132" t="str">
        <f aca="false">IF(OR(2&gt;$B$3,ISBLANK(Actuals!D110)),"",Budget!D110-Actuals!D110)</f>
        <v/>
      </c>
      <c r="I94" s="132" t="str">
        <f aca="false">IFERROR(IF(OR(2&gt;$B$3,ISBLANK(Actuals!D110)),"",(Budget!D110-Actuals!D110)/ABS(Budget!D110)),"")</f>
        <v/>
      </c>
      <c r="J94" s="131" t="n">
        <f aca="false">Budget!E110</f>
        <v>0</v>
      </c>
      <c r="K94" s="131" t="str">
        <f aca="false">IF(OR(3&gt;$B$3,ISBLANK(Actuals!E110)),"",Actuals!E110)</f>
        <v/>
      </c>
      <c r="L94" s="132" t="str">
        <f aca="false">IF(OR(3&gt;$B$3,ISBLANK(Actuals!E110)),"",Budget!E110-Actuals!E110)</f>
        <v/>
      </c>
      <c r="M94" s="132" t="str">
        <f aca="false">IFERROR(IF(OR(3&gt;$B$3,ISBLANK(Actuals!E110)),"",(Budget!E110-Actuals!E110)/ABS(Budget!E110)),"")</f>
        <v/>
      </c>
      <c r="N94" s="131" t="n">
        <f aca="false">Budget!F110</f>
        <v>0</v>
      </c>
      <c r="O94" s="131" t="str">
        <f aca="false">IF(OR(4&gt;$B$3,ISBLANK(Actuals!F110)),"",Actuals!F110)</f>
        <v/>
      </c>
      <c r="P94" s="132" t="str">
        <f aca="false">IF(OR(4&gt;$B$3,ISBLANK(Actuals!F110)),"",Budget!F110-Actuals!F110)</f>
        <v/>
      </c>
      <c r="Q94" s="132" t="str">
        <f aca="false">IFERROR(IF(OR(4&gt;$B$3,ISBLANK(Actuals!F110)),"",(Budget!F110-Actuals!F110)/ABS(Budget!F110)),"")</f>
        <v/>
      </c>
      <c r="R94" s="131" t="n">
        <f aca="false">Budget!G110</f>
        <v>0</v>
      </c>
      <c r="S94" s="131" t="str">
        <f aca="false">IF(OR(5&gt;$B$3,ISBLANK(Actuals!G110)),"",Actuals!G110)</f>
        <v/>
      </c>
      <c r="T94" s="132" t="str">
        <f aca="false">IF(OR(5&gt;$B$3,ISBLANK(Actuals!G110)),"",Budget!G110-Actuals!G110)</f>
        <v/>
      </c>
      <c r="U94" s="132" t="str">
        <f aca="false">IFERROR(IF(OR(5&gt;$B$3,ISBLANK(Actuals!G110)),"",(Budget!G110-Actuals!G110)/ABS(Budget!G110)),"")</f>
        <v/>
      </c>
      <c r="V94" s="131" t="n">
        <f aca="false">Budget!H110</f>
        <v>0</v>
      </c>
      <c r="W94" s="131" t="str">
        <f aca="false">IF(OR(6&gt;$B$3,ISBLANK(Actuals!H110)),"",Actuals!H110)</f>
        <v/>
      </c>
      <c r="X94" s="132" t="str">
        <f aca="false">IF(OR(6&gt;$B$3,ISBLANK(Actuals!H110)),"",Budget!H110-Actuals!H110)</f>
        <v/>
      </c>
      <c r="Y94" s="132" t="str">
        <f aca="false">IFERROR(IF(OR(6&gt;$B$3,ISBLANK(Actuals!H110)),"",(Budget!H110-Actuals!H110)/ABS(Budget!H110)),"")</f>
        <v/>
      </c>
      <c r="Z94" s="131" t="n">
        <f aca="false">Budget!I110</f>
        <v>0</v>
      </c>
      <c r="AA94" s="131" t="str">
        <f aca="false">IF(OR(7&gt;$B$3,ISBLANK(Actuals!I110)),"",Actuals!I110)</f>
        <v/>
      </c>
      <c r="AB94" s="132" t="str">
        <f aca="false">IF(OR(7&gt;$B$3,ISBLANK(Actuals!I110)),"",Budget!I110-Actuals!I110)</f>
        <v/>
      </c>
      <c r="AC94" s="132" t="str">
        <f aca="false">IFERROR(IF(OR(7&gt;$B$3,ISBLANK(Actuals!I110)),"",(Budget!I110-Actuals!I110)/ABS(Budget!I110)),"")</f>
        <v/>
      </c>
      <c r="AD94" s="131" t="n">
        <f aca="false">Budget!J110</f>
        <v>0</v>
      </c>
      <c r="AE94" s="131" t="str">
        <f aca="false">IF(OR(8&gt;$B$3,ISBLANK(Actuals!J110)),"",Actuals!J110)</f>
        <v/>
      </c>
      <c r="AF94" s="132" t="str">
        <f aca="false">IF(OR(8&gt;$B$3,ISBLANK(Actuals!J110)),"",Budget!J110-Actuals!J110)</f>
        <v/>
      </c>
      <c r="AG94" s="132" t="str">
        <f aca="false">IFERROR(IF(OR(8&gt;$B$3,ISBLANK(Actuals!J110)),"",(Budget!J110-Actuals!J110)/ABS(Budget!J110)),"")</f>
        <v/>
      </c>
      <c r="AH94" s="131" t="n">
        <f aca="false">Budget!K110</f>
        <v>0</v>
      </c>
      <c r="AI94" s="131" t="str">
        <f aca="false">IF(OR(9&gt;$B$3,ISBLANK(Actuals!K110)),"",Actuals!K110)</f>
        <v/>
      </c>
      <c r="AJ94" s="132" t="str">
        <f aca="false">IF(OR(9&gt;$B$3,ISBLANK(Actuals!K110)),"",Budget!K110-Actuals!K110)</f>
        <v/>
      </c>
      <c r="AK94" s="132" t="str">
        <f aca="false">IFERROR(IF(OR(9&gt;$B$3,ISBLANK(Actuals!K110)),"",(Budget!K110-Actuals!K110)/ABS(Budget!K110)),"")</f>
        <v/>
      </c>
      <c r="AL94" s="131" t="n">
        <f aca="false">Budget!L110</f>
        <v>0</v>
      </c>
      <c r="AM94" s="131" t="str">
        <f aca="false">IF(OR(10&gt;$B$3,ISBLANK(Actuals!L110)),"",Actuals!L110)</f>
        <v/>
      </c>
      <c r="AN94" s="132" t="str">
        <f aca="false">IF(OR(10&gt;$B$3,ISBLANK(Actuals!L110)),"",Budget!L110-Actuals!L110)</f>
        <v/>
      </c>
      <c r="AO94" s="132" t="str">
        <f aca="false">IFERROR(IF(OR(10&gt;$B$3,ISBLANK(Actuals!L110)),"",(Budget!L110-Actuals!L110)/ABS(Budget!L110)),"")</f>
        <v/>
      </c>
      <c r="AP94" s="131" t="n">
        <f aca="false">Budget!M110</f>
        <v>0</v>
      </c>
      <c r="AQ94" s="131" t="str">
        <f aca="false">IF(OR(11&gt;$B$3,ISBLANK(Actuals!M110)),"",Actuals!M110)</f>
        <v/>
      </c>
      <c r="AR94" s="132" t="str">
        <f aca="false">IF(OR(11&gt;$B$3,ISBLANK(Actuals!M110)),"",Budget!M110-Actuals!M110)</f>
        <v/>
      </c>
      <c r="AS94" s="132" t="str">
        <f aca="false">IFERROR(IF(OR(11&gt;$B$3,ISBLANK(Actuals!M110)),"",(Budget!M110-Actuals!M110)/ABS(Budget!M110)),"")</f>
        <v/>
      </c>
      <c r="AT94" s="131" t="n">
        <f aca="false">Budget!N110</f>
        <v>0</v>
      </c>
      <c r="AU94" s="131" t="str">
        <f aca="false">IF(OR(12&gt;$B$3,ISBLANK(Actuals!N110)),"",Actuals!N110)</f>
        <v/>
      </c>
      <c r="AV94" s="132" t="str">
        <f aca="false">IF(OR(12&gt;$B$3,ISBLANK(Actuals!N110)),"",Budget!N110-Actuals!N110)</f>
        <v/>
      </c>
      <c r="AW94" s="132" t="str">
        <f aca="false">IFERROR(IF(OR(12&gt;$B$3,ISBLANK(Actuals!N110)),"",(Budget!N110-Actuals!N110)/ABS(Budget!N110)),"")</f>
        <v/>
      </c>
      <c r="AX94" s="133" t="n">
        <f aca="false">SUMPRODUCT((Actuals!C110:N110&lt;&gt;"")*(Budget!C110:N110))</f>
        <v>0</v>
      </c>
      <c r="AY94" s="133" t="n">
        <f aca="false">SUM(Actuals!C110:N110)</f>
        <v>0</v>
      </c>
      <c r="AZ94" s="134" t="n">
        <f aca="false">AX94-AY94</f>
        <v>0</v>
      </c>
    </row>
    <row r="95" customFormat="false" ht="15" hidden="false" customHeight="true" outlineLevel="0" collapsed="false">
      <c r="A95" s="130" t="s">
        <v>138</v>
      </c>
      <c r="B95" s="131" t="n">
        <f aca="false">Budget!C111</f>
        <v>0</v>
      </c>
      <c r="C95" s="131" t="str">
        <f aca="false">IF(OR(1&gt;$B$3,ISBLANK(Actuals!C111)),"",Actuals!C111)</f>
        <v/>
      </c>
      <c r="D95" s="132" t="str">
        <f aca="false">IF(OR(1&gt;$B$3,ISBLANK(Actuals!C111)),"",Budget!C111-Actuals!C111)</f>
        <v/>
      </c>
      <c r="E95" s="132" t="str">
        <f aca="false">IFERROR(IF(OR(1&gt;$B$3,ISBLANK(Actuals!C111)),"",(Budget!C111-Actuals!C111)/ABS(Budget!C111)),"")</f>
        <v/>
      </c>
      <c r="F95" s="131" t="n">
        <f aca="false">Budget!D111</f>
        <v>0</v>
      </c>
      <c r="G95" s="131" t="str">
        <f aca="false">IF(OR(2&gt;$B$3,ISBLANK(Actuals!D111)),"",Actuals!D111)</f>
        <v/>
      </c>
      <c r="H95" s="132" t="str">
        <f aca="false">IF(OR(2&gt;$B$3,ISBLANK(Actuals!D111)),"",Budget!D111-Actuals!D111)</f>
        <v/>
      </c>
      <c r="I95" s="132" t="str">
        <f aca="false">IFERROR(IF(OR(2&gt;$B$3,ISBLANK(Actuals!D111)),"",(Budget!D111-Actuals!D111)/ABS(Budget!D111)),"")</f>
        <v/>
      </c>
      <c r="J95" s="131" t="n">
        <f aca="false">Budget!E111</f>
        <v>0</v>
      </c>
      <c r="K95" s="131" t="str">
        <f aca="false">IF(OR(3&gt;$B$3,ISBLANK(Actuals!E111)),"",Actuals!E111)</f>
        <v/>
      </c>
      <c r="L95" s="132" t="str">
        <f aca="false">IF(OR(3&gt;$B$3,ISBLANK(Actuals!E111)),"",Budget!E111-Actuals!E111)</f>
        <v/>
      </c>
      <c r="M95" s="132" t="str">
        <f aca="false">IFERROR(IF(OR(3&gt;$B$3,ISBLANK(Actuals!E111)),"",(Budget!E111-Actuals!E111)/ABS(Budget!E111)),"")</f>
        <v/>
      </c>
      <c r="N95" s="131" t="n">
        <f aca="false">Budget!F111</f>
        <v>0</v>
      </c>
      <c r="O95" s="131" t="str">
        <f aca="false">IF(OR(4&gt;$B$3,ISBLANK(Actuals!F111)),"",Actuals!F111)</f>
        <v/>
      </c>
      <c r="P95" s="132" t="str">
        <f aca="false">IF(OR(4&gt;$B$3,ISBLANK(Actuals!F111)),"",Budget!F111-Actuals!F111)</f>
        <v/>
      </c>
      <c r="Q95" s="132" t="str">
        <f aca="false">IFERROR(IF(OR(4&gt;$B$3,ISBLANK(Actuals!F111)),"",(Budget!F111-Actuals!F111)/ABS(Budget!F111)),"")</f>
        <v/>
      </c>
      <c r="R95" s="131" t="n">
        <f aca="false">Budget!G111</f>
        <v>0</v>
      </c>
      <c r="S95" s="131" t="str">
        <f aca="false">IF(OR(5&gt;$B$3,ISBLANK(Actuals!G111)),"",Actuals!G111)</f>
        <v/>
      </c>
      <c r="T95" s="132" t="str">
        <f aca="false">IF(OR(5&gt;$B$3,ISBLANK(Actuals!G111)),"",Budget!G111-Actuals!G111)</f>
        <v/>
      </c>
      <c r="U95" s="132" t="str">
        <f aca="false">IFERROR(IF(OR(5&gt;$B$3,ISBLANK(Actuals!G111)),"",(Budget!G111-Actuals!G111)/ABS(Budget!G111)),"")</f>
        <v/>
      </c>
      <c r="V95" s="131" t="n">
        <f aca="false">Budget!H111</f>
        <v>0</v>
      </c>
      <c r="W95" s="131" t="str">
        <f aca="false">IF(OR(6&gt;$B$3,ISBLANK(Actuals!H111)),"",Actuals!H111)</f>
        <v/>
      </c>
      <c r="X95" s="132" t="str">
        <f aca="false">IF(OR(6&gt;$B$3,ISBLANK(Actuals!H111)),"",Budget!H111-Actuals!H111)</f>
        <v/>
      </c>
      <c r="Y95" s="132" t="str">
        <f aca="false">IFERROR(IF(OR(6&gt;$B$3,ISBLANK(Actuals!H111)),"",(Budget!H111-Actuals!H111)/ABS(Budget!H111)),"")</f>
        <v/>
      </c>
      <c r="Z95" s="131" t="n">
        <f aca="false">Budget!I111</f>
        <v>0</v>
      </c>
      <c r="AA95" s="131" t="str">
        <f aca="false">IF(OR(7&gt;$B$3,ISBLANK(Actuals!I111)),"",Actuals!I111)</f>
        <v/>
      </c>
      <c r="AB95" s="132" t="str">
        <f aca="false">IF(OR(7&gt;$B$3,ISBLANK(Actuals!I111)),"",Budget!I111-Actuals!I111)</f>
        <v/>
      </c>
      <c r="AC95" s="132" t="str">
        <f aca="false">IFERROR(IF(OR(7&gt;$B$3,ISBLANK(Actuals!I111)),"",(Budget!I111-Actuals!I111)/ABS(Budget!I111)),"")</f>
        <v/>
      </c>
      <c r="AD95" s="131" t="n">
        <f aca="false">Budget!J111</f>
        <v>0</v>
      </c>
      <c r="AE95" s="131" t="str">
        <f aca="false">IF(OR(8&gt;$B$3,ISBLANK(Actuals!J111)),"",Actuals!J111)</f>
        <v/>
      </c>
      <c r="AF95" s="132" t="str">
        <f aca="false">IF(OR(8&gt;$B$3,ISBLANK(Actuals!J111)),"",Budget!J111-Actuals!J111)</f>
        <v/>
      </c>
      <c r="AG95" s="132" t="str">
        <f aca="false">IFERROR(IF(OR(8&gt;$B$3,ISBLANK(Actuals!J111)),"",(Budget!J111-Actuals!J111)/ABS(Budget!J111)),"")</f>
        <v/>
      </c>
      <c r="AH95" s="131" t="n">
        <f aca="false">Budget!K111</f>
        <v>0</v>
      </c>
      <c r="AI95" s="131" t="str">
        <f aca="false">IF(OR(9&gt;$B$3,ISBLANK(Actuals!K111)),"",Actuals!K111)</f>
        <v/>
      </c>
      <c r="AJ95" s="132" t="str">
        <f aca="false">IF(OR(9&gt;$B$3,ISBLANK(Actuals!K111)),"",Budget!K111-Actuals!K111)</f>
        <v/>
      </c>
      <c r="AK95" s="132" t="str">
        <f aca="false">IFERROR(IF(OR(9&gt;$B$3,ISBLANK(Actuals!K111)),"",(Budget!K111-Actuals!K111)/ABS(Budget!K111)),"")</f>
        <v/>
      </c>
      <c r="AL95" s="131" t="n">
        <f aca="false">Budget!L111</f>
        <v>0</v>
      </c>
      <c r="AM95" s="131" t="str">
        <f aca="false">IF(OR(10&gt;$B$3,ISBLANK(Actuals!L111)),"",Actuals!L111)</f>
        <v/>
      </c>
      <c r="AN95" s="132" t="str">
        <f aca="false">IF(OR(10&gt;$B$3,ISBLANK(Actuals!L111)),"",Budget!L111-Actuals!L111)</f>
        <v/>
      </c>
      <c r="AO95" s="132" t="str">
        <f aca="false">IFERROR(IF(OR(10&gt;$B$3,ISBLANK(Actuals!L111)),"",(Budget!L111-Actuals!L111)/ABS(Budget!L111)),"")</f>
        <v/>
      </c>
      <c r="AP95" s="131" t="n">
        <f aca="false">Budget!M111</f>
        <v>0</v>
      </c>
      <c r="AQ95" s="131" t="str">
        <f aca="false">IF(OR(11&gt;$B$3,ISBLANK(Actuals!M111)),"",Actuals!M111)</f>
        <v/>
      </c>
      <c r="AR95" s="132" t="str">
        <f aca="false">IF(OR(11&gt;$B$3,ISBLANK(Actuals!M111)),"",Budget!M111-Actuals!M111)</f>
        <v/>
      </c>
      <c r="AS95" s="132" t="str">
        <f aca="false">IFERROR(IF(OR(11&gt;$B$3,ISBLANK(Actuals!M111)),"",(Budget!M111-Actuals!M111)/ABS(Budget!M111)),"")</f>
        <v/>
      </c>
      <c r="AT95" s="131" t="n">
        <f aca="false">Budget!N111</f>
        <v>0</v>
      </c>
      <c r="AU95" s="131" t="str">
        <f aca="false">IF(OR(12&gt;$B$3,ISBLANK(Actuals!N111)),"",Actuals!N111)</f>
        <v/>
      </c>
      <c r="AV95" s="132" t="str">
        <f aca="false">IF(OR(12&gt;$B$3,ISBLANK(Actuals!N111)),"",Budget!N111-Actuals!N111)</f>
        <v/>
      </c>
      <c r="AW95" s="132" t="str">
        <f aca="false">IFERROR(IF(OR(12&gt;$B$3,ISBLANK(Actuals!N111)),"",(Budget!N111-Actuals!N111)/ABS(Budget!N111)),"")</f>
        <v/>
      </c>
      <c r="AX95" s="133" t="n">
        <f aca="false">SUMPRODUCT((Actuals!C111:N111&lt;&gt;"")*(Budget!C111:N111))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518</v>
      </c>
      <c r="B97" s="136" t="n">
        <f aca="false">SUM(B6:B13)+SUM(B15:B95)</f>
        <v>-88218.8299999999</v>
      </c>
      <c r="C97" s="136" t="n">
        <f aca="false">SUM(C6:C13)+SUM(C15:C95)</f>
        <v>-206557.78</v>
      </c>
      <c r="D97" s="136" t="n">
        <f aca="false">SUM(D6:D13)+SUM(D15:D95)</f>
        <v>177022.28</v>
      </c>
      <c r="E97" s="136"/>
      <c r="F97" s="136" t="n">
        <f aca="false">SUM(F6:F13)+SUM(F15:F95)</f>
        <v>-72974.1700000002</v>
      </c>
      <c r="G97" s="136" t="n">
        <f aca="false">SUM(G6:G13)+SUM(G15:G95)</f>
        <v>-469696.73</v>
      </c>
      <c r="H97" s="136" t="n">
        <f aca="false">SUM(H6:H13)+SUM(H15:H95)</f>
        <v>455405.89</v>
      </c>
      <c r="I97" s="136"/>
      <c r="J97" s="136" t="n">
        <f aca="false">SUM(J6:J13)+SUM(J15:J95)</f>
        <v>-57798.7600000001</v>
      </c>
      <c r="K97" s="136" t="n">
        <f aca="false">SUM(K6:K13)+SUM(K15:K95)</f>
        <v>21337.2600000002</v>
      </c>
      <c r="L97" s="136" t="n">
        <f aca="false">SUM(L6:L13)+SUM(L15:L95)</f>
        <v>-20452.6900000003</v>
      </c>
      <c r="M97" s="136"/>
      <c r="N97" s="136" t="n">
        <f aca="false">SUM(N6:N13)+SUM(N15:N95)</f>
        <v>-31421.3600000002</v>
      </c>
      <c r="O97" s="136" t="n">
        <f aca="false">SUM(O6:O13)+SUM(O15:O95)</f>
        <v>212136.55</v>
      </c>
      <c r="P97" s="136" t="n">
        <f aca="false">SUM(P6:P13)+SUM(P15:P95)</f>
        <v>-255432.91</v>
      </c>
      <c r="Q97" s="136"/>
      <c r="R97" s="136" t="n">
        <f aca="false">SUM(R6:R13)+SUM(R15:R95)</f>
        <v>122738.83</v>
      </c>
      <c r="S97" s="136" t="n">
        <f aca="false">SUM(S6:S13)+SUM(S15:S95)</f>
        <v>-188293.09</v>
      </c>
      <c r="T97" s="136" t="n">
        <f aca="false">SUM(T6:T13)+SUM(T15:T95)</f>
        <v>299156.92</v>
      </c>
      <c r="U97" s="136"/>
      <c r="V97" s="136" t="n">
        <f aca="false">SUM(V6:V13)+SUM(V15:V95)</f>
        <v>139414.41</v>
      </c>
      <c r="W97" s="136" t="n">
        <f aca="false">SUM(W6:W13)+SUM(W15:W95)</f>
        <v>449429.350000001</v>
      </c>
      <c r="X97" s="136" t="n">
        <f aca="false">SUM(X6:X13)+SUM(X15:X95)</f>
        <v>-321889.940000001</v>
      </c>
      <c r="Y97" s="136"/>
      <c r="Z97" s="136" t="n">
        <f aca="false">SUM(Z6:Z13)+SUM(Z15:Z95)</f>
        <v>153517.41</v>
      </c>
      <c r="AA97" s="136" t="n">
        <f aca="false">SUM(AA6:AA13)+SUM(AA15:AA95)</f>
        <v>1327689.46</v>
      </c>
      <c r="AB97" s="136" t="n">
        <f aca="false">SUM(AB6:AB13)+SUM(AB15:AB95)</f>
        <v>-1174172.05</v>
      </c>
      <c r="AC97" s="136"/>
      <c r="AD97" s="136" t="n">
        <f aca="false">SUM(AD6:AD13)+SUM(AD15:AD95)</f>
        <v>164629.55</v>
      </c>
      <c r="AE97" s="136" t="n">
        <f aca="false">SUM(AE6:AE13)+SUM(AE15:AE95)</f>
        <v>172720.41</v>
      </c>
      <c r="AF97" s="136" t="n">
        <f aca="false">SUM(AF6:AF13)+SUM(AF15:AF95)</f>
        <v>-8090.86000000005</v>
      </c>
      <c r="AG97" s="136"/>
      <c r="AH97" s="136" t="n">
        <f aca="false">SUM(AH6:AH13)+SUM(AH15:AH95)</f>
        <v>172088.91</v>
      </c>
      <c r="AI97" s="136" t="n">
        <f aca="false">SUM(AI6:AI13)+SUM(AI15:AI95)</f>
        <v>-212630.01</v>
      </c>
      <c r="AJ97" s="136" t="n">
        <f aca="false">SUM(AJ6:AJ13)+SUM(AJ15:AJ95)</f>
        <v>384718.920000001</v>
      </c>
      <c r="AK97" s="136"/>
      <c r="AL97" s="136" t="n">
        <f aca="false">SUM(AL6:AL13)+SUM(AL15:AL95)</f>
        <v>165342.57</v>
      </c>
      <c r="AM97" s="136" t="n">
        <f aca="false">SUM(AM6:AM13)+SUM(AM15:AM95)</f>
        <v>0</v>
      </c>
      <c r="AN97" s="136" t="n">
        <f aca="false">SUM(AN6:AN13)+SUM(AN15:AN95)</f>
        <v>0</v>
      </c>
      <c r="AO97" s="136"/>
      <c r="AP97" s="136" t="n">
        <f aca="false">SUM(AP6:AP13)+SUM(AP15:AP95)</f>
        <v>164759.67</v>
      </c>
      <c r="AQ97" s="136" t="n">
        <f aca="false">SUM(AQ6:AQ13)+SUM(AQ15:AQ95)</f>
        <v>0</v>
      </c>
      <c r="AR97" s="136" t="n">
        <f aca="false">SUM(AR6:AR13)+SUM(AR15:AR95)</f>
        <v>0</v>
      </c>
      <c r="AS97" s="136"/>
      <c r="AT97" s="136" t="n">
        <f aca="false">SUM(AT6:AT13)+SUM(AT15:AT95)</f>
        <v>115877.35</v>
      </c>
      <c r="AU97" s="136" t="n">
        <f aca="false">SUM(AU6:AU13)+SUM(AU15:AU95)</f>
        <v>0</v>
      </c>
      <c r="AV97" s="136" t="n">
        <f aca="false">SUM(AV6:AV13)+SUM(AV15:AV95)</f>
        <v>0</v>
      </c>
      <c r="AW97" s="136"/>
      <c r="AX97" s="136" t="n">
        <f aca="false">SUM(AX6:AX13)+SUM(AX15:AX95)</f>
        <v>978747.09</v>
      </c>
      <c r="AY97" s="136" t="n">
        <f aca="false">SUM(AY6:AY13)+SUM(AY15:AY95)</f>
        <v>1327124.98</v>
      </c>
      <c r="AZ97" s="136" t="n">
        <f aca="false">SUM(AZ6:AZ13)+SUM(AZ15:AZ95)</f>
        <v>-348377.890000004</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519</v>
      </c>
    </row>
    <row r="2" customFormat="false" ht="15" hidden="false" customHeight="true" outlineLevel="0" collapsed="false">
      <c r="A2" s="72" t="s">
        <v>499</v>
      </c>
    </row>
    <row r="3" customFormat="false" ht="15" hidden="false" customHeight="true" outlineLevel="0" collapsed="false">
      <c r="A3" s="1" t="s">
        <v>401</v>
      </c>
      <c r="B3" s="1" t="n">
        <f aca="false">SUMPRODUCT(--(Actuals!$C$21:$N$21&lt;&gt;""))</f>
        <v>9</v>
      </c>
    </row>
    <row r="4" customFormat="false" ht="15" hidden="false" customHeight="true" outlineLevel="0" collapsed="false">
      <c r="B4" s="126" t="s">
        <v>500</v>
      </c>
      <c r="C4" s="126"/>
      <c r="D4" s="126"/>
      <c r="E4" s="126"/>
      <c r="F4" s="126" t="s">
        <v>501</v>
      </c>
      <c r="G4" s="126"/>
      <c r="H4" s="126"/>
      <c r="I4" s="126"/>
      <c r="J4" s="126" t="s">
        <v>502</v>
      </c>
      <c r="K4" s="126"/>
      <c r="L4" s="126"/>
      <c r="M4" s="126"/>
      <c r="N4" s="126" t="s">
        <v>503</v>
      </c>
      <c r="O4" s="126"/>
      <c r="P4" s="126"/>
      <c r="Q4" s="126"/>
      <c r="R4" s="126" t="s">
        <v>504</v>
      </c>
      <c r="S4" s="126"/>
      <c r="T4" s="126"/>
      <c r="U4" s="126"/>
      <c r="V4" s="126" t="s">
        <v>505</v>
      </c>
      <c r="W4" s="126"/>
      <c r="X4" s="126"/>
      <c r="Y4" s="126"/>
      <c r="Z4" s="126" t="s">
        <v>506</v>
      </c>
      <c r="AA4" s="126"/>
      <c r="AB4" s="126"/>
      <c r="AC4" s="126"/>
      <c r="AD4" s="126" t="s">
        <v>507</v>
      </c>
      <c r="AE4" s="126"/>
      <c r="AF4" s="126"/>
      <c r="AG4" s="126"/>
      <c r="AH4" s="126" t="s">
        <v>508</v>
      </c>
      <c r="AI4" s="126"/>
      <c r="AJ4" s="126"/>
      <c r="AK4" s="126"/>
      <c r="AL4" s="126" t="s">
        <v>509</v>
      </c>
      <c r="AM4" s="126"/>
      <c r="AN4" s="126"/>
      <c r="AO4" s="126"/>
      <c r="AP4" s="126" t="s">
        <v>510</v>
      </c>
      <c r="AQ4" s="126"/>
      <c r="AR4" s="126"/>
      <c r="AS4" s="126"/>
      <c r="AT4" s="126" t="s">
        <v>511</v>
      </c>
      <c r="AU4" s="126"/>
      <c r="AV4" s="126"/>
      <c r="AW4" s="126"/>
      <c r="AX4" s="127" t="s">
        <v>512</v>
      </c>
      <c r="AY4" s="127"/>
      <c r="AZ4" s="127"/>
    </row>
    <row r="5" customFormat="false" ht="15" hidden="false" customHeight="true" outlineLevel="0" collapsed="false">
      <c r="A5" s="128" t="s">
        <v>403</v>
      </c>
      <c r="B5" s="128" t="s">
        <v>497</v>
      </c>
      <c r="C5" s="128" t="s">
        <v>404</v>
      </c>
      <c r="D5" s="128" t="s">
        <v>513</v>
      </c>
      <c r="E5" s="128" t="s">
        <v>514</v>
      </c>
      <c r="F5" s="128" t="s">
        <v>497</v>
      </c>
      <c r="G5" s="128" t="s">
        <v>404</v>
      </c>
      <c r="H5" s="128" t="s">
        <v>513</v>
      </c>
      <c r="I5" s="128" t="s">
        <v>514</v>
      </c>
      <c r="J5" s="128" t="s">
        <v>497</v>
      </c>
      <c r="K5" s="128" t="s">
        <v>404</v>
      </c>
      <c r="L5" s="128" t="s">
        <v>513</v>
      </c>
      <c r="M5" s="128" t="s">
        <v>514</v>
      </c>
      <c r="N5" s="128" t="s">
        <v>497</v>
      </c>
      <c r="O5" s="128" t="s">
        <v>404</v>
      </c>
      <c r="P5" s="128" t="s">
        <v>513</v>
      </c>
      <c r="Q5" s="128" t="s">
        <v>514</v>
      </c>
      <c r="R5" s="128" t="s">
        <v>497</v>
      </c>
      <c r="S5" s="128" t="s">
        <v>404</v>
      </c>
      <c r="T5" s="128" t="s">
        <v>513</v>
      </c>
      <c r="U5" s="128" t="s">
        <v>514</v>
      </c>
      <c r="V5" s="128" t="s">
        <v>497</v>
      </c>
      <c r="W5" s="128" t="s">
        <v>404</v>
      </c>
      <c r="X5" s="128" t="s">
        <v>513</v>
      </c>
      <c r="Y5" s="128" t="s">
        <v>514</v>
      </c>
      <c r="Z5" s="128" t="s">
        <v>497</v>
      </c>
      <c r="AA5" s="128" t="s">
        <v>404</v>
      </c>
      <c r="AB5" s="128" t="s">
        <v>513</v>
      </c>
      <c r="AC5" s="128" t="s">
        <v>514</v>
      </c>
      <c r="AD5" s="128" t="s">
        <v>497</v>
      </c>
      <c r="AE5" s="128" t="s">
        <v>404</v>
      </c>
      <c r="AF5" s="128" t="s">
        <v>513</v>
      </c>
      <c r="AG5" s="128" t="s">
        <v>514</v>
      </c>
      <c r="AH5" s="128" t="s">
        <v>497</v>
      </c>
      <c r="AI5" s="128" t="s">
        <v>404</v>
      </c>
      <c r="AJ5" s="128" t="s">
        <v>513</v>
      </c>
      <c r="AK5" s="128" t="s">
        <v>514</v>
      </c>
      <c r="AL5" s="128" t="s">
        <v>497</v>
      </c>
      <c r="AM5" s="128" t="s">
        <v>404</v>
      </c>
      <c r="AN5" s="128" t="s">
        <v>513</v>
      </c>
      <c r="AO5" s="128" t="s">
        <v>514</v>
      </c>
      <c r="AP5" s="128" t="s">
        <v>497</v>
      </c>
      <c r="AQ5" s="128" t="s">
        <v>404</v>
      </c>
      <c r="AR5" s="128" t="s">
        <v>513</v>
      </c>
      <c r="AS5" s="128" t="s">
        <v>514</v>
      </c>
      <c r="AT5" s="128" t="s">
        <v>497</v>
      </c>
      <c r="AU5" s="128" t="s">
        <v>404</v>
      </c>
      <c r="AV5" s="128" t="s">
        <v>513</v>
      </c>
      <c r="AW5" s="128" t="s">
        <v>514</v>
      </c>
      <c r="AX5" s="129" t="s">
        <v>374</v>
      </c>
      <c r="AY5" s="129" t="s">
        <v>375</v>
      </c>
      <c r="AZ5" s="129" t="s">
        <v>515</v>
      </c>
    </row>
    <row r="6" customFormat="false" ht="15" hidden="false" customHeight="true" outlineLevel="0" collapsed="false">
      <c r="A6" s="130" t="s">
        <v>4</v>
      </c>
      <c r="B6" s="131" t="n">
        <f aca="false">'Reforecast Q1 2026'!C8</f>
        <v>116363.3</v>
      </c>
      <c r="C6" s="131" t="n">
        <f aca="false">IF(OR(1&gt;$B$3,ISBLANK(Actuals!C8)),"",Actuals!C8)</f>
        <v>116367.35</v>
      </c>
      <c r="D6" s="132" t="n">
        <f aca="false">IF(OR(1&gt;$B$3,ISBLANK(Actuals!C8)),"",'Reforecast Q1 2026'!C8-Actuals!C8)</f>
        <v>-4.05000000000291</v>
      </c>
      <c r="E6" s="132" t="n">
        <f aca="false">IFERROR(IF(OR(1&gt;$B$3,ISBLANK(Actuals!C8)),"",('Reforecast Q1 2026'!C8-Actuals!C8)/ABS('Reforecast Q1 2026'!C8)),"")</f>
        <v>-3.48047881076156E-005</v>
      </c>
      <c r="F6" s="131" t="n">
        <f aca="false">'Reforecast Q1 2026'!D8</f>
        <v>138801.52</v>
      </c>
      <c r="G6" s="131" t="n">
        <f aca="false">IF(OR(2&gt;$B$3,ISBLANK(Actuals!D8)),"",Actuals!D8)</f>
        <v>138804.22</v>
      </c>
      <c r="H6" s="132" t="n">
        <f aca="false">IF(OR(2&gt;$B$3,ISBLANK(Actuals!D8)),"",'Reforecast Q1 2026'!D8-Actuals!D8)</f>
        <v>-2.70000000001164</v>
      </c>
      <c r="I6" s="132" t="n">
        <f aca="false">IFERROR(IF(OR(2&gt;$B$3,ISBLANK(Actuals!D8)),"",('Reforecast Q1 2026'!D8-Actuals!D8)/ABS('Reforecast Q1 2026'!D8)),"")</f>
        <v>-1.94522365461966E-005</v>
      </c>
      <c r="J6" s="131" t="n">
        <f aca="false">'Reforecast Q1 2026'!E8</f>
        <v>219366.88</v>
      </c>
      <c r="K6" s="131" t="n">
        <f aca="false">IF(OR(3&gt;$B$3,ISBLANK(Actuals!E8)),"",Actuals!E8)</f>
        <v>219366.88</v>
      </c>
      <c r="L6" s="132" t="n">
        <f aca="false">IF(OR(3&gt;$B$3,ISBLANK(Actuals!E8)),"",'Reforecast Q1 2026'!E8-Actuals!E8)</f>
        <v>0</v>
      </c>
      <c r="M6" s="132" t="n">
        <f aca="false">IFERROR(IF(OR(3&gt;$B$3,ISBLANK(Actuals!E8)),"",('Reforecast Q1 2026'!E8-Actuals!E8)/ABS('Reforecast Q1 2026'!E8)),"")</f>
        <v>0</v>
      </c>
      <c r="N6" s="131" t="n">
        <f aca="false">'Reforecast Q1 2026'!F8</f>
        <v>267934.879957489</v>
      </c>
      <c r="O6" s="131" t="n">
        <f aca="false">IF(OR(4&gt;$B$3,ISBLANK(Actuals!F8)),"",Actuals!F8)</f>
        <v>212079.14</v>
      </c>
      <c r="P6" s="132" t="n">
        <f aca="false">IF(OR(4&gt;$B$3,ISBLANK(Actuals!F8)),"",'Reforecast Q1 2026'!F8-Actuals!F8)</f>
        <v>55855.739957489</v>
      </c>
      <c r="Q6" s="132" t="n">
        <f aca="false">IFERROR(IF(OR(4&gt;$B$3,ISBLANK(Actuals!F8)),"",('Reforecast Q1 2026'!F8-Actuals!F8)/ABS('Reforecast Q1 2026'!F8)),"")</f>
        <v>0.208467594687004</v>
      </c>
      <c r="R6" s="131" t="n">
        <f aca="false">'Reforecast Q1 2026'!G8</f>
        <v>267934.879957489</v>
      </c>
      <c r="S6" s="131" t="n">
        <f aca="false">IF(OR(5&gt;$B$3,ISBLANK(Actuals!G8)),"",Actuals!G8)</f>
        <v>267726.14</v>
      </c>
      <c r="T6" s="132" t="n">
        <f aca="false">IF(OR(5&gt;$B$3,ISBLANK(Actuals!G8)),"",'Reforecast Q1 2026'!G8-Actuals!G8)</f>
        <v>208.739957489015</v>
      </c>
      <c r="U6" s="132" t="n">
        <f aca="false">IFERROR(IF(OR(5&gt;$B$3,ISBLANK(Actuals!G8)),"",('Reforecast Q1 2026'!G8-Actuals!G8)/ABS('Reforecast Q1 2026'!G8)),"")</f>
        <v>0.000779069740834542</v>
      </c>
      <c r="V6" s="131" t="n">
        <f aca="false">'Reforecast Q1 2026'!H8</f>
        <v>267934.879957489</v>
      </c>
      <c r="W6" s="131" t="n">
        <f aca="false">IF(OR(6&gt;$B$3,ISBLANK(Actuals!H8)),"",Actuals!H8)</f>
        <v>374773.89</v>
      </c>
      <c r="X6" s="132" t="n">
        <f aca="false">IF(OR(6&gt;$B$3,ISBLANK(Actuals!H8)),"",'Reforecast Q1 2026'!H8-Actuals!H8)</f>
        <v>-106839.010042511</v>
      </c>
      <c r="Y6" s="132" t="n">
        <f aca="false">IFERROR(IF(OR(6&gt;$B$3,ISBLANK(Actuals!H8)),"",('Reforecast Q1 2026'!H8-Actuals!H8)/ABS('Reforecast Q1 2026'!H8)),"")</f>
        <v>-0.398749912887274</v>
      </c>
      <c r="Z6" s="131" t="n">
        <f aca="false">'Reforecast Q1 2026'!I8</f>
        <v>361542.001995889</v>
      </c>
      <c r="AA6" s="131" t="n">
        <f aca="false">IF(OR(7&gt;$B$3,ISBLANK(Actuals!I8)),"",Actuals!I8)</f>
        <v>344954.34</v>
      </c>
      <c r="AB6" s="132" t="n">
        <f aca="false">IF(OR(7&gt;$B$3,ISBLANK(Actuals!I8)),"",'Reforecast Q1 2026'!I8-Actuals!I8)</f>
        <v>16587.661995889</v>
      </c>
      <c r="AC6" s="132" t="n">
        <f aca="false">IFERROR(IF(OR(7&gt;$B$3,ISBLANK(Actuals!I8)),"",('Reforecast Q1 2026'!I8-Actuals!I8)/ABS('Reforecast Q1 2026'!I8)),"")</f>
        <v>0.0458803179279778</v>
      </c>
      <c r="AD6" s="131" t="n">
        <f aca="false">'Reforecast Q1 2026'!J8</f>
        <v>361542.001995889</v>
      </c>
      <c r="AE6" s="131" t="n">
        <f aca="false">IF(OR(8&gt;$B$3,ISBLANK(Actuals!J8)),"",Actuals!J8)</f>
        <v>470819.03</v>
      </c>
      <c r="AF6" s="132" t="n">
        <f aca="false">IF(OR(8&gt;$B$3,ISBLANK(Actuals!J8)),"",'Reforecast Q1 2026'!J8-Actuals!J8)</f>
        <v>-109277.028004111</v>
      </c>
      <c r="AG6" s="132" t="n">
        <f aca="false">IFERROR(IF(OR(8&gt;$B$3,ISBLANK(Actuals!J8)),"",('Reforecast Q1 2026'!J8-Actuals!J8)/ABS('Reforecast Q1 2026'!J8)),"")</f>
        <v>-0.302252649487054</v>
      </c>
      <c r="AH6" s="131" t="n">
        <f aca="false">'Reforecast Q1 2026'!K8</f>
        <v>361542.001995889</v>
      </c>
      <c r="AI6" s="131" t="n">
        <f aca="false">IF(OR(9&gt;$B$3,ISBLANK(Actuals!K8)),"",Actuals!K8)</f>
        <v>424100.15</v>
      </c>
      <c r="AJ6" s="132" t="n">
        <f aca="false">IF(OR(9&gt;$B$3,ISBLANK(Actuals!K8)),"",'Reforecast Q1 2026'!K8-Actuals!K8)</f>
        <v>-62558.148004111</v>
      </c>
      <c r="AK6" s="132" t="n">
        <f aca="false">IFERROR(IF(OR(9&gt;$B$3,ISBLANK(Actuals!K8)),"",('Reforecast Q1 2026'!K8-Actuals!K8)/ABS('Reforecast Q1 2026'!K8)),"")</f>
        <v>-0.173031480875692</v>
      </c>
      <c r="AL6" s="131" t="n">
        <f aca="false">'Reforecast Q1 2026'!L8</f>
        <v>442929.46088908</v>
      </c>
      <c r="AM6" s="131" t="str">
        <f aca="false">IF(OR(10&gt;$B$3,ISBLANK(Actuals!L8)),"",Actuals!L8)</f>
        <v/>
      </c>
      <c r="AN6" s="132" t="str">
        <f aca="false">IF(OR(10&gt;$B$3,ISBLANK(Actuals!L8)),"",'Reforecast Q1 2026'!L8-Actuals!L8)</f>
        <v/>
      </c>
      <c r="AO6" s="132" t="str">
        <f aca="false">IFERROR(IF(OR(10&gt;$B$3,ISBLANK(Actuals!L8)),"",('Reforecast Q1 2026'!L8-Actuals!L8)/ABS('Reforecast Q1 2026'!L8)),"")</f>
        <v/>
      </c>
      <c r="AP6" s="131" t="n">
        <f aca="false">'Reforecast Q1 2026'!M8</f>
        <v>525344.508604757</v>
      </c>
      <c r="AQ6" s="131" t="str">
        <f aca="false">IF(OR(11&gt;$B$3,ISBLANK(Actuals!M8)),"",Actuals!M8)</f>
        <v/>
      </c>
      <c r="AR6" s="132" t="str">
        <f aca="false">IF(OR(11&gt;$B$3,ISBLANK(Actuals!M8)),"",'Reforecast Q1 2026'!M8-Actuals!M8)</f>
        <v/>
      </c>
      <c r="AS6" s="132" t="str">
        <f aca="false">IFERROR(IF(OR(11&gt;$B$3,ISBLANK(Actuals!M8)),"",('Reforecast Q1 2026'!M8-Actuals!M8)/ABS('Reforecast Q1 2026'!M8)),"")</f>
        <v/>
      </c>
      <c r="AT6" s="131" t="n">
        <f aca="false">'Reforecast Q1 2026'!N8</f>
        <v>442616.790480539</v>
      </c>
      <c r="AU6" s="131" t="str">
        <f aca="false">IF(OR(12&gt;$B$3,ISBLANK(Actuals!N8)),"",Actuals!N8)</f>
        <v/>
      </c>
      <c r="AV6" s="132" t="str">
        <f aca="false">IF(OR(12&gt;$B$3,ISBLANK(Actuals!N8)),"",'Reforecast Q1 2026'!N8-Actuals!N8)</f>
        <v/>
      </c>
      <c r="AW6" s="132" t="str">
        <f aca="false">IFERROR(IF(OR(12&gt;$B$3,ISBLANK(Actuals!N8)),"",('Reforecast Q1 2026'!N8-Actuals!N8)/ABS('Reforecast Q1 2026'!N8)),"")</f>
        <v/>
      </c>
      <c r="AX6" s="133" t="n">
        <f aca="false">SUMPRODUCT((Actuals!C8:N8&lt;&gt;"")*('Reforecast Q1 2026'!C8:N8))</f>
        <v>2362962.34586013</v>
      </c>
      <c r="AY6" s="133" t="n">
        <f aca="false">SUM(Actuals!C8:N8)</f>
        <v>2568991.14</v>
      </c>
      <c r="AZ6" s="134" t="n">
        <f aca="false">AX6-AY6</f>
        <v>-206028.794139866</v>
      </c>
    </row>
    <row r="7" customFormat="false" ht="15" hidden="false" customHeight="true" outlineLevel="0" collapsed="false">
      <c r="A7" s="130" t="s">
        <v>354</v>
      </c>
      <c r="B7" s="131" t="n">
        <f aca="false">'Reforecast Q1 2026'!C9</f>
        <v>0</v>
      </c>
      <c r="C7" s="131" t="n">
        <f aca="false">IF(OR(1&gt;$B$3,ISBLANK(Actuals!C9)),"",Actuals!C9)</f>
        <v>0</v>
      </c>
      <c r="D7" s="132" t="n">
        <f aca="false">IF(OR(1&gt;$B$3,ISBLANK(Actuals!C9)),"",'Reforecast Q1 2026'!C9-Actuals!C9)</f>
        <v>0</v>
      </c>
      <c r="E7" s="132" t="str">
        <f aca="false">IFERROR(IF(OR(1&gt;$B$3,ISBLANK(Actuals!C9)),"",('Reforecast Q1 2026'!C9-Actuals!C9)/ABS('Reforecast Q1 2026'!C9)),"")</f>
        <v/>
      </c>
      <c r="F7" s="131" t="n">
        <f aca="false">'Reforecast Q1 2026'!D9</f>
        <v>0</v>
      </c>
      <c r="G7" s="131" t="n">
        <f aca="false">IF(OR(2&gt;$B$3,ISBLANK(Actuals!D9)),"",Actuals!D9)</f>
        <v>0</v>
      </c>
      <c r="H7" s="132" t="n">
        <f aca="false">IF(OR(2&gt;$B$3,ISBLANK(Actuals!D9)),"",'Reforecast Q1 2026'!D9-Actuals!D9)</f>
        <v>0</v>
      </c>
      <c r="I7" s="132" t="str">
        <f aca="false">IFERROR(IF(OR(2&gt;$B$3,ISBLANK(Actuals!D9)),"",('Reforecast Q1 2026'!D9-Actuals!D9)/ABS('Reforecast Q1 2026'!D9)),"")</f>
        <v/>
      </c>
      <c r="J7" s="131" t="n">
        <f aca="false">'Reforecast Q1 2026'!E9</f>
        <v>0</v>
      </c>
      <c r="K7" s="131" t="n">
        <f aca="false">IF(OR(3&gt;$B$3,ISBLANK(Actuals!E9)),"",Actuals!E9)</f>
        <v>0</v>
      </c>
      <c r="L7" s="132" t="n">
        <f aca="false">IF(OR(3&gt;$B$3,ISBLANK(Actuals!E9)),"",'Reforecast Q1 2026'!E9-Actuals!E9)</f>
        <v>0</v>
      </c>
      <c r="M7" s="132" t="str">
        <f aca="false">IFERROR(IF(OR(3&gt;$B$3,ISBLANK(Actuals!E9)),"",('Reforecast Q1 2026'!E9-Actuals!E9)/ABS('Reforecast Q1 2026'!E9)),"")</f>
        <v/>
      </c>
      <c r="N7" s="131" t="n">
        <f aca="false">'Reforecast Q1 2026'!F9</f>
        <v>0</v>
      </c>
      <c r="O7" s="131" t="n">
        <f aca="false">IF(OR(4&gt;$B$3,ISBLANK(Actuals!F9)),"",Actuals!F9)</f>
        <v>0</v>
      </c>
      <c r="P7" s="132" t="n">
        <f aca="false">IF(OR(4&gt;$B$3,ISBLANK(Actuals!F9)),"",'Reforecast Q1 2026'!F9-Actuals!F9)</f>
        <v>0</v>
      </c>
      <c r="Q7" s="132" t="str">
        <f aca="false">IFERROR(IF(OR(4&gt;$B$3,ISBLANK(Actuals!F9)),"",('Reforecast Q1 2026'!F9-Actuals!F9)/ABS('Reforecast Q1 2026'!F9)),"")</f>
        <v/>
      </c>
      <c r="R7" s="131" t="n">
        <f aca="false">'Reforecast Q1 2026'!G9</f>
        <v>0</v>
      </c>
      <c r="S7" s="131" t="n">
        <f aca="false">IF(OR(5&gt;$B$3,ISBLANK(Actuals!G9)),"",Actuals!G9)</f>
        <v>0</v>
      </c>
      <c r="T7" s="132" t="n">
        <f aca="false">IF(OR(5&gt;$B$3,ISBLANK(Actuals!G9)),"",'Reforecast Q1 2026'!G9-Actuals!G9)</f>
        <v>0</v>
      </c>
      <c r="U7" s="132" t="str">
        <f aca="false">IFERROR(IF(OR(5&gt;$B$3,ISBLANK(Actuals!G9)),"",('Reforecast Q1 2026'!G9-Actuals!G9)/ABS('Reforecast Q1 2026'!G9)),"")</f>
        <v/>
      </c>
      <c r="V7" s="131" t="n">
        <f aca="false">'Reforecast Q1 2026'!H9</f>
        <v>0</v>
      </c>
      <c r="W7" s="131" t="n">
        <f aca="false">IF(OR(6&gt;$B$3,ISBLANK(Actuals!H9)),"",Actuals!H9)</f>
        <v>0</v>
      </c>
      <c r="X7" s="132" t="n">
        <f aca="false">IF(OR(6&gt;$B$3,ISBLANK(Actuals!H9)),"",'Reforecast Q1 2026'!H9-Actuals!H9)</f>
        <v>0</v>
      </c>
      <c r="Y7" s="132" t="str">
        <f aca="false">IFERROR(IF(OR(6&gt;$B$3,ISBLANK(Actuals!H9)),"",('Reforecast Q1 2026'!H9-Actuals!H9)/ABS('Reforecast Q1 2026'!H9)),"")</f>
        <v/>
      </c>
      <c r="Z7" s="131" t="n">
        <f aca="false">'Reforecast Q1 2026'!I9</f>
        <v>0</v>
      </c>
      <c r="AA7" s="131" t="n">
        <f aca="false">IF(OR(7&gt;$B$3,ISBLANK(Actuals!I9)),"",Actuals!I9)</f>
        <v>0</v>
      </c>
      <c r="AB7" s="132" t="n">
        <f aca="false">IF(OR(7&gt;$B$3,ISBLANK(Actuals!I9)),"",'Reforecast Q1 2026'!I9-Actuals!I9)</f>
        <v>0</v>
      </c>
      <c r="AC7" s="132" t="str">
        <f aca="false">IFERROR(IF(OR(7&gt;$B$3,ISBLANK(Actuals!I9)),"",('Reforecast Q1 2026'!I9-Actuals!I9)/ABS('Reforecast Q1 2026'!I9)),"")</f>
        <v/>
      </c>
      <c r="AD7" s="131" t="n">
        <f aca="false">'Reforecast Q1 2026'!J9</f>
        <v>0</v>
      </c>
      <c r="AE7" s="131" t="n">
        <f aca="false">IF(OR(8&gt;$B$3,ISBLANK(Actuals!J9)),"",Actuals!J9)</f>
        <v>0</v>
      </c>
      <c r="AF7" s="132" t="n">
        <f aca="false">IF(OR(8&gt;$B$3,ISBLANK(Actuals!J9)),"",'Reforecast Q1 2026'!J9-Actuals!J9)</f>
        <v>0</v>
      </c>
      <c r="AG7" s="132" t="str">
        <f aca="false">IFERROR(IF(OR(8&gt;$B$3,ISBLANK(Actuals!J9)),"",('Reforecast Q1 2026'!J9-Actuals!J9)/ABS('Reforecast Q1 2026'!J9)),"")</f>
        <v/>
      </c>
      <c r="AH7" s="131" t="n">
        <f aca="false">'Reforecast Q1 2026'!K9</f>
        <v>0</v>
      </c>
      <c r="AI7" s="131" t="n">
        <f aca="false">IF(OR(9&gt;$B$3,ISBLANK(Actuals!K9)),"",Actuals!K9)</f>
        <v>0</v>
      </c>
      <c r="AJ7" s="132" t="n">
        <f aca="false">IF(OR(9&gt;$B$3,ISBLANK(Actuals!K9)),"",'Reforecast Q1 2026'!K9-Actuals!K9)</f>
        <v>0</v>
      </c>
      <c r="AK7" s="132" t="str">
        <f aca="false">IFERROR(IF(OR(9&gt;$B$3,ISBLANK(Actuals!K9)),"",('Reforecast Q1 2026'!K9-Actuals!K9)/ABS('Reforecast Q1 2026'!K9)),"")</f>
        <v/>
      </c>
      <c r="AL7" s="131" t="n">
        <f aca="false">'Reforecast Q1 2026'!L9</f>
        <v>0</v>
      </c>
      <c r="AM7" s="131" t="str">
        <f aca="false">IF(OR(10&gt;$B$3,ISBLANK(Actuals!L9)),"",Actuals!L9)</f>
        <v/>
      </c>
      <c r="AN7" s="132" t="str">
        <f aca="false">IF(OR(10&gt;$B$3,ISBLANK(Actuals!L9)),"",'Reforecast Q1 2026'!L9-Actuals!L9)</f>
        <v/>
      </c>
      <c r="AO7" s="132" t="str">
        <f aca="false">IFERROR(IF(OR(10&gt;$B$3,ISBLANK(Actuals!L9)),"",('Reforecast Q1 2026'!L9-Actuals!L9)/ABS('Reforecast Q1 2026'!L9)),"")</f>
        <v/>
      </c>
      <c r="AP7" s="131" t="n">
        <f aca="false">'Reforecast Q1 2026'!M9</f>
        <v>0</v>
      </c>
      <c r="AQ7" s="131" t="str">
        <f aca="false">IF(OR(11&gt;$B$3,ISBLANK(Actuals!M9)),"",Actuals!M9)</f>
        <v/>
      </c>
      <c r="AR7" s="132" t="str">
        <f aca="false">IF(OR(11&gt;$B$3,ISBLANK(Actuals!M9)),"",'Reforecast Q1 2026'!M9-Actuals!M9)</f>
        <v/>
      </c>
      <c r="AS7" s="132" t="str">
        <f aca="false">IFERROR(IF(OR(11&gt;$B$3,ISBLANK(Actuals!M9)),"",('Reforecast Q1 2026'!M9-Actuals!M9)/ABS('Reforecast Q1 2026'!M9)),"")</f>
        <v/>
      </c>
      <c r="AT7" s="131" t="n">
        <f aca="false">'Reforecast Q1 2026'!N9</f>
        <v>0</v>
      </c>
      <c r="AU7" s="131" t="str">
        <f aca="false">IF(OR(12&gt;$B$3,ISBLANK(Actuals!N9)),"",Actuals!N9)</f>
        <v/>
      </c>
      <c r="AV7" s="132" t="str">
        <f aca="false">IF(OR(12&gt;$B$3,ISBLANK(Actuals!N9)),"",'Reforecast Q1 2026'!N9-Actuals!N9)</f>
        <v/>
      </c>
      <c r="AW7" s="132" t="str">
        <f aca="false">IFERROR(IF(OR(12&gt;$B$3,ISBLANK(Actuals!N9)),"",('Reforecast Q1 2026'!N9-Actuals!N9)/ABS('Reforecast Q1 2026'!N9)),"")</f>
        <v/>
      </c>
      <c r="AX7" s="133" t="n">
        <f aca="false">SUMPRODUCT((Actuals!C9:N9&lt;&gt;"")*('Reforecast Q1 2026'!C9:N9))</f>
        <v>0</v>
      </c>
      <c r="AY7" s="133" t="n">
        <f aca="false">SUM(Actuals!C9:N9)</f>
        <v>0</v>
      </c>
      <c r="AZ7" s="134" t="n">
        <f aca="false">AX7-AY7</f>
        <v>0</v>
      </c>
    </row>
    <row r="8" customFormat="false" ht="15" hidden="false" customHeight="true" outlineLevel="0" collapsed="false">
      <c r="A8" s="130" t="s">
        <v>5</v>
      </c>
      <c r="B8" s="131" t="n">
        <f aca="false">'Reforecast Q1 2026'!C10</f>
        <v>95370.25</v>
      </c>
      <c r="C8" s="131" t="n">
        <f aca="false">IF(OR(1&gt;$B$3,ISBLANK(Actuals!C10)),"",Actuals!C10)</f>
        <v>95370.25</v>
      </c>
      <c r="D8" s="132" t="n">
        <f aca="false">IF(OR(1&gt;$B$3,ISBLANK(Actuals!C10)),"",'Reforecast Q1 2026'!C10-Actuals!C10)</f>
        <v>0</v>
      </c>
      <c r="E8" s="132" t="n">
        <f aca="false">IFERROR(IF(OR(1&gt;$B$3,ISBLANK(Actuals!C10)),"",('Reforecast Q1 2026'!C10-Actuals!C10)/ABS('Reforecast Q1 2026'!C10)),"")</f>
        <v>0</v>
      </c>
      <c r="F8" s="131" t="n">
        <f aca="false">'Reforecast Q1 2026'!D10</f>
        <v>173282.89</v>
      </c>
      <c r="G8" s="131" t="n">
        <f aca="false">IF(OR(2&gt;$B$3,ISBLANK(Actuals!D10)),"",Actuals!D10)</f>
        <v>173282.89</v>
      </c>
      <c r="H8" s="132" t="n">
        <f aca="false">IF(OR(2&gt;$B$3,ISBLANK(Actuals!D10)),"",'Reforecast Q1 2026'!D10-Actuals!D10)</f>
        <v>0</v>
      </c>
      <c r="I8" s="132" t="n">
        <f aca="false">IFERROR(IF(OR(2&gt;$B$3,ISBLANK(Actuals!D10)),"",('Reforecast Q1 2026'!D10-Actuals!D10)/ABS('Reforecast Q1 2026'!D10)),"")</f>
        <v>0</v>
      </c>
      <c r="J8" s="131" t="n">
        <f aca="false">'Reforecast Q1 2026'!E10</f>
        <v>50438.85</v>
      </c>
      <c r="K8" s="131" t="n">
        <f aca="false">IF(OR(3&gt;$B$3,ISBLANK(Actuals!E10)),"",Actuals!E10)</f>
        <v>50438.85</v>
      </c>
      <c r="L8" s="132" t="n">
        <f aca="false">IF(OR(3&gt;$B$3,ISBLANK(Actuals!E10)),"",'Reforecast Q1 2026'!E10-Actuals!E10)</f>
        <v>0</v>
      </c>
      <c r="M8" s="132" t="n">
        <f aca="false">IFERROR(IF(OR(3&gt;$B$3,ISBLANK(Actuals!E10)),"",('Reforecast Q1 2026'!E10-Actuals!E10)/ABS('Reforecast Q1 2026'!E10)),"")</f>
        <v>0</v>
      </c>
      <c r="N8" s="131" t="n">
        <f aca="false">'Reforecast Q1 2026'!F10</f>
        <v>200950.186296774</v>
      </c>
      <c r="O8" s="131" t="n">
        <f aca="false">IF(OR(4&gt;$B$3,ISBLANK(Actuals!F10)),"",Actuals!F10)</f>
        <v>167518.85</v>
      </c>
      <c r="P8" s="132" t="n">
        <f aca="false">IF(OR(4&gt;$B$3,ISBLANK(Actuals!F10)),"",'Reforecast Q1 2026'!F10-Actuals!F10)</f>
        <v>33431.336296774</v>
      </c>
      <c r="Q8" s="132" t="n">
        <f aca="false">IFERROR(IF(OR(4&gt;$B$3,ISBLANK(Actuals!F10)),"",('Reforecast Q1 2026'!F10-Actuals!F10)/ABS('Reforecast Q1 2026'!F10)),"")</f>
        <v>0.166366286654747</v>
      </c>
      <c r="R8" s="131" t="n">
        <f aca="false">'Reforecast Q1 2026'!G10</f>
        <v>200950.186296774</v>
      </c>
      <c r="S8" s="131" t="n">
        <f aca="false">IF(OR(5&gt;$B$3,ISBLANK(Actuals!G10)),"",Actuals!G10)</f>
        <v>209057.26</v>
      </c>
      <c r="T8" s="132" t="n">
        <f aca="false">IF(OR(5&gt;$B$3,ISBLANK(Actuals!G10)),"",'Reforecast Q1 2026'!G10-Actuals!G10)</f>
        <v>-8107.07370322602</v>
      </c>
      <c r="U8" s="132" t="n">
        <f aca="false">IFERROR(IF(OR(5&gt;$B$3,ISBLANK(Actuals!G10)),"",('Reforecast Q1 2026'!G10-Actuals!G10)/ABS('Reforecast Q1 2026'!G10)),"")</f>
        <v>-0.0403436983693713</v>
      </c>
      <c r="V8" s="131" t="n">
        <f aca="false">'Reforecast Q1 2026'!H10</f>
        <v>200950.186296774</v>
      </c>
      <c r="W8" s="131" t="n">
        <f aca="false">IF(OR(6&gt;$B$3,ISBLANK(Actuals!H10)),"",Actuals!H10)</f>
        <v>292966.36</v>
      </c>
      <c r="X8" s="132" t="n">
        <f aca="false">IF(OR(6&gt;$B$3,ISBLANK(Actuals!H10)),"",'Reforecast Q1 2026'!H10-Actuals!H10)</f>
        <v>-92016.173703226</v>
      </c>
      <c r="Y8" s="132" t="n">
        <f aca="false">IFERROR(IF(OR(6&gt;$B$3,ISBLANK(Actuals!H10)),"",('Reforecast Q1 2026'!H10-Actuals!H10)/ABS('Reforecast Q1 2026'!H10)),"")</f>
        <v>-0.45790539137561</v>
      </c>
      <c r="Z8" s="131" t="n">
        <f aca="false">'Reforecast Q1 2026'!I10</f>
        <v>271155.187658694</v>
      </c>
      <c r="AA8" s="131" t="n">
        <f aca="false">IF(OR(7&gt;$B$3,ISBLANK(Actuals!I10)),"",Actuals!I10)</f>
        <v>271584.24</v>
      </c>
      <c r="AB8" s="132" t="n">
        <f aca="false">IF(OR(7&gt;$B$3,ISBLANK(Actuals!I10)),"",'Reforecast Q1 2026'!I10-Actuals!I10)</f>
        <v>-429.052341306</v>
      </c>
      <c r="AC8" s="132" t="n">
        <f aca="false">IFERROR(IF(OR(7&gt;$B$3,ISBLANK(Actuals!I10)),"",('Reforecast Q1 2026'!I10-Actuals!I10)/ABS('Reforecast Q1 2026'!I10)),"")</f>
        <v>-0.00158231286301648</v>
      </c>
      <c r="AD8" s="131" t="n">
        <f aca="false">'Reforecast Q1 2026'!J10</f>
        <v>271155.187658694</v>
      </c>
      <c r="AE8" s="131" t="n">
        <f aca="false">IF(OR(8&gt;$B$3,ISBLANK(Actuals!J10)),"",Actuals!J10)</f>
        <v>289785.36</v>
      </c>
      <c r="AF8" s="132" t="n">
        <f aca="false">IF(OR(8&gt;$B$3,ISBLANK(Actuals!J10)),"",'Reforecast Q1 2026'!J10-Actuals!J10)</f>
        <v>-18630.172341306</v>
      </c>
      <c r="AG8" s="132" t="n">
        <f aca="false">IFERROR(IF(OR(8&gt;$B$3,ISBLANK(Actuals!J10)),"",('Reforecast Q1 2026'!J10-Actuals!J10)/ABS('Reforecast Q1 2026'!J10)),"")</f>
        <v>-0.0687066786446881</v>
      </c>
      <c r="AH8" s="131" t="n">
        <f aca="false">'Reforecast Q1 2026'!K10</f>
        <v>271155.187658694</v>
      </c>
      <c r="AI8" s="131" t="n">
        <f aca="false">IF(OR(9&gt;$B$3,ISBLANK(Actuals!K10)),"",Actuals!K10)</f>
        <v>325922.51</v>
      </c>
      <c r="AJ8" s="132" t="n">
        <f aca="false">IF(OR(9&gt;$B$3,ISBLANK(Actuals!K10)),"",'Reforecast Q1 2026'!K10-Actuals!K10)</f>
        <v>-54767.322341306</v>
      </c>
      <c r="AK8" s="132" t="n">
        <f aca="false">IFERROR(IF(OR(9&gt;$B$3,ISBLANK(Actuals!K10)),"",('Reforecast Q1 2026'!K10-Actuals!K10)/ABS('Reforecast Q1 2026'!K10)),"")</f>
        <v>-0.20197777816533</v>
      </c>
      <c r="AL8" s="131" t="n">
        <f aca="false">'Reforecast Q1 2026'!L10</f>
        <v>332195.486067781</v>
      </c>
      <c r="AM8" s="131" t="str">
        <f aca="false">IF(OR(10&gt;$B$3,ISBLANK(Actuals!L10)),"",Actuals!L10)</f>
        <v/>
      </c>
      <c r="AN8" s="132" t="str">
        <f aca="false">IF(OR(10&gt;$B$3,ISBLANK(Actuals!L10)),"",'Reforecast Q1 2026'!L10-Actuals!L10)</f>
        <v/>
      </c>
      <c r="AO8" s="132" t="str">
        <f aca="false">IFERROR(IF(OR(10&gt;$B$3,ISBLANK(Actuals!L10)),"",('Reforecast Q1 2026'!L10-Actuals!L10)/ABS('Reforecast Q1 2026'!L10)),"")</f>
        <v/>
      </c>
      <c r="AP8" s="131" t="n">
        <f aca="false">'Reforecast Q1 2026'!M10</f>
        <v>394006.472359489</v>
      </c>
      <c r="AQ8" s="131" t="str">
        <f aca="false">IF(OR(11&gt;$B$3,ISBLANK(Actuals!M10)),"",Actuals!M10)</f>
        <v/>
      </c>
      <c r="AR8" s="132" t="str">
        <f aca="false">IF(OR(11&gt;$B$3,ISBLANK(Actuals!M10)),"",'Reforecast Q1 2026'!M10-Actuals!M10)</f>
        <v/>
      </c>
      <c r="AS8" s="132" t="str">
        <f aca="false">IFERROR(IF(OR(11&gt;$B$3,ISBLANK(Actuals!M10)),"",('Reforecast Q1 2026'!M10-Actuals!M10)/ABS('Reforecast Q1 2026'!M10)),"")</f>
        <v/>
      </c>
      <c r="AT8" s="131" t="n">
        <f aca="false">'Reforecast Q1 2026'!N10</f>
        <v>331960.984397614</v>
      </c>
      <c r="AU8" s="131" t="str">
        <f aca="false">IF(OR(12&gt;$B$3,ISBLANK(Actuals!N10)),"",Actuals!N10)</f>
        <v/>
      </c>
      <c r="AV8" s="132" t="str">
        <f aca="false">IF(OR(12&gt;$B$3,ISBLANK(Actuals!N10)),"",'Reforecast Q1 2026'!N10-Actuals!N10)</f>
        <v/>
      </c>
      <c r="AW8" s="132" t="str">
        <f aca="false">IFERROR(IF(OR(12&gt;$B$3,ISBLANK(Actuals!N10)),"",('Reforecast Q1 2026'!N10-Actuals!N10)/ABS('Reforecast Q1 2026'!N10)),"")</f>
        <v/>
      </c>
      <c r="AX8" s="133" t="n">
        <f aca="false">SUMPRODUCT((Actuals!C10:N10&lt;&gt;"")*('Reforecast Q1 2026'!C10:N10))</f>
        <v>1735408.1118664</v>
      </c>
      <c r="AY8" s="133" t="n">
        <f aca="false">SUM(Actuals!C10:N10)</f>
        <v>1875926.57</v>
      </c>
      <c r="AZ8" s="134" t="n">
        <f aca="false">AX8-AY8</f>
        <v>-140518.458133596</v>
      </c>
    </row>
    <row r="9" customFormat="false" ht="15" hidden="false" customHeight="true" outlineLevel="0" collapsed="false">
      <c r="A9" s="130" t="s">
        <v>355</v>
      </c>
      <c r="B9" s="131" t="n">
        <f aca="false">'Reforecast Q1 2026'!C11</f>
        <v>0</v>
      </c>
      <c r="C9" s="131" t="n">
        <f aca="false">IF(OR(1&gt;$B$3,ISBLANK(Actuals!C11)),"",Actuals!C11)</f>
        <v>0</v>
      </c>
      <c r="D9" s="132" t="n">
        <f aca="false">IF(OR(1&gt;$B$3,ISBLANK(Actuals!C11)),"",'Reforecast Q1 2026'!C11-Actuals!C11)</f>
        <v>0</v>
      </c>
      <c r="E9" s="132" t="str">
        <f aca="false">IFERROR(IF(OR(1&gt;$B$3,ISBLANK(Actuals!C11)),"",('Reforecast Q1 2026'!C11-Actuals!C11)/ABS('Reforecast Q1 2026'!C11)),"")</f>
        <v/>
      </c>
      <c r="F9" s="131" t="n">
        <f aca="false">'Reforecast Q1 2026'!D11</f>
        <v>0</v>
      </c>
      <c r="G9" s="131" t="n">
        <f aca="false">IF(OR(2&gt;$B$3,ISBLANK(Actuals!D11)),"",Actuals!D11)</f>
        <v>0</v>
      </c>
      <c r="H9" s="132" t="n">
        <f aca="false">IF(OR(2&gt;$B$3,ISBLANK(Actuals!D11)),"",'Reforecast Q1 2026'!D11-Actuals!D11)</f>
        <v>0</v>
      </c>
      <c r="I9" s="132" t="str">
        <f aca="false">IFERROR(IF(OR(2&gt;$B$3,ISBLANK(Actuals!D11)),"",('Reforecast Q1 2026'!D11-Actuals!D11)/ABS('Reforecast Q1 2026'!D11)),"")</f>
        <v/>
      </c>
      <c r="J9" s="131" t="n">
        <f aca="false">'Reforecast Q1 2026'!E11</f>
        <v>0</v>
      </c>
      <c r="K9" s="131" t="n">
        <f aca="false">IF(OR(3&gt;$B$3,ISBLANK(Actuals!E11)),"",Actuals!E11)</f>
        <v>0</v>
      </c>
      <c r="L9" s="132" t="n">
        <f aca="false">IF(OR(3&gt;$B$3,ISBLANK(Actuals!E11)),"",'Reforecast Q1 2026'!E11-Actuals!E11)</f>
        <v>0</v>
      </c>
      <c r="M9" s="132" t="str">
        <f aca="false">IFERROR(IF(OR(3&gt;$B$3,ISBLANK(Actuals!E11)),"",('Reforecast Q1 2026'!E11-Actuals!E11)/ABS('Reforecast Q1 2026'!E11)),"")</f>
        <v/>
      </c>
      <c r="N9" s="131" t="n">
        <f aca="false">'Reforecast Q1 2026'!F11</f>
        <v>0</v>
      </c>
      <c r="O9" s="131" t="n">
        <f aca="false">IF(OR(4&gt;$B$3,ISBLANK(Actuals!F11)),"",Actuals!F11)</f>
        <v>0</v>
      </c>
      <c r="P9" s="132" t="n">
        <f aca="false">IF(OR(4&gt;$B$3,ISBLANK(Actuals!F11)),"",'Reforecast Q1 2026'!F11-Actuals!F11)</f>
        <v>0</v>
      </c>
      <c r="Q9" s="132" t="str">
        <f aca="false">IFERROR(IF(OR(4&gt;$B$3,ISBLANK(Actuals!F11)),"",('Reforecast Q1 2026'!F11-Actuals!F11)/ABS('Reforecast Q1 2026'!F11)),"")</f>
        <v/>
      </c>
      <c r="R9" s="131" t="n">
        <f aca="false">'Reforecast Q1 2026'!G11</f>
        <v>0</v>
      </c>
      <c r="S9" s="131" t="n">
        <f aca="false">IF(OR(5&gt;$B$3,ISBLANK(Actuals!G11)),"",Actuals!G11)</f>
        <v>0</v>
      </c>
      <c r="T9" s="132" t="n">
        <f aca="false">IF(OR(5&gt;$B$3,ISBLANK(Actuals!G11)),"",'Reforecast Q1 2026'!G11-Actuals!G11)</f>
        <v>0</v>
      </c>
      <c r="U9" s="132" t="str">
        <f aca="false">IFERROR(IF(OR(5&gt;$B$3,ISBLANK(Actuals!G11)),"",('Reforecast Q1 2026'!G11-Actuals!G11)/ABS('Reforecast Q1 2026'!G11)),"")</f>
        <v/>
      </c>
      <c r="V9" s="131" t="n">
        <f aca="false">'Reforecast Q1 2026'!H11</f>
        <v>0</v>
      </c>
      <c r="W9" s="131" t="n">
        <f aca="false">IF(OR(6&gt;$B$3,ISBLANK(Actuals!H11)),"",Actuals!H11)</f>
        <v>0</v>
      </c>
      <c r="X9" s="132" t="n">
        <f aca="false">IF(OR(6&gt;$B$3,ISBLANK(Actuals!H11)),"",'Reforecast Q1 2026'!H11-Actuals!H11)</f>
        <v>0</v>
      </c>
      <c r="Y9" s="132" t="str">
        <f aca="false">IFERROR(IF(OR(6&gt;$B$3,ISBLANK(Actuals!H11)),"",('Reforecast Q1 2026'!H11-Actuals!H11)/ABS('Reforecast Q1 2026'!H11)),"")</f>
        <v/>
      </c>
      <c r="Z9" s="131" t="n">
        <f aca="false">'Reforecast Q1 2026'!I11</f>
        <v>0</v>
      </c>
      <c r="AA9" s="131" t="n">
        <f aca="false">IF(OR(7&gt;$B$3,ISBLANK(Actuals!I11)),"",Actuals!I11)</f>
        <v>0</v>
      </c>
      <c r="AB9" s="132" t="n">
        <f aca="false">IF(OR(7&gt;$B$3,ISBLANK(Actuals!I11)),"",'Reforecast Q1 2026'!I11-Actuals!I11)</f>
        <v>0</v>
      </c>
      <c r="AC9" s="132" t="str">
        <f aca="false">IFERROR(IF(OR(7&gt;$B$3,ISBLANK(Actuals!I11)),"",('Reforecast Q1 2026'!I11-Actuals!I11)/ABS('Reforecast Q1 2026'!I11)),"")</f>
        <v/>
      </c>
      <c r="AD9" s="131" t="n">
        <f aca="false">'Reforecast Q1 2026'!J11</f>
        <v>0</v>
      </c>
      <c r="AE9" s="131" t="n">
        <f aca="false">IF(OR(8&gt;$B$3,ISBLANK(Actuals!J11)),"",Actuals!J11)</f>
        <v>0</v>
      </c>
      <c r="AF9" s="132" t="n">
        <f aca="false">IF(OR(8&gt;$B$3,ISBLANK(Actuals!J11)),"",'Reforecast Q1 2026'!J11-Actuals!J11)</f>
        <v>0</v>
      </c>
      <c r="AG9" s="132" t="str">
        <f aca="false">IFERROR(IF(OR(8&gt;$B$3,ISBLANK(Actuals!J11)),"",('Reforecast Q1 2026'!J11-Actuals!J11)/ABS('Reforecast Q1 2026'!J11)),"")</f>
        <v/>
      </c>
      <c r="AH9" s="131" t="n">
        <f aca="false">'Reforecast Q1 2026'!K11</f>
        <v>0</v>
      </c>
      <c r="AI9" s="131" t="n">
        <f aca="false">IF(OR(9&gt;$B$3,ISBLANK(Actuals!K11)),"",Actuals!K11)</f>
        <v>0</v>
      </c>
      <c r="AJ9" s="132" t="n">
        <f aca="false">IF(OR(9&gt;$B$3,ISBLANK(Actuals!K11)),"",'Reforecast Q1 2026'!K11-Actuals!K11)</f>
        <v>0</v>
      </c>
      <c r="AK9" s="132" t="str">
        <f aca="false">IFERROR(IF(OR(9&gt;$B$3,ISBLANK(Actuals!K11)),"",('Reforecast Q1 2026'!K11-Actuals!K11)/ABS('Reforecast Q1 2026'!K11)),"")</f>
        <v/>
      </c>
      <c r="AL9" s="131" t="n">
        <f aca="false">'Reforecast Q1 2026'!L11</f>
        <v>0</v>
      </c>
      <c r="AM9" s="131" t="str">
        <f aca="false">IF(OR(10&gt;$B$3,ISBLANK(Actuals!L11)),"",Actuals!L11)</f>
        <v/>
      </c>
      <c r="AN9" s="132" t="str">
        <f aca="false">IF(OR(10&gt;$B$3,ISBLANK(Actuals!L11)),"",'Reforecast Q1 2026'!L11-Actuals!L11)</f>
        <v/>
      </c>
      <c r="AO9" s="132" t="str">
        <f aca="false">IFERROR(IF(OR(10&gt;$B$3,ISBLANK(Actuals!L11)),"",('Reforecast Q1 2026'!L11-Actuals!L11)/ABS('Reforecast Q1 2026'!L11)),"")</f>
        <v/>
      </c>
      <c r="AP9" s="131" t="n">
        <f aca="false">'Reforecast Q1 2026'!M11</f>
        <v>0</v>
      </c>
      <c r="AQ9" s="131" t="str">
        <f aca="false">IF(OR(11&gt;$B$3,ISBLANK(Actuals!M11)),"",Actuals!M11)</f>
        <v/>
      </c>
      <c r="AR9" s="132" t="str">
        <f aca="false">IF(OR(11&gt;$B$3,ISBLANK(Actuals!M11)),"",'Reforecast Q1 2026'!M11-Actuals!M11)</f>
        <v/>
      </c>
      <c r="AS9" s="132" t="str">
        <f aca="false">IFERROR(IF(OR(11&gt;$B$3,ISBLANK(Actuals!M11)),"",('Reforecast Q1 2026'!M11-Actuals!M11)/ABS('Reforecast Q1 2026'!M11)),"")</f>
        <v/>
      </c>
      <c r="AT9" s="131" t="n">
        <f aca="false">'Reforecast Q1 2026'!N11</f>
        <v>0</v>
      </c>
      <c r="AU9" s="131" t="str">
        <f aca="false">IF(OR(12&gt;$B$3,ISBLANK(Actuals!N11)),"",Actuals!N11)</f>
        <v/>
      </c>
      <c r="AV9" s="132" t="str">
        <f aca="false">IF(OR(12&gt;$B$3,ISBLANK(Actuals!N11)),"",'Reforecast Q1 2026'!N11-Actuals!N11)</f>
        <v/>
      </c>
      <c r="AW9" s="132" t="str">
        <f aca="false">IFERROR(IF(OR(12&gt;$B$3,ISBLANK(Actuals!N11)),"",('Reforecast Q1 2026'!N11-Actuals!N11)/ABS('Reforecast Q1 2026'!N11)),"")</f>
        <v/>
      </c>
      <c r="AX9" s="133" t="n">
        <f aca="false">SUMPRODUCT((Actuals!C11:N11&lt;&gt;"")*('Reforecast Q1 2026'!C11:N11))</f>
        <v>0</v>
      </c>
      <c r="AY9" s="133" t="n">
        <f aca="false">SUM(Actuals!C11:N11)</f>
        <v>0</v>
      </c>
      <c r="AZ9" s="134" t="n">
        <f aca="false">AX9-AY9</f>
        <v>0</v>
      </c>
    </row>
    <row r="10" customFormat="false" ht="15" hidden="false" customHeight="true" outlineLevel="0" collapsed="false">
      <c r="A10" s="130" t="s">
        <v>6</v>
      </c>
      <c r="B10" s="131" t="n">
        <f aca="false">'Reforecast Q1 2026'!C12</f>
        <v>1242053.19</v>
      </c>
      <c r="C10" s="131" t="n">
        <f aca="false">IF(OR(1&gt;$B$3,ISBLANK(Actuals!C12)),"",Actuals!C12)</f>
        <v>1242053.19</v>
      </c>
      <c r="D10" s="132" t="n">
        <f aca="false">IF(OR(1&gt;$B$3,ISBLANK(Actuals!C12)),"",'Reforecast Q1 2026'!C12-Actuals!C12)</f>
        <v>0</v>
      </c>
      <c r="E10" s="132" t="n">
        <f aca="false">IFERROR(IF(OR(1&gt;$B$3,ISBLANK(Actuals!C12)),"",('Reforecast Q1 2026'!C12-Actuals!C12)/ABS('Reforecast Q1 2026'!C12)),"")</f>
        <v>0</v>
      </c>
      <c r="F10" s="131" t="n">
        <f aca="false">'Reforecast Q1 2026'!D12</f>
        <v>2710434.48</v>
      </c>
      <c r="G10" s="131" t="n">
        <f aca="false">IF(OR(2&gt;$B$3,ISBLANK(Actuals!D12)),"",Actuals!D12)</f>
        <v>2710434.48</v>
      </c>
      <c r="H10" s="132" t="n">
        <f aca="false">IF(OR(2&gt;$B$3,ISBLANK(Actuals!D12)),"",'Reforecast Q1 2026'!D12-Actuals!D12)</f>
        <v>0</v>
      </c>
      <c r="I10" s="132" t="n">
        <f aca="false">IFERROR(IF(OR(2&gt;$B$3,ISBLANK(Actuals!D12)),"",('Reforecast Q1 2026'!D12-Actuals!D12)/ABS('Reforecast Q1 2026'!D12)),"")</f>
        <v>0</v>
      </c>
      <c r="J10" s="131" t="n">
        <f aca="false">'Reforecast Q1 2026'!E12</f>
        <v>2402410.43</v>
      </c>
      <c r="K10" s="131" t="n">
        <f aca="false">IF(OR(3&gt;$B$3,ISBLANK(Actuals!E12)),"",Actuals!E12)</f>
        <v>2402410.43</v>
      </c>
      <c r="L10" s="132" t="n">
        <f aca="false">IF(OR(3&gt;$B$3,ISBLANK(Actuals!E12)),"",'Reforecast Q1 2026'!E12-Actuals!E12)</f>
        <v>0</v>
      </c>
      <c r="M10" s="132" t="n">
        <f aca="false">IFERROR(IF(OR(3&gt;$B$3,ISBLANK(Actuals!E12)),"",('Reforecast Q1 2026'!E12-Actuals!E12)/ABS('Reforecast Q1 2026'!E12)),"")</f>
        <v>0</v>
      </c>
      <c r="N10" s="131" t="n">
        <f aca="false">'Reforecast Q1 2026'!F12</f>
        <v>3985482.58</v>
      </c>
      <c r="O10" s="131" t="n">
        <f aca="false">IF(OR(4&gt;$B$3,ISBLANK(Actuals!F12)),"",Actuals!F12)</f>
        <v>3312759.91</v>
      </c>
      <c r="P10" s="132" t="n">
        <f aca="false">IF(OR(4&gt;$B$3,ISBLANK(Actuals!F12)),"",'Reforecast Q1 2026'!F12-Actuals!F12)</f>
        <v>672722.67</v>
      </c>
      <c r="Q10" s="132" t="n">
        <f aca="false">IFERROR(IF(OR(4&gt;$B$3,ISBLANK(Actuals!F12)),"",('Reforecast Q1 2026'!F12-Actuals!F12)/ABS('Reforecast Q1 2026'!F12)),"")</f>
        <v>0.168793278228304</v>
      </c>
      <c r="R10" s="131" t="n">
        <f aca="false">'Reforecast Q1 2026'!G12</f>
        <v>4178441.93</v>
      </c>
      <c r="S10" s="131" t="n">
        <f aca="false">IF(OR(5&gt;$B$3,ISBLANK(Actuals!G12)),"",Actuals!G12)</f>
        <v>3939278.23</v>
      </c>
      <c r="T10" s="132" t="n">
        <f aca="false">IF(OR(5&gt;$B$3,ISBLANK(Actuals!G12)),"",'Reforecast Q1 2026'!G12-Actuals!G12)</f>
        <v>239163.7</v>
      </c>
      <c r="U10" s="132" t="n">
        <f aca="false">IFERROR(IF(OR(5&gt;$B$3,ISBLANK(Actuals!G12)),"",('Reforecast Q1 2026'!G12-Actuals!G12)/ABS('Reforecast Q1 2026'!G12)),"")</f>
        <v>0.057237531119644</v>
      </c>
      <c r="V10" s="131" t="n">
        <f aca="false">'Reforecast Q1 2026'!H12</f>
        <v>4314673.98</v>
      </c>
      <c r="W10" s="131" t="n">
        <f aca="false">IF(OR(6&gt;$B$3,ISBLANK(Actuals!H12)),"",Actuals!H12)</f>
        <v>5584522.73</v>
      </c>
      <c r="X10" s="132" t="n">
        <f aca="false">IF(OR(6&gt;$B$3,ISBLANK(Actuals!H12)),"",'Reforecast Q1 2026'!H12-Actuals!H12)</f>
        <v>-1269848.75</v>
      </c>
      <c r="Y10" s="132" t="n">
        <f aca="false">IFERROR(IF(OR(6&gt;$B$3,ISBLANK(Actuals!H12)),"",('Reforecast Q1 2026'!H12-Actuals!H12)/ABS('Reforecast Q1 2026'!H12)),"")</f>
        <v>-0.294309316505995</v>
      </c>
      <c r="Z10" s="131" t="n">
        <f aca="false">'Reforecast Q1 2026'!I12</f>
        <v>5100719.4</v>
      </c>
      <c r="AA10" s="131" t="n">
        <f aca="false">IF(OR(7&gt;$B$3,ISBLANK(Actuals!I12)),"",Actuals!I12)</f>
        <v>6409057.07</v>
      </c>
      <c r="AB10" s="132" t="n">
        <f aca="false">IF(OR(7&gt;$B$3,ISBLANK(Actuals!I12)),"",'Reforecast Q1 2026'!I12-Actuals!I12)</f>
        <v>-1308337.67</v>
      </c>
      <c r="AC10" s="132" t="n">
        <f aca="false">IFERROR(IF(OR(7&gt;$B$3,ISBLANK(Actuals!I12)),"",('Reforecast Q1 2026'!I12-Actuals!I12)/ABS('Reforecast Q1 2026'!I12)),"")</f>
        <v>-0.256500616364037</v>
      </c>
      <c r="AD10" s="131" t="n">
        <f aca="false">'Reforecast Q1 2026'!J12</f>
        <v>5260214.26</v>
      </c>
      <c r="AE10" s="131" t="n">
        <f aca="false">IF(OR(8&gt;$B$3,ISBLANK(Actuals!J12)),"",Actuals!J12)</f>
        <v>5304128.59</v>
      </c>
      <c r="AF10" s="132" t="n">
        <f aca="false">IF(OR(8&gt;$B$3,ISBLANK(Actuals!J12)),"",'Reforecast Q1 2026'!J12-Actuals!J12)</f>
        <v>-43914.3300000001</v>
      </c>
      <c r="AG10" s="132" t="n">
        <f aca="false">IFERROR(IF(OR(8&gt;$B$3,ISBLANK(Actuals!J12)),"",('Reforecast Q1 2026'!J12-Actuals!J12)/ABS('Reforecast Q1 2026'!J12)),"")</f>
        <v>-0.00834839187710199</v>
      </c>
      <c r="AH10" s="131" t="n">
        <f aca="false">'Reforecast Q1 2026'!K12</f>
        <v>5352854.32</v>
      </c>
      <c r="AI10" s="131" t="n">
        <f aca="false">IF(OR(9&gt;$B$3,ISBLANK(Actuals!K12)),"",Actuals!K12)</f>
        <v>5630859.39</v>
      </c>
      <c r="AJ10" s="132" t="n">
        <f aca="false">IF(OR(9&gt;$B$3,ISBLANK(Actuals!K12)),"",'Reforecast Q1 2026'!K12-Actuals!K12)</f>
        <v>-278005.069999999</v>
      </c>
      <c r="AK10" s="132" t="n">
        <f aca="false">IFERROR(IF(OR(9&gt;$B$3,ISBLANK(Actuals!K12)),"",('Reforecast Q1 2026'!K12-Actuals!K12)/ABS('Reforecast Q1 2026'!K12)),"")</f>
        <v>-0.0519358557846946</v>
      </c>
      <c r="AL10" s="131" t="n">
        <f aca="false">'Reforecast Q1 2026'!L12</f>
        <v>5849570.15</v>
      </c>
      <c r="AM10" s="131" t="str">
        <f aca="false">IF(OR(10&gt;$B$3,ISBLANK(Actuals!L12)),"",Actuals!L12)</f>
        <v/>
      </c>
      <c r="AN10" s="132" t="str">
        <f aca="false">IF(OR(10&gt;$B$3,ISBLANK(Actuals!L12)),"",'Reforecast Q1 2026'!L12-Actuals!L12)</f>
        <v/>
      </c>
      <c r="AO10" s="132" t="str">
        <f aca="false">IFERROR(IF(OR(10&gt;$B$3,ISBLANK(Actuals!L12)),"",('Reforecast Q1 2026'!L12-Actuals!L12)/ABS('Reforecast Q1 2026'!L12)),"")</f>
        <v/>
      </c>
      <c r="AP10" s="131" t="n">
        <f aca="false">'Reforecast Q1 2026'!M12</f>
        <v>6345476.13</v>
      </c>
      <c r="AQ10" s="131" t="str">
        <f aca="false">IF(OR(11&gt;$B$3,ISBLANK(Actuals!M12)),"",Actuals!M12)</f>
        <v/>
      </c>
      <c r="AR10" s="132" t="str">
        <f aca="false">IF(OR(11&gt;$B$3,ISBLANK(Actuals!M12)),"",'Reforecast Q1 2026'!M12-Actuals!M12)</f>
        <v/>
      </c>
      <c r="AS10" s="132" t="str">
        <f aca="false">IFERROR(IF(OR(11&gt;$B$3,ISBLANK(Actuals!M12)),"",('Reforecast Q1 2026'!M12-Actuals!M12)/ABS('Reforecast Q1 2026'!M12)),"")</f>
        <v/>
      </c>
      <c r="AT10" s="131" t="n">
        <f aca="false">'Reforecast Q1 2026'!N12</f>
        <v>6208239.26</v>
      </c>
      <c r="AU10" s="131" t="str">
        <f aca="false">IF(OR(12&gt;$B$3,ISBLANK(Actuals!N12)),"",Actuals!N12)</f>
        <v/>
      </c>
      <c r="AV10" s="132" t="str">
        <f aca="false">IF(OR(12&gt;$B$3,ISBLANK(Actuals!N12)),"",'Reforecast Q1 2026'!N12-Actuals!N12)</f>
        <v/>
      </c>
      <c r="AW10" s="132" t="str">
        <f aca="false">IFERROR(IF(OR(12&gt;$B$3,ISBLANK(Actuals!N12)),"",('Reforecast Q1 2026'!N12-Actuals!N12)/ABS('Reforecast Q1 2026'!N12)),"")</f>
        <v/>
      </c>
      <c r="AX10" s="133" t="n">
        <f aca="false">SUMPRODUCT((Actuals!C12:N12&lt;&gt;"")*('Reforecast Q1 2026'!C12:N12))</f>
        <v>34547284.57</v>
      </c>
      <c r="AY10" s="133" t="n">
        <f aca="false">SUM(Actuals!C12:N12)</f>
        <v>36535504.02</v>
      </c>
      <c r="AZ10" s="134" t="n">
        <f aca="false">AX10-AY10</f>
        <v>-1988219.45</v>
      </c>
    </row>
    <row r="11" customFormat="false" ht="15" hidden="false" customHeight="true" outlineLevel="0" collapsed="false">
      <c r="A11" s="130" t="s">
        <v>356</v>
      </c>
      <c r="B11" s="131" t="n">
        <f aca="false">'Reforecast Q1 2026'!C14</f>
        <v>-1233067.43</v>
      </c>
      <c r="C11" s="131" t="n">
        <f aca="false">IF(OR(1&gt;$B$3,ISBLANK(Actuals!C14)),"",Actuals!C14)</f>
        <v>-1235033.93</v>
      </c>
      <c r="D11" s="132" t="n">
        <f aca="false">IF(OR(1&gt;$B$3,ISBLANK(Actuals!C14)),"",'Reforecast Q1 2026'!C14-Actuals!C14)</f>
        <v>1966.5</v>
      </c>
      <c r="E11" s="132" t="n">
        <f aca="false">IFERROR(IF(OR(1&gt;$B$3,ISBLANK(Actuals!C14)),"",('Reforecast Q1 2026'!C14-Actuals!C14)/ABS('Reforecast Q1 2026'!C14)),"")</f>
        <v>0.00159480329473953</v>
      </c>
      <c r="F11" s="131" t="n">
        <f aca="false">'Reforecast Q1 2026'!D14</f>
        <v>-3073522.36</v>
      </c>
      <c r="G11" s="131" t="n">
        <f aca="false">IF(OR(2&gt;$B$3,ISBLANK(Actuals!D14)),"",Actuals!D14)</f>
        <v>-3073522.36</v>
      </c>
      <c r="H11" s="132" t="n">
        <f aca="false">IF(OR(2&gt;$B$3,ISBLANK(Actuals!D14)),"",'Reforecast Q1 2026'!D14-Actuals!D14)</f>
        <v>0</v>
      </c>
      <c r="I11" s="132" t="n">
        <f aca="false">IFERROR(IF(OR(2&gt;$B$3,ISBLANK(Actuals!D14)),"",('Reforecast Q1 2026'!D14-Actuals!D14)/ABS('Reforecast Q1 2026'!D14)),"")</f>
        <v>0</v>
      </c>
      <c r="J11" s="131" t="n">
        <f aca="false">'Reforecast Q1 2026'!E14</f>
        <v>-2078031.64</v>
      </c>
      <c r="K11" s="131" t="n">
        <f aca="false">IF(OR(3&gt;$B$3,ISBLANK(Actuals!E14)),"",Actuals!E14)</f>
        <v>-2078031.64</v>
      </c>
      <c r="L11" s="132" t="n">
        <f aca="false">IF(OR(3&gt;$B$3,ISBLANK(Actuals!E14)),"",'Reforecast Q1 2026'!E14-Actuals!E14)</f>
        <v>0</v>
      </c>
      <c r="M11" s="132" t="n">
        <f aca="false">IFERROR(IF(OR(3&gt;$B$3,ISBLANK(Actuals!E14)),"",('Reforecast Q1 2026'!E14-Actuals!E14)/ABS('Reforecast Q1 2026'!E14)),"")</f>
        <v>0</v>
      </c>
      <c r="N11" s="131" t="n">
        <f aca="false">'Reforecast Q1 2026'!F14</f>
        <v>-3985482.58403402</v>
      </c>
      <c r="O11" s="131" t="n">
        <f aca="false">IF(OR(4&gt;$B$3,ISBLANK(Actuals!F14)),"",Actuals!F14)</f>
        <v>-3244999.65</v>
      </c>
      <c r="P11" s="132" t="n">
        <f aca="false">IF(OR(4&gt;$B$3,ISBLANK(Actuals!F14)),"",'Reforecast Q1 2026'!F14-Actuals!F14)</f>
        <v>-740482.93403402</v>
      </c>
      <c r="Q11" s="132" t="n">
        <f aca="false">IFERROR(IF(OR(4&gt;$B$3,ISBLANK(Actuals!F14)),"",('Reforecast Q1 2026'!F14-Actuals!F14)/ABS('Reforecast Q1 2026'!F14)),"")</f>
        <v>-0.185795049513055</v>
      </c>
      <c r="R11" s="131" t="n">
        <f aca="false">'Reforecast Q1 2026'!G14</f>
        <v>-4178441.93467641</v>
      </c>
      <c r="S11" s="131" t="n">
        <f aca="false">IF(OR(5&gt;$B$3,ISBLANK(Actuals!G14)),"",Actuals!G14)</f>
        <v>-3950524.93</v>
      </c>
      <c r="T11" s="132" t="n">
        <f aca="false">IF(OR(5&gt;$B$3,ISBLANK(Actuals!G14)),"",'Reforecast Q1 2026'!G14-Actuals!G14)</f>
        <v>-227917.00467641</v>
      </c>
      <c r="U11" s="132" t="n">
        <f aca="false">IFERROR(IF(OR(5&gt;$B$3,ISBLANK(Actuals!G14)),"",('Reforecast Q1 2026'!G14-Actuals!G14)/ABS('Reforecast Q1 2026'!G14)),"")</f>
        <v>-0.0545459308133381</v>
      </c>
      <c r="V11" s="131" t="n">
        <f aca="false">'Reforecast Q1 2026'!H14</f>
        <v>-4314673.98179329</v>
      </c>
      <c r="W11" s="131" t="n">
        <f aca="false">IF(OR(6&gt;$B$3,ISBLANK(Actuals!H14)),"",Actuals!H14)</f>
        <v>-5610911.85</v>
      </c>
      <c r="X11" s="132" t="n">
        <f aca="false">IF(OR(6&gt;$B$3,ISBLANK(Actuals!H14)),"",'Reforecast Q1 2026'!H14-Actuals!H14)</f>
        <v>1296237.86820671</v>
      </c>
      <c r="Y11" s="132" t="n">
        <f aca="false">IFERROR(IF(OR(6&gt;$B$3,ISBLANK(Actuals!H14)),"",('Reforecast Q1 2026'!H14-Actuals!H14)/ABS('Reforecast Q1 2026'!H14)),"")</f>
        <v>0.300425448985594</v>
      </c>
      <c r="Z11" s="131" t="n">
        <f aca="false">'Reforecast Q1 2026'!I14</f>
        <v>-5100719.40418529</v>
      </c>
      <c r="AA11" s="131" t="n">
        <f aca="false">IF(OR(7&gt;$B$3,ISBLANK(Actuals!I14)),"",Actuals!I14)</f>
        <v>-5258946.14</v>
      </c>
      <c r="AB11" s="132" t="n">
        <f aca="false">IF(OR(7&gt;$B$3,ISBLANK(Actuals!I14)),"",'Reforecast Q1 2026'!I14-Actuals!I14)</f>
        <v>158226.735814709</v>
      </c>
      <c r="AC11" s="132" t="n">
        <f aca="false">IFERROR(IF(OR(7&gt;$B$3,ISBLANK(Actuals!I14)),"",('Reforecast Q1 2026'!I14-Actuals!I14)/ABS('Reforecast Q1 2026'!I14)),"")</f>
        <v>0.0310204744226627</v>
      </c>
      <c r="AD11" s="131" t="n">
        <f aca="false">'Reforecast Q1 2026'!J14</f>
        <v>-5260214.25623971</v>
      </c>
      <c r="AE11" s="131" t="n">
        <f aca="false">IF(OR(8&gt;$B$3,ISBLANK(Actuals!J14)),"",Actuals!J14)</f>
        <v>-5503997.59</v>
      </c>
      <c r="AF11" s="132" t="n">
        <f aca="false">IF(OR(8&gt;$B$3,ISBLANK(Actuals!J14)),"",'Reforecast Q1 2026'!J14-Actuals!J14)</f>
        <v>243783.333760289</v>
      </c>
      <c r="AG11" s="132" t="n">
        <f aca="false">IFERROR(IF(OR(8&gt;$B$3,ISBLANK(Actuals!J14)),"",('Reforecast Q1 2026'!J14-Actuals!J14)/ABS('Reforecast Q1 2026'!J14)),"")</f>
        <v>0.0463447536326323</v>
      </c>
      <c r="AH11" s="131" t="n">
        <f aca="false">'Reforecast Q1 2026'!K14</f>
        <v>-5352854.31833945</v>
      </c>
      <c r="AI11" s="131" t="n">
        <f aca="false">IF(OR(9&gt;$B$3,ISBLANK(Actuals!K14)),"",Actuals!K14)</f>
        <v>-6037015.16</v>
      </c>
      <c r="AJ11" s="132" t="n">
        <f aca="false">IF(OR(9&gt;$B$3,ISBLANK(Actuals!K14)),"",'Reforecast Q1 2026'!K14-Actuals!K14)</f>
        <v>684160.84166055</v>
      </c>
      <c r="AK11" s="132" t="n">
        <f aca="false">IFERROR(IF(OR(9&gt;$B$3,ISBLANK(Actuals!K14)),"",('Reforecast Q1 2026'!K14-Actuals!K14)/ABS('Reforecast Q1 2026'!K14)),"")</f>
        <v>0.127812341037667</v>
      </c>
      <c r="AL11" s="131" t="n">
        <f aca="false">'Reforecast Q1 2026'!L14</f>
        <v>-5849570.14613038</v>
      </c>
      <c r="AM11" s="131" t="str">
        <f aca="false">IF(OR(10&gt;$B$3,ISBLANK(Actuals!L14)),"",Actuals!L14)</f>
        <v/>
      </c>
      <c r="AN11" s="132" t="str">
        <f aca="false">IF(OR(10&gt;$B$3,ISBLANK(Actuals!L14)),"",'Reforecast Q1 2026'!L14-Actuals!L14)</f>
        <v/>
      </c>
      <c r="AO11" s="132" t="str">
        <f aca="false">IFERROR(IF(OR(10&gt;$B$3,ISBLANK(Actuals!L14)),"",('Reforecast Q1 2026'!L14-Actuals!L14)/ABS('Reforecast Q1 2026'!L14)),"")</f>
        <v/>
      </c>
      <c r="AP11" s="131" t="n">
        <f aca="false">'Reforecast Q1 2026'!M14</f>
        <v>-6345476.13239193</v>
      </c>
      <c r="AQ11" s="131" t="str">
        <f aca="false">IF(OR(11&gt;$B$3,ISBLANK(Actuals!M14)),"",Actuals!M14)</f>
        <v/>
      </c>
      <c r="AR11" s="132" t="str">
        <f aca="false">IF(OR(11&gt;$B$3,ISBLANK(Actuals!M14)),"",'Reforecast Q1 2026'!M14-Actuals!M14)</f>
        <v/>
      </c>
      <c r="AS11" s="132" t="str">
        <f aca="false">IFERROR(IF(OR(11&gt;$B$3,ISBLANK(Actuals!M14)),"",('Reforecast Q1 2026'!M14-Actuals!M14)/ABS('Reforecast Q1 2026'!M14)),"")</f>
        <v/>
      </c>
      <c r="AT11" s="131" t="n">
        <f aca="false">'Reforecast Q1 2026'!N14</f>
        <v>-6208239.26255321</v>
      </c>
      <c r="AU11" s="131" t="str">
        <f aca="false">IF(OR(12&gt;$B$3,ISBLANK(Actuals!N14)),"",Actuals!N14)</f>
        <v/>
      </c>
      <c r="AV11" s="132" t="str">
        <f aca="false">IF(OR(12&gt;$B$3,ISBLANK(Actuals!N14)),"",'Reforecast Q1 2026'!N14-Actuals!N14)</f>
        <v/>
      </c>
      <c r="AW11" s="132" t="str">
        <f aca="false">IFERROR(IF(OR(12&gt;$B$3,ISBLANK(Actuals!N14)),"",('Reforecast Q1 2026'!N14-Actuals!N14)/ABS('Reforecast Q1 2026'!N14)),"")</f>
        <v/>
      </c>
      <c r="AX11" s="133" t="n">
        <f aca="false">SUMPRODUCT((Actuals!C14:N14&lt;&gt;"")*('Reforecast Q1 2026'!C14:N14))</f>
        <v>-34577007.9092682</v>
      </c>
      <c r="AY11" s="133" t="n">
        <f aca="false">SUM(Actuals!C14:N14)</f>
        <v>-35992983.25</v>
      </c>
      <c r="AZ11" s="134" t="n">
        <f aca="false">AX11-AY11</f>
        <v>1415975.34073183</v>
      </c>
    </row>
    <row r="12" customFormat="false" ht="15" hidden="false" customHeight="true" outlineLevel="0" collapsed="false">
      <c r="A12" s="130" t="s">
        <v>413</v>
      </c>
      <c r="B12" s="131" t="n">
        <f aca="false">'Reforecast Q1 2026'!C15</f>
        <v>0</v>
      </c>
      <c r="C12" s="131" t="n">
        <f aca="false">IF(OR(1&gt;$B$3,ISBLANK(Actuals!C15)),"",Actuals!C15)</f>
        <v>0</v>
      </c>
      <c r="D12" s="132" t="n">
        <f aca="false">IF(OR(1&gt;$B$3,ISBLANK(Actuals!C15)),"",'Reforecast Q1 2026'!C15-Actuals!C15)</f>
        <v>0</v>
      </c>
      <c r="E12" s="132" t="str">
        <f aca="false">IFERROR(IF(OR(1&gt;$B$3,ISBLANK(Actuals!C15)),"",('Reforecast Q1 2026'!C15-Actuals!C15)/ABS('Reforecast Q1 2026'!C15)),"")</f>
        <v/>
      </c>
      <c r="F12" s="131" t="n">
        <f aca="false">'Reforecast Q1 2026'!D15</f>
        <v>0</v>
      </c>
      <c r="G12" s="131" t="n">
        <f aca="false">IF(OR(2&gt;$B$3,ISBLANK(Actuals!D15)),"",Actuals!D15)</f>
        <v>0</v>
      </c>
      <c r="H12" s="132" t="n">
        <f aca="false">IF(OR(2&gt;$B$3,ISBLANK(Actuals!D15)),"",'Reforecast Q1 2026'!D15-Actuals!D15)</f>
        <v>0</v>
      </c>
      <c r="I12" s="132" t="str">
        <f aca="false">IFERROR(IF(OR(2&gt;$B$3,ISBLANK(Actuals!D15)),"",('Reforecast Q1 2026'!D15-Actuals!D15)/ABS('Reforecast Q1 2026'!D15)),"")</f>
        <v/>
      </c>
      <c r="J12" s="131" t="n">
        <f aca="false">'Reforecast Q1 2026'!E15</f>
        <v>0</v>
      </c>
      <c r="K12" s="131" t="n">
        <f aca="false">IF(OR(3&gt;$B$3,ISBLANK(Actuals!E15)),"",Actuals!E15)</f>
        <v>0</v>
      </c>
      <c r="L12" s="132" t="n">
        <f aca="false">IF(OR(3&gt;$B$3,ISBLANK(Actuals!E15)),"",'Reforecast Q1 2026'!E15-Actuals!E15)</f>
        <v>0</v>
      </c>
      <c r="M12" s="132" t="str">
        <f aca="false">IFERROR(IF(OR(3&gt;$B$3,ISBLANK(Actuals!E15)),"",('Reforecast Q1 2026'!E15-Actuals!E15)/ABS('Reforecast Q1 2026'!E15)),"")</f>
        <v/>
      </c>
      <c r="N12" s="131" t="n">
        <f aca="false">'Reforecast Q1 2026'!F15</f>
        <v>0</v>
      </c>
      <c r="O12" s="131" t="n">
        <f aca="false">IF(OR(4&gt;$B$3,ISBLANK(Actuals!F15)),"",Actuals!F15)</f>
        <v>0</v>
      </c>
      <c r="P12" s="132" t="n">
        <f aca="false">IF(OR(4&gt;$B$3,ISBLANK(Actuals!F15)),"",'Reforecast Q1 2026'!F15-Actuals!F15)</f>
        <v>0</v>
      </c>
      <c r="Q12" s="132" t="str">
        <f aca="false">IFERROR(IF(OR(4&gt;$B$3,ISBLANK(Actuals!F15)),"",('Reforecast Q1 2026'!F15-Actuals!F15)/ABS('Reforecast Q1 2026'!F15)),"")</f>
        <v/>
      </c>
      <c r="R12" s="131" t="n">
        <f aca="false">'Reforecast Q1 2026'!G15</f>
        <v>0</v>
      </c>
      <c r="S12" s="131" t="n">
        <f aca="false">IF(OR(5&gt;$B$3,ISBLANK(Actuals!G15)),"",Actuals!G15)</f>
        <v>0</v>
      </c>
      <c r="T12" s="132" t="n">
        <f aca="false">IF(OR(5&gt;$B$3,ISBLANK(Actuals!G15)),"",'Reforecast Q1 2026'!G15-Actuals!G15)</f>
        <v>0</v>
      </c>
      <c r="U12" s="132" t="str">
        <f aca="false">IFERROR(IF(OR(5&gt;$B$3,ISBLANK(Actuals!G15)),"",('Reforecast Q1 2026'!G15-Actuals!G15)/ABS('Reforecast Q1 2026'!G15)),"")</f>
        <v/>
      </c>
      <c r="V12" s="131" t="n">
        <f aca="false">'Reforecast Q1 2026'!H15</f>
        <v>0</v>
      </c>
      <c r="W12" s="131" t="n">
        <f aca="false">IF(OR(6&gt;$B$3,ISBLANK(Actuals!H15)),"",Actuals!H15)</f>
        <v>0</v>
      </c>
      <c r="X12" s="132" t="n">
        <f aca="false">IF(OR(6&gt;$B$3,ISBLANK(Actuals!H15)),"",'Reforecast Q1 2026'!H15-Actuals!H15)</f>
        <v>0</v>
      </c>
      <c r="Y12" s="132" t="str">
        <f aca="false">IFERROR(IF(OR(6&gt;$B$3,ISBLANK(Actuals!H15)),"",('Reforecast Q1 2026'!H15-Actuals!H15)/ABS('Reforecast Q1 2026'!H15)),"")</f>
        <v/>
      </c>
      <c r="Z12" s="131" t="n">
        <f aca="false">'Reforecast Q1 2026'!I15</f>
        <v>644526.72</v>
      </c>
      <c r="AA12" s="131" t="n">
        <f aca="false">IF(OR(7&gt;$B$3,ISBLANK(Actuals!I15)),"",Actuals!I15)</f>
        <v>0</v>
      </c>
      <c r="AB12" s="132" t="n">
        <f aca="false">IF(OR(7&gt;$B$3,ISBLANK(Actuals!I15)),"",'Reforecast Q1 2026'!I15-Actuals!I15)</f>
        <v>644526.72</v>
      </c>
      <c r="AC12" s="132" t="n">
        <f aca="false">IFERROR(IF(OR(7&gt;$B$3,ISBLANK(Actuals!I15)),"",('Reforecast Q1 2026'!I15-Actuals!I15)/ABS('Reforecast Q1 2026'!I15)),"")</f>
        <v>1</v>
      </c>
      <c r="AD12" s="131" t="n">
        <f aca="false">'Reforecast Q1 2026'!J15</f>
        <v>0</v>
      </c>
      <c r="AE12" s="131" t="n">
        <f aca="false">IF(OR(8&gt;$B$3,ISBLANK(Actuals!J15)),"",Actuals!J15)</f>
        <v>0</v>
      </c>
      <c r="AF12" s="132" t="n">
        <f aca="false">IF(OR(8&gt;$B$3,ISBLANK(Actuals!J15)),"",'Reforecast Q1 2026'!J15-Actuals!J15)</f>
        <v>0</v>
      </c>
      <c r="AG12" s="132" t="str">
        <f aca="false">IFERROR(IF(OR(8&gt;$B$3,ISBLANK(Actuals!J15)),"",('Reforecast Q1 2026'!J15-Actuals!J15)/ABS('Reforecast Q1 2026'!J15)),"")</f>
        <v/>
      </c>
      <c r="AH12" s="131" t="n">
        <f aca="false">'Reforecast Q1 2026'!K15</f>
        <v>0</v>
      </c>
      <c r="AI12" s="131" t="n">
        <f aca="false">IF(OR(9&gt;$B$3,ISBLANK(Actuals!K15)),"",Actuals!K15)</f>
        <v>0</v>
      </c>
      <c r="AJ12" s="132" t="n">
        <f aca="false">IF(OR(9&gt;$B$3,ISBLANK(Actuals!K15)),"",'Reforecast Q1 2026'!K15-Actuals!K15)</f>
        <v>0</v>
      </c>
      <c r="AK12" s="132" t="str">
        <f aca="false">IFERROR(IF(OR(9&gt;$B$3,ISBLANK(Actuals!K15)),"",('Reforecast Q1 2026'!K15-Actuals!K15)/ABS('Reforecast Q1 2026'!K15)),"")</f>
        <v/>
      </c>
      <c r="AL12" s="131" t="n">
        <f aca="false">'Reforecast Q1 2026'!L15</f>
        <v>442059.825</v>
      </c>
      <c r="AM12" s="131" t="str">
        <f aca="false">IF(OR(10&gt;$B$3,ISBLANK(Actuals!L15)),"",Actuals!L15)</f>
        <v/>
      </c>
      <c r="AN12" s="132" t="str">
        <f aca="false">IF(OR(10&gt;$B$3,ISBLANK(Actuals!L15)),"",'Reforecast Q1 2026'!L15-Actuals!L15)</f>
        <v/>
      </c>
      <c r="AO12" s="132" t="str">
        <f aca="false">IFERROR(IF(OR(10&gt;$B$3,ISBLANK(Actuals!L15)),"",('Reforecast Q1 2026'!L15-Actuals!L15)/ABS('Reforecast Q1 2026'!L15)),"")</f>
        <v/>
      </c>
      <c r="AP12" s="131" t="n">
        <f aca="false">'Reforecast Q1 2026'!M15</f>
        <v>318951.075</v>
      </c>
      <c r="AQ12" s="131" t="str">
        <f aca="false">IF(OR(11&gt;$B$3,ISBLANK(Actuals!M15)),"",Actuals!M15)</f>
        <v/>
      </c>
      <c r="AR12" s="132" t="str">
        <f aca="false">IF(OR(11&gt;$B$3,ISBLANK(Actuals!M15)),"",'Reforecast Q1 2026'!M15-Actuals!M15)</f>
        <v/>
      </c>
      <c r="AS12" s="132" t="str">
        <f aca="false">IFERROR(IF(OR(11&gt;$B$3,ISBLANK(Actuals!M15)),"",('Reforecast Q1 2026'!M15-Actuals!M15)/ABS('Reforecast Q1 2026'!M15)),"")</f>
        <v/>
      </c>
      <c r="AT12" s="131" t="n">
        <f aca="false">'Reforecast Q1 2026'!N15</f>
        <v>0</v>
      </c>
      <c r="AU12" s="131" t="str">
        <f aca="false">IF(OR(12&gt;$B$3,ISBLANK(Actuals!N15)),"",Actuals!N15)</f>
        <v/>
      </c>
      <c r="AV12" s="132" t="str">
        <f aca="false">IF(OR(12&gt;$B$3,ISBLANK(Actuals!N15)),"",'Reforecast Q1 2026'!N15-Actuals!N15)</f>
        <v/>
      </c>
      <c r="AW12" s="132" t="str">
        <f aca="false">IFERROR(IF(OR(12&gt;$B$3,ISBLANK(Actuals!N15)),"",('Reforecast Q1 2026'!N15-Actuals!N15)/ABS('Reforecast Q1 2026'!N15)),"")</f>
        <v/>
      </c>
      <c r="AX12" s="133" t="n">
        <f aca="false">SUMPRODUCT((Actuals!C15:N15&lt;&gt;"")*('Reforecast Q1 2026'!C15:N15))</f>
        <v>644526.72</v>
      </c>
      <c r="AY12" s="133" t="n">
        <f aca="false">SUM(Actuals!C15:N15)</f>
        <v>0</v>
      </c>
      <c r="AZ12" s="134" t="n">
        <f aca="false">AX12-AY12</f>
        <v>644526.72</v>
      </c>
    </row>
    <row r="13" customFormat="false" ht="15" hidden="false" customHeight="true" outlineLevel="0" collapsed="false">
      <c r="A13" s="130" t="s">
        <v>415</v>
      </c>
      <c r="B13" s="131" t="n">
        <f aca="false">'Reforecast Q1 2026'!C16</f>
        <v>-1966.5</v>
      </c>
      <c r="C13" s="131" t="n">
        <f aca="false">IF(OR(1&gt;$B$3,ISBLANK(Actuals!C16)),"",Actuals!C16)</f>
        <v>0</v>
      </c>
      <c r="D13" s="132" t="n">
        <f aca="false">IF(OR(1&gt;$B$3,ISBLANK(Actuals!C16)),"",'Reforecast Q1 2026'!C16-Actuals!C16)</f>
        <v>-1966.5</v>
      </c>
      <c r="E13" s="132" t="n">
        <f aca="false">IFERROR(IF(OR(1&gt;$B$3,ISBLANK(Actuals!C16)),"",('Reforecast Q1 2026'!C16-Actuals!C16)/ABS('Reforecast Q1 2026'!C16)),"")</f>
        <v>-1</v>
      </c>
      <c r="F13" s="131" t="n">
        <f aca="false">'Reforecast Q1 2026'!D16</f>
        <v>0</v>
      </c>
      <c r="G13" s="131" t="n">
        <f aca="false">IF(OR(2&gt;$B$3,ISBLANK(Actuals!D16)),"",Actuals!D16)</f>
        <v>0</v>
      </c>
      <c r="H13" s="132" t="n">
        <f aca="false">IF(OR(2&gt;$B$3,ISBLANK(Actuals!D16)),"",'Reforecast Q1 2026'!D16-Actuals!D16)</f>
        <v>0</v>
      </c>
      <c r="I13" s="132" t="str">
        <f aca="false">IFERROR(IF(OR(2&gt;$B$3,ISBLANK(Actuals!D16)),"",('Reforecast Q1 2026'!D16-Actuals!D16)/ABS('Reforecast Q1 2026'!D16)),"")</f>
        <v/>
      </c>
      <c r="J13" s="131" t="n">
        <f aca="false">'Reforecast Q1 2026'!E16</f>
        <v>0</v>
      </c>
      <c r="K13" s="131" t="n">
        <f aca="false">IF(OR(3&gt;$B$3,ISBLANK(Actuals!E16)),"",Actuals!E16)</f>
        <v>0</v>
      </c>
      <c r="L13" s="132" t="n">
        <f aca="false">IF(OR(3&gt;$B$3,ISBLANK(Actuals!E16)),"",'Reforecast Q1 2026'!E16-Actuals!E16)</f>
        <v>0</v>
      </c>
      <c r="M13" s="132" t="str">
        <f aca="false">IFERROR(IF(OR(3&gt;$B$3,ISBLANK(Actuals!E16)),"",('Reforecast Q1 2026'!E16-Actuals!E16)/ABS('Reforecast Q1 2026'!E16)),"")</f>
        <v/>
      </c>
      <c r="N13" s="131" t="n">
        <f aca="false">'Reforecast Q1 2026'!F16</f>
        <v>0</v>
      </c>
      <c r="O13" s="131" t="n">
        <f aca="false">IF(OR(4&gt;$B$3,ISBLANK(Actuals!F16)),"",Actuals!F16)</f>
        <v>0</v>
      </c>
      <c r="P13" s="132" t="n">
        <f aca="false">IF(OR(4&gt;$B$3,ISBLANK(Actuals!F16)),"",'Reforecast Q1 2026'!F16-Actuals!F16)</f>
        <v>0</v>
      </c>
      <c r="Q13" s="132" t="str">
        <f aca="false">IFERROR(IF(OR(4&gt;$B$3,ISBLANK(Actuals!F16)),"",('Reforecast Q1 2026'!F16-Actuals!F16)/ABS('Reforecast Q1 2026'!F16)),"")</f>
        <v/>
      </c>
      <c r="R13" s="131" t="n">
        <f aca="false">'Reforecast Q1 2026'!G16</f>
        <v>0</v>
      </c>
      <c r="S13" s="131" t="n">
        <f aca="false">IF(OR(5&gt;$B$3,ISBLANK(Actuals!G16)),"",Actuals!G16)</f>
        <v>0</v>
      </c>
      <c r="T13" s="132" t="n">
        <f aca="false">IF(OR(5&gt;$B$3,ISBLANK(Actuals!G16)),"",'Reforecast Q1 2026'!G16-Actuals!G16)</f>
        <v>0</v>
      </c>
      <c r="U13" s="132" t="str">
        <f aca="false">IFERROR(IF(OR(5&gt;$B$3,ISBLANK(Actuals!G16)),"",('Reforecast Q1 2026'!G16-Actuals!G16)/ABS('Reforecast Q1 2026'!G16)),"")</f>
        <v/>
      </c>
      <c r="V13" s="131" t="n">
        <f aca="false">'Reforecast Q1 2026'!H16</f>
        <v>0</v>
      </c>
      <c r="W13" s="131" t="n">
        <f aca="false">IF(OR(6&gt;$B$3,ISBLANK(Actuals!H16)),"",Actuals!H16)</f>
        <v>0</v>
      </c>
      <c r="X13" s="132" t="n">
        <f aca="false">IF(OR(6&gt;$B$3,ISBLANK(Actuals!H16)),"",'Reforecast Q1 2026'!H16-Actuals!H16)</f>
        <v>0</v>
      </c>
      <c r="Y13" s="132" t="str">
        <f aca="false">IFERROR(IF(OR(6&gt;$B$3,ISBLANK(Actuals!H16)),"",('Reforecast Q1 2026'!H16-Actuals!H16)/ABS('Reforecast Q1 2026'!H16)),"")</f>
        <v/>
      </c>
      <c r="Z13" s="131" t="n">
        <f aca="false">'Reforecast Q1 2026'!I16</f>
        <v>-317966.5152</v>
      </c>
      <c r="AA13" s="131" t="n">
        <f aca="false">IF(OR(7&gt;$B$3,ISBLANK(Actuals!I16)),"",Actuals!I16)</f>
        <v>0</v>
      </c>
      <c r="AB13" s="132" t="n">
        <f aca="false">IF(OR(7&gt;$B$3,ISBLANK(Actuals!I16)),"",'Reforecast Q1 2026'!I16-Actuals!I16)</f>
        <v>-317966.5152</v>
      </c>
      <c r="AC13" s="132" t="n">
        <f aca="false">IFERROR(IF(OR(7&gt;$B$3,ISBLANK(Actuals!I16)),"",('Reforecast Q1 2026'!I16-Actuals!I16)/ABS('Reforecast Q1 2026'!I16)),"")</f>
        <v>-1</v>
      </c>
      <c r="AD13" s="131" t="n">
        <f aca="false">'Reforecast Q1 2026'!J16</f>
        <v>0</v>
      </c>
      <c r="AE13" s="131" t="n">
        <f aca="false">IF(OR(8&gt;$B$3,ISBLANK(Actuals!J16)),"",Actuals!J16)</f>
        <v>0</v>
      </c>
      <c r="AF13" s="132" t="n">
        <f aca="false">IF(OR(8&gt;$B$3,ISBLANK(Actuals!J16)),"",'Reforecast Q1 2026'!J16-Actuals!J16)</f>
        <v>0</v>
      </c>
      <c r="AG13" s="132" t="str">
        <f aca="false">IFERROR(IF(OR(8&gt;$B$3,ISBLANK(Actuals!J16)),"",('Reforecast Q1 2026'!J16-Actuals!J16)/ABS('Reforecast Q1 2026'!J16)),"")</f>
        <v/>
      </c>
      <c r="AH13" s="131" t="n">
        <f aca="false">'Reforecast Q1 2026'!K16</f>
        <v>0</v>
      </c>
      <c r="AI13" s="131" t="n">
        <f aca="false">IF(OR(9&gt;$B$3,ISBLANK(Actuals!K16)),"",Actuals!K16)</f>
        <v>0</v>
      </c>
      <c r="AJ13" s="132" t="n">
        <f aca="false">IF(OR(9&gt;$B$3,ISBLANK(Actuals!K16)),"",'Reforecast Q1 2026'!K16-Actuals!K16)</f>
        <v>0</v>
      </c>
      <c r="AK13" s="132" t="str">
        <f aca="false">IFERROR(IF(OR(9&gt;$B$3,ISBLANK(Actuals!K16)),"",('Reforecast Q1 2026'!K16-Actuals!K16)/ABS('Reforecast Q1 2026'!K16)),"")</f>
        <v/>
      </c>
      <c r="AL13" s="131" t="n">
        <f aca="false">'Reforecast Q1 2026'!L16</f>
        <v>-218082.847</v>
      </c>
      <c r="AM13" s="131" t="str">
        <f aca="false">IF(OR(10&gt;$B$3,ISBLANK(Actuals!L16)),"",Actuals!L16)</f>
        <v/>
      </c>
      <c r="AN13" s="132" t="str">
        <f aca="false">IF(OR(10&gt;$B$3,ISBLANK(Actuals!L16)),"",'Reforecast Q1 2026'!L16-Actuals!L16)</f>
        <v/>
      </c>
      <c r="AO13" s="132" t="str">
        <f aca="false">IFERROR(IF(OR(10&gt;$B$3,ISBLANK(Actuals!L16)),"",('Reforecast Q1 2026'!L16-Actuals!L16)/ABS('Reforecast Q1 2026'!L16)),"")</f>
        <v/>
      </c>
      <c r="AP13" s="131" t="n">
        <f aca="false">'Reforecast Q1 2026'!M16</f>
        <v>-157349.197</v>
      </c>
      <c r="AQ13" s="131" t="str">
        <f aca="false">IF(OR(11&gt;$B$3,ISBLANK(Actuals!M16)),"",Actuals!M16)</f>
        <v/>
      </c>
      <c r="AR13" s="132" t="str">
        <f aca="false">IF(OR(11&gt;$B$3,ISBLANK(Actuals!M16)),"",'Reforecast Q1 2026'!M16-Actuals!M16)</f>
        <v/>
      </c>
      <c r="AS13" s="132" t="str">
        <f aca="false">IFERROR(IF(OR(11&gt;$B$3,ISBLANK(Actuals!M16)),"",('Reforecast Q1 2026'!M16-Actuals!M16)/ABS('Reforecast Q1 2026'!M16)),"")</f>
        <v/>
      </c>
      <c r="AT13" s="131" t="n">
        <f aca="false">'Reforecast Q1 2026'!N16</f>
        <v>0</v>
      </c>
      <c r="AU13" s="131" t="str">
        <f aca="false">IF(OR(12&gt;$B$3,ISBLANK(Actuals!N16)),"",Actuals!N16)</f>
        <v/>
      </c>
      <c r="AV13" s="132" t="str">
        <f aca="false">IF(OR(12&gt;$B$3,ISBLANK(Actuals!N16)),"",'Reforecast Q1 2026'!N16-Actuals!N16)</f>
        <v/>
      </c>
      <c r="AW13" s="132" t="str">
        <f aca="false">IFERROR(IF(OR(12&gt;$B$3,ISBLANK(Actuals!N16)),"",('Reforecast Q1 2026'!N16-Actuals!N16)/ABS('Reforecast Q1 2026'!N16)),"")</f>
        <v/>
      </c>
      <c r="AX13" s="133" t="n">
        <f aca="false">SUMPRODUCT((Actuals!C16:N16&lt;&gt;"")*('Reforecast Q1 2026'!C16:N16))</f>
        <v>-319933.0152</v>
      </c>
      <c r="AY13" s="133" t="n">
        <f aca="false">SUM(Actuals!C16:N16)</f>
        <v>0</v>
      </c>
      <c r="AZ13" s="134" t="n">
        <f aca="false">AX13-AY13</f>
        <v>-319933.0152</v>
      </c>
    </row>
    <row r="14" customFormat="false" ht="15" hidden="false" customHeight="true" outlineLevel="0" collapsed="false">
      <c r="A14" s="130" t="s">
        <v>61</v>
      </c>
      <c r="B14" s="131" t="n">
        <f aca="false">'Reforecast Q1 2026'!C17</f>
        <v>218752.81</v>
      </c>
      <c r="C14" s="131" t="n">
        <f aca="false">IF(OR(1&gt;$B$3,ISBLANK(Actuals!C17)),"",Actuals!C17)</f>
        <v>218756.86</v>
      </c>
      <c r="D14" s="132" t="n">
        <f aca="false">IF(OR(1&gt;$B$3,ISBLANK(Actuals!C17)),"",'Reforecast Q1 2026'!C17-Actuals!C17)</f>
        <v>-4.05000000004657</v>
      </c>
      <c r="E14" s="132" t="n">
        <f aca="false">IFERROR(IF(OR(1&gt;$B$3,ISBLANK(Actuals!C17)),"",('Reforecast Q1 2026'!C17-Actuals!C17)/ABS('Reforecast Q1 2026'!C17)),"")</f>
        <v>-1.85140478883291E-005</v>
      </c>
      <c r="F14" s="131" t="n">
        <f aca="false">'Reforecast Q1 2026'!D17</f>
        <v>-51003.4699999997</v>
      </c>
      <c r="G14" s="131" t="n">
        <f aca="false">IF(OR(2&gt;$B$3,ISBLANK(Actuals!D17)),"",Actuals!D17)</f>
        <v>-51000.77</v>
      </c>
      <c r="H14" s="132" t="n">
        <f aca="false">IF(OR(2&gt;$B$3,ISBLANK(Actuals!D17)),"",'Reforecast Q1 2026'!D17-Actuals!D17)</f>
        <v>-2.6999999997206</v>
      </c>
      <c r="I14" s="132" t="n">
        <f aca="false">IFERROR(IF(OR(2&gt;$B$3,ISBLANK(Actuals!D17)),"",('Reforecast Q1 2026'!D17-Actuals!D17)/ABS('Reforecast Q1 2026'!D17)),"")</f>
        <v>-5.29375746340517E-005</v>
      </c>
      <c r="J14" s="131" t="n">
        <f aca="false">'Reforecast Q1 2026'!E17</f>
        <v>594184.52</v>
      </c>
      <c r="K14" s="131" t="n">
        <f aca="false">IF(OR(3&gt;$B$3,ISBLANK(Actuals!E17)),"",Actuals!E17)</f>
        <v>594184.52</v>
      </c>
      <c r="L14" s="132" t="n">
        <f aca="false">IF(OR(3&gt;$B$3,ISBLANK(Actuals!E17)),"",'Reforecast Q1 2026'!E17-Actuals!E17)</f>
        <v>0</v>
      </c>
      <c r="M14" s="132" t="n">
        <f aca="false">IFERROR(IF(OR(3&gt;$B$3,ISBLANK(Actuals!E17)),"",('Reforecast Q1 2026'!E17-Actuals!E17)/ABS('Reforecast Q1 2026'!E17)),"")</f>
        <v>0</v>
      </c>
      <c r="N14" s="131" t="n">
        <f aca="false">'Reforecast Q1 2026'!F17</f>
        <v>468885.062220243</v>
      </c>
      <c r="O14" s="131" t="n">
        <f aca="false">IF(OR(4&gt;$B$3,ISBLANK(Actuals!F17)),"",Actuals!F17)</f>
        <v>447358.25</v>
      </c>
      <c r="P14" s="132" t="n">
        <f aca="false">IF(OR(4&gt;$B$3,ISBLANK(Actuals!F17)),"",'Reforecast Q1 2026'!F17-Actuals!F17)</f>
        <v>21526.8122202423</v>
      </c>
      <c r="Q14" s="132" t="n">
        <f aca="false">IFERROR(IF(OR(4&gt;$B$3,ISBLANK(Actuals!F17)),"",('Reforecast Q1 2026'!F17-Actuals!F17)/ABS('Reforecast Q1 2026'!F17)),"")</f>
        <v>0.045910637712171</v>
      </c>
      <c r="R14" s="131" t="n">
        <f aca="false">'Reforecast Q1 2026'!G17</f>
        <v>468885.061577853</v>
      </c>
      <c r="S14" s="131" t="n">
        <f aca="false">IF(OR(5&gt;$B$3,ISBLANK(Actuals!G17)),"",Actuals!G17)</f>
        <v>465536.7</v>
      </c>
      <c r="T14" s="132" t="n">
        <f aca="false">IF(OR(5&gt;$B$3,ISBLANK(Actuals!G17)),"",'Reforecast Q1 2026'!G17-Actuals!G17)</f>
        <v>3348.36157785356</v>
      </c>
      <c r="U14" s="132" t="n">
        <f aca="false">IFERROR(IF(OR(5&gt;$B$3,ISBLANK(Actuals!G17)),"",('Reforecast Q1 2026'!G17-Actuals!G17)/ABS('Reforecast Q1 2026'!G17)),"")</f>
        <v>0.0071411137872167</v>
      </c>
      <c r="V14" s="131" t="n">
        <f aca="false">'Reforecast Q1 2026'!H17</f>
        <v>468885.064460973</v>
      </c>
      <c r="W14" s="131" t="n">
        <f aca="false">IF(OR(6&gt;$B$3,ISBLANK(Actuals!H17)),"",Actuals!H17)</f>
        <v>641351.130000001</v>
      </c>
      <c r="X14" s="132" t="n">
        <f aca="false">IF(OR(6&gt;$B$3,ISBLANK(Actuals!H17)),"",'Reforecast Q1 2026'!H17-Actuals!H17)</f>
        <v>-172466.065539028</v>
      </c>
      <c r="Y14" s="132" t="n">
        <f aca="false">IFERROR(IF(OR(6&gt;$B$3,ISBLANK(Actuals!H17)),"",('Reforecast Q1 2026'!H17-Actuals!H17)/ABS('Reforecast Q1 2026'!H17)),"")</f>
        <v>-0.367821623274124</v>
      </c>
      <c r="Z14" s="131" t="n">
        <f aca="false">'Reforecast Q1 2026'!I17</f>
        <v>959257.390269293</v>
      </c>
      <c r="AA14" s="131" t="n">
        <f aca="false">IF(OR(7&gt;$B$3,ISBLANK(Actuals!I17)),"",Actuals!I17)</f>
        <v>1766649.51</v>
      </c>
      <c r="AB14" s="132" t="n">
        <f aca="false">IF(OR(7&gt;$B$3,ISBLANK(Actuals!I17)),"",'Reforecast Q1 2026'!I17-Actuals!I17)</f>
        <v>-807392.119730708</v>
      </c>
      <c r="AC14" s="132" t="n">
        <f aca="false">IFERROR(IF(OR(7&gt;$B$3,ISBLANK(Actuals!I17)),"",('Reforecast Q1 2026'!I17-Actuals!I17)/ABS('Reforecast Q1 2026'!I17)),"")</f>
        <v>-0.84168454464974</v>
      </c>
      <c r="AD14" s="131" t="n">
        <f aca="false">'Reforecast Q1 2026'!J17</f>
        <v>632697.193414873</v>
      </c>
      <c r="AE14" s="131" t="n">
        <f aca="false">IF(OR(8&gt;$B$3,ISBLANK(Actuals!J17)),"",Actuals!J17)</f>
        <v>560735.39</v>
      </c>
      <c r="AF14" s="132" t="n">
        <f aca="false">IF(OR(8&gt;$B$3,ISBLANK(Actuals!J17)),"",'Reforecast Q1 2026'!J17-Actuals!J17)</f>
        <v>71961.8034148729</v>
      </c>
      <c r="AG14" s="132" t="n">
        <f aca="false">IFERROR(IF(OR(8&gt;$B$3,ISBLANK(Actuals!J17)),"",('Reforecast Q1 2026'!J17-Actuals!J17)/ABS('Reforecast Q1 2026'!J17)),"")</f>
        <v>0.113738142295956</v>
      </c>
      <c r="AH14" s="131" t="n">
        <f aca="false">'Reforecast Q1 2026'!K17</f>
        <v>632697.191315133</v>
      </c>
      <c r="AI14" s="131" t="n">
        <f aca="false">IF(OR(9&gt;$B$3,ISBLANK(Actuals!K17)),"",Actuals!K17)</f>
        <v>343866.89</v>
      </c>
      <c r="AJ14" s="132" t="n">
        <f aca="false">IF(OR(9&gt;$B$3,ISBLANK(Actuals!K17)),"",'Reforecast Q1 2026'!K17-Actuals!K17)</f>
        <v>288830.301315133</v>
      </c>
      <c r="AK14" s="132" t="n">
        <f aca="false">IFERROR(IF(OR(9&gt;$B$3,ISBLANK(Actuals!K17)),"",('Reforecast Q1 2026'!K17-Actuals!K17)/ABS('Reforecast Q1 2026'!K17)),"")</f>
        <v>0.456506375055604</v>
      </c>
      <c r="AL14" s="131" t="n">
        <f aca="false">'Reforecast Q1 2026'!L17</f>
        <v>999101.928826481</v>
      </c>
      <c r="AM14" s="131" t="str">
        <f aca="false">IF(OR(10&gt;$B$3,ISBLANK(Actuals!L17)),"",Actuals!L17)</f>
        <v/>
      </c>
      <c r="AN14" s="132" t="str">
        <f aca="false">IF(OR(10&gt;$B$3,ISBLANK(Actuals!L17)),"",'Reforecast Q1 2026'!L17-Actuals!L17)</f>
        <v/>
      </c>
      <c r="AO14" s="132" t="str">
        <f aca="false">IFERROR(IF(OR(10&gt;$B$3,ISBLANK(Actuals!L17)),"",('Reforecast Q1 2026'!L17-Actuals!L17)/ABS('Reforecast Q1 2026'!L17)),"")</f>
        <v/>
      </c>
      <c r="AP14" s="131" t="n">
        <f aca="false">'Reforecast Q1 2026'!M17</f>
        <v>1080952.85657232</v>
      </c>
      <c r="AQ14" s="131" t="str">
        <f aca="false">IF(OR(11&gt;$B$3,ISBLANK(Actuals!M17)),"",Actuals!M17)</f>
        <v/>
      </c>
      <c r="AR14" s="132" t="str">
        <f aca="false">IF(OR(11&gt;$B$3,ISBLANK(Actuals!M17)),"",'Reforecast Q1 2026'!M17-Actuals!M17)</f>
        <v/>
      </c>
      <c r="AS14" s="132" t="str">
        <f aca="false">IFERROR(IF(OR(11&gt;$B$3,ISBLANK(Actuals!M17)),"",('Reforecast Q1 2026'!M17-Actuals!M17)/ABS('Reforecast Q1 2026'!M17)),"")</f>
        <v/>
      </c>
      <c r="AT14" s="131" t="n">
        <f aca="false">'Reforecast Q1 2026'!N17</f>
        <v>774577.772324943</v>
      </c>
      <c r="AU14" s="131" t="str">
        <f aca="false">IF(OR(12&gt;$B$3,ISBLANK(Actuals!N17)),"",Actuals!N17)</f>
        <v/>
      </c>
      <c r="AV14" s="132" t="str">
        <f aca="false">IF(OR(12&gt;$B$3,ISBLANK(Actuals!N17)),"",'Reforecast Q1 2026'!N17-Actuals!N17)</f>
        <v/>
      </c>
      <c r="AW14" s="132" t="str">
        <f aca="false">IFERROR(IF(OR(12&gt;$B$3,ISBLANK(Actuals!N17)),"",('Reforecast Q1 2026'!N17-Actuals!N17)/ABS('Reforecast Q1 2026'!N17)),"")</f>
        <v/>
      </c>
      <c r="AX14" s="133" t="n">
        <f aca="false">SUMPRODUCT((Actuals!C17:N17&lt;&gt;"")*('Reforecast Q1 2026'!C17:N17))</f>
        <v>7247873.38098211</v>
      </c>
      <c r="AY14" s="133" t="n">
        <f aca="false">SUM(Actuals!C17:N17)</f>
        <v>4987438.48</v>
      </c>
      <c r="AZ14" s="134" t="n">
        <f aca="false">AX14-AY14</f>
        <v>2260434.90098211</v>
      </c>
    </row>
    <row r="15" customFormat="false" ht="15" hidden="false" customHeight="true" outlineLevel="0" collapsed="false">
      <c r="A15" s="130" t="s">
        <v>123</v>
      </c>
      <c r="B15" s="131" t="n">
        <f aca="false">'Reforecast Q1 2026'!C21</f>
        <v>-144550.9</v>
      </c>
      <c r="C15" s="131" t="n">
        <f aca="false">IF(OR(1&gt;$B$3,ISBLANK(Actuals!C21)),"",Actuals!C21)</f>
        <v>-144550.9</v>
      </c>
      <c r="D15" s="132" t="n">
        <f aca="false">IF(OR(1&gt;$B$3,ISBLANK(Actuals!C21)),"",'Reforecast Q1 2026'!C21-Actuals!C21)</f>
        <v>0</v>
      </c>
      <c r="E15" s="132" t="n">
        <f aca="false">IFERROR(IF(OR(1&gt;$B$3,ISBLANK(Actuals!C21)),"",('Reforecast Q1 2026'!C21-Actuals!C21)/ABS('Reforecast Q1 2026'!C21)),"")</f>
        <v>0</v>
      </c>
      <c r="F15" s="131" t="n">
        <f aca="false">'Reforecast Q1 2026'!D21</f>
        <v>-150672.84</v>
      </c>
      <c r="G15" s="131" t="n">
        <f aca="false">IF(OR(2&gt;$B$3,ISBLANK(Actuals!D21)),"",Actuals!D21)</f>
        <v>-150672.84</v>
      </c>
      <c r="H15" s="132" t="n">
        <f aca="false">IF(OR(2&gt;$B$3,ISBLANK(Actuals!D21)),"",'Reforecast Q1 2026'!D21-Actuals!D21)</f>
        <v>0</v>
      </c>
      <c r="I15" s="132" t="n">
        <f aca="false">IFERROR(IF(OR(2&gt;$B$3,ISBLANK(Actuals!D21)),"",('Reforecast Q1 2026'!D21-Actuals!D21)/ABS('Reforecast Q1 2026'!D21)),"")</f>
        <v>0</v>
      </c>
      <c r="J15" s="131" t="n">
        <f aca="false">'Reforecast Q1 2026'!E21</f>
        <v>-178867.86</v>
      </c>
      <c r="K15" s="131" t="n">
        <f aca="false">IF(OR(3&gt;$B$3,ISBLANK(Actuals!E21)),"",Actuals!E21)</f>
        <v>-178867.86</v>
      </c>
      <c r="L15" s="132" t="n">
        <f aca="false">IF(OR(3&gt;$B$3,ISBLANK(Actuals!E21)),"",'Reforecast Q1 2026'!E21-Actuals!E21)</f>
        <v>0</v>
      </c>
      <c r="M15" s="132" t="n">
        <f aca="false">IFERROR(IF(OR(3&gt;$B$3,ISBLANK(Actuals!E21)),"",('Reforecast Q1 2026'!E21-Actuals!E21)/ABS('Reforecast Q1 2026'!E21)),"")</f>
        <v>0</v>
      </c>
      <c r="N15" s="131" t="n">
        <f aca="false">'Reforecast Q1 2026'!F21</f>
        <v>-164791.666666667</v>
      </c>
      <c r="O15" s="131" t="n">
        <f aca="false">IF(OR(4&gt;$B$3,ISBLANK(Actuals!F21)),"",Actuals!F21)</f>
        <v>-187693.63</v>
      </c>
      <c r="P15" s="132" t="n">
        <f aca="false">IF(OR(4&gt;$B$3,ISBLANK(Actuals!F21)),"",'Reforecast Q1 2026'!F21-Actuals!F21)</f>
        <v>22901.963333333</v>
      </c>
      <c r="Q15" s="132" t="n">
        <f aca="false">IFERROR(IF(OR(4&gt;$B$3,ISBLANK(Actuals!F21)),"",('Reforecast Q1 2026'!F21-Actuals!F21)/ABS('Reforecast Q1 2026'!F21)),"")</f>
        <v>0.138975251580276</v>
      </c>
      <c r="R15" s="131" t="n">
        <f aca="false">'Reforecast Q1 2026'!G21</f>
        <v>-189375</v>
      </c>
      <c r="S15" s="131" t="n">
        <f aca="false">IF(OR(5&gt;$B$3,ISBLANK(Actuals!G21)),"",Actuals!G21)</f>
        <v>-295949.1</v>
      </c>
      <c r="T15" s="132" t="n">
        <f aca="false">IF(OR(5&gt;$B$3,ISBLANK(Actuals!G21)),"",'Reforecast Q1 2026'!G21-Actuals!G21)</f>
        <v>106574.1</v>
      </c>
      <c r="U15" s="132" t="n">
        <f aca="false">IFERROR(IF(OR(5&gt;$B$3,ISBLANK(Actuals!G21)),"",('Reforecast Q1 2026'!G21-Actuals!G21)/ABS('Reforecast Q1 2026'!G21)),"")</f>
        <v>0.562767524752475</v>
      </c>
      <c r="V15" s="131" t="n">
        <f aca="false">'Reforecast Q1 2026'!H21</f>
        <v>-214375</v>
      </c>
      <c r="W15" s="131" t="n">
        <f aca="false">IF(OR(6&gt;$B$3,ISBLANK(Actuals!H21)),"",Actuals!H21)</f>
        <v>-198645.92</v>
      </c>
      <c r="X15" s="132" t="n">
        <f aca="false">IF(OR(6&gt;$B$3,ISBLANK(Actuals!H21)),"",'Reforecast Q1 2026'!H21-Actuals!H21)</f>
        <v>-15729.08</v>
      </c>
      <c r="Y15" s="132" t="n">
        <f aca="false">IFERROR(IF(OR(6&gt;$B$3,ISBLANK(Actuals!H21)),"",('Reforecast Q1 2026'!H21-Actuals!H21)/ABS('Reforecast Q1 2026'!H21)),"")</f>
        <v>-0.0733718017492711</v>
      </c>
      <c r="Z15" s="131" t="n">
        <f aca="false">'Reforecast Q1 2026'!I21</f>
        <v>-225208.333333333</v>
      </c>
      <c r="AA15" s="131" t="n">
        <f aca="false">IF(OR(7&gt;$B$3,ISBLANK(Actuals!I21)),"",Actuals!I21)</f>
        <v>-215851.71</v>
      </c>
      <c r="AB15" s="132" t="n">
        <f aca="false">IF(OR(7&gt;$B$3,ISBLANK(Actuals!I21)),"",'Reforecast Q1 2026'!I21-Actuals!I21)</f>
        <v>-9356.623333333</v>
      </c>
      <c r="AC15" s="132" t="n">
        <f aca="false">IFERROR(IF(OR(7&gt;$B$3,ISBLANK(Actuals!I21)),"",('Reforecast Q1 2026'!I21-Actuals!I21)/ABS('Reforecast Q1 2026'!I21)),"")</f>
        <v>-0.0415465235892678</v>
      </c>
      <c r="AD15" s="131" t="n">
        <f aca="false">'Reforecast Q1 2026'!J21</f>
        <v>-225208.333333333</v>
      </c>
      <c r="AE15" s="131" t="n">
        <f aca="false">IF(OR(8&gt;$B$3,ISBLANK(Actuals!J21)),"",Actuals!J21)</f>
        <v>-217610.65</v>
      </c>
      <c r="AF15" s="132" t="n">
        <f aca="false">IF(OR(8&gt;$B$3,ISBLANK(Actuals!J21)),"",'Reforecast Q1 2026'!J21-Actuals!J21)</f>
        <v>-7597.683333333</v>
      </c>
      <c r="AG15" s="132" t="n">
        <f aca="false">IFERROR(IF(OR(8&gt;$B$3,ISBLANK(Actuals!J21)),"",('Reforecast Q1 2026'!J21-Actuals!J21)/ABS('Reforecast Q1 2026'!J21)),"")</f>
        <v>-0.0337362442183149</v>
      </c>
      <c r="AH15" s="131" t="n">
        <f aca="false">'Reforecast Q1 2026'!K21</f>
        <v>-225208.333333333</v>
      </c>
      <c r="AI15" s="131" t="n">
        <f aca="false">IF(OR(9&gt;$B$3,ISBLANK(Actuals!K21)),"",Actuals!K21)</f>
        <v>-223657.14</v>
      </c>
      <c r="AJ15" s="132" t="n">
        <f aca="false">IF(OR(9&gt;$B$3,ISBLANK(Actuals!K21)),"",'Reforecast Q1 2026'!K21-Actuals!K21)</f>
        <v>-1551.19333333298</v>
      </c>
      <c r="AK15" s="132" t="n">
        <f aca="false">IFERROR(IF(OR(9&gt;$B$3,ISBLANK(Actuals!K21)),"",('Reforecast Q1 2026'!K21-Actuals!K21)/ABS('Reforecast Q1 2026'!K21)),"")</f>
        <v>-0.0068878149861224</v>
      </c>
      <c r="AL15" s="131" t="n">
        <f aca="false">'Reforecast Q1 2026'!L21</f>
        <v>-246041.666666667</v>
      </c>
      <c r="AM15" s="131" t="str">
        <f aca="false">IF(OR(10&gt;$B$3,ISBLANK(Actuals!L21)),"",Actuals!L21)</f>
        <v/>
      </c>
      <c r="AN15" s="132" t="str">
        <f aca="false">IF(OR(10&gt;$B$3,ISBLANK(Actuals!L21)),"",'Reforecast Q1 2026'!L21-Actuals!L21)</f>
        <v/>
      </c>
      <c r="AO15" s="132" t="str">
        <f aca="false">IFERROR(IF(OR(10&gt;$B$3,ISBLANK(Actuals!L21)),"",('Reforecast Q1 2026'!L21-Actuals!L21)/ABS('Reforecast Q1 2026'!L21)),"")</f>
        <v/>
      </c>
      <c r="AP15" s="131" t="n">
        <f aca="false">'Reforecast Q1 2026'!M21</f>
        <v>-276041.666666667</v>
      </c>
      <c r="AQ15" s="131" t="str">
        <f aca="false">IF(OR(11&gt;$B$3,ISBLANK(Actuals!M21)),"",Actuals!M21)</f>
        <v/>
      </c>
      <c r="AR15" s="132" t="str">
        <f aca="false">IF(OR(11&gt;$B$3,ISBLANK(Actuals!M21)),"",'Reforecast Q1 2026'!M21-Actuals!M21)</f>
        <v/>
      </c>
      <c r="AS15" s="132" t="str">
        <f aca="false">IFERROR(IF(OR(11&gt;$B$3,ISBLANK(Actuals!M21)),"",('Reforecast Q1 2026'!M21-Actuals!M21)/ABS('Reforecast Q1 2026'!M21)),"")</f>
        <v/>
      </c>
      <c r="AT15" s="131" t="n">
        <f aca="false">'Reforecast Q1 2026'!N21</f>
        <v>-276041.666666667</v>
      </c>
      <c r="AU15" s="131" t="str">
        <f aca="false">IF(OR(12&gt;$B$3,ISBLANK(Actuals!N21)),"",Actuals!N21)</f>
        <v/>
      </c>
      <c r="AV15" s="132" t="str">
        <f aca="false">IF(OR(12&gt;$B$3,ISBLANK(Actuals!N21)),"",'Reforecast Q1 2026'!N21-Actuals!N21)</f>
        <v/>
      </c>
      <c r="AW15" s="132" t="str">
        <f aca="false">IFERROR(IF(OR(12&gt;$B$3,ISBLANK(Actuals!N21)),"",('Reforecast Q1 2026'!N21-Actuals!N21)/ABS('Reforecast Q1 2026'!N21)),"")</f>
        <v/>
      </c>
      <c r="AX15" s="133" t="n">
        <f aca="false">SUMPRODUCT((Actuals!C21:N21&lt;&gt;"")*('Reforecast Q1 2026'!C21:N21))</f>
        <v>-1718258.26666667</v>
      </c>
      <c r="AY15" s="133" t="n">
        <f aca="false">SUM(Actuals!C21:N21)</f>
        <v>-1813499.75</v>
      </c>
      <c r="AZ15" s="134" t="n">
        <f aca="false">AX15-AY15</f>
        <v>95241.4833333341</v>
      </c>
    </row>
    <row r="16" customFormat="false" ht="15" hidden="false" customHeight="true" outlineLevel="0" collapsed="false">
      <c r="A16" s="130" t="s">
        <v>65</v>
      </c>
      <c r="B16" s="131" t="n">
        <f aca="false">'Reforecast Q1 2026'!C22</f>
        <v>-7450.37</v>
      </c>
      <c r="C16" s="131" t="n">
        <f aca="false">IF(OR(1&gt;$B$3,ISBLANK(Actuals!C22)),"",Actuals!C22)</f>
        <v>-7450.37</v>
      </c>
      <c r="D16" s="132" t="n">
        <f aca="false">IF(OR(1&gt;$B$3,ISBLANK(Actuals!C22)),"",'Reforecast Q1 2026'!C22-Actuals!C22)</f>
        <v>0</v>
      </c>
      <c r="E16" s="132" t="n">
        <f aca="false">IFERROR(IF(OR(1&gt;$B$3,ISBLANK(Actuals!C22)),"",('Reforecast Q1 2026'!C22-Actuals!C22)/ABS('Reforecast Q1 2026'!C22)),"")</f>
        <v>0</v>
      </c>
      <c r="F16" s="131" t="n">
        <f aca="false">'Reforecast Q1 2026'!D22</f>
        <v>-10567.2</v>
      </c>
      <c r="G16" s="131" t="n">
        <f aca="false">IF(OR(2&gt;$B$3,ISBLANK(Actuals!D22)),"",Actuals!D22)</f>
        <v>-10567.2</v>
      </c>
      <c r="H16" s="132" t="n">
        <f aca="false">IF(OR(2&gt;$B$3,ISBLANK(Actuals!D22)),"",'Reforecast Q1 2026'!D22-Actuals!D22)</f>
        <v>0</v>
      </c>
      <c r="I16" s="132" t="n">
        <f aca="false">IFERROR(IF(OR(2&gt;$B$3,ISBLANK(Actuals!D22)),"",('Reforecast Q1 2026'!D22-Actuals!D22)/ABS('Reforecast Q1 2026'!D22)),"")</f>
        <v>0</v>
      </c>
      <c r="J16" s="131" t="n">
        <f aca="false">'Reforecast Q1 2026'!E22</f>
        <v>-17033.3</v>
      </c>
      <c r="K16" s="131" t="n">
        <f aca="false">IF(OR(3&gt;$B$3,ISBLANK(Actuals!E22)),"",Actuals!E22)</f>
        <v>-17033.3</v>
      </c>
      <c r="L16" s="132" t="n">
        <f aca="false">IF(OR(3&gt;$B$3,ISBLANK(Actuals!E22)),"",'Reforecast Q1 2026'!E22-Actuals!E22)</f>
        <v>0</v>
      </c>
      <c r="M16" s="132" t="n">
        <f aca="false">IFERROR(IF(OR(3&gt;$B$3,ISBLANK(Actuals!E22)),"",('Reforecast Q1 2026'!E22-Actuals!E22)/ABS('Reforecast Q1 2026'!E22)),"")</f>
        <v>0</v>
      </c>
      <c r="N16" s="131" t="n">
        <f aca="false">'Reforecast Q1 2026'!F22</f>
        <v>-15327.0833333333</v>
      </c>
      <c r="O16" s="131" t="n">
        <f aca="false">IF(OR(4&gt;$B$3,ISBLANK(Actuals!F22)),"",Actuals!F22)</f>
        <v>-14599.57</v>
      </c>
      <c r="P16" s="132" t="n">
        <f aca="false">IF(OR(4&gt;$B$3,ISBLANK(Actuals!F22)),"",'Reforecast Q1 2026'!F22-Actuals!F22)</f>
        <v>-727.5133333333</v>
      </c>
      <c r="Q16" s="132" t="n">
        <f aca="false">IFERROR(IF(OR(4&gt;$B$3,ISBLANK(Actuals!F22)),"",('Reforecast Q1 2026'!F22-Actuals!F22)/ABS('Reforecast Q1 2026'!F22)),"")</f>
        <v>-0.0474658692401773</v>
      </c>
      <c r="R16" s="131" t="n">
        <f aca="false">'Reforecast Q1 2026'!G22</f>
        <v>-17047.9166666667</v>
      </c>
      <c r="S16" s="131" t="n">
        <f aca="false">IF(OR(5&gt;$B$3,ISBLANK(Actuals!G22)),"",Actuals!G22)</f>
        <v>-23689.02</v>
      </c>
      <c r="T16" s="132" t="n">
        <f aca="false">IF(OR(5&gt;$B$3,ISBLANK(Actuals!G22)),"",'Reforecast Q1 2026'!G22-Actuals!G22)</f>
        <v>6641.1033333333</v>
      </c>
      <c r="U16" s="132" t="n">
        <f aca="false">IFERROR(IF(OR(5&gt;$B$3,ISBLANK(Actuals!G22)),"",('Reforecast Q1 2026'!G22-Actuals!G22)/ABS('Reforecast Q1 2026'!G22)),"")</f>
        <v>0.389555126481728</v>
      </c>
      <c r="V16" s="131" t="n">
        <f aca="false">'Reforecast Q1 2026'!H22</f>
        <v>-18797.9166666667</v>
      </c>
      <c r="W16" s="131" t="n">
        <f aca="false">IF(OR(6&gt;$B$3,ISBLANK(Actuals!H22)),"",Actuals!H22)</f>
        <v>-14793.67</v>
      </c>
      <c r="X16" s="132" t="n">
        <f aca="false">IF(OR(6&gt;$B$3,ISBLANK(Actuals!H22)),"",'Reforecast Q1 2026'!H22-Actuals!H22)</f>
        <v>-4004.2466666667</v>
      </c>
      <c r="Y16" s="132" t="n">
        <f aca="false">IFERROR(IF(OR(6&gt;$B$3,ISBLANK(Actuals!H22)),"",('Reforecast Q1 2026'!H22-Actuals!H22)/ABS('Reforecast Q1 2026'!H22)),"")</f>
        <v>-0.213015449407072</v>
      </c>
      <c r="Z16" s="131" t="n">
        <f aca="false">'Reforecast Q1 2026'!I22</f>
        <v>-19556.25</v>
      </c>
      <c r="AA16" s="131" t="n">
        <f aca="false">IF(OR(7&gt;$B$3,ISBLANK(Actuals!I22)),"",Actuals!I22)</f>
        <v>-16311.09</v>
      </c>
      <c r="AB16" s="132" t="n">
        <f aca="false">IF(OR(7&gt;$B$3,ISBLANK(Actuals!I22)),"",'Reforecast Q1 2026'!I22-Actuals!I22)</f>
        <v>-3245.16</v>
      </c>
      <c r="AC16" s="132" t="n">
        <f aca="false">IFERROR(IF(OR(7&gt;$B$3,ISBLANK(Actuals!I22)),"",('Reforecast Q1 2026'!I22-Actuals!I22)/ABS('Reforecast Q1 2026'!I22)),"")</f>
        <v>-0.16593978906999</v>
      </c>
      <c r="AD16" s="131" t="n">
        <f aca="false">'Reforecast Q1 2026'!J22</f>
        <v>-19556.25</v>
      </c>
      <c r="AE16" s="131" t="n">
        <f aca="false">IF(OR(8&gt;$B$3,ISBLANK(Actuals!J22)),"",Actuals!J22)</f>
        <v>-16725.56</v>
      </c>
      <c r="AF16" s="132" t="n">
        <f aca="false">IF(OR(8&gt;$B$3,ISBLANK(Actuals!J22)),"",'Reforecast Q1 2026'!J22-Actuals!J22)</f>
        <v>-2830.69</v>
      </c>
      <c r="AG16" s="132" t="n">
        <f aca="false">IFERROR(IF(OR(8&gt;$B$3,ISBLANK(Actuals!J22)),"",('Reforecast Q1 2026'!J22-Actuals!J22)/ABS('Reforecast Q1 2026'!J22)),"")</f>
        <v>-0.144746053052093</v>
      </c>
      <c r="AH16" s="131" t="n">
        <f aca="false">'Reforecast Q1 2026'!K22</f>
        <v>-19556.25</v>
      </c>
      <c r="AI16" s="131" t="n">
        <f aca="false">IF(OR(9&gt;$B$3,ISBLANK(Actuals!K22)),"",Actuals!K22)</f>
        <v>-16989.18</v>
      </c>
      <c r="AJ16" s="132" t="n">
        <f aca="false">IF(OR(9&gt;$B$3,ISBLANK(Actuals!K22)),"",'Reforecast Q1 2026'!K22-Actuals!K22)</f>
        <v>-2567.07</v>
      </c>
      <c r="AK16" s="132" t="n">
        <f aca="false">IFERROR(IF(OR(9&gt;$B$3,ISBLANK(Actuals!K22)),"",('Reforecast Q1 2026'!K22-Actuals!K22)/ABS('Reforecast Q1 2026'!K22)),"")</f>
        <v>-0.131265963566635</v>
      </c>
      <c r="AL16" s="131" t="n">
        <f aca="false">'Reforecast Q1 2026'!L22</f>
        <v>-21014.5833333333</v>
      </c>
      <c r="AM16" s="131" t="str">
        <f aca="false">IF(OR(10&gt;$B$3,ISBLANK(Actuals!L22)),"",Actuals!L22)</f>
        <v/>
      </c>
      <c r="AN16" s="132" t="str">
        <f aca="false">IF(OR(10&gt;$B$3,ISBLANK(Actuals!L22)),"",'Reforecast Q1 2026'!L22-Actuals!L22)</f>
        <v/>
      </c>
      <c r="AO16" s="132" t="str">
        <f aca="false">IFERROR(IF(OR(10&gt;$B$3,ISBLANK(Actuals!L22)),"",('Reforecast Q1 2026'!L22-Actuals!L22)/ABS('Reforecast Q1 2026'!L22)),"")</f>
        <v/>
      </c>
      <c r="AP16" s="131" t="n">
        <f aca="false">'Reforecast Q1 2026'!M22</f>
        <v>-23114.5833333333</v>
      </c>
      <c r="AQ16" s="131" t="str">
        <f aca="false">IF(OR(11&gt;$B$3,ISBLANK(Actuals!M22)),"",Actuals!M22)</f>
        <v/>
      </c>
      <c r="AR16" s="132" t="str">
        <f aca="false">IF(OR(11&gt;$B$3,ISBLANK(Actuals!M22)),"",'Reforecast Q1 2026'!M22-Actuals!M22)</f>
        <v/>
      </c>
      <c r="AS16" s="132" t="str">
        <f aca="false">IFERROR(IF(OR(11&gt;$B$3,ISBLANK(Actuals!M22)),"",('Reforecast Q1 2026'!M22-Actuals!M22)/ABS('Reforecast Q1 2026'!M22)),"")</f>
        <v/>
      </c>
      <c r="AT16" s="131" t="n">
        <f aca="false">'Reforecast Q1 2026'!N22</f>
        <v>-23114.5833333333</v>
      </c>
      <c r="AU16" s="131" t="str">
        <f aca="false">IF(OR(12&gt;$B$3,ISBLANK(Actuals!N22)),"",Actuals!N22)</f>
        <v/>
      </c>
      <c r="AV16" s="132" t="str">
        <f aca="false">IF(OR(12&gt;$B$3,ISBLANK(Actuals!N22)),"",'Reforecast Q1 2026'!N22-Actuals!N22)</f>
        <v/>
      </c>
      <c r="AW16" s="132" t="str">
        <f aca="false">IFERROR(IF(OR(12&gt;$B$3,ISBLANK(Actuals!N22)),"",('Reforecast Q1 2026'!N22-Actuals!N22)/ABS('Reforecast Q1 2026'!N22)),"")</f>
        <v/>
      </c>
      <c r="AX16" s="133" t="n">
        <f aca="false">SUMPRODUCT((Actuals!C22:N22&lt;&gt;"")*('Reforecast Q1 2026'!C22:N22))</f>
        <v>-144892.536666667</v>
      </c>
      <c r="AY16" s="133" t="n">
        <f aca="false">SUM(Actuals!C22:N22)</f>
        <v>-138158.96</v>
      </c>
      <c r="AZ16" s="134" t="n">
        <f aca="false">AX16-AY16</f>
        <v>-6733.57666666672</v>
      </c>
    </row>
    <row r="17" customFormat="false" ht="15" hidden="false" customHeight="true" outlineLevel="0" collapsed="false">
      <c r="A17" s="130" t="s">
        <v>66</v>
      </c>
      <c r="B17" s="131" t="n">
        <f aca="false">'Reforecast Q1 2026'!C23</f>
        <v>0</v>
      </c>
      <c r="C17" s="131" t="str">
        <f aca="false">IF(OR(1&gt;$B$3,ISBLANK(Actuals!C23)),"",Actuals!C23)</f>
        <v/>
      </c>
      <c r="D17" s="132" t="str">
        <f aca="false">IF(OR(1&gt;$B$3,ISBLANK(Actuals!C23)),"",'Reforecast Q1 2026'!C23-Actuals!C23)</f>
        <v/>
      </c>
      <c r="E17" s="132" t="str">
        <f aca="false">IFERROR(IF(OR(1&gt;$B$3,ISBLANK(Actuals!C23)),"",('Reforecast Q1 2026'!C23-Actuals!C23)/ABS('Reforecast Q1 2026'!C23)),"")</f>
        <v/>
      </c>
      <c r="F17" s="131" t="n">
        <f aca="false">'Reforecast Q1 2026'!D23</f>
        <v>0</v>
      </c>
      <c r="G17" s="131" t="str">
        <f aca="false">IF(OR(2&gt;$B$3,ISBLANK(Actuals!D23)),"",Actuals!D23)</f>
        <v/>
      </c>
      <c r="H17" s="132" t="str">
        <f aca="false">IF(OR(2&gt;$B$3,ISBLANK(Actuals!D23)),"",'Reforecast Q1 2026'!D23-Actuals!D23)</f>
        <v/>
      </c>
      <c r="I17" s="132" t="str">
        <f aca="false">IFERROR(IF(OR(2&gt;$B$3,ISBLANK(Actuals!D23)),"",('Reforecast Q1 2026'!D23-Actuals!D23)/ABS('Reforecast Q1 2026'!D23)),"")</f>
        <v/>
      </c>
      <c r="J17" s="131" t="n">
        <f aca="false">'Reforecast Q1 2026'!E23</f>
        <v>0</v>
      </c>
      <c r="K17" s="131" t="str">
        <f aca="false">IF(OR(3&gt;$B$3,ISBLANK(Actuals!E23)),"",Actuals!E23)</f>
        <v/>
      </c>
      <c r="L17" s="132" t="str">
        <f aca="false">IF(OR(3&gt;$B$3,ISBLANK(Actuals!E23)),"",'Reforecast Q1 2026'!E23-Actuals!E23)</f>
        <v/>
      </c>
      <c r="M17" s="132" t="str">
        <f aca="false">IFERROR(IF(OR(3&gt;$B$3,ISBLANK(Actuals!E23)),"",('Reforecast Q1 2026'!E23-Actuals!E23)/ABS('Reforecast Q1 2026'!E23)),"")</f>
        <v/>
      </c>
      <c r="N17" s="131" t="n">
        <f aca="false">'Reforecast Q1 2026'!F23</f>
        <v>-103833.333333333</v>
      </c>
      <c r="O17" s="131" t="n">
        <f aca="false">IF(OR(4&gt;$B$3,ISBLANK(Actuals!F23)),"",Actuals!F23)</f>
        <v>0</v>
      </c>
      <c r="P17" s="132" t="n">
        <f aca="false">IF(OR(4&gt;$B$3,ISBLANK(Actuals!F23)),"",'Reforecast Q1 2026'!F23-Actuals!F23)</f>
        <v>-103833.333333333</v>
      </c>
      <c r="Q17" s="132" t="n">
        <f aca="false">IFERROR(IF(OR(4&gt;$B$3,ISBLANK(Actuals!F23)),"",('Reforecast Q1 2026'!F23-Actuals!F23)/ABS('Reforecast Q1 2026'!F23)),"")</f>
        <v>-1</v>
      </c>
      <c r="R17" s="131" t="n">
        <f aca="false">'Reforecast Q1 2026'!G23</f>
        <v>-103833.333333333</v>
      </c>
      <c r="S17" s="131" t="n">
        <f aca="false">IF(OR(5&gt;$B$3,ISBLANK(Actuals!G23)),"",Actuals!G23)</f>
        <v>0</v>
      </c>
      <c r="T17" s="132" t="n">
        <f aca="false">IF(OR(5&gt;$B$3,ISBLANK(Actuals!G23)),"",'Reforecast Q1 2026'!G23-Actuals!G23)</f>
        <v>-103833.333333333</v>
      </c>
      <c r="U17" s="132" t="n">
        <f aca="false">IFERROR(IF(OR(5&gt;$B$3,ISBLANK(Actuals!G23)),"",('Reforecast Q1 2026'!G23-Actuals!G23)/ABS('Reforecast Q1 2026'!G23)),"")</f>
        <v>-1</v>
      </c>
      <c r="V17" s="131" t="n">
        <f aca="false">'Reforecast Q1 2026'!H23</f>
        <v>-103833.333333333</v>
      </c>
      <c r="W17" s="131" t="n">
        <f aca="false">IF(OR(6&gt;$B$3,ISBLANK(Actuals!H23)),"",Actuals!H23)</f>
        <v>0</v>
      </c>
      <c r="X17" s="132" t="n">
        <f aca="false">IF(OR(6&gt;$B$3,ISBLANK(Actuals!H23)),"",'Reforecast Q1 2026'!H23-Actuals!H23)</f>
        <v>-103833.333333333</v>
      </c>
      <c r="Y17" s="132" t="n">
        <f aca="false">IFERROR(IF(OR(6&gt;$B$3,ISBLANK(Actuals!H23)),"",('Reforecast Q1 2026'!H23-Actuals!H23)/ABS('Reforecast Q1 2026'!H23)),"")</f>
        <v>-1</v>
      </c>
      <c r="Z17" s="131" t="n">
        <f aca="false">'Reforecast Q1 2026'!I23</f>
        <v>-103833.333333333</v>
      </c>
      <c r="AA17" s="131" t="n">
        <f aca="false">IF(OR(7&gt;$B$3,ISBLANK(Actuals!I23)),"",Actuals!I23)</f>
        <v>0</v>
      </c>
      <c r="AB17" s="132" t="n">
        <f aca="false">IF(OR(7&gt;$B$3,ISBLANK(Actuals!I23)),"",'Reforecast Q1 2026'!I23-Actuals!I23)</f>
        <v>-103833.333333333</v>
      </c>
      <c r="AC17" s="132" t="n">
        <f aca="false">IFERROR(IF(OR(7&gt;$B$3,ISBLANK(Actuals!I23)),"",('Reforecast Q1 2026'!I23-Actuals!I23)/ABS('Reforecast Q1 2026'!I23)),"")</f>
        <v>-1</v>
      </c>
      <c r="AD17" s="131" t="n">
        <f aca="false">'Reforecast Q1 2026'!J23</f>
        <v>-103833.333333333</v>
      </c>
      <c r="AE17" s="131" t="n">
        <f aca="false">IF(OR(8&gt;$B$3,ISBLANK(Actuals!J23)),"",Actuals!J23)</f>
        <v>0</v>
      </c>
      <c r="AF17" s="132" t="n">
        <f aca="false">IF(OR(8&gt;$B$3,ISBLANK(Actuals!J23)),"",'Reforecast Q1 2026'!J23-Actuals!J23)</f>
        <v>-103833.333333333</v>
      </c>
      <c r="AG17" s="132" t="n">
        <f aca="false">IFERROR(IF(OR(8&gt;$B$3,ISBLANK(Actuals!J23)),"",('Reforecast Q1 2026'!J23-Actuals!J23)/ABS('Reforecast Q1 2026'!J23)),"")</f>
        <v>-1</v>
      </c>
      <c r="AH17" s="131" t="n">
        <f aca="false">'Reforecast Q1 2026'!K23</f>
        <v>-103833.333333333</v>
      </c>
      <c r="AI17" s="131" t="n">
        <f aca="false">IF(OR(9&gt;$B$3,ISBLANK(Actuals!K23)),"",Actuals!K23)</f>
        <v>0</v>
      </c>
      <c r="AJ17" s="132" t="n">
        <f aca="false">IF(OR(9&gt;$B$3,ISBLANK(Actuals!K23)),"",'Reforecast Q1 2026'!K23-Actuals!K23)</f>
        <v>-103833.333333333</v>
      </c>
      <c r="AK17" s="132" t="n">
        <f aca="false">IFERROR(IF(OR(9&gt;$B$3,ISBLANK(Actuals!K23)),"",('Reforecast Q1 2026'!K23-Actuals!K23)/ABS('Reforecast Q1 2026'!K23)),"")</f>
        <v>-1</v>
      </c>
      <c r="AL17" s="131" t="n">
        <f aca="false">'Reforecast Q1 2026'!L23</f>
        <v>-103833.333333333</v>
      </c>
      <c r="AM17" s="131" t="str">
        <f aca="false">IF(OR(10&gt;$B$3,ISBLANK(Actuals!L23)),"",Actuals!L23)</f>
        <v/>
      </c>
      <c r="AN17" s="132" t="str">
        <f aca="false">IF(OR(10&gt;$B$3,ISBLANK(Actuals!L23)),"",'Reforecast Q1 2026'!L23-Actuals!L23)</f>
        <v/>
      </c>
      <c r="AO17" s="132" t="str">
        <f aca="false">IFERROR(IF(OR(10&gt;$B$3,ISBLANK(Actuals!L23)),"",('Reforecast Q1 2026'!L23-Actuals!L23)/ABS('Reforecast Q1 2026'!L23)),"")</f>
        <v/>
      </c>
      <c r="AP17" s="131" t="n">
        <f aca="false">'Reforecast Q1 2026'!M23</f>
        <v>-103833.333333333</v>
      </c>
      <c r="AQ17" s="131" t="str">
        <f aca="false">IF(OR(11&gt;$B$3,ISBLANK(Actuals!M23)),"",Actuals!M23)</f>
        <v/>
      </c>
      <c r="AR17" s="132" t="str">
        <f aca="false">IF(OR(11&gt;$B$3,ISBLANK(Actuals!M23)),"",'Reforecast Q1 2026'!M23-Actuals!M23)</f>
        <v/>
      </c>
      <c r="AS17" s="132" t="str">
        <f aca="false">IFERROR(IF(OR(11&gt;$B$3,ISBLANK(Actuals!M23)),"",('Reforecast Q1 2026'!M23-Actuals!M23)/ABS('Reforecast Q1 2026'!M23)),"")</f>
        <v/>
      </c>
      <c r="AT17" s="131" t="n">
        <f aca="false">'Reforecast Q1 2026'!N23</f>
        <v>-103833.333333333</v>
      </c>
      <c r="AU17" s="131" t="str">
        <f aca="false">IF(OR(12&gt;$B$3,ISBLANK(Actuals!N23)),"",Actuals!N23)</f>
        <v/>
      </c>
      <c r="AV17" s="132" t="str">
        <f aca="false">IF(OR(12&gt;$B$3,ISBLANK(Actuals!N23)),"",'Reforecast Q1 2026'!N23-Actuals!N23)</f>
        <v/>
      </c>
      <c r="AW17" s="132" t="str">
        <f aca="false">IFERROR(IF(OR(12&gt;$B$3,ISBLANK(Actuals!N23)),"",('Reforecast Q1 2026'!N23-Actuals!N23)/ABS('Reforecast Q1 2026'!N23)),"")</f>
        <v/>
      </c>
      <c r="AX17" s="133" t="n">
        <f aca="false">SUMPRODUCT((Actuals!C23:N23&lt;&gt;"")*('Reforecast Q1 2026'!C23:N23))</f>
        <v>-622999.999999998</v>
      </c>
      <c r="AY17" s="133" t="n">
        <f aca="false">SUM(Actuals!C23:N23)</f>
        <v>0</v>
      </c>
      <c r="AZ17" s="134" t="n">
        <f aca="false">AX17-AY17</f>
        <v>-622999.999999998</v>
      </c>
    </row>
    <row r="18" customFormat="false" ht="15" hidden="false" customHeight="true" outlineLevel="0" collapsed="false">
      <c r="A18" s="130" t="s">
        <v>67</v>
      </c>
      <c r="B18" s="131" t="n">
        <f aca="false">'Reforecast Q1 2026'!C24</f>
        <v>-9482.97</v>
      </c>
      <c r="C18" s="131" t="n">
        <f aca="false">IF(OR(1&gt;$B$3,ISBLANK(Actuals!C24)),"",Actuals!C24)</f>
        <v>-9482.97</v>
      </c>
      <c r="D18" s="132" t="n">
        <f aca="false">IF(OR(1&gt;$B$3,ISBLANK(Actuals!C24)),"",'Reforecast Q1 2026'!C24-Actuals!C24)</f>
        <v>0</v>
      </c>
      <c r="E18" s="132" t="n">
        <f aca="false">IFERROR(IF(OR(1&gt;$B$3,ISBLANK(Actuals!C24)),"",('Reforecast Q1 2026'!C24-Actuals!C24)/ABS('Reforecast Q1 2026'!C24)),"")</f>
        <v>0</v>
      </c>
      <c r="F18" s="131" t="n">
        <f aca="false">'Reforecast Q1 2026'!D24</f>
        <v>-10343.29</v>
      </c>
      <c r="G18" s="131" t="n">
        <f aca="false">IF(OR(2&gt;$B$3,ISBLANK(Actuals!D24)),"",Actuals!D24)</f>
        <v>-10343.29</v>
      </c>
      <c r="H18" s="132" t="n">
        <f aca="false">IF(OR(2&gt;$B$3,ISBLANK(Actuals!D24)),"",'Reforecast Q1 2026'!D24-Actuals!D24)</f>
        <v>0</v>
      </c>
      <c r="I18" s="132" t="n">
        <f aca="false">IFERROR(IF(OR(2&gt;$B$3,ISBLANK(Actuals!D24)),"",('Reforecast Q1 2026'!D24-Actuals!D24)/ABS('Reforecast Q1 2026'!D24)),"")</f>
        <v>0</v>
      </c>
      <c r="J18" s="131" t="n">
        <f aca="false">'Reforecast Q1 2026'!E24</f>
        <v>-3729.48</v>
      </c>
      <c r="K18" s="131" t="n">
        <f aca="false">IF(OR(3&gt;$B$3,ISBLANK(Actuals!E24)),"",Actuals!E24)</f>
        <v>-3729.48</v>
      </c>
      <c r="L18" s="132" t="n">
        <f aca="false">IF(OR(3&gt;$B$3,ISBLANK(Actuals!E24)),"",'Reforecast Q1 2026'!E24-Actuals!E24)</f>
        <v>0</v>
      </c>
      <c r="M18" s="132" t="n">
        <f aca="false">IFERROR(IF(OR(3&gt;$B$3,ISBLANK(Actuals!E24)),"",('Reforecast Q1 2026'!E24-Actuals!E24)/ABS('Reforecast Q1 2026'!E24)),"")</f>
        <v>0</v>
      </c>
      <c r="N18" s="131" t="n">
        <f aca="false">'Reforecast Q1 2026'!F24</f>
        <v>-10947.9166666667</v>
      </c>
      <c r="O18" s="131" t="n">
        <f aca="false">IF(OR(4&gt;$B$3,ISBLANK(Actuals!F24)),"",Actuals!F24)</f>
        <v>-3206.79</v>
      </c>
      <c r="P18" s="132" t="n">
        <f aca="false">IF(OR(4&gt;$B$3,ISBLANK(Actuals!F24)),"",'Reforecast Q1 2026'!F24-Actuals!F24)</f>
        <v>-7741.1266666667</v>
      </c>
      <c r="Q18" s="132" t="n">
        <f aca="false">IFERROR(IF(OR(4&gt;$B$3,ISBLANK(Actuals!F24)),"",('Reforecast Q1 2026'!F24-Actuals!F24)/ABS('Reforecast Q1 2026'!F24)),"")</f>
        <v>-0.707086736441485</v>
      </c>
      <c r="R18" s="131" t="n">
        <f aca="false">'Reforecast Q1 2026'!G24</f>
        <v>-12177.0833333333</v>
      </c>
      <c r="S18" s="131" t="n">
        <f aca="false">IF(OR(5&gt;$B$3,ISBLANK(Actuals!G24)),"",Actuals!G24)</f>
        <v>10942.55</v>
      </c>
      <c r="T18" s="132" t="n">
        <f aca="false">IF(OR(5&gt;$B$3,ISBLANK(Actuals!G24)),"",'Reforecast Q1 2026'!G24-Actuals!G24)</f>
        <v>-23119.6333333333</v>
      </c>
      <c r="U18" s="132" t="n">
        <f aca="false">IFERROR(IF(OR(5&gt;$B$3,ISBLANK(Actuals!G24)),"",('Reforecast Q1 2026'!G24-Actuals!G24)/ABS('Reforecast Q1 2026'!G24)),"")</f>
        <v>-1.89861830624466</v>
      </c>
      <c r="V18" s="131" t="n">
        <f aca="false">'Reforecast Q1 2026'!H24</f>
        <v>-13427.0833333333</v>
      </c>
      <c r="W18" s="131" t="n">
        <f aca="false">IF(OR(6&gt;$B$3,ISBLANK(Actuals!H24)),"",Actuals!H24)</f>
        <v>-8982.91</v>
      </c>
      <c r="X18" s="132" t="n">
        <f aca="false">IF(OR(6&gt;$B$3,ISBLANK(Actuals!H24)),"",'Reforecast Q1 2026'!H24-Actuals!H24)</f>
        <v>-4444.1733333333</v>
      </c>
      <c r="Y18" s="132" t="n">
        <f aca="false">IFERROR(IF(OR(6&gt;$B$3,ISBLANK(Actuals!H24)),"",('Reforecast Q1 2026'!H24-Actuals!H24)/ABS('Reforecast Q1 2026'!H24)),"")</f>
        <v>-0.330985756400309</v>
      </c>
      <c r="Z18" s="131" t="n">
        <f aca="false">'Reforecast Q1 2026'!I24</f>
        <v>-13968.75</v>
      </c>
      <c r="AA18" s="131" t="n">
        <f aca="false">IF(OR(7&gt;$B$3,ISBLANK(Actuals!I24)),"",Actuals!I24)</f>
        <v>-14712.5</v>
      </c>
      <c r="AB18" s="132" t="n">
        <f aca="false">IF(OR(7&gt;$B$3,ISBLANK(Actuals!I24)),"",'Reforecast Q1 2026'!I24-Actuals!I24)</f>
        <v>743.75</v>
      </c>
      <c r="AC18" s="132" t="n">
        <f aca="false">IFERROR(IF(OR(7&gt;$B$3,ISBLANK(Actuals!I24)),"",('Reforecast Q1 2026'!I24-Actuals!I24)/ABS('Reforecast Q1 2026'!I24)),"")</f>
        <v>0.0532438478747204</v>
      </c>
      <c r="AD18" s="131" t="n">
        <f aca="false">'Reforecast Q1 2026'!J24</f>
        <v>-13968.75</v>
      </c>
      <c r="AE18" s="131" t="n">
        <f aca="false">IF(OR(8&gt;$B$3,ISBLANK(Actuals!J24)),"",Actuals!J24)</f>
        <v>-12426.27</v>
      </c>
      <c r="AF18" s="132" t="n">
        <f aca="false">IF(OR(8&gt;$B$3,ISBLANK(Actuals!J24)),"",'Reforecast Q1 2026'!J24-Actuals!J24)</f>
        <v>-1542.48</v>
      </c>
      <c r="AG18" s="132" t="n">
        <f aca="false">IFERROR(IF(OR(8&gt;$B$3,ISBLANK(Actuals!J24)),"",('Reforecast Q1 2026'!J24-Actuals!J24)/ABS('Reforecast Q1 2026'!J24)),"")</f>
        <v>-0.110423624161074</v>
      </c>
      <c r="AH18" s="131" t="n">
        <f aca="false">'Reforecast Q1 2026'!K24</f>
        <v>-13968.75</v>
      </c>
      <c r="AI18" s="131" t="n">
        <f aca="false">IF(OR(9&gt;$B$3,ISBLANK(Actuals!K24)),"",Actuals!K24)</f>
        <v>-11264.52</v>
      </c>
      <c r="AJ18" s="132" t="n">
        <f aca="false">IF(OR(9&gt;$B$3,ISBLANK(Actuals!K24)),"",'Reforecast Q1 2026'!K24-Actuals!K24)</f>
        <v>-2704.23</v>
      </c>
      <c r="AK18" s="132" t="n">
        <f aca="false">IFERROR(IF(OR(9&gt;$B$3,ISBLANK(Actuals!K24)),"",('Reforecast Q1 2026'!K24-Actuals!K24)/ABS('Reforecast Q1 2026'!K24)),"")</f>
        <v>-0.193591409395973</v>
      </c>
      <c r="AL18" s="131" t="n">
        <f aca="false">'Reforecast Q1 2026'!L24</f>
        <v>-15010.4166666667</v>
      </c>
      <c r="AM18" s="131" t="str">
        <f aca="false">IF(OR(10&gt;$B$3,ISBLANK(Actuals!L24)),"",Actuals!L24)</f>
        <v/>
      </c>
      <c r="AN18" s="132" t="str">
        <f aca="false">IF(OR(10&gt;$B$3,ISBLANK(Actuals!L24)),"",'Reforecast Q1 2026'!L24-Actuals!L24)</f>
        <v/>
      </c>
      <c r="AO18" s="132" t="str">
        <f aca="false">IFERROR(IF(OR(10&gt;$B$3,ISBLANK(Actuals!L24)),"",('Reforecast Q1 2026'!L24-Actuals!L24)/ABS('Reforecast Q1 2026'!L24)),"")</f>
        <v/>
      </c>
      <c r="AP18" s="131" t="n">
        <f aca="false">'Reforecast Q1 2026'!M24</f>
        <v>-16510.4166666667</v>
      </c>
      <c r="AQ18" s="131" t="str">
        <f aca="false">IF(OR(11&gt;$B$3,ISBLANK(Actuals!M24)),"",Actuals!M24)</f>
        <v/>
      </c>
      <c r="AR18" s="132" t="str">
        <f aca="false">IF(OR(11&gt;$B$3,ISBLANK(Actuals!M24)),"",'Reforecast Q1 2026'!M24-Actuals!M24)</f>
        <v/>
      </c>
      <c r="AS18" s="132" t="str">
        <f aca="false">IFERROR(IF(OR(11&gt;$B$3,ISBLANK(Actuals!M24)),"",('Reforecast Q1 2026'!M24-Actuals!M24)/ABS('Reforecast Q1 2026'!M24)),"")</f>
        <v/>
      </c>
      <c r="AT18" s="131" t="n">
        <f aca="false">'Reforecast Q1 2026'!N24</f>
        <v>-16510.4166666667</v>
      </c>
      <c r="AU18" s="131" t="str">
        <f aca="false">IF(OR(12&gt;$B$3,ISBLANK(Actuals!N24)),"",Actuals!N24)</f>
        <v/>
      </c>
      <c r="AV18" s="132" t="str">
        <f aca="false">IF(OR(12&gt;$B$3,ISBLANK(Actuals!N24)),"",'Reforecast Q1 2026'!N24-Actuals!N24)</f>
        <v/>
      </c>
      <c r="AW18" s="132" t="str">
        <f aca="false">IFERROR(IF(OR(12&gt;$B$3,ISBLANK(Actuals!N24)),"",('Reforecast Q1 2026'!N24-Actuals!N24)/ABS('Reforecast Q1 2026'!N24)),"")</f>
        <v/>
      </c>
      <c r="AX18" s="133" t="n">
        <f aca="false">SUMPRODUCT((Actuals!C24:N24&lt;&gt;"")*('Reforecast Q1 2026'!C24:N24))</f>
        <v>-102014.073333333</v>
      </c>
      <c r="AY18" s="133" t="n">
        <f aca="false">SUM(Actuals!C24:N24)</f>
        <v>-63206.18</v>
      </c>
      <c r="AZ18" s="134" t="n">
        <f aca="false">AX18-AY18</f>
        <v>-38807.8933333333</v>
      </c>
    </row>
    <row r="19" customFormat="false" ht="15" hidden="false" customHeight="true" outlineLevel="0" collapsed="false">
      <c r="A19" s="130" t="s">
        <v>68</v>
      </c>
      <c r="B19" s="131" t="n">
        <f aca="false">'Reforecast Q1 2026'!C25</f>
        <v>-2542.47</v>
      </c>
      <c r="C19" s="131" t="n">
        <f aca="false">IF(OR(1&gt;$B$3,ISBLANK(Actuals!C25)),"",Actuals!C25)</f>
        <v>-2542.47</v>
      </c>
      <c r="D19" s="132" t="n">
        <f aca="false">IF(OR(1&gt;$B$3,ISBLANK(Actuals!C25)),"",'Reforecast Q1 2026'!C25-Actuals!C25)</f>
        <v>0</v>
      </c>
      <c r="E19" s="132" t="n">
        <f aca="false">IFERROR(IF(OR(1&gt;$B$3,ISBLANK(Actuals!C25)),"",('Reforecast Q1 2026'!C25-Actuals!C25)/ABS('Reforecast Q1 2026'!C25)),"")</f>
        <v>0</v>
      </c>
      <c r="F19" s="131" t="n">
        <f aca="false">'Reforecast Q1 2026'!D25</f>
        <v>-1618.75</v>
      </c>
      <c r="G19" s="131" t="n">
        <f aca="false">IF(OR(2&gt;$B$3,ISBLANK(Actuals!D25)),"",Actuals!D25)</f>
        <v>-1618.75</v>
      </c>
      <c r="H19" s="132" t="n">
        <f aca="false">IF(OR(2&gt;$B$3,ISBLANK(Actuals!D25)),"",'Reforecast Q1 2026'!D25-Actuals!D25)</f>
        <v>0</v>
      </c>
      <c r="I19" s="132" t="n">
        <f aca="false">IFERROR(IF(OR(2&gt;$B$3,ISBLANK(Actuals!D25)),"",('Reforecast Q1 2026'!D25-Actuals!D25)/ABS('Reforecast Q1 2026'!D25)),"")</f>
        <v>0</v>
      </c>
      <c r="J19" s="131" t="n">
        <f aca="false">'Reforecast Q1 2026'!E25</f>
        <v>3406.77</v>
      </c>
      <c r="K19" s="131" t="n">
        <f aca="false">IF(OR(3&gt;$B$3,ISBLANK(Actuals!E25)),"",Actuals!E25)</f>
        <v>3406.77</v>
      </c>
      <c r="L19" s="132" t="n">
        <f aca="false">IF(OR(3&gt;$B$3,ISBLANK(Actuals!E25)),"",'Reforecast Q1 2026'!E25-Actuals!E25)</f>
        <v>0</v>
      </c>
      <c r="M19" s="132" t="n">
        <f aca="false">IFERROR(IF(OR(3&gt;$B$3,ISBLANK(Actuals!E25)),"",('Reforecast Q1 2026'!E25-Actuals!E25)/ABS('Reforecast Q1 2026'!E25)),"")</f>
        <v>0</v>
      </c>
      <c r="N19" s="131" t="n">
        <f aca="false">'Reforecast Q1 2026'!F25</f>
        <v>-4379.16666666667</v>
      </c>
      <c r="O19" s="131" t="n">
        <f aca="false">IF(OR(4&gt;$B$3,ISBLANK(Actuals!F25)),"",Actuals!F25)</f>
        <v>2575.42</v>
      </c>
      <c r="P19" s="132" t="n">
        <f aca="false">IF(OR(4&gt;$B$3,ISBLANK(Actuals!F25)),"",'Reforecast Q1 2026'!F25-Actuals!F25)</f>
        <v>-6954.58666666667</v>
      </c>
      <c r="Q19" s="132" t="n">
        <f aca="false">IFERROR(IF(OR(4&gt;$B$3,ISBLANK(Actuals!F25)),"",('Reforecast Q1 2026'!F25-Actuals!F25)/ABS('Reforecast Q1 2026'!F25)),"")</f>
        <v>-1.58810732635585</v>
      </c>
      <c r="R19" s="131" t="n">
        <f aca="false">'Reforecast Q1 2026'!G25</f>
        <v>-4870.83333333333</v>
      </c>
      <c r="S19" s="131" t="n">
        <f aca="false">IF(OR(5&gt;$B$3,ISBLANK(Actuals!G25)),"",Actuals!G25)</f>
        <v>-1896.11</v>
      </c>
      <c r="T19" s="132" t="n">
        <f aca="false">IF(OR(5&gt;$B$3,ISBLANK(Actuals!G25)),"",'Reforecast Q1 2026'!G25-Actuals!G25)</f>
        <v>-2974.72333333333</v>
      </c>
      <c r="U19" s="132" t="n">
        <f aca="false">IFERROR(IF(OR(5&gt;$B$3,ISBLANK(Actuals!G25)),"",('Reforecast Q1 2026'!G25-Actuals!G25)/ABS('Reforecast Q1 2026'!G25)),"")</f>
        <v>-0.610721642429427</v>
      </c>
      <c r="V19" s="131" t="n">
        <f aca="false">'Reforecast Q1 2026'!H25</f>
        <v>-5370.83333333333</v>
      </c>
      <c r="W19" s="131" t="n">
        <f aca="false">IF(OR(6&gt;$B$3,ISBLANK(Actuals!H25)),"",Actuals!H25)</f>
        <v>-2888.37</v>
      </c>
      <c r="X19" s="132" t="n">
        <f aca="false">IF(OR(6&gt;$B$3,ISBLANK(Actuals!H25)),"",'Reforecast Q1 2026'!H25-Actuals!H25)</f>
        <v>-2482.46333333333</v>
      </c>
      <c r="Y19" s="132" t="n">
        <f aca="false">IFERROR(IF(OR(6&gt;$B$3,ISBLANK(Actuals!H25)),"",('Reforecast Q1 2026'!H25-Actuals!H25)/ABS('Reforecast Q1 2026'!H25)),"")</f>
        <v>-0.462211947245927</v>
      </c>
      <c r="Z19" s="131" t="n">
        <f aca="false">'Reforecast Q1 2026'!I25</f>
        <v>-5587.5</v>
      </c>
      <c r="AA19" s="131" t="n">
        <f aca="false">IF(OR(7&gt;$B$3,ISBLANK(Actuals!I25)),"",Actuals!I25)</f>
        <v>636.26</v>
      </c>
      <c r="AB19" s="132" t="n">
        <f aca="false">IF(OR(7&gt;$B$3,ISBLANK(Actuals!I25)),"",'Reforecast Q1 2026'!I25-Actuals!I25)</f>
        <v>-6223.76</v>
      </c>
      <c r="AC19" s="132" t="n">
        <f aca="false">IFERROR(IF(OR(7&gt;$B$3,ISBLANK(Actuals!I25)),"",('Reforecast Q1 2026'!I25-Actuals!I25)/ABS('Reforecast Q1 2026'!I25)),"")</f>
        <v>-1.11387203579418</v>
      </c>
      <c r="AD19" s="131" t="n">
        <f aca="false">'Reforecast Q1 2026'!J25</f>
        <v>-5587.5</v>
      </c>
      <c r="AE19" s="131" t="n">
        <f aca="false">IF(OR(8&gt;$B$3,ISBLANK(Actuals!J25)),"",Actuals!J25)</f>
        <v>-2370.43</v>
      </c>
      <c r="AF19" s="132" t="n">
        <f aca="false">IF(OR(8&gt;$B$3,ISBLANK(Actuals!J25)),"",'Reforecast Q1 2026'!J25-Actuals!J25)</f>
        <v>-3217.07</v>
      </c>
      <c r="AG19" s="132" t="n">
        <f aca="false">IFERROR(IF(OR(8&gt;$B$3,ISBLANK(Actuals!J25)),"",('Reforecast Q1 2026'!J25-Actuals!J25)/ABS('Reforecast Q1 2026'!J25)),"")</f>
        <v>-0.57576196868009</v>
      </c>
      <c r="AH19" s="131" t="n">
        <f aca="false">'Reforecast Q1 2026'!K25</f>
        <v>-5587.5</v>
      </c>
      <c r="AI19" s="131" t="n">
        <f aca="false">IF(OR(9&gt;$B$3,ISBLANK(Actuals!K25)),"",Actuals!K25)</f>
        <v>-2397</v>
      </c>
      <c r="AJ19" s="132" t="n">
        <f aca="false">IF(OR(9&gt;$B$3,ISBLANK(Actuals!K25)),"",'Reforecast Q1 2026'!K25-Actuals!K25)</f>
        <v>-3190.5</v>
      </c>
      <c r="AK19" s="132" t="n">
        <f aca="false">IFERROR(IF(OR(9&gt;$B$3,ISBLANK(Actuals!K25)),"",('Reforecast Q1 2026'!K25-Actuals!K25)/ABS('Reforecast Q1 2026'!K25)),"")</f>
        <v>-0.571006711409396</v>
      </c>
      <c r="AL19" s="131" t="n">
        <f aca="false">'Reforecast Q1 2026'!L25</f>
        <v>-6004.16666666667</v>
      </c>
      <c r="AM19" s="131" t="str">
        <f aca="false">IF(OR(10&gt;$B$3,ISBLANK(Actuals!L25)),"",Actuals!L25)</f>
        <v/>
      </c>
      <c r="AN19" s="132" t="str">
        <f aca="false">IF(OR(10&gt;$B$3,ISBLANK(Actuals!L25)),"",'Reforecast Q1 2026'!L25-Actuals!L25)</f>
        <v/>
      </c>
      <c r="AO19" s="132" t="str">
        <f aca="false">IFERROR(IF(OR(10&gt;$B$3,ISBLANK(Actuals!L25)),"",('Reforecast Q1 2026'!L25-Actuals!L25)/ABS('Reforecast Q1 2026'!L25)),"")</f>
        <v/>
      </c>
      <c r="AP19" s="131" t="n">
        <f aca="false">'Reforecast Q1 2026'!M25</f>
        <v>-6604.16666666666</v>
      </c>
      <c r="AQ19" s="131" t="str">
        <f aca="false">IF(OR(11&gt;$B$3,ISBLANK(Actuals!M25)),"",Actuals!M25)</f>
        <v/>
      </c>
      <c r="AR19" s="132" t="str">
        <f aca="false">IF(OR(11&gt;$B$3,ISBLANK(Actuals!M25)),"",'Reforecast Q1 2026'!M25-Actuals!M25)</f>
        <v/>
      </c>
      <c r="AS19" s="132" t="str">
        <f aca="false">IFERROR(IF(OR(11&gt;$B$3,ISBLANK(Actuals!M25)),"",('Reforecast Q1 2026'!M25-Actuals!M25)/ABS('Reforecast Q1 2026'!M25)),"")</f>
        <v/>
      </c>
      <c r="AT19" s="131" t="n">
        <f aca="false">'Reforecast Q1 2026'!N25</f>
        <v>-6604.16666666666</v>
      </c>
      <c r="AU19" s="131" t="str">
        <f aca="false">IF(OR(12&gt;$B$3,ISBLANK(Actuals!N25)),"",Actuals!N25)</f>
        <v/>
      </c>
      <c r="AV19" s="132" t="str">
        <f aca="false">IF(OR(12&gt;$B$3,ISBLANK(Actuals!N25)),"",'Reforecast Q1 2026'!N25-Actuals!N25)</f>
        <v/>
      </c>
      <c r="AW19" s="132" t="str">
        <f aca="false">IFERROR(IF(OR(12&gt;$B$3,ISBLANK(Actuals!N25)),"",('Reforecast Q1 2026'!N25-Actuals!N25)/ABS('Reforecast Q1 2026'!N25)),"")</f>
        <v/>
      </c>
      <c r="AX19" s="133" t="n">
        <f aca="false">SUMPRODUCT((Actuals!C25:N25&lt;&gt;"")*('Reforecast Q1 2026'!C25:N25))</f>
        <v>-32137.7833333333</v>
      </c>
      <c r="AY19" s="133" t="n">
        <f aca="false">SUM(Actuals!C25:N25)</f>
        <v>-7094.68</v>
      </c>
      <c r="AZ19" s="134" t="n">
        <f aca="false">AX19-AY19</f>
        <v>-25043.1033333333</v>
      </c>
    </row>
    <row r="20" customFormat="false" ht="15" hidden="false" customHeight="true" outlineLevel="0" collapsed="false">
      <c r="A20" s="130" t="s">
        <v>69</v>
      </c>
      <c r="B20" s="131" t="n">
        <f aca="false">'Reforecast Q1 2026'!C26</f>
        <v>-195</v>
      </c>
      <c r="C20" s="131" t="n">
        <f aca="false">IF(OR(1&gt;$B$3,ISBLANK(Actuals!C26)),"",Actuals!C26)</f>
        <v>-195</v>
      </c>
      <c r="D20" s="132" t="n">
        <f aca="false">IF(OR(1&gt;$B$3,ISBLANK(Actuals!C26)),"",'Reforecast Q1 2026'!C26-Actuals!C26)</f>
        <v>0</v>
      </c>
      <c r="E20" s="132" t="n">
        <f aca="false">IFERROR(IF(OR(1&gt;$B$3,ISBLANK(Actuals!C26)),"",('Reforecast Q1 2026'!C26-Actuals!C26)/ABS('Reforecast Q1 2026'!C26)),"")</f>
        <v>0</v>
      </c>
      <c r="F20" s="131" t="n">
        <f aca="false">'Reforecast Q1 2026'!D26</f>
        <v>-200</v>
      </c>
      <c r="G20" s="131" t="n">
        <f aca="false">IF(OR(2&gt;$B$3,ISBLANK(Actuals!D26)),"",Actuals!D26)</f>
        <v>-200</v>
      </c>
      <c r="H20" s="132" t="n">
        <f aca="false">IF(OR(2&gt;$B$3,ISBLANK(Actuals!D26)),"",'Reforecast Q1 2026'!D26-Actuals!D26)</f>
        <v>0</v>
      </c>
      <c r="I20" s="132" t="n">
        <f aca="false">IFERROR(IF(OR(2&gt;$B$3,ISBLANK(Actuals!D26)),"",('Reforecast Q1 2026'!D26-Actuals!D26)/ABS('Reforecast Q1 2026'!D26)),"")</f>
        <v>0</v>
      </c>
      <c r="J20" s="131" t="n">
        <f aca="false">'Reforecast Q1 2026'!E26</f>
        <v>0</v>
      </c>
      <c r="K20" s="131" t="n">
        <f aca="false">IF(OR(3&gt;$B$3,ISBLANK(Actuals!E26)),"",Actuals!E26)</f>
        <v>0</v>
      </c>
      <c r="L20" s="132" t="n">
        <f aca="false">IF(OR(3&gt;$B$3,ISBLANK(Actuals!E26)),"",'Reforecast Q1 2026'!E26-Actuals!E26)</f>
        <v>0</v>
      </c>
      <c r="M20" s="132" t="str">
        <f aca="false">IFERROR(IF(OR(3&gt;$B$3,ISBLANK(Actuals!E26)),"",('Reforecast Q1 2026'!E26-Actuals!E26)/ABS('Reforecast Q1 2026'!E26)),"")</f>
        <v/>
      </c>
      <c r="N20" s="131" t="n">
        <f aca="false">'Reforecast Q1 2026'!F26</f>
        <v>-1094.79166666667</v>
      </c>
      <c r="O20" s="131" t="n">
        <f aca="false">IF(OR(4&gt;$B$3,ISBLANK(Actuals!F26)),"",Actuals!F26)</f>
        <v>0</v>
      </c>
      <c r="P20" s="132" t="n">
        <f aca="false">IF(OR(4&gt;$B$3,ISBLANK(Actuals!F26)),"",'Reforecast Q1 2026'!F26-Actuals!F26)</f>
        <v>-1094.79166666667</v>
      </c>
      <c r="Q20" s="132" t="n">
        <f aca="false">IFERROR(IF(OR(4&gt;$B$3,ISBLANK(Actuals!F26)),"",('Reforecast Q1 2026'!F26-Actuals!F26)/ABS('Reforecast Q1 2026'!F26)),"")</f>
        <v>-1</v>
      </c>
      <c r="R20" s="131" t="n">
        <f aca="false">'Reforecast Q1 2026'!G26</f>
        <v>-1217.70833333333</v>
      </c>
      <c r="S20" s="131" t="n">
        <f aca="false">IF(OR(5&gt;$B$3,ISBLANK(Actuals!G26)),"",Actuals!G26)</f>
        <v>0</v>
      </c>
      <c r="T20" s="132" t="n">
        <f aca="false">IF(OR(5&gt;$B$3,ISBLANK(Actuals!G26)),"",'Reforecast Q1 2026'!G26-Actuals!G26)</f>
        <v>-1217.70833333333</v>
      </c>
      <c r="U20" s="132" t="n">
        <f aca="false">IFERROR(IF(OR(5&gt;$B$3,ISBLANK(Actuals!G26)),"",('Reforecast Q1 2026'!G26-Actuals!G26)/ABS('Reforecast Q1 2026'!G26)),"")</f>
        <v>-1</v>
      </c>
      <c r="V20" s="131" t="n">
        <f aca="false">'Reforecast Q1 2026'!H26</f>
        <v>-1342.70833333333</v>
      </c>
      <c r="W20" s="131" t="n">
        <f aca="false">IF(OR(6&gt;$B$3,ISBLANK(Actuals!H26)),"",Actuals!H26)</f>
        <v>0</v>
      </c>
      <c r="X20" s="132" t="n">
        <f aca="false">IF(OR(6&gt;$B$3,ISBLANK(Actuals!H26)),"",'Reforecast Q1 2026'!H26-Actuals!H26)</f>
        <v>-1342.70833333333</v>
      </c>
      <c r="Y20" s="132" t="n">
        <f aca="false">IFERROR(IF(OR(6&gt;$B$3,ISBLANK(Actuals!H26)),"",('Reforecast Q1 2026'!H26-Actuals!H26)/ABS('Reforecast Q1 2026'!H26)),"")</f>
        <v>-1</v>
      </c>
      <c r="Z20" s="131" t="n">
        <f aca="false">'Reforecast Q1 2026'!I26</f>
        <v>-1396.875</v>
      </c>
      <c r="AA20" s="131" t="n">
        <f aca="false">IF(OR(7&gt;$B$3,ISBLANK(Actuals!I26)),"",Actuals!I26)</f>
        <v>0</v>
      </c>
      <c r="AB20" s="132" t="n">
        <f aca="false">IF(OR(7&gt;$B$3,ISBLANK(Actuals!I26)),"",'Reforecast Q1 2026'!I26-Actuals!I26)</f>
        <v>-1396.875</v>
      </c>
      <c r="AC20" s="132" t="n">
        <f aca="false">IFERROR(IF(OR(7&gt;$B$3,ISBLANK(Actuals!I26)),"",('Reforecast Q1 2026'!I26-Actuals!I26)/ABS('Reforecast Q1 2026'!I26)),"")</f>
        <v>-1</v>
      </c>
      <c r="AD20" s="131" t="n">
        <f aca="false">'Reforecast Q1 2026'!J26</f>
        <v>-1396.875</v>
      </c>
      <c r="AE20" s="131" t="n">
        <f aca="false">IF(OR(8&gt;$B$3,ISBLANK(Actuals!J26)),"",Actuals!J26)</f>
        <v>0</v>
      </c>
      <c r="AF20" s="132" t="n">
        <f aca="false">IF(OR(8&gt;$B$3,ISBLANK(Actuals!J26)),"",'Reforecast Q1 2026'!J26-Actuals!J26)</f>
        <v>-1396.875</v>
      </c>
      <c r="AG20" s="132" t="n">
        <f aca="false">IFERROR(IF(OR(8&gt;$B$3,ISBLANK(Actuals!J26)),"",('Reforecast Q1 2026'!J26-Actuals!J26)/ABS('Reforecast Q1 2026'!J26)),"")</f>
        <v>-1</v>
      </c>
      <c r="AH20" s="131" t="n">
        <f aca="false">'Reforecast Q1 2026'!K26</f>
        <v>-1396.875</v>
      </c>
      <c r="AI20" s="131" t="n">
        <f aca="false">IF(OR(9&gt;$B$3,ISBLANK(Actuals!K26)),"",Actuals!K26)</f>
        <v>0</v>
      </c>
      <c r="AJ20" s="132" t="n">
        <f aca="false">IF(OR(9&gt;$B$3,ISBLANK(Actuals!K26)),"",'Reforecast Q1 2026'!K26-Actuals!K26)</f>
        <v>-1396.875</v>
      </c>
      <c r="AK20" s="132" t="n">
        <f aca="false">IFERROR(IF(OR(9&gt;$B$3,ISBLANK(Actuals!K26)),"",('Reforecast Q1 2026'!K26-Actuals!K26)/ABS('Reforecast Q1 2026'!K26)),"")</f>
        <v>-1</v>
      </c>
      <c r="AL20" s="131" t="n">
        <f aca="false">'Reforecast Q1 2026'!L26</f>
        <v>-1501.04166666667</v>
      </c>
      <c r="AM20" s="131" t="str">
        <f aca="false">IF(OR(10&gt;$B$3,ISBLANK(Actuals!L26)),"",Actuals!L26)</f>
        <v/>
      </c>
      <c r="AN20" s="132" t="str">
        <f aca="false">IF(OR(10&gt;$B$3,ISBLANK(Actuals!L26)),"",'Reforecast Q1 2026'!L26-Actuals!L26)</f>
        <v/>
      </c>
      <c r="AO20" s="132" t="str">
        <f aca="false">IFERROR(IF(OR(10&gt;$B$3,ISBLANK(Actuals!L26)),"",('Reforecast Q1 2026'!L26-Actuals!L26)/ABS('Reforecast Q1 2026'!L26)),"")</f>
        <v/>
      </c>
      <c r="AP20" s="131" t="n">
        <f aca="false">'Reforecast Q1 2026'!M26</f>
        <v>-1651.04166666667</v>
      </c>
      <c r="AQ20" s="131" t="str">
        <f aca="false">IF(OR(11&gt;$B$3,ISBLANK(Actuals!M26)),"",Actuals!M26)</f>
        <v/>
      </c>
      <c r="AR20" s="132" t="str">
        <f aca="false">IF(OR(11&gt;$B$3,ISBLANK(Actuals!M26)),"",'Reforecast Q1 2026'!M26-Actuals!M26)</f>
        <v/>
      </c>
      <c r="AS20" s="132" t="str">
        <f aca="false">IFERROR(IF(OR(11&gt;$B$3,ISBLANK(Actuals!M26)),"",('Reforecast Q1 2026'!M26-Actuals!M26)/ABS('Reforecast Q1 2026'!M26)),"")</f>
        <v/>
      </c>
      <c r="AT20" s="131" t="n">
        <f aca="false">'Reforecast Q1 2026'!N26</f>
        <v>-1651.04166666667</v>
      </c>
      <c r="AU20" s="131" t="str">
        <f aca="false">IF(OR(12&gt;$B$3,ISBLANK(Actuals!N26)),"",Actuals!N26)</f>
        <v/>
      </c>
      <c r="AV20" s="132" t="str">
        <f aca="false">IF(OR(12&gt;$B$3,ISBLANK(Actuals!N26)),"",'Reforecast Q1 2026'!N26-Actuals!N26)</f>
        <v/>
      </c>
      <c r="AW20" s="132" t="str">
        <f aca="false">IFERROR(IF(OR(12&gt;$B$3,ISBLANK(Actuals!N26)),"",('Reforecast Q1 2026'!N26-Actuals!N26)/ABS('Reforecast Q1 2026'!N26)),"")</f>
        <v/>
      </c>
      <c r="AX20" s="133" t="n">
        <f aca="false">SUMPRODUCT((Actuals!C26:N26&lt;&gt;"")*('Reforecast Q1 2026'!C26:N26))</f>
        <v>-8240.83333333333</v>
      </c>
      <c r="AY20" s="133" t="n">
        <f aca="false">SUM(Actuals!C26:N26)</f>
        <v>-395</v>
      </c>
      <c r="AZ20" s="134" t="n">
        <f aca="false">AX20-AY20</f>
        <v>-7845.83333333333</v>
      </c>
    </row>
    <row r="21" customFormat="false" ht="15" hidden="false" customHeight="true" outlineLevel="0" collapsed="false">
      <c r="A21" s="130" t="s">
        <v>70</v>
      </c>
      <c r="B21" s="131" t="n">
        <f aca="false">'Reforecast Q1 2026'!C27</f>
        <v>-33002.28</v>
      </c>
      <c r="C21" s="131" t="n">
        <f aca="false">IF(OR(1&gt;$B$3,ISBLANK(Actuals!C27)),"",Actuals!C27)</f>
        <v>-33002.28</v>
      </c>
      <c r="D21" s="132" t="n">
        <f aca="false">IF(OR(1&gt;$B$3,ISBLANK(Actuals!C27)),"",'Reforecast Q1 2026'!C27-Actuals!C27)</f>
        <v>0</v>
      </c>
      <c r="E21" s="132" t="n">
        <f aca="false">IFERROR(IF(OR(1&gt;$B$3,ISBLANK(Actuals!C27)),"",('Reforecast Q1 2026'!C27-Actuals!C27)/ABS('Reforecast Q1 2026'!C27)),"")</f>
        <v>0</v>
      </c>
      <c r="F21" s="131" t="n">
        <f aca="false">'Reforecast Q1 2026'!D27</f>
        <v>-29166.66</v>
      </c>
      <c r="G21" s="131" t="n">
        <f aca="false">IF(OR(2&gt;$B$3,ISBLANK(Actuals!D27)),"",Actuals!D27)</f>
        <v>-29166.66</v>
      </c>
      <c r="H21" s="132" t="n">
        <f aca="false">IF(OR(2&gt;$B$3,ISBLANK(Actuals!D27)),"",'Reforecast Q1 2026'!D27-Actuals!D27)</f>
        <v>0</v>
      </c>
      <c r="I21" s="132" t="n">
        <f aca="false">IFERROR(IF(OR(2&gt;$B$3,ISBLANK(Actuals!D27)),"",('Reforecast Q1 2026'!D27-Actuals!D27)/ABS('Reforecast Q1 2026'!D27)),"")</f>
        <v>0</v>
      </c>
      <c r="J21" s="131" t="n">
        <f aca="false">'Reforecast Q1 2026'!E27</f>
        <v>-41666.66</v>
      </c>
      <c r="K21" s="131" t="n">
        <f aca="false">IF(OR(3&gt;$B$3,ISBLANK(Actuals!E27)),"",Actuals!E27)</f>
        <v>-41666.66</v>
      </c>
      <c r="L21" s="132" t="n">
        <f aca="false">IF(OR(3&gt;$B$3,ISBLANK(Actuals!E27)),"",'Reforecast Q1 2026'!E27-Actuals!E27)</f>
        <v>0</v>
      </c>
      <c r="M21" s="132" t="n">
        <f aca="false">IFERROR(IF(OR(3&gt;$B$3,ISBLANK(Actuals!E27)),"",('Reforecast Q1 2026'!E27-Actuals!E27)/ABS('Reforecast Q1 2026'!E27)),"")</f>
        <v>0</v>
      </c>
      <c r="N21" s="131" t="n">
        <f aca="false">'Reforecast Q1 2026'!F27</f>
        <v>-29166.66</v>
      </c>
      <c r="O21" s="131" t="n">
        <f aca="false">IF(OR(4&gt;$B$3,ISBLANK(Actuals!F27)),"",Actuals!F27)</f>
        <v>-29166.66</v>
      </c>
      <c r="P21" s="132" t="n">
        <f aca="false">IF(OR(4&gt;$B$3,ISBLANK(Actuals!F27)),"",'Reforecast Q1 2026'!F27-Actuals!F27)</f>
        <v>0</v>
      </c>
      <c r="Q21" s="132" t="n">
        <f aca="false">IFERROR(IF(OR(4&gt;$B$3,ISBLANK(Actuals!F27)),"",('Reforecast Q1 2026'!F27-Actuals!F27)/ABS('Reforecast Q1 2026'!F27)),"")</f>
        <v>0</v>
      </c>
      <c r="R21" s="131" t="n">
        <f aca="false">'Reforecast Q1 2026'!G27</f>
        <v>-29166.66</v>
      </c>
      <c r="S21" s="131" t="n">
        <f aca="false">IF(OR(5&gt;$B$3,ISBLANK(Actuals!G27)),"",Actuals!G27)</f>
        <v>-29166.66</v>
      </c>
      <c r="T21" s="132" t="n">
        <f aca="false">IF(OR(5&gt;$B$3,ISBLANK(Actuals!G27)),"",'Reforecast Q1 2026'!G27-Actuals!G27)</f>
        <v>0</v>
      </c>
      <c r="U21" s="132" t="n">
        <f aca="false">IFERROR(IF(OR(5&gt;$B$3,ISBLANK(Actuals!G27)),"",('Reforecast Q1 2026'!G27-Actuals!G27)/ABS('Reforecast Q1 2026'!G27)),"")</f>
        <v>0</v>
      </c>
      <c r="V21" s="131" t="n">
        <f aca="false">'Reforecast Q1 2026'!H27</f>
        <v>-29166.66</v>
      </c>
      <c r="W21" s="131" t="n">
        <f aca="false">IF(OR(6&gt;$B$3,ISBLANK(Actuals!H27)),"",Actuals!H27)</f>
        <v>-29166.66</v>
      </c>
      <c r="X21" s="132" t="n">
        <f aca="false">IF(OR(6&gt;$B$3,ISBLANK(Actuals!H27)),"",'Reforecast Q1 2026'!H27-Actuals!H27)</f>
        <v>0</v>
      </c>
      <c r="Y21" s="132" t="n">
        <f aca="false">IFERROR(IF(OR(6&gt;$B$3,ISBLANK(Actuals!H27)),"",('Reforecast Q1 2026'!H27-Actuals!H27)/ABS('Reforecast Q1 2026'!H27)),"")</f>
        <v>0</v>
      </c>
      <c r="Z21" s="131" t="n">
        <f aca="false">'Reforecast Q1 2026'!I27</f>
        <v>-29166.66</v>
      </c>
      <c r="AA21" s="131" t="n">
        <f aca="false">IF(OR(7&gt;$B$3,ISBLANK(Actuals!I27)),"",Actuals!I27)</f>
        <v>-29166.66</v>
      </c>
      <c r="AB21" s="132" t="n">
        <f aca="false">IF(OR(7&gt;$B$3,ISBLANK(Actuals!I27)),"",'Reforecast Q1 2026'!I27-Actuals!I27)</f>
        <v>0</v>
      </c>
      <c r="AC21" s="132" t="n">
        <f aca="false">IFERROR(IF(OR(7&gt;$B$3,ISBLANK(Actuals!I27)),"",('Reforecast Q1 2026'!I27-Actuals!I27)/ABS('Reforecast Q1 2026'!I27)),"")</f>
        <v>0</v>
      </c>
      <c r="AD21" s="131" t="n">
        <f aca="false">'Reforecast Q1 2026'!J27</f>
        <v>-29166.66</v>
      </c>
      <c r="AE21" s="131" t="n">
        <f aca="false">IF(OR(8&gt;$B$3,ISBLANK(Actuals!J27)),"",Actuals!J27)</f>
        <v>-29166.66</v>
      </c>
      <c r="AF21" s="132" t="n">
        <f aca="false">IF(OR(8&gt;$B$3,ISBLANK(Actuals!J27)),"",'Reforecast Q1 2026'!J27-Actuals!J27)</f>
        <v>0</v>
      </c>
      <c r="AG21" s="132" t="n">
        <f aca="false">IFERROR(IF(OR(8&gt;$B$3,ISBLANK(Actuals!J27)),"",('Reforecast Q1 2026'!J27-Actuals!J27)/ABS('Reforecast Q1 2026'!J27)),"")</f>
        <v>0</v>
      </c>
      <c r="AH21" s="131" t="n">
        <f aca="false">'Reforecast Q1 2026'!K27</f>
        <v>-29166.66</v>
      </c>
      <c r="AI21" s="131" t="n">
        <f aca="false">IF(OR(9&gt;$B$3,ISBLANK(Actuals!K27)),"",Actuals!K27)</f>
        <v>-29166.66</v>
      </c>
      <c r="AJ21" s="132" t="n">
        <f aca="false">IF(OR(9&gt;$B$3,ISBLANK(Actuals!K27)),"",'Reforecast Q1 2026'!K27-Actuals!K27)</f>
        <v>0</v>
      </c>
      <c r="AK21" s="132" t="n">
        <f aca="false">IFERROR(IF(OR(9&gt;$B$3,ISBLANK(Actuals!K27)),"",('Reforecast Q1 2026'!K27-Actuals!K27)/ABS('Reforecast Q1 2026'!K27)),"")</f>
        <v>0</v>
      </c>
      <c r="AL21" s="131" t="n">
        <f aca="false">'Reforecast Q1 2026'!L27</f>
        <v>-29166.66</v>
      </c>
      <c r="AM21" s="131" t="str">
        <f aca="false">IF(OR(10&gt;$B$3,ISBLANK(Actuals!L27)),"",Actuals!L27)</f>
        <v/>
      </c>
      <c r="AN21" s="132" t="str">
        <f aca="false">IF(OR(10&gt;$B$3,ISBLANK(Actuals!L27)),"",'Reforecast Q1 2026'!L27-Actuals!L27)</f>
        <v/>
      </c>
      <c r="AO21" s="132" t="str">
        <f aca="false">IFERROR(IF(OR(10&gt;$B$3,ISBLANK(Actuals!L27)),"",('Reforecast Q1 2026'!L27-Actuals!L27)/ABS('Reforecast Q1 2026'!L27)),"")</f>
        <v/>
      </c>
      <c r="AP21" s="131" t="n">
        <f aca="false">'Reforecast Q1 2026'!M27</f>
        <v>-29166.66</v>
      </c>
      <c r="AQ21" s="131" t="str">
        <f aca="false">IF(OR(11&gt;$B$3,ISBLANK(Actuals!M27)),"",Actuals!M27)</f>
        <v/>
      </c>
      <c r="AR21" s="132" t="str">
        <f aca="false">IF(OR(11&gt;$B$3,ISBLANK(Actuals!M27)),"",'Reforecast Q1 2026'!M27-Actuals!M27)</f>
        <v/>
      </c>
      <c r="AS21" s="132" t="str">
        <f aca="false">IFERROR(IF(OR(11&gt;$B$3,ISBLANK(Actuals!M27)),"",('Reforecast Q1 2026'!M27-Actuals!M27)/ABS('Reforecast Q1 2026'!M27)),"")</f>
        <v/>
      </c>
      <c r="AT21" s="131" t="n">
        <f aca="false">'Reforecast Q1 2026'!N27</f>
        <v>-29166.66</v>
      </c>
      <c r="AU21" s="131" t="str">
        <f aca="false">IF(OR(12&gt;$B$3,ISBLANK(Actuals!N27)),"",Actuals!N27)</f>
        <v/>
      </c>
      <c r="AV21" s="132" t="str">
        <f aca="false">IF(OR(12&gt;$B$3,ISBLANK(Actuals!N27)),"",'Reforecast Q1 2026'!N27-Actuals!N27)</f>
        <v/>
      </c>
      <c r="AW21" s="132" t="str">
        <f aca="false">IFERROR(IF(OR(12&gt;$B$3,ISBLANK(Actuals!N27)),"",('Reforecast Q1 2026'!N27-Actuals!N27)/ABS('Reforecast Q1 2026'!N27)),"")</f>
        <v/>
      </c>
      <c r="AX21" s="133" t="n">
        <f aca="false">SUMPRODUCT((Actuals!C27:N27&lt;&gt;"")*('Reforecast Q1 2026'!C27:N27))</f>
        <v>-278835.56</v>
      </c>
      <c r="AY21" s="133" t="n">
        <f aca="false">SUM(Actuals!C27:N27)</f>
        <v>-278835.56</v>
      </c>
      <c r="AZ21" s="134" t="n">
        <f aca="false">AX21-AY21</f>
        <v>0</v>
      </c>
    </row>
    <row r="22" customFormat="false" ht="15" hidden="false" customHeight="true" outlineLevel="0" collapsed="false">
      <c r="A22" s="130" t="s">
        <v>71</v>
      </c>
      <c r="B22" s="131" t="n">
        <f aca="false">'Reforecast Q1 2026'!C28</f>
        <v>0</v>
      </c>
      <c r="C22" s="131" t="n">
        <f aca="false">IF(OR(1&gt;$B$3,ISBLANK(Actuals!C28)),"",Actuals!C28)</f>
        <v>0</v>
      </c>
      <c r="D22" s="132" t="n">
        <f aca="false">IF(OR(1&gt;$B$3,ISBLANK(Actuals!C28)),"",'Reforecast Q1 2026'!C28-Actuals!C28)</f>
        <v>0</v>
      </c>
      <c r="E22" s="132" t="str">
        <f aca="false">IFERROR(IF(OR(1&gt;$B$3,ISBLANK(Actuals!C28)),"",('Reforecast Q1 2026'!C28-Actuals!C28)/ABS('Reforecast Q1 2026'!C28)),"")</f>
        <v/>
      </c>
      <c r="F22" s="131" t="n">
        <f aca="false">'Reforecast Q1 2026'!D28</f>
        <v>0</v>
      </c>
      <c r="G22" s="131" t="n">
        <f aca="false">IF(OR(2&gt;$B$3,ISBLANK(Actuals!D28)),"",Actuals!D28)</f>
        <v>0</v>
      </c>
      <c r="H22" s="132" t="n">
        <f aca="false">IF(OR(2&gt;$B$3,ISBLANK(Actuals!D28)),"",'Reforecast Q1 2026'!D28-Actuals!D28)</f>
        <v>0</v>
      </c>
      <c r="I22" s="132" t="str">
        <f aca="false">IFERROR(IF(OR(2&gt;$B$3,ISBLANK(Actuals!D28)),"",('Reforecast Q1 2026'!D28-Actuals!D28)/ABS('Reforecast Q1 2026'!D28)),"")</f>
        <v/>
      </c>
      <c r="J22" s="131" t="n">
        <f aca="false">'Reforecast Q1 2026'!E28</f>
        <v>0</v>
      </c>
      <c r="K22" s="131" t="n">
        <f aca="false">IF(OR(3&gt;$B$3,ISBLANK(Actuals!E28)),"",Actuals!E28)</f>
        <v>0</v>
      </c>
      <c r="L22" s="132" t="n">
        <f aca="false">IF(OR(3&gt;$B$3,ISBLANK(Actuals!E28)),"",'Reforecast Q1 2026'!E28-Actuals!E28)</f>
        <v>0</v>
      </c>
      <c r="M22" s="132" t="str">
        <f aca="false">IFERROR(IF(OR(3&gt;$B$3,ISBLANK(Actuals!E28)),"",('Reforecast Q1 2026'!E28-Actuals!E28)/ABS('Reforecast Q1 2026'!E28)),"")</f>
        <v/>
      </c>
      <c r="N22" s="131" t="n">
        <f aca="false">'Reforecast Q1 2026'!F28</f>
        <v>0</v>
      </c>
      <c r="O22" s="131" t="n">
        <f aca="false">IF(OR(4&gt;$B$3,ISBLANK(Actuals!F28)),"",Actuals!F28)</f>
        <v>251304.48</v>
      </c>
      <c r="P22" s="132" t="n">
        <f aca="false">IF(OR(4&gt;$B$3,ISBLANK(Actuals!F28)),"",'Reforecast Q1 2026'!F28-Actuals!F28)</f>
        <v>-251304.48</v>
      </c>
      <c r="Q22" s="132" t="str">
        <f aca="false">IFERROR(IF(OR(4&gt;$B$3,ISBLANK(Actuals!F28)),"",('Reforecast Q1 2026'!F28-Actuals!F28)/ABS('Reforecast Q1 2026'!F28)),"")</f>
        <v/>
      </c>
      <c r="R22" s="131" t="n">
        <f aca="false">'Reforecast Q1 2026'!G28</f>
        <v>0</v>
      </c>
      <c r="S22" s="131" t="n">
        <f aca="false">IF(OR(5&gt;$B$3,ISBLANK(Actuals!G28)),"",Actuals!G28)</f>
        <v>81510</v>
      </c>
      <c r="T22" s="132" t="n">
        <f aca="false">IF(OR(5&gt;$B$3,ISBLANK(Actuals!G28)),"",'Reforecast Q1 2026'!G28-Actuals!G28)</f>
        <v>-81510</v>
      </c>
      <c r="U22" s="132" t="str">
        <f aca="false">IFERROR(IF(OR(5&gt;$B$3,ISBLANK(Actuals!G28)),"",('Reforecast Q1 2026'!G28-Actuals!G28)/ABS('Reforecast Q1 2026'!G28)),"")</f>
        <v/>
      </c>
      <c r="V22" s="131" t="n">
        <f aca="false">'Reforecast Q1 2026'!H28</f>
        <v>0</v>
      </c>
      <c r="W22" s="131" t="n">
        <f aca="false">IF(OR(6&gt;$B$3,ISBLANK(Actuals!H28)),"",Actuals!H28)</f>
        <v>0</v>
      </c>
      <c r="X22" s="132" t="n">
        <f aca="false">IF(OR(6&gt;$B$3,ISBLANK(Actuals!H28)),"",'Reforecast Q1 2026'!H28-Actuals!H28)</f>
        <v>0</v>
      </c>
      <c r="Y22" s="132" t="str">
        <f aca="false">IFERROR(IF(OR(6&gt;$B$3,ISBLANK(Actuals!H28)),"",('Reforecast Q1 2026'!H28-Actuals!H28)/ABS('Reforecast Q1 2026'!H28)),"")</f>
        <v/>
      </c>
      <c r="Z22" s="131" t="n">
        <f aca="false">'Reforecast Q1 2026'!I28</f>
        <v>0</v>
      </c>
      <c r="AA22" s="131" t="n">
        <f aca="false">IF(OR(7&gt;$B$3,ISBLANK(Actuals!I28)),"",Actuals!I28)</f>
        <v>0</v>
      </c>
      <c r="AB22" s="132" t="n">
        <f aca="false">IF(OR(7&gt;$B$3,ISBLANK(Actuals!I28)),"",'Reforecast Q1 2026'!I28-Actuals!I28)</f>
        <v>0</v>
      </c>
      <c r="AC22" s="132" t="str">
        <f aca="false">IFERROR(IF(OR(7&gt;$B$3,ISBLANK(Actuals!I28)),"",('Reforecast Q1 2026'!I28-Actuals!I28)/ABS('Reforecast Q1 2026'!I28)),"")</f>
        <v/>
      </c>
      <c r="AD22" s="131" t="n">
        <f aca="false">'Reforecast Q1 2026'!J28</f>
        <v>0</v>
      </c>
      <c r="AE22" s="131" t="n">
        <f aca="false">IF(OR(8&gt;$B$3,ISBLANK(Actuals!J28)),"",Actuals!J28)</f>
        <v>0</v>
      </c>
      <c r="AF22" s="132" t="n">
        <f aca="false">IF(OR(8&gt;$B$3,ISBLANK(Actuals!J28)),"",'Reforecast Q1 2026'!J28-Actuals!J28)</f>
        <v>0</v>
      </c>
      <c r="AG22" s="132" t="str">
        <f aca="false">IFERROR(IF(OR(8&gt;$B$3,ISBLANK(Actuals!J28)),"",('Reforecast Q1 2026'!J28-Actuals!J28)/ABS('Reforecast Q1 2026'!J28)),"")</f>
        <v/>
      </c>
      <c r="AH22" s="131" t="n">
        <f aca="false">'Reforecast Q1 2026'!K28</f>
        <v>0</v>
      </c>
      <c r="AI22" s="131" t="n">
        <f aca="false">IF(OR(9&gt;$B$3,ISBLANK(Actuals!K28)),"",Actuals!K28)</f>
        <v>0</v>
      </c>
      <c r="AJ22" s="132" t="n">
        <f aca="false">IF(OR(9&gt;$B$3,ISBLANK(Actuals!K28)),"",'Reforecast Q1 2026'!K28-Actuals!K28)</f>
        <v>0</v>
      </c>
      <c r="AK22" s="132" t="str">
        <f aca="false">IFERROR(IF(OR(9&gt;$B$3,ISBLANK(Actuals!K28)),"",('Reforecast Q1 2026'!K28-Actuals!K28)/ABS('Reforecast Q1 2026'!K28)),"")</f>
        <v/>
      </c>
      <c r="AL22" s="131" t="n">
        <f aca="false">'Reforecast Q1 2026'!L28</f>
        <v>0</v>
      </c>
      <c r="AM22" s="131" t="str">
        <f aca="false">IF(OR(10&gt;$B$3,ISBLANK(Actuals!L28)),"",Actuals!L28)</f>
        <v/>
      </c>
      <c r="AN22" s="132" t="str">
        <f aca="false">IF(OR(10&gt;$B$3,ISBLANK(Actuals!L28)),"",'Reforecast Q1 2026'!L28-Actuals!L28)</f>
        <v/>
      </c>
      <c r="AO22" s="132" t="str">
        <f aca="false">IFERROR(IF(OR(10&gt;$B$3,ISBLANK(Actuals!L28)),"",('Reforecast Q1 2026'!L28-Actuals!L28)/ABS('Reforecast Q1 2026'!L28)),"")</f>
        <v/>
      </c>
      <c r="AP22" s="131" t="n">
        <f aca="false">'Reforecast Q1 2026'!M28</f>
        <v>0</v>
      </c>
      <c r="AQ22" s="131" t="str">
        <f aca="false">IF(OR(11&gt;$B$3,ISBLANK(Actuals!M28)),"",Actuals!M28)</f>
        <v/>
      </c>
      <c r="AR22" s="132" t="str">
        <f aca="false">IF(OR(11&gt;$B$3,ISBLANK(Actuals!M28)),"",'Reforecast Q1 2026'!M28-Actuals!M28)</f>
        <v/>
      </c>
      <c r="AS22" s="132" t="str">
        <f aca="false">IFERROR(IF(OR(11&gt;$B$3,ISBLANK(Actuals!M28)),"",('Reforecast Q1 2026'!M28-Actuals!M28)/ABS('Reforecast Q1 2026'!M28)),"")</f>
        <v/>
      </c>
      <c r="AT22" s="131" t="n">
        <f aca="false">'Reforecast Q1 2026'!N28</f>
        <v>0</v>
      </c>
      <c r="AU22" s="131" t="str">
        <f aca="false">IF(OR(12&gt;$B$3,ISBLANK(Actuals!N28)),"",Actuals!N28)</f>
        <v/>
      </c>
      <c r="AV22" s="132" t="str">
        <f aca="false">IF(OR(12&gt;$B$3,ISBLANK(Actuals!N28)),"",'Reforecast Q1 2026'!N28-Actuals!N28)</f>
        <v/>
      </c>
      <c r="AW22" s="132" t="str">
        <f aca="false">IFERROR(IF(OR(12&gt;$B$3,ISBLANK(Actuals!N28)),"",('Reforecast Q1 2026'!N28-Actuals!N28)/ABS('Reforecast Q1 2026'!N28)),"")</f>
        <v/>
      </c>
      <c r="AX22" s="133" t="n">
        <f aca="false">SUMPRODUCT((Actuals!C28:N28&lt;&gt;"")*('Reforecast Q1 2026'!C28:N28))</f>
        <v>0</v>
      </c>
      <c r="AY22" s="133" t="n">
        <f aca="false">SUM(Actuals!C28:N28)</f>
        <v>332814.48</v>
      </c>
      <c r="AZ22" s="134" t="n">
        <f aca="false">AX22-AY22</f>
        <v>-332814.48</v>
      </c>
    </row>
    <row r="23" customFormat="false" ht="15" hidden="false" customHeight="true" outlineLevel="0" collapsed="false">
      <c r="A23" s="130" t="s">
        <v>72</v>
      </c>
      <c r="B23" s="131" t="n">
        <f aca="false">'Reforecast Q1 2026'!C29</f>
        <v>-10400</v>
      </c>
      <c r="C23" s="131" t="n">
        <f aca="false">IF(OR(1&gt;$B$3,ISBLANK(Actuals!C29)),"",Actuals!C29)</f>
        <v>-10400</v>
      </c>
      <c r="D23" s="132" t="n">
        <f aca="false">IF(OR(1&gt;$B$3,ISBLANK(Actuals!C29)),"",'Reforecast Q1 2026'!C29-Actuals!C29)</f>
        <v>0</v>
      </c>
      <c r="E23" s="132" t="n">
        <f aca="false">IFERROR(IF(OR(1&gt;$B$3,ISBLANK(Actuals!C29)),"",('Reforecast Q1 2026'!C29-Actuals!C29)/ABS('Reforecast Q1 2026'!C29)),"")</f>
        <v>0</v>
      </c>
      <c r="F23" s="131" t="n">
        <f aca="false">'Reforecast Q1 2026'!D29</f>
        <v>-10400</v>
      </c>
      <c r="G23" s="131" t="n">
        <f aca="false">IF(OR(2&gt;$B$3,ISBLANK(Actuals!D29)),"",Actuals!D29)</f>
        <v>-10400</v>
      </c>
      <c r="H23" s="132" t="n">
        <f aca="false">IF(OR(2&gt;$B$3,ISBLANK(Actuals!D29)),"",'Reforecast Q1 2026'!D29-Actuals!D29)</f>
        <v>0</v>
      </c>
      <c r="I23" s="132" t="n">
        <f aca="false">IFERROR(IF(OR(2&gt;$B$3,ISBLANK(Actuals!D29)),"",('Reforecast Q1 2026'!D29-Actuals!D29)/ABS('Reforecast Q1 2026'!D29)),"")</f>
        <v>0</v>
      </c>
      <c r="J23" s="131" t="n">
        <f aca="false">'Reforecast Q1 2026'!E29</f>
        <v>-400</v>
      </c>
      <c r="K23" s="131" t="n">
        <f aca="false">IF(OR(3&gt;$B$3,ISBLANK(Actuals!E29)),"",Actuals!E29)</f>
        <v>-400</v>
      </c>
      <c r="L23" s="132" t="n">
        <f aca="false">IF(OR(3&gt;$B$3,ISBLANK(Actuals!E29)),"",'Reforecast Q1 2026'!E29-Actuals!E29)</f>
        <v>0</v>
      </c>
      <c r="M23" s="132" t="n">
        <f aca="false">IFERROR(IF(OR(3&gt;$B$3,ISBLANK(Actuals!E29)),"",('Reforecast Q1 2026'!E29-Actuals!E29)/ABS('Reforecast Q1 2026'!E29)),"")</f>
        <v>0</v>
      </c>
      <c r="N23" s="131" t="n">
        <f aca="false">'Reforecast Q1 2026'!F29</f>
        <v>-10400</v>
      </c>
      <c r="O23" s="131" t="n">
        <f aca="false">IF(OR(4&gt;$B$3,ISBLANK(Actuals!F29)),"",Actuals!F29)</f>
        <v>-10400</v>
      </c>
      <c r="P23" s="132" t="n">
        <f aca="false">IF(OR(4&gt;$B$3,ISBLANK(Actuals!F29)),"",'Reforecast Q1 2026'!F29-Actuals!F29)</f>
        <v>0</v>
      </c>
      <c r="Q23" s="132" t="n">
        <f aca="false">IFERROR(IF(OR(4&gt;$B$3,ISBLANK(Actuals!F29)),"",('Reforecast Q1 2026'!F29-Actuals!F29)/ABS('Reforecast Q1 2026'!F29)),"")</f>
        <v>0</v>
      </c>
      <c r="R23" s="131" t="n">
        <f aca="false">'Reforecast Q1 2026'!G29</f>
        <v>-10400</v>
      </c>
      <c r="S23" s="131" t="n">
        <f aca="false">IF(OR(5&gt;$B$3,ISBLANK(Actuals!G29)),"",Actuals!G29)</f>
        <v>-20400</v>
      </c>
      <c r="T23" s="132" t="n">
        <f aca="false">IF(OR(5&gt;$B$3,ISBLANK(Actuals!G29)),"",'Reforecast Q1 2026'!G29-Actuals!G29)</f>
        <v>10000</v>
      </c>
      <c r="U23" s="132" t="n">
        <f aca="false">IFERROR(IF(OR(5&gt;$B$3,ISBLANK(Actuals!G29)),"",('Reforecast Q1 2026'!G29-Actuals!G29)/ABS('Reforecast Q1 2026'!G29)),"")</f>
        <v>0.961538461538462</v>
      </c>
      <c r="V23" s="131" t="n">
        <f aca="false">'Reforecast Q1 2026'!H29</f>
        <v>-10400</v>
      </c>
      <c r="W23" s="131" t="n">
        <f aca="false">IF(OR(6&gt;$B$3,ISBLANK(Actuals!H29)),"",Actuals!H29)</f>
        <v>-20405</v>
      </c>
      <c r="X23" s="132" t="n">
        <f aca="false">IF(OR(6&gt;$B$3,ISBLANK(Actuals!H29)),"",'Reforecast Q1 2026'!H29-Actuals!H29)</f>
        <v>10005</v>
      </c>
      <c r="Y23" s="132" t="n">
        <f aca="false">IFERROR(IF(OR(6&gt;$B$3,ISBLANK(Actuals!H29)),"",('Reforecast Q1 2026'!H29-Actuals!H29)/ABS('Reforecast Q1 2026'!H29)),"")</f>
        <v>0.962019230769231</v>
      </c>
      <c r="Z23" s="131" t="n">
        <f aca="false">'Reforecast Q1 2026'!I29</f>
        <v>-10400</v>
      </c>
      <c r="AA23" s="131" t="n">
        <f aca="false">IF(OR(7&gt;$B$3,ISBLANK(Actuals!I29)),"",Actuals!I29)</f>
        <v>-20405</v>
      </c>
      <c r="AB23" s="132" t="n">
        <f aca="false">IF(OR(7&gt;$B$3,ISBLANK(Actuals!I29)),"",'Reforecast Q1 2026'!I29-Actuals!I29)</f>
        <v>10005</v>
      </c>
      <c r="AC23" s="132" t="n">
        <f aca="false">IFERROR(IF(OR(7&gt;$B$3,ISBLANK(Actuals!I29)),"",('Reforecast Q1 2026'!I29-Actuals!I29)/ABS('Reforecast Q1 2026'!I29)),"")</f>
        <v>0.962019230769231</v>
      </c>
      <c r="AD23" s="131" t="n">
        <f aca="false">'Reforecast Q1 2026'!J29</f>
        <v>-10400</v>
      </c>
      <c r="AE23" s="131" t="n">
        <f aca="false">IF(OR(8&gt;$B$3,ISBLANK(Actuals!J29)),"",Actuals!J29)</f>
        <v>-20405</v>
      </c>
      <c r="AF23" s="132" t="n">
        <f aca="false">IF(OR(8&gt;$B$3,ISBLANK(Actuals!J29)),"",'Reforecast Q1 2026'!J29-Actuals!J29)</f>
        <v>10005</v>
      </c>
      <c r="AG23" s="132" t="n">
        <f aca="false">IFERROR(IF(OR(8&gt;$B$3,ISBLANK(Actuals!J29)),"",('Reforecast Q1 2026'!J29-Actuals!J29)/ABS('Reforecast Q1 2026'!J29)),"")</f>
        <v>0.962019230769231</v>
      </c>
      <c r="AH23" s="131" t="n">
        <f aca="false">'Reforecast Q1 2026'!K29</f>
        <v>-10400</v>
      </c>
      <c r="AI23" s="131" t="n">
        <f aca="false">IF(OR(9&gt;$B$3,ISBLANK(Actuals!K29)),"",Actuals!K29)</f>
        <v>-20000</v>
      </c>
      <c r="AJ23" s="132" t="n">
        <f aca="false">IF(OR(9&gt;$B$3,ISBLANK(Actuals!K29)),"",'Reforecast Q1 2026'!K29-Actuals!K29)</f>
        <v>9600</v>
      </c>
      <c r="AK23" s="132" t="n">
        <f aca="false">IFERROR(IF(OR(9&gt;$B$3,ISBLANK(Actuals!K29)),"",('Reforecast Q1 2026'!K29-Actuals!K29)/ABS('Reforecast Q1 2026'!K29)),"")</f>
        <v>0.923076923076923</v>
      </c>
      <c r="AL23" s="131" t="n">
        <f aca="false">'Reforecast Q1 2026'!L29</f>
        <v>-10400</v>
      </c>
      <c r="AM23" s="131" t="str">
        <f aca="false">IF(OR(10&gt;$B$3,ISBLANK(Actuals!L29)),"",Actuals!L29)</f>
        <v/>
      </c>
      <c r="AN23" s="132" t="str">
        <f aca="false">IF(OR(10&gt;$B$3,ISBLANK(Actuals!L29)),"",'Reforecast Q1 2026'!L29-Actuals!L29)</f>
        <v/>
      </c>
      <c r="AO23" s="132" t="str">
        <f aca="false">IFERROR(IF(OR(10&gt;$B$3,ISBLANK(Actuals!L29)),"",('Reforecast Q1 2026'!L29-Actuals!L29)/ABS('Reforecast Q1 2026'!L29)),"")</f>
        <v/>
      </c>
      <c r="AP23" s="131" t="n">
        <f aca="false">'Reforecast Q1 2026'!M29</f>
        <v>-10400</v>
      </c>
      <c r="AQ23" s="131" t="str">
        <f aca="false">IF(OR(11&gt;$B$3,ISBLANK(Actuals!M29)),"",Actuals!M29)</f>
        <v/>
      </c>
      <c r="AR23" s="132" t="str">
        <f aca="false">IF(OR(11&gt;$B$3,ISBLANK(Actuals!M29)),"",'Reforecast Q1 2026'!M29-Actuals!M29)</f>
        <v/>
      </c>
      <c r="AS23" s="132" t="str">
        <f aca="false">IFERROR(IF(OR(11&gt;$B$3,ISBLANK(Actuals!M29)),"",('Reforecast Q1 2026'!M29-Actuals!M29)/ABS('Reforecast Q1 2026'!M29)),"")</f>
        <v/>
      </c>
      <c r="AT23" s="131" t="n">
        <f aca="false">'Reforecast Q1 2026'!N29</f>
        <v>-10400</v>
      </c>
      <c r="AU23" s="131" t="str">
        <f aca="false">IF(OR(12&gt;$B$3,ISBLANK(Actuals!N29)),"",Actuals!N29)</f>
        <v/>
      </c>
      <c r="AV23" s="132" t="str">
        <f aca="false">IF(OR(12&gt;$B$3,ISBLANK(Actuals!N29)),"",'Reforecast Q1 2026'!N29-Actuals!N29)</f>
        <v/>
      </c>
      <c r="AW23" s="132" t="str">
        <f aca="false">IFERROR(IF(OR(12&gt;$B$3,ISBLANK(Actuals!N29)),"",('Reforecast Q1 2026'!N29-Actuals!N29)/ABS('Reforecast Q1 2026'!N29)),"")</f>
        <v/>
      </c>
      <c r="AX23" s="133" t="n">
        <f aca="false">SUMPRODUCT((Actuals!C29:N29&lt;&gt;"")*('Reforecast Q1 2026'!C29:N29))</f>
        <v>-83600</v>
      </c>
      <c r="AY23" s="133" t="n">
        <f aca="false">SUM(Actuals!C29:N29)</f>
        <v>-133215</v>
      </c>
      <c r="AZ23" s="134" t="n">
        <f aca="false">AX23-AY23</f>
        <v>49615</v>
      </c>
    </row>
    <row r="24" customFormat="false" ht="15" hidden="false" customHeight="true" outlineLevel="0" collapsed="false">
      <c r="A24" s="130" t="s">
        <v>73</v>
      </c>
      <c r="B24" s="131" t="n">
        <f aca="false">'Reforecast Q1 2026'!C30</f>
        <v>-1988</v>
      </c>
      <c r="C24" s="131" t="n">
        <f aca="false">IF(OR(1&gt;$B$3,ISBLANK(Actuals!C30)),"",Actuals!C30)</f>
        <v>-1988</v>
      </c>
      <c r="D24" s="132" t="n">
        <f aca="false">IF(OR(1&gt;$B$3,ISBLANK(Actuals!C30)),"",'Reforecast Q1 2026'!C30-Actuals!C30)</f>
        <v>0</v>
      </c>
      <c r="E24" s="132" t="n">
        <f aca="false">IFERROR(IF(OR(1&gt;$B$3,ISBLANK(Actuals!C30)),"",('Reforecast Q1 2026'!C30-Actuals!C30)/ABS('Reforecast Q1 2026'!C30)),"")</f>
        <v>0</v>
      </c>
      <c r="F24" s="131" t="n">
        <f aca="false">'Reforecast Q1 2026'!D30</f>
        <v>-955.32</v>
      </c>
      <c r="G24" s="131" t="n">
        <f aca="false">IF(OR(2&gt;$B$3,ISBLANK(Actuals!D30)),"",Actuals!D30)</f>
        <v>-955.32</v>
      </c>
      <c r="H24" s="132" t="n">
        <f aca="false">IF(OR(2&gt;$B$3,ISBLANK(Actuals!D30)),"",'Reforecast Q1 2026'!D30-Actuals!D30)</f>
        <v>0</v>
      </c>
      <c r="I24" s="132" t="n">
        <f aca="false">IFERROR(IF(OR(2&gt;$B$3,ISBLANK(Actuals!D30)),"",('Reforecast Q1 2026'!D30-Actuals!D30)/ABS('Reforecast Q1 2026'!D30)),"")</f>
        <v>0</v>
      </c>
      <c r="J24" s="131" t="n">
        <f aca="false">'Reforecast Q1 2026'!E30</f>
        <v>-9130.61</v>
      </c>
      <c r="K24" s="131" t="n">
        <f aca="false">IF(OR(3&gt;$B$3,ISBLANK(Actuals!E30)),"",Actuals!E30)</f>
        <v>-9130.61</v>
      </c>
      <c r="L24" s="132" t="n">
        <f aca="false">IF(OR(3&gt;$B$3,ISBLANK(Actuals!E30)),"",'Reforecast Q1 2026'!E30-Actuals!E30)</f>
        <v>0</v>
      </c>
      <c r="M24" s="132" t="n">
        <f aca="false">IFERROR(IF(OR(3&gt;$B$3,ISBLANK(Actuals!E30)),"",('Reforecast Q1 2026'!E30-Actuals!E30)/ABS('Reforecast Q1 2026'!E30)),"")</f>
        <v>0</v>
      </c>
      <c r="N24" s="131" t="n">
        <f aca="false">'Reforecast Q1 2026'!F30</f>
        <v>-4024.64</v>
      </c>
      <c r="O24" s="131" t="n">
        <f aca="false">IF(OR(4&gt;$B$3,ISBLANK(Actuals!F30)),"",Actuals!F30)</f>
        <v>-1028.89</v>
      </c>
      <c r="P24" s="132" t="n">
        <f aca="false">IF(OR(4&gt;$B$3,ISBLANK(Actuals!F30)),"",'Reforecast Q1 2026'!F30-Actuals!F30)</f>
        <v>-2995.75</v>
      </c>
      <c r="Q24" s="132" t="n">
        <f aca="false">IFERROR(IF(OR(4&gt;$B$3,ISBLANK(Actuals!F30)),"",('Reforecast Q1 2026'!F30-Actuals!F30)/ABS('Reforecast Q1 2026'!F30)),"")</f>
        <v>-0.744352289894251</v>
      </c>
      <c r="R24" s="131" t="n">
        <f aca="false">'Reforecast Q1 2026'!G30</f>
        <v>-4024.64</v>
      </c>
      <c r="S24" s="131" t="n">
        <f aca="false">IF(OR(5&gt;$B$3,ISBLANK(Actuals!G30)),"",Actuals!G30)</f>
        <v>-7005.14</v>
      </c>
      <c r="T24" s="132" t="n">
        <f aca="false">IF(OR(5&gt;$B$3,ISBLANK(Actuals!G30)),"",'Reforecast Q1 2026'!G30-Actuals!G30)</f>
        <v>2980.5</v>
      </c>
      <c r="U24" s="132" t="n">
        <f aca="false">IFERROR(IF(OR(5&gt;$B$3,ISBLANK(Actuals!G30)),"",('Reforecast Q1 2026'!G30-Actuals!G30)/ABS('Reforecast Q1 2026'!G30)),"")</f>
        <v>0.740563131112348</v>
      </c>
      <c r="V24" s="131" t="n">
        <f aca="false">'Reforecast Q1 2026'!H30</f>
        <v>-4024.64</v>
      </c>
      <c r="W24" s="131" t="n">
        <f aca="false">IF(OR(6&gt;$B$3,ISBLANK(Actuals!H30)),"",Actuals!H30)</f>
        <v>-4121.06</v>
      </c>
      <c r="X24" s="132" t="n">
        <f aca="false">IF(OR(6&gt;$B$3,ISBLANK(Actuals!H30)),"",'Reforecast Q1 2026'!H30-Actuals!H30)</f>
        <v>96.4200000000005</v>
      </c>
      <c r="Y24" s="132" t="n">
        <f aca="false">IFERROR(IF(OR(6&gt;$B$3,ISBLANK(Actuals!H30)),"",('Reforecast Q1 2026'!H30-Actuals!H30)/ABS('Reforecast Q1 2026'!H30)),"")</f>
        <v>0.023957422278763</v>
      </c>
      <c r="Z24" s="131" t="n">
        <f aca="false">'Reforecast Q1 2026'!I30</f>
        <v>-4024.64</v>
      </c>
      <c r="AA24" s="131" t="n">
        <f aca="false">IF(OR(7&gt;$B$3,ISBLANK(Actuals!I30)),"",Actuals!I30)</f>
        <v>-2683.91</v>
      </c>
      <c r="AB24" s="132" t="n">
        <f aca="false">IF(OR(7&gt;$B$3,ISBLANK(Actuals!I30)),"",'Reforecast Q1 2026'!I30-Actuals!I30)</f>
        <v>-1340.73</v>
      </c>
      <c r="AC24" s="132" t="n">
        <f aca="false">IFERROR(IF(OR(7&gt;$B$3,ISBLANK(Actuals!I30)),"",('Reforecast Q1 2026'!I30-Actuals!I30)/ABS('Reforecast Q1 2026'!I30)),"")</f>
        <v>-0.333130416633537</v>
      </c>
      <c r="AD24" s="131" t="n">
        <f aca="false">'Reforecast Q1 2026'!J30</f>
        <v>-4024.64</v>
      </c>
      <c r="AE24" s="131" t="n">
        <f aca="false">IF(OR(8&gt;$B$3,ISBLANK(Actuals!J30)),"",Actuals!J30)</f>
        <v>-17047.56</v>
      </c>
      <c r="AF24" s="132" t="n">
        <f aca="false">IF(OR(8&gt;$B$3,ISBLANK(Actuals!J30)),"",'Reforecast Q1 2026'!J30-Actuals!J30)</f>
        <v>13022.92</v>
      </c>
      <c r="AG24" s="132" t="n">
        <f aca="false">IFERROR(IF(OR(8&gt;$B$3,ISBLANK(Actuals!J30)),"",('Reforecast Q1 2026'!J30-Actuals!J30)/ABS('Reforecast Q1 2026'!J30)),"")</f>
        <v>3.23579748747714</v>
      </c>
      <c r="AH24" s="131" t="n">
        <f aca="false">'Reforecast Q1 2026'!K30</f>
        <v>-4024.64</v>
      </c>
      <c r="AI24" s="131" t="n">
        <f aca="false">IF(OR(9&gt;$B$3,ISBLANK(Actuals!K30)),"",Actuals!K30)</f>
        <v>-145.69</v>
      </c>
      <c r="AJ24" s="132" t="n">
        <f aca="false">IF(OR(9&gt;$B$3,ISBLANK(Actuals!K30)),"",'Reforecast Q1 2026'!K30-Actuals!K30)</f>
        <v>-3878.95</v>
      </c>
      <c r="AK24" s="132" t="n">
        <f aca="false">IFERROR(IF(OR(9&gt;$B$3,ISBLANK(Actuals!K30)),"",('Reforecast Q1 2026'!K30-Actuals!K30)/ABS('Reforecast Q1 2026'!K30)),"")</f>
        <v>-0.963800488987835</v>
      </c>
      <c r="AL24" s="131" t="n">
        <f aca="false">'Reforecast Q1 2026'!L30</f>
        <v>-4024.64</v>
      </c>
      <c r="AM24" s="131" t="str">
        <f aca="false">IF(OR(10&gt;$B$3,ISBLANK(Actuals!L30)),"",Actuals!L30)</f>
        <v/>
      </c>
      <c r="AN24" s="132" t="str">
        <f aca="false">IF(OR(10&gt;$B$3,ISBLANK(Actuals!L30)),"",'Reforecast Q1 2026'!L30-Actuals!L30)</f>
        <v/>
      </c>
      <c r="AO24" s="132" t="str">
        <f aca="false">IFERROR(IF(OR(10&gt;$B$3,ISBLANK(Actuals!L30)),"",('Reforecast Q1 2026'!L30-Actuals!L30)/ABS('Reforecast Q1 2026'!L30)),"")</f>
        <v/>
      </c>
      <c r="AP24" s="131" t="n">
        <f aca="false">'Reforecast Q1 2026'!M30</f>
        <v>-4024.64</v>
      </c>
      <c r="AQ24" s="131" t="str">
        <f aca="false">IF(OR(11&gt;$B$3,ISBLANK(Actuals!M30)),"",Actuals!M30)</f>
        <v/>
      </c>
      <c r="AR24" s="132" t="str">
        <f aca="false">IF(OR(11&gt;$B$3,ISBLANK(Actuals!M30)),"",'Reforecast Q1 2026'!M30-Actuals!M30)</f>
        <v/>
      </c>
      <c r="AS24" s="132" t="str">
        <f aca="false">IFERROR(IF(OR(11&gt;$B$3,ISBLANK(Actuals!M30)),"",('Reforecast Q1 2026'!M30-Actuals!M30)/ABS('Reforecast Q1 2026'!M30)),"")</f>
        <v/>
      </c>
      <c r="AT24" s="131" t="n">
        <f aca="false">'Reforecast Q1 2026'!N30</f>
        <v>-4024.64</v>
      </c>
      <c r="AU24" s="131" t="str">
        <f aca="false">IF(OR(12&gt;$B$3,ISBLANK(Actuals!N30)),"",Actuals!N30)</f>
        <v/>
      </c>
      <c r="AV24" s="132" t="str">
        <f aca="false">IF(OR(12&gt;$B$3,ISBLANK(Actuals!N30)),"",'Reforecast Q1 2026'!N30-Actuals!N30)</f>
        <v/>
      </c>
      <c r="AW24" s="132" t="str">
        <f aca="false">IFERROR(IF(OR(12&gt;$B$3,ISBLANK(Actuals!N30)),"",('Reforecast Q1 2026'!N30-Actuals!N30)/ABS('Reforecast Q1 2026'!N30)),"")</f>
        <v/>
      </c>
      <c r="AX24" s="133" t="n">
        <f aca="false">SUMPRODUCT((Actuals!C30:N30&lt;&gt;"")*('Reforecast Q1 2026'!C30:N30))</f>
        <v>-36221.77</v>
      </c>
      <c r="AY24" s="133" t="n">
        <f aca="false">SUM(Actuals!C30:N30)</f>
        <v>-44106.18</v>
      </c>
      <c r="AZ24" s="134" t="n">
        <f aca="false">AX24-AY24</f>
        <v>7884.41000000001</v>
      </c>
    </row>
    <row r="25" customFormat="false" ht="15" hidden="false" customHeight="true" outlineLevel="0" collapsed="false">
      <c r="A25" s="130" t="s">
        <v>74</v>
      </c>
      <c r="B25" s="131" t="n">
        <f aca="false">'Reforecast Q1 2026'!C31</f>
        <v>0</v>
      </c>
      <c r="C25" s="131" t="n">
        <f aca="false">IF(OR(1&gt;$B$3,ISBLANK(Actuals!C31)),"",Actuals!C31)</f>
        <v>0</v>
      </c>
      <c r="D25" s="132" t="n">
        <f aca="false">IF(OR(1&gt;$B$3,ISBLANK(Actuals!C31)),"",'Reforecast Q1 2026'!C31-Actuals!C31)</f>
        <v>0</v>
      </c>
      <c r="E25" s="132" t="str">
        <f aca="false">IFERROR(IF(OR(1&gt;$B$3,ISBLANK(Actuals!C31)),"",('Reforecast Q1 2026'!C31-Actuals!C31)/ABS('Reforecast Q1 2026'!C31)),"")</f>
        <v/>
      </c>
      <c r="F25" s="131" t="n">
        <f aca="false">'Reforecast Q1 2026'!D31</f>
        <v>0</v>
      </c>
      <c r="G25" s="131" t="n">
        <f aca="false">IF(OR(2&gt;$B$3,ISBLANK(Actuals!D31)),"",Actuals!D31)</f>
        <v>0</v>
      </c>
      <c r="H25" s="132" t="n">
        <f aca="false">IF(OR(2&gt;$B$3,ISBLANK(Actuals!D31)),"",'Reforecast Q1 2026'!D31-Actuals!D31)</f>
        <v>0</v>
      </c>
      <c r="I25" s="132" t="str">
        <f aca="false">IFERROR(IF(OR(2&gt;$B$3,ISBLANK(Actuals!D31)),"",('Reforecast Q1 2026'!D31-Actuals!D31)/ABS('Reforecast Q1 2026'!D31)),"")</f>
        <v/>
      </c>
      <c r="J25" s="131" t="n">
        <f aca="false">'Reforecast Q1 2026'!E31</f>
        <v>-1077.38</v>
      </c>
      <c r="K25" s="131" t="n">
        <f aca="false">IF(OR(3&gt;$B$3,ISBLANK(Actuals!E31)),"",Actuals!E31)</f>
        <v>-1077.38</v>
      </c>
      <c r="L25" s="132" t="n">
        <f aca="false">IF(OR(3&gt;$B$3,ISBLANK(Actuals!E31)),"",'Reforecast Q1 2026'!E31-Actuals!E31)</f>
        <v>0</v>
      </c>
      <c r="M25" s="132" t="n">
        <f aca="false">IFERROR(IF(OR(3&gt;$B$3,ISBLANK(Actuals!E31)),"",('Reforecast Q1 2026'!E31-Actuals!E31)/ABS('Reforecast Q1 2026'!E31)),"")</f>
        <v>0</v>
      </c>
      <c r="N25" s="131" t="n">
        <f aca="false">'Reforecast Q1 2026'!F31</f>
        <v>-359.13</v>
      </c>
      <c r="O25" s="131" t="n">
        <f aca="false">IF(OR(4&gt;$B$3,ISBLANK(Actuals!F31)),"",Actuals!F31)</f>
        <v>-211.28</v>
      </c>
      <c r="P25" s="132" t="n">
        <f aca="false">IF(OR(4&gt;$B$3,ISBLANK(Actuals!F31)),"",'Reforecast Q1 2026'!F31-Actuals!F31)</f>
        <v>-147.85</v>
      </c>
      <c r="Q25" s="132" t="n">
        <f aca="false">IFERROR(IF(OR(4&gt;$B$3,ISBLANK(Actuals!F31)),"",('Reforecast Q1 2026'!F31-Actuals!F31)/ABS('Reforecast Q1 2026'!F31)),"")</f>
        <v>-0.411689360398741</v>
      </c>
      <c r="R25" s="131" t="n">
        <f aca="false">'Reforecast Q1 2026'!G31</f>
        <v>-359.13</v>
      </c>
      <c r="S25" s="131" t="n">
        <f aca="false">IF(OR(5&gt;$B$3,ISBLANK(Actuals!G31)),"",Actuals!G31)</f>
        <v>-1254.17</v>
      </c>
      <c r="T25" s="132" t="n">
        <f aca="false">IF(OR(5&gt;$B$3,ISBLANK(Actuals!G31)),"",'Reforecast Q1 2026'!G31-Actuals!G31)</f>
        <v>895.04</v>
      </c>
      <c r="U25" s="132" t="n">
        <f aca="false">IFERROR(IF(OR(5&gt;$B$3,ISBLANK(Actuals!G31)),"",('Reforecast Q1 2026'!G31-Actuals!G31)/ABS('Reforecast Q1 2026'!G31)),"")</f>
        <v>2.49224514799655</v>
      </c>
      <c r="V25" s="131" t="n">
        <f aca="false">'Reforecast Q1 2026'!H31</f>
        <v>-359.13</v>
      </c>
      <c r="W25" s="131" t="n">
        <f aca="false">IF(OR(6&gt;$B$3,ISBLANK(Actuals!H31)),"",Actuals!H31)</f>
        <v>0</v>
      </c>
      <c r="X25" s="132" t="n">
        <f aca="false">IF(OR(6&gt;$B$3,ISBLANK(Actuals!H31)),"",'Reforecast Q1 2026'!H31-Actuals!H31)</f>
        <v>-359.13</v>
      </c>
      <c r="Y25" s="132" t="n">
        <f aca="false">IFERROR(IF(OR(6&gt;$B$3,ISBLANK(Actuals!H31)),"",('Reforecast Q1 2026'!H31-Actuals!H31)/ABS('Reforecast Q1 2026'!H31)),"")</f>
        <v>-1</v>
      </c>
      <c r="Z25" s="131" t="n">
        <f aca="false">'Reforecast Q1 2026'!I31</f>
        <v>-359.13</v>
      </c>
      <c r="AA25" s="131" t="n">
        <f aca="false">IF(OR(7&gt;$B$3,ISBLANK(Actuals!I31)),"",Actuals!I31)</f>
        <v>-169.62</v>
      </c>
      <c r="AB25" s="132" t="n">
        <f aca="false">IF(OR(7&gt;$B$3,ISBLANK(Actuals!I31)),"",'Reforecast Q1 2026'!I31-Actuals!I31)</f>
        <v>-189.51</v>
      </c>
      <c r="AC25" s="132" t="n">
        <f aca="false">IFERROR(IF(OR(7&gt;$B$3,ISBLANK(Actuals!I31)),"",('Reforecast Q1 2026'!I31-Actuals!I31)/ABS('Reforecast Q1 2026'!I31)),"")</f>
        <v>-0.527691922145184</v>
      </c>
      <c r="AD25" s="131" t="n">
        <f aca="false">'Reforecast Q1 2026'!J31</f>
        <v>-359.13</v>
      </c>
      <c r="AE25" s="131" t="n">
        <f aca="false">IF(OR(8&gt;$B$3,ISBLANK(Actuals!J31)),"",Actuals!J31)</f>
        <v>-2331.88</v>
      </c>
      <c r="AF25" s="132" t="n">
        <f aca="false">IF(OR(8&gt;$B$3,ISBLANK(Actuals!J31)),"",'Reforecast Q1 2026'!J31-Actuals!J31)</f>
        <v>1972.75</v>
      </c>
      <c r="AG25" s="132" t="n">
        <f aca="false">IFERROR(IF(OR(8&gt;$B$3,ISBLANK(Actuals!J31)),"",('Reforecast Q1 2026'!J31-Actuals!J31)/ABS('Reforecast Q1 2026'!J31)),"")</f>
        <v>5.49313619023752</v>
      </c>
      <c r="AH25" s="131" t="n">
        <f aca="false">'Reforecast Q1 2026'!K31</f>
        <v>-359.13</v>
      </c>
      <c r="AI25" s="131" t="n">
        <f aca="false">IF(OR(9&gt;$B$3,ISBLANK(Actuals!K31)),"",Actuals!K31)</f>
        <v>-1797.24</v>
      </c>
      <c r="AJ25" s="132" t="n">
        <f aca="false">IF(OR(9&gt;$B$3,ISBLANK(Actuals!K31)),"",'Reforecast Q1 2026'!K31-Actuals!K31)</f>
        <v>1438.11</v>
      </c>
      <c r="AK25" s="132" t="n">
        <f aca="false">IFERROR(IF(OR(9&gt;$B$3,ISBLANK(Actuals!K31)),"",('Reforecast Q1 2026'!K31-Actuals!K31)/ABS('Reforecast Q1 2026'!K31)),"")</f>
        <v>4.00442736613483</v>
      </c>
      <c r="AL25" s="131" t="n">
        <f aca="false">'Reforecast Q1 2026'!L31</f>
        <v>-359.13</v>
      </c>
      <c r="AM25" s="131" t="str">
        <f aca="false">IF(OR(10&gt;$B$3,ISBLANK(Actuals!L31)),"",Actuals!L31)</f>
        <v/>
      </c>
      <c r="AN25" s="132" t="str">
        <f aca="false">IF(OR(10&gt;$B$3,ISBLANK(Actuals!L31)),"",'Reforecast Q1 2026'!L31-Actuals!L31)</f>
        <v/>
      </c>
      <c r="AO25" s="132" t="str">
        <f aca="false">IFERROR(IF(OR(10&gt;$B$3,ISBLANK(Actuals!L31)),"",('Reforecast Q1 2026'!L31-Actuals!L31)/ABS('Reforecast Q1 2026'!L31)),"")</f>
        <v/>
      </c>
      <c r="AP25" s="131" t="n">
        <f aca="false">'Reforecast Q1 2026'!M31</f>
        <v>-359.13</v>
      </c>
      <c r="AQ25" s="131" t="str">
        <f aca="false">IF(OR(11&gt;$B$3,ISBLANK(Actuals!M31)),"",Actuals!M31)</f>
        <v/>
      </c>
      <c r="AR25" s="132" t="str">
        <f aca="false">IF(OR(11&gt;$B$3,ISBLANK(Actuals!M31)),"",'Reforecast Q1 2026'!M31-Actuals!M31)</f>
        <v/>
      </c>
      <c r="AS25" s="132" t="str">
        <f aca="false">IFERROR(IF(OR(11&gt;$B$3,ISBLANK(Actuals!M31)),"",('Reforecast Q1 2026'!M31-Actuals!M31)/ABS('Reforecast Q1 2026'!M31)),"")</f>
        <v/>
      </c>
      <c r="AT25" s="131" t="n">
        <f aca="false">'Reforecast Q1 2026'!N31</f>
        <v>-359.13</v>
      </c>
      <c r="AU25" s="131" t="str">
        <f aca="false">IF(OR(12&gt;$B$3,ISBLANK(Actuals!N31)),"",Actuals!N31)</f>
        <v/>
      </c>
      <c r="AV25" s="132" t="str">
        <f aca="false">IF(OR(12&gt;$B$3,ISBLANK(Actuals!N31)),"",'Reforecast Q1 2026'!N31-Actuals!N31)</f>
        <v/>
      </c>
      <c r="AW25" s="132" t="str">
        <f aca="false">IFERROR(IF(OR(12&gt;$B$3,ISBLANK(Actuals!N31)),"",('Reforecast Q1 2026'!N31-Actuals!N31)/ABS('Reforecast Q1 2026'!N31)),"")</f>
        <v/>
      </c>
      <c r="AX25" s="133" t="n">
        <f aca="false">SUMPRODUCT((Actuals!C31:N31&lt;&gt;"")*('Reforecast Q1 2026'!C31:N31))</f>
        <v>-3232.16</v>
      </c>
      <c r="AY25" s="133" t="n">
        <f aca="false">SUM(Actuals!C31:N31)</f>
        <v>-6841.57</v>
      </c>
      <c r="AZ25" s="134" t="n">
        <f aca="false">AX25-AY25</f>
        <v>3609.41</v>
      </c>
    </row>
    <row r="26" customFormat="false" ht="15" hidden="false" customHeight="true" outlineLevel="0" collapsed="false">
      <c r="A26" s="130" t="s">
        <v>75</v>
      </c>
      <c r="B26" s="131" t="n">
        <f aca="false">'Reforecast Q1 2026'!C32</f>
        <v>-79</v>
      </c>
      <c r="C26" s="131" t="n">
        <f aca="false">IF(OR(1&gt;$B$3,ISBLANK(Actuals!C32)),"",Actuals!C32)</f>
        <v>-79</v>
      </c>
      <c r="D26" s="132" t="n">
        <f aca="false">IF(OR(1&gt;$B$3,ISBLANK(Actuals!C32)),"",'Reforecast Q1 2026'!C32-Actuals!C32)</f>
        <v>0</v>
      </c>
      <c r="E26" s="132" t="n">
        <f aca="false">IFERROR(IF(OR(1&gt;$B$3,ISBLANK(Actuals!C32)),"",('Reforecast Q1 2026'!C32-Actuals!C32)/ABS('Reforecast Q1 2026'!C32)),"")</f>
        <v>0</v>
      </c>
      <c r="F26" s="131" t="n">
        <f aca="false">'Reforecast Q1 2026'!D32</f>
        <v>0</v>
      </c>
      <c r="G26" s="131" t="n">
        <f aca="false">IF(OR(2&gt;$B$3,ISBLANK(Actuals!D32)),"",Actuals!D32)</f>
        <v>0</v>
      </c>
      <c r="H26" s="132" t="n">
        <f aca="false">IF(OR(2&gt;$B$3,ISBLANK(Actuals!D32)),"",'Reforecast Q1 2026'!D32-Actuals!D32)</f>
        <v>0</v>
      </c>
      <c r="I26" s="132" t="str">
        <f aca="false">IFERROR(IF(OR(2&gt;$B$3,ISBLANK(Actuals!D32)),"",('Reforecast Q1 2026'!D32-Actuals!D32)/ABS('Reforecast Q1 2026'!D32)),"")</f>
        <v/>
      </c>
      <c r="J26" s="131" t="n">
        <f aca="false">'Reforecast Q1 2026'!E32</f>
        <v>0</v>
      </c>
      <c r="K26" s="131" t="n">
        <f aca="false">IF(OR(3&gt;$B$3,ISBLANK(Actuals!E32)),"",Actuals!E32)</f>
        <v>0</v>
      </c>
      <c r="L26" s="132" t="n">
        <f aca="false">IF(OR(3&gt;$B$3,ISBLANK(Actuals!E32)),"",'Reforecast Q1 2026'!E32-Actuals!E32)</f>
        <v>0</v>
      </c>
      <c r="M26" s="132" t="str">
        <f aca="false">IFERROR(IF(OR(3&gt;$B$3,ISBLANK(Actuals!E32)),"",('Reforecast Q1 2026'!E32-Actuals!E32)/ABS('Reforecast Q1 2026'!E32)),"")</f>
        <v/>
      </c>
      <c r="N26" s="131" t="n">
        <f aca="false">'Reforecast Q1 2026'!F32</f>
        <v>-26.33</v>
      </c>
      <c r="O26" s="131" t="n">
        <f aca="false">IF(OR(4&gt;$B$3,ISBLANK(Actuals!F32)),"",Actuals!F32)</f>
        <v>0</v>
      </c>
      <c r="P26" s="132" t="n">
        <f aca="false">IF(OR(4&gt;$B$3,ISBLANK(Actuals!F32)),"",'Reforecast Q1 2026'!F32-Actuals!F32)</f>
        <v>-26.33</v>
      </c>
      <c r="Q26" s="132" t="n">
        <f aca="false">IFERROR(IF(OR(4&gt;$B$3,ISBLANK(Actuals!F32)),"",('Reforecast Q1 2026'!F32-Actuals!F32)/ABS('Reforecast Q1 2026'!F32)),"")</f>
        <v>-1</v>
      </c>
      <c r="R26" s="131" t="n">
        <f aca="false">'Reforecast Q1 2026'!G32</f>
        <v>-26.33</v>
      </c>
      <c r="S26" s="131" t="n">
        <f aca="false">IF(OR(5&gt;$B$3,ISBLANK(Actuals!G32)),"",Actuals!G32)</f>
        <v>0</v>
      </c>
      <c r="T26" s="132" t="n">
        <f aca="false">IF(OR(5&gt;$B$3,ISBLANK(Actuals!G32)),"",'Reforecast Q1 2026'!G32-Actuals!G32)</f>
        <v>-26.33</v>
      </c>
      <c r="U26" s="132" t="n">
        <f aca="false">IFERROR(IF(OR(5&gt;$B$3,ISBLANK(Actuals!G32)),"",('Reforecast Q1 2026'!G32-Actuals!G32)/ABS('Reforecast Q1 2026'!G32)),"")</f>
        <v>-1</v>
      </c>
      <c r="V26" s="131" t="n">
        <f aca="false">'Reforecast Q1 2026'!H32</f>
        <v>-26.33</v>
      </c>
      <c r="W26" s="131" t="n">
        <f aca="false">IF(OR(6&gt;$B$3,ISBLANK(Actuals!H32)),"",Actuals!H32)</f>
        <v>0</v>
      </c>
      <c r="X26" s="132" t="n">
        <f aca="false">IF(OR(6&gt;$B$3,ISBLANK(Actuals!H32)),"",'Reforecast Q1 2026'!H32-Actuals!H32)</f>
        <v>-26.33</v>
      </c>
      <c r="Y26" s="132" t="n">
        <f aca="false">IFERROR(IF(OR(6&gt;$B$3,ISBLANK(Actuals!H32)),"",('Reforecast Q1 2026'!H32-Actuals!H32)/ABS('Reforecast Q1 2026'!H32)),"")</f>
        <v>-1</v>
      </c>
      <c r="Z26" s="131" t="n">
        <f aca="false">'Reforecast Q1 2026'!I32</f>
        <v>-26.33</v>
      </c>
      <c r="AA26" s="131" t="n">
        <f aca="false">IF(OR(7&gt;$B$3,ISBLANK(Actuals!I32)),"",Actuals!I32)</f>
        <v>0</v>
      </c>
      <c r="AB26" s="132" t="n">
        <f aca="false">IF(OR(7&gt;$B$3,ISBLANK(Actuals!I32)),"",'Reforecast Q1 2026'!I32-Actuals!I32)</f>
        <v>-26.33</v>
      </c>
      <c r="AC26" s="132" t="n">
        <f aca="false">IFERROR(IF(OR(7&gt;$B$3,ISBLANK(Actuals!I32)),"",('Reforecast Q1 2026'!I32-Actuals!I32)/ABS('Reforecast Q1 2026'!I32)),"")</f>
        <v>-1</v>
      </c>
      <c r="AD26" s="131" t="n">
        <f aca="false">'Reforecast Q1 2026'!J32</f>
        <v>-26.33</v>
      </c>
      <c r="AE26" s="131" t="n">
        <f aca="false">IF(OR(8&gt;$B$3,ISBLANK(Actuals!J32)),"",Actuals!J32)</f>
        <v>-89</v>
      </c>
      <c r="AF26" s="132" t="n">
        <f aca="false">IF(OR(8&gt;$B$3,ISBLANK(Actuals!J32)),"",'Reforecast Q1 2026'!J32-Actuals!J32)</f>
        <v>62.67</v>
      </c>
      <c r="AG26" s="132" t="n">
        <f aca="false">IFERROR(IF(OR(8&gt;$B$3,ISBLANK(Actuals!J32)),"",('Reforecast Q1 2026'!J32-Actuals!J32)/ABS('Reforecast Q1 2026'!J32)),"")</f>
        <v>2.38017470565894</v>
      </c>
      <c r="AH26" s="131" t="n">
        <f aca="false">'Reforecast Q1 2026'!K32</f>
        <v>-26.33</v>
      </c>
      <c r="AI26" s="131" t="n">
        <f aca="false">IF(OR(9&gt;$B$3,ISBLANK(Actuals!K32)),"",Actuals!K32)</f>
        <v>0</v>
      </c>
      <c r="AJ26" s="132" t="n">
        <f aca="false">IF(OR(9&gt;$B$3,ISBLANK(Actuals!K32)),"",'Reforecast Q1 2026'!K32-Actuals!K32)</f>
        <v>-26.33</v>
      </c>
      <c r="AK26" s="132" t="n">
        <f aca="false">IFERROR(IF(OR(9&gt;$B$3,ISBLANK(Actuals!K32)),"",('Reforecast Q1 2026'!K32-Actuals!K32)/ABS('Reforecast Q1 2026'!K32)),"")</f>
        <v>-1</v>
      </c>
      <c r="AL26" s="131" t="n">
        <f aca="false">'Reforecast Q1 2026'!L32</f>
        <v>-26.33</v>
      </c>
      <c r="AM26" s="131" t="str">
        <f aca="false">IF(OR(10&gt;$B$3,ISBLANK(Actuals!L32)),"",Actuals!L32)</f>
        <v/>
      </c>
      <c r="AN26" s="132" t="str">
        <f aca="false">IF(OR(10&gt;$B$3,ISBLANK(Actuals!L32)),"",'Reforecast Q1 2026'!L32-Actuals!L32)</f>
        <v/>
      </c>
      <c r="AO26" s="132" t="str">
        <f aca="false">IFERROR(IF(OR(10&gt;$B$3,ISBLANK(Actuals!L32)),"",('Reforecast Q1 2026'!L32-Actuals!L32)/ABS('Reforecast Q1 2026'!L32)),"")</f>
        <v/>
      </c>
      <c r="AP26" s="131" t="n">
        <f aca="false">'Reforecast Q1 2026'!M32</f>
        <v>-26.33</v>
      </c>
      <c r="AQ26" s="131" t="str">
        <f aca="false">IF(OR(11&gt;$B$3,ISBLANK(Actuals!M32)),"",Actuals!M32)</f>
        <v/>
      </c>
      <c r="AR26" s="132" t="str">
        <f aca="false">IF(OR(11&gt;$B$3,ISBLANK(Actuals!M32)),"",'Reforecast Q1 2026'!M32-Actuals!M32)</f>
        <v/>
      </c>
      <c r="AS26" s="132" t="str">
        <f aca="false">IFERROR(IF(OR(11&gt;$B$3,ISBLANK(Actuals!M32)),"",('Reforecast Q1 2026'!M32-Actuals!M32)/ABS('Reforecast Q1 2026'!M32)),"")</f>
        <v/>
      </c>
      <c r="AT26" s="131" t="n">
        <f aca="false">'Reforecast Q1 2026'!N32</f>
        <v>-26.33</v>
      </c>
      <c r="AU26" s="131" t="str">
        <f aca="false">IF(OR(12&gt;$B$3,ISBLANK(Actuals!N32)),"",Actuals!N32)</f>
        <v/>
      </c>
      <c r="AV26" s="132" t="str">
        <f aca="false">IF(OR(12&gt;$B$3,ISBLANK(Actuals!N32)),"",'Reforecast Q1 2026'!N32-Actuals!N32)</f>
        <v/>
      </c>
      <c r="AW26" s="132" t="str">
        <f aca="false">IFERROR(IF(OR(12&gt;$B$3,ISBLANK(Actuals!N32)),"",('Reforecast Q1 2026'!N32-Actuals!N32)/ABS('Reforecast Q1 2026'!N32)),"")</f>
        <v/>
      </c>
      <c r="AX26" s="133" t="n">
        <f aca="false">SUMPRODUCT((Actuals!C32:N32&lt;&gt;"")*('Reforecast Q1 2026'!C32:N32))</f>
        <v>-236.98</v>
      </c>
      <c r="AY26" s="133" t="n">
        <f aca="false">SUM(Actuals!C32:N32)</f>
        <v>-168</v>
      </c>
      <c r="AZ26" s="134" t="n">
        <f aca="false">AX26-AY26</f>
        <v>-68.98</v>
      </c>
    </row>
    <row r="27" customFormat="false" ht="15" hidden="false" customHeight="true" outlineLevel="0" collapsed="false">
      <c r="A27" s="130" t="s">
        <v>124</v>
      </c>
      <c r="B27" s="131" t="n">
        <f aca="false">'Reforecast Q1 2026'!C33</f>
        <v>-3405.64</v>
      </c>
      <c r="C27" s="131" t="n">
        <f aca="false">IF(OR(1&gt;$B$3,ISBLANK(Actuals!C33)),"",Actuals!C33)</f>
        <v>-3405.64</v>
      </c>
      <c r="D27" s="132" t="n">
        <f aca="false">IF(OR(1&gt;$B$3,ISBLANK(Actuals!C33)),"",'Reforecast Q1 2026'!C33-Actuals!C33)</f>
        <v>0</v>
      </c>
      <c r="E27" s="132" t="n">
        <f aca="false">IFERROR(IF(OR(1&gt;$B$3,ISBLANK(Actuals!C33)),"",('Reforecast Q1 2026'!C33-Actuals!C33)/ABS('Reforecast Q1 2026'!C33)),"")</f>
        <v>0</v>
      </c>
      <c r="F27" s="131" t="n">
        <f aca="false">'Reforecast Q1 2026'!D33</f>
        <v>-5015.38</v>
      </c>
      <c r="G27" s="131" t="n">
        <f aca="false">IF(OR(2&gt;$B$3,ISBLANK(Actuals!D33)),"",Actuals!D33)</f>
        <v>-5015.38</v>
      </c>
      <c r="H27" s="132" t="n">
        <f aca="false">IF(OR(2&gt;$B$3,ISBLANK(Actuals!D33)),"",'Reforecast Q1 2026'!D33-Actuals!D33)</f>
        <v>0</v>
      </c>
      <c r="I27" s="132" t="n">
        <f aca="false">IFERROR(IF(OR(2&gt;$B$3,ISBLANK(Actuals!D33)),"",('Reforecast Q1 2026'!D33-Actuals!D33)/ABS('Reforecast Q1 2026'!D33)),"")</f>
        <v>0</v>
      </c>
      <c r="J27" s="131" t="n">
        <f aca="false">'Reforecast Q1 2026'!E33</f>
        <v>-7481.39</v>
      </c>
      <c r="K27" s="131" t="n">
        <f aca="false">IF(OR(3&gt;$B$3,ISBLANK(Actuals!E33)),"",Actuals!E33)</f>
        <v>-7481.39</v>
      </c>
      <c r="L27" s="132" t="n">
        <f aca="false">IF(OR(3&gt;$B$3,ISBLANK(Actuals!E33)),"",'Reforecast Q1 2026'!E33-Actuals!E33)</f>
        <v>0</v>
      </c>
      <c r="M27" s="132" t="n">
        <f aca="false">IFERROR(IF(OR(3&gt;$B$3,ISBLANK(Actuals!E33)),"",('Reforecast Q1 2026'!E33-Actuals!E33)/ABS('Reforecast Q1 2026'!E33)),"")</f>
        <v>0</v>
      </c>
      <c r="N27" s="131" t="n">
        <f aca="false">'Reforecast Q1 2026'!F33</f>
        <v>-5300.8</v>
      </c>
      <c r="O27" s="131" t="n">
        <f aca="false">IF(OR(4&gt;$B$3,ISBLANK(Actuals!F33)),"",Actuals!F33)</f>
        <v>-5111.12</v>
      </c>
      <c r="P27" s="132" t="n">
        <f aca="false">IF(OR(4&gt;$B$3,ISBLANK(Actuals!F33)),"",'Reforecast Q1 2026'!F33-Actuals!F33)</f>
        <v>-189.68</v>
      </c>
      <c r="Q27" s="132" t="n">
        <f aca="false">IFERROR(IF(OR(4&gt;$B$3,ISBLANK(Actuals!F33)),"",('Reforecast Q1 2026'!F33-Actuals!F33)/ABS('Reforecast Q1 2026'!F33)),"")</f>
        <v>-0.0357832779957743</v>
      </c>
      <c r="R27" s="131" t="n">
        <f aca="false">'Reforecast Q1 2026'!G33</f>
        <v>-5300.8</v>
      </c>
      <c r="S27" s="131" t="n">
        <f aca="false">IF(OR(5&gt;$B$3,ISBLANK(Actuals!G33)),"",Actuals!G33)</f>
        <v>-4038.48</v>
      </c>
      <c r="T27" s="132" t="n">
        <f aca="false">IF(OR(5&gt;$B$3,ISBLANK(Actuals!G33)),"",'Reforecast Q1 2026'!G33-Actuals!G33)</f>
        <v>-1262.32</v>
      </c>
      <c r="U27" s="132" t="n">
        <f aca="false">IFERROR(IF(OR(5&gt;$B$3,ISBLANK(Actuals!G33)),"",('Reforecast Q1 2026'!G33-Actuals!G33)/ABS('Reforecast Q1 2026'!G33)),"")</f>
        <v>-0.23813763960157</v>
      </c>
      <c r="V27" s="131" t="n">
        <f aca="false">'Reforecast Q1 2026'!H33</f>
        <v>-5300.8</v>
      </c>
      <c r="W27" s="131" t="n">
        <f aca="false">IF(OR(6&gt;$B$3,ISBLANK(Actuals!H33)),"",Actuals!H33)</f>
        <v>-6114.98</v>
      </c>
      <c r="X27" s="132" t="n">
        <f aca="false">IF(OR(6&gt;$B$3,ISBLANK(Actuals!H33)),"",'Reforecast Q1 2026'!H33-Actuals!H33)</f>
        <v>814.179999999999</v>
      </c>
      <c r="Y27" s="132" t="n">
        <f aca="false">IFERROR(IF(OR(6&gt;$B$3,ISBLANK(Actuals!H33)),"",('Reforecast Q1 2026'!H33-Actuals!H33)/ABS('Reforecast Q1 2026'!H33)),"")</f>
        <v>0.153595683670389</v>
      </c>
      <c r="Z27" s="131" t="n">
        <f aca="false">'Reforecast Q1 2026'!I33</f>
        <v>-5300.8</v>
      </c>
      <c r="AA27" s="131" t="n">
        <f aca="false">IF(OR(7&gt;$B$3,ISBLANK(Actuals!I33)),"",Actuals!I33)</f>
        <v>-12545.93</v>
      </c>
      <c r="AB27" s="132" t="n">
        <f aca="false">IF(OR(7&gt;$B$3,ISBLANK(Actuals!I33)),"",'Reforecast Q1 2026'!I33-Actuals!I33)</f>
        <v>7245.13</v>
      </c>
      <c r="AC27" s="132" t="n">
        <f aca="false">IFERROR(IF(OR(7&gt;$B$3,ISBLANK(Actuals!I33)),"",('Reforecast Q1 2026'!I33-Actuals!I33)/ABS('Reforecast Q1 2026'!I33)),"")</f>
        <v>1.36679935104135</v>
      </c>
      <c r="AD27" s="131" t="n">
        <f aca="false">'Reforecast Q1 2026'!J33</f>
        <v>-5300.8</v>
      </c>
      <c r="AE27" s="131" t="n">
        <f aca="false">IF(OR(8&gt;$B$3,ISBLANK(Actuals!J33)),"",Actuals!J33)</f>
        <v>-5885.72</v>
      </c>
      <c r="AF27" s="132" t="n">
        <f aca="false">IF(OR(8&gt;$B$3,ISBLANK(Actuals!J33)),"",'Reforecast Q1 2026'!J33-Actuals!J33)</f>
        <v>584.92</v>
      </c>
      <c r="AG27" s="132" t="n">
        <f aca="false">IFERROR(IF(OR(8&gt;$B$3,ISBLANK(Actuals!J33)),"",('Reforecast Q1 2026'!J33-Actuals!J33)/ABS('Reforecast Q1 2026'!J33)),"")</f>
        <v>0.110345608210082</v>
      </c>
      <c r="AH27" s="131" t="n">
        <f aca="false">'Reforecast Q1 2026'!K33</f>
        <v>-5300.8</v>
      </c>
      <c r="AI27" s="131" t="n">
        <f aca="false">IF(OR(9&gt;$B$3,ISBLANK(Actuals!K33)),"",Actuals!K33)</f>
        <v>-4679.53</v>
      </c>
      <c r="AJ27" s="132" t="n">
        <f aca="false">IF(OR(9&gt;$B$3,ISBLANK(Actuals!K33)),"",'Reforecast Q1 2026'!K33-Actuals!K33)</f>
        <v>-621.27</v>
      </c>
      <c r="AK27" s="132" t="n">
        <f aca="false">IFERROR(IF(OR(9&gt;$B$3,ISBLANK(Actuals!K33)),"",('Reforecast Q1 2026'!K33-Actuals!K33)/ABS('Reforecast Q1 2026'!K33)),"")</f>
        <v>-0.1172030636885</v>
      </c>
      <c r="AL27" s="131" t="n">
        <f aca="false">'Reforecast Q1 2026'!L33</f>
        <v>-5300.8</v>
      </c>
      <c r="AM27" s="131" t="str">
        <f aca="false">IF(OR(10&gt;$B$3,ISBLANK(Actuals!L33)),"",Actuals!L33)</f>
        <v/>
      </c>
      <c r="AN27" s="132" t="str">
        <f aca="false">IF(OR(10&gt;$B$3,ISBLANK(Actuals!L33)),"",'Reforecast Q1 2026'!L33-Actuals!L33)</f>
        <v/>
      </c>
      <c r="AO27" s="132" t="str">
        <f aca="false">IFERROR(IF(OR(10&gt;$B$3,ISBLANK(Actuals!L33)),"",('Reforecast Q1 2026'!L33-Actuals!L33)/ABS('Reforecast Q1 2026'!L33)),"")</f>
        <v/>
      </c>
      <c r="AP27" s="131" t="n">
        <f aca="false">'Reforecast Q1 2026'!M33</f>
        <v>-5300.8</v>
      </c>
      <c r="AQ27" s="131" t="str">
        <f aca="false">IF(OR(11&gt;$B$3,ISBLANK(Actuals!M33)),"",Actuals!M33)</f>
        <v/>
      </c>
      <c r="AR27" s="132" t="str">
        <f aca="false">IF(OR(11&gt;$B$3,ISBLANK(Actuals!M33)),"",'Reforecast Q1 2026'!M33-Actuals!M33)</f>
        <v/>
      </c>
      <c r="AS27" s="132" t="str">
        <f aca="false">IFERROR(IF(OR(11&gt;$B$3,ISBLANK(Actuals!M33)),"",('Reforecast Q1 2026'!M33-Actuals!M33)/ABS('Reforecast Q1 2026'!M33)),"")</f>
        <v/>
      </c>
      <c r="AT27" s="131" t="n">
        <f aca="false">'Reforecast Q1 2026'!N33</f>
        <v>-5300.8</v>
      </c>
      <c r="AU27" s="131" t="str">
        <f aca="false">IF(OR(12&gt;$B$3,ISBLANK(Actuals!N33)),"",Actuals!N33)</f>
        <v/>
      </c>
      <c r="AV27" s="132" t="str">
        <f aca="false">IF(OR(12&gt;$B$3,ISBLANK(Actuals!N33)),"",'Reforecast Q1 2026'!N33-Actuals!N33)</f>
        <v/>
      </c>
      <c r="AW27" s="132" t="str">
        <f aca="false">IFERROR(IF(OR(12&gt;$B$3,ISBLANK(Actuals!N33)),"",('Reforecast Q1 2026'!N33-Actuals!N33)/ABS('Reforecast Q1 2026'!N33)),"")</f>
        <v/>
      </c>
      <c r="AX27" s="133" t="n">
        <f aca="false">SUMPRODUCT((Actuals!C33:N33&lt;&gt;"")*('Reforecast Q1 2026'!C33:N33))</f>
        <v>-47707.21</v>
      </c>
      <c r="AY27" s="133" t="n">
        <f aca="false">SUM(Actuals!C33:N33)</f>
        <v>-54278.17</v>
      </c>
      <c r="AZ27" s="134" t="n">
        <f aca="false">AX27-AY27</f>
        <v>6570.96</v>
      </c>
    </row>
    <row r="28" customFormat="false" ht="15" hidden="false" customHeight="true" outlineLevel="0" collapsed="false">
      <c r="A28" s="130" t="s">
        <v>77</v>
      </c>
      <c r="B28" s="131" t="n">
        <f aca="false">'Reforecast Q1 2026'!C34</f>
        <v>0</v>
      </c>
      <c r="C28" s="131" t="n">
        <f aca="false">IF(OR(1&gt;$B$3,ISBLANK(Actuals!C34)),"",Actuals!C34)</f>
        <v>0</v>
      </c>
      <c r="D28" s="132" t="n">
        <f aca="false">IF(OR(1&gt;$B$3,ISBLANK(Actuals!C34)),"",'Reforecast Q1 2026'!C34-Actuals!C34)</f>
        <v>0</v>
      </c>
      <c r="E28" s="132" t="str">
        <f aca="false">IFERROR(IF(OR(1&gt;$B$3,ISBLANK(Actuals!C34)),"",('Reforecast Q1 2026'!C34-Actuals!C34)/ABS('Reforecast Q1 2026'!C34)),"")</f>
        <v/>
      </c>
      <c r="F28" s="131" t="n">
        <f aca="false">'Reforecast Q1 2026'!D34</f>
        <v>-1766.48</v>
      </c>
      <c r="G28" s="131" t="n">
        <f aca="false">IF(OR(2&gt;$B$3,ISBLANK(Actuals!D34)),"",Actuals!D34)</f>
        <v>-1766.48</v>
      </c>
      <c r="H28" s="132" t="n">
        <f aca="false">IF(OR(2&gt;$B$3,ISBLANK(Actuals!D34)),"",'Reforecast Q1 2026'!D34-Actuals!D34)</f>
        <v>0</v>
      </c>
      <c r="I28" s="132" t="n">
        <f aca="false">IFERROR(IF(OR(2&gt;$B$3,ISBLANK(Actuals!D34)),"",('Reforecast Q1 2026'!D34-Actuals!D34)/ABS('Reforecast Q1 2026'!D34)),"")</f>
        <v>0</v>
      </c>
      <c r="J28" s="131" t="n">
        <f aca="false">'Reforecast Q1 2026'!E34</f>
        <v>-441.62</v>
      </c>
      <c r="K28" s="131" t="n">
        <f aca="false">IF(OR(3&gt;$B$3,ISBLANK(Actuals!E34)),"",Actuals!E34)</f>
        <v>-441.62</v>
      </c>
      <c r="L28" s="132" t="n">
        <f aca="false">IF(OR(3&gt;$B$3,ISBLANK(Actuals!E34)),"",'Reforecast Q1 2026'!E34-Actuals!E34)</f>
        <v>0</v>
      </c>
      <c r="M28" s="132" t="n">
        <f aca="false">IFERROR(IF(OR(3&gt;$B$3,ISBLANK(Actuals!E34)),"",('Reforecast Q1 2026'!E34-Actuals!E34)/ABS('Reforecast Q1 2026'!E34)),"")</f>
        <v>0</v>
      </c>
      <c r="N28" s="131" t="n">
        <f aca="false">'Reforecast Q1 2026'!F34</f>
        <v>-736.03</v>
      </c>
      <c r="O28" s="131" t="n">
        <f aca="false">IF(OR(4&gt;$B$3,ISBLANK(Actuals!F34)),"",Actuals!F34)</f>
        <v>-441.62</v>
      </c>
      <c r="P28" s="132" t="n">
        <f aca="false">IF(OR(4&gt;$B$3,ISBLANK(Actuals!F34)),"",'Reforecast Q1 2026'!F34-Actuals!F34)</f>
        <v>-294.41</v>
      </c>
      <c r="Q28" s="132" t="n">
        <f aca="false">IFERROR(IF(OR(4&gt;$B$3,ISBLANK(Actuals!F34)),"",('Reforecast Q1 2026'!F34-Actuals!F34)/ABS('Reforecast Q1 2026'!F34)),"")</f>
        <v>-0.399997282719454</v>
      </c>
      <c r="R28" s="131" t="n">
        <f aca="false">'Reforecast Q1 2026'!G34</f>
        <v>-736.03</v>
      </c>
      <c r="S28" s="131" t="n">
        <f aca="false">IF(OR(5&gt;$B$3,ISBLANK(Actuals!G34)),"",Actuals!G34)</f>
        <v>-578.62</v>
      </c>
      <c r="T28" s="132" t="n">
        <f aca="false">IF(OR(5&gt;$B$3,ISBLANK(Actuals!G34)),"",'Reforecast Q1 2026'!G34-Actuals!G34)</f>
        <v>-157.41</v>
      </c>
      <c r="U28" s="132" t="n">
        <f aca="false">IFERROR(IF(OR(5&gt;$B$3,ISBLANK(Actuals!G34)),"",('Reforecast Q1 2026'!G34-Actuals!G34)/ABS('Reforecast Q1 2026'!G34)),"")</f>
        <v>-0.213863565343804</v>
      </c>
      <c r="V28" s="131" t="n">
        <f aca="false">'Reforecast Q1 2026'!H34</f>
        <v>-736.03</v>
      </c>
      <c r="W28" s="131" t="n">
        <f aca="false">IF(OR(6&gt;$B$3,ISBLANK(Actuals!H34)),"",Actuals!H34)</f>
        <v>-491.62</v>
      </c>
      <c r="X28" s="132" t="n">
        <f aca="false">IF(OR(6&gt;$B$3,ISBLANK(Actuals!H34)),"",'Reforecast Q1 2026'!H34-Actuals!H34)</f>
        <v>-244.41</v>
      </c>
      <c r="Y28" s="132" t="n">
        <f aca="false">IFERROR(IF(OR(6&gt;$B$3,ISBLANK(Actuals!H34)),"",('Reforecast Q1 2026'!H34-Actuals!H34)/ABS('Reforecast Q1 2026'!H34)),"")</f>
        <v>-0.332065269078706</v>
      </c>
      <c r="Z28" s="131" t="n">
        <f aca="false">'Reforecast Q1 2026'!I34</f>
        <v>-736.03</v>
      </c>
      <c r="AA28" s="131" t="n">
        <f aca="false">IF(OR(7&gt;$B$3,ISBLANK(Actuals!I34)),"",Actuals!I34)</f>
        <v>-491.62</v>
      </c>
      <c r="AB28" s="132" t="n">
        <f aca="false">IF(OR(7&gt;$B$3,ISBLANK(Actuals!I34)),"",'Reforecast Q1 2026'!I34-Actuals!I34)</f>
        <v>-244.41</v>
      </c>
      <c r="AC28" s="132" t="n">
        <f aca="false">IFERROR(IF(OR(7&gt;$B$3,ISBLANK(Actuals!I34)),"",('Reforecast Q1 2026'!I34-Actuals!I34)/ABS('Reforecast Q1 2026'!I34)),"")</f>
        <v>-0.332065269078706</v>
      </c>
      <c r="AD28" s="131" t="n">
        <f aca="false">'Reforecast Q1 2026'!J34</f>
        <v>-736.03</v>
      </c>
      <c r="AE28" s="131" t="n">
        <f aca="false">IF(OR(8&gt;$B$3,ISBLANK(Actuals!J34)),"",Actuals!J34)</f>
        <v>-491.62</v>
      </c>
      <c r="AF28" s="132" t="n">
        <f aca="false">IF(OR(8&gt;$B$3,ISBLANK(Actuals!J34)),"",'Reforecast Q1 2026'!J34-Actuals!J34)</f>
        <v>-244.41</v>
      </c>
      <c r="AG28" s="132" t="n">
        <f aca="false">IFERROR(IF(OR(8&gt;$B$3,ISBLANK(Actuals!J34)),"",('Reforecast Q1 2026'!J34-Actuals!J34)/ABS('Reforecast Q1 2026'!J34)),"")</f>
        <v>-0.332065269078706</v>
      </c>
      <c r="AH28" s="131" t="n">
        <f aca="false">'Reforecast Q1 2026'!K34</f>
        <v>-736.03</v>
      </c>
      <c r="AI28" s="131" t="n">
        <f aca="false">IF(OR(9&gt;$B$3,ISBLANK(Actuals!K34)),"",Actuals!K34)</f>
        <v>-1456.28</v>
      </c>
      <c r="AJ28" s="132" t="n">
        <f aca="false">IF(OR(9&gt;$B$3,ISBLANK(Actuals!K34)),"",'Reforecast Q1 2026'!K34-Actuals!K34)</f>
        <v>720.25</v>
      </c>
      <c r="AK28" s="132" t="n">
        <f aca="false">IFERROR(IF(OR(9&gt;$B$3,ISBLANK(Actuals!K34)),"",('Reforecast Q1 2026'!K34-Actuals!K34)/ABS('Reforecast Q1 2026'!K34)),"")</f>
        <v>0.97856065649498</v>
      </c>
      <c r="AL28" s="131" t="n">
        <f aca="false">'Reforecast Q1 2026'!L34</f>
        <v>-736.03</v>
      </c>
      <c r="AM28" s="131" t="str">
        <f aca="false">IF(OR(10&gt;$B$3,ISBLANK(Actuals!L34)),"",Actuals!L34)</f>
        <v/>
      </c>
      <c r="AN28" s="132" t="str">
        <f aca="false">IF(OR(10&gt;$B$3,ISBLANK(Actuals!L34)),"",'Reforecast Q1 2026'!L34-Actuals!L34)</f>
        <v/>
      </c>
      <c r="AO28" s="132" t="str">
        <f aca="false">IFERROR(IF(OR(10&gt;$B$3,ISBLANK(Actuals!L34)),"",('Reforecast Q1 2026'!L34-Actuals!L34)/ABS('Reforecast Q1 2026'!L34)),"")</f>
        <v/>
      </c>
      <c r="AP28" s="131" t="n">
        <f aca="false">'Reforecast Q1 2026'!M34</f>
        <v>-736.03</v>
      </c>
      <c r="AQ28" s="131" t="str">
        <f aca="false">IF(OR(11&gt;$B$3,ISBLANK(Actuals!M34)),"",Actuals!M34)</f>
        <v/>
      </c>
      <c r="AR28" s="132" t="str">
        <f aca="false">IF(OR(11&gt;$B$3,ISBLANK(Actuals!M34)),"",'Reforecast Q1 2026'!M34-Actuals!M34)</f>
        <v/>
      </c>
      <c r="AS28" s="132" t="str">
        <f aca="false">IFERROR(IF(OR(11&gt;$B$3,ISBLANK(Actuals!M34)),"",('Reforecast Q1 2026'!M34-Actuals!M34)/ABS('Reforecast Q1 2026'!M34)),"")</f>
        <v/>
      </c>
      <c r="AT28" s="131" t="n">
        <f aca="false">'Reforecast Q1 2026'!N34</f>
        <v>-736.03</v>
      </c>
      <c r="AU28" s="131" t="str">
        <f aca="false">IF(OR(12&gt;$B$3,ISBLANK(Actuals!N34)),"",Actuals!N34)</f>
        <v/>
      </c>
      <c r="AV28" s="132" t="str">
        <f aca="false">IF(OR(12&gt;$B$3,ISBLANK(Actuals!N34)),"",'Reforecast Q1 2026'!N34-Actuals!N34)</f>
        <v/>
      </c>
      <c r="AW28" s="132" t="str">
        <f aca="false">IFERROR(IF(OR(12&gt;$B$3,ISBLANK(Actuals!N34)),"",('Reforecast Q1 2026'!N34-Actuals!N34)/ABS('Reforecast Q1 2026'!N34)),"")</f>
        <v/>
      </c>
      <c r="AX28" s="133" t="n">
        <f aca="false">SUMPRODUCT((Actuals!C34:N34&lt;&gt;"")*('Reforecast Q1 2026'!C34:N34))</f>
        <v>-6624.28</v>
      </c>
      <c r="AY28" s="133" t="n">
        <f aca="false">SUM(Actuals!C34:N34)</f>
        <v>-6159.48</v>
      </c>
      <c r="AZ28" s="134" t="n">
        <f aca="false">AX28-AY28</f>
        <v>-464.8</v>
      </c>
    </row>
    <row r="29" customFormat="false" ht="15" hidden="false" customHeight="true" outlineLevel="0" collapsed="false">
      <c r="A29" s="130" t="s">
        <v>78</v>
      </c>
      <c r="B29" s="131" t="n">
        <f aca="false">'Reforecast Q1 2026'!C35</f>
        <v>-681.77</v>
      </c>
      <c r="C29" s="131" t="n">
        <f aca="false">IF(OR(1&gt;$B$3,ISBLANK(Actuals!C35)),"",Actuals!C35)</f>
        <v>-681.77</v>
      </c>
      <c r="D29" s="132" t="n">
        <f aca="false">IF(OR(1&gt;$B$3,ISBLANK(Actuals!C35)),"",'Reforecast Q1 2026'!C35-Actuals!C35)</f>
        <v>0</v>
      </c>
      <c r="E29" s="132" t="n">
        <f aca="false">IFERROR(IF(OR(1&gt;$B$3,ISBLANK(Actuals!C35)),"",('Reforecast Q1 2026'!C35-Actuals!C35)/ABS('Reforecast Q1 2026'!C35)),"")</f>
        <v>0</v>
      </c>
      <c r="F29" s="131" t="n">
        <f aca="false">'Reforecast Q1 2026'!D35</f>
        <v>-600.14</v>
      </c>
      <c r="G29" s="131" t="n">
        <f aca="false">IF(OR(2&gt;$B$3,ISBLANK(Actuals!D35)),"",Actuals!D35)</f>
        <v>-600.14</v>
      </c>
      <c r="H29" s="132" t="n">
        <f aca="false">IF(OR(2&gt;$B$3,ISBLANK(Actuals!D35)),"",'Reforecast Q1 2026'!D35-Actuals!D35)</f>
        <v>0</v>
      </c>
      <c r="I29" s="132" t="n">
        <f aca="false">IFERROR(IF(OR(2&gt;$B$3,ISBLANK(Actuals!D35)),"",('Reforecast Q1 2026'!D35-Actuals!D35)/ABS('Reforecast Q1 2026'!D35)),"")</f>
        <v>0</v>
      </c>
      <c r="J29" s="131" t="n">
        <f aca="false">'Reforecast Q1 2026'!E35</f>
        <v>-2121.95</v>
      </c>
      <c r="K29" s="131" t="n">
        <f aca="false">IF(OR(3&gt;$B$3,ISBLANK(Actuals!E35)),"",Actuals!E35)</f>
        <v>-2121.95</v>
      </c>
      <c r="L29" s="132" t="n">
        <f aca="false">IF(OR(3&gt;$B$3,ISBLANK(Actuals!E35)),"",'Reforecast Q1 2026'!E35-Actuals!E35)</f>
        <v>0</v>
      </c>
      <c r="M29" s="132" t="n">
        <f aca="false">IFERROR(IF(OR(3&gt;$B$3,ISBLANK(Actuals!E35)),"",('Reforecast Q1 2026'!E35-Actuals!E35)/ABS('Reforecast Q1 2026'!E35)),"")</f>
        <v>0</v>
      </c>
      <c r="N29" s="131" t="n">
        <f aca="false">'Reforecast Q1 2026'!F35</f>
        <v>-1134.62</v>
      </c>
      <c r="O29" s="131" t="n">
        <f aca="false">IF(OR(4&gt;$B$3,ISBLANK(Actuals!F35)),"",Actuals!F35)</f>
        <v>-840.49</v>
      </c>
      <c r="P29" s="132" t="n">
        <f aca="false">IF(OR(4&gt;$B$3,ISBLANK(Actuals!F35)),"",'Reforecast Q1 2026'!F35-Actuals!F35)</f>
        <v>-294.13</v>
      </c>
      <c r="Q29" s="132" t="n">
        <f aca="false">IFERROR(IF(OR(4&gt;$B$3,ISBLANK(Actuals!F35)),"",('Reforecast Q1 2026'!F35-Actuals!F35)/ABS('Reforecast Q1 2026'!F35)),"")</f>
        <v>-0.259232165835258</v>
      </c>
      <c r="R29" s="131" t="n">
        <f aca="false">'Reforecast Q1 2026'!G35</f>
        <v>-1134.62</v>
      </c>
      <c r="S29" s="131" t="n">
        <f aca="false">IF(OR(5&gt;$B$3,ISBLANK(Actuals!G35)),"",Actuals!G35)</f>
        <v>-847.85</v>
      </c>
      <c r="T29" s="132" t="n">
        <f aca="false">IF(OR(5&gt;$B$3,ISBLANK(Actuals!G35)),"",'Reforecast Q1 2026'!G35-Actuals!G35)</f>
        <v>-286.77</v>
      </c>
      <c r="U29" s="132" t="n">
        <f aca="false">IFERROR(IF(OR(5&gt;$B$3,ISBLANK(Actuals!G35)),"",('Reforecast Q1 2026'!G35-Actuals!G35)/ABS('Reforecast Q1 2026'!G35)),"")</f>
        <v>-0.252745412561034</v>
      </c>
      <c r="V29" s="131" t="n">
        <f aca="false">'Reforecast Q1 2026'!H35</f>
        <v>-1134.62</v>
      </c>
      <c r="W29" s="131" t="n">
        <f aca="false">IF(OR(6&gt;$B$3,ISBLANK(Actuals!H35)),"",Actuals!H35)</f>
        <v>-486.63</v>
      </c>
      <c r="X29" s="132" t="n">
        <f aca="false">IF(OR(6&gt;$B$3,ISBLANK(Actuals!H35)),"",'Reforecast Q1 2026'!H35-Actuals!H35)</f>
        <v>-647.99</v>
      </c>
      <c r="Y29" s="132" t="n">
        <f aca="false">IFERROR(IF(OR(6&gt;$B$3,ISBLANK(Actuals!H35)),"",('Reforecast Q1 2026'!H35-Actuals!H35)/ABS('Reforecast Q1 2026'!H35)),"")</f>
        <v>-0.571107507359292</v>
      </c>
      <c r="Z29" s="131" t="n">
        <f aca="false">'Reforecast Q1 2026'!I35</f>
        <v>-1134.62</v>
      </c>
      <c r="AA29" s="131" t="n">
        <f aca="false">IF(OR(7&gt;$B$3,ISBLANK(Actuals!I35)),"",Actuals!I35)</f>
        <v>-871.37</v>
      </c>
      <c r="AB29" s="132" t="n">
        <f aca="false">IF(OR(7&gt;$B$3,ISBLANK(Actuals!I35)),"",'Reforecast Q1 2026'!I35-Actuals!I35)</f>
        <v>-263.25</v>
      </c>
      <c r="AC29" s="132" t="n">
        <f aca="false">IFERROR(IF(OR(7&gt;$B$3,ISBLANK(Actuals!I35)),"",('Reforecast Q1 2026'!I35-Actuals!I35)/ABS('Reforecast Q1 2026'!I35)),"")</f>
        <v>-0.232016005358622</v>
      </c>
      <c r="AD29" s="131" t="n">
        <f aca="false">'Reforecast Q1 2026'!J35</f>
        <v>-1134.62</v>
      </c>
      <c r="AE29" s="131" t="n">
        <f aca="false">IF(OR(8&gt;$B$3,ISBLANK(Actuals!J35)),"",Actuals!J35)</f>
        <v>-1025.7</v>
      </c>
      <c r="AF29" s="132" t="n">
        <f aca="false">IF(OR(8&gt;$B$3,ISBLANK(Actuals!J35)),"",'Reforecast Q1 2026'!J35-Actuals!J35)</f>
        <v>-108.92</v>
      </c>
      <c r="AG29" s="132" t="n">
        <f aca="false">IFERROR(IF(OR(8&gt;$B$3,ISBLANK(Actuals!J35)),"",('Reforecast Q1 2026'!J35-Actuals!J35)/ABS('Reforecast Q1 2026'!J35)),"")</f>
        <v>-0.0959968976397383</v>
      </c>
      <c r="AH29" s="131" t="n">
        <f aca="false">'Reforecast Q1 2026'!K35</f>
        <v>-1134.62</v>
      </c>
      <c r="AI29" s="131" t="n">
        <f aca="false">IF(OR(9&gt;$B$3,ISBLANK(Actuals!K35)),"",Actuals!K35)</f>
        <v>0</v>
      </c>
      <c r="AJ29" s="132" t="n">
        <f aca="false">IF(OR(9&gt;$B$3,ISBLANK(Actuals!K35)),"",'Reforecast Q1 2026'!K35-Actuals!K35)</f>
        <v>-1134.62</v>
      </c>
      <c r="AK29" s="132" t="n">
        <f aca="false">IFERROR(IF(OR(9&gt;$B$3,ISBLANK(Actuals!K35)),"",('Reforecast Q1 2026'!K35-Actuals!K35)/ABS('Reforecast Q1 2026'!K35)),"")</f>
        <v>-1</v>
      </c>
      <c r="AL29" s="131" t="n">
        <f aca="false">'Reforecast Q1 2026'!L35</f>
        <v>-1134.62</v>
      </c>
      <c r="AM29" s="131" t="str">
        <f aca="false">IF(OR(10&gt;$B$3,ISBLANK(Actuals!L35)),"",Actuals!L35)</f>
        <v/>
      </c>
      <c r="AN29" s="132" t="str">
        <f aca="false">IF(OR(10&gt;$B$3,ISBLANK(Actuals!L35)),"",'Reforecast Q1 2026'!L35-Actuals!L35)</f>
        <v/>
      </c>
      <c r="AO29" s="132" t="str">
        <f aca="false">IFERROR(IF(OR(10&gt;$B$3,ISBLANK(Actuals!L35)),"",('Reforecast Q1 2026'!L35-Actuals!L35)/ABS('Reforecast Q1 2026'!L35)),"")</f>
        <v/>
      </c>
      <c r="AP29" s="131" t="n">
        <f aca="false">'Reforecast Q1 2026'!M35</f>
        <v>-1134.62</v>
      </c>
      <c r="AQ29" s="131" t="str">
        <f aca="false">IF(OR(11&gt;$B$3,ISBLANK(Actuals!M35)),"",Actuals!M35)</f>
        <v/>
      </c>
      <c r="AR29" s="132" t="str">
        <f aca="false">IF(OR(11&gt;$B$3,ISBLANK(Actuals!M35)),"",'Reforecast Q1 2026'!M35-Actuals!M35)</f>
        <v/>
      </c>
      <c r="AS29" s="132" t="str">
        <f aca="false">IFERROR(IF(OR(11&gt;$B$3,ISBLANK(Actuals!M35)),"",('Reforecast Q1 2026'!M35-Actuals!M35)/ABS('Reforecast Q1 2026'!M35)),"")</f>
        <v/>
      </c>
      <c r="AT29" s="131" t="n">
        <f aca="false">'Reforecast Q1 2026'!N35</f>
        <v>-1134.62</v>
      </c>
      <c r="AU29" s="131" t="str">
        <f aca="false">IF(OR(12&gt;$B$3,ISBLANK(Actuals!N35)),"",Actuals!N35)</f>
        <v/>
      </c>
      <c r="AV29" s="132" t="str">
        <f aca="false">IF(OR(12&gt;$B$3,ISBLANK(Actuals!N35)),"",'Reforecast Q1 2026'!N35-Actuals!N35)</f>
        <v/>
      </c>
      <c r="AW29" s="132" t="str">
        <f aca="false">IFERROR(IF(OR(12&gt;$B$3,ISBLANK(Actuals!N35)),"",('Reforecast Q1 2026'!N35-Actuals!N35)/ABS('Reforecast Q1 2026'!N35)),"")</f>
        <v/>
      </c>
      <c r="AX29" s="133" t="n">
        <f aca="false">SUMPRODUCT((Actuals!C35:N35&lt;&gt;"")*('Reforecast Q1 2026'!C35:N35))</f>
        <v>-10211.58</v>
      </c>
      <c r="AY29" s="133" t="n">
        <f aca="false">SUM(Actuals!C35:N35)</f>
        <v>-7475.9</v>
      </c>
      <c r="AZ29" s="134" t="n">
        <f aca="false">AX29-AY29</f>
        <v>-2735.68</v>
      </c>
    </row>
    <row r="30" customFormat="false" ht="15" hidden="false" customHeight="true" outlineLevel="0" collapsed="false">
      <c r="A30" s="130" t="s">
        <v>79</v>
      </c>
      <c r="B30" s="131" t="n">
        <f aca="false">'Reforecast Q1 2026'!C36</f>
        <v>-2187.5</v>
      </c>
      <c r="C30" s="131" t="n">
        <f aca="false">IF(OR(1&gt;$B$3,ISBLANK(Actuals!C36)),"",Actuals!C36)</f>
        <v>-2187.5</v>
      </c>
      <c r="D30" s="132" t="n">
        <f aca="false">IF(OR(1&gt;$B$3,ISBLANK(Actuals!C36)),"",'Reforecast Q1 2026'!C36-Actuals!C36)</f>
        <v>0</v>
      </c>
      <c r="E30" s="132" t="n">
        <f aca="false">IFERROR(IF(OR(1&gt;$B$3,ISBLANK(Actuals!C36)),"",('Reforecast Q1 2026'!C36-Actuals!C36)/ABS('Reforecast Q1 2026'!C36)),"")</f>
        <v>0</v>
      </c>
      <c r="F30" s="131" t="n">
        <f aca="false">'Reforecast Q1 2026'!D36</f>
        <v>0</v>
      </c>
      <c r="G30" s="131" t="n">
        <f aca="false">IF(OR(2&gt;$B$3,ISBLANK(Actuals!D36)),"",Actuals!D36)</f>
        <v>0</v>
      </c>
      <c r="H30" s="132" t="n">
        <f aca="false">IF(OR(2&gt;$B$3,ISBLANK(Actuals!D36)),"",'Reforecast Q1 2026'!D36-Actuals!D36)</f>
        <v>0</v>
      </c>
      <c r="I30" s="132" t="str">
        <f aca="false">IFERROR(IF(OR(2&gt;$B$3,ISBLANK(Actuals!D36)),"",('Reforecast Q1 2026'!D36-Actuals!D36)/ABS('Reforecast Q1 2026'!D36)),"")</f>
        <v/>
      </c>
      <c r="J30" s="131" t="n">
        <f aca="false">'Reforecast Q1 2026'!E36</f>
        <v>-1625</v>
      </c>
      <c r="K30" s="131" t="n">
        <f aca="false">IF(OR(3&gt;$B$3,ISBLANK(Actuals!E36)),"",Actuals!E36)</f>
        <v>-1625</v>
      </c>
      <c r="L30" s="132" t="n">
        <f aca="false">IF(OR(3&gt;$B$3,ISBLANK(Actuals!E36)),"",'Reforecast Q1 2026'!E36-Actuals!E36)</f>
        <v>0</v>
      </c>
      <c r="M30" s="132" t="n">
        <f aca="false">IFERROR(IF(OR(3&gt;$B$3,ISBLANK(Actuals!E36)),"",('Reforecast Q1 2026'!E36-Actuals!E36)/ABS('Reforecast Q1 2026'!E36)),"")</f>
        <v>0</v>
      </c>
      <c r="N30" s="131" t="n">
        <f aca="false">'Reforecast Q1 2026'!F36</f>
        <v>-1270.83</v>
      </c>
      <c r="O30" s="131" t="n">
        <f aca="false">IF(OR(4&gt;$B$3,ISBLANK(Actuals!F36)),"",Actuals!F36)</f>
        <v>0</v>
      </c>
      <c r="P30" s="132" t="n">
        <f aca="false">IF(OR(4&gt;$B$3,ISBLANK(Actuals!F36)),"",'Reforecast Q1 2026'!F36-Actuals!F36)</f>
        <v>-1270.83</v>
      </c>
      <c r="Q30" s="132" t="n">
        <f aca="false">IFERROR(IF(OR(4&gt;$B$3,ISBLANK(Actuals!F36)),"",('Reforecast Q1 2026'!F36-Actuals!F36)/ABS('Reforecast Q1 2026'!F36)),"")</f>
        <v>-1</v>
      </c>
      <c r="R30" s="131" t="n">
        <f aca="false">'Reforecast Q1 2026'!G36</f>
        <v>-1270.83</v>
      </c>
      <c r="S30" s="131" t="n">
        <f aca="false">IF(OR(5&gt;$B$3,ISBLANK(Actuals!G36)),"",Actuals!G36)</f>
        <v>0</v>
      </c>
      <c r="T30" s="132" t="n">
        <f aca="false">IF(OR(5&gt;$B$3,ISBLANK(Actuals!G36)),"",'Reforecast Q1 2026'!G36-Actuals!G36)</f>
        <v>-1270.83</v>
      </c>
      <c r="U30" s="132" t="n">
        <f aca="false">IFERROR(IF(OR(5&gt;$B$3,ISBLANK(Actuals!G36)),"",('Reforecast Q1 2026'!G36-Actuals!G36)/ABS('Reforecast Q1 2026'!G36)),"")</f>
        <v>-1</v>
      </c>
      <c r="V30" s="131" t="n">
        <f aca="false">'Reforecast Q1 2026'!H36</f>
        <v>-1270.83</v>
      </c>
      <c r="W30" s="131" t="n">
        <f aca="false">IF(OR(6&gt;$B$3,ISBLANK(Actuals!H36)),"",Actuals!H36)</f>
        <v>0</v>
      </c>
      <c r="X30" s="132" t="n">
        <f aca="false">IF(OR(6&gt;$B$3,ISBLANK(Actuals!H36)),"",'Reforecast Q1 2026'!H36-Actuals!H36)</f>
        <v>-1270.83</v>
      </c>
      <c r="Y30" s="132" t="n">
        <f aca="false">IFERROR(IF(OR(6&gt;$B$3,ISBLANK(Actuals!H36)),"",('Reforecast Q1 2026'!H36-Actuals!H36)/ABS('Reforecast Q1 2026'!H36)),"")</f>
        <v>-1</v>
      </c>
      <c r="Z30" s="131" t="n">
        <f aca="false">'Reforecast Q1 2026'!I36</f>
        <v>-1270.83</v>
      </c>
      <c r="AA30" s="131" t="n">
        <f aca="false">IF(OR(7&gt;$B$3,ISBLANK(Actuals!I36)),"",Actuals!I36)</f>
        <v>0</v>
      </c>
      <c r="AB30" s="132" t="n">
        <f aca="false">IF(OR(7&gt;$B$3,ISBLANK(Actuals!I36)),"",'Reforecast Q1 2026'!I36-Actuals!I36)</f>
        <v>-1270.83</v>
      </c>
      <c r="AC30" s="132" t="n">
        <f aca="false">IFERROR(IF(OR(7&gt;$B$3,ISBLANK(Actuals!I36)),"",('Reforecast Q1 2026'!I36-Actuals!I36)/ABS('Reforecast Q1 2026'!I36)),"")</f>
        <v>-1</v>
      </c>
      <c r="AD30" s="131" t="n">
        <f aca="false">'Reforecast Q1 2026'!J36</f>
        <v>-1270.83</v>
      </c>
      <c r="AE30" s="131" t="n">
        <f aca="false">IF(OR(8&gt;$B$3,ISBLANK(Actuals!J36)),"",Actuals!J36)</f>
        <v>-1560</v>
      </c>
      <c r="AF30" s="132" t="n">
        <f aca="false">IF(OR(8&gt;$B$3,ISBLANK(Actuals!J36)),"",'Reforecast Q1 2026'!J36-Actuals!J36)</f>
        <v>289.17</v>
      </c>
      <c r="AG30" s="132" t="n">
        <f aca="false">IFERROR(IF(OR(8&gt;$B$3,ISBLANK(Actuals!J36)),"",('Reforecast Q1 2026'!J36-Actuals!J36)/ABS('Reforecast Q1 2026'!J36)),"")</f>
        <v>0.227544203394632</v>
      </c>
      <c r="AH30" s="131" t="n">
        <f aca="false">'Reforecast Q1 2026'!K36</f>
        <v>-1270.83</v>
      </c>
      <c r="AI30" s="131" t="n">
        <f aca="false">IF(OR(9&gt;$B$3,ISBLANK(Actuals!K36)),"",Actuals!K36)</f>
        <v>0</v>
      </c>
      <c r="AJ30" s="132" t="n">
        <f aca="false">IF(OR(9&gt;$B$3,ISBLANK(Actuals!K36)),"",'Reforecast Q1 2026'!K36-Actuals!K36)</f>
        <v>-1270.83</v>
      </c>
      <c r="AK30" s="132" t="n">
        <f aca="false">IFERROR(IF(OR(9&gt;$B$3,ISBLANK(Actuals!K36)),"",('Reforecast Q1 2026'!K36-Actuals!K36)/ABS('Reforecast Q1 2026'!K36)),"")</f>
        <v>-1</v>
      </c>
      <c r="AL30" s="131" t="n">
        <f aca="false">'Reforecast Q1 2026'!L36</f>
        <v>-1270.83</v>
      </c>
      <c r="AM30" s="131" t="str">
        <f aca="false">IF(OR(10&gt;$B$3,ISBLANK(Actuals!L36)),"",Actuals!L36)</f>
        <v/>
      </c>
      <c r="AN30" s="132" t="str">
        <f aca="false">IF(OR(10&gt;$B$3,ISBLANK(Actuals!L36)),"",'Reforecast Q1 2026'!L36-Actuals!L36)</f>
        <v/>
      </c>
      <c r="AO30" s="132" t="str">
        <f aca="false">IFERROR(IF(OR(10&gt;$B$3,ISBLANK(Actuals!L36)),"",('Reforecast Q1 2026'!L36-Actuals!L36)/ABS('Reforecast Q1 2026'!L36)),"")</f>
        <v/>
      </c>
      <c r="AP30" s="131" t="n">
        <f aca="false">'Reforecast Q1 2026'!M36</f>
        <v>-1270.83</v>
      </c>
      <c r="AQ30" s="131" t="str">
        <f aca="false">IF(OR(11&gt;$B$3,ISBLANK(Actuals!M36)),"",Actuals!M36)</f>
        <v/>
      </c>
      <c r="AR30" s="132" t="str">
        <f aca="false">IF(OR(11&gt;$B$3,ISBLANK(Actuals!M36)),"",'Reforecast Q1 2026'!M36-Actuals!M36)</f>
        <v/>
      </c>
      <c r="AS30" s="132" t="str">
        <f aca="false">IFERROR(IF(OR(11&gt;$B$3,ISBLANK(Actuals!M36)),"",('Reforecast Q1 2026'!M36-Actuals!M36)/ABS('Reforecast Q1 2026'!M36)),"")</f>
        <v/>
      </c>
      <c r="AT30" s="131" t="n">
        <f aca="false">'Reforecast Q1 2026'!N36</f>
        <v>-1270.83</v>
      </c>
      <c r="AU30" s="131" t="str">
        <f aca="false">IF(OR(12&gt;$B$3,ISBLANK(Actuals!N36)),"",Actuals!N36)</f>
        <v/>
      </c>
      <c r="AV30" s="132" t="str">
        <f aca="false">IF(OR(12&gt;$B$3,ISBLANK(Actuals!N36)),"",'Reforecast Q1 2026'!N36-Actuals!N36)</f>
        <v/>
      </c>
      <c r="AW30" s="132" t="str">
        <f aca="false">IFERROR(IF(OR(12&gt;$B$3,ISBLANK(Actuals!N36)),"",('Reforecast Q1 2026'!N36-Actuals!N36)/ABS('Reforecast Q1 2026'!N36)),"")</f>
        <v/>
      </c>
      <c r="AX30" s="133" t="n">
        <f aca="false">SUMPRODUCT((Actuals!C36:N36&lt;&gt;"")*('Reforecast Q1 2026'!C36:N36))</f>
        <v>-11437.48</v>
      </c>
      <c r="AY30" s="133" t="n">
        <f aca="false">SUM(Actuals!C36:N36)</f>
        <v>-5372.5</v>
      </c>
      <c r="AZ30" s="134" t="n">
        <f aca="false">AX30-AY30</f>
        <v>-6064.98</v>
      </c>
    </row>
    <row r="31" customFormat="false" ht="15" hidden="false" customHeight="true" outlineLevel="0" collapsed="false">
      <c r="A31" s="130" t="s">
        <v>80</v>
      </c>
      <c r="B31" s="131" t="n">
        <f aca="false">'Reforecast Q1 2026'!C37</f>
        <v>0</v>
      </c>
      <c r="C31" s="131" t="n">
        <f aca="false">IF(OR(1&gt;$B$3,ISBLANK(Actuals!C37)),"",Actuals!C37)</f>
        <v>0</v>
      </c>
      <c r="D31" s="132" t="n">
        <f aca="false">IF(OR(1&gt;$B$3,ISBLANK(Actuals!C37)),"",'Reforecast Q1 2026'!C37-Actuals!C37)</f>
        <v>0</v>
      </c>
      <c r="E31" s="132" t="str">
        <f aca="false">IFERROR(IF(OR(1&gt;$B$3,ISBLANK(Actuals!C37)),"",('Reforecast Q1 2026'!C37-Actuals!C37)/ABS('Reforecast Q1 2026'!C37)),"")</f>
        <v/>
      </c>
      <c r="F31" s="131" t="n">
        <f aca="false">'Reforecast Q1 2026'!D37</f>
        <v>-12349</v>
      </c>
      <c r="G31" s="131" t="n">
        <f aca="false">IF(OR(2&gt;$B$3,ISBLANK(Actuals!D37)),"",Actuals!D37)</f>
        <v>-12349</v>
      </c>
      <c r="H31" s="132" t="n">
        <f aca="false">IF(OR(2&gt;$B$3,ISBLANK(Actuals!D37)),"",'Reforecast Q1 2026'!D37-Actuals!D37)</f>
        <v>0</v>
      </c>
      <c r="I31" s="132" t="n">
        <f aca="false">IFERROR(IF(OR(2&gt;$B$3,ISBLANK(Actuals!D37)),"",('Reforecast Q1 2026'!D37-Actuals!D37)/ABS('Reforecast Q1 2026'!D37)),"")</f>
        <v>0</v>
      </c>
      <c r="J31" s="131" t="n">
        <f aca="false">'Reforecast Q1 2026'!E37</f>
        <v>-5400</v>
      </c>
      <c r="K31" s="131" t="n">
        <f aca="false">IF(OR(3&gt;$B$3,ISBLANK(Actuals!E37)),"",Actuals!E37)</f>
        <v>-5400</v>
      </c>
      <c r="L31" s="132" t="n">
        <f aca="false">IF(OR(3&gt;$B$3,ISBLANK(Actuals!E37)),"",'Reforecast Q1 2026'!E37-Actuals!E37)</f>
        <v>0</v>
      </c>
      <c r="M31" s="132" t="n">
        <f aca="false">IFERROR(IF(OR(3&gt;$B$3,ISBLANK(Actuals!E37)),"",('Reforecast Q1 2026'!E37-Actuals!E37)/ABS('Reforecast Q1 2026'!E37)),"")</f>
        <v>0</v>
      </c>
      <c r="N31" s="131" t="n">
        <f aca="false">'Reforecast Q1 2026'!F37</f>
        <v>-5916.33</v>
      </c>
      <c r="O31" s="131" t="n">
        <f aca="false">IF(OR(4&gt;$B$3,ISBLANK(Actuals!F37)),"",Actuals!F37)</f>
        <v>-4377</v>
      </c>
      <c r="P31" s="132" t="n">
        <f aca="false">IF(OR(4&gt;$B$3,ISBLANK(Actuals!F37)),"",'Reforecast Q1 2026'!F37-Actuals!F37)</f>
        <v>-1539.33</v>
      </c>
      <c r="Q31" s="132" t="n">
        <f aca="false">IFERROR(IF(OR(4&gt;$B$3,ISBLANK(Actuals!F37)),"",('Reforecast Q1 2026'!F37-Actuals!F37)/ABS('Reforecast Q1 2026'!F37)),"")</f>
        <v>-0.260183255497919</v>
      </c>
      <c r="R31" s="131" t="n">
        <f aca="false">'Reforecast Q1 2026'!G37</f>
        <v>-5916.33</v>
      </c>
      <c r="S31" s="131" t="n">
        <f aca="false">IF(OR(5&gt;$B$3,ISBLANK(Actuals!G37)),"",Actuals!G37)</f>
        <v>-11750</v>
      </c>
      <c r="T31" s="132" t="n">
        <f aca="false">IF(OR(5&gt;$B$3,ISBLANK(Actuals!G37)),"",'Reforecast Q1 2026'!G37-Actuals!G37)</f>
        <v>5833.67</v>
      </c>
      <c r="U31" s="132" t="n">
        <f aca="false">IFERROR(IF(OR(5&gt;$B$3,ISBLANK(Actuals!G37)),"",('Reforecast Q1 2026'!G37-Actuals!G37)/ABS('Reforecast Q1 2026'!G37)),"")</f>
        <v>0.986028500776664</v>
      </c>
      <c r="V31" s="131" t="n">
        <f aca="false">'Reforecast Q1 2026'!H37</f>
        <v>-5916.33</v>
      </c>
      <c r="W31" s="131" t="n">
        <f aca="false">IF(OR(6&gt;$B$3,ISBLANK(Actuals!H37)),"",Actuals!H37)</f>
        <v>0</v>
      </c>
      <c r="X31" s="132" t="n">
        <f aca="false">IF(OR(6&gt;$B$3,ISBLANK(Actuals!H37)),"",'Reforecast Q1 2026'!H37-Actuals!H37)</f>
        <v>-5916.33</v>
      </c>
      <c r="Y31" s="132" t="n">
        <f aca="false">IFERROR(IF(OR(6&gt;$B$3,ISBLANK(Actuals!H37)),"",('Reforecast Q1 2026'!H37-Actuals!H37)/ABS('Reforecast Q1 2026'!H37)),"")</f>
        <v>-1</v>
      </c>
      <c r="Z31" s="131" t="n">
        <f aca="false">'Reforecast Q1 2026'!I37</f>
        <v>-5916.33</v>
      </c>
      <c r="AA31" s="131" t="n">
        <f aca="false">IF(OR(7&gt;$B$3,ISBLANK(Actuals!I37)),"",Actuals!I37)</f>
        <v>0</v>
      </c>
      <c r="AB31" s="132" t="n">
        <f aca="false">IF(OR(7&gt;$B$3,ISBLANK(Actuals!I37)),"",'Reforecast Q1 2026'!I37-Actuals!I37)</f>
        <v>-5916.33</v>
      </c>
      <c r="AC31" s="132" t="n">
        <f aca="false">IFERROR(IF(OR(7&gt;$B$3,ISBLANK(Actuals!I37)),"",('Reforecast Q1 2026'!I37-Actuals!I37)/ABS('Reforecast Q1 2026'!I37)),"")</f>
        <v>-1</v>
      </c>
      <c r="AD31" s="131" t="n">
        <f aca="false">'Reforecast Q1 2026'!J37</f>
        <v>-5916.33</v>
      </c>
      <c r="AE31" s="131" t="n">
        <f aca="false">IF(OR(8&gt;$B$3,ISBLANK(Actuals!J37)),"",Actuals!J37)</f>
        <v>-26000</v>
      </c>
      <c r="AF31" s="132" t="n">
        <f aca="false">IF(OR(8&gt;$B$3,ISBLANK(Actuals!J37)),"",'Reforecast Q1 2026'!J37-Actuals!J37)</f>
        <v>20083.67</v>
      </c>
      <c r="AG31" s="132" t="n">
        <f aca="false">IFERROR(IF(OR(8&gt;$B$3,ISBLANK(Actuals!J37)),"",('Reforecast Q1 2026'!J37-Actuals!J37)/ABS('Reforecast Q1 2026'!J37)),"")</f>
        <v>3.39461625703772</v>
      </c>
      <c r="AH31" s="131" t="n">
        <f aca="false">'Reforecast Q1 2026'!K37</f>
        <v>-5916.33</v>
      </c>
      <c r="AI31" s="131" t="n">
        <f aca="false">IF(OR(9&gt;$B$3,ISBLANK(Actuals!K37)),"",Actuals!K37)</f>
        <v>-5250</v>
      </c>
      <c r="AJ31" s="132" t="n">
        <f aca="false">IF(OR(9&gt;$B$3,ISBLANK(Actuals!K37)),"",'Reforecast Q1 2026'!K37-Actuals!K37)</f>
        <v>-666.33</v>
      </c>
      <c r="AK31" s="132" t="n">
        <f aca="false">IFERROR(IF(OR(9&gt;$B$3,ISBLANK(Actuals!K37)),"",('Reforecast Q1 2026'!K37-Actuals!K37)/ABS('Reforecast Q1 2026'!K37)),"")</f>
        <v>-0.112625563482767</v>
      </c>
      <c r="AL31" s="131" t="n">
        <f aca="false">'Reforecast Q1 2026'!L37</f>
        <v>-5916.33</v>
      </c>
      <c r="AM31" s="131" t="str">
        <f aca="false">IF(OR(10&gt;$B$3,ISBLANK(Actuals!L37)),"",Actuals!L37)</f>
        <v/>
      </c>
      <c r="AN31" s="132" t="str">
        <f aca="false">IF(OR(10&gt;$B$3,ISBLANK(Actuals!L37)),"",'Reforecast Q1 2026'!L37-Actuals!L37)</f>
        <v/>
      </c>
      <c r="AO31" s="132" t="str">
        <f aca="false">IFERROR(IF(OR(10&gt;$B$3,ISBLANK(Actuals!L37)),"",('Reforecast Q1 2026'!L37-Actuals!L37)/ABS('Reforecast Q1 2026'!L37)),"")</f>
        <v/>
      </c>
      <c r="AP31" s="131" t="n">
        <f aca="false">'Reforecast Q1 2026'!M37</f>
        <v>-5916.33</v>
      </c>
      <c r="AQ31" s="131" t="str">
        <f aca="false">IF(OR(11&gt;$B$3,ISBLANK(Actuals!M37)),"",Actuals!M37)</f>
        <v/>
      </c>
      <c r="AR31" s="132" t="str">
        <f aca="false">IF(OR(11&gt;$B$3,ISBLANK(Actuals!M37)),"",'Reforecast Q1 2026'!M37-Actuals!M37)</f>
        <v/>
      </c>
      <c r="AS31" s="132" t="str">
        <f aca="false">IFERROR(IF(OR(11&gt;$B$3,ISBLANK(Actuals!M37)),"",('Reforecast Q1 2026'!M37-Actuals!M37)/ABS('Reforecast Q1 2026'!M37)),"")</f>
        <v/>
      </c>
      <c r="AT31" s="131" t="n">
        <f aca="false">'Reforecast Q1 2026'!N37</f>
        <v>-5916.33</v>
      </c>
      <c r="AU31" s="131" t="str">
        <f aca="false">IF(OR(12&gt;$B$3,ISBLANK(Actuals!N37)),"",Actuals!N37)</f>
        <v/>
      </c>
      <c r="AV31" s="132" t="str">
        <f aca="false">IF(OR(12&gt;$B$3,ISBLANK(Actuals!N37)),"",'Reforecast Q1 2026'!N37-Actuals!N37)</f>
        <v/>
      </c>
      <c r="AW31" s="132" t="str">
        <f aca="false">IFERROR(IF(OR(12&gt;$B$3,ISBLANK(Actuals!N37)),"",('Reforecast Q1 2026'!N37-Actuals!N37)/ABS('Reforecast Q1 2026'!N37)),"")</f>
        <v/>
      </c>
      <c r="AX31" s="133" t="n">
        <f aca="false">SUMPRODUCT((Actuals!C37:N37&lt;&gt;"")*('Reforecast Q1 2026'!C37:N37))</f>
        <v>-53246.98</v>
      </c>
      <c r="AY31" s="133" t="n">
        <f aca="false">SUM(Actuals!C37:N37)</f>
        <v>-65126</v>
      </c>
      <c r="AZ31" s="134" t="n">
        <f aca="false">AX31-AY31</f>
        <v>11879.02</v>
      </c>
    </row>
    <row r="32" customFormat="false" ht="15" hidden="false" customHeight="true" outlineLevel="0" collapsed="false">
      <c r="A32" s="130" t="s">
        <v>81</v>
      </c>
      <c r="B32" s="131" t="n">
        <f aca="false">'Reforecast Q1 2026'!C38</f>
        <v>0</v>
      </c>
      <c r="C32" s="131" t="n">
        <f aca="false">IF(OR(1&gt;$B$3,ISBLANK(Actuals!C38)),"",Actuals!C38)</f>
        <v>0</v>
      </c>
      <c r="D32" s="132" t="n">
        <f aca="false">IF(OR(1&gt;$B$3,ISBLANK(Actuals!C38)),"",'Reforecast Q1 2026'!C38-Actuals!C38)</f>
        <v>0</v>
      </c>
      <c r="E32" s="132" t="str">
        <f aca="false">IFERROR(IF(OR(1&gt;$B$3,ISBLANK(Actuals!C38)),"",('Reforecast Q1 2026'!C38-Actuals!C38)/ABS('Reforecast Q1 2026'!C38)),"")</f>
        <v/>
      </c>
      <c r="F32" s="131" t="n">
        <f aca="false">'Reforecast Q1 2026'!D38</f>
        <v>0</v>
      </c>
      <c r="G32" s="131" t="n">
        <f aca="false">IF(OR(2&gt;$B$3,ISBLANK(Actuals!D38)),"",Actuals!D38)</f>
        <v>0</v>
      </c>
      <c r="H32" s="132" t="n">
        <f aca="false">IF(OR(2&gt;$B$3,ISBLANK(Actuals!D38)),"",'Reforecast Q1 2026'!D38-Actuals!D38)</f>
        <v>0</v>
      </c>
      <c r="I32" s="132" t="str">
        <f aca="false">IFERROR(IF(OR(2&gt;$B$3,ISBLANK(Actuals!D38)),"",('Reforecast Q1 2026'!D38-Actuals!D38)/ABS('Reforecast Q1 2026'!D38)),"")</f>
        <v/>
      </c>
      <c r="J32" s="131" t="n">
        <f aca="false">'Reforecast Q1 2026'!E38</f>
        <v>-750.4</v>
      </c>
      <c r="K32" s="131" t="n">
        <f aca="false">IF(OR(3&gt;$B$3,ISBLANK(Actuals!E38)),"",Actuals!E38)</f>
        <v>-750.4</v>
      </c>
      <c r="L32" s="132" t="n">
        <f aca="false">IF(OR(3&gt;$B$3,ISBLANK(Actuals!E38)),"",'Reforecast Q1 2026'!E38-Actuals!E38)</f>
        <v>0</v>
      </c>
      <c r="M32" s="132" t="n">
        <f aca="false">IFERROR(IF(OR(3&gt;$B$3,ISBLANK(Actuals!E38)),"",('Reforecast Q1 2026'!E38-Actuals!E38)/ABS('Reforecast Q1 2026'!E38)),"")</f>
        <v>0</v>
      </c>
      <c r="N32" s="131" t="n">
        <f aca="false">'Reforecast Q1 2026'!F38</f>
        <v>-250.13</v>
      </c>
      <c r="O32" s="131" t="n">
        <f aca="false">IF(OR(4&gt;$B$3,ISBLANK(Actuals!F38)),"",Actuals!F38)</f>
        <v>0</v>
      </c>
      <c r="P32" s="132" t="n">
        <f aca="false">IF(OR(4&gt;$B$3,ISBLANK(Actuals!F38)),"",'Reforecast Q1 2026'!F38-Actuals!F38)</f>
        <v>-250.13</v>
      </c>
      <c r="Q32" s="132" t="n">
        <f aca="false">IFERROR(IF(OR(4&gt;$B$3,ISBLANK(Actuals!F38)),"",('Reforecast Q1 2026'!F38-Actuals!F38)/ABS('Reforecast Q1 2026'!F38)),"")</f>
        <v>-1</v>
      </c>
      <c r="R32" s="131" t="n">
        <f aca="false">'Reforecast Q1 2026'!G38</f>
        <v>-250.13</v>
      </c>
      <c r="S32" s="131" t="n">
        <f aca="false">IF(OR(5&gt;$B$3,ISBLANK(Actuals!G38)),"",Actuals!G38)</f>
        <v>0</v>
      </c>
      <c r="T32" s="132" t="n">
        <f aca="false">IF(OR(5&gt;$B$3,ISBLANK(Actuals!G38)),"",'Reforecast Q1 2026'!G38-Actuals!G38)</f>
        <v>-250.13</v>
      </c>
      <c r="U32" s="132" t="n">
        <f aca="false">IFERROR(IF(OR(5&gt;$B$3,ISBLANK(Actuals!G38)),"",('Reforecast Q1 2026'!G38-Actuals!G38)/ABS('Reforecast Q1 2026'!G38)),"")</f>
        <v>-1</v>
      </c>
      <c r="V32" s="131" t="n">
        <f aca="false">'Reforecast Q1 2026'!H38</f>
        <v>-250.13</v>
      </c>
      <c r="W32" s="131" t="n">
        <f aca="false">IF(OR(6&gt;$B$3,ISBLANK(Actuals!H38)),"",Actuals!H38)</f>
        <v>0</v>
      </c>
      <c r="X32" s="132" t="n">
        <f aca="false">IF(OR(6&gt;$B$3,ISBLANK(Actuals!H38)),"",'Reforecast Q1 2026'!H38-Actuals!H38)</f>
        <v>-250.13</v>
      </c>
      <c r="Y32" s="132" t="n">
        <f aca="false">IFERROR(IF(OR(6&gt;$B$3,ISBLANK(Actuals!H38)),"",('Reforecast Q1 2026'!H38-Actuals!H38)/ABS('Reforecast Q1 2026'!H38)),"")</f>
        <v>-1</v>
      </c>
      <c r="Z32" s="131" t="n">
        <f aca="false">'Reforecast Q1 2026'!I38</f>
        <v>-250.13</v>
      </c>
      <c r="AA32" s="131" t="n">
        <f aca="false">IF(OR(7&gt;$B$3,ISBLANK(Actuals!I38)),"",Actuals!I38)</f>
        <v>0</v>
      </c>
      <c r="AB32" s="132" t="n">
        <f aca="false">IF(OR(7&gt;$B$3,ISBLANK(Actuals!I38)),"",'Reforecast Q1 2026'!I38-Actuals!I38)</f>
        <v>-250.13</v>
      </c>
      <c r="AC32" s="132" t="n">
        <f aca="false">IFERROR(IF(OR(7&gt;$B$3,ISBLANK(Actuals!I38)),"",('Reforecast Q1 2026'!I38-Actuals!I38)/ABS('Reforecast Q1 2026'!I38)),"")</f>
        <v>-1</v>
      </c>
      <c r="AD32" s="131" t="n">
        <f aca="false">'Reforecast Q1 2026'!J38</f>
        <v>-250.13</v>
      </c>
      <c r="AE32" s="131" t="n">
        <f aca="false">IF(OR(8&gt;$B$3,ISBLANK(Actuals!J38)),"",Actuals!J38)</f>
        <v>0</v>
      </c>
      <c r="AF32" s="132" t="n">
        <f aca="false">IF(OR(8&gt;$B$3,ISBLANK(Actuals!J38)),"",'Reforecast Q1 2026'!J38-Actuals!J38)</f>
        <v>-250.13</v>
      </c>
      <c r="AG32" s="132" t="n">
        <f aca="false">IFERROR(IF(OR(8&gt;$B$3,ISBLANK(Actuals!J38)),"",('Reforecast Q1 2026'!J38-Actuals!J38)/ABS('Reforecast Q1 2026'!J38)),"")</f>
        <v>-1</v>
      </c>
      <c r="AH32" s="131" t="n">
        <f aca="false">'Reforecast Q1 2026'!K38</f>
        <v>-250.13</v>
      </c>
      <c r="AI32" s="131" t="n">
        <f aca="false">IF(OR(9&gt;$B$3,ISBLANK(Actuals!K38)),"",Actuals!K38)</f>
        <v>-55000</v>
      </c>
      <c r="AJ32" s="132" t="n">
        <f aca="false">IF(OR(9&gt;$B$3,ISBLANK(Actuals!K38)),"",'Reforecast Q1 2026'!K38-Actuals!K38)</f>
        <v>54749.87</v>
      </c>
      <c r="AK32" s="132" t="n">
        <f aca="false">IFERROR(IF(OR(9&gt;$B$3,ISBLANK(Actuals!K38)),"",('Reforecast Q1 2026'!K38-Actuals!K38)/ABS('Reforecast Q1 2026'!K38)),"")</f>
        <v>218.885659457082</v>
      </c>
      <c r="AL32" s="131" t="n">
        <f aca="false">'Reforecast Q1 2026'!L38</f>
        <v>-250.13</v>
      </c>
      <c r="AM32" s="131" t="str">
        <f aca="false">IF(OR(10&gt;$B$3,ISBLANK(Actuals!L38)),"",Actuals!L38)</f>
        <v/>
      </c>
      <c r="AN32" s="132" t="str">
        <f aca="false">IF(OR(10&gt;$B$3,ISBLANK(Actuals!L38)),"",'Reforecast Q1 2026'!L38-Actuals!L38)</f>
        <v/>
      </c>
      <c r="AO32" s="132" t="str">
        <f aca="false">IFERROR(IF(OR(10&gt;$B$3,ISBLANK(Actuals!L38)),"",('Reforecast Q1 2026'!L38-Actuals!L38)/ABS('Reforecast Q1 2026'!L38)),"")</f>
        <v/>
      </c>
      <c r="AP32" s="131" t="n">
        <f aca="false">'Reforecast Q1 2026'!M38</f>
        <v>-250.13</v>
      </c>
      <c r="AQ32" s="131" t="str">
        <f aca="false">IF(OR(11&gt;$B$3,ISBLANK(Actuals!M38)),"",Actuals!M38)</f>
        <v/>
      </c>
      <c r="AR32" s="132" t="str">
        <f aca="false">IF(OR(11&gt;$B$3,ISBLANK(Actuals!M38)),"",'Reforecast Q1 2026'!M38-Actuals!M38)</f>
        <v/>
      </c>
      <c r="AS32" s="132" t="str">
        <f aca="false">IFERROR(IF(OR(11&gt;$B$3,ISBLANK(Actuals!M38)),"",('Reforecast Q1 2026'!M38-Actuals!M38)/ABS('Reforecast Q1 2026'!M38)),"")</f>
        <v/>
      </c>
      <c r="AT32" s="131" t="n">
        <f aca="false">'Reforecast Q1 2026'!N38</f>
        <v>-250.13</v>
      </c>
      <c r="AU32" s="131" t="str">
        <f aca="false">IF(OR(12&gt;$B$3,ISBLANK(Actuals!N38)),"",Actuals!N38)</f>
        <v/>
      </c>
      <c r="AV32" s="132" t="str">
        <f aca="false">IF(OR(12&gt;$B$3,ISBLANK(Actuals!N38)),"",'Reforecast Q1 2026'!N38-Actuals!N38)</f>
        <v/>
      </c>
      <c r="AW32" s="132" t="str">
        <f aca="false">IFERROR(IF(OR(12&gt;$B$3,ISBLANK(Actuals!N38)),"",('Reforecast Q1 2026'!N38-Actuals!N38)/ABS('Reforecast Q1 2026'!N38)),"")</f>
        <v/>
      </c>
      <c r="AX32" s="133" t="n">
        <f aca="false">SUMPRODUCT((Actuals!C38:N38&lt;&gt;"")*('Reforecast Q1 2026'!C38:N38))</f>
        <v>-2251.18</v>
      </c>
      <c r="AY32" s="133" t="n">
        <f aca="false">SUM(Actuals!C38:N38)</f>
        <v>-55750.4</v>
      </c>
      <c r="AZ32" s="134" t="n">
        <f aca="false">AX32-AY32</f>
        <v>53499.22</v>
      </c>
    </row>
    <row r="33" customFormat="false" ht="15" hidden="false" customHeight="true" outlineLevel="0" collapsed="false">
      <c r="A33" s="130" t="s">
        <v>82</v>
      </c>
      <c r="B33" s="131" t="n">
        <f aca="false">'Reforecast Q1 2026'!C39</f>
        <v>-1474.63</v>
      </c>
      <c r="C33" s="131" t="n">
        <f aca="false">IF(OR(1&gt;$B$3,ISBLANK(Actuals!C39)),"",Actuals!C39)</f>
        <v>-1474.63</v>
      </c>
      <c r="D33" s="132" t="n">
        <f aca="false">IF(OR(1&gt;$B$3,ISBLANK(Actuals!C39)),"",'Reforecast Q1 2026'!C39-Actuals!C39)</f>
        <v>0</v>
      </c>
      <c r="E33" s="132" t="n">
        <f aca="false">IFERROR(IF(OR(1&gt;$B$3,ISBLANK(Actuals!C39)),"",('Reforecast Q1 2026'!C39-Actuals!C39)/ABS('Reforecast Q1 2026'!C39)),"")</f>
        <v>0</v>
      </c>
      <c r="F33" s="131" t="n">
        <f aca="false">'Reforecast Q1 2026'!D39</f>
        <v>-1449.33</v>
      </c>
      <c r="G33" s="131" t="n">
        <f aca="false">IF(OR(2&gt;$B$3,ISBLANK(Actuals!D39)),"",Actuals!D39)</f>
        <v>-1449.33</v>
      </c>
      <c r="H33" s="132" t="n">
        <f aca="false">IF(OR(2&gt;$B$3,ISBLANK(Actuals!D39)),"",'Reforecast Q1 2026'!D39-Actuals!D39)</f>
        <v>0</v>
      </c>
      <c r="I33" s="132" t="n">
        <f aca="false">IFERROR(IF(OR(2&gt;$B$3,ISBLANK(Actuals!D39)),"",('Reforecast Q1 2026'!D39-Actuals!D39)/ABS('Reforecast Q1 2026'!D39)),"")</f>
        <v>0</v>
      </c>
      <c r="J33" s="131" t="n">
        <f aca="false">'Reforecast Q1 2026'!E39</f>
        <v>-2328.76</v>
      </c>
      <c r="K33" s="131" t="n">
        <f aca="false">IF(OR(3&gt;$B$3,ISBLANK(Actuals!E39)),"",Actuals!E39)</f>
        <v>-2328.76</v>
      </c>
      <c r="L33" s="132" t="n">
        <f aca="false">IF(OR(3&gt;$B$3,ISBLANK(Actuals!E39)),"",'Reforecast Q1 2026'!E39-Actuals!E39)</f>
        <v>0</v>
      </c>
      <c r="M33" s="132" t="n">
        <f aca="false">IFERROR(IF(OR(3&gt;$B$3,ISBLANK(Actuals!E39)),"",('Reforecast Q1 2026'!E39-Actuals!E39)/ABS('Reforecast Q1 2026'!E39)),"")</f>
        <v>0</v>
      </c>
      <c r="N33" s="131" t="n">
        <f aca="false">'Reforecast Q1 2026'!F39</f>
        <v>-1750.91</v>
      </c>
      <c r="O33" s="131" t="n">
        <f aca="false">IF(OR(4&gt;$B$3,ISBLANK(Actuals!F39)),"",Actuals!F39)</f>
        <v>-2249.56</v>
      </c>
      <c r="P33" s="132" t="n">
        <f aca="false">IF(OR(4&gt;$B$3,ISBLANK(Actuals!F39)),"",'Reforecast Q1 2026'!F39-Actuals!F39)</f>
        <v>498.65</v>
      </c>
      <c r="Q33" s="132" t="n">
        <f aca="false">IFERROR(IF(OR(4&gt;$B$3,ISBLANK(Actuals!F39)),"",('Reforecast Q1 2026'!F39-Actuals!F39)/ABS('Reforecast Q1 2026'!F39)),"")</f>
        <v>0.284794763865647</v>
      </c>
      <c r="R33" s="131" t="n">
        <f aca="false">'Reforecast Q1 2026'!G39</f>
        <v>-1750.91</v>
      </c>
      <c r="S33" s="131" t="n">
        <f aca="false">IF(OR(5&gt;$B$3,ISBLANK(Actuals!G39)),"",Actuals!G39)</f>
        <v>-2759.48</v>
      </c>
      <c r="T33" s="132" t="n">
        <f aca="false">IF(OR(5&gt;$B$3,ISBLANK(Actuals!G39)),"",'Reforecast Q1 2026'!G39-Actuals!G39)</f>
        <v>1008.57</v>
      </c>
      <c r="U33" s="132" t="n">
        <f aca="false">IFERROR(IF(OR(5&gt;$B$3,ISBLANK(Actuals!G39)),"",('Reforecast Q1 2026'!G39-Actuals!G39)/ABS('Reforecast Q1 2026'!G39)),"")</f>
        <v>0.576026180671765</v>
      </c>
      <c r="V33" s="131" t="n">
        <f aca="false">'Reforecast Q1 2026'!H39</f>
        <v>-1750.91</v>
      </c>
      <c r="W33" s="131" t="n">
        <f aca="false">IF(OR(6&gt;$B$3,ISBLANK(Actuals!H39)),"",Actuals!H39)</f>
        <v>-2749.12</v>
      </c>
      <c r="X33" s="132" t="n">
        <f aca="false">IF(OR(6&gt;$B$3,ISBLANK(Actuals!H39)),"",'Reforecast Q1 2026'!H39-Actuals!H39)</f>
        <v>998.21</v>
      </c>
      <c r="Y33" s="132" t="n">
        <f aca="false">IFERROR(IF(OR(6&gt;$B$3,ISBLANK(Actuals!H39)),"",('Reforecast Q1 2026'!H39-Actuals!H39)/ABS('Reforecast Q1 2026'!H39)),"")</f>
        <v>0.570109257471829</v>
      </c>
      <c r="Z33" s="131" t="n">
        <f aca="false">'Reforecast Q1 2026'!I39</f>
        <v>-1750.91</v>
      </c>
      <c r="AA33" s="131" t="n">
        <f aca="false">IF(OR(7&gt;$B$3,ISBLANK(Actuals!I39)),"",Actuals!I39)</f>
        <v>-2384.6</v>
      </c>
      <c r="AB33" s="132" t="n">
        <f aca="false">IF(OR(7&gt;$B$3,ISBLANK(Actuals!I39)),"",'Reforecast Q1 2026'!I39-Actuals!I39)</f>
        <v>633.69</v>
      </c>
      <c r="AC33" s="132" t="n">
        <f aca="false">IFERROR(IF(OR(7&gt;$B$3,ISBLANK(Actuals!I39)),"",('Reforecast Q1 2026'!I39-Actuals!I39)/ABS('Reforecast Q1 2026'!I39)),"")</f>
        <v>0.361920372834697</v>
      </c>
      <c r="AD33" s="131" t="n">
        <f aca="false">'Reforecast Q1 2026'!J39</f>
        <v>-1750.91</v>
      </c>
      <c r="AE33" s="131" t="n">
        <f aca="false">IF(OR(8&gt;$B$3,ISBLANK(Actuals!J39)),"",Actuals!J39)</f>
        <v>-4264.89</v>
      </c>
      <c r="AF33" s="132" t="n">
        <f aca="false">IF(OR(8&gt;$B$3,ISBLANK(Actuals!J39)),"",'Reforecast Q1 2026'!J39-Actuals!J39)</f>
        <v>2513.98</v>
      </c>
      <c r="AG33" s="132" t="n">
        <f aca="false">IFERROR(IF(OR(8&gt;$B$3,ISBLANK(Actuals!J39)),"",('Reforecast Q1 2026'!J39-Actuals!J39)/ABS('Reforecast Q1 2026'!J39)),"")</f>
        <v>1.43581337704394</v>
      </c>
      <c r="AH33" s="131" t="n">
        <f aca="false">'Reforecast Q1 2026'!K39</f>
        <v>-1750.91</v>
      </c>
      <c r="AI33" s="131" t="n">
        <f aca="false">IF(OR(9&gt;$B$3,ISBLANK(Actuals!K39)),"",Actuals!K39)</f>
        <v>-3851.12</v>
      </c>
      <c r="AJ33" s="132" t="n">
        <f aca="false">IF(OR(9&gt;$B$3,ISBLANK(Actuals!K39)),"",'Reforecast Q1 2026'!K39-Actuals!K39)</f>
        <v>2100.21</v>
      </c>
      <c r="AK33" s="132" t="n">
        <f aca="false">IFERROR(IF(OR(9&gt;$B$3,ISBLANK(Actuals!K39)),"",('Reforecast Q1 2026'!K39-Actuals!K39)/ABS('Reforecast Q1 2026'!K39)),"")</f>
        <v>1.19949626194379</v>
      </c>
      <c r="AL33" s="131" t="n">
        <f aca="false">'Reforecast Q1 2026'!L39</f>
        <v>-1750.91</v>
      </c>
      <c r="AM33" s="131" t="str">
        <f aca="false">IF(OR(10&gt;$B$3,ISBLANK(Actuals!L39)),"",Actuals!L39)</f>
        <v/>
      </c>
      <c r="AN33" s="132" t="str">
        <f aca="false">IF(OR(10&gt;$B$3,ISBLANK(Actuals!L39)),"",'Reforecast Q1 2026'!L39-Actuals!L39)</f>
        <v/>
      </c>
      <c r="AO33" s="132" t="str">
        <f aca="false">IFERROR(IF(OR(10&gt;$B$3,ISBLANK(Actuals!L39)),"",('Reforecast Q1 2026'!L39-Actuals!L39)/ABS('Reforecast Q1 2026'!L39)),"")</f>
        <v/>
      </c>
      <c r="AP33" s="131" t="n">
        <f aca="false">'Reforecast Q1 2026'!M39</f>
        <v>-1750.91</v>
      </c>
      <c r="AQ33" s="131" t="str">
        <f aca="false">IF(OR(11&gt;$B$3,ISBLANK(Actuals!M39)),"",Actuals!M39)</f>
        <v/>
      </c>
      <c r="AR33" s="132" t="str">
        <f aca="false">IF(OR(11&gt;$B$3,ISBLANK(Actuals!M39)),"",'Reforecast Q1 2026'!M39-Actuals!M39)</f>
        <v/>
      </c>
      <c r="AS33" s="132" t="str">
        <f aca="false">IFERROR(IF(OR(11&gt;$B$3,ISBLANK(Actuals!M39)),"",('Reforecast Q1 2026'!M39-Actuals!M39)/ABS('Reforecast Q1 2026'!M39)),"")</f>
        <v/>
      </c>
      <c r="AT33" s="131" t="n">
        <f aca="false">'Reforecast Q1 2026'!N39</f>
        <v>-1750.91</v>
      </c>
      <c r="AU33" s="131" t="str">
        <f aca="false">IF(OR(12&gt;$B$3,ISBLANK(Actuals!N39)),"",Actuals!N39)</f>
        <v/>
      </c>
      <c r="AV33" s="132" t="str">
        <f aca="false">IF(OR(12&gt;$B$3,ISBLANK(Actuals!N39)),"",'Reforecast Q1 2026'!N39-Actuals!N39)</f>
        <v/>
      </c>
      <c r="AW33" s="132" t="str">
        <f aca="false">IFERROR(IF(OR(12&gt;$B$3,ISBLANK(Actuals!N39)),"",('Reforecast Q1 2026'!N39-Actuals!N39)/ABS('Reforecast Q1 2026'!N39)),"")</f>
        <v/>
      </c>
      <c r="AX33" s="133" t="n">
        <f aca="false">SUMPRODUCT((Actuals!C39:N39&lt;&gt;"")*('Reforecast Q1 2026'!C39:N39))</f>
        <v>-15758.18</v>
      </c>
      <c r="AY33" s="133" t="n">
        <f aca="false">SUM(Actuals!C39:N39)</f>
        <v>-23511.49</v>
      </c>
      <c r="AZ33" s="134" t="n">
        <f aca="false">AX33-AY33</f>
        <v>7753.31</v>
      </c>
    </row>
    <row r="34" customFormat="false" ht="15" hidden="false" customHeight="true" outlineLevel="0" collapsed="false">
      <c r="A34" s="130" t="s">
        <v>83</v>
      </c>
      <c r="B34" s="131" t="n">
        <f aca="false">'Reforecast Q1 2026'!C40</f>
        <v>-1417.61</v>
      </c>
      <c r="C34" s="131" t="n">
        <f aca="false">IF(OR(1&gt;$B$3,ISBLANK(Actuals!C40)),"",Actuals!C40)</f>
        <v>-1417.61</v>
      </c>
      <c r="D34" s="132" t="n">
        <f aca="false">IF(OR(1&gt;$B$3,ISBLANK(Actuals!C40)),"",'Reforecast Q1 2026'!C40-Actuals!C40)</f>
        <v>0</v>
      </c>
      <c r="E34" s="132" t="n">
        <f aca="false">IFERROR(IF(OR(1&gt;$B$3,ISBLANK(Actuals!C40)),"",('Reforecast Q1 2026'!C40-Actuals!C40)/ABS('Reforecast Q1 2026'!C40)),"")</f>
        <v>0</v>
      </c>
      <c r="F34" s="131" t="n">
        <f aca="false">'Reforecast Q1 2026'!D40</f>
        <v>-2730.36</v>
      </c>
      <c r="G34" s="131" t="n">
        <f aca="false">IF(OR(2&gt;$B$3,ISBLANK(Actuals!D40)),"",Actuals!D40)</f>
        <v>-2730.36</v>
      </c>
      <c r="H34" s="132" t="n">
        <f aca="false">IF(OR(2&gt;$B$3,ISBLANK(Actuals!D40)),"",'Reforecast Q1 2026'!D40-Actuals!D40)</f>
        <v>0</v>
      </c>
      <c r="I34" s="132" t="n">
        <f aca="false">IFERROR(IF(OR(2&gt;$B$3,ISBLANK(Actuals!D40)),"",('Reforecast Q1 2026'!D40-Actuals!D40)/ABS('Reforecast Q1 2026'!D40)),"")</f>
        <v>0</v>
      </c>
      <c r="J34" s="131" t="n">
        <f aca="false">'Reforecast Q1 2026'!E40</f>
        <v>-1818.05</v>
      </c>
      <c r="K34" s="131" t="n">
        <f aca="false">IF(OR(3&gt;$B$3,ISBLANK(Actuals!E40)),"",Actuals!E40)</f>
        <v>-1818.05</v>
      </c>
      <c r="L34" s="132" t="n">
        <f aca="false">IF(OR(3&gt;$B$3,ISBLANK(Actuals!E40)),"",'Reforecast Q1 2026'!E40-Actuals!E40)</f>
        <v>0</v>
      </c>
      <c r="M34" s="132" t="n">
        <f aca="false">IFERROR(IF(OR(3&gt;$B$3,ISBLANK(Actuals!E40)),"",('Reforecast Q1 2026'!E40-Actuals!E40)/ABS('Reforecast Q1 2026'!E40)),"")</f>
        <v>0</v>
      </c>
      <c r="N34" s="131" t="n">
        <f aca="false">'Reforecast Q1 2026'!F40</f>
        <v>-1988.67</v>
      </c>
      <c r="O34" s="131" t="n">
        <f aca="false">IF(OR(4&gt;$B$3,ISBLANK(Actuals!F40)),"",Actuals!F40)</f>
        <v>-3307.74</v>
      </c>
      <c r="P34" s="132" t="n">
        <f aca="false">IF(OR(4&gt;$B$3,ISBLANK(Actuals!F40)),"",'Reforecast Q1 2026'!F40-Actuals!F40)</f>
        <v>1319.07</v>
      </c>
      <c r="Q34" s="132" t="n">
        <f aca="false">IFERROR(IF(OR(4&gt;$B$3,ISBLANK(Actuals!F40)),"",('Reforecast Q1 2026'!F40-Actuals!F40)/ABS('Reforecast Q1 2026'!F40)),"")</f>
        <v>0.663292552308829</v>
      </c>
      <c r="R34" s="131" t="n">
        <f aca="false">'Reforecast Q1 2026'!G40</f>
        <v>-1988.67</v>
      </c>
      <c r="S34" s="131" t="n">
        <f aca="false">IF(OR(5&gt;$B$3,ISBLANK(Actuals!G40)),"",Actuals!G40)</f>
        <v>-1257.74</v>
      </c>
      <c r="T34" s="132" t="n">
        <f aca="false">IF(OR(5&gt;$B$3,ISBLANK(Actuals!G40)),"",'Reforecast Q1 2026'!G40-Actuals!G40)</f>
        <v>-730.93</v>
      </c>
      <c r="U34" s="132" t="n">
        <f aca="false">IFERROR(IF(OR(5&gt;$B$3,ISBLANK(Actuals!G40)),"",('Reforecast Q1 2026'!G40-Actuals!G40)/ABS('Reforecast Q1 2026'!G40)),"")</f>
        <v>-0.367547154630985</v>
      </c>
      <c r="V34" s="131" t="n">
        <f aca="false">'Reforecast Q1 2026'!H40</f>
        <v>-1988.67</v>
      </c>
      <c r="W34" s="131" t="n">
        <f aca="false">IF(OR(6&gt;$B$3,ISBLANK(Actuals!H40)),"",Actuals!H40)</f>
        <v>-3372.74</v>
      </c>
      <c r="X34" s="132" t="n">
        <f aca="false">IF(OR(6&gt;$B$3,ISBLANK(Actuals!H40)),"",'Reforecast Q1 2026'!H40-Actuals!H40)</f>
        <v>1384.07</v>
      </c>
      <c r="Y34" s="132" t="n">
        <f aca="false">IFERROR(IF(OR(6&gt;$B$3,ISBLANK(Actuals!H40)),"",('Reforecast Q1 2026'!H40-Actuals!H40)/ABS('Reforecast Q1 2026'!H40)),"")</f>
        <v>0.695977713748385</v>
      </c>
      <c r="Z34" s="131" t="n">
        <f aca="false">'Reforecast Q1 2026'!I40</f>
        <v>-1988.67</v>
      </c>
      <c r="AA34" s="131" t="n">
        <f aca="false">IF(OR(7&gt;$B$3,ISBLANK(Actuals!I40)),"",Actuals!I40)</f>
        <v>-1434.83</v>
      </c>
      <c r="AB34" s="132" t="n">
        <f aca="false">IF(OR(7&gt;$B$3,ISBLANK(Actuals!I40)),"",'Reforecast Q1 2026'!I40-Actuals!I40)</f>
        <v>-553.84</v>
      </c>
      <c r="AC34" s="132" t="n">
        <f aca="false">IFERROR(IF(OR(7&gt;$B$3,ISBLANK(Actuals!I40)),"",('Reforecast Q1 2026'!I40-Actuals!I40)/ABS('Reforecast Q1 2026'!I40)),"")</f>
        <v>-0.278497689410511</v>
      </c>
      <c r="AD34" s="131" t="n">
        <f aca="false">'Reforecast Q1 2026'!J40</f>
        <v>-1988.67</v>
      </c>
      <c r="AE34" s="131" t="n">
        <f aca="false">IF(OR(8&gt;$B$3,ISBLANK(Actuals!J40)),"",Actuals!J40)</f>
        <v>-3520.23</v>
      </c>
      <c r="AF34" s="132" t="n">
        <f aca="false">IF(OR(8&gt;$B$3,ISBLANK(Actuals!J40)),"",'Reforecast Q1 2026'!J40-Actuals!J40)</f>
        <v>1531.56</v>
      </c>
      <c r="AG34" s="132" t="n">
        <f aca="false">IFERROR(IF(OR(8&gt;$B$3,ISBLANK(Actuals!J40)),"",('Reforecast Q1 2026'!J40-Actuals!J40)/ABS('Reforecast Q1 2026'!J40)),"")</f>
        <v>0.770142859297923</v>
      </c>
      <c r="AH34" s="131" t="n">
        <f aca="false">'Reforecast Q1 2026'!K40</f>
        <v>-1988.67</v>
      </c>
      <c r="AI34" s="131" t="n">
        <f aca="false">IF(OR(9&gt;$B$3,ISBLANK(Actuals!K40)),"",Actuals!K40)</f>
        <v>-987.24</v>
      </c>
      <c r="AJ34" s="132" t="n">
        <f aca="false">IF(OR(9&gt;$B$3,ISBLANK(Actuals!K40)),"",'Reforecast Q1 2026'!K40-Actuals!K40)</f>
        <v>-1001.43</v>
      </c>
      <c r="AK34" s="132" t="n">
        <f aca="false">IFERROR(IF(OR(9&gt;$B$3,ISBLANK(Actuals!K40)),"",('Reforecast Q1 2026'!K40-Actuals!K40)/ABS('Reforecast Q1 2026'!K40)),"")</f>
        <v>-0.503567711083287</v>
      </c>
      <c r="AL34" s="131" t="n">
        <f aca="false">'Reforecast Q1 2026'!L40</f>
        <v>-1988.67</v>
      </c>
      <c r="AM34" s="131" t="str">
        <f aca="false">IF(OR(10&gt;$B$3,ISBLANK(Actuals!L40)),"",Actuals!L40)</f>
        <v/>
      </c>
      <c r="AN34" s="132" t="str">
        <f aca="false">IF(OR(10&gt;$B$3,ISBLANK(Actuals!L40)),"",'Reforecast Q1 2026'!L40-Actuals!L40)</f>
        <v/>
      </c>
      <c r="AO34" s="132" t="str">
        <f aca="false">IFERROR(IF(OR(10&gt;$B$3,ISBLANK(Actuals!L40)),"",('Reforecast Q1 2026'!L40-Actuals!L40)/ABS('Reforecast Q1 2026'!L40)),"")</f>
        <v/>
      </c>
      <c r="AP34" s="131" t="n">
        <f aca="false">'Reforecast Q1 2026'!M40</f>
        <v>-1988.67</v>
      </c>
      <c r="AQ34" s="131" t="str">
        <f aca="false">IF(OR(11&gt;$B$3,ISBLANK(Actuals!M40)),"",Actuals!M40)</f>
        <v/>
      </c>
      <c r="AR34" s="132" t="str">
        <f aca="false">IF(OR(11&gt;$B$3,ISBLANK(Actuals!M40)),"",'Reforecast Q1 2026'!M40-Actuals!M40)</f>
        <v/>
      </c>
      <c r="AS34" s="132" t="str">
        <f aca="false">IFERROR(IF(OR(11&gt;$B$3,ISBLANK(Actuals!M40)),"",('Reforecast Q1 2026'!M40-Actuals!M40)/ABS('Reforecast Q1 2026'!M40)),"")</f>
        <v/>
      </c>
      <c r="AT34" s="131" t="n">
        <f aca="false">'Reforecast Q1 2026'!N40</f>
        <v>-1988.67</v>
      </c>
      <c r="AU34" s="131" t="str">
        <f aca="false">IF(OR(12&gt;$B$3,ISBLANK(Actuals!N40)),"",Actuals!N40)</f>
        <v/>
      </c>
      <c r="AV34" s="132" t="str">
        <f aca="false">IF(OR(12&gt;$B$3,ISBLANK(Actuals!N40)),"",'Reforecast Q1 2026'!N40-Actuals!N40)</f>
        <v/>
      </c>
      <c r="AW34" s="132" t="str">
        <f aca="false">IFERROR(IF(OR(12&gt;$B$3,ISBLANK(Actuals!N40)),"",('Reforecast Q1 2026'!N40-Actuals!N40)/ABS('Reforecast Q1 2026'!N40)),"")</f>
        <v/>
      </c>
      <c r="AX34" s="133" t="n">
        <f aca="false">SUMPRODUCT((Actuals!C40:N40&lt;&gt;"")*('Reforecast Q1 2026'!C40:N40))</f>
        <v>-17898.04</v>
      </c>
      <c r="AY34" s="133" t="n">
        <f aca="false">SUM(Actuals!C40:N40)</f>
        <v>-19846.54</v>
      </c>
      <c r="AZ34" s="134" t="n">
        <f aca="false">AX34-AY34</f>
        <v>1948.5</v>
      </c>
    </row>
    <row r="35" customFormat="false" ht="15" hidden="false" customHeight="true" outlineLevel="0" collapsed="false">
      <c r="A35" s="130" t="s">
        <v>84</v>
      </c>
      <c r="B35" s="131" t="n">
        <f aca="false">'Reforecast Q1 2026'!C41</f>
        <v>0</v>
      </c>
      <c r="C35" s="131" t="n">
        <f aca="false">IF(OR(1&gt;$B$3,ISBLANK(Actuals!C41)),"",Actuals!C41)</f>
        <v>0</v>
      </c>
      <c r="D35" s="132" t="n">
        <f aca="false">IF(OR(1&gt;$B$3,ISBLANK(Actuals!C41)),"",'Reforecast Q1 2026'!C41-Actuals!C41)</f>
        <v>0</v>
      </c>
      <c r="E35" s="132" t="str">
        <f aca="false">IFERROR(IF(OR(1&gt;$B$3,ISBLANK(Actuals!C41)),"",('Reforecast Q1 2026'!C41-Actuals!C41)/ABS('Reforecast Q1 2026'!C41)),"")</f>
        <v/>
      </c>
      <c r="F35" s="131" t="n">
        <f aca="false">'Reforecast Q1 2026'!D41</f>
        <v>0</v>
      </c>
      <c r="G35" s="131" t="n">
        <f aca="false">IF(OR(2&gt;$B$3,ISBLANK(Actuals!D41)),"",Actuals!D41)</f>
        <v>0</v>
      </c>
      <c r="H35" s="132" t="n">
        <f aca="false">IF(OR(2&gt;$B$3,ISBLANK(Actuals!D41)),"",'Reforecast Q1 2026'!D41-Actuals!D41)</f>
        <v>0</v>
      </c>
      <c r="I35" s="132" t="str">
        <f aca="false">IFERROR(IF(OR(2&gt;$B$3,ISBLANK(Actuals!D41)),"",('Reforecast Q1 2026'!D41-Actuals!D41)/ABS('Reforecast Q1 2026'!D41)),"")</f>
        <v/>
      </c>
      <c r="J35" s="131" t="n">
        <f aca="false">'Reforecast Q1 2026'!E41</f>
        <v>-41990</v>
      </c>
      <c r="K35" s="131" t="n">
        <f aca="false">IF(OR(3&gt;$B$3,ISBLANK(Actuals!E41)),"",Actuals!E41)</f>
        <v>-41990</v>
      </c>
      <c r="L35" s="132" t="n">
        <f aca="false">IF(OR(3&gt;$B$3,ISBLANK(Actuals!E41)),"",'Reforecast Q1 2026'!E41-Actuals!E41)</f>
        <v>0</v>
      </c>
      <c r="M35" s="132" t="n">
        <f aca="false">IFERROR(IF(OR(3&gt;$B$3,ISBLANK(Actuals!E41)),"",('Reforecast Q1 2026'!E41-Actuals!E41)/ABS('Reforecast Q1 2026'!E41)),"")</f>
        <v>0</v>
      </c>
      <c r="N35" s="131" t="n">
        <f aca="false">'Reforecast Q1 2026'!F41</f>
        <v>0</v>
      </c>
      <c r="O35" s="131" t="n">
        <f aca="false">IF(OR(4&gt;$B$3,ISBLANK(Actuals!F41)),"",Actuals!F41)</f>
        <v>-42500</v>
      </c>
      <c r="P35" s="132" t="n">
        <f aca="false">IF(OR(4&gt;$B$3,ISBLANK(Actuals!F41)),"",'Reforecast Q1 2026'!F41-Actuals!F41)</f>
        <v>42500</v>
      </c>
      <c r="Q35" s="132" t="str">
        <f aca="false">IFERROR(IF(OR(4&gt;$B$3,ISBLANK(Actuals!F41)),"",('Reforecast Q1 2026'!F41-Actuals!F41)/ABS('Reforecast Q1 2026'!F41)),"")</f>
        <v/>
      </c>
      <c r="R35" s="131" t="n">
        <f aca="false">'Reforecast Q1 2026'!G41</f>
        <v>-44250</v>
      </c>
      <c r="S35" s="131" t="n">
        <f aca="false">IF(OR(5&gt;$B$3,ISBLANK(Actuals!G41)),"",Actuals!G41)</f>
        <v>-21000</v>
      </c>
      <c r="T35" s="132" t="n">
        <f aca="false">IF(OR(5&gt;$B$3,ISBLANK(Actuals!G41)),"",'Reforecast Q1 2026'!G41-Actuals!G41)</f>
        <v>-23250</v>
      </c>
      <c r="U35" s="132" t="n">
        <f aca="false">IFERROR(IF(OR(5&gt;$B$3,ISBLANK(Actuals!G41)),"",('Reforecast Q1 2026'!G41-Actuals!G41)/ABS('Reforecast Q1 2026'!G41)),"")</f>
        <v>-0.525423728813559</v>
      </c>
      <c r="V35" s="131" t="n">
        <f aca="false">'Reforecast Q1 2026'!H41</f>
        <v>-45000</v>
      </c>
      <c r="W35" s="131" t="n">
        <f aca="false">IF(OR(6&gt;$B$3,ISBLANK(Actuals!H41)),"",Actuals!H41)</f>
        <v>0</v>
      </c>
      <c r="X35" s="132" t="n">
        <f aca="false">IF(OR(6&gt;$B$3,ISBLANK(Actuals!H41)),"",'Reforecast Q1 2026'!H41-Actuals!H41)</f>
        <v>-45000</v>
      </c>
      <c r="Y35" s="132" t="n">
        <f aca="false">IFERROR(IF(OR(6&gt;$B$3,ISBLANK(Actuals!H41)),"",('Reforecast Q1 2026'!H41-Actuals!H41)/ABS('Reforecast Q1 2026'!H41)),"")</f>
        <v>-1</v>
      </c>
      <c r="Z35" s="131" t="n">
        <f aca="false">'Reforecast Q1 2026'!I41</f>
        <v>-19500</v>
      </c>
      <c r="AA35" s="131" t="n">
        <f aca="false">IF(OR(7&gt;$B$3,ISBLANK(Actuals!I41)),"",Actuals!I41)</f>
        <v>0</v>
      </c>
      <c r="AB35" s="132" t="n">
        <f aca="false">IF(OR(7&gt;$B$3,ISBLANK(Actuals!I41)),"",'Reforecast Q1 2026'!I41-Actuals!I41)</f>
        <v>-19500</v>
      </c>
      <c r="AC35" s="132" t="n">
        <f aca="false">IFERROR(IF(OR(7&gt;$B$3,ISBLANK(Actuals!I41)),"",('Reforecast Q1 2026'!I41-Actuals!I41)/ABS('Reforecast Q1 2026'!I41)),"")</f>
        <v>-1</v>
      </c>
      <c r="AD35" s="131" t="n">
        <f aca="false">'Reforecast Q1 2026'!J41</f>
        <v>0</v>
      </c>
      <c r="AE35" s="131" t="n">
        <f aca="false">IF(OR(8&gt;$B$3,ISBLANK(Actuals!J41)),"",Actuals!J41)</f>
        <v>0</v>
      </c>
      <c r="AF35" s="132" t="n">
        <f aca="false">IF(OR(8&gt;$B$3,ISBLANK(Actuals!J41)),"",'Reforecast Q1 2026'!J41-Actuals!J41)</f>
        <v>0</v>
      </c>
      <c r="AG35" s="132" t="str">
        <f aca="false">IFERROR(IF(OR(8&gt;$B$3,ISBLANK(Actuals!J41)),"",('Reforecast Q1 2026'!J41-Actuals!J41)/ABS('Reforecast Q1 2026'!J41)),"")</f>
        <v/>
      </c>
      <c r="AH35" s="131" t="n">
        <f aca="false">'Reforecast Q1 2026'!K41</f>
        <v>0</v>
      </c>
      <c r="AI35" s="131" t="n">
        <f aca="false">IF(OR(9&gt;$B$3,ISBLANK(Actuals!K41)),"",Actuals!K41)</f>
        <v>0</v>
      </c>
      <c r="AJ35" s="132" t="n">
        <f aca="false">IF(OR(9&gt;$B$3,ISBLANK(Actuals!K41)),"",'Reforecast Q1 2026'!K41-Actuals!K41)</f>
        <v>0</v>
      </c>
      <c r="AK35" s="132" t="str">
        <f aca="false">IFERROR(IF(OR(9&gt;$B$3,ISBLANK(Actuals!K41)),"",('Reforecast Q1 2026'!K41-Actuals!K41)/ABS('Reforecast Q1 2026'!K41)),"")</f>
        <v/>
      </c>
      <c r="AL35" s="131" t="n">
        <f aca="false">'Reforecast Q1 2026'!L41</f>
        <v>-37500</v>
      </c>
      <c r="AM35" s="131" t="str">
        <f aca="false">IF(OR(10&gt;$B$3,ISBLANK(Actuals!L41)),"",Actuals!L41)</f>
        <v/>
      </c>
      <c r="AN35" s="132" t="str">
        <f aca="false">IF(OR(10&gt;$B$3,ISBLANK(Actuals!L41)),"",'Reforecast Q1 2026'!L41-Actuals!L41)</f>
        <v/>
      </c>
      <c r="AO35" s="132" t="str">
        <f aca="false">IFERROR(IF(OR(10&gt;$B$3,ISBLANK(Actuals!L41)),"",('Reforecast Q1 2026'!L41-Actuals!L41)/ABS('Reforecast Q1 2026'!L41)),"")</f>
        <v/>
      </c>
      <c r="AP35" s="131" t="n">
        <f aca="false">'Reforecast Q1 2026'!M41</f>
        <v>-54000</v>
      </c>
      <c r="AQ35" s="131" t="str">
        <f aca="false">IF(OR(11&gt;$B$3,ISBLANK(Actuals!M41)),"",Actuals!M41)</f>
        <v/>
      </c>
      <c r="AR35" s="132" t="str">
        <f aca="false">IF(OR(11&gt;$B$3,ISBLANK(Actuals!M41)),"",'Reforecast Q1 2026'!M41-Actuals!M41)</f>
        <v/>
      </c>
      <c r="AS35" s="132" t="str">
        <f aca="false">IFERROR(IF(OR(11&gt;$B$3,ISBLANK(Actuals!M41)),"",('Reforecast Q1 2026'!M41-Actuals!M41)/ABS('Reforecast Q1 2026'!M41)),"")</f>
        <v/>
      </c>
      <c r="AT35" s="131" t="n">
        <f aca="false">'Reforecast Q1 2026'!N41</f>
        <v>0</v>
      </c>
      <c r="AU35" s="131" t="str">
        <f aca="false">IF(OR(12&gt;$B$3,ISBLANK(Actuals!N41)),"",Actuals!N41)</f>
        <v/>
      </c>
      <c r="AV35" s="132" t="str">
        <f aca="false">IF(OR(12&gt;$B$3,ISBLANK(Actuals!N41)),"",'Reforecast Q1 2026'!N41-Actuals!N41)</f>
        <v/>
      </c>
      <c r="AW35" s="132" t="str">
        <f aca="false">IFERROR(IF(OR(12&gt;$B$3,ISBLANK(Actuals!N41)),"",('Reforecast Q1 2026'!N41-Actuals!N41)/ABS('Reforecast Q1 2026'!N41)),"")</f>
        <v/>
      </c>
      <c r="AX35" s="133" t="n">
        <f aca="false">SUMPRODUCT((Actuals!C41:N41&lt;&gt;"")*('Reforecast Q1 2026'!C41:N41))</f>
        <v>-150740</v>
      </c>
      <c r="AY35" s="133" t="n">
        <f aca="false">SUM(Actuals!C41:N41)</f>
        <v>-105490</v>
      </c>
      <c r="AZ35" s="134" t="n">
        <f aca="false">AX35-AY35</f>
        <v>-45250</v>
      </c>
    </row>
    <row r="36" customFormat="false" ht="15" hidden="false" customHeight="true" outlineLevel="0" collapsed="false">
      <c r="A36" s="130" t="s">
        <v>85</v>
      </c>
      <c r="B36" s="131" t="n">
        <f aca="false">'Reforecast Q1 2026'!C42</f>
        <v>-165</v>
      </c>
      <c r="C36" s="131" t="n">
        <f aca="false">IF(OR(1&gt;$B$3,ISBLANK(Actuals!C42)),"",Actuals!C42)</f>
        <v>-165</v>
      </c>
      <c r="D36" s="132" t="n">
        <f aca="false">IF(OR(1&gt;$B$3,ISBLANK(Actuals!C42)),"",'Reforecast Q1 2026'!C42-Actuals!C42)</f>
        <v>0</v>
      </c>
      <c r="E36" s="132" t="n">
        <f aca="false">IFERROR(IF(OR(1&gt;$B$3,ISBLANK(Actuals!C42)),"",('Reforecast Q1 2026'!C42-Actuals!C42)/ABS('Reforecast Q1 2026'!C42)),"")</f>
        <v>0</v>
      </c>
      <c r="F36" s="131" t="n">
        <f aca="false">'Reforecast Q1 2026'!D42</f>
        <v>0</v>
      </c>
      <c r="G36" s="131" t="n">
        <f aca="false">IF(OR(2&gt;$B$3,ISBLANK(Actuals!D42)),"",Actuals!D42)</f>
        <v>0</v>
      </c>
      <c r="H36" s="132" t="n">
        <f aca="false">IF(OR(2&gt;$B$3,ISBLANK(Actuals!D42)),"",'Reforecast Q1 2026'!D42-Actuals!D42)</f>
        <v>0</v>
      </c>
      <c r="I36" s="132" t="str">
        <f aca="false">IFERROR(IF(OR(2&gt;$B$3,ISBLANK(Actuals!D42)),"",('Reforecast Q1 2026'!D42-Actuals!D42)/ABS('Reforecast Q1 2026'!D42)),"")</f>
        <v/>
      </c>
      <c r="J36" s="131" t="n">
        <f aca="false">'Reforecast Q1 2026'!E42</f>
        <v>0</v>
      </c>
      <c r="K36" s="131" t="n">
        <f aca="false">IF(OR(3&gt;$B$3,ISBLANK(Actuals!E42)),"",Actuals!E42)</f>
        <v>0</v>
      </c>
      <c r="L36" s="132" t="n">
        <f aca="false">IF(OR(3&gt;$B$3,ISBLANK(Actuals!E42)),"",'Reforecast Q1 2026'!E42-Actuals!E42)</f>
        <v>0</v>
      </c>
      <c r="M36" s="132" t="str">
        <f aca="false">IFERROR(IF(OR(3&gt;$B$3,ISBLANK(Actuals!E42)),"",('Reforecast Q1 2026'!E42-Actuals!E42)/ABS('Reforecast Q1 2026'!E42)),"")</f>
        <v/>
      </c>
      <c r="N36" s="131" t="n">
        <f aca="false">'Reforecast Q1 2026'!F42</f>
        <v>-55</v>
      </c>
      <c r="O36" s="131" t="n">
        <f aca="false">IF(OR(4&gt;$B$3,ISBLANK(Actuals!F42)),"",Actuals!F42)</f>
        <v>-165</v>
      </c>
      <c r="P36" s="132" t="n">
        <f aca="false">IF(OR(4&gt;$B$3,ISBLANK(Actuals!F42)),"",'Reforecast Q1 2026'!F42-Actuals!F42)</f>
        <v>110</v>
      </c>
      <c r="Q36" s="132" t="n">
        <f aca="false">IFERROR(IF(OR(4&gt;$B$3,ISBLANK(Actuals!F42)),"",('Reforecast Q1 2026'!F42-Actuals!F42)/ABS('Reforecast Q1 2026'!F42)),"")</f>
        <v>2</v>
      </c>
      <c r="R36" s="131" t="n">
        <f aca="false">'Reforecast Q1 2026'!G42</f>
        <v>-55</v>
      </c>
      <c r="S36" s="131" t="n">
        <f aca="false">IF(OR(5&gt;$B$3,ISBLANK(Actuals!G42)),"",Actuals!G42)</f>
        <v>0</v>
      </c>
      <c r="T36" s="132" t="n">
        <f aca="false">IF(OR(5&gt;$B$3,ISBLANK(Actuals!G42)),"",'Reforecast Q1 2026'!G42-Actuals!G42)</f>
        <v>-55</v>
      </c>
      <c r="U36" s="132" t="n">
        <f aca="false">IFERROR(IF(OR(5&gt;$B$3,ISBLANK(Actuals!G42)),"",('Reforecast Q1 2026'!G42-Actuals!G42)/ABS('Reforecast Q1 2026'!G42)),"")</f>
        <v>-1</v>
      </c>
      <c r="V36" s="131" t="n">
        <f aca="false">'Reforecast Q1 2026'!H42</f>
        <v>-55</v>
      </c>
      <c r="W36" s="131" t="n">
        <f aca="false">IF(OR(6&gt;$B$3,ISBLANK(Actuals!H42)),"",Actuals!H42)</f>
        <v>-165</v>
      </c>
      <c r="X36" s="132" t="n">
        <f aca="false">IF(OR(6&gt;$B$3,ISBLANK(Actuals!H42)),"",'Reforecast Q1 2026'!H42-Actuals!H42)</f>
        <v>110</v>
      </c>
      <c r="Y36" s="132" t="n">
        <f aca="false">IFERROR(IF(OR(6&gt;$B$3,ISBLANK(Actuals!H42)),"",('Reforecast Q1 2026'!H42-Actuals!H42)/ABS('Reforecast Q1 2026'!H42)),"")</f>
        <v>2</v>
      </c>
      <c r="Z36" s="131" t="n">
        <f aca="false">'Reforecast Q1 2026'!I42</f>
        <v>-55</v>
      </c>
      <c r="AA36" s="131" t="n">
        <f aca="false">IF(OR(7&gt;$B$3,ISBLANK(Actuals!I42)),"",Actuals!I42)</f>
        <v>0</v>
      </c>
      <c r="AB36" s="132" t="n">
        <f aca="false">IF(OR(7&gt;$B$3,ISBLANK(Actuals!I42)),"",'Reforecast Q1 2026'!I42-Actuals!I42)</f>
        <v>-55</v>
      </c>
      <c r="AC36" s="132" t="n">
        <f aca="false">IFERROR(IF(OR(7&gt;$B$3,ISBLANK(Actuals!I42)),"",('Reforecast Q1 2026'!I42-Actuals!I42)/ABS('Reforecast Q1 2026'!I42)),"")</f>
        <v>-1</v>
      </c>
      <c r="AD36" s="131" t="n">
        <f aca="false">'Reforecast Q1 2026'!J42</f>
        <v>-55</v>
      </c>
      <c r="AE36" s="131" t="n">
        <f aca="false">IF(OR(8&gt;$B$3,ISBLANK(Actuals!J42)),"",Actuals!J42)</f>
        <v>0</v>
      </c>
      <c r="AF36" s="132" t="n">
        <f aca="false">IF(OR(8&gt;$B$3,ISBLANK(Actuals!J42)),"",'Reforecast Q1 2026'!J42-Actuals!J42)</f>
        <v>-55</v>
      </c>
      <c r="AG36" s="132" t="n">
        <f aca="false">IFERROR(IF(OR(8&gt;$B$3,ISBLANK(Actuals!J42)),"",('Reforecast Q1 2026'!J42-Actuals!J42)/ABS('Reforecast Q1 2026'!J42)),"")</f>
        <v>-1</v>
      </c>
      <c r="AH36" s="131" t="n">
        <f aca="false">'Reforecast Q1 2026'!K42</f>
        <v>-55</v>
      </c>
      <c r="AI36" s="131" t="n">
        <f aca="false">IF(OR(9&gt;$B$3,ISBLANK(Actuals!K42)),"",Actuals!K42)</f>
        <v>-330</v>
      </c>
      <c r="AJ36" s="132" t="n">
        <f aca="false">IF(OR(9&gt;$B$3,ISBLANK(Actuals!K42)),"",'Reforecast Q1 2026'!K42-Actuals!K42)</f>
        <v>275</v>
      </c>
      <c r="AK36" s="132" t="n">
        <f aca="false">IFERROR(IF(OR(9&gt;$B$3,ISBLANK(Actuals!K42)),"",('Reforecast Q1 2026'!K42-Actuals!K42)/ABS('Reforecast Q1 2026'!K42)),"")</f>
        <v>5</v>
      </c>
      <c r="AL36" s="131" t="n">
        <f aca="false">'Reforecast Q1 2026'!L42</f>
        <v>-55</v>
      </c>
      <c r="AM36" s="131" t="str">
        <f aca="false">IF(OR(10&gt;$B$3,ISBLANK(Actuals!L42)),"",Actuals!L42)</f>
        <v/>
      </c>
      <c r="AN36" s="132" t="str">
        <f aca="false">IF(OR(10&gt;$B$3,ISBLANK(Actuals!L42)),"",'Reforecast Q1 2026'!L42-Actuals!L42)</f>
        <v/>
      </c>
      <c r="AO36" s="132" t="str">
        <f aca="false">IFERROR(IF(OR(10&gt;$B$3,ISBLANK(Actuals!L42)),"",('Reforecast Q1 2026'!L42-Actuals!L42)/ABS('Reforecast Q1 2026'!L42)),"")</f>
        <v/>
      </c>
      <c r="AP36" s="131" t="n">
        <f aca="false">'Reforecast Q1 2026'!M42</f>
        <v>-55</v>
      </c>
      <c r="AQ36" s="131" t="str">
        <f aca="false">IF(OR(11&gt;$B$3,ISBLANK(Actuals!M42)),"",Actuals!M42)</f>
        <v/>
      </c>
      <c r="AR36" s="132" t="str">
        <f aca="false">IF(OR(11&gt;$B$3,ISBLANK(Actuals!M42)),"",'Reforecast Q1 2026'!M42-Actuals!M42)</f>
        <v/>
      </c>
      <c r="AS36" s="132" t="str">
        <f aca="false">IFERROR(IF(OR(11&gt;$B$3,ISBLANK(Actuals!M42)),"",('Reforecast Q1 2026'!M42-Actuals!M42)/ABS('Reforecast Q1 2026'!M42)),"")</f>
        <v/>
      </c>
      <c r="AT36" s="131" t="n">
        <f aca="false">'Reforecast Q1 2026'!N42</f>
        <v>-55</v>
      </c>
      <c r="AU36" s="131" t="str">
        <f aca="false">IF(OR(12&gt;$B$3,ISBLANK(Actuals!N42)),"",Actuals!N42)</f>
        <v/>
      </c>
      <c r="AV36" s="132" t="str">
        <f aca="false">IF(OR(12&gt;$B$3,ISBLANK(Actuals!N42)),"",'Reforecast Q1 2026'!N42-Actuals!N42)</f>
        <v/>
      </c>
      <c r="AW36" s="132" t="str">
        <f aca="false">IFERROR(IF(OR(12&gt;$B$3,ISBLANK(Actuals!N42)),"",('Reforecast Q1 2026'!N42-Actuals!N42)/ABS('Reforecast Q1 2026'!N42)),"")</f>
        <v/>
      </c>
      <c r="AX36" s="133" t="n">
        <f aca="false">SUMPRODUCT((Actuals!C42:N42&lt;&gt;"")*('Reforecast Q1 2026'!C42:N42))</f>
        <v>-495</v>
      </c>
      <c r="AY36" s="133" t="n">
        <f aca="false">SUM(Actuals!C42:N42)</f>
        <v>-825</v>
      </c>
      <c r="AZ36" s="134" t="n">
        <f aca="false">AX36-AY36</f>
        <v>330</v>
      </c>
    </row>
    <row r="37" customFormat="false" ht="15" hidden="false" customHeight="true" outlineLevel="0" collapsed="false">
      <c r="A37" s="130" t="s">
        <v>86</v>
      </c>
      <c r="B37" s="131" t="n">
        <f aca="false">'Reforecast Q1 2026'!C43</f>
        <v>0</v>
      </c>
      <c r="C37" s="131" t="n">
        <f aca="false">IF(OR(1&gt;$B$3,ISBLANK(Actuals!C43)),"",Actuals!C43)</f>
        <v>0</v>
      </c>
      <c r="D37" s="132" t="n">
        <f aca="false">IF(OR(1&gt;$B$3,ISBLANK(Actuals!C43)),"",'Reforecast Q1 2026'!C43-Actuals!C43)</f>
        <v>0</v>
      </c>
      <c r="E37" s="132" t="str">
        <f aca="false">IFERROR(IF(OR(1&gt;$B$3,ISBLANK(Actuals!C43)),"",('Reforecast Q1 2026'!C43-Actuals!C43)/ABS('Reforecast Q1 2026'!C43)),"")</f>
        <v/>
      </c>
      <c r="F37" s="131" t="n">
        <f aca="false">'Reforecast Q1 2026'!D43</f>
        <v>0</v>
      </c>
      <c r="G37" s="131" t="n">
        <f aca="false">IF(OR(2&gt;$B$3,ISBLANK(Actuals!D43)),"",Actuals!D43)</f>
        <v>0</v>
      </c>
      <c r="H37" s="132" t="n">
        <f aca="false">IF(OR(2&gt;$B$3,ISBLANK(Actuals!D43)),"",'Reforecast Q1 2026'!D43-Actuals!D43)</f>
        <v>0</v>
      </c>
      <c r="I37" s="132" t="str">
        <f aca="false">IFERROR(IF(OR(2&gt;$B$3,ISBLANK(Actuals!D43)),"",('Reforecast Q1 2026'!D43-Actuals!D43)/ABS('Reforecast Q1 2026'!D43)),"")</f>
        <v/>
      </c>
      <c r="J37" s="131" t="n">
        <f aca="false">'Reforecast Q1 2026'!E43</f>
        <v>0</v>
      </c>
      <c r="K37" s="131" t="n">
        <f aca="false">IF(OR(3&gt;$B$3,ISBLANK(Actuals!E43)),"",Actuals!E43)</f>
        <v>0</v>
      </c>
      <c r="L37" s="132" t="n">
        <f aca="false">IF(OR(3&gt;$B$3,ISBLANK(Actuals!E43)),"",'Reforecast Q1 2026'!E43-Actuals!E43)</f>
        <v>0</v>
      </c>
      <c r="M37" s="132" t="str">
        <f aca="false">IFERROR(IF(OR(3&gt;$B$3,ISBLANK(Actuals!E43)),"",('Reforecast Q1 2026'!E43-Actuals!E43)/ABS('Reforecast Q1 2026'!E43)),"")</f>
        <v/>
      </c>
      <c r="N37" s="131" t="n">
        <f aca="false">'Reforecast Q1 2026'!F43</f>
        <v>0</v>
      </c>
      <c r="O37" s="131" t="n">
        <f aca="false">IF(OR(4&gt;$B$3,ISBLANK(Actuals!F43)),"",Actuals!F43)</f>
        <v>-1036.49</v>
      </c>
      <c r="P37" s="132" t="n">
        <f aca="false">IF(OR(4&gt;$B$3,ISBLANK(Actuals!F43)),"",'Reforecast Q1 2026'!F43-Actuals!F43)</f>
        <v>1036.49</v>
      </c>
      <c r="Q37" s="132" t="str">
        <f aca="false">IFERROR(IF(OR(4&gt;$B$3,ISBLANK(Actuals!F43)),"",('Reforecast Q1 2026'!F43-Actuals!F43)/ABS('Reforecast Q1 2026'!F43)),"")</f>
        <v/>
      </c>
      <c r="R37" s="131" t="n">
        <f aca="false">'Reforecast Q1 2026'!G43</f>
        <v>0</v>
      </c>
      <c r="S37" s="131" t="n">
        <f aca="false">IF(OR(5&gt;$B$3,ISBLANK(Actuals!G43)),"",Actuals!G43)</f>
        <v>0</v>
      </c>
      <c r="T37" s="132" t="n">
        <f aca="false">IF(OR(5&gt;$B$3,ISBLANK(Actuals!G43)),"",'Reforecast Q1 2026'!G43-Actuals!G43)</f>
        <v>0</v>
      </c>
      <c r="U37" s="132" t="str">
        <f aca="false">IFERROR(IF(OR(5&gt;$B$3,ISBLANK(Actuals!G43)),"",('Reforecast Q1 2026'!G43-Actuals!G43)/ABS('Reforecast Q1 2026'!G43)),"")</f>
        <v/>
      </c>
      <c r="V37" s="131" t="n">
        <f aca="false">'Reforecast Q1 2026'!H43</f>
        <v>0</v>
      </c>
      <c r="W37" s="131" t="n">
        <f aca="false">IF(OR(6&gt;$B$3,ISBLANK(Actuals!H43)),"",Actuals!H43)</f>
        <v>-4308.58</v>
      </c>
      <c r="X37" s="132" t="n">
        <f aca="false">IF(OR(6&gt;$B$3,ISBLANK(Actuals!H43)),"",'Reforecast Q1 2026'!H43-Actuals!H43)</f>
        <v>4308.58</v>
      </c>
      <c r="Y37" s="132" t="str">
        <f aca="false">IFERROR(IF(OR(6&gt;$B$3,ISBLANK(Actuals!H43)),"",('Reforecast Q1 2026'!H43-Actuals!H43)/ABS('Reforecast Q1 2026'!H43)),"")</f>
        <v/>
      </c>
      <c r="Z37" s="131" t="n">
        <f aca="false">'Reforecast Q1 2026'!I43</f>
        <v>0</v>
      </c>
      <c r="AA37" s="131" t="n">
        <f aca="false">IF(OR(7&gt;$B$3,ISBLANK(Actuals!I43)),"",Actuals!I43)</f>
        <v>-362.98</v>
      </c>
      <c r="AB37" s="132" t="n">
        <f aca="false">IF(OR(7&gt;$B$3,ISBLANK(Actuals!I43)),"",'Reforecast Q1 2026'!I43-Actuals!I43)</f>
        <v>362.98</v>
      </c>
      <c r="AC37" s="132" t="str">
        <f aca="false">IFERROR(IF(OR(7&gt;$B$3,ISBLANK(Actuals!I43)),"",('Reforecast Q1 2026'!I43-Actuals!I43)/ABS('Reforecast Q1 2026'!I43)),"")</f>
        <v/>
      </c>
      <c r="AD37" s="131" t="n">
        <f aca="false">'Reforecast Q1 2026'!J43</f>
        <v>0</v>
      </c>
      <c r="AE37" s="131" t="n">
        <f aca="false">IF(OR(8&gt;$B$3,ISBLANK(Actuals!J43)),"",Actuals!J43)</f>
        <v>0</v>
      </c>
      <c r="AF37" s="132" t="n">
        <f aca="false">IF(OR(8&gt;$B$3,ISBLANK(Actuals!J43)),"",'Reforecast Q1 2026'!J43-Actuals!J43)</f>
        <v>0</v>
      </c>
      <c r="AG37" s="132" t="str">
        <f aca="false">IFERROR(IF(OR(8&gt;$B$3,ISBLANK(Actuals!J43)),"",('Reforecast Q1 2026'!J43-Actuals!J43)/ABS('Reforecast Q1 2026'!J43)),"")</f>
        <v/>
      </c>
      <c r="AH37" s="131" t="n">
        <f aca="false">'Reforecast Q1 2026'!K43</f>
        <v>0</v>
      </c>
      <c r="AI37" s="131" t="n">
        <f aca="false">IF(OR(9&gt;$B$3,ISBLANK(Actuals!K43)),"",Actuals!K43)</f>
        <v>0</v>
      </c>
      <c r="AJ37" s="132" t="n">
        <f aca="false">IF(OR(9&gt;$B$3,ISBLANK(Actuals!K43)),"",'Reforecast Q1 2026'!K43-Actuals!K43)</f>
        <v>0</v>
      </c>
      <c r="AK37" s="132" t="str">
        <f aca="false">IFERROR(IF(OR(9&gt;$B$3,ISBLANK(Actuals!K43)),"",('Reforecast Q1 2026'!K43-Actuals!K43)/ABS('Reforecast Q1 2026'!K43)),"")</f>
        <v/>
      </c>
      <c r="AL37" s="131" t="n">
        <f aca="false">'Reforecast Q1 2026'!L43</f>
        <v>0</v>
      </c>
      <c r="AM37" s="131" t="str">
        <f aca="false">IF(OR(10&gt;$B$3,ISBLANK(Actuals!L43)),"",Actuals!L43)</f>
        <v/>
      </c>
      <c r="AN37" s="132" t="str">
        <f aca="false">IF(OR(10&gt;$B$3,ISBLANK(Actuals!L43)),"",'Reforecast Q1 2026'!L43-Actuals!L43)</f>
        <v/>
      </c>
      <c r="AO37" s="132" t="str">
        <f aca="false">IFERROR(IF(OR(10&gt;$B$3,ISBLANK(Actuals!L43)),"",('Reforecast Q1 2026'!L43-Actuals!L43)/ABS('Reforecast Q1 2026'!L43)),"")</f>
        <v/>
      </c>
      <c r="AP37" s="131" t="n">
        <f aca="false">'Reforecast Q1 2026'!M43</f>
        <v>0</v>
      </c>
      <c r="AQ37" s="131" t="str">
        <f aca="false">IF(OR(11&gt;$B$3,ISBLANK(Actuals!M43)),"",Actuals!M43)</f>
        <v/>
      </c>
      <c r="AR37" s="132" t="str">
        <f aca="false">IF(OR(11&gt;$B$3,ISBLANK(Actuals!M43)),"",'Reforecast Q1 2026'!M43-Actuals!M43)</f>
        <v/>
      </c>
      <c r="AS37" s="132" t="str">
        <f aca="false">IFERROR(IF(OR(11&gt;$B$3,ISBLANK(Actuals!M43)),"",('Reforecast Q1 2026'!M43-Actuals!M43)/ABS('Reforecast Q1 2026'!M43)),"")</f>
        <v/>
      </c>
      <c r="AT37" s="131" t="n">
        <f aca="false">'Reforecast Q1 2026'!N43</f>
        <v>0</v>
      </c>
      <c r="AU37" s="131" t="str">
        <f aca="false">IF(OR(12&gt;$B$3,ISBLANK(Actuals!N43)),"",Actuals!N43)</f>
        <v/>
      </c>
      <c r="AV37" s="132" t="str">
        <f aca="false">IF(OR(12&gt;$B$3,ISBLANK(Actuals!N43)),"",'Reforecast Q1 2026'!N43-Actuals!N43)</f>
        <v/>
      </c>
      <c r="AW37" s="132" t="str">
        <f aca="false">IFERROR(IF(OR(12&gt;$B$3,ISBLANK(Actuals!N43)),"",('Reforecast Q1 2026'!N43-Actuals!N43)/ABS('Reforecast Q1 2026'!N43)),"")</f>
        <v/>
      </c>
      <c r="AX37" s="133" t="n">
        <f aca="false">SUMPRODUCT((Actuals!C43:N43&lt;&gt;"")*('Reforecast Q1 2026'!C43:N43))</f>
        <v>0</v>
      </c>
      <c r="AY37" s="133" t="n">
        <f aca="false">SUM(Actuals!C43:N43)</f>
        <v>-5708.05</v>
      </c>
      <c r="AZ37" s="134" t="n">
        <f aca="false">AX37-AY37</f>
        <v>5708.05</v>
      </c>
    </row>
    <row r="38" customFormat="false" ht="15" hidden="false" customHeight="true" outlineLevel="0" collapsed="false">
      <c r="A38" s="130" t="s">
        <v>87</v>
      </c>
      <c r="B38" s="131" t="n">
        <f aca="false">'Reforecast Q1 2026'!C44</f>
        <v>-550</v>
      </c>
      <c r="C38" s="131" t="n">
        <f aca="false">IF(OR(1&gt;$B$3,ISBLANK(Actuals!C44)),"",Actuals!C44)</f>
        <v>-550</v>
      </c>
      <c r="D38" s="132" t="n">
        <f aca="false">IF(OR(1&gt;$B$3,ISBLANK(Actuals!C44)),"",'Reforecast Q1 2026'!C44-Actuals!C44)</f>
        <v>0</v>
      </c>
      <c r="E38" s="132" t="n">
        <f aca="false">IFERROR(IF(OR(1&gt;$B$3,ISBLANK(Actuals!C44)),"",('Reforecast Q1 2026'!C44-Actuals!C44)/ABS('Reforecast Q1 2026'!C44)),"")</f>
        <v>0</v>
      </c>
      <c r="F38" s="131" t="n">
        <f aca="false">'Reforecast Q1 2026'!D44</f>
        <v>-550</v>
      </c>
      <c r="G38" s="131" t="n">
        <f aca="false">IF(OR(2&gt;$B$3,ISBLANK(Actuals!D44)),"",Actuals!D44)</f>
        <v>-550</v>
      </c>
      <c r="H38" s="132" t="n">
        <f aca="false">IF(OR(2&gt;$B$3,ISBLANK(Actuals!D44)),"",'Reforecast Q1 2026'!D44-Actuals!D44)</f>
        <v>0</v>
      </c>
      <c r="I38" s="132" t="n">
        <f aca="false">IFERROR(IF(OR(2&gt;$B$3,ISBLANK(Actuals!D44)),"",('Reforecast Q1 2026'!D44-Actuals!D44)/ABS('Reforecast Q1 2026'!D44)),"")</f>
        <v>0</v>
      </c>
      <c r="J38" s="131" t="n">
        <f aca="false">'Reforecast Q1 2026'!E44</f>
        <v>-550</v>
      </c>
      <c r="K38" s="131" t="n">
        <f aca="false">IF(OR(3&gt;$B$3,ISBLANK(Actuals!E44)),"",Actuals!E44)</f>
        <v>-550</v>
      </c>
      <c r="L38" s="132" t="n">
        <f aca="false">IF(OR(3&gt;$B$3,ISBLANK(Actuals!E44)),"",'Reforecast Q1 2026'!E44-Actuals!E44)</f>
        <v>0</v>
      </c>
      <c r="M38" s="132" t="n">
        <f aca="false">IFERROR(IF(OR(3&gt;$B$3,ISBLANK(Actuals!E44)),"",('Reforecast Q1 2026'!E44-Actuals!E44)/ABS('Reforecast Q1 2026'!E44)),"")</f>
        <v>0</v>
      </c>
      <c r="N38" s="131" t="n">
        <f aca="false">'Reforecast Q1 2026'!F44</f>
        <v>-550</v>
      </c>
      <c r="O38" s="131" t="n">
        <f aca="false">IF(OR(4&gt;$B$3,ISBLANK(Actuals!F44)),"",Actuals!F44)</f>
        <v>-600</v>
      </c>
      <c r="P38" s="132" t="n">
        <f aca="false">IF(OR(4&gt;$B$3,ISBLANK(Actuals!F44)),"",'Reforecast Q1 2026'!F44-Actuals!F44)</f>
        <v>50</v>
      </c>
      <c r="Q38" s="132" t="n">
        <f aca="false">IFERROR(IF(OR(4&gt;$B$3,ISBLANK(Actuals!F44)),"",('Reforecast Q1 2026'!F44-Actuals!F44)/ABS('Reforecast Q1 2026'!F44)),"")</f>
        <v>0.0909090909090909</v>
      </c>
      <c r="R38" s="131" t="n">
        <f aca="false">'Reforecast Q1 2026'!G44</f>
        <v>-550</v>
      </c>
      <c r="S38" s="131" t="n">
        <f aca="false">IF(OR(5&gt;$B$3,ISBLANK(Actuals!G44)),"",Actuals!G44)</f>
        <v>-650</v>
      </c>
      <c r="T38" s="132" t="n">
        <f aca="false">IF(OR(5&gt;$B$3,ISBLANK(Actuals!G44)),"",'Reforecast Q1 2026'!G44-Actuals!G44)</f>
        <v>100</v>
      </c>
      <c r="U38" s="132" t="n">
        <f aca="false">IFERROR(IF(OR(5&gt;$B$3,ISBLANK(Actuals!G44)),"",('Reforecast Q1 2026'!G44-Actuals!G44)/ABS('Reforecast Q1 2026'!G44)),"")</f>
        <v>0.181818181818182</v>
      </c>
      <c r="V38" s="131" t="n">
        <f aca="false">'Reforecast Q1 2026'!H44</f>
        <v>-550</v>
      </c>
      <c r="W38" s="131" t="n">
        <f aca="false">IF(OR(6&gt;$B$3,ISBLANK(Actuals!H44)),"",Actuals!H44)</f>
        <v>-575</v>
      </c>
      <c r="X38" s="132" t="n">
        <f aca="false">IF(OR(6&gt;$B$3,ISBLANK(Actuals!H44)),"",'Reforecast Q1 2026'!H44-Actuals!H44)</f>
        <v>25</v>
      </c>
      <c r="Y38" s="132" t="n">
        <f aca="false">IFERROR(IF(OR(6&gt;$B$3,ISBLANK(Actuals!H44)),"",('Reforecast Q1 2026'!H44-Actuals!H44)/ABS('Reforecast Q1 2026'!H44)),"")</f>
        <v>0.0454545454545455</v>
      </c>
      <c r="Z38" s="131" t="n">
        <f aca="false">'Reforecast Q1 2026'!I44</f>
        <v>-550</v>
      </c>
      <c r="AA38" s="131" t="n">
        <f aca="false">IF(OR(7&gt;$B$3,ISBLANK(Actuals!I44)),"",Actuals!I44)</f>
        <v>-1300</v>
      </c>
      <c r="AB38" s="132" t="n">
        <f aca="false">IF(OR(7&gt;$B$3,ISBLANK(Actuals!I44)),"",'Reforecast Q1 2026'!I44-Actuals!I44)</f>
        <v>750</v>
      </c>
      <c r="AC38" s="132" t="n">
        <f aca="false">IFERROR(IF(OR(7&gt;$B$3,ISBLANK(Actuals!I44)),"",('Reforecast Q1 2026'!I44-Actuals!I44)/ABS('Reforecast Q1 2026'!I44)),"")</f>
        <v>1.36363636363636</v>
      </c>
      <c r="AD38" s="131" t="n">
        <f aca="false">'Reforecast Q1 2026'!J44</f>
        <v>-550</v>
      </c>
      <c r="AE38" s="131" t="n">
        <f aca="false">IF(OR(8&gt;$B$3,ISBLANK(Actuals!J44)),"",Actuals!J44)</f>
        <v>-325</v>
      </c>
      <c r="AF38" s="132" t="n">
        <f aca="false">IF(OR(8&gt;$B$3,ISBLANK(Actuals!J44)),"",'Reforecast Q1 2026'!J44-Actuals!J44)</f>
        <v>-225</v>
      </c>
      <c r="AG38" s="132" t="n">
        <f aca="false">IFERROR(IF(OR(8&gt;$B$3,ISBLANK(Actuals!J44)),"",('Reforecast Q1 2026'!J44-Actuals!J44)/ABS('Reforecast Q1 2026'!J44)),"")</f>
        <v>-0.409090909090909</v>
      </c>
      <c r="AH38" s="131" t="n">
        <f aca="false">'Reforecast Q1 2026'!K44</f>
        <v>-550</v>
      </c>
      <c r="AI38" s="131" t="n">
        <f aca="false">IF(OR(9&gt;$B$3,ISBLANK(Actuals!K44)),"",Actuals!K44)</f>
        <v>-975</v>
      </c>
      <c r="AJ38" s="132" t="n">
        <f aca="false">IF(OR(9&gt;$B$3,ISBLANK(Actuals!K44)),"",'Reforecast Q1 2026'!K44-Actuals!K44)</f>
        <v>425</v>
      </c>
      <c r="AK38" s="132" t="n">
        <f aca="false">IFERROR(IF(OR(9&gt;$B$3,ISBLANK(Actuals!K44)),"",('Reforecast Q1 2026'!K44-Actuals!K44)/ABS('Reforecast Q1 2026'!K44)),"")</f>
        <v>0.772727272727273</v>
      </c>
      <c r="AL38" s="131" t="n">
        <f aca="false">'Reforecast Q1 2026'!L44</f>
        <v>-550</v>
      </c>
      <c r="AM38" s="131" t="str">
        <f aca="false">IF(OR(10&gt;$B$3,ISBLANK(Actuals!L44)),"",Actuals!L44)</f>
        <v/>
      </c>
      <c r="AN38" s="132" t="str">
        <f aca="false">IF(OR(10&gt;$B$3,ISBLANK(Actuals!L44)),"",'Reforecast Q1 2026'!L44-Actuals!L44)</f>
        <v/>
      </c>
      <c r="AO38" s="132" t="str">
        <f aca="false">IFERROR(IF(OR(10&gt;$B$3,ISBLANK(Actuals!L44)),"",('Reforecast Q1 2026'!L44-Actuals!L44)/ABS('Reforecast Q1 2026'!L44)),"")</f>
        <v/>
      </c>
      <c r="AP38" s="131" t="n">
        <f aca="false">'Reforecast Q1 2026'!M44</f>
        <v>-550</v>
      </c>
      <c r="AQ38" s="131" t="str">
        <f aca="false">IF(OR(11&gt;$B$3,ISBLANK(Actuals!M44)),"",Actuals!M44)</f>
        <v/>
      </c>
      <c r="AR38" s="132" t="str">
        <f aca="false">IF(OR(11&gt;$B$3,ISBLANK(Actuals!M44)),"",'Reforecast Q1 2026'!M44-Actuals!M44)</f>
        <v/>
      </c>
      <c r="AS38" s="132" t="str">
        <f aca="false">IFERROR(IF(OR(11&gt;$B$3,ISBLANK(Actuals!M44)),"",('Reforecast Q1 2026'!M44-Actuals!M44)/ABS('Reforecast Q1 2026'!M44)),"")</f>
        <v/>
      </c>
      <c r="AT38" s="131" t="n">
        <f aca="false">'Reforecast Q1 2026'!N44</f>
        <v>-550</v>
      </c>
      <c r="AU38" s="131" t="str">
        <f aca="false">IF(OR(12&gt;$B$3,ISBLANK(Actuals!N44)),"",Actuals!N44)</f>
        <v/>
      </c>
      <c r="AV38" s="132" t="str">
        <f aca="false">IF(OR(12&gt;$B$3,ISBLANK(Actuals!N44)),"",'Reforecast Q1 2026'!N44-Actuals!N44)</f>
        <v/>
      </c>
      <c r="AW38" s="132" t="str">
        <f aca="false">IFERROR(IF(OR(12&gt;$B$3,ISBLANK(Actuals!N44)),"",('Reforecast Q1 2026'!N44-Actuals!N44)/ABS('Reforecast Q1 2026'!N44)),"")</f>
        <v/>
      </c>
      <c r="AX38" s="133" t="n">
        <f aca="false">SUMPRODUCT((Actuals!C44:N44&lt;&gt;"")*('Reforecast Q1 2026'!C44:N44))</f>
        <v>-4950</v>
      </c>
      <c r="AY38" s="133" t="n">
        <f aca="false">SUM(Actuals!C44:N44)</f>
        <v>-6075</v>
      </c>
      <c r="AZ38" s="134" t="n">
        <f aca="false">AX38-AY38</f>
        <v>1125</v>
      </c>
    </row>
    <row r="39" customFormat="false" ht="15" hidden="false" customHeight="true" outlineLevel="0" collapsed="false">
      <c r="A39" s="130" t="s">
        <v>88</v>
      </c>
      <c r="B39" s="131" t="n">
        <f aca="false">'Reforecast Q1 2026'!C45</f>
        <v>-19223.75</v>
      </c>
      <c r="C39" s="131" t="n">
        <f aca="false">IF(OR(1&gt;$B$3,ISBLANK(Actuals!C45)),"",Actuals!C45)</f>
        <v>-19223.75</v>
      </c>
      <c r="D39" s="132" t="n">
        <f aca="false">IF(OR(1&gt;$B$3,ISBLANK(Actuals!C45)),"",'Reforecast Q1 2026'!C45-Actuals!C45)</f>
        <v>0</v>
      </c>
      <c r="E39" s="132" t="n">
        <f aca="false">IFERROR(IF(OR(1&gt;$B$3,ISBLANK(Actuals!C45)),"",('Reforecast Q1 2026'!C45-Actuals!C45)/ABS('Reforecast Q1 2026'!C45)),"")</f>
        <v>0</v>
      </c>
      <c r="F39" s="131" t="n">
        <f aca="false">'Reforecast Q1 2026'!D45</f>
        <v>-13381.97</v>
      </c>
      <c r="G39" s="131" t="n">
        <f aca="false">IF(OR(2&gt;$B$3,ISBLANK(Actuals!D45)),"",Actuals!D45)</f>
        <v>-13381.97</v>
      </c>
      <c r="H39" s="132" t="n">
        <f aca="false">IF(OR(2&gt;$B$3,ISBLANK(Actuals!D45)),"",'Reforecast Q1 2026'!D45-Actuals!D45)</f>
        <v>0</v>
      </c>
      <c r="I39" s="132" t="n">
        <f aca="false">IFERROR(IF(OR(2&gt;$B$3,ISBLANK(Actuals!D45)),"",('Reforecast Q1 2026'!D45-Actuals!D45)/ABS('Reforecast Q1 2026'!D45)),"")</f>
        <v>0</v>
      </c>
      <c r="J39" s="131" t="n">
        <f aca="false">'Reforecast Q1 2026'!E45</f>
        <v>-20308.69</v>
      </c>
      <c r="K39" s="131" t="n">
        <f aca="false">IF(OR(3&gt;$B$3,ISBLANK(Actuals!E45)),"",Actuals!E45)</f>
        <v>-20308.69</v>
      </c>
      <c r="L39" s="132" t="n">
        <f aca="false">IF(OR(3&gt;$B$3,ISBLANK(Actuals!E45)),"",'Reforecast Q1 2026'!E45-Actuals!E45)</f>
        <v>0</v>
      </c>
      <c r="M39" s="132" t="n">
        <f aca="false">IFERROR(IF(OR(3&gt;$B$3,ISBLANK(Actuals!E45)),"",('Reforecast Q1 2026'!E45-Actuals!E45)/ABS('Reforecast Q1 2026'!E45)),"")</f>
        <v>0</v>
      </c>
      <c r="N39" s="131" t="n">
        <f aca="false">'Reforecast Q1 2026'!F45</f>
        <v>-17638.14</v>
      </c>
      <c r="O39" s="131" t="n">
        <f aca="false">IF(OR(4&gt;$B$3,ISBLANK(Actuals!F45)),"",Actuals!F45)</f>
        <v>-16948.76</v>
      </c>
      <c r="P39" s="132" t="n">
        <f aca="false">IF(OR(4&gt;$B$3,ISBLANK(Actuals!F45)),"",'Reforecast Q1 2026'!F45-Actuals!F45)</f>
        <v>-689.380000000001</v>
      </c>
      <c r="Q39" s="132" t="n">
        <f aca="false">IFERROR(IF(OR(4&gt;$B$3,ISBLANK(Actuals!F45)),"",('Reforecast Q1 2026'!F45-Actuals!F45)/ABS('Reforecast Q1 2026'!F45)),"")</f>
        <v>-0.0390846200336317</v>
      </c>
      <c r="R39" s="131" t="n">
        <f aca="false">'Reforecast Q1 2026'!G45</f>
        <v>-17638.14</v>
      </c>
      <c r="S39" s="131" t="n">
        <f aca="false">IF(OR(5&gt;$B$3,ISBLANK(Actuals!G45)),"",Actuals!G45)</f>
        <v>-29716.98</v>
      </c>
      <c r="T39" s="132" t="n">
        <f aca="false">IF(OR(5&gt;$B$3,ISBLANK(Actuals!G45)),"",'Reforecast Q1 2026'!G45-Actuals!G45)</f>
        <v>12078.84</v>
      </c>
      <c r="U39" s="132" t="n">
        <f aca="false">IFERROR(IF(OR(5&gt;$B$3,ISBLANK(Actuals!G45)),"",('Reforecast Q1 2026'!G45-Actuals!G45)/ABS('Reforecast Q1 2026'!G45)),"")</f>
        <v>0.684813704846429</v>
      </c>
      <c r="V39" s="131" t="n">
        <f aca="false">'Reforecast Q1 2026'!H45</f>
        <v>-17638.14</v>
      </c>
      <c r="W39" s="131" t="n">
        <f aca="false">IF(OR(6&gt;$B$3,ISBLANK(Actuals!H45)),"",Actuals!H45)</f>
        <v>-11335.64</v>
      </c>
      <c r="X39" s="132" t="n">
        <f aca="false">IF(OR(6&gt;$B$3,ISBLANK(Actuals!H45)),"",'Reforecast Q1 2026'!H45-Actuals!H45)</f>
        <v>-6302.5</v>
      </c>
      <c r="Y39" s="132" t="n">
        <f aca="false">IFERROR(IF(OR(6&gt;$B$3,ISBLANK(Actuals!H45)),"",('Reforecast Q1 2026'!H45-Actuals!H45)/ABS('Reforecast Q1 2026'!H45)),"")</f>
        <v>-0.357322257335524</v>
      </c>
      <c r="Z39" s="131" t="n">
        <f aca="false">'Reforecast Q1 2026'!I45</f>
        <v>-17638.14</v>
      </c>
      <c r="AA39" s="131" t="n">
        <f aca="false">IF(OR(7&gt;$B$3,ISBLANK(Actuals!I45)),"",Actuals!I45)</f>
        <v>-11387.12</v>
      </c>
      <c r="AB39" s="132" t="n">
        <f aca="false">IF(OR(7&gt;$B$3,ISBLANK(Actuals!I45)),"",'Reforecast Q1 2026'!I45-Actuals!I45)</f>
        <v>-6251.02</v>
      </c>
      <c r="AC39" s="132" t="n">
        <f aca="false">IFERROR(IF(OR(7&gt;$B$3,ISBLANK(Actuals!I45)),"",('Reforecast Q1 2026'!I45-Actuals!I45)/ABS('Reforecast Q1 2026'!I45)),"")</f>
        <v>-0.354403582237129</v>
      </c>
      <c r="AD39" s="131" t="n">
        <f aca="false">'Reforecast Q1 2026'!J45</f>
        <v>-17638.14</v>
      </c>
      <c r="AE39" s="131" t="n">
        <f aca="false">IF(OR(8&gt;$B$3,ISBLANK(Actuals!J45)),"",Actuals!J45)</f>
        <v>-19873.14</v>
      </c>
      <c r="AF39" s="132" t="n">
        <f aca="false">IF(OR(8&gt;$B$3,ISBLANK(Actuals!J45)),"",'Reforecast Q1 2026'!J45-Actuals!J45)</f>
        <v>2235</v>
      </c>
      <c r="AG39" s="132" t="n">
        <f aca="false">IFERROR(IF(OR(8&gt;$B$3,ISBLANK(Actuals!J45)),"",('Reforecast Q1 2026'!J45-Actuals!J45)/ABS('Reforecast Q1 2026'!J45)),"")</f>
        <v>0.126714041276461</v>
      </c>
      <c r="AH39" s="131" t="n">
        <f aca="false">'Reforecast Q1 2026'!K45</f>
        <v>-17638.14</v>
      </c>
      <c r="AI39" s="131" t="n">
        <f aca="false">IF(OR(9&gt;$B$3,ISBLANK(Actuals!K45)),"",Actuals!K45)</f>
        <v>42.99</v>
      </c>
      <c r="AJ39" s="132" t="n">
        <f aca="false">IF(OR(9&gt;$B$3,ISBLANK(Actuals!K45)),"",'Reforecast Q1 2026'!K45-Actuals!K45)</f>
        <v>-17681.13</v>
      </c>
      <c r="AK39" s="132" t="n">
        <f aca="false">IFERROR(IF(OR(9&gt;$B$3,ISBLANK(Actuals!K45)),"",('Reforecast Q1 2026'!K45-Actuals!K45)/ABS('Reforecast Q1 2026'!K45)),"")</f>
        <v>-1.00243733182751</v>
      </c>
      <c r="AL39" s="131" t="n">
        <f aca="false">'Reforecast Q1 2026'!L45</f>
        <v>-17638.14</v>
      </c>
      <c r="AM39" s="131" t="str">
        <f aca="false">IF(OR(10&gt;$B$3,ISBLANK(Actuals!L45)),"",Actuals!L45)</f>
        <v/>
      </c>
      <c r="AN39" s="132" t="str">
        <f aca="false">IF(OR(10&gt;$B$3,ISBLANK(Actuals!L45)),"",'Reforecast Q1 2026'!L45-Actuals!L45)</f>
        <v/>
      </c>
      <c r="AO39" s="132" t="str">
        <f aca="false">IFERROR(IF(OR(10&gt;$B$3,ISBLANK(Actuals!L45)),"",('Reforecast Q1 2026'!L45-Actuals!L45)/ABS('Reforecast Q1 2026'!L45)),"")</f>
        <v/>
      </c>
      <c r="AP39" s="131" t="n">
        <f aca="false">'Reforecast Q1 2026'!M45</f>
        <v>-17638.14</v>
      </c>
      <c r="AQ39" s="131" t="str">
        <f aca="false">IF(OR(11&gt;$B$3,ISBLANK(Actuals!M45)),"",Actuals!M45)</f>
        <v/>
      </c>
      <c r="AR39" s="132" t="str">
        <f aca="false">IF(OR(11&gt;$B$3,ISBLANK(Actuals!M45)),"",'Reforecast Q1 2026'!M45-Actuals!M45)</f>
        <v/>
      </c>
      <c r="AS39" s="132" t="str">
        <f aca="false">IFERROR(IF(OR(11&gt;$B$3,ISBLANK(Actuals!M45)),"",('Reforecast Q1 2026'!M45-Actuals!M45)/ABS('Reforecast Q1 2026'!M45)),"")</f>
        <v/>
      </c>
      <c r="AT39" s="131" t="n">
        <f aca="false">'Reforecast Q1 2026'!N45</f>
        <v>-17638.14</v>
      </c>
      <c r="AU39" s="131" t="str">
        <f aca="false">IF(OR(12&gt;$B$3,ISBLANK(Actuals!N45)),"",Actuals!N45)</f>
        <v/>
      </c>
      <c r="AV39" s="132" t="str">
        <f aca="false">IF(OR(12&gt;$B$3,ISBLANK(Actuals!N45)),"",'Reforecast Q1 2026'!N45-Actuals!N45)</f>
        <v/>
      </c>
      <c r="AW39" s="132" t="str">
        <f aca="false">IFERROR(IF(OR(12&gt;$B$3,ISBLANK(Actuals!N45)),"",('Reforecast Q1 2026'!N45-Actuals!N45)/ABS('Reforecast Q1 2026'!N45)),"")</f>
        <v/>
      </c>
      <c r="AX39" s="133" t="n">
        <f aca="false">SUMPRODUCT((Actuals!C45:N45&lt;&gt;"")*('Reforecast Q1 2026'!C45:N45))</f>
        <v>-158743.25</v>
      </c>
      <c r="AY39" s="133" t="n">
        <f aca="false">SUM(Actuals!C45:N45)</f>
        <v>-142133.06</v>
      </c>
      <c r="AZ39" s="134" t="n">
        <f aca="false">AX39-AY39</f>
        <v>-16610.19</v>
      </c>
    </row>
    <row r="40" customFormat="false" ht="15" hidden="false" customHeight="true" outlineLevel="0" collapsed="false">
      <c r="A40" s="130" t="s">
        <v>89</v>
      </c>
      <c r="B40" s="131" t="n">
        <f aca="false">'Reforecast Q1 2026'!C46</f>
        <v>-1909.98</v>
      </c>
      <c r="C40" s="131" t="n">
        <f aca="false">IF(OR(1&gt;$B$3,ISBLANK(Actuals!C46)),"",Actuals!C46)</f>
        <v>-1909.98</v>
      </c>
      <c r="D40" s="132" t="n">
        <f aca="false">IF(OR(1&gt;$B$3,ISBLANK(Actuals!C46)),"",'Reforecast Q1 2026'!C46-Actuals!C46)</f>
        <v>0</v>
      </c>
      <c r="E40" s="132" t="n">
        <f aca="false">IFERROR(IF(OR(1&gt;$B$3,ISBLANK(Actuals!C46)),"",('Reforecast Q1 2026'!C46-Actuals!C46)/ABS('Reforecast Q1 2026'!C46)),"")</f>
        <v>0</v>
      </c>
      <c r="F40" s="131" t="n">
        <f aca="false">'Reforecast Q1 2026'!D46</f>
        <v>-190.1</v>
      </c>
      <c r="G40" s="131" t="n">
        <f aca="false">IF(OR(2&gt;$B$3,ISBLANK(Actuals!D46)),"",Actuals!D46)</f>
        <v>-190.1</v>
      </c>
      <c r="H40" s="132" t="n">
        <f aca="false">IF(OR(2&gt;$B$3,ISBLANK(Actuals!D46)),"",'Reforecast Q1 2026'!D46-Actuals!D46)</f>
        <v>0</v>
      </c>
      <c r="I40" s="132" t="n">
        <f aca="false">IFERROR(IF(OR(2&gt;$B$3,ISBLANK(Actuals!D46)),"",('Reforecast Q1 2026'!D46-Actuals!D46)/ABS('Reforecast Q1 2026'!D46)),"")</f>
        <v>0</v>
      </c>
      <c r="J40" s="131" t="n">
        <f aca="false">'Reforecast Q1 2026'!E46</f>
        <v>-2166.92</v>
      </c>
      <c r="K40" s="131" t="n">
        <f aca="false">IF(OR(3&gt;$B$3,ISBLANK(Actuals!E46)),"",Actuals!E46)</f>
        <v>-2166.92</v>
      </c>
      <c r="L40" s="132" t="n">
        <f aca="false">IF(OR(3&gt;$B$3,ISBLANK(Actuals!E46)),"",'Reforecast Q1 2026'!E46-Actuals!E46)</f>
        <v>0</v>
      </c>
      <c r="M40" s="132" t="n">
        <f aca="false">IFERROR(IF(OR(3&gt;$B$3,ISBLANK(Actuals!E46)),"",('Reforecast Q1 2026'!E46-Actuals!E46)/ABS('Reforecast Q1 2026'!E46)),"")</f>
        <v>0</v>
      </c>
      <c r="N40" s="131" t="n">
        <f aca="false">'Reforecast Q1 2026'!F46</f>
        <v>-1422.33</v>
      </c>
      <c r="O40" s="131" t="n">
        <f aca="false">IF(OR(4&gt;$B$3,ISBLANK(Actuals!F46)),"",Actuals!F46)</f>
        <v>-1816.95</v>
      </c>
      <c r="P40" s="132" t="n">
        <f aca="false">IF(OR(4&gt;$B$3,ISBLANK(Actuals!F46)),"",'Reforecast Q1 2026'!F46-Actuals!F46)</f>
        <v>394.62</v>
      </c>
      <c r="Q40" s="132" t="n">
        <f aca="false">IFERROR(IF(OR(4&gt;$B$3,ISBLANK(Actuals!F46)),"",('Reforecast Q1 2026'!F46-Actuals!F46)/ABS('Reforecast Q1 2026'!F46)),"")</f>
        <v>0.277446162283015</v>
      </c>
      <c r="R40" s="131" t="n">
        <f aca="false">'Reforecast Q1 2026'!G46</f>
        <v>-1422.33</v>
      </c>
      <c r="S40" s="131" t="n">
        <f aca="false">IF(OR(5&gt;$B$3,ISBLANK(Actuals!G46)),"",Actuals!G46)</f>
        <v>-1452.9</v>
      </c>
      <c r="T40" s="132" t="n">
        <f aca="false">IF(OR(5&gt;$B$3,ISBLANK(Actuals!G46)),"",'Reforecast Q1 2026'!G46-Actuals!G46)</f>
        <v>30.5700000000002</v>
      </c>
      <c r="U40" s="132" t="n">
        <f aca="false">IFERROR(IF(OR(5&gt;$B$3,ISBLANK(Actuals!G46)),"",('Reforecast Q1 2026'!G46-Actuals!G46)/ABS('Reforecast Q1 2026'!G46)),"")</f>
        <v>0.0214929024909832</v>
      </c>
      <c r="V40" s="131" t="n">
        <f aca="false">'Reforecast Q1 2026'!H46</f>
        <v>-1422.33</v>
      </c>
      <c r="W40" s="131" t="n">
        <f aca="false">IF(OR(6&gt;$B$3,ISBLANK(Actuals!H46)),"",Actuals!H46)</f>
        <v>-13918.31</v>
      </c>
      <c r="X40" s="132" t="n">
        <f aca="false">IF(OR(6&gt;$B$3,ISBLANK(Actuals!H46)),"",'Reforecast Q1 2026'!H46-Actuals!H46)</f>
        <v>12495.98</v>
      </c>
      <c r="Y40" s="132" t="n">
        <f aca="false">IFERROR(IF(OR(6&gt;$B$3,ISBLANK(Actuals!H46)),"",('Reforecast Q1 2026'!H46-Actuals!H46)/ABS('Reforecast Q1 2026'!H46)),"")</f>
        <v>8.78557015601161</v>
      </c>
      <c r="Z40" s="131" t="n">
        <f aca="false">'Reforecast Q1 2026'!I46</f>
        <v>-1422.33</v>
      </c>
      <c r="AA40" s="131" t="n">
        <f aca="false">IF(OR(7&gt;$B$3,ISBLANK(Actuals!I46)),"",Actuals!I46)</f>
        <v>9546.02</v>
      </c>
      <c r="AB40" s="132" t="n">
        <f aca="false">IF(OR(7&gt;$B$3,ISBLANK(Actuals!I46)),"",'Reforecast Q1 2026'!I46-Actuals!I46)</f>
        <v>-10968.35</v>
      </c>
      <c r="AC40" s="132" t="n">
        <f aca="false">IFERROR(IF(OR(7&gt;$B$3,ISBLANK(Actuals!I46)),"",('Reforecast Q1 2026'!I46-Actuals!I46)/ABS('Reforecast Q1 2026'!I46)),"")</f>
        <v>-7.71153670385916</v>
      </c>
      <c r="AD40" s="131" t="n">
        <f aca="false">'Reforecast Q1 2026'!J46</f>
        <v>-1422.33</v>
      </c>
      <c r="AE40" s="131" t="n">
        <f aca="false">IF(OR(8&gt;$B$3,ISBLANK(Actuals!J46)),"",Actuals!J46)</f>
        <v>-840.61</v>
      </c>
      <c r="AF40" s="132" t="n">
        <f aca="false">IF(OR(8&gt;$B$3,ISBLANK(Actuals!J46)),"",'Reforecast Q1 2026'!J46-Actuals!J46)</f>
        <v>-581.72</v>
      </c>
      <c r="AG40" s="132" t="n">
        <f aca="false">IFERROR(IF(OR(8&gt;$B$3,ISBLANK(Actuals!J46)),"",('Reforecast Q1 2026'!J46-Actuals!J46)/ABS('Reforecast Q1 2026'!J46)),"")</f>
        <v>-0.408990881159787</v>
      </c>
      <c r="AH40" s="131" t="n">
        <f aca="false">'Reforecast Q1 2026'!K46</f>
        <v>-1422.33</v>
      </c>
      <c r="AI40" s="131" t="n">
        <f aca="false">IF(OR(9&gt;$B$3,ISBLANK(Actuals!K46)),"",Actuals!K46)</f>
        <v>-941.44</v>
      </c>
      <c r="AJ40" s="132" t="n">
        <f aca="false">IF(OR(9&gt;$B$3,ISBLANK(Actuals!K46)),"",'Reforecast Q1 2026'!K46-Actuals!K46)</f>
        <v>-480.89</v>
      </c>
      <c r="AK40" s="132" t="n">
        <f aca="false">IFERROR(IF(OR(9&gt;$B$3,ISBLANK(Actuals!K46)),"",('Reforecast Q1 2026'!K46-Actuals!K46)/ABS('Reforecast Q1 2026'!K46)),"")</f>
        <v>-0.33810015959728</v>
      </c>
      <c r="AL40" s="131" t="n">
        <f aca="false">'Reforecast Q1 2026'!L46</f>
        <v>-1422.33</v>
      </c>
      <c r="AM40" s="131" t="str">
        <f aca="false">IF(OR(10&gt;$B$3,ISBLANK(Actuals!L46)),"",Actuals!L46)</f>
        <v/>
      </c>
      <c r="AN40" s="132" t="str">
        <f aca="false">IF(OR(10&gt;$B$3,ISBLANK(Actuals!L46)),"",'Reforecast Q1 2026'!L46-Actuals!L46)</f>
        <v/>
      </c>
      <c r="AO40" s="132" t="str">
        <f aca="false">IFERROR(IF(OR(10&gt;$B$3,ISBLANK(Actuals!L46)),"",('Reforecast Q1 2026'!L46-Actuals!L46)/ABS('Reforecast Q1 2026'!L46)),"")</f>
        <v/>
      </c>
      <c r="AP40" s="131" t="n">
        <f aca="false">'Reforecast Q1 2026'!M46</f>
        <v>-1422.33</v>
      </c>
      <c r="AQ40" s="131" t="str">
        <f aca="false">IF(OR(11&gt;$B$3,ISBLANK(Actuals!M46)),"",Actuals!M46)</f>
        <v/>
      </c>
      <c r="AR40" s="132" t="str">
        <f aca="false">IF(OR(11&gt;$B$3,ISBLANK(Actuals!M46)),"",'Reforecast Q1 2026'!M46-Actuals!M46)</f>
        <v/>
      </c>
      <c r="AS40" s="132" t="str">
        <f aca="false">IFERROR(IF(OR(11&gt;$B$3,ISBLANK(Actuals!M46)),"",('Reforecast Q1 2026'!M46-Actuals!M46)/ABS('Reforecast Q1 2026'!M46)),"")</f>
        <v/>
      </c>
      <c r="AT40" s="131" t="n">
        <f aca="false">'Reforecast Q1 2026'!N46</f>
        <v>-1422.33</v>
      </c>
      <c r="AU40" s="131" t="str">
        <f aca="false">IF(OR(12&gt;$B$3,ISBLANK(Actuals!N46)),"",Actuals!N46)</f>
        <v/>
      </c>
      <c r="AV40" s="132" t="str">
        <f aca="false">IF(OR(12&gt;$B$3,ISBLANK(Actuals!N46)),"",'Reforecast Q1 2026'!N46-Actuals!N46)</f>
        <v/>
      </c>
      <c r="AW40" s="132" t="str">
        <f aca="false">IFERROR(IF(OR(12&gt;$B$3,ISBLANK(Actuals!N46)),"",('Reforecast Q1 2026'!N46-Actuals!N46)/ABS('Reforecast Q1 2026'!N46)),"")</f>
        <v/>
      </c>
      <c r="AX40" s="133" t="n">
        <f aca="false">SUMPRODUCT((Actuals!C46:N46&lt;&gt;"")*('Reforecast Q1 2026'!C46:N46))</f>
        <v>-12800.98</v>
      </c>
      <c r="AY40" s="133" t="n">
        <f aca="false">SUM(Actuals!C46:N46)</f>
        <v>-13691.19</v>
      </c>
      <c r="AZ40" s="134" t="n">
        <f aca="false">AX40-AY40</f>
        <v>890.210000000001</v>
      </c>
    </row>
    <row r="41" customFormat="false" ht="15" hidden="false" customHeight="true" outlineLevel="0" collapsed="false">
      <c r="A41" s="130" t="s">
        <v>90</v>
      </c>
      <c r="B41" s="131" t="n">
        <f aca="false">'Reforecast Q1 2026'!C47</f>
        <v>-320</v>
      </c>
      <c r="C41" s="131" t="n">
        <f aca="false">IF(OR(1&gt;$B$3,ISBLANK(Actuals!C47)),"",Actuals!C47)</f>
        <v>-320</v>
      </c>
      <c r="D41" s="132" t="n">
        <f aca="false">IF(OR(1&gt;$B$3,ISBLANK(Actuals!C47)),"",'Reforecast Q1 2026'!C47-Actuals!C47)</f>
        <v>0</v>
      </c>
      <c r="E41" s="132" t="n">
        <f aca="false">IFERROR(IF(OR(1&gt;$B$3,ISBLANK(Actuals!C47)),"",('Reforecast Q1 2026'!C47-Actuals!C47)/ABS('Reforecast Q1 2026'!C47)),"")</f>
        <v>0</v>
      </c>
      <c r="F41" s="131" t="n">
        <f aca="false">'Reforecast Q1 2026'!D47</f>
        <v>-160</v>
      </c>
      <c r="G41" s="131" t="n">
        <f aca="false">IF(OR(2&gt;$B$3,ISBLANK(Actuals!D47)),"",Actuals!D47)</f>
        <v>-160</v>
      </c>
      <c r="H41" s="132" t="n">
        <f aca="false">IF(OR(2&gt;$B$3,ISBLANK(Actuals!D47)),"",'Reforecast Q1 2026'!D47-Actuals!D47)</f>
        <v>0</v>
      </c>
      <c r="I41" s="132" t="n">
        <f aca="false">IFERROR(IF(OR(2&gt;$B$3,ISBLANK(Actuals!D47)),"",('Reforecast Q1 2026'!D47-Actuals!D47)/ABS('Reforecast Q1 2026'!D47)),"")</f>
        <v>0</v>
      </c>
      <c r="J41" s="131" t="n">
        <f aca="false">'Reforecast Q1 2026'!E47</f>
        <v>0</v>
      </c>
      <c r="K41" s="131" t="n">
        <f aca="false">IF(OR(3&gt;$B$3,ISBLANK(Actuals!E47)),"",Actuals!E47)</f>
        <v>0</v>
      </c>
      <c r="L41" s="132" t="n">
        <f aca="false">IF(OR(3&gt;$B$3,ISBLANK(Actuals!E47)),"",'Reforecast Q1 2026'!E47-Actuals!E47)</f>
        <v>0</v>
      </c>
      <c r="M41" s="132" t="str">
        <f aca="false">IFERROR(IF(OR(3&gt;$B$3,ISBLANK(Actuals!E47)),"",('Reforecast Q1 2026'!E47-Actuals!E47)/ABS('Reforecast Q1 2026'!E47)),"")</f>
        <v/>
      </c>
      <c r="N41" s="131" t="n">
        <f aca="false">'Reforecast Q1 2026'!F47</f>
        <v>-160</v>
      </c>
      <c r="O41" s="131" t="n">
        <f aca="false">IF(OR(4&gt;$B$3,ISBLANK(Actuals!F47)),"",Actuals!F47)</f>
        <v>0</v>
      </c>
      <c r="P41" s="132" t="n">
        <f aca="false">IF(OR(4&gt;$B$3,ISBLANK(Actuals!F47)),"",'Reforecast Q1 2026'!F47-Actuals!F47)</f>
        <v>-160</v>
      </c>
      <c r="Q41" s="132" t="n">
        <f aca="false">IFERROR(IF(OR(4&gt;$B$3,ISBLANK(Actuals!F47)),"",('Reforecast Q1 2026'!F47-Actuals!F47)/ABS('Reforecast Q1 2026'!F47)),"")</f>
        <v>-1</v>
      </c>
      <c r="R41" s="131" t="n">
        <f aca="false">'Reforecast Q1 2026'!G47</f>
        <v>-160</v>
      </c>
      <c r="S41" s="131" t="n">
        <f aca="false">IF(OR(5&gt;$B$3,ISBLANK(Actuals!G47)),"",Actuals!G47)</f>
        <v>-320</v>
      </c>
      <c r="T41" s="132" t="n">
        <f aca="false">IF(OR(5&gt;$B$3,ISBLANK(Actuals!G47)),"",'Reforecast Q1 2026'!G47-Actuals!G47)</f>
        <v>160</v>
      </c>
      <c r="U41" s="132" t="n">
        <f aca="false">IFERROR(IF(OR(5&gt;$B$3,ISBLANK(Actuals!G47)),"",('Reforecast Q1 2026'!G47-Actuals!G47)/ABS('Reforecast Q1 2026'!G47)),"")</f>
        <v>1</v>
      </c>
      <c r="V41" s="131" t="n">
        <f aca="false">'Reforecast Q1 2026'!H47</f>
        <v>-160</v>
      </c>
      <c r="W41" s="131" t="n">
        <f aca="false">IF(OR(6&gt;$B$3,ISBLANK(Actuals!H47)),"",Actuals!H47)</f>
        <v>-320</v>
      </c>
      <c r="X41" s="132" t="n">
        <f aca="false">IF(OR(6&gt;$B$3,ISBLANK(Actuals!H47)),"",'Reforecast Q1 2026'!H47-Actuals!H47)</f>
        <v>160</v>
      </c>
      <c r="Y41" s="132" t="n">
        <f aca="false">IFERROR(IF(OR(6&gt;$B$3,ISBLANK(Actuals!H47)),"",('Reforecast Q1 2026'!H47-Actuals!H47)/ABS('Reforecast Q1 2026'!H47)),"")</f>
        <v>1</v>
      </c>
      <c r="Z41" s="131" t="n">
        <f aca="false">'Reforecast Q1 2026'!I47</f>
        <v>-160</v>
      </c>
      <c r="AA41" s="131" t="n">
        <f aca="false">IF(OR(7&gt;$B$3,ISBLANK(Actuals!I47)),"",Actuals!I47)</f>
        <v>0</v>
      </c>
      <c r="AB41" s="132" t="n">
        <f aca="false">IF(OR(7&gt;$B$3,ISBLANK(Actuals!I47)),"",'Reforecast Q1 2026'!I47-Actuals!I47)</f>
        <v>-160</v>
      </c>
      <c r="AC41" s="132" t="n">
        <f aca="false">IFERROR(IF(OR(7&gt;$B$3,ISBLANK(Actuals!I47)),"",('Reforecast Q1 2026'!I47-Actuals!I47)/ABS('Reforecast Q1 2026'!I47)),"")</f>
        <v>-1</v>
      </c>
      <c r="AD41" s="131" t="n">
        <f aca="false">'Reforecast Q1 2026'!J47</f>
        <v>-160</v>
      </c>
      <c r="AE41" s="131" t="n">
        <f aca="false">IF(OR(8&gt;$B$3,ISBLANK(Actuals!J47)),"",Actuals!J47)</f>
        <v>-160</v>
      </c>
      <c r="AF41" s="132" t="n">
        <f aca="false">IF(OR(8&gt;$B$3,ISBLANK(Actuals!J47)),"",'Reforecast Q1 2026'!J47-Actuals!J47)</f>
        <v>0</v>
      </c>
      <c r="AG41" s="132" t="n">
        <f aca="false">IFERROR(IF(OR(8&gt;$B$3,ISBLANK(Actuals!J47)),"",('Reforecast Q1 2026'!J47-Actuals!J47)/ABS('Reforecast Q1 2026'!J47)),"")</f>
        <v>0</v>
      </c>
      <c r="AH41" s="131" t="n">
        <f aca="false">'Reforecast Q1 2026'!K47</f>
        <v>-160</v>
      </c>
      <c r="AI41" s="131" t="n">
        <f aca="false">IF(OR(9&gt;$B$3,ISBLANK(Actuals!K47)),"",Actuals!K47)</f>
        <v>-160</v>
      </c>
      <c r="AJ41" s="132" t="n">
        <f aca="false">IF(OR(9&gt;$B$3,ISBLANK(Actuals!K47)),"",'Reforecast Q1 2026'!K47-Actuals!K47)</f>
        <v>0</v>
      </c>
      <c r="AK41" s="132" t="n">
        <f aca="false">IFERROR(IF(OR(9&gt;$B$3,ISBLANK(Actuals!K47)),"",('Reforecast Q1 2026'!K47-Actuals!K47)/ABS('Reforecast Q1 2026'!K47)),"")</f>
        <v>0</v>
      </c>
      <c r="AL41" s="131" t="n">
        <f aca="false">'Reforecast Q1 2026'!L47</f>
        <v>-160</v>
      </c>
      <c r="AM41" s="131" t="str">
        <f aca="false">IF(OR(10&gt;$B$3,ISBLANK(Actuals!L47)),"",Actuals!L47)</f>
        <v/>
      </c>
      <c r="AN41" s="132" t="str">
        <f aca="false">IF(OR(10&gt;$B$3,ISBLANK(Actuals!L47)),"",'Reforecast Q1 2026'!L47-Actuals!L47)</f>
        <v/>
      </c>
      <c r="AO41" s="132" t="str">
        <f aca="false">IFERROR(IF(OR(10&gt;$B$3,ISBLANK(Actuals!L47)),"",('Reforecast Q1 2026'!L47-Actuals!L47)/ABS('Reforecast Q1 2026'!L47)),"")</f>
        <v/>
      </c>
      <c r="AP41" s="131" t="n">
        <f aca="false">'Reforecast Q1 2026'!M47</f>
        <v>-160</v>
      </c>
      <c r="AQ41" s="131" t="str">
        <f aca="false">IF(OR(11&gt;$B$3,ISBLANK(Actuals!M47)),"",Actuals!M47)</f>
        <v/>
      </c>
      <c r="AR41" s="132" t="str">
        <f aca="false">IF(OR(11&gt;$B$3,ISBLANK(Actuals!M47)),"",'Reforecast Q1 2026'!M47-Actuals!M47)</f>
        <v/>
      </c>
      <c r="AS41" s="132" t="str">
        <f aca="false">IFERROR(IF(OR(11&gt;$B$3,ISBLANK(Actuals!M47)),"",('Reforecast Q1 2026'!M47-Actuals!M47)/ABS('Reforecast Q1 2026'!M47)),"")</f>
        <v/>
      </c>
      <c r="AT41" s="131" t="n">
        <f aca="false">'Reforecast Q1 2026'!N47</f>
        <v>-160</v>
      </c>
      <c r="AU41" s="131" t="str">
        <f aca="false">IF(OR(12&gt;$B$3,ISBLANK(Actuals!N47)),"",Actuals!N47)</f>
        <v/>
      </c>
      <c r="AV41" s="132" t="str">
        <f aca="false">IF(OR(12&gt;$B$3,ISBLANK(Actuals!N47)),"",'Reforecast Q1 2026'!N47-Actuals!N47)</f>
        <v/>
      </c>
      <c r="AW41" s="132" t="str">
        <f aca="false">IFERROR(IF(OR(12&gt;$B$3,ISBLANK(Actuals!N47)),"",('Reforecast Q1 2026'!N47-Actuals!N47)/ABS('Reforecast Q1 2026'!N47)),"")</f>
        <v/>
      </c>
      <c r="AX41" s="133" t="n">
        <f aca="false">SUMPRODUCT((Actuals!C47:N47&lt;&gt;"")*('Reforecast Q1 2026'!C47:N47))</f>
        <v>-1440</v>
      </c>
      <c r="AY41" s="133" t="n">
        <f aca="false">SUM(Actuals!C47:N47)</f>
        <v>-1440</v>
      </c>
      <c r="AZ41" s="134" t="n">
        <f aca="false">AX41-AY41</f>
        <v>0</v>
      </c>
    </row>
    <row r="42" customFormat="false" ht="15" hidden="false" customHeight="true" outlineLevel="0" collapsed="false">
      <c r="A42" s="130" t="s">
        <v>91</v>
      </c>
      <c r="B42" s="131" t="n">
        <f aca="false">'Reforecast Q1 2026'!C48</f>
        <v>-17660.72</v>
      </c>
      <c r="C42" s="131" t="n">
        <f aca="false">IF(OR(1&gt;$B$3,ISBLANK(Actuals!C48)),"",Actuals!C48)</f>
        <v>-17660.72</v>
      </c>
      <c r="D42" s="132" t="n">
        <f aca="false">IF(OR(1&gt;$B$3,ISBLANK(Actuals!C48)),"",'Reforecast Q1 2026'!C48-Actuals!C48)</f>
        <v>0</v>
      </c>
      <c r="E42" s="132" t="n">
        <f aca="false">IFERROR(IF(OR(1&gt;$B$3,ISBLANK(Actuals!C48)),"",('Reforecast Q1 2026'!C48-Actuals!C48)/ABS('Reforecast Q1 2026'!C48)),"")</f>
        <v>0</v>
      </c>
      <c r="F42" s="131" t="n">
        <f aca="false">'Reforecast Q1 2026'!D48</f>
        <v>-5799</v>
      </c>
      <c r="G42" s="131" t="n">
        <f aca="false">IF(OR(2&gt;$B$3,ISBLANK(Actuals!D48)),"",Actuals!D48)</f>
        <v>-5799</v>
      </c>
      <c r="H42" s="132" t="n">
        <f aca="false">IF(OR(2&gt;$B$3,ISBLANK(Actuals!D48)),"",'Reforecast Q1 2026'!D48-Actuals!D48)</f>
        <v>0</v>
      </c>
      <c r="I42" s="132" t="n">
        <f aca="false">IFERROR(IF(OR(2&gt;$B$3,ISBLANK(Actuals!D48)),"",('Reforecast Q1 2026'!D48-Actuals!D48)/ABS('Reforecast Q1 2026'!D48)),"")</f>
        <v>0</v>
      </c>
      <c r="J42" s="131" t="n">
        <f aca="false">'Reforecast Q1 2026'!E48</f>
        <v>-3432.18</v>
      </c>
      <c r="K42" s="131" t="n">
        <f aca="false">IF(OR(3&gt;$B$3,ISBLANK(Actuals!E48)),"",Actuals!E48)</f>
        <v>-3432.18</v>
      </c>
      <c r="L42" s="132" t="n">
        <f aca="false">IF(OR(3&gt;$B$3,ISBLANK(Actuals!E48)),"",'Reforecast Q1 2026'!E48-Actuals!E48)</f>
        <v>0</v>
      </c>
      <c r="M42" s="132" t="n">
        <f aca="false">IFERROR(IF(OR(3&gt;$B$3,ISBLANK(Actuals!E48)),"",('Reforecast Q1 2026'!E48-Actuals!E48)/ABS('Reforecast Q1 2026'!E48)),"")</f>
        <v>0</v>
      </c>
      <c r="N42" s="131" t="n">
        <f aca="false">'Reforecast Q1 2026'!F48</f>
        <v>-5000</v>
      </c>
      <c r="O42" s="131" t="n">
        <f aca="false">IF(OR(4&gt;$B$3,ISBLANK(Actuals!F48)),"",Actuals!F48)</f>
        <v>0</v>
      </c>
      <c r="P42" s="132" t="n">
        <f aca="false">IF(OR(4&gt;$B$3,ISBLANK(Actuals!F48)),"",'Reforecast Q1 2026'!F48-Actuals!F48)</f>
        <v>-5000</v>
      </c>
      <c r="Q42" s="132" t="n">
        <f aca="false">IFERROR(IF(OR(4&gt;$B$3,ISBLANK(Actuals!F48)),"",('Reforecast Q1 2026'!F48-Actuals!F48)/ABS('Reforecast Q1 2026'!F48)),"")</f>
        <v>-1</v>
      </c>
      <c r="R42" s="131" t="n">
        <f aca="false">'Reforecast Q1 2026'!G48</f>
        <v>-5000</v>
      </c>
      <c r="S42" s="131" t="n">
        <f aca="false">IF(OR(5&gt;$B$3,ISBLANK(Actuals!G48)),"",Actuals!G48)</f>
        <v>-73874.29</v>
      </c>
      <c r="T42" s="132" t="n">
        <f aca="false">IF(OR(5&gt;$B$3,ISBLANK(Actuals!G48)),"",'Reforecast Q1 2026'!G48-Actuals!G48)</f>
        <v>68874.29</v>
      </c>
      <c r="U42" s="132" t="n">
        <f aca="false">IFERROR(IF(OR(5&gt;$B$3,ISBLANK(Actuals!G48)),"",('Reforecast Q1 2026'!G48-Actuals!G48)/ABS('Reforecast Q1 2026'!G48)),"")</f>
        <v>13.774858</v>
      </c>
      <c r="V42" s="131" t="n">
        <f aca="false">'Reforecast Q1 2026'!H48</f>
        <v>-5000</v>
      </c>
      <c r="W42" s="131" t="n">
        <f aca="false">IF(OR(6&gt;$B$3,ISBLANK(Actuals!H48)),"",Actuals!H48)</f>
        <v>0</v>
      </c>
      <c r="X42" s="132" t="n">
        <f aca="false">IF(OR(6&gt;$B$3,ISBLANK(Actuals!H48)),"",'Reforecast Q1 2026'!H48-Actuals!H48)</f>
        <v>-5000</v>
      </c>
      <c r="Y42" s="132" t="n">
        <f aca="false">IFERROR(IF(OR(6&gt;$B$3,ISBLANK(Actuals!H48)),"",('Reforecast Q1 2026'!H48-Actuals!H48)/ABS('Reforecast Q1 2026'!H48)),"")</f>
        <v>-1</v>
      </c>
      <c r="Z42" s="131" t="n">
        <f aca="false">'Reforecast Q1 2026'!I48</f>
        <v>-5000</v>
      </c>
      <c r="AA42" s="131" t="n">
        <f aca="false">IF(OR(7&gt;$B$3,ISBLANK(Actuals!I48)),"",Actuals!I48)</f>
        <v>0</v>
      </c>
      <c r="AB42" s="132" t="n">
        <f aca="false">IF(OR(7&gt;$B$3,ISBLANK(Actuals!I48)),"",'Reforecast Q1 2026'!I48-Actuals!I48)</f>
        <v>-5000</v>
      </c>
      <c r="AC42" s="132" t="n">
        <f aca="false">IFERROR(IF(OR(7&gt;$B$3,ISBLANK(Actuals!I48)),"",('Reforecast Q1 2026'!I48-Actuals!I48)/ABS('Reforecast Q1 2026'!I48)),"")</f>
        <v>-1</v>
      </c>
      <c r="AD42" s="131" t="n">
        <f aca="false">'Reforecast Q1 2026'!J48</f>
        <v>-5000</v>
      </c>
      <c r="AE42" s="131" t="n">
        <f aca="false">IF(OR(8&gt;$B$3,ISBLANK(Actuals!J48)),"",Actuals!J48)</f>
        <v>-1372.32</v>
      </c>
      <c r="AF42" s="132" t="n">
        <f aca="false">IF(OR(8&gt;$B$3,ISBLANK(Actuals!J48)),"",'Reforecast Q1 2026'!J48-Actuals!J48)</f>
        <v>-3627.68</v>
      </c>
      <c r="AG42" s="132" t="n">
        <f aca="false">IFERROR(IF(OR(8&gt;$B$3,ISBLANK(Actuals!J48)),"",('Reforecast Q1 2026'!J48-Actuals!J48)/ABS('Reforecast Q1 2026'!J48)),"")</f>
        <v>-0.725536</v>
      </c>
      <c r="AH42" s="131" t="n">
        <f aca="false">'Reforecast Q1 2026'!K48</f>
        <v>-5000</v>
      </c>
      <c r="AI42" s="131" t="n">
        <f aca="false">IF(OR(9&gt;$B$3,ISBLANK(Actuals!K48)),"",Actuals!K48)</f>
        <v>0</v>
      </c>
      <c r="AJ42" s="132" t="n">
        <f aca="false">IF(OR(9&gt;$B$3,ISBLANK(Actuals!K48)),"",'Reforecast Q1 2026'!K48-Actuals!K48)</f>
        <v>-5000</v>
      </c>
      <c r="AK42" s="132" t="n">
        <f aca="false">IFERROR(IF(OR(9&gt;$B$3,ISBLANK(Actuals!K48)),"",('Reforecast Q1 2026'!K48-Actuals!K48)/ABS('Reforecast Q1 2026'!K48)),"")</f>
        <v>-1</v>
      </c>
      <c r="AL42" s="131" t="n">
        <f aca="false">'Reforecast Q1 2026'!L48</f>
        <v>-5000</v>
      </c>
      <c r="AM42" s="131" t="str">
        <f aca="false">IF(OR(10&gt;$B$3,ISBLANK(Actuals!L48)),"",Actuals!L48)</f>
        <v/>
      </c>
      <c r="AN42" s="132" t="str">
        <f aca="false">IF(OR(10&gt;$B$3,ISBLANK(Actuals!L48)),"",'Reforecast Q1 2026'!L48-Actuals!L48)</f>
        <v/>
      </c>
      <c r="AO42" s="132" t="str">
        <f aca="false">IFERROR(IF(OR(10&gt;$B$3,ISBLANK(Actuals!L48)),"",('Reforecast Q1 2026'!L48-Actuals!L48)/ABS('Reforecast Q1 2026'!L48)),"")</f>
        <v/>
      </c>
      <c r="AP42" s="131" t="n">
        <f aca="false">'Reforecast Q1 2026'!M48</f>
        <v>-5000</v>
      </c>
      <c r="AQ42" s="131" t="str">
        <f aca="false">IF(OR(11&gt;$B$3,ISBLANK(Actuals!M48)),"",Actuals!M48)</f>
        <v/>
      </c>
      <c r="AR42" s="132" t="str">
        <f aca="false">IF(OR(11&gt;$B$3,ISBLANK(Actuals!M48)),"",'Reforecast Q1 2026'!M48-Actuals!M48)</f>
        <v/>
      </c>
      <c r="AS42" s="132" t="str">
        <f aca="false">IFERROR(IF(OR(11&gt;$B$3,ISBLANK(Actuals!M48)),"",('Reforecast Q1 2026'!M48-Actuals!M48)/ABS('Reforecast Q1 2026'!M48)),"")</f>
        <v/>
      </c>
      <c r="AT42" s="131" t="n">
        <f aca="false">'Reforecast Q1 2026'!N48</f>
        <v>-5000</v>
      </c>
      <c r="AU42" s="131" t="str">
        <f aca="false">IF(OR(12&gt;$B$3,ISBLANK(Actuals!N48)),"",Actuals!N48)</f>
        <v/>
      </c>
      <c r="AV42" s="132" t="str">
        <f aca="false">IF(OR(12&gt;$B$3,ISBLANK(Actuals!N48)),"",'Reforecast Q1 2026'!N48-Actuals!N48)</f>
        <v/>
      </c>
      <c r="AW42" s="132" t="str">
        <f aca="false">IFERROR(IF(OR(12&gt;$B$3,ISBLANK(Actuals!N48)),"",('Reforecast Q1 2026'!N48-Actuals!N48)/ABS('Reforecast Q1 2026'!N48)),"")</f>
        <v/>
      </c>
      <c r="AX42" s="133" t="n">
        <f aca="false">SUMPRODUCT((Actuals!C48:N48&lt;&gt;"")*('Reforecast Q1 2026'!C48:N48))</f>
        <v>-56891.9</v>
      </c>
      <c r="AY42" s="133" t="n">
        <f aca="false">SUM(Actuals!C48:N48)</f>
        <v>-102138.51</v>
      </c>
      <c r="AZ42" s="134" t="n">
        <f aca="false">AX42-AY42</f>
        <v>45246.61</v>
      </c>
    </row>
    <row r="43" customFormat="false" ht="15" hidden="false" customHeight="true" outlineLevel="0" collapsed="false">
      <c r="A43" s="130" t="s">
        <v>92</v>
      </c>
      <c r="B43" s="131" t="n">
        <f aca="false">'Reforecast Q1 2026'!C49</f>
        <v>-304</v>
      </c>
      <c r="C43" s="131" t="n">
        <f aca="false">IF(OR(1&gt;$B$3,ISBLANK(Actuals!C49)),"",Actuals!C49)</f>
        <v>-1913.91</v>
      </c>
      <c r="D43" s="132" t="n">
        <f aca="false">IF(OR(1&gt;$B$3,ISBLANK(Actuals!C49)),"",'Reforecast Q1 2026'!C49-Actuals!C49)</f>
        <v>1609.91</v>
      </c>
      <c r="E43" s="132" t="n">
        <f aca="false">IFERROR(IF(OR(1&gt;$B$3,ISBLANK(Actuals!C49)),"",('Reforecast Q1 2026'!C49-Actuals!C49)/ABS('Reforecast Q1 2026'!C49)),"")</f>
        <v>5.29575657894737</v>
      </c>
      <c r="F43" s="131" t="n">
        <f aca="false">'Reforecast Q1 2026'!D49</f>
        <v>-644.81</v>
      </c>
      <c r="G43" s="131" t="n">
        <f aca="false">IF(OR(2&gt;$B$3,ISBLANK(Actuals!D49)),"",Actuals!D49)</f>
        <v>-2254.72</v>
      </c>
      <c r="H43" s="132" t="n">
        <f aca="false">IF(OR(2&gt;$B$3,ISBLANK(Actuals!D49)),"",'Reforecast Q1 2026'!D49-Actuals!D49)</f>
        <v>1609.91</v>
      </c>
      <c r="I43" s="132" t="n">
        <f aca="false">IFERROR(IF(OR(2&gt;$B$3,ISBLANK(Actuals!D49)),"",('Reforecast Q1 2026'!D49-Actuals!D49)/ABS('Reforecast Q1 2026'!D49)),"")</f>
        <v>2.49671996402041</v>
      </c>
      <c r="J43" s="131" t="n">
        <f aca="false">'Reforecast Q1 2026'!E49</f>
        <v>-304</v>
      </c>
      <c r="K43" s="131" t="n">
        <f aca="false">IF(OR(3&gt;$B$3,ISBLANK(Actuals!E49)),"",Actuals!E49)</f>
        <v>-1913.91</v>
      </c>
      <c r="L43" s="132" t="n">
        <f aca="false">IF(OR(3&gt;$B$3,ISBLANK(Actuals!E49)),"",'Reforecast Q1 2026'!E49-Actuals!E49)</f>
        <v>1609.91</v>
      </c>
      <c r="M43" s="132" t="n">
        <f aca="false">IFERROR(IF(OR(3&gt;$B$3,ISBLANK(Actuals!E49)),"",('Reforecast Q1 2026'!E49-Actuals!E49)/ABS('Reforecast Q1 2026'!E49)),"")</f>
        <v>5.29575657894737</v>
      </c>
      <c r="N43" s="131" t="n">
        <f aca="false">'Reforecast Q1 2026'!F49</f>
        <v>-417.6</v>
      </c>
      <c r="O43" s="131" t="n">
        <f aca="false">IF(OR(4&gt;$B$3,ISBLANK(Actuals!F49)),"",Actuals!F49)</f>
        <v>-1609.91</v>
      </c>
      <c r="P43" s="132" t="n">
        <f aca="false">IF(OR(4&gt;$B$3,ISBLANK(Actuals!F49)),"",'Reforecast Q1 2026'!F49-Actuals!F49)</f>
        <v>1192.31</v>
      </c>
      <c r="Q43" s="132" t="n">
        <f aca="false">IFERROR(IF(OR(4&gt;$B$3,ISBLANK(Actuals!F49)),"",('Reforecast Q1 2026'!F49-Actuals!F49)/ABS('Reforecast Q1 2026'!F49)),"")</f>
        <v>2.85514846743295</v>
      </c>
      <c r="R43" s="131" t="n">
        <f aca="false">'Reforecast Q1 2026'!G49</f>
        <v>-417.6</v>
      </c>
      <c r="S43" s="131" t="n">
        <f aca="false">IF(OR(5&gt;$B$3,ISBLANK(Actuals!G49)),"",Actuals!G49)</f>
        <v>-2760.86</v>
      </c>
      <c r="T43" s="132" t="n">
        <f aca="false">IF(OR(5&gt;$B$3,ISBLANK(Actuals!G49)),"",'Reforecast Q1 2026'!G49-Actuals!G49)</f>
        <v>2343.26</v>
      </c>
      <c r="U43" s="132" t="n">
        <f aca="false">IFERROR(IF(OR(5&gt;$B$3,ISBLANK(Actuals!G49)),"",('Reforecast Q1 2026'!G49-Actuals!G49)/ABS('Reforecast Q1 2026'!G49)),"")</f>
        <v>5.61125478927203</v>
      </c>
      <c r="V43" s="131" t="n">
        <f aca="false">'Reforecast Q1 2026'!H49</f>
        <v>-417.6</v>
      </c>
      <c r="W43" s="131" t="n">
        <f aca="false">IF(OR(6&gt;$B$3,ISBLANK(Actuals!H49)),"",Actuals!H49)</f>
        <v>0</v>
      </c>
      <c r="X43" s="132" t="n">
        <f aca="false">IF(OR(6&gt;$B$3,ISBLANK(Actuals!H49)),"",'Reforecast Q1 2026'!H49-Actuals!H49)</f>
        <v>-417.6</v>
      </c>
      <c r="Y43" s="132" t="n">
        <f aca="false">IFERROR(IF(OR(6&gt;$B$3,ISBLANK(Actuals!H49)),"",('Reforecast Q1 2026'!H49-Actuals!H49)/ABS('Reforecast Q1 2026'!H49)),"")</f>
        <v>-1</v>
      </c>
      <c r="Z43" s="131" t="n">
        <f aca="false">'Reforecast Q1 2026'!I49</f>
        <v>-417.6</v>
      </c>
      <c r="AA43" s="131" t="n">
        <f aca="false">IF(OR(7&gt;$B$3,ISBLANK(Actuals!I49)),"",Actuals!I49)</f>
        <v>0</v>
      </c>
      <c r="AB43" s="132" t="n">
        <f aca="false">IF(OR(7&gt;$B$3,ISBLANK(Actuals!I49)),"",'Reforecast Q1 2026'!I49-Actuals!I49)</f>
        <v>-417.6</v>
      </c>
      <c r="AC43" s="132" t="n">
        <f aca="false">IFERROR(IF(OR(7&gt;$B$3,ISBLANK(Actuals!I49)),"",('Reforecast Q1 2026'!I49-Actuals!I49)/ABS('Reforecast Q1 2026'!I49)),"")</f>
        <v>-1</v>
      </c>
      <c r="AD43" s="131" t="n">
        <f aca="false">'Reforecast Q1 2026'!J49</f>
        <v>-417.6</v>
      </c>
      <c r="AE43" s="131" t="n">
        <f aca="false">IF(OR(8&gt;$B$3,ISBLANK(Actuals!J49)),"",Actuals!J49)</f>
        <v>-11.02</v>
      </c>
      <c r="AF43" s="132" t="n">
        <f aca="false">IF(OR(8&gt;$B$3,ISBLANK(Actuals!J49)),"",'Reforecast Q1 2026'!J49-Actuals!J49)</f>
        <v>-406.58</v>
      </c>
      <c r="AG43" s="132" t="n">
        <f aca="false">IFERROR(IF(OR(8&gt;$B$3,ISBLANK(Actuals!J49)),"",('Reforecast Q1 2026'!J49-Actuals!J49)/ABS('Reforecast Q1 2026'!J49)),"")</f>
        <v>-0.973611111111111</v>
      </c>
      <c r="AH43" s="131" t="n">
        <f aca="false">'Reforecast Q1 2026'!K49</f>
        <v>-417.6</v>
      </c>
      <c r="AI43" s="131" t="n">
        <f aca="false">IF(OR(9&gt;$B$3,ISBLANK(Actuals!K49)),"",Actuals!K49)</f>
        <v>-41.55</v>
      </c>
      <c r="AJ43" s="132" t="n">
        <f aca="false">IF(OR(9&gt;$B$3,ISBLANK(Actuals!K49)),"",'Reforecast Q1 2026'!K49-Actuals!K49)</f>
        <v>-376.05</v>
      </c>
      <c r="AK43" s="132" t="n">
        <f aca="false">IFERROR(IF(OR(9&gt;$B$3,ISBLANK(Actuals!K49)),"",('Reforecast Q1 2026'!K49-Actuals!K49)/ABS('Reforecast Q1 2026'!K49)),"")</f>
        <v>-0.900502873563218</v>
      </c>
      <c r="AL43" s="131" t="n">
        <f aca="false">'Reforecast Q1 2026'!L49</f>
        <v>-417.6</v>
      </c>
      <c r="AM43" s="131" t="str">
        <f aca="false">IF(OR(10&gt;$B$3,ISBLANK(Actuals!L49)),"",Actuals!L49)</f>
        <v/>
      </c>
      <c r="AN43" s="132" t="str">
        <f aca="false">IF(OR(10&gt;$B$3,ISBLANK(Actuals!L49)),"",'Reforecast Q1 2026'!L49-Actuals!L49)</f>
        <v/>
      </c>
      <c r="AO43" s="132" t="str">
        <f aca="false">IFERROR(IF(OR(10&gt;$B$3,ISBLANK(Actuals!L49)),"",('Reforecast Q1 2026'!L49-Actuals!L49)/ABS('Reforecast Q1 2026'!L49)),"")</f>
        <v/>
      </c>
      <c r="AP43" s="131" t="n">
        <f aca="false">'Reforecast Q1 2026'!M49</f>
        <v>-417.6</v>
      </c>
      <c r="AQ43" s="131" t="str">
        <f aca="false">IF(OR(11&gt;$B$3,ISBLANK(Actuals!M49)),"",Actuals!M49)</f>
        <v/>
      </c>
      <c r="AR43" s="132" t="str">
        <f aca="false">IF(OR(11&gt;$B$3,ISBLANK(Actuals!M49)),"",'Reforecast Q1 2026'!M49-Actuals!M49)</f>
        <v/>
      </c>
      <c r="AS43" s="132" t="str">
        <f aca="false">IFERROR(IF(OR(11&gt;$B$3,ISBLANK(Actuals!M49)),"",('Reforecast Q1 2026'!M49-Actuals!M49)/ABS('Reforecast Q1 2026'!M49)),"")</f>
        <v/>
      </c>
      <c r="AT43" s="131" t="n">
        <f aca="false">'Reforecast Q1 2026'!N49</f>
        <v>-417.6</v>
      </c>
      <c r="AU43" s="131" t="str">
        <f aca="false">IF(OR(12&gt;$B$3,ISBLANK(Actuals!N49)),"",Actuals!N49)</f>
        <v/>
      </c>
      <c r="AV43" s="132" t="str">
        <f aca="false">IF(OR(12&gt;$B$3,ISBLANK(Actuals!N49)),"",'Reforecast Q1 2026'!N49-Actuals!N49)</f>
        <v/>
      </c>
      <c r="AW43" s="132" t="str">
        <f aca="false">IFERROR(IF(OR(12&gt;$B$3,ISBLANK(Actuals!N49)),"",('Reforecast Q1 2026'!N49-Actuals!N49)/ABS('Reforecast Q1 2026'!N49)),"")</f>
        <v/>
      </c>
      <c r="AX43" s="133" t="n">
        <f aca="false">SUMPRODUCT((Actuals!C49:N49&lt;&gt;"")*('Reforecast Q1 2026'!C49:N49))</f>
        <v>-3758.41</v>
      </c>
      <c r="AY43" s="133" t="n">
        <f aca="false">SUM(Actuals!C49:N49)</f>
        <v>-10505.88</v>
      </c>
      <c r="AZ43" s="134" t="n">
        <f aca="false">AX43-AY43</f>
        <v>6747.47</v>
      </c>
    </row>
    <row r="44" customFormat="false" ht="15" hidden="false" customHeight="true" outlineLevel="0" collapsed="false">
      <c r="A44" s="130" t="s">
        <v>93</v>
      </c>
      <c r="B44" s="131" t="n">
        <f aca="false">'Reforecast Q1 2026'!C50</f>
        <v>0</v>
      </c>
      <c r="C44" s="131" t="n">
        <f aca="false">IF(OR(1&gt;$B$3,ISBLANK(Actuals!C50)),"",Actuals!C50)</f>
        <v>0</v>
      </c>
      <c r="D44" s="132" t="n">
        <f aca="false">IF(OR(1&gt;$B$3,ISBLANK(Actuals!C50)),"",'Reforecast Q1 2026'!C50-Actuals!C50)</f>
        <v>0</v>
      </c>
      <c r="E44" s="132" t="str">
        <f aca="false">IFERROR(IF(OR(1&gt;$B$3,ISBLANK(Actuals!C50)),"",('Reforecast Q1 2026'!C50-Actuals!C50)/ABS('Reforecast Q1 2026'!C50)),"")</f>
        <v/>
      </c>
      <c r="F44" s="131" t="n">
        <f aca="false">'Reforecast Q1 2026'!D50</f>
        <v>-75</v>
      </c>
      <c r="G44" s="131" t="n">
        <f aca="false">IF(OR(2&gt;$B$3,ISBLANK(Actuals!D50)),"",Actuals!D50)</f>
        <v>-75</v>
      </c>
      <c r="H44" s="132" t="n">
        <f aca="false">IF(OR(2&gt;$B$3,ISBLANK(Actuals!D50)),"",'Reforecast Q1 2026'!D50-Actuals!D50)</f>
        <v>0</v>
      </c>
      <c r="I44" s="132" t="n">
        <f aca="false">IFERROR(IF(OR(2&gt;$B$3,ISBLANK(Actuals!D50)),"",('Reforecast Q1 2026'!D50-Actuals!D50)/ABS('Reforecast Q1 2026'!D50)),"")</f>
        <v>0</v>
      </c>
      <c r="J44" s="131" t="n">
        <f aca="false">'Reforecast Q1 2026'!E50</f>
        <v>-5</v>
      </c>
      <c r="K44" s="131" t="n">
        <f aca="false">IF(OR(3&gt;$B$3,ISBLANK(Actuals!E50)),"",Actuals!E50)</f>
        <v>-5</v>
      </c>
      <c r="L44" s="132" t="n">
        <f aca="false">IF(OR(3&gt;$B$3,ISBLANK(Actuals!E50)),"",'Reforecast Q1 2026'!E50-Actuals!E50)</f>
        <v>0</v>
      </c>
      <c r="M44" s="132" t="n">
        <f aca="false">IFERROR(IF(OR(3&gt;$B$3,ISBLANK(Actuals!E50)),"",('Reforecast Q1 2026'!E50-Actuals!E50)/ABS('Reforecast Q1 2026'!E50)),"")</f>
        <v>0</v>
      </c>
      <c r="N44" s="131" t="n">
        <f aca="false">'Reforecast Q1 2026'!F50</f>
        <v>-26.67</v>
      </c>
      <c r="O44" s="131" t="n">
        <f aca="false">IF(OR(4&gt;$B$3,ISBLANK(Actuals!F50)),"",Actuals!F50)</f>
        <v>0</v>
      </c>
      <c r="P44" s="132" t="n">
        <f aca="false">IF(OR(4&gt;$B$3,ISBLANK(Actuals!F50)),"",'Reforecast Q1 2026'!F50-Actuals!F50)</f>
        <v>-26.67</v>
      </c>
      <c r="Q44" s="132" t="n">
        <f aca="false">IFERROR(IF(OR(4&gt;$B$3,ISBLANK(Actuals!F50)),"",('Reforecast Q1 2026'!F50-Actuals!F50)/ABS('Reforecast Q1 2026'!F50)),"")</f>
        <v>-1</v>
      </c>
      <c r="R44" s="131" t="n">
        <f aca="false">'Reforecast Q1 2026'!G50</f>
        <v>-26.67</v>
      </c>
      <c r="S44" s="131" t="n">
        <f aca="false">IF(OR(5&gt;$B$3,ISBLANK(Actuals!G50)),"",Actuals!G50)</f>
        <v>0</v>
      </c>
      <c r="T44" s="132" t="n">
        <f aca="false">IF(OR(5&gt;$B$3,ISBLANK(Actuals!G50)),"",'Reforecast Q1 2026'!G50-Actuals!G50)</f>
        <v>-26.67</v>
      </c>
      <c r="U44" s="132" t="n">
        <f aca="false">IFERROR(IF(OR(5&gt;$B$3,ISBLANK(Actuals!G50)),"",('Reforecast Q1 2026'!G50-Actuals!G50)/ABS('Reforecast Q1 2026'!G50)),"")</f>
        <v>-1</v>
      </c>
      <c r="V44" s="131" t="n">
        <f aca="false">'Reforecast Q1 2026'!H50</f>
        <v>-26.67</v>
      </c>
      <c r="W44" s="131" t="n">
        <f aca="false">IF(OR(6&gt;$B$3,ISBLANK(Actuals!H50)),"",Actuals!H50)</f>
        <v>0</v>
      </c>
      <c r="X44" s="132" t="n">
        <f aca="false">IF(OR(6&gt;$B$3,ISBLANK(Actuals!H50)),"",'Reforecast Q1 2026'!H50-Actuals!H50)</f>
        <v>-26.67</v>
      </c>
      <c r="Y44" s="132" t="n">
        <f aca="false">IFERROR(IF(OR(6&gt;$B$3,ISBLANK(Actuals!H50)),"",('Reforecast Q1 2026'!H50-Actuals!H50)/ABS('Reforecast Q1 2026'!H50)),"")</f>
        <v>-1</v>
      </c>
      <c r="Z44" s="131" t="n">
        <f aca="false">'Reforecast Q1 2026'!I50</f>
        <v>-26.67</v>
      </c>
      <c r="AA44" s="131" t="n">
        <f aca="false">IF(OR(7&gt;$B$3,ISBLANK(Actuals!I50)),"",Actuals!I50)</f>
        <v>-5</v>
      </c>
      <c r="AB44" s="132" t="n">
        <f aca="false">IF(OR(7&gt;$B$3,ISBLANK(Actuals!I50)),"",'Reforecast Q1 2026'!I50-Actuals!I50)</f>
        <v>-21.67</v>
      </c>
      <c r="AC44" s="132" t="n">
        <f aca="false">IFERROR(IF(OR(7&gt;$B$3,ISBLANK(Actuals!I50)),"",('Reforecast Q1 2026'!I50-Actuals!I50)/ABS('Reforecast Q1 2026'!I50)),"")</f>
        <v>-0.812523434570679</v>
      </c>
      <c r="AD44" s="131" t="n">
        <f aca="false">'Reforecast Q1 2026'!J50</f>
        <v>-26.67</v>
      </c>
      <c r="AE44" s="131" t="n">
        <f aca="false">IF(OR(8&gt;$B$3,ISBLANK(Actuals!J50)),"",Actuals!J50)</f>
        <v>-50</v>
      </c>
      <c r="AF44" s="132" t="n">
        <f aca="false">IF(OR(8&gt;$B$3,ISBLANK(Actuals!J50)),"",'Reforecast Q1 2026'!J50-Actuals!J50)</f>
        <v>23.33</v>
      </c>
      <c r="AG44" s="132" t="n">
        <f aca="false">IFERROR(IF(OR(8&gt;$B$3,ISBLANK(Actuals!J50)),"",('Reforecast Q1 2026'!J50-Actuals!J50)/ABS('Reforecast Q1 2026'!J50)),"")</f>
        <v>0.874765654293213</v>
      </c>
      <c r="AH44" s="131" t="n">
        <f aca="false">'Reforecast Q1 2026'!K50</f>
        <v>-26.67</v>
      </c>
      <c r="AI44" s="131" t="n">
        <f aca="false">IF(OR(9&gt;$B$3,ISBLANK(Actuals!K50)),"",Actuals!K50)</f>
        <v>-75</v>
      </c>
      <c r="AJ44" s="132" t="n">
        <f aca="false">IF(OR(9&gt;$B$3,ISBLANK(Actuals!K50)),"",'Reforecast Q1 2026'!K50-Actuals!K50)</f>
        <v>48.33</v>
      </c>
      <c r="AK44" s="132" t="n">
        <f aca="false">IFERROR(IF(OR(9&gt;$B$3,ISBLANK(Actuals!K50)),"",('Reforecast Q1 2026'!K50-Actuals!K50)/ABS('Reforecast Q1 2026'!K50)),"")</f>
        <v>1.81214848143982</v>
      </c>
      <c r="AL44" s="131" t="n">
        <f aca="false">'Reforecast Q1 2026'!L50</f>
        <v>-26.67</v>
      </c>
      <c r="AM44" s="131" t="str">
        <f aca="false">IF(OR(10&gt;$B$3,ISBLANK(Actuals!L50)),"",Actuals!L50)</f>
        <v/>
      </c>
      <c r="AN44" s="132" t="str">
        <f aca="false">IF(OR(10&gt;$B$3,ISBLANK(Actuals!L50)),"",'Reforecast Q1 2026'!L50-Actuals!L50)</f>
        <v/>
      </c>
      <c r="AO44" s="132" t="str">
        <f aca="false">IFERROR(IF(OR(10&gt;$B$3,ISBLANK(Actuals!L50)),"",('Reforecast Q1 2026'!L50-Actuals!L50)/ABS('Reforecast Q1 2026'!L50)),"")</f>
        <v/>
      </c>
      <c r="AP44" s="131" t="n">
        <f aca="false">'Reforecast Q1 2026'!M50</f>
        <v>-26.67</v>
      </c>
      <c r="AQ44" s="131" t="str">
        <f aca="false">IF(OR(11&gt;$B$3,ISBLANK(Actuals!M50)),"",Actuals!M50)</f>
        <v/>
      </c>
      <c r="AR44" s="132" t="str">
        <f aca="false">IF(OR(11&gt;$B$3,ISBLANK(Actuals!M50)),"",'Reforecast Q1 2026'!M50-Actuals!M50)</f>
        <v/>
      </c>
      <c r="AS44" s="132" t="str">
        <f aca="false">IFERROR(IF(OR(11&gt;$B$3,ISBLANK(Actuals!M50)),"",('Reforecast Q1 2026'!M50-Actuals!M50)/ABS('Reforecast Q1 2026'!M50)),"")</f>
        <v/>
      </c>
      <c r="AT44" s="131" t="n">
        <f aca="false">'Reforecast Q1 2026'!N50</f>
        <v>-26.67</v>
      </c>
      <c r="AU44" s="131" t="str">
        <f aca="false">IF(OR(12&gt;$B$3,ISBLANK(Actuals!N50)),"",Actuals!N50)</f>
        <v/>
      </c>
      <c r="AV44" s="132" t="str">
        <f aca="false">IF(OR(12&gt;$B$3,ISBLANK(Actuals!N50)),"",'Reforecast Q1 2026'!N50-Actuals!N50)</f>
        <v/>
      </c>
      <c r="AW44" s="132" t="str">
        <f aca="false">IFERROR(IF(OR(12&gt;$B$3,ISBLANK(Actuals!N50)),"",('Reforecast Q1 2026'!N50-Actuals!N50)/ABS('Reforecast Q1 2026'!N50)),"")</f>
        <v/>
      </c>
      <c r="AX44" s="133" t="n">
        <f aca="false">SUMPRODUCT((Actuals!C50:N50&lt;&gt;"")*('Reforecast Q1 2026'!C50:N50))</f>
        <v>-240.02</v>
      </c>
      <c r="AY44" s="133" t="n">
        <f aca="false">SUM(Actuals!C50:N50)</f>
        <v>-210</v>
      </c>
      <c r="AZ44" s="134" t="n">
        <f aca="false">AX44-AY44</f>
        <v>-30.02</v>
      </c>
    </row>
    <row r="45" customFormat="false" ht="15" hidden="false" customHeight="true" outlineLevel="0" collapsed="false">
      <c r="A45" s="130" t="s">
        <v>94</v>
      </c>
      <c r="B45" s="131" t="n">
        <f aca="false">'Reforecast Q1 2026'!C51</f>
        <v>0</v>
      </c>
      <c r="C45" s="131" t="n">
        <f aca="false">IF(OR(1&gt;$B$3,ISBLANK(Actuals!C51)),"",Actuals!C51)</f>
        <v>0</v>
      </c>
      <c r="D45" s="132" t="n">
        <f aca="false">IF(OR(1&gt;$B$3,ISBLANK(Actuals!C51)),"",'Reforecast Q1 2026'!C51-Actuals!C51)</f>
        <v>0</v>
      </c>
      <c r="E45" s="132" t="str">
        <f aca="false">IFERROR(IF(OR(1&gt;$B$3,ISBLANK(Actuals!C51)),"",('Reforecast Q1 2026'!C51-Actuals!C51)/ABS('Reforecast Q1 2026'!C51)),"")</f>
        <v/>
      </c>
      <c r="F45" s="131" t="n">
        <f aca="false">'Reforecast Q1 2026'!D51</f>
        <v>-63</v>
      </c>
      <c r="G45" s="131" t="n">
        <f aca="false">IF(OR(2&gt;$B$3,ISBLANK(Actuals!D51)),"",Actuals!D51)</f>
        <v>-63</v>
      </c>
      <c r="H45" s="132" t="n">
        <f aca="false">IF(OR(2&gt;$B$3,ISBLANK(Actuals!D51)),"",'Reforecast Q1 2026'!D51-Actuals!D51)</f>
        <v>0</v>
      </c>
      <c r="I45" s="132" t="n">
        <f aca="false">IFERROR(IF(OR(2&gt;$B$3,ISBLANK(Actuals!D51)),"",('Reforecast Q1 2026'!D51-Actuals!D51)/ABS('Reforecast Q1 2026'!D51)),"")</f>
        <v>0</v>
      </c>
      <c r="J45" s="131" t="n">
        <f aca="false">'Reforecast Q1 2026'!E51</f>
        <v>0</v>
      </c>
      <c r="K45" s="131" t="n">
        <f aca="false">IF(OR(3&gt;$B$3,ISBLANK(Actuals!E51)),"",Actuals!E51)</f>
        <v>0</v>
      </c>
      <c r="L45" s="132" t="n">
        <f aca="false">IF(OR(3&gt;$B$3,ISBLANK(Actuals!E51)),"",'Reforecast Q1 2026'!E51-Actuals!E51)</f>
        <v>0</v>
      </c>
      <c r="M45" s="132" t="str">
        <f aca="false">IFERROR(IF(OR(3&gt;$B$3,ISBLANK(Actuals!E51)),"",('Reforecast Q1 2026'!E51-Actuals!E51)/ABS('Reforecast Q1 2026'!E51)),"")</f>
        <v/>
      </c>
      <c r="N45" s="131" t="n">
        <f aca="false">'Reforecast Q1 2026'!F51</f>
        <v>-21</v>
      </c>
      <c r="O45" s="131" t="n">
        <f aca="false">IF(OR(4&gt;$B$3,ISBLANK(Actuals!F51)),"",Actuals!F51)</f>
        <v>0</v>
      </c>
      <c r="P45" s="132" t="n">
        <f aca="false">IF(OR(4&gt;$B$3,ISBLANK(Actuals!F51)),"",'Reforecast Q1 2026'!F51-Actuals!F51)</f>
        <v>-21</v>
      </c>
      <c r="Q45" s="132" t="n">
        <f aca="false">IFERROR(IF(OR(4&gt;$B$3,ISBLANK(Actuals!F51)),"",('Reforecast Q1 2026'!F51-Actuals!F51)/ABS('Reforecast Q1 2026'!F51)),"")</f>
        <v>-1</v>
      </c>
      <c r="R45" s="131" t="n">
        <f aca="false">'Reforecast Q1 2026'!G51</f>
        <v>-21</v>
      </c>
      <c r="S45" s="131" t="n">
        <f aca="false">IF(OR(5&gt;$B$3,ISBLANK(Actuals!G51)),"",Actuals!G51)</f>
        <v>0</v>
      </c>
      <c r="T45" s="132" t="n">
        <f aca="false">IF(OR(5&gt;$B$3,ISBLANK(Actuals!G51)),"",'Reforecast Q1 2026'!G51-Actuals!G51)</f>
        <v>-21</v>
      </c>
      <c r="U45" s="132" t="n">
        <f aca="false">IFERROR(IF(OR(5&gt;$B$3,ISBLANK(Actuals!G51)),"",('Reforecast Q1 2026'!G51-Actuals!G51)/ABS('Reforecast Q1 2026'!G51)),"")</f>
        <v>-1</v>
      </c>
      <c r="V45" s="131" t="n">
        <f aca="false">'Reforecast Q1 2026'!H51</f>
        <v>-21</v>
      </c>
      <c r="W45" s="131" t="n">
        <f aca="false">IF(OR(6&gt;$B$3,ISBLANK(Actuals!H51)),"",Actuals!H51)</f>
        <v>0</v>
      </c>
      <c r="X45" s="132" t="n">
        <f aca="false">IF(OR(6&gt;$B$3,ISBLANK(Actuals!H51)),"",'Reforecast Q1 2026'!H51-Actuals!H51)</f>
        <v>-21</v>
      </c>
      <c r="Y45" s="132" t="n">
        <f aca="false">IFERROR(IF(OR(6&gt;$B$3,ISBLANK(Actuals!H51)),"",('Reforecast Q1 2026'!H51-Actuals!H51)/ABS('Reforecast Q1 2026'!H51)),"")</f>
        <v>-1</v>
      </c>
      <c r="Z45" s="131" t="n">
        <f aca="false">'Reforecast Q1 2026'!I51</f>
        <v>-21</v>
      </c>
      <c r="AA45" s="131" t="n">
        <f aca="false">IF(OR(7&gt;$B$3,ISBLANK(Actuals!I51)),"",Actuals!I51)</f>
        <v>0</v>
      </c>
      <c r="AB45" s="132" t="n">
        <f aca="false">IF(OR(7&gt;$B$3,ISBLANK(Actuals!I51)),"",'Reforecast Q1 2026'!I51-Actuals!I51)</f>
        <v>-21</v>
      </c>
      <c r="AC45" s="132" t="n">
        <f aca="false">IFERROR(IF(OR(7&gt;$B$3,ISBLANK(Actuals!I51)),"",('Reforecast Q1 2026'!I51-Actuals!I51)/ABS('Reforecast Q1 2026'!I51)),"")</f>
        <v>-1</v>
      </c>
      <c r="AD45" s="131" t="n">
        <f aca="false">'Reforecast Q1 2026'!J51</f>
        <v>-21</v>
      </c>
      <c r="AE45" s="131" t="n">
        <f aca="false">IF(OR(8&gt;$B$3,ISBLANK(Actuals!J51)),"",Actuals!J51)</f>
        <v>0</v>
      </c>
      <c r="AF45" s="132" t="n">
        <f aca="false">IF(OR(8&gt;$B$3,ISBLANK(Actuals!J51)),"",'Reforecast Q1 2026'!J51-Actuals!J51)</f>
        <v>-21</v>
      </c>
      <c r="AG45" s="132" t="n">
        <f aca="false">IFERROR(IF(OR(8&gt;$B$3,ISBLANK(Actuals!J51)),"",('Reforecast Q1 2026'!J51-Actuals!J51)/ABS('Reforecast Q1 2026'!J51)),"")</f>
        <v>-1</v>
      </c>
      <c r="AH45" s="131" t="n">
        <f aca="false">'Reforecast Q1 2026'!K51</f>
        <v>-21</v>
      </c>
      <c r="AI45" s="131" t="n">
        <f aca="false">IF(OR(9&gt;$B$3,ISBLANK(Actuals!K51)),"",Actuals!K51)</f>
        <v>0</v>
      </c>
      <c r="AJ45" s="132" t="n">
        <f aca="false">IF(OR(9&gt;$B$3,ISBLANK(Actuals!K51)),"",'Reforecast Q1 2026'!K51-Actuals!K51)</f>
        <v>-21</v>
      </c>
      <c r="AK45" s="132" t="n">
        <f aca="false">IFERROR(IF(OR(9&gt;$B$3,ISBLANK(Actuals!K51)),"",('Reforecast Q1 2026'!K51-Actuals!K51)/ABS('Reforecast Q1 2026'!K51)),"")</f>
        <v>-1</v>
      </c>
      <c r="AL45" s="131" t="n">
        <f aca="false">'Reforecast Q1 2026'!L51</f>
        <v>-21</v>
      </c>
      <c r="AM45" s="131" t="str">
        <f aca="false">IF(OR(10&gt;$B$3,ISBLANK(Actuals!L51)),"",Actuals!L51)</f>
        <v/>
      </c>
      <c r="AN45" s="132" t="str">
        <f aca="false">IF(OR(10&gt;$B$3,ISBLANK(Actuals!L51)),"",'Reforecast Q1 2026'!L51-Actuals!L51)</f>
        <v/>
      </c>
      <c r="AO45" s="132" t="str">
        <f aca="false">IFERROR(IF(OR(10&gt;$B$3,ISBLANK(Actuals!L51)),"",('Reforecast Q1 2026'!L51-Actuals!L51)/ABS('Reforecast Q1 2026'!L51)),"")</f>
        <v/>
      </c>
      <c r="AP45" s="131" t="n">
        <f aca="false">'Reforecast Q1 2026'!M51</f>
        <v>-21</v>
      </c>
      <c r="AQ45" s="131" t="str">
        <f aca="false">IF(OR(11&gt;$B$3,ISBLANK(Actuals!M51)),"",Actuals!M51)</f>
        <v/>
      </c>
      <c r="AR45" s="132" t="str">
        <f aca="false">IF(OR(11&gt;$B$3,ISBLANK(Actuals!M51)),"",'Reforecast Q1 2026'!M51-Actuals!M51)</f>
        <v/>
      </c>
      <c r="AS45" s="132" t="str">
        <f aca="false">IFERROR(IF(OR(11&gt;$B$3,ISBLANK(Actuals!M51)),"",('Reforecast Q1 2026'!M51-Actuals!M51)/ABS('Reforecast Q1 2026'!M51)),"")</f>
        <v/>
      </c>
      <c r="AT45" s="131" t="n">
        <f aca="false">'Reforecast Q1 2026'!N51</f>
        <v>-21</v>
      </c>
      <c r="AU45" s="131" t="str">
        <f aca="false">IF(OR(12&gt;$B$3,ISBLANK(Actuals!N51)),"",Actuals!N51)</f>
        <v/>
      </c>
      <c r="AV45" s="132" t="str">
        <f aca="false">IF(OR(12&gt;$B$3,ISBLANK(Actuals!N51)),"",'Reforecast Q1 2026'!N51-Actuals!N51)</f>
        <v/>
      </c>
      <c r="AW45" s="132" t="str">
        <f aca="false">IFERROR(IF(OR(12&gt;$B$3,ISBLANK(Actuals!N51)),"",('Reforecast Q1 2026'!N51-Actuals!N51)/ABS('Reforecast Q1 2026'!N51)),"")</f>
        <v/>
      </c>
      <c r="AX45" s="133" t="n">
        <f aca="false">SUMPRODUCT((Actuals!C51:N51&lt;&gt;"")*('Reforecast Q1 2026'!C51:N51))</f>
        <v>-189</v>
      </c>
      <c r="AY45" s="133" t="n">
        <f aca="false">SUM(Actuals!C51:N51)</f>
        <v>-63</v>
      </c>
      <c r="AZ45" s="134" t="n">
        <f aca="false">AX45-AY45</f>
        <v>-126</v>
      </c>
    </row>
    <row r="46" customFormat="false" ht="15" hidden="false" customHeight="true" outlineLevel="0" collapsed="false">
      <c r="A46" s="130" t="s">
        <v>516</v>
      </c>
      <c r="B46" s="131" t="n">
        <f aca="false">'Reforecast Q1 2026'!C52</f>
        <v>0</v>
      </c>
      <c r="C46" s="131" t="str">
        <f aca="false">IF(OR(1&gt;$B$3,ISBLANK(Actuals!C52)),"",Actuals!C52)</f>
        <v/>
      </c>
      <c r="D46" s="132" t="str">
        <f aca="false">IF(OR(1&gt;$B$3,ISBLANK(Actuals!C52)),"",'Reforecast Q1 2026'!C52-Actuals!C52)</f>
        <v/>
      </c>
      <c r="E46" s="132" t="str">
        <f aca="false">IFERROR(IF(OR(1&gt;$B$3,ISBLANK(Actuals!C52)),"",('Reforecast Q1 2026'!C52-Actuals!C52)/ABS('Reforecast Q1 2026'!C52)),"")</f>
        <v/>
      </c>
      <c r="F46" s="131" t="n">
        <f aca="false">'Reforecast Q1 2026'!D52</f>
        <v>0</v>
      </c>
      <c r="G46" s="131" t="str">
        <f aca="false">IF(OR(2&gt;$B$3,ISBLANK(Actuals!D52)),"",Actuals!D52)</f>
        <v/>
      </c>
      <c r="H46" s="132" t="str">
        <f aca="false">IF(OR(2&gt;$B$3,ISBLANK(Actuals!D52)),"",'Reforecast Q1 2026'!D52-Actuals!D52)</f>
        <v/>
      </c>
      <c r="I46" s="132" t="str">
        <f aca="false">IFERROR(IF(OR(2&gt;$B$3,ISBLANK(Actuals!D52)),"",('Reforecast Q1 2026'!D52-Actuals!D52)/ABS('Reforecast Q1 2026'!D52)),"")</f>
        <v/>
      </c>
      <c r="J46" s="131" t="n">
        <f aca="false">'Reforecast Q1 2026'!E52</f>
        <v>0</v>
      </c>
      <c r="K46" s="131" t="str">
        <f aca="false">IF(OR(3&gt;$B$3,ISBLANK(Actuals!E52)),"",Actuals!E52)</f>
        <v/>
      </c>
      <c r="L46" s="132" t="str">
        <f aca="false">IF(OR(3&gt;$B$3,ISBLANK(Actuals!E52)),"",'Reforecast Q1 2026'!E52-Actuals!E52)</f>
        <v/>
      </c>
      <c r="M46" s="132" t="str">
        <f aca="false">IFERROR(IF(OR(3&gt;$B$3,ISBLANK(Actuals!E52)),"",('Reforecast Q1 2026'!E52-Actuals!E52)/ABS('Reforecast Q1 2026'!E52)),"")</f>
        <v/>
      </c>
      <c r="N46" s="131" t="n">
        <f aca="false">'Reforecast Q1 2026'!F52</f>
        <v>0</v>
      </c>
      <c r="O46" s="131" t="str">
        <f aca="false">IF(OR(4&gt;$B$3,ISBLANK(Actuals!F52)),"",Actuals!F52)</f>
        <v/>
      </c>
      <c r="P46" s="132" t="str">
        <f aca="false">IF(OR(4&gt;$B$3,ISBLANK(Actuals!F52)),"",'Reforecast Q1 2026'!F52-Actuals!F52)</f>
        <v/>
      </c>
      <c r="Q46" s="132" t="str">
        <f aca="false">IFERROR(IF(OR(4&gt;$B$3,ISBLANK(Actuals!F52)),"",('Reforecast Q1 2026'!F52-Actuals!F52)/ABS('Reforecast Q1 2026'!F52)),"")</f>
        <v/>
      </c>
      <c r="R46" s="131" t="n">
        <f aca="false">'Reforecast Q1 2026'!G52</f>
        <v>0</v>
      </c>
      <c r="S46" s="131" t="str">
        <f aca="false">IF(OR(5&gt;$B$3,ISBLANK(Actuals!G52)),"",Actuals!G52)</f>
        <v/>
      </c>
      <c r="T46" s="132" t="str">
        <f aca="false">IF(OR(5&gt;$B$3,ISBLANK(Actuals!G52)),"",'Reforecast Q1 2026'!G52-Actuals!G52)</f>
        <v/>
      </c>
      <c r="U46" s="132" t="str">
        <f aca="false">IFERROR(IF(OR(5&gt;$B$3,ISBLANK(Actuals!G52)),"",('Reforecast Q1 2026'!G52-Actuals!G52)/ABS('Reforecast Q1 2026'!G52)),"")</f>
        <v/>
      </c>
      <c r="V46" s="131" t="n">
        <f aca="false">'Reforecast Q1 2026'!H52</f>
        <v>0</v>
      </c>
      <c r="W46" s="131" t="str">
        <f aca="false">IF(OR(6&gt;$B$3,ISBLANK(Actuals!H52)),"",Actuals!H52)</f>
        <v/>
      </c>
      <c r="X46" s="132" t="str">
        <f aca="false">IF(OR(6&gt;$B$3,ISBLANK(Actuals!H52)),"",'Reforecast Q1 2026'!H52-Actuals!H52)</f>
        <v/>
      </c>
      <c r="Y46" s="132" t="str">
        <f aca="false">IFERROR(IF(OR(6&gt;$B$3,ISBLANK(Actuals!H52)),"",('Reforecast Q1 2026'!H52-Actuals!H52)/ABS('Reforecast Q1 2026'!H52)),"")</f>
        <v/>
      </c>
      <c r="Z46" s="131" t="n">
        <f aca="false">'Reforecast Q1 2026'!I52</f>
        <v>0</v>
      </c>
      <c r="AA46" s="131" t="str">
        <f aca="false">IF(OR(7&gt;$B$3,ISBLANK(Actuals!I52)),"",Actuals!I52)</f>
        <v/>
      </c>
      <c r="AB46" s="132" t="str">
        <f aca="false">IF(OR(7&gt;$B$3,ISBLANK(Actuals!I52)),"",'Reforecast Q1 2026'!I52-Actuals!I52)</f>
        <v/>
      </c>
      <c r="AC46" s="132" t="str">
        <f aca="false">IFERROR(IF(OR(7&gt;$B$3,ISBLANK(Actuals!I52)),"",('Reforecast Q1 2026'!I52-Actuals!I52)/ABS('Reforecast Q1 2026'!I52)),"")</f>
        <v/>
      </c>
      <c r="AD46" s="131" t="n">
        <f aca="false">'Reforecast Q1 2026'!J52</f>
        <v>0</v>
      </c>
      <c r="AE46" s="131" t="str">
        <f aca="false">IF(OR(8&gt;$B$3,ISBLANK(Actuals!J52)),"",Actuals!J52)</f>
        <v/>
      </c>
      <c r="AF46" s="132" t="str">
        <f aca="false">IF(OR(8&gt;$B$3,ISBLANK(Actuals!J52)),"",'Reforecast Q1 2026'!J52-Actuals!J52)</f>
        <v/>
      </c>
      <c r="AG46" s="132" t="str">
        <f aca="false">IFERROR(IF(OR(8&gt;$B$3,ISBLANK(Actuals!J52)),"",('Reforecast Q1 2026'!J52-Actuals!J52)/ABS('Reforecast Q1 2026'!J52)),"")</f>
        <v/>
      </c>
      <c r="AH46" s="131" t="n">
        <f aca="false">'Reforecast Q1 2026'!K52</f>
        <v>0</v>
      </c>
      <c r="AI46" s="131" t="str">
        <f aca="false">IF(OR(9&gt;$B$3,ISBLANK(Actuals!K52)),"",Actuals!K52)</f>
        <v/>
      </c>
      <c r="AJ46" s="132" t="str">
        <f aca="false">IF(OR(9&gt;$B$3,ISBLANK(Actuals!K52)),"",'Reforecast Q1 2026'!K52-Actuals!K52)</f>
        <v/>
      </c>
      <c r="AK46" s="132" t="str">
        <f aca="false">IFERROR(IF(OR(9&gt;$B$3,ISBLANK(Actuals!K52)),"",('Reforecast Q1 2026'!K52-Actuals!K52)/ABS('Reforecast Q1 2026'!K52)),"")</f>
        <v/>
      </c>
      <c r="AL46" s="131" t="n">
        <f aca="false">'Reforecast Q1 2026'!L52</f>
        <v>0</v>
      </c>
      <c r="AM46" s="131" t="str">
        <f aca="false">IF(OR(10&gt;$B$3,ISBLANK(Actuals!L52)),"",Actuals!L52)</f>
        <v/>
      </c>
      <c r="AN46" s="132" t="str">
        <f aca="false">IF(OR(10&gt;$B$3,ISBLANK(Actuals!L52)),"",'Reforecast Q1 2026'!L52-Actuals!L52)</f>
        <v/>
      </c>
      <c r="AO46" s="132" t="str">
        <f aca="false">IFERROR(IF(OR(10&gt;$B$3,ISBLANK(Actuals!L52)),"",('Reforecast Q1 2026'!L52-Actuals!L52)/ABS('Reforecast Q1 2026'!L52)),"")</f>
        <v/>
      </c>
      <c r="AP46" s="131" t="n">
        <f aca="false">'Reforecast Q1 2026'!M52</f>
        <v>0</v>
      </c>
      <c r="AQ46" s="131" t="str">
        <f aca="false">IF(OR(11&gt;$B$3,ISBLANK(Actuals!M52)),"",Actuals!M52)</f>
        <v/>
      </c>
      <c r="AR46" s="132" t="str">
        <f aca="false">IF(OR(11&gt;$B$3,ISBLANK(Actuals!M52)),"",'Reforecast Q1 2026'!M52-Actuals!M52)</f>
        <v/>
      </c>
      <c r="AS46" s="132" t="str">
        <f aca="false">IFERROR(IF(OR(11&gt;$B$3,ISBLANK(Actuals!M52)),"",('Reforecast Q1 2026'!M52-Actuals!M52)/ABS('Reforecast Q1 2026'!M52)),"")</f>
        <v/>
      </c>
      <c r="AT46" s="131" t="n">
        <f aca="false">'Reforecast Q1 2026'!N52</f>
        <v>0</v>
      </c>
      <c r="AU46" s="131" t="str">
        <f aca="false">IF(OR(12&gt;$B$3,ISBLANK(Actuals!N52)),"",Actuals!N52)</f>
        <v/>
      </c>
      <c r="AV46" s="132" t="str">
        <f aca="false">IF(OR(12&gt;$B$3,ISBLANK(Actuals!N52)),"",'Reforecast Q1 2026'!N52-Actuals!N52)</f>
        <v/>
      </c>
      <c r="AW46" s="132" t="str">
        <f aca="false">IFERROR(IF(OR(12&gt;$B$3,ISBLANK(Actuals!N52)),"",('Reforecast Q1 2026'!N52-Actuals!N52)/ABS('Reforecast Q1 2026'!N52)),"")</f>
        <v/>
      </c>
      <c r="AX46" s="133" t="n">
        <f aca="false">SUMPRODUCT((Actuals!C52:N52&lt;&gt;"")*('Reforecast Q1 2026'!C52:N52))</f>
        <v>0</v>
      </c>
      <c r="AY46" s="133" t="n">
        <f aca="false">SUM(Actuals!C52:N52)</f>
        <v>0</v>
      </c>
      <c r="AZ46" s="134" t="n">
        <f aca="false">AX46-AY46</f>
        <v>0</v>
      </c>
    </row>
    <row r="47" customFormat="false" ht="15" hidden="false" customHeight="true" outlineLevel="0" collapsed="false">
      <c r="A47" s="130" t="s">
        <v>96</v>
      </c>
      <c r="B47" s="131" t="n">
        <f aca="false">'Reforecast Q1 2026'!C53</f>
        <v>0</v>
      </c>
      <c r="C47" s="131" t="n">
        <f aca="false">IF(OR(1&gt;$B$3,ISBLANK(Actuals!C53)),"",Actuals!C53)</f>
        <v>0</v>
      </c>
      <c r="D47" s="132" t="n">
        <f aca="false">IF(OR(1&gt;$B$3,ISBLANK(Actuals!C53)),"",'Reforecast Q1 2026'!C53-Actuals!C53)</f>
        <v>0</v>
      </c>
      <c r="E47" s="132" t="str">
        <f aca="false">IFERROR(IF(OR(1&gt;$B$3,ISBLANK(Actuals!C53)),"",('Reforecast Q1 2026'!C53-Actuals!C53)/ABS('Reforecast Q1 2026'!C53)),"")</f>
        <v/>
      </c>
      <c r="F47" s="131" t="n">
        <f aca="false">'Reforecast Q1 2026'!D53</f>
        <v>0</v>
      </c>
      <c r="G47" s="131" t="n">
        <f aca="false">IF(OR(2&gt;$B$3,ISBLANK(Actuals!D53)),"",Actuals!D53)</f>
        <v>0</v>
      </c>
      <c r="H47" s="132" t="n">
        <f aca="false">IF(OR(2&gt;$B$3,ISBLANK(Actuals!D53)),"",'Reforecast Q1 2026'!D53-Actuals!D53)</f>
        <v>0</v>
      </c>
      <c r="I47" s="132" t="str">
        <f aca="false">IFERROR(IF(OR(2&gt;$B$3,ISBLANK(Actuals!D53)),"",('Reforecast Q1 2026'!D53-Actuals!D53)/ABS('Reforecast Q1 2026'!D53)),"")</f>
        <v/>
      </c>
      <c r="J47" s="131" t="n">
        <f aca="false">'Reforecast Q1 2026'!E53</f>
        <v>-11105.35</v>
      </c>
      <c r="K47" s="131" t="n">
        <f aca="false">IF(OR(3&gt;$B$3,ISBLANK(Actuals!E53)),"",Actuals!E53)</f>
        <v>-11105.35</v>
      </c>
      <c r="L47" s="132" t="n">
        <f aca="false">IF(OR(3&gt;$B$3,ISBLANK(Actuals!E53)),"",'Reforecast Q1 2026'!E53-Actuals!E53)</f>
        <v>0</v>
      </c>
      <c r="M47" s="132" t="n">
        <f aca="false">IFERROR(IF(OR(3&gt;$B$3,ISBLANK(Actuals!E53)),"",('Reforecast Q1 2026'!E53-Actuals!E53)/ABS('Reforecast Q1 2026'!E53)),"")</f>
        <v>0</v>
      </c>
      <c r="N47" s="131" t="n">
        <f aca="false">'Reforecast Q1 2026'!F53</f>
        <v>-3701.78</v>
      </c>
      <c r="O47" s="131" t="n">
        <f aca="false">IF(OR(4&gt;$B$3,ISBLANK(Actuals!F53)),"",Actuals!F53)</f>
        <v>0</v>
      </c>
      <c r="P47" s="132" t="n">
        <f aca="false">IF(OR(4&gt;$B$3,ISBLANK(Actuals!F53)),"",'Reforecast Q1 2026'!F53-Actuals!F53)</f>
        <v>-3701.78</v>
      </c>
      <c r="Q47" s="132" t="n">
        <f aca="false">IFERROR(IF(OR(4&gt;$B$3,ISBLANK(Actuals!F53)),"",('Reforecast Q1 2026'!F53-Actuals!F53)/ABS('Reforecast Q1 2026'!F53)),"")</f>
        <v>-1</v>
      </c>
      <c r="R47" s="131" t="n">
        <f aca="false">'Reforecast Q1 2026'!G53</f>
        <v>-3701.78</v>
      </c>
      <c r="S47" s="131" t="n">
        <f aca="false">IF(OR(5&gt;$B$3,ISBLANK(Actuals!G53)),"",Actuals!G53)</f>
        <v>0</v>
      </c>
      <c r="T47" s="132" t="n">
        <f aca="false">IF(OR(5&gt;$B$3,ISBLANK(Actuals!G53)),"",'Reforecast Q1 2026'!G53-Actuals!G53)</f>
        <v>-3701.78</v>
      </c>
      <c r="U47" s="132" t="n">
        <f aca="false">IFERROR(IF(OR(5&gt;$B$3,ISBLANK(Actuals!G53)),"",('Reforecast Q1 2026'!G53-Actuals!G53)/ABS('Reforecast Q1 2026'!G53)),"")</f>
        <v>-1</v>
      </c>
      <c r="V47" s="131" t="n">
        <f aca="false">'Reforecast Q1 2026'!H53</f>
        <v>-3701.78</v>
      </c>
      <c r="W47" s="131" t="n">
        <f aca="false">IF(OR(6&gt;$B$3,ISBLANK(Actuals!H53)),"",Actuals!H53)</f>
        <v>0</v>
      </c>
      <c r="X47" s="132" t="n">
        <f aca="false">IF(OR(6&gt;$B$3,ISBLANK(Actuals!H53)),"",'Reforecast Q1 2026'!H53-Actuals!H53)</f>
        <v>-3701.78</v>
      </c>
      <c r="Y47" s="132" t="n">
        <f aca="false">IFERROR(IF(OR(6&gt;$B$3,ISBLANK(Actuals!H53)),"",('Reforecast Q1 2026'!H53-Actuals!H53)/ABS('Reforecast Q1 2026'!H53)),"")</f>
        <v>-1</v>
      </c>
      <c r="Z47" s="131" t="n">
        <f aca="false">'Reforecast Q1 2026'!I53</f>
        <v>-3701.78</v>
      </c>
      <c r="AA47" s="131" t="n">
        <f aca="false">IF(OR(7&gt;$B$3,ISBLANK(Actuals!I53)),"",Actuals!I53)</f>
        <v>0</v>
      </c>
      <c r="AB47" s="132" t="n">
        <f aca="false">IF(OR(7&gt;$B$3,ISBLANK(Actuals!I53)),"",'Reforecast Q1 2026'!I53-Actuals!I53)</f>
        <v>-3701.78</v>
      </c>
      <c r="AC47" s="132" t="n">
        <f aca="false">IFERROR(IF(OR(7&gt;$B$3,ISBLANK(Actuals!I53)),"",('Reforecast Q1 2026'!I53-Actuals!I53)/ABS('Reforecast Q1 2026'!I53)),"")</f>
        <v>-1</v>
      </c>
      <c r="AD47" s="131" t="n">
        <f aca="false">'Reforecast Q1 2026'!J53</f>
        <v>-3701.78</v>
      </c>
      <c r="AE47" s="131" t="n">
        <f aca="false">IF(OR(8&gt;$B$3,ISBLANK(Actuals!J53)),"",Actuals!J53)</f>
        <v>0</v>
      </c>
      <c r="AF47" s="132" t="n">
        <f aca="false">IF(OR(8&gt;$B$3,ISBLANK(Actuals!J53)),"",'Reforecast Q1 2026'!J53-Actuals!J53)</f>
        <v>-3701.78</v>
      </c>
      <c r="AG47" s="132" t="n">
        <f aca="false">IFERROR(IF(OR(8&gt;$B$3,ISBLANK(Actuals!J53)),"",('Reforecast Q1 2026'!J53-Actuals!J53)/ABS('Reforecast Q1 2026'!J53)),"")</f>
        <v>-1</v>
      </c>
      <c r="AH47" s="131" t="n">
        <f aca="false">'Reforecast Q1 2026'!K53</f>
        <v>-3701.78</v>
      </c>
      <c r="AI47" s="131" t="n">
        <f aca="false">IF(OR(9&gt;$B$3,ISBLANK(Actuals!K53)),"",Actuals!K53)</f>
        <v>0</v>
      </c>
      <c r="AJ47" s="132" t="n">
        <f aca="false">IF(OR(9&gt;$B$3,ISBLANK(Actuals!K53)),"",'Reforecast Q1 2026'!K53-Actuals!K53)</f>
        <v>-3701.78</v>
      </c>
      <c r="AK47" s="132" t="n">
        <f aca="false">IFERROR(IF(OR(9&gt;$B$3,ISBLANK(Actuals!K53)),"",('Reforecast Q1 2026'!K53-Actuals!K53)/ABS('Reforecast Q1 2026'!K53)),"")</f>
        <v>-1</v>
      </c>
      <c r="AL47" s="131" t="n">
        <f aca="false">'Reforecast Q1 2026'!L53</f>
        <v>-3701.78</v>
      </c>
      <c r="AM47" s="131" t="str">
        <f aca="false">IF(OR(10&gt;$B$3,ISBLANK(Actuals!L53)),"",Actuals!L53)</f>
        <v/>
      </c>
      <c r="AN47" s="132" t="str">
        <f aca="false">IF(OR(10&gt;$B$3,ISBLANK(Actuals!L53)),"",'Reforecast Q1 2026'!L53-Actuals!L53)</f>
        <v/>
      </c>
      <c r="AO47" s="132" t="str">
        <f aca="false">IFERROR(IF(OR(10&gt;$B$3,ISBLANK(Actuals!L53)),"",('Reforecast Q1 2026'!L53-Actuals!L53)/ABS('Reforecast Q1 2026'!L53)),"")</f>
        <v/>
      </c>
      <c r="AP47" s="131" t="n">
        <f aca="false">'Reforecast Q1 2026'!M53</f>
        <v>-3701.78</v>
      </c>
      <c r="AQ47" s="131" t="str">
        <f aca="false">IF(OR(11&gt;$B$3,ISBLANK(Actuals!M53)),"",Actuals!M53)</f>
        <v/>
      </c>
      <c r="AR47" s="132" t="str">
        <f aca="false">IF(OR(11&gt;$B$3,ISBLANK(Actuals!M53)),"",'Reforecast Q1 2026'!M53-Actuals!M53)</f>
        <v/>
      </c>
      <c r="AS47" s="132" t="str">
        <f aca="false">IFERROR(IF(OR(11&gt;$B$3,ISBLANK(Actuals!M53)),"",('Reforecast Q1 2026'!M53-Actuals!M53)/ABS('Reforecast Q1 2026'!M53)),"")</f>
        <v/>
      </c>
      <c r="AT47" s="131" t="n">
        <f aca="false">'Reforecast Q1 2026'!N53</f>
        <v>-3701.78</v>
      </c>
      <c r="AU47" s="131" t="str">
        <f aca="false">IF(OR(12&gt;$B$3,ISBLANK(Actuals!N53)),"",Actuals!N53)</f>
        <v/>
      </c>
      <c r="AV47" s="132" t="str">
        <f aca="false">IF(OR(12&gt;$B$3,ISBLANK(Actuals!N53)),"",'Reforecast Q1 2026'!N53-Actuals!N53)</f>
        <v/>
      </c>
      <c r="AW47" s="132" t="str">
        <f aca="false">IFERROR(IF(OR(12&gt;$B$3,ISBLANK(Actuals!N53)),"",('Reforecast Q1 2026'!N53-Actuals!N53)/ABS('Reforecast Q1 2026'!N53)),"")</f>
        <v/>
      </c>
      <c r="AX47" s="133" t="n">
        <f aca="false">SUMPRODUCT((Actuals!C53:N53&lt;&gt;"")*('Reforecast Q1 2026'!C53:N53))</f>
        <v>-33316.03</v>
      </c>
      <c r="AY47" s="133" t="n">
        <f aca="false">SUM(Actuals!C53:N53)</f>
        <v>-11105.35</v>
      </c>
      <c r="AZ47" s="134" t="n">
        <f aca="false">AX47-AY47</f>
        <v>-22210.68</v>
      </c>
    </row>
    <row r="48" customFormat="false" ht="15" hidden="false" customHeight="true" outlineLevel="0" collapsed="false">
      <c r="A48" s="130" t="s">
        <v>517</v>
      </c>
      <c r="B48" s="131" t="n">
        <f aca="false">'Reforecast Q1 2026'!C54</f>
        <v>0</v>
      </c>
      <c r="C48" s="131" t="str">
        <f aca="false">IF(OR(1&gt;$B$3,ISBLANK(Actuals!C54)),"",Actuals!C54)</f>
        <v/>
      </c>
      <c r="D48" s="132" t="str">
        <f aca="false">IF(OR(1&gt;$B$3,ISBLANK(Actuals!C54)),"",'Reforecast Q1 2026'!C54-Actuals!C54)</f>
        <v/>
      </c>
      <c r="E48" s="132" t="str">
        <f aca="false">IFERROR(IF(OR(1&gt;$B$3,ISBLANK(Actuals!C54)),"",('Reforecast Q1 2026'!C54-Actuals!C54)/ABS('Reforecast Q1 2026'!C54)),"")</f>
        <v/>
      </c>
      <c r="F48" s="131" t="n">
        <f aca="false">'Reforecast Q1 2026'!D54</f>
        <v>0</v>
      </c>
      <c r="G48" s="131" t="str">
        <f aca="false">IF(OR(2&gt;$B$3,ISBLANK(Actuals!D54)),"",Actuals!D54)</f>
        <v/>
      </c>
      <c r="H48" s="132" t="str">
        <f aca="false">IF(OR(2&gt;$B$3,ISBLANK(Actuals!D54)),"",'Reforecast Q1 2026'!D54-Actuals!D54)</f>
        <v/>
      </c>
      <c r="I48" s="132" t="str">
        <f aca="false">IFERROR(IF(OR(2&gt;$B$3,ISBLANK(Actuals!D54)),"",('Reforecast Q1 2026'!D54-Actuals!D54)/ABS('Reforecast Q1 2026'!D54)),"")</f>
        <v/>
      </c>
      <c r="J48" s="131" t="n">
        <f aca="false">'Reforecast Q1 2026'!E54</f>
        <v>0</v>
      </c>
      <c r="K48" s="131" t="str">
        <f aca="false">IF(OR(3&gt;$B$3,ISBLANK(Actuals!E54)),"",Actuals!E54)</f>
        <v/>
      </c>
      <c r="L48" s="132" t="str">
        <f aca="false">IF(OR(3&gt;$B$3,ISBLANK(Actuals!E54)),"",'Reforecast Q1 2026'!E54-Actuals!E54)</f>
        <v/>
      </c>
      <c r="M48" s="132" t="str">
        <f aca="false">IFERROR(IF(OR(3&gt;$B$3,ISBLANK(Actuals!E54)),"",('Reforecast Q1 2026'!E54-Actuals!E54)/ABS('Reforecast Q1 2026'!E54)),"")</f>
        <v/>
      </c>
      <c r="N48" s="131" t="n">
        <f aca="false">'Reforecast Q1 2026'!F54</f>
        <v>0</v>
      </c>
      <c r="O48" s="131" t="str">
        <f aca="false">IF(OR(4&gt;$B$3,ISBLANK(Actuals!F54)),"",Actuals!F54)</f>
        <v/>
      </c>
      <c r="P48" s="132" t="str">
        <f aca="false">IF(OR(4&gt;$B$3,ISBLANK(Actuals!F54)),"",'Reforecast Q1 2026'!F54-Actuals!F54)</f>
        <v/>
      </c>
      <c r="Q48" s="132" t="str">
        <f aca="false">IFERROR(IF(OR(4&gt;$B$3,ISBLANK(Actuals!F54)),"",('Reforecast Q1 2026'!F54-Actuals!F54)/ABS('Reforecast Q1 2026'!F54)),"")</f>
        <v/>
      </c>
      <c r="R48" s="131" t="n">
        <f aca="false">'Reforecast Q1 2026'!G54</f>
        <v>0</v>
      </c>
      <c r="S48" s="131" t="str">
        <f aca="false">IF(OR(5&gt;$B$3,ISBLANK(Actuals!G54)),"",Actuals!G54)</f>
        <v/>
      </c>
      <c r="T48" s="132" t="str">
        <f aca="false">IF(OR(5&gt;$B$3,ISBLANK(Actuals!G54)),"",'Reforecast Q1 2026'!G54-Actuals!G54)</f>
        <v/>
      </c>
      <c r="U48" s="132" t="str">
        <f aca="false">IFERROR(IF(OR(5&gt;$B$3,ISBLANK(Actuals!G54)),"",('Reforecast Q1 2026'!G54-Actuals!G54)/ABS('Reforecast Q1 2026'!G54)),"")</f>
        <v/>
      </c>
      <c r="V48" s="131" t="n">
        <f aca="false">'Reforecast Q1 2026'!H54</f>
        <v>0</v>
      </c>
      <c r="W48" s="131" t="n">
        <f aca="false">IF(OR(6&gt;$B$3,ISBLANK(Actuals!H54)),"",Actuals!H54)</f>
        <v>-612.68</v>
      </c>
      <c r="X48" s="132" t="n">
        <f aca="false">IF(OR(6&gt;$B$3,ISBLANK(Actuals!H54)),"",'Reforecast Q1 2026'!H54-Actuals!H54)</f>
        <v>612.68</v>
      </c>
      <c r="Y48" s="132" t="str">
        <f aca="false">IFERROR(IF(OR(6&gt;$B$3,ISBLANK(Actuals!H54)),"",('Reforecast Q1 2026'!H54-Actuals!H54)/ABS('Reforecast Q1 2026'!H54)),"")</f>
        <v/>
      </c>
      <c r="Z48" s="131" t="n">
        <f aca="false">'Reforecast Q1 2026'!I54</f>
        <v>0</v>
      </c>
      <c r="AA48" s="131" t="n">
        <f aca="false">IF(OR(7&gt;$B$3,ISBLANK(Actuals!I54)),"",Actuals!I54)</f>
        <v>-1609.91</v>
      </c>
      <c r="AB48" s="132" t="n">
        <f aca="false">IF(OR(7&gt;$B$3,ISBLANK(Actuals!I54)),"",'Reforecast Q1 2026'!I54-Actuals!I54)</f>
        <v>1609.91</v>
      </c>
      <c r="AC48" s="132" t="str">
        <f aca="false">IFERROR(IF(OR(7&gt;$B$3,ISBLANK(Actuals!I54)),"",('Reforecast Q1 2026'!I54-Actuals!I54)/ABS('Reforecast Q1 2026'!I54)),"")</f>
        <v/>
      </c>
      <c r="AD48" s="131" t="n">
        <f aca="false">'Reforecast Q1 2026'!J54</f>
        <v>0</v>
      </c>
      <c r="AE48" s="131" t="n">
        <f aca="false">IF(OR(8&gt;$B$3,ISBLANK(Actuals!J54)),"",Actuals!J54)</f>
        <v>-1609.91</v>
      </c>
      <c r="AF48" s="132" t="n">
        <f aca="false">IF(OR(8&gt;$B$3,ISBLANK(Actuals!J54)),"",'Reforecast Q1 2026'!J54-Actuals!J54)</f>
        <v>1609.91</v>
      </c>
      <c r="AG48" s="132" t="str">
        <f aca="false">IFERROR(IF(OR(8&gt;$B$3,ISBLANK(Actuals!J54)),"",('Reforecast Q1 2026'!J54-Actuals!J54)/ABS('Reforecast Q1 2026'!J54)),"")</f>
        <v/>
      </c>
      <c r="AH48" s="131" t="n">
        <f aca="false">'Reforecast Q1 2026'!K54</f>
        <v>0</v>
      </c>
      <c r="AI48" s="131" t="n">
        <f aca="false">IF(OR(9&gt;$B$3,ISBLANK(Actuals!K54)),"",Actuals!K54)</f>
        <v>-1609.91</v>
      </c>
      <c r="AJ48" s="132" t="n">
        <f aca="false">IF(OR(9&gt;$B$3,ISBLANK(Actuals!K54)),"",'Reforecast Q1 2026'!K54-Actuals!K54)</f>
        <v>1609.91</v>
      </c>
      <c r="AK48" s="132" t="str">
        <f aca="false">IFERROR(IF(OR(9&gt;$B$3,ISBLANK(Actuals!K54)),"",('Reforecast Q1 2026'!K54-Actuals!K54)/ABS('Reforecast Q1 2026'!K54)),"")</f>
        <v/>
      </c>
      <c r="AL48" s="131" t="n">
        <f aca="false">'Reforecast Q1 2026'!L54</f>
        <v>0</v>
      </c>
      <c r="AM48" s="131" t="str">
        <f aca="false">IF(OR(10&gt;$B$3,ISBLANK(Actuals!L54)),"",Actuals!L54)</f>
        <v/>
      </c>
      <c r="AN48" s="132" t="str">
        <f aca="false">IF(OR(10&gt;$B$3,ISBLANK(Actuals!L54)),"",'Reforecast Q1 2026'!L54-Actuals!L54)</f>
        <v/>
      </c>
      <c r="AO48" s="132" t="str">
        <f aca="false">IFERROR(IF(OR(10&gt;$B$3,ISBLANK(Actuals!L54)),"",('Reforecast Q1 2026'!L54-Actuals!L54)/ABS('Reforecast Q1 2026'!L54)),"")</f>
        <v/>
      </c>
      <c r="AP48" s="131" t="n">
        <f aca="false">'Reforecast Q1 2026'!M54</f>
        <v>0</v>
      </c>
      <c r="AQ48" s="131" t="str">
        <f aca="false">IF(OR(11&gt;$B$3,ISBLANK(Actuals!M54)),"",Actuals!M54)</f>
        <v/>
      </c>
      <c r="AR48" s="132" t="str">
        <f aca="false">IF(OR(11&gt;$B$3,ISBLANK(Actuals!M54)),"",'Reforecast Q1 2026'!M54-Actuals!M54)</f>
        <v/>
      </c>
      <c r="AS48" s="132" t="str">
        <f aca="false">IFERROR(IF(OR(11&gt;$B$3,ISBLANK(Actuals!M54)),"",('Reforecast Q1 2026'!M54-Actuals!M54)/ABS('Reforecast Q1 2026'!M54)),"")</f>
        <v/>
      </c>
      <c r="AT48" s="131" t="n">
        <f aca="false">'Reforecast Q1 2026'!N54</f>
        <v>0</v>
      </c>
      <c r="AU48" s="131" t="str">
        <f aca="false">IF(OR(12&gt;$B$3,ISBLANK(Actuals!N54)),"",Actuals!N54)</f>
        <v/>
      </c>
      <c r="AV48" s="132" t="str">
        <f aca="false">IF(OR(12&gt;$B$3,ISBLANK(Actuals!N54)),"",'Reforecast Q1 2026'!N54-Actuals!N54)</f>
        <v/>
      </c>
      <c r="AW48" s="132" t="str">
        <f aca="false">IFERROR(IF(OR(12&gt;$B$3,ISBLANK(Actuals!N54)),"",('Reforecast Q1 2026'!N54-Actuals!N54)/ABS('Reforecast Q1 2026'!N54)),"")</f>
        <v/>
      </c>
      <c r="AX48" s="133" t="n">
        <f aca="false">SUMPRODUCT((Actuals!C54:N54&lt;&gt;"")*('Reforecast Q1 2026'!C54:N54))</f>
        <v>0</v>
      </c>
      <c r="AY48" s="133" t="n">
        <f aca="false">SUM(Actuals!C54:N54)</f>
        <v>-5442.41</v>
      </c>
      <c r="AZ48" s="134" t="n">
        <f aca="false">AX48-AY48</f>
        <v>5442.41</v>
      </c>
    </row>
    <row r="49" customFormat="false" ht="15" hidden="false" customHeight="true" outlineLevel="0" collapsed="false">
      <c r="A49" s="130" t="s">
        <v>101</v>
      </c>
      <c r="B49" s="131" t="n">
        <f aca="false">'Reforecast Q1 2026'!C64</f>
        <v>833.33</v>
      </c>
      <c r="C49" s="131" t="n">
        <f aca="false">IF(OR(1&gt;$B$3,ISBLANK(Actuals!C64)),"",Actuals!C64)</f>
        <v>833.33</v>
      </c>
      <c r="D49" s="132" t="n">
        <f aca="false">IF(OR(1&gt;$B$3,ISBLANK(Actuals!C64)),"",'Reforecast Q1 2026'!C64-Actuals!C64)</f>
        <v>0</v>
      </c>
      <c r="E49" s="132" t="n">
        <f aca="false">IFERROR(IF(OR(1&gt;$B$3,ISBLANK(Actuals!C64)),"",('Reforecast Q1 2026'!C64-Actuals!C64)/ABS('Reforecast Q1 2026'!C64)),"")</f>
        <v>0</v>
      </c>
      <c r="F49" s="131" t="n">
        <f aca="false">'Reforecast Q1 2026'!D64</f>
        <v>833.33</v>
      </c>
      <c r="G49" s="131" t="n">
        <f aca="false">IF(OR(2&gt;$B$3,ISBLANK(Actuals!D64)),"",Actuals!D64)</f>
        <v>833.33</v>
      </c>
      <c r="H49" s="132" t="n">
        <f aca="false">IF(OR(2&gt;$B$3,ISBLANK(Actuals!D64)),"",'Reforecast Q1 2026'!D64-Actuals!D64)</f>
        <v>0</v>
      </c>
      <c r="I49" s="132" t="n">
        <f aca="false">IFERROR(IF(OR(2&gt;$B$3,ISBLANK(Actuals!D64)),"",('Reforecast Q1 2026'!D64-Actuals!D64)/ABS('Reforecast Q1 2026'!D64)),"")</f>
        <v>0</v>
      </c>
      <c r="J49" s="131" t="n">
        <f aca="false">'Reforecast Q1 2026'!E64</f>
        <v>833.33</v>
      </c>
      <c r="K49" s="131" t="n">
        <f aca="false">IF(OR(3&gt;$B$3,ISBLANK(Actuals!E64)),"",Actuals!E64)</f>
        <v>833.33</v>
      </c>
      <c r="L49" s="132" t="n">
        <f aca="false">IF(OR(3&gt;$B$3,ISBLANK(Actuals!E64)),"",'Reforecast Q1 2026'!E64-Actuals!E64)</f>
        <v>0</v>
      </c>
      <c r="M49" s="132" t="n">
        <f aca="false">IFERROR(IF(OR(3&gt;$B$3,ISBLANK(Actuals!E64)),"",('Reforecast Q1 2026'!E64-Actuals!E64)/ABS('Reforecast Q1 2026'!E64)),"")</f>
        <v>0</v>
      </c>
      <c r="N49" s="131" t="n">
        <f aca="false">'Reforecast Q1 2026'!F64</f>
        <v>833.33</v>
      </c>
      <c r="O49" s="131" t="n">
        <f aca="false">IF(OR(4&gt;$B$3,ISBLANK(Actuals!F64)),"",Actuals!F64)</f>
        <v>833.33</v>
      </c>
      <c r="P49" s="132" t="n">
        <f aca="false">IF(OR(4&gt;$B$3,ISBLANK(Actuals!F64)),"",'Reforecast Q1 2026'!F64-Actuals!F64)</f>
        <v>0</v>
      </c>
      <c r="Q49" s="132" t="n">
        <f aca="false">IFERROR(IF(OR(4&gt;$B$3,ISBLANK(Actuals!F64)),"",('Reforecast Q1 2026'!F64-Actuals!F64)/ABS('Reforecast Q1 2026'!F64)),"")</f>
        <v>0</v>
      </c>
      <c r="R49" s="131" t="n">
        <f aca="false">'Reforecast Q1 2026'!G64</f>
        <v>833.33</v>
      </c>
      <c r="S49" s="131" t="n">
        <f aca="false">IF(OR(5&gt;$B$3,ISBLANK(Actuals!G64)),"",Actuals!G64)</f>
        <v>833.33</v>
      </c>
      <c r="T49" s="132" t="n">
        <f aca="false">IF(OR(5&gt;$B$3,ISBLANK(Actuals!G64)),"",'Reforecast Q1 2026'!G64-Actuals!G64)</f>
        <v>0</v>
      </c>
      <c r="U49" s="132" t="n">
        <f aca="false">IFERROR(IF(OR(5&gt;$B$3,ISBLANK(Actuals!G64)),"",('Reforecast Q1 2026'!G64-Actuals!G64)/ABS('Reforecast Q1 2026'!G64)),"")</f>
        <v>0</v>
      </c>
      <c r="V49" s="131" t="n">
        <f aca="false">'Reforecast Q1 2026'!H64</f>
        <v>833.33</v>
      </c>
      <c r="W49" s="131" t="n">
        <f aca="false">IF(OR(6&gt;$B$3,ISBLANK(Actuals!H64)),"",Actuals!H64)</f>
        <v>833.33</v>
      </c>
      <c r="X49" s="132" t="n">
        <f aca="false">IF(OR(6&gt;$B$3,ISBLANK(Actuals!H64)),"",'Reforecast Q1 2026'!H64-Actuals!H64)</f>
        <v>0</v>
      </c>
      <c r="Y49" s="132" t="n">
        <f aca="false">IFERROR(IF(OR(6&gt;$B$3,ISBLANK(Actuals!H64)),"",('Reforecast Q1 2026'!H64-Actuals!H64)/ABS('Reforecast Q1 2026'!H64)),"")</f>
        <v>0</v>
      </c>
      <c r="Z49" s="131" t="n">
        <f aca="false">'Reforecast Q1 2026'!I64</f>
        <v>833.33</v>
      </c>
      <c r="AA49" s="131" t="n">
        <f aca="false">IF(OR(7&gt;$B$3,ISBLANK(Actuals!I64)),"",Actuals!I64)</f>
        <v>833.33</v>
      </c>
      <c r="AB49" s="132" t="n">
        <f aca="false">IF(OR(7&gt;$B$3,ISBLANK(Actuals!I64)),"",'Reforecast Q1 2026'!I64-Actuals!I64)</f>
        <v>0</v>
      </c>
      <c r="AC49" s="132" t="n">
        <f aca="false">IFERROR(IF(OR(7&gt;$B$3,ISBLANK(Actuals!I64)),"",('Reforecast Q1 2026'!I64-Actuals!I64)/ABS('Reforecast Q1 2026'!I64)),"")</f>
        <v>0</v>
      </c>
      <c r="AD49" s="131" t="n">
        <f aca="false">'Reforecast Q1 2026'!J64</f>
        <v>833.33</v>
      </c>
      <c r="AE49" s="131" t="n">
        <f aca="false">IF(OR(8&gt;$B$3,ISBLANK(Actuals!J64)),"",Actuals!J64)</f>
        <v>833.33</v>
      </c>
      <c r="AF49" s="132" t="n">
        <f aca="false">IF(OR(8&gt;$B$3,ISBLANK(Actuals!J64)),"",'Reforecast Q1 2026'!J64-Actuals!J64)</f>
        <v>0</v>
      </c>
      <c r="AG49" s="132" t="n">
        <f aca="false">IFERROR(IF(OR(8&gt;$B$3,ISBLANK(Actuals!J64)),"",('Reforecast Q1 2026'!J64-Actuals!J64)/ABS('Reforecast Q1 2026'!J64)),"")</f>
        <v>0</v>
      </c>
      <c r="AH49" s="131" t="n">
        <f aca="false">'Reforecast Q1 2026'!K64</f>
        <v>0</v>
      </c>
      <c r="AI49" s="131" t="n">
        <f aca="false">IF(OR(9&gt;$B$3,ISBLANK(Actuals!K64)),"",Actuals!K64)</f>
        <v>-833.33</v>
      </c>
      <c r="AJ49" s="132" t="n">
        <f aca="false">IF(OR(9&gt;$B$3,ISBLANK(Actuals!K64)),"",'Reforecast Q1 2026'!K64-Actuals!K64)</f>
        <v>833.33</v>
      </c>
      <c r="AK49" s="132" t="str">
        <f aca="false">IFERROR(IF(OR(9&gt;$B$3,ISBLANK(Actuals!K64)),"",('Reforecast Q1 2026'!K64-Actuals!K64)/ABS('Reforecast Q1 2026'!K64)),"")</f>
        <v/>
      </c>
      <c r="AL49" s="131" t="n">
        <f aca="false">'Reforecast Q1 2026'!L64</f>
        <v>0</v>
      </c>
      <c r="AM49" s="131" t="str">
        <f aca="false">IF(OR(10&gt;$B$3,ISBLANK(Actuals!L64)),"",Actuals!L64)</f>
        <v/>
      </c>
      <c r="AN49" s="132" t="str">
        <f aca="false">IF(OR(10&gt;$B$3,ISBLANK(Actuals!L64)),"",'Reforecast Q1 2026'!L64-Actuals!L64)</f>
        <v/>
      </c>
      <c r="AO49" s="132" t="str">
        <f aca="false">IFERROR(IF(OR(10&gt;$B$3,ISBLANK(Actuals!L64)),"",('Reforecast Q1 2026'!L64-Actuals!L64)/ABS('Reforecast Q1 2026'!L64)),"")</f>
        <v/>
      </c>
      <c r="AP49" s="131" t="n">
        <f aca="false">'Reforecast Q1 2026'!M64</f>
        <v>0</v>
      </c>
      <c r="AQ49" s="131" t="str">
        <f aca="false">IF(OR(11&gt;$B$3,ISBLANK(Actuals!M64)),"",Actuals!M64)</f>
        <v/>
      </c>
      <c r="AR49" s="132" t="str">
        <f aca="false">IF(OR(11&gt;$B$3,ISBLANK(Actuals!M64)),"",'Reforecast Q1 2026'!M64-Actuals!M64)</f>
        <v/>
      </c>
      <c r="AS49" s="132" t="str">
        <f aca="false">IFERROR(IF(OR(11&gt;$B$3,ISBLANK(Actuals!M64)),"",('Reforecast Q1 2026'!M64-Actuals!M64)/ABS('Reforecast Q1 2026'!M64)),"")</f>
        <v/>
      </c>
      <c r="AT49" s="131" t="n">
        <f aca="false">'Reforecast Q1 2026'!N64</f>
        <v>0</v>
      </c>
      <c r="AU49" s="131" t="str">
        <f aca="false">IF(OR(12&gt;$B$3,ISBLANK(Actuals!N64)),"",Actuals!N64)</f>
        <v/>
      </c>
      <c r="AV49" s="132" t="str">
        <f aca="false">IF(OR(12&gt;$B$3,ISBLANK(Actuals!N64)),"",'Reforecast Q1 2026'!N64-Actuals!N64)</f>
        <v/>
      </c>
      <c r="AW49" s="132" t="str">
        <f aca="false">IFERROR(IF(OR(12&gt;$B$3,ISBLANK(Actuals!N64)),"",('Reforecast Q1 2026'!N64-Actuals!N64)/ABS('Reforecast Q1 2026'!N64)),"")</f>
        <v/>
      </c>
      <c r="AX49" s="133" t="n">
        <f aca="false">SUMPRODUCT((Actuals!C64:N64&lt;&gt;"")*('Reforecast Q1 2026'!C64:N64))</f>
        <v>6666.64</v>
      </c>
      <c r="AY49" s="133" t="n">
        <f aca="false">SUM(Actuals!C64:N64)</f>
        <v>5833.31</v>
      </c>
      <c r="AZ49" s="134" t="n">
        <f aca="false">AX49-AY49</f>
        <v>833.33</v>
      </c>
    </row>
    <row r="50" customFormat="false" ht="15" hidden="false" customHeight="true" outlineLevel="0" collapsed="false">
      <c r="A50" s="130" t="s">
        <v>102</v>
      </c>
      <c r="B50" s="131" t="n">
        <f aca="false">'Reforecast Q1 2026'!C65</f>
        <v>23906.25</v>
      </c>
      <c r="C50" s="131" t="n">
        <f aca="false">IF(OR(1&gt;$B$3,ISBLANK(Actuals!C65)),"",Actuals!C65)</f>
        <v>23906.25</v>
      </c>
      <c r="D50" s="132" t="n">
        <f aca="false">IF(OR(1&gt;$B$3,ISBLANK(Actuals!C65)),"",'Reforecast Q1 2026'!C65-Actuals!C65)</f>
        <v>0</v>
      </c>
      <c r="E50" s="132" t="n">
        <f aca="false">IFERROR(IF(OR(1&gt;$B$3,ISBLANK(Actuals!C65)),"",('Reforecast Q1 2026'!C65-Actuals!C65)/ABS('Reforecast Q1 2026'!C65)),"")</f>
        <v>0</v>
      </c>
      <c r="F50" s="131" t="n">
        <f aca="false">'Reforecast Q1 2026'!D65</f>
        <v>23906.25</v>
      </c>
      <c r="G50" s="131" t="n">
        <f aca="false">IF(OR(2&gt;$B$3,ISBLANK(Actuals!D65)),"",Actuals!D65)</f>
        <v>23906.25</v>
      </c>
      <c r="H50" s="132" t="n">
        <f aca="false">IF(OR(2&gt;$B$3,ISBLANK(Actuals!D65)),"",'Reforecast Q1 2026'!D65-Actuals!D65)</f>
        <v>0</v>
      </c>
      <c r="I50" s="132" t="n">
        <f aca="false">IFERROR(IF(OR(2&gt;$B$3,ISBLANK(Actuals!D65)),"",('Reforecast Q1 2026'!D65-Actuals!D65)/ABS('Reforecast Q1 2026'!D65)),"")</f>
        <v>0</v>
      </c>
      <c r="J50" s="131" t="n">
        <f aca="false">'Reforecast Q1 2026'!E65</f>
        <v>23906.25</v>
      </c>
      <c r="K50" s="131" t="n">
        <f aca="false">IF(OR(3&gt;$B$3,ISBLANK(Actuals!E65)),"",Actuals!E65)</f>
        <v>23906.25</v>
      </c>
      <c r="L50" s="132" t="n">
        <f aca="false">IF(OR(3&gt;$B$3,ISBLANK(Actuals!E65)),"",'Reforecast Q1 2026'!E65-Actuals!E65)</f>
        <v>0</v>
      </c>
      <c r="M50" s="132" t="n">
        <f aca="false">IFERROR(IF(OR(3&gt;$B$3,ISBLANK(Actuals!E65)),"",('Reforecast Q1 2026'!E65-Actuals!E65)/ABS('Reforecast Q1 2026'!E65)),"")</f>
        <v>0</v>
      </c>
      <c r="N50" s="131" t="n">
        <f aca="false">'Reforecast Q1 2026'!F65</f>
        <v>23906.25</v>
      </c>
      <c r="O50" s="131" t="n">
        <f aca="false">IF(OR(4&gt;$B$3,ISBLANK(Actuals!F65)),"",Actuals!F65)</f>
        <v>23906.25</v>
      </c>
      <c r="P50" s="132" t="n">
        <f aca="false">IF(OR(4&gt;$B$3,ISBLANK(Actuals!F65)),"",'Reforecast Q1 2026'!F65-Actuals!F65)</f>
        <v>0</v>
      </c>
      <c r="Q50" s="132" t="n">
        <f aca="false">IFERROR(IF(OR(4&gt;$B$3,ISBLANK(Actuals!F65)),"",('Reforecast Q1 2026'!F65-Actuals!F65)/ABS('Reforecast Q1 2026'!F65)),"")</f>
        <v>0</v>
      </c>
      <c r="R50" s="131" t="n">
        <f aca="false">'Reforecast Q1 2026'!G65</f>
        <v>23906.25</v>
      </c>
      <c r="S50" s="131" t="n">
        <f aca="false">IF(OR(5&gt;$B$3,ISBLANK(Actuals!G65)),"",Actuals!G65)</f>
        <v>23906.25</v>
      </c>
      <c r="T50" s="132" t="n">
        <f aca="false">IF(OR(5&gt;$B$3,ISBLANK(Actuals!G65)),"",'Reforecast Q1 2026'!G65-Actuals!G65)</f>
        <v>0</v>
      </c>
      <c r="U50" s="132" t="n">
        <f aca="false">IFERROR(IF(OR(5&gt;$B$3,ISBLANK(Actuals!G65)),"",('Reforecast Q1 2026'!G65-Actuals!G65)/ABS('Reforecast Q1 2026'!G65)),"")</f>
        <v>0</v>
      </c>
      <c r="V50" s="131" t="n">
        <f aca="false">'Reforecast Q1 2026'!H65</f>
        <v>23906.25</v>
      </c>
      <c r="W50" s="131" t="n">
        <f aca="false">IF(OR(6&gt;$B$3,ISBLANK(Actuals!H65)),"",Actuals!H65)</f>
        <v>23906.25</v>
      </c>
      <c r="X50" s="132" t="n">
        <f aca="false">IF(OR(6&gt;$B$3,ISBLANK(Actuals!H65)),"",'Reforecast Q1 2026'!H65-Actuals!H65)</f>
        <v>0</v>
      </c>
      <c r="Y50" s="132" t="n">
        <f aca="false">IFERROR(IF(OR(6&gt;$B$3,ISBLANK(Actuals!H65)),"",('Reforecast Q1 2026'!H65-Actuals!H65)/ABS('Reforecast Q1 2026'!H65)),"")</f>
        <v>0</v>
      </c>
      <c r="Z50" s="131" t="n">
        <f aca="false">'Reforecast Q1 2026'!I65</f>
        <v>23906.25</v>
      </c>
      <c r="AA50" s="131" t="n">
        <f aca="false">IF(OR(7&gt;$B$3,ISBLANK(Actuals!I65)),"",Actuals!I65)</f>
        <v>23906.25</v>
      </c>
      <c r="AB50" s="132" t="n">
        <f aca="false">IF(OR(7&gt;$B$3,ISBLANK(Actuals!I65)),"",'Reforecast Q1 2026'!I65-Actuals!I65)</f>
        <v>0</v>
      </c>
      <c r="AC50" s="132" t="n">
        <f aca="false">IFERROR(IF(OR(7&gt;$B$3,ISBLANK(Actuals!I65)),"",('Reforecast Q1 2026'!I65-Actuals!I65)/ABS('Reforecast Q1 2026'!I65)),"")</f>
        <v>0</v>
      </c>
      <c r="AD50" s="131" t="n">
        <f aca="false">'Reforecast Q1 2026'!J65</f>
        <v>23906.25</v>
      </c>
      <c r="AE50" s="131" t="n">
        <f aca="false">IF(OR(8&gt;$B$3,ISBLANK(Actuals!J65)),"",Actuals!J65)</f>
        <v>23906.25</v>
      </c>
      <c r="AF50" s="132" t="n">
        <f aca="false">IF(OR(8&gt;$B$3,ISBLANK(Actuals!J65)),"",'Reforecast Q1 2026'!J65-Actuals!J65)</f>
        <v>0</v>
      </c>
      <c r="AG50" s="132" t="n">
        <f aca="false">IFERROR(IF(OR(8&gt;$B$3,ISBLANK(Actuals!J65)),"",('Reforecast Q1 2026'!J65-Actuals!J65)/ABS('Reforecast Q1 2026'!J65)),"")</f>
        <v>0</v>
      </c>
      <c r="AH50" s="131" t="n">
        <f aca="false">'Reforecast Q1 2026'!K65</f>
        <v>23906.25</v>
      </c>
      <c r="AI50" s="131" t="n">
        <f aca="false">IF(OR(9&gt;$B$3,ISBLANK(Actuals!K65)),"",Actuals!K65)</f>
        <v>23906.25</v>
      </c>
      <c r="AJ50" s="132" t="n">
        <f aca="false">IF(OR(9&gt;$B$3,ISBLANK(Actuals!K65)),"",'Reforecast Q1 2026'!K65-Actuals!K65)</f>
        <v>0</v>
      </c>
      <c r="AK50" s="132" t="n">
        <f aca="false">IFERROR(IF(OR(9&gt;$B$3,ISBLANK(Actuals!K65)),"",('Reforecast Q1 2026'!K65-Actuals!K65)/ABS('Reforecast Q1 2026'!K65)),"")</f>
        <v>0</v>
      </c>
      <c r="AL50" s="131" t="n">
        <f aca="false">'Reforecast Q1 2026'!L65</f>
        <v>23906.25</v>
      </c>
      <c r="AM50" s="131" t="str">
        <f aca="false">IF(OR(10&gt;$B$3,ISBLANK(Actuals!L65)),"",Actuals!L65)</f>
        <v/>
      </c>
      <c r="AN50" s="132" t="str">
        <f aca="false">IF(OR(10&gt;$B$3,ISBLANK(Actuals!L65)),"",'Reforecast Q1 2026'!L65-Actuals!L65)</f>
        <v/>
      </c>
      <c r="AO50" s="132" t="str">
        <f aca="false">IFERROR(IF(OR(10&gt;$B$3,ISBLANK(Actuals!L65)),"",('Reforecast Q1 2026'!L65-Actuals!L65)/ABS('Reforecast Q1 2026'!L65)),"")</f>
        <v/>
      </c>
      <c r="AP50" s="131" t="n">
        <f aca="false">'Reforecast Q1 2026'!M65</f>
        <v>23906.25</v>
      </c>
      <c r="AQ50" s="131" t="str">
        <f aca="false">IF(OR(11&gt;$B$3,ISBLANK(Actuals!M65)),"",Actuals!M65)</f>
        <v/>
      </c>
      <c r="AR50" s="132" t="str">
        <f aca="false">IF(OR(11&gt;$B$3,ISBLANK(Actuals!M65)),"",'Reforecast Q1 2026'!M65-Actuals!M65)</f>
        <v/>
      </c>
      <c r="AS50" s="132" t="str">
        <f aca="false">IFERROR(IF(OR(11&gt;$B$3,ISBLANK(Actuals!M65)),"",('Reforecast Q1 2026'!M65-Actuals!M65)/ABS('Reforecast Q1 2026'!M65)),"")</f>
        <v/>
      </c>
      <c r="AT50" s="131" t="n">
        <f aca="false">'Reforecast Q1 2026'!N65</f>
        <v>23906.25</v>
      </c>
      <c r="AU50" s="131" t="str">
        <f aca="false">IF(OR(12&gt;$B$3,ISBLANK(Actuals!N65)),"",Actuals!N65)</f>
        <v/>
      </c>
      <c r="AV50" s="132" t="str">
        <f aca="false">IF(OR(12&gt;$B$3,ISBLANK(Actuals!N65)),"",'Reforecast Q1 2026'!N65-Actuals!N65)</f>
        <v/>
      </c>
      <c r="AW50" s="132" t="str">
        <f aca="false">IFERROR(IF(OR(12&gt;$B$3,ISBLANK(Actuals!N65)),"",('Reforecast Q1 2026'!N65-Actuals!N65)/ABS('Reforecast Q1 2026'!N65)),"")</f>
        <v/>
      </c>
      <c r="AX50" s="133" t="n">
        <f aca="false">SUMPRODUCT((Actuals!C65:N65&lt;&gt;"")*('Reforecast Q1 2026'!C65:N65))</f>
        <v>215156.25</v>
      </c>
      <c r="AY50" s="133" t="n">
        <f aca="false">SUM(Actuals!C65:N65)</f>
        <v>215156.25</v>
      </c>
      <c r="AZ50" s="134" t="n">
        <f aca="false">AX50-AY50</f>
        <v>0</v>
      </c>
    </row>
    <row r="51" customFormat="false" ht="15" hidden="false" customHeight="true" outlineLevel="0" collapsed="false">
      <c r="A51" s="130" t="s">
        <v>103</v>
      </c>
      <c r="B51" s="131" t="n">
        <f aca="false">'Reforecast Q1 2026'!C66</f>
        <v>0</v>
      </c>
      <c r="C51" s="131" t="str">
        <f aca="false">IF(OR(1&gt;$B$3,ISBLANK(Actuals!C66)),"",Actuals!C66)</f>
        <v/>
      </c>
      <c r="D51" s="132" t="str">
        <f aca="false">IF(OR(1&gt;$B$3,ISBLANK(Actuals!C66)),"",'Reforecast Q1 2026'!C66-Actuals!C66)</f>
        <v/>
      </c>
      <c r="E51" s="132" t="str">
        <f aca="false">IFERROR(IF(OR(1&gt;$B$3,ISBLANK(Actuals!C66)),"",('Reforecast Q1 2026'!C66-Actuals!C66)/ABS('Reforecast Q1 2026'!C66)),"")</f>
        <v/>
      </c>
      <c r="F51" s="131" t="n">
        <f aca="false">'Reforecast Q1 2026'!D66</f>
        <v>0</v>
      </c>
      <c r="G51" s="131" t="str">
        <f aca="false">IF(OR(2&gt;$B$3,ISBLANK(Actuals!D66)),"",Actuals!D66)</f>
        <v/>
      </c>
      <c r="H51" s="132" t="str">
        <f aca="false">IF(OR(2&gt;$B$3,ISBLANK(Actuals!D66)),"",'Reforecast Q1 2026'!D66-Actuals!D66)</f>
        <v/>
      </c>
      <c r="I51" s="132" t="str">
        <f aca="false">IFERROR(IF(OR(2&gt;$B$3,ISBLANK(Actuals!D66)),"",('Reforecast Q1 2026'!D66-Actuals!D66)/ABS('Reforecast Q1 2026'!D66)),"")</f>
        <v/>
      </c>
      <c r="J51" s="131" t="n">
        <f aca="false">'Reforecast Q1 2026'!E66</f>
        <v>0</v>
      </c>
      <c r="K51" s="131" t="str">
        <f aca="false">IF(OR(3&gt;$B$3,ISBLANK(Actuals!E66)),"",Actuals!E66)</f>
        <v/>
      </c>
      <c r="L51" s="132" t="str">
        <f aca="false">IF(OR(3&gt;$B$3,ISBLANK(Actuals!E66)),"",'Reforecast Q1 2026'!E66-Actuals!E66)</f>
        <v/>
      </c>
      <c r="M51" s="132" t="str">
        <f aca="false">IFERROR(IF(OR(3&gt;$B$3,ISBLANK(Actuals!E66)),"",('Reforecast Q1 2026'!E66-Actuals!E66)/ABS('Reforecast Q1 2026'!E66)),"")</f>
        <v/>
      </c>
      <c r="N51" s="131" t="n">
        <f aca="false">'Reforecast Q1 2026'!F66</f>
        <v>0</v>
      </c>
      <c r="O51" s="131" t="str">
        <f aca="false">IF(OR(4&gt;$B$3,ISBLANK(Actuals!F66)),"",Actuals!F66)</f>
        <v/>
      </c>
      <c r="P51" s="132" t="str">
        <f aca="false">IF(OR(4&gt;$B$3,ISBLANK(Actuals!F66)),"",'Reforecast Q1 2026'!F66-Actuals!F66)</f>
        <v/>
      </c>
      <c r="Q51" s="132" t="str">
        <f aca="false">IFERROR(IF(OR(4&gt;$B$3,ISBLANK(Actuals!F66)),"",('Reforecast Q1 2026'!F66-Actuals!F66)/ABS('Reforecast Q1 2026'!F66)),"")</f>
        <v/>
      </c>
      <c r="R51" s="131" t="n">
        <f aca="false">'Reforecast Q1 2026'!G66</f>
        <v>0</v>
      </c>
      <c r="S51" s="131" t="str">
        <f aca="false">IF(OR(5&gt;$B$3,ISBLANK(Actuals!G66)),"",Actuals!G66)</f>
        <v/>
      </c>
      <c r="T51" s="132" t="str">
        <f aca="false">IF(OR(5&gt;$B$3,ISBLANK(Actuals!G66)),"",'Reforecast Q1 2026'!G66-Actuals!G66)</f>
        <v/>
      </c>
      <c r="U51" s="132" t="str">
        <f aca="false">IFERROR(IF(OR(5&gt;$B$3,ISBLANK(Actuals!G66)),"",('Reforecast Q1 2026'!G66-Actuals!G66)/ABS('Reforecast Q1 2026'!G66)),"")</f>
        <v/>
      </c>
      <c r="V51" s="131" t="n">
        <f aca="false">'Reforecast Q1 2026'!H66</f>
        <v>0</v>
      </c>
      <c r="W51" s="131" t="str">
        <f aca="false">IF(OR(6&gt;$B$3,ISBLANK(Actuals!H66)),"",Actuals!H66)</f>
        <v/>
      </c>
      <c r="X51" s="132" t="str">
        <f aca="false">IF(OR(6&gt;$B$3,ISBLANK(Actuals!H66)),"",'Reforecast Q1 2026'!H66-Actuals!H66)</f>
        <v/>
      </c>
      <c r="Y51" s="132" t="str">
        <f aca="false">IFERROR(IF(OR(6&gt;$B$3,ISBLANK(Actuals!H66)),"",('Reforecast Q1 2026'!H66-Actuals!H66)/ABS('Reforecast Q1 2026'!H66)),"")</f>
        <v/>
      </c>
      <c r="Z51" s="131" t="n">
        <f aca="false">'Reforecast Q1 2026'!I66</f>
        <v>0</v>
      </c>
      <c r="AA51" s="131" t="str">
        <f aca="false">IF(OR(7&gt;$B$3,ISBLANK(Actuals!I66)),"",Actuals!I66)</f>
        <v/>
      </c>
      <c r="AB51" s="132" t="str">
        <f aca="false">IF(OR(7&gt;$B$3,ISBLANK(Actuals!I66)),"",'Reforecast Q1 2026'!I66-Actuals!I66)</f>
        <v/>
      </c>
      <c r="AC51" s="132" t="str">
        <f aca="false">IFERROR(IF(OR(7&gt;$B$3,ISBLANK(Actuals!I66)),"",('Reforecast Q1 2026'!I66-Actuals!I66)/ABS('Reforecast Q1 2026'!I66)),"")</f>
        <v/>
      </c>
      <c r="AD51" s="131" t="n">
        <f aca="false">'Reforecast Q1 2026'!J66</f>
        <v>0</v>
      </c>
      <c r="AE51" s="131" t="str">
        <f aca="false">IF(OR(8&gt;$B$3,ISBLANK(Actuals!J66)),"",Actuals!J66)</f>
        <v/>
      </c>
      <c r="AF51" s="132" t="str">
        <f aca="false">IF(OR(8&gt;$B$3,ISBLANK(Actuals!J66)),"",'Reforecast Q1 2026'!J66-Actuals!J66)</f>
        <v/>
      </c>
      <c r="AG51" s="132" t="str">
        <f aca="false">IFERROR(IF(OR(8&gt;$B$3,ISBLANK(Actuals!J66)),"",('Reforecast Q1 2026'!J66-Actuals!J66)/ABS('Reforecast Q1 2026'!J66)),"")</f>
        <v/>
      </c>
      <c r="AH51" s="131" t="n">
        <f aca="false">'Reforecast Q1 2026'!K66</f>
        <v>0</v>
      </c>
      <c r="AI51" s="131" t="str">
        <f aca="false">IF(OR(9&gt;$B$3,ISBLANK(Actuals!K66)),"",Actuals!K66)</f>
        <v/>
      </c>
      <c r="AJ51" s="132" t="str">
        <f aca="false">IF(OR(9&gt;$B$3,ISBLANK(Actuals!K66)),"",'Reforecast Q1 2026'!K66-Actuals!K66)</f>
        <v/>
      </c>
      <c r="AK51" s="132" t="str">
        <f aca="false">IFERROR(IF(OR(9&gt;$B$3,ISBLANK(Actuals!K66)),"",('Reforecast Q1 2026'!K66-Actuals!K66)/ABS('Reforecast Q1 2026'!K66)),"")</f>
        <v/>
      </c>
      <c r="AL51" s="131" t="n">
        <f aca="false">'Reforecast Q1 2026'!L66</f>
        <v>0</v>
      </c>
      <c r="AM51" s="131" t="str">
        <f aca="false">IF(OR(10&gt;$B$3,ISBLANK(Actuals!L66)),"",Actuals!L66)</f>
        <v/>
      </c>
      <c r="AN51" s="132" t="str">
        <f aca="false">IF(OR(10&gt;$B$3,ISBLANK(Actuals!L66)),"",'Reforecast Q1 2026'!L66-Actuals!L66)</f>
        <v/>
      </c>
      <c r="AO51" s="132" t="str">
        <f aca="false">IFERROR(IF(OR(10&gt;$B$3,ISBLANK(Actuals!L66)),"",('Reforecast Q1 2026'!L66-Actuals!L66)/ABS('Reforecast Q1 2026'!L66)),"")</f>
        <v/>
      </c>
      <c r="AP51" s="131" t="n">
        <f aca="false">'Reforecast Q1 2026'!M66</f>
        <v>0</v>
      </c>
      <c r="AQ51" s="131" t="str">
        <f aca="false">IF(OR(11&gt;$B$3,ISBLANK(Actuals!M66)),"",Actuals!M66)</f>
        <v/>
      </c>
      <c r="AR51" s="132" t="str">
        <f aca="false">IF(OR(11&gt;$B$3,ISBLANK(Actuals!M66)),"",'Reforecast Q1 2026'!M66-Actuals!M66)</f>
        <v/>
      </c>
      <c r="AS51" s="132" t="str">
        <f aca="false">IFERROR(IF(OR(11&gt;$B$3,ISBLANK(Actuals!M66)),"",('Reforecast Q1 2026'!M66-Actuals!M66)/ABS('Reforecast Q1 2026'!M66)),"")</f>
        <v/>
      </c>
      <c r="AT51" s="131" t="n">
        <f aca="false">'Reforecast Q1 2026'!N66</f>
        <v>0</v>
      </c>
      <c r="AU51" s="131" t="str">
        <f aca="false">IF(OR(12&gt;$B$3,ISBLANK(Actuals!N66)),"",Actuals!N66)</f>
        <v/>
      </c>
      <c r="AV51" s="132" t="str">
        <f aca="false">IF(OR(12&gt;$B$3,ISBLANK(Actuals!N66)),"",'Reforecast Q1 2026'!N66-Actuals!N66)</f>
        <v/>
      </c>
      <c r="AW51" s="132" t="str">
        <f aca="false">IFERROR(IF(OR(12&gt;$B$3,ISBLANK(Actuals!N66)),"",('Reforecast Q1 2026'!N66-Actuals!N66)/ABS('Reforecast Q1 2026'!N66)),"")</f>
        <v/>
      </c>
      <c r="AX51" s="133" t="n">
        <f aca="false">SUMPRODUCT((Actuals!C66:N66&lt;&gt;"")*('Reforecast Q1 2026'!C66:N66))</f>
        <v>0</v>
      </c>
      <c r="AY51" s="133" t="n">
        <f aca="false">SUM(Actuals!C66:N66)</f>
        <v>0</v>
      </c>
      <c r="AZ51" s="134" t="n">
        <f aca="false">AX51-AY51</f>
        <v>0</v>
      </c>
    </row>
    <row r="52" customFormat="false" ht="15" hidden="false" customHeight="true" outlineLevel="0" collapsed="false">
      <c r="A52" s="130" t="s">
        <v>104</v>
      </c>
      <c r="B52" s="131" t="n">
        <f aca="false">'Reforecast Q1 2026'!C67</f>
        <v>0</v>
      </c>
      <c r="C52" s="131" t="str">
        <f aca="false">IF(OR(1&gt;$B$3,ISBLANK(Actuals!C67)),"",Actuals!C67)</f>
        <v/>
      </c>
      <c r="D52" s="132" t="str">
        <f aca="false">IF(OR(1&gt;$B$3,ISBLANK(Actuals!C67)),"",'Reforecast Q1 2026'!C67-Actuals!C67)</f>
        <v/>
      </c>
      <c r="E52" s="132" t="str">
        <f aca="false">IFERROR(IF(OR(1&gt;$B$3,ISBLANK(Actuals!C67)),"",('Reforecast Q1 2026'!C67-Actuals!C67)/ABS('Reforecast Q1 2026'!C67)),"")</f>
        <v/>
      </c>
      <c r="F52" s="131" t="n">
        <f aca="false">'Reforecast Q1 2026'!D67</f>
        <v>0</v>
      </c>
      <c r="G52" s="131" t="str">
        <f aca="false">IF(OR(2&gt;$B$3,ISBLANK(Actuals!D67)),"",Actuals!D67)</f>
        <v/>
      </c>
      <c r="H52" s="132" t="str">
        <f aca="false">IF(OR(2&gt;$B$3,ISBLANK(Actuals!D67)),"",'Reforecast Q1 2026'!D67-Actuals!D67)</f>
        <v/>
      </c>
      <c r="I52" s="132" t="str">
        <f aca="false">IFERROR(IF(OR(2&gt;$B$3,ISBLANK(Actuals!D67)),"",('Reforecast Q1 2026'!D67-Actuals!D67)/ABS('Reforecast Q1 2026'!D67)),"")</f>
        <v/>
      </c>
      <c r="J52" s="131" t="n">
        <f aca="false">'Reforecast Q1 2026'!E67</f>
        <v>0</v>
      </c>
      <c r="K52" s="131" t="str">
        <f aca="false">IF(OR(3&gt;$B$3,ISBLANK(Actuals!E67)),"",Actuals!E67)</f>
        <v/>
      </c>
      <c r="L52" s="132" t="str">
        <f aca="false">IF(OR(3&gt;$B$3,ISBLANK(Actuals!E67)),"",'Reforecast Q1 2026'!E67-Actuals!E67)</f>
        <v/>
      </c>
      <c r="M52" s="132" t="str">
        <f aca="false">IFERROR(IF(OR(3&gt;$B$3,ISBLANK(Actuals!E67)),"",('Reforecast Q1 2026'!E67-Actuals!E67)/ABS('Reforecast Q1 2026'!E67)),"")</f>
        <v/>
      </c>
      <c r="N52" s="131" t="n">
        <f aca="false">'Reforecast Q1 2026'!F67</f>
        <v>0</v>
      </c>
      <c r="O52" s="131" t="str">
        <f aca="false">IF(OR(4&gt;$B$3,ISBLANK(Actuals!F67)),"",Actuals!F67)</f>
        <v/>
      </c>
      <c r="P52" s="132" t="str">
        <f aca="false">IF(OR(4&gt;$B$3,ISBLANK(Actuals!F67)),"",'Reforecast Q1 2026'!F67-Actuals!F67)</f>
        <v/>
      </c>
      <c r="Q52" s="132" t="str">
        <f aca="false">IFERROR(IF(OR(4&gt;$B$3,ISBLANK(Actuals!F67)),"",('Reforecast Q1 2026'!F67-Actuals!F67)/ABS('Reforecast Q1 2026'!F67)),"")</f>
        <v/>
      </c>
      <c r="R52" s="131" t="n">
        <f aca="false">'Reforecast Q1 2026'!G67</f>
        <v>0</v>
      </c>
      <c r="S52" s="131" t="str">
        <f aca="false">IF(OR(5&gt;$B$3,ISBLANK(Actuals!G67)),"",Actuals!G67)</f>
        <v/>
      </c>
      <c r="T52" s="132" t="str">
        <f aca="false">IF(OR(5&gt;$B$3,ISBLANK(Actuals!G67)),"",'Reforecast Q1 2026'!G67-Actuals!G67)</f>
        <v/>
      </c>
      <c r="U52" s="132" t="str">
        <f aca="false">IFERROR(IF(OR(5&gt;$B$3,ISBLANK(Actuals!G67)),"",('Reforecast Q1 2026'!G67-Actuals!G67)/ABS('Reforecast Q1 2026'!G67)),"")</f>
        <v/>
      </c>
      <c r="V52" s="131" t="n">
        <f aca="false">'Reforecast Q1 2026'!H67</f>
        <v>0</v>
      </c>
      <c r="W52" s="131" t="str">
        <f aca="false">IF(OR(6&gt;$B$3,ISBLANK(Actuals!H67)),"",Actuals!H67)</f>
        <v/>
      </c>
      <c r="X52" s="132" t="str">
        <f aca="false">IF(OR(6&gt;$B$3,ISBLANK(Actuals!H67)),"",'Reforecast Q1 2026'!H67-Actuals!H67)</f>
        <v/>
      </c>
      <c r="Y52" s="132" t="str">
        <f aca="false">IFERROR(IF(OR(6&gt;$B$3,ISBLANK(Actuals!H67)),"",('Reforecast Q1 2026'!H67-Actuals!H67)/ABS('Reforecast Q1 2026'!H67)),"")</f>
        <v/>
      </c>
      <c r="Z52" s="131" t="n">
        <f aca="false">'Reforecast Q1 2026'!I67</f>
        <v>0</v>
      </c>
      <c r="AA52" s="131" t="str">
        <f aca="false">IF(OR(7&gt;$B$3,ISBLANK(Actuals!I67)),"",Actuals!I67)</f>
        <v/>
      </c>
      <c r="AB52" s="132" t="str">
        <f aca="false">IF(OR(7&gt;$B$3,ISBLANK(Actuals!I67)),"",'Reforecast Q1 2026'!I67-Actuals!I67)</f>
        <v/>
      </c>
      <c r="AC52" s="132" t="str">
        <f aca="false">IFERROR(IF(OR(7&gt;$B$3,ISBLANK(Actuals!I67)),"",('Reforecast Q1 2026'!I67-Actuals!I67)/ABS('Reforecast Q1 2026'!I67)),"")</f>
        <v/>
      </c>
      <c r="AD52" s="131" t="n">
        <f aca="false">'Reforecast Q1 2026'!J67</f>
        <v>0</v>
      </c>
      <c r="AE52" s="131" t="str">
        <f aca="false">IF(OR(8&gt;$B$3,ISBLANK(Actuals!J67)),"",Actuals!J67)</f>
        <v/>
      </c>
      <c r="AF52" s="132" t="str">
        <f aca="false">IF(OR(8&gt;$B$3,ISBLANK(Actuals!J67)),"",'Reforecast Q1 2026'!J67-Actuals!J67)</f>
        <v/>
      </c>
      <c r="AG52" s="132" t="str">
        <f aca="false">IFERROR(IF(OR(8&gt;$B$3,ISBLANK(Actuals!J67)),"",('Reforecast Q1 2026'!J67-Actuals!J67)/ABS('Reforecast Q1 2026'!J67)),"")</f>
        <v/>
      </c>
      <c r="AH52" s="131" t="n">
        <f aca="false">'Reforecast Q1 2026'!K67</f>
        <v>0</v>
      </c>
      <c r="AI52" s="131" t="str">
        <f aca="false">IF(OR(9&gt;$B$3,ISBLANK(Actuals!K67)),"",Actuals!K67)</f>
        <v/>
      </c>
      <c r="AJ52" s="132" t="str">
        <f aca="false">IF(OR(9&gt;$B$3,ISBLANK(Actuals!K67)),"",'Reforecast Q1 2026'!K67-Actuals!K67)</f>
        <v/>
      </c>
      <c r="AK52" s="132" t="str">
        <f aca="false">IFERROR(IF(OR(9&gt;$B$3,ISBLANK(Actuals!K67)),"",('Reforecast Q1 2026'!K67-Actuals!K67)/ABS('Reforecast Q1 2026'!K67)),"")</f>
        <v/>
      </c>
      <c r="AL52" s="131" t="n">
        <f aca="false">'Reforecast Q1 2026'!L67</f>
        <v>0</v>
      </c>
      <c r="AM52" s="131" t="str">
        <f aca="false">IF(OR(10&gt;$B$3,ISBLANK(Actuals!L67)),"",Actuals!L67)</f>
        <v/>
      </c>
      <c r="AN52" s="132" t="str">
        <f aca="false">IF(OR(10&gt;$B$3,ISBLANK(Actuals!L67)),"",'Reforecast Q1 2026'!L67-Actuals!L67)</f>
        <v/>
      </c>
      <c r="AO52" s="132" t="str">
        <f aca="false">IFERROR(IF(OR(10&gt;$B$3,ISBLANK(Actuals!L67)),"",('Reforecast Q1 2026'!L67-Actuals!L67)/ABS('Reforecast Q1 2026'!L67)),"")</f>
        <v/>
      </c>
      <c r="AP52" s="131" t="n">
        <f aca="false">'Reforecast Q1 2026'!M67</f>
        <v>0</v>
      </c>
      <c r="AQ52" s="131" t="str">
        <f aca="false">IF(OR(11&gt;$B$3,ISBLANK(Actuals!M67)),"",Actuals!M67)</f>
        <v/>
      </c>
      <c r="AR52" s="132" t="str">
        <f aca="false">IF(OR(11&gt;$B$3,ISBLANK(Actuals!M67)),"",'Reforecast Q1 2026'!M67-Actuals!M67)</f>
        <v/>
      </c>
      <c r="AS52" s="132" t="str">
        <f aca="false">IFERROR(IF(OR(11&gt;$B$3,ISBLANK(Actuals!M67)),"",('Reforecast Q1 2026'!M67-Actuals!M67)/ABS('Reforecast Q1 2026'!M67)),"")</f>
        <v/>
      </c>
      <c r="AT52" s="131" t="n">
        <f aca="false">'Reforecast Q1 2026'!N67</f>
        <v>0</v>
      </c>
      <c r="AU52" s="131" t="str">
        <f aca="false">IF(OR(12&gt;$B$3,ISBLANK(Actuals!N67)),"",Actuals!N67)</f>
        <v/>
      </c>
      <c r="AV52" s="132" t="str">
        <f aca="false">IF(OR(12&gt;$B$3,ISBLANK(Actuals!N67)),"",'Reforecast Q1 2026'!N67-Actuals!N67)</f>
        <v/>
      </c>
      <c r="AW52" s="132" t="str">
        <f aca="false">IFERROR(IF(OR(12&gt;$B$3,ISBLANK(Actuals!N67)),"",('Reforecast Q1 2026'!N67-Actuals!N67)/ABS('Reforecast Q1 2026'!N67)),"")</f>
        <v/>
      </c>
      <c r="AX52" s="133" t="n">
        <f aca="false">SUMPRODUCT((Actuals!C67:N67&lt;&gt;"")*('Reforecast Q1 2026'!C67:N67))</f>
        <v>0</v>
      </c>
      <c r="AY52" s="133" t="n">
        <f aca="false">SUM(Actuals!C67:N67)</f>
        <v>0</v>
      </c>
      <c r="AZ52" s="134" t="n">
        <f aca="false">AX52-AY52</f>
        <v>0</v>
      </c>
    </row>
    <row r="53" customFormat="false" ht="15" hidden="false" customHeight="true" outlineLevel="0" collapsed="false">
      <c r="A53" s="130" t="s">
        <v>105</v>
      </c>
      <c r="B53" s="131" t="n">
        <f aca="false">'Reforecast Q1 2026'!C68</f>
        <v>0</v>
      </c>
      <c r="C53" s="131" t="str">
        <f aca="false">IF(OR(1&gt;$B$3,ISBLANK(Actuals!C68)),"",Actuals!C68)</f>
        <v/>
      </c>
      <c r="D53" s="132" t="str">
        <f aca="false">IF(OR(1&gt;$B$3,ISBLANK(Actuals!C68)),"",'Reforecast Q1 2026'!C68-Actuals!C68)</f>
        <v/>
      </c>
      <c r="E53" s="132" t="str">
        <f aca="false">IFERROR(IF(OR(1&gt;$B$3,ISBLANK(Actuals!C68)),"",('Reforecast Q1 2026'!C68-Actuals!C68)/ABS('Reforecast Q1 2026'!C68)),"")</f>
        <v/>
      </c>
      <c r="F53" s="131" t="n">
        <f aca="false">'Reforecast Q1 2026'!D68</f>
        <v>0</v>
      </c>
      <c r="G53" s="131" t="str">
        <f aca="false">IF(OR(2&gt;$B$3,ISBLANK(Actuals!D68)),"",Actuals!D68)</f>
        <v/>
      </c>
      <c r="H53" s="132" t="str">
        <f aca="false">IF(OR(2&gt;$B$3,ISBLANK(Actuals!D68)),"",'Reforecast Q1 2026'!D68-Actuals!D68)</f>
        <v/>
      </c>
      <c r="I53" s="132" t="str">
        <f aca="false">IFERROR(IF(OR(2&gt;$B$3,ISBLANK(Actuals!D68)),"",('Reforecast Q1 2026'!D68-Actuals!D68)/ABS('Reforecast Q1 2026'!D68)),"")</f>
        <v/>
      </c>
      <c r="J53" s="131" t="n">
        <f aca="false">'Reforecast Q1 2026'!E68</f>
        <v>0</v>
      </c>
      <c r="K53" s="131" t="str">
        <f aca="false">IF(OR(3&gt;$B$3,ISBLANK(Actuals!E68)),"",Actuals!E68)</f>
        <v/>
      </c>
      <c r="L53" s="132" t="str">
        <f aca="false">IF(OR(3&gt;$B$3,ISBLANK(Actuals!E68)),"",'Reforecast Q1 2026'!E68-Actuals!E68)</f>
        <v/>
      </c>
      <c r="M53" s="132" t="str">
        <f aca="false">IFERROR(IF(OR(3&gt;$B$3,ISBLANK(Actuals!E68)),"",('Reforecast Q1 2026'!E68-Actuals!E68)/ABS('Reforecast Q1 2026'!E68)),"")</f>
        <v/>
      </c>
      <c r="N53" s="131" t="n">
        <f aca="false">'Reforecast Q1 2026'!F68</f>
        <v>0</v>
      </c>
      <c r="O53" s="131" t="str">
        <f aca="false">IF(OR(4&gt;$B$3,ISBLANK(Actuals!F68)),"",Actuals!F68)</f>
        <v/>
      </c>
      <c r="P53" s="132" t="str">
        <f aca="false">IF(OR(4&gt;$B$3,ISBLANK(Actuals!F68)),"",'Reforecast Q1 2026'!F68-Actuals!F68)</f>
        <v/>
      </c>
      <c r="Q53" s="132" t="str">
        <f aca="false">IFERROR(IF(OR(4&gt;$B$3,ISBLANK(Actuals!F68)),"",('Reforecast Q1 2026'!F68-Actuals!F68)/ABS('Reforecast Q1 2026'!F68)),"")</f>
        <v/>
      </c>
      <c r="R53" s="131" t="n">
        <f aca="false">'Reforecast Q1 2026'!G68</f>
        <v>0</v>
      </c>
      <c r="S53" s="131" t="str">
        <f aca="false">IF(OR(5&gt;$B$3,ISBLANK(Actuals!G68)),"",Actuals!G68)</f>
        <v/>
      </c>
      <c r="T53" s="132" t="str">
        <f aca="false">IF(OR(5&gt;$B$3,ISBLANK(Actuals!G68)),"",'Reforecast Q1 2026'!G68-Actuals!G68)</f>
        <v/>
      </c>
      <c r="U53" s="132" t="str">
        <f aca="false">IFERROR(IF(OR(5&gt;$B$3,ISBLANK(Actuals!G68)),"",('Reforecast Q1 2026'!G68-Actuals!G68)/ABS('Reforecast Q1 2026'!G68)),"")</f>
        <v/>
      </c>
      <c r="V53" s="131" t="n">
        <f aca="false">'Reforecast Q1 2026'!H68</f>
        <v>0</v>
      </c>
      <c r="W53" s="131" t="str">
        <f aca="false">IF(OR(6&gt;$B$3,ISBLANK(Actuals!H68)),"",Actuals!H68)</f>
        <v/>
      </c>
      <c r="X53" s="132" t="str">
        <f aca="false">IF(OR(6&gt;$B$3,ISBLANK(Actuals!H68)),"",'Reforecast Q1 2026'!H68-Actuals!H68)</f>
        <v/>
      </c>
      <c r="Y53" s="132" t="str">
        <f aca="false">IFERROR(IF(OR(6&gt;$B$3,ISBLANK(Actuals!H68)),"",('Reforecast Q1 2026'!H68-Actuals!H68)/ABS('Reforecast Q1 2026'!H68)),"")</f>
        <v/>
      </c>
      <c r="Z53" s="131" t="n">
        <f aca="false">'Reforecast Q1 2026'!I68</f>
        <v>0</v>
      </c>
      <c r="AA53" s="131" t="str">
        <f aca="false">IF(OR(7&gt;$B$3,ISBLANK(Actuals!I68)),"",Actuals!I68)</f>
        <v/>
      </c>
      <c r="AB53" s="132" t="str">
        <f aca="false">IF(OR(7&gt;$B$3,ISBLANK(Actuals!I68)),"",'Reforecast Q1 2026'!I68-Actuals!I68)</f>
        <v/>
      </c>
      <c r="AC53" s="132" t="str">
        <f aca="false">IFERROR(IF(OR(7&gt;$B$3,ISBLANK(Actuals!I68)),"",('Reforecast Q1 2026'!I68-Actuals!I68)/ABS('Reforecast Q1 2026'!I68)),"")</f>
        <v/>
      </c>
      <c r="AD53" s="131" t="n">
        <f aca="false">'Reforecast Q1 2026'!J68</f>
        <v>0</v>
      </c>
      <c r="AE53" s="131" t="str">
        <f aca="false">IF(OR(8&gt;$B$3,ISBLANK(Actuals!J68)),"",Actuals!J68)</f>
        <v/>
      </c>
      <c r="AF53" s="132" t="str">
        <f aca="false">IF(OR(8&gt;$B$3,ISBLANK(Actuals!J68)),"",'Reforecast Q1 2026'!J68-Actuals!J68)</f>
        <v/>
      </c>
      <c r="AG53" s="132" t="str">
        <f aca="false">IFERROR(IF(OR(8&gt;$B$3,ISBLANK(Actuals!J68)),"",('Reforecast Q1 2026'!J68-Actuals!J68)/ABS('Reforecast Q1 2026'!J68)),"")</f>
        <v/>
      </c>
      <c r="AH53" s="131" t="n">
        <f aca="false">'Reforecast Q1 2026'!K68</f>
        <v>0</v>
      </c>
      <c r="AI53" s="131" t="str">
        <f aca="false">IF(OR(9&gt;$B$3,ISBLANK(Actuals!K68)),"",Actuals!K68)</f>
        <v/>
      </c>
      <c r="AJ53" s="132" t="str">
        <f aca="false">IF(OR(9&gt;$B$3,ISBLANK(Actuals!K68)),"",'Reforecast Q1 2026'!K68-Actuals!K68)</f>
        <v/>
      </c>
      <c r="AK53" s="132" t="str">
        <f aca="false">IFERROR(IF(OR(9&gt;$B$3,ISBLANK(Actuals!K68)),"",('Reforecast Q1 2026'!K68-Actuals!K68)/ABS('Reforecast Q1 2026'!K68)),"")</f>
        <v/>
      </c>
      <c r="AL53" s="131" t="n">
        <f aca="false">'Reforecast Q1 2026'!L68</f>
        <v>0</v>
      </c>
      <c r="AM53" s="131" t="str">
        <f aca="false">IF(OR(10&gt;$B$3,ISBLANK(Actuals!L68)),"",Actuals!L68)</f>
        <v/>
      </c>
      <c r="AN53" s="132" t="str">
        <f aca="false">IF(OR(10&gt;$B$3,ISBLANK(Actuals!L68)),"",'Reforecast Q1 2026'!L68-Actuals!L68)</f>
        <v/>
      </c>
      <c r="AO53" s="132" t="str">
        <f aca="false">IFERROR(IF(OR(10&gt;$B$3,ISBLANK(Actuals!L68)),"",('Reforecast Q1 2026'!L68-Actuals!L68)/ABS('Reforecast Q1 2026'!L68)),"")</f>
        <v/>
      </c>
      <c r="AP53" s="131" t="n">
        <f aca="false">'Reforecast Q1 2026'!M68</f>
        <v>0</v>
      </c>
      <c r="AQ53" s="131" t="str">
        <f aca="false">IF(OR(11&gt;$B$3,ISBLANK(Actuals!M68)),"",Actuals!M68)</f>
        <v/>
      </c>
      <c r="AR53" s="132" t="str">
        <f aca="false">IF(OR(11&gt;$B$3,ISBLANK(Actuals!M68)),"",'Reforecast Q1 2026'!M68-Actuals!M68)</f>
        <v/>
      </c>
      <c r="AS53" s="132" t="str">
        <f aca="false">IFERROR(IF(OR(11&gt;$B$3,ISBLANK(Actuals!M68)),"",('Reforecast Q1 2026'!M68-Actuals!M68)/ABS('Reforecast Q1 2026'!M68)),"")</f>
        <v/>
      </c>
      <c r="AT53" s="131" t="n">
        <f aca="false">'Reforecast Q1 2026'!N68</f>
        <v>0</v>
      </c>
      <c r="AU53" s="131" t="str">
        <f aca="false">IF(OR(12&gt;$B$3,ISBLANK(Actuals!N68)),"",Actuals!N68)</f>
        <v/>
      </c>
      <c r="AV53" s="132" t="str">
        <f aca="false">IF(OR(12&gt;$B$3,ISBLANK(Actuals!N68)),"",'Reforecast Q1 2026'!N68-Actuals!N68)</f>
        <v/>
      </c>
      <c r="AW53" s="132" t="str">
        <f aca="false">IFERROR(IF(OR(12&gt;$B$3,ISBLANK(Actuals!N68)),"",('Reforecast Q1 2026'!N68-Actuals!N68)/ABS('Reforecast Q1 2026'!N68)),"")</f>
        <v/>
      </c>
      <c r="AX53" s="133" t="n">
        <f aca="false">SUMPRODUCT((Actuals!C68:N68&lt;&gt;"")*('Reforecast Q1 2026'!C68:N68))</f>
        <v>0</v>
      </c>
      <c r="AY53" s="133" t="n">
        <f aca="false">SUM(Actuals!C68:N68)</f>
        <v>0</v>
      </c>
      <c r="AZ53" s="134" t="n">
        <f aca="false">AX53-AY53</f>
        <v>0</v>
      </c>
    </row>
    <row r="54" customFormat="false" ht="15" hidden="false" customHeight="true" outlineLevel="0" collapsed="false">
      <c r="A54" s="130" t="s">
        <v>106</v>
      </c>
      <c r="B54" s="131" t="n">
        <f aca="false">'Reforecast Q1 2026'!C69</f>
        <v>9375</v>
      </c>
      <c r="C54" s="131" t="n">
        <f aca="false">IF(OR(1&gt;$B$3,ISBLANK(Actuals!C69)),"",Actuals!C69)</f>
        <v>9375</v>
      </c>
      <c r="D54" s="132" t="n">
        <f aca="false">IF(OR(1&gt;$B$3,ISBLANK(Actuals!C69)),"",'Reforecast Q1 2026'!C69-Actuals!C69)</f>
        <v>0</v>
      </c>
      <c r="E54" s="132" t="n">
        <f aca="false">IFERROR(IF(OR(1&gt;$B$3,ISBLANK(Actuals!C69)),"",('Reforecast Q1 2026'!C69-Actuals!C69)/ABS('Reforecast Q1 2026'!C69)),"")</f>
        <v>0</v>
      </c>
      <c r="F54" s="131" t="n">
        <f aca="false">'Reforecast Q1 2026'!D69</f>
        <v>9375</v>
      </c>
      <c r="G54" s="131" t="n">
        <f aca="false">IF(OR(2&gt;$B$3,ISBLANK(Actuals!D69)),"",Actuals!D69)</f>
        <v>9375</v>
      </c>
      <c r="H54" s="132" t="n">
        <f aca="false">IF(OR(2&gt;$B$3,ISBLANK(Actuals!D69)),"",'Reforecast Q1 2026'!D69-Actuals!D69)</f>
        <v>0</v>
      </c>
      <c r="I54" s="132" t="n">
        <f aca="false">IFERROR(IF(OR(2&gt;$B$3,ISBLANK(Actuals!D69)),"",('Reforecast Q1 2026'!D69-Actuals!D69)/ABS('Reforecast Q1 2026'!D69)),"")</f>
        <v>0</v>
      </c>
      <c r="J54" s="131" t="n">
        <f aca="false">'Reforecast Q1 2026'!E69</f>
        <v>9375</v>
      </c>
      <c r="K54" s="131" t="n">
        <f aca="false">IF(OR(3&gt;$B$3,ISBLANK(Actuals!E69)),"",Actuals!E69)</f>
        <v>9375</v>
      </c>
      <c r="L54" s="132" t="n">
        <f aca="false">IF(OR(3&gt;$B$3,ISBLANK(Actuals!E69)),"",'Reforecast Q1 2026'!E69-Actuals!E69)</f>
        <v>0</v>
      </c>
      <c r="M54" s="132" t="n">
        <f aca="false">IFERROR(IF(OR(3&gt;$B$3,ISBLANK(Actuals!E69)),"",('Reforecast Q1 2026'!E69-Actuals!E69)/ABS('Reforecast Q1 2026'!E69)),"")</f>
        <v>0</v>
      </c>
      <c r="N54" s="131" t="n">
        <f aca="false">'Reforecast Q1 2026'!F69</f>
        <v>9375</v>
      </c>
      <c r="O54" s="131" t="n">
        <f aca="false">IF(OR(4&gt;$B$3,ISBLANK(Actuals!F69)),"",Actuals!F69)</f>
        <v>9375</v>
      </c>
      <c r="P54" s="132" t="n">
        <f aca="false">IF(OR(4&gt;$B$3,ISBLANK(Actuals!F69)),"",'Reforecast Q1 2026'!F69-Actuals!F69)</f>
        <v>0</v>
      </c>
      <c r="Q54" s="132" t="n">
        <f aca="false">IFERROR(IF(OR(4&gt;$B$3,ISBLANK(Actuals!F69)),"",('Reforecast Q1 2026'!F69-Actuals!F69)/ABS('Reforecast Q1 2026'!F69)),"")</f>
        <v>0</v>
      </c>
      <c r="R54" s="131" t="n">
        <f aca="false">'Reforecast Q1 2026'!G69</f>
        <v>9375</v>
      </c>
      <c r="S54" s="131" t="n">
        <f aca="false">IF(OR(5&gt;$B$3,ISBLANK(Actuals!G69)),"",Actuals!G69)</f>
        <v>9375</v>
      </c>
      <c r="T54" s="132" t="n">
        <f aca="false">IF(OR(5&gt;$B$3,ISBLANK(Actuals!G69)),"",'Reforecast Q1 2026'!G69-Actuals!G69)</f>
        <v>0</v>
      </c>
      <c r="U54" s="132" t="n">
        <f aca="false">IFERROR(IF(OR(5&gt;$B$3,ISBLANK(Actuals!G69)),"",('Reforecast Q1 2026'!G69-Actuals!G69)/ABS('Reforecast Q1 2026'!G69)),"")</f>
        <v>0</v>
      </c>
      <c r="V54" s="131" t="n">
        <f aca="false">'Reforecast Q1 2026'!H69</f>
        <v>9375</v>
      </c>
      <c r="W54" s="131" t="n">
        <f aca="false">IF(OR(6&gt;$B$3,ISBLANK(Actuals!H69)),"",Actuals!H69)</f>
        <v>9375</v>
      </c>
      <c r="X54" s="132" t="n">
        <f aca="false">IF(OR(6&gt;$B$3,ISBLANK(Actuals!H69)),"",'Reforecast Q1 2026'!H69-Actuals!H69)</f>
        <v>0</v>
      </c>
      <c r="Y54" s="132" t="n">
        <f aca="false">IFERROR(IF(OR(6&gt;$B$3,ISBLANK(Actuals!H69)),"",('Reforecast Q1 2026'!H69-Actuals!H69)/ABS('Reforecast Q1 2026'!H69)),"")</f>
        <v>0</v>
      </c>
      <c r="Z54" s="131" t="n">
        <f aca="false">'Reforecast Q1 2026'!I69</f>
        <v>9375</v>
      </c>
      <c r="AA54" s="131" t="n">
        <f aca="false">IF(OR(7&gt;$B$3,ISBLANK(Actuals!I69)),"",Actuals!I69)</f>
        <v>9375</v>
      </c>
      <c r="AB54" s="132" t="n">
        <f aca="false">IF(OR(7&gt;$B$3,ISBLANK(Actuals!I69)),"",'Reforecast Q1 2026'!I69-Actuals!I69)</f>
        <v>0</v>
      </c>
      <c r="AC54" s="132" t="n">
        <f aca="false">IFERROR(IF(OR(7&gt;$B$3,ISBLANK(Actuals!I69)),"",('Reforecast Q1 2026'!I69-Actuals!I69)/ABS('Reforecast Q1 2026'!I69)),"")</f>
        <v>0</v>
      </c>
      <c r="AD54" s="131" t="n">
        <f aca="false">'Reforecast Q1 2026'!J69</f>
        <v>9375</v>
      </c>
      <c r="AE54" s="131" t="n">
        <f aca="false">IF(OR(8&gt;$B$3,ISBLANK(Actuals!J69)),"",Actuals!J69)</f>
        <v>9375</v>
      </c>
      <c r="AF54" s="132" t="n">
        <f aca="false">IF(OR(8&gt;$B$3,ISBLANK(Actuals!J69)),"",'Reforecast Q1 2026'!J69-Actuals!J69)</f>
        <v>0</v>
      </c>
      <c r="AG54" s="132" t="n">
        <f aca="false">IFERROR(IF(OR(8&gt;$B$3,ISBLANK(Actuals!J69)),"",('Reforecast Q1 2026'!J69-Actuals!J69)/ABS('Reforecast Q1 2026'!J69)),"")</f>
        <v>0</v>
      </c>
      <c r="AH54" s="131" t="n">
        <f aca="false">'Reforecast Q1 2026'!K69</f>
        <v>9375</v>
      </c>
      <c r="AI54" s="131" t="n">
        <f aca="false">IF(OR(9&gt;$B$3,ISBLANK(Actuals!K69)),"",Actuals!K69)</f>
        <v>9375</v>
      </c>
      <c r="AJ54" s="132" t="n">
        <f aca="false">IF(OR(9&gt;$B$3,ISBLANK(Actuals!K69)),"",'Reforecast Q1 2026'!K69-Actuals!K69)</f>
        <v>0</v>
      </c>
      <c r="AK54" s="132" t="n">
        <f aca="false">IFERROR(IF(OR(9&gt;$B$3,ISBLANK(Actuals!K69)),"",('Reforecast Q1 2026'!K69-Actuals!K69)/ABS('Reforecast Q1 2026'!K69)),"")</f>
        <v>0</v>
      </c>
      <c r="AL54" s="131" t="n">
        <f aca="false">'Reforecast Q1 2026'!L69</f>
        <v>9375</v>
      </c>
      <c r="AM54" s="131" t="str">
        <f aca="false">IF(OR(10&gt;$B$3,ISBLANK(Actuals!L69)),"",Actuals!L69)</f>
        <v/>
      </c>
      <c r="AN54" s="132" t="str">
        <f aca="false">IF(OR(10&gt;$B$3,ISBLANK(Actuals!L69)),"",'Reforecast Q1 2026'!L69-Actuals!L69)</f>
        <v/>
      </c>
      <c r="AO54" s="132" t="str">
        <f aca="false">IFERROR(IF(OR(10&gt;$B$3,ISBLANK(Actuals!L69)),"",('Reforecast Q1 2026'!L69-Actuals!L69)/ABS('Reforecast Q1 2026'!L69)),"")</f>
        <v/>
      </c>
      <c r="AP54" s="131" t="n">
        <f aca="false">'Reforecast Q1 2026'!M69</f>
        <v>0</v>
      </c>
      <c r="AQ54" s="131" t="str">
        <f aca="false">IF(OR(11&gt;$B$3,ISBLANK(Actuals!M69)),"",Actuals!M69)</f>
        <v/>
      </c>
      <c r="AR54" s="132" t="str">
        <f aca="false">IF(OR(11&gt;$B$3,ISBLANK(Actuals!M69)),"",'Reforecast Q1 2026'!M69-Actuals!M69)</f>
        <v/>
      </c>
      <c r="AS54" s="132" t="str">
        <f aca="false">IFERROR(IF(OR(11&gt;$B$3,ISBLANK(Actuals!M69)),"",('Reforecast Q1 2026'!M69-Actuals!M69)/ABS('Reforecast Q1 2026'!M69)),"")</f>
        <v/>
      </c>
      <c r="AT54" s="131" t="n">
        <f aca="false">'Reforecast Q1 2026'!N69</f>
        <v>0</v>
      </c>
      <c r="AU54" s="131" t="str">
        <f aca="false">IF(OR(12&gt;$B$3,ISBLANK(Actuals!N69)),"",Actuals!N69)</f>
        <v/>
      </c>
      <c r="AV54" s="132" t="str">
        <f aca="false">IF(OR(12&gt;$B$3,ISBLANK(Actuals!N69)),"",'Reforecast Q1 2026'!N69-Actuals!N69)</f>
        <v/>
      </c>
      <c r="AW54" s="132" t="str">
        <f aca="false">IFERROR(IF(OR(12&gt;$B$3,ISBLANK(Actuals!N69)),"",('Reforecast Q1 2026'!N69-Actuals!N69)/ABS('Reforecast Q1 2026'!N69)),"")</f>
        <v/>
      </c>
      <c r="AX54" s="133" t="n">
        <f aca="false">SUMPRODUCT((Actuals!C69:N69&lt;&gt;"")*('Reforecast Q1 2026'!C69:N69))</f>
        <v>84375</v>
      </c>
      <c r="AY54" s="133" t="n">
        <f aca="false">SUM(Actuals!C69:N69)</f>
        <v>84375</v>
      </c>
      <c r="AZ54" s="134" t="n">
        <f aca="false">AX54-AY54</f>
        <v>0</v>
      </c>
    </row>
    <row r="55" customFormat="false" ht="15" hidden="false" customHeight="true" outlineLevel="0" collapsed="false">
      <c r="A55" s="130" t="s">
        <v>107</v>
      </c>
      <c r="B55" s="131" t="n">
        <f aca="false">'Reforecast Q1 2026'!C70</f>
        <v>0</v>
      </c>
      <c r="C55" s="131" t="str">
        <f aca="false">IF(OR(1&gt;$B$3,ISBLANK(Actuals!C70)),"",Actuals!C70)</f>
        <v/>
      </c>
      <c r="D55" s="132" t="str">
        <f aca="false">IF(OR(1&gt;$B$3,ISBLANK(Actuals!C70)),"",'Reforecast Q1 2026'!C70-Actuals!C70)</f>
        <v/>
      </c>
      <c r="E55" s="132" t="str">
        <f aca="false">IFERROR(IF(OR(1&gt;$B$3,ISBLANK(Actuals!C70)),"",('Reforecast Q1 2026'!C70-Actuals!C70)/ABS('Reforecast Q1 2026'!C70)),"")</f>
        <v/>
      </c>
      <c r="F55" s="131" t="n">
        <f aca="false">'Reforecast Q1 2026'!D70</f>
        <v>0</v>
      </c>
      <c r="G55" s="131" t="str">
        <f aca="false">IF(OR(2&gt;$B$3,ISBLANK(Actuals!D70)),"",Actuals!D70)</f>
        <v/>
      </c>
      <c r="H55" s="132" t="str">
        <f aca="false">IF(OR(2&gt;$B$3,ISBLANK(Actuals!D70)),"",'Reforecast Q1 2026'!D70-Actuals!D70)</f>
        <v/>
      </c>
      <c r="I55" s="132" t="str">
        <f aca="false">IFERROR(IF(OR(2&gt;$B$3,ISBLANK(Actuals!D70)),"",('Reforecast Q1 2026'!D70-Actuals!D70)/ABS('Reforecast Q1 2026'!D70)),"")</f>
        <v/>
      </c>
      <c r="J55" s="131" t="n">
        <f aca="false">'Reforecast Q1 2026'!E70</f>
        <v>0</v>
      </c>
      <c r="K55" s="131" t="str">
        <f aca="false">IF(OR(3&gt;$B$3,ISBLANK(Actuals!E70)),"",Actuals!E70)</f>
        <v/>
      </c>
      <c r="L55" s="132" t="str">
        <f aca="false">IF(OR(3&gt;$B$3,ISBLANK(Actuals!E70)),"",'Reforecast Q1 2026'!E70-Actuals!E70)</f>
        <v/>
      </c>
      <c r="M55" s="132" t="str">
        <f aca="false">IFERROR(IF(OR(3&gt;$B$3,ISBLANK(Actuals!E70)),"",('Reforecast Q1 2026'!E70-Actuals!E70)/ABS('Reforecast Q1 2026'!E70)),"")</f>
        <v/>
      </c>
      <c r="N55" s="131" t="n">
        <f aca="false">'Reforecast Q1 2026'!F70</f>
        <v>9500</v>
      </c>
      <c r="O55" s="131" t="str">
        <f aca="false">IF(OR(4&gt;$B$3,ISBLANK(Actuals!F70)),"",Actuals!F70)</f>
        <v/>
      </c>
      <c r="P55" s="132" t="str">
        <f aca="false">IF(OR(4&gt;$B$3,ISBLANK(Actuals!F70)),"",'Reforecast Q1 2026'!F70-Actuals!F70)</f>
        <v/>
      </c>
      <c r="Q55" s="132" t="str">
        <f aca="false">IFERROR(IF(OR(4&gt;$B$3,ISBLANK(Actuals!F70)),"",('Reforecast Q1 2026'!F70-Actuals!F70)/ABS('Reforecast Q1 2026'!F70)),"")</f>
        <v/>
      </c>
      <c r="R55" s="131" t="n">
        <f aca="false">'Reforecast Q1 2026'!G70</f>
        <v>9500</v>
      </c>
      <c r="S55" s="131" t="str">
        <f aca="false">IF(OR(5&gt;$B$3,ISBLANK(Actuals!G70)),"",Actuals!G70)</f>
        <v/>
      </c>
      <c r="T55" s="132" t="str">
        <f aca="false">IF(OR(5&gt;$B$3,ISBLANK(Actuals!G70)),"",'Reforecast Q1 2026'!G70-Actuals!G70)</f>
        <v/>
      </c>
      <c r="U55" s="132" t="str">
        <f aca="false">IFERROR(IF(OR(5&gt;$B$3,ISBLANK(Actuals!G70)),"",('Reforecast Q1 2026'!G70-Actuals!G70)/ABS('Reforecast Q1 2026'!G70)),"")</f>
        <v/>
      </c>
      <c r="V55" s="131" t="n">
        <f aca="false">'Reforecast Q1 2026'!H70</f>
        <v>9500</v>
      </c>
      <c r="W55" s="131" t="str">
        <f aca="false">IF(OR(6&gt;$B$3,ISBLANK(Actuals!H70)),"",Actuals!H70)</f>
        <v/>
      </c>
      <c r="X55" s="132" t="str">
        <f aca="false">IF(OR(6&gt;$B$3,ISBLANK(Actuals!H70)),"",'Reforecast Q1 2026'!H70-Actuals!H70)</f>
        <v/>
      </c>
      <c r="Y55" s="132" t="str">
        <f aca="false">IFERROR(IF(OR(6&gt;$B$3,ISBLANK(Actuals!H70)),"",('Reforecast Q1 2026'!H70-Actuals!H70)/ABS('Reforecast Q1 2026'!H70)),"")</f>
        <v/>
      </c>
      <c r="Z55" s="131" t="n">
        <f aca="false">'Reforecast Q1 2026'!I70</f>
        <v>9500</v>
      </c>
      <c r="AA55" s="131" t="n">
        <f aca="false">IF(OR(7&gt;$B$3,ISBLANK(Actuals!I70)),"",Actuals!I70)</f>
        <v>44000</v>
      </c>
      <c r="AB55" s="132" t="n">
        <f aca="false">IF(OR(7&gt;$B$3,ISBLANK(Actuals!I70)),"",'Reforecast Q1 2026'!I70-Actuals!I70)</f>
        <v>-34500</v>
      </c>
      <c r="AC55" s="132" t="n">
        <f aca="false">IFERROR(IF(OR(7&gt;$B$3,ISBLANK(Actuals!I70)),"",('Reforecast Q1 2026'!I70-Actuals!I70)/ABS('Reforecast Q1 2026'!I70)),"")</f>
        <v>-3.63157894736842</v>
      </c>
      <c r="AD55" s="131" t="n">
        <f aca="false">'Reforecast Q1 2026'!J70</f>
        <v>9500</v>
      </c>
      <c r="AE55" s="131" t="n">
        <f aca="false">IF(OR(8&gt;$B$3,ISBLANK(Actuals!J70)),"",Actuals!J70)</f>
        <v>19000</v>
      </c>
      <c r="AF55" s="132" t="n">
        <f aca="false">IF(OR(8&gt;$B$3,ISBLANK(Actuals!J70)),"",'Reforecast Q1 2026'!J70-Actuals!J70)</f>
        <v>-9500</v>
      </c>
      <c r="AG55" s="132" t="n">
        <f aca="false">IFERROR(IF(OR(8&gt;$B$3,ISBLANK(Actuals!J70)),"",('Reforecast Q1 2026'!J70-Actuals!J70)/ABS('Reforecast Q1 2026'!J70)),"")</f>
        <v>-1</v>
      </c>
      <c r="AH55" s="131" t="n">
        <f aca="false">'Reforecast Q1 2026'!K70</f>
        <v>9500</v>
      </c>
      <c r="AI55" s="131" t="n">
        <f aca="false">IF(OR(9&gt;$B$3,ISBLANK(Actuals!K70)),"",Actuals!K70)</f>
        <v>8800</v>
      </c>
      <c r="AJ55" s="132" t="n">
        <f aca="false">IF(OR(9&gt;$B$3,ISBLANK(Actuals!K70)),"",'Reforecast Q1 2026'!K70-Actuals!K70)</f>
        <v>700</v>
      </c>
      <c r="AK55" s="132" t="n">
        <f aca="false">IFERROR(IF(OR(9&gt;$B$3,ISBLANK(Actuals!K70)),"",('Reforecast Q1 2026'!K70-Actuals!K70)/ABS('Reforecast Q1 2026'!K70)),"")</f>
        <v>0.0736842105263158</v>
      </c>
      <c r="AL55" s="131" t="n">
        <f aca="false">'Reforecast Q1 2026'!L70</f>
        <v>9500</v>
      </c>
      <c r="AM55" s="131" t="str">
        <f aca="false">IF(OR(10&gt;$B$3,ISBLANK(Actuals!L70)),"",Actuals!L70)</f>
        <v/>
      </c>
      <c r="AN55" s="132" t="str">
        <f aca="false">IF(OR(10&gt;$B$3,ISBLANK(Actuals!L70)),"",'Reforecast Q1 2026'!L70-Actuals!L70)</f>
        <v/>
      </c>
      <c r="AO55" s="132" t="str">
        <f aca="false">IFERROR(IF(OR(10&gt;$B$3,ISBLANK(Actuals!L70)),"",('Reforecast Q1 2026'!L70-Actuals!L70)/ABS('Reforecast Q1 2026'!L70)),"")</f>
        <v/>
      </c>
      <c r="AP55" s="131" t="n">
        <f aca="false">'Reforecast Q1 2026'!M70</f>
        <v>9500</v>
      </c>
      <c r="AQ55" s="131" t="str">
        <f aca="false">IF(OR(11&gt;$B$3,ISBLANK(Actuals!M70)),"",Actuals!M70)</f>
        <v/>
      </c>
      <c r="AR55" s="132" t="str">
        <f aca="false">IF(OR(11&gt;$B$3,ISBLANK(Actuals!M70)),"",'Reforecast Q1 2026'!M70-Actuals!M70)</f>
        <v/>
      </c>
      <c r="AS55" s="132" t="str">
        <f aca="false">IFERROR(IF(OR(11&gt;$B$3,ISBLANK(Actuals!M70)),"",('Reforecast Q1 2026'!M70-Actuals!M70)/ABS('Reforecast Q1 2026'!M70)),"")</f>
        <v/>
      </c>
      <c r="AT55" s="131" t="n">
        <f aca="false">'Reforecast Q1 2026'!N70</f>
        <v>9500</v>
      </c>
      <c r="AU55" s="131" t="str">
        <f aca="false">IF(OR(12&gt;$B$3,ISBLANK(Actuals!N70)),"",Actuals!N70)</f>
        <v/>
      </c>
      <c r="AV55" s="132" t="str">
        <f aca="false">IF(OR(12&gt;$B$3,ISBLANK(Actuals!N70)),"",'Reforecast Q1 2026'!N70-Actuals!N70)</f>
        <v/>
      </c>
      <c r="AW55" s="132" t="str">
        <f aca="false">IFERROR(IF(OR(12&gt;$B$3,ISBLANK(Actuals!N70)),"",('Reforecast Q1 2026'!N70-Actuals!N70)/ABS('Reforecast Q1 2026'!N70)),"")</f>
        <v/>
      </c>
      <c r="AX55" s="133" t="n">
        <f aca="false">SUMPRODUCT((Actuals!C70:N70&lt;&gt;"")*('Reforecast Q1 2026'!C70:N70))</f>
        <v>28500</v>
      </c>
      <c r="AY55" s="133" t="n">
        <f aca="false">SUM(Actuals!C70:N70)</f>
        <v>71800</v>
      </c>
      <c r="AZ55" s="134" t="n">
        <f aca="false">AX55-AY55</f>
        <v>-43300</v>
      </c>
    </row>
    <row r="56" customFormat="false" ht="15" hidden="false" customHeight="true" outlineLevel="0" collapsed="false">
      <c r="A56" s="130" t="s">
        <v>360</v>
      </c>
      <c r="B56" s="131" t="n">
        <f aca="false">'Reforecast Q1 2026'!C71</f>
        <v>0</v>
      </c>
      <c r="C56" s="131" t="str">
        <f aca="false">IF(OR(1&gt;$B$3,ISBLANK(Actuals!C71)),"",Actuals!C71)</f>
        <v/>
      </c>
      <c r="D56" s="132" t="str">
        <f aca="false">IF(OR(1&gt;$B$3,ISBLANK(Actuals!C71)),"",'Reforecast Q1 2026'!C71-Actuals!C71)</f>
        <v/>
      </c>
      <c r="E56" s="132" t="str">
        <f aca="false">IFERROR(IF(OR(1&gt;$B$3,ISBLANK(Actuals!C71)),"",('Reforecast Q1 2026'!C71-Actuals!C71)/ABS('Reforecast Q1 2026'!C71)),"")</f>
        <v/>
      </c>
      <c r="F56" s="131" t="n">
        <f aca="false">'Reforecast Q1 2026'!D71</f>
        <v>0</v>
      </c>
      <c r="G56" s="131" t="str">
        <f aca="false">IF(OR(2&gt;$B$3,ISBLANK(Actuals!D71)),"",Actuals!D71)</f>
        <v/>
      </c>
      <c r="H56" s="132" t="str">
        <f aca="false">IF(OR(2&gt;$B$3,ISBLANK(Actuals!D71)),"",'Reforecast Q1 2026'!D71-Actuals!D71)</f>
        <v/>
      </c>
      <c r="I56" s="132" t="str">
        <f aca="false">IFERROR(IF(OR(2&gt;$B$3,ISBLANK(Actuals!D71)),"",('Reforecast Q1 2026'!D71-Actuals!D71)/ABS('Reforecast Q1 2026'!D71)),"")</f>
        <v/>
      </c>
      <c r="J56" s="131" t="n">
        <f aca="false">'Reforecast Q1 2026'!E71</f>
        <v>0</v>
      </c>
      <c r="K56" s="131" t="str">
        <f aca="false">IF(OR(3&gt;$B$3,ISBLANK(Actuals!E71)),"",Actuals!E71)</f>
        <v/>
      </c>
      <c r="L56" s="132" t="str">
        <f aca="false">IF(OR(3&gt;$B$3,ISBLANK(Actuals!E71)),"",'Reforecast Q1 2026'!E71-Actuals!E71)</f>
        <v/>
      </c>
      <c r="M56" s="132" t="str">
        <f aca="false">IFERROR(IF(OR(3&gt;$B$3,ISBLANK(Actuals!E71)),"",('Reforecast Q1 2026'!E71-Actuals!E71)/ABS('Reforecast Q1 2026'!E71)),"")</f>
        <v/>
      </c>
      <c r="N56" s="131" t="n">
        <f aca="false">'Reforecast Q1 2026'!F71</f>
        <v>0</v>
      </c>
      <c r="O56" s="131" t="str">
        <f aca="false">IF(OR(4&gt;$B$3,ISBLANK(Actuals!F71)),"",Actuals!F71)</f>
        <v/>
      </c>
      <c r="P56" s="132" t="str">
        <f aca="false">IF(OR(4&gt;$B$3,ISBLANK(Actuals!F71)),"",'Reforecast Q1 2026'!F71-Actuals!F71)</f>
        <v/>
      </c>
      <c r="Q56" s="132" t="str">
        <f aca="false">IFERROR(IF(OR(4&gt;$B$3,ISBLANK(Actuals!F71)),"",('Reforecast Q1 2026'!F71-Actuals!F71)/ABS('Reforecast Q1 2026'!F71)),"")</f>
        <v/>
      </c>
      <c r="R56" s="131" t="n">
        <f aca="false">'Reforecast Q1 2026'!G71</f>
        <v>0</v>
      </c>
      <c r="S56" s="131" t="str">
        <f aca="false">IF(OR(5&gt;$B$3,ISBLANK(Actuals!G71)),"",Actuals!G71)</f>
        <v/>
      </c>
      <c r="T56" s="132" t="str">
        <f aca="false">IF(OR(5&gt;$B$3,ISBLANK(Actuals!G71)),"",'Reforecast Q1 2026'!G71-Actuals!G71)</f>
        <v/>
      </c>
      <c r="U56" s="132" t="str">
        <f aca="false">IFERROR(IF(OR(5&gt;$B$3,ISBLANK(Actuals!G71)),"",('Reforecast Q1 2026'!G71-Actuals!G71)/ABS('Reforecast Q1 2026'!G71)),"")</f>
        <v/>
      </c>
      <c r="V56" s="131" t="n">
        <f aca="false">'Reforecast Q1 2026'!H71</f>
        <v>0</v>
      </c>
      <c r="W56" s="131" t="str">
        <f aca="false">IF(OR(6&gt;$B$3,ISBLANK(Actuals!H71)),"",Actuals!H71)</f>
        <v/>
      </c>
      <c r="X56" s="132" t="str">
        <f aca="false">IF(OR(6&gt;$B$3,ISBLANK(Actuals!H71)),"",'Reforecast Q1 2026'!H71-Actuals!H71)</f>
        <v/>
      </c>
      <c r="Y56" s="132" t="str">
        <f aca="false">IFERROR(IF(OR(6&gt;$B$3,ISBLANK(Actuals!H71)),"",('Reforecast Q1 2026'!H71-Actuals!H71)/ABS('Reforecast Q1 2026'!H71)),"")</f>
        <v/>
      </c>
      <c r="Z56" s="131" t="n">
        <f aca="false">'Reforecast Q1 2026'!I71</f>
        <v>0</v>
      </c>
      <c r="AA56" s="131" t="str">
        <f aca="false">IF(OR(7&gt;$B$3,ISBLANK(Actuals!I71)),"",Actuals!I71)</f>
        <v/>
      </c>
      <c r="AB56" s="132" t="str">
        <f aca="false">IF(OR(7&gt;$B$3,ISBLANK(Actuals!I71)),"",'Reforecast Q1 2026'!I71-Actuals!I71)</f>
        <v/>
      </c>
      <c r="AC56" s="132" t="str">
        <f aca="false">IFERROR(IF(OR(7&gt;$B$3,ISBLANK(Actuals!I71)),"",('Reforecast Q1 2026'!I71-Actuals!I71)/ABS('Reforecast Q1 2026'!I71)),"")</f>
        <v/>
      </c>
      <c r="AD56" s="131" t="n">
        <f aca="false">'Reforecast Q1 2026'!J71</f>
        <v>0</v>
      </c>
      <c r="AE56" s="131" t="str">
        <f aca="false">IF(OR(8&gt;$B$3,ISBLANK(Actuals!J71)),"",Actuals!J71)</f>
        <v/>
      </c>
      <c r="AF56" s="132" t="str">
        <f aca="false">IF(OR(8&gt;$B$3,ISBLANK(Actuals!J71)),"",'Reforecast Q1 2026'!J71-Actuals!J71)</f>
        <v/>
      </c>
      <c r="AG56" s="132" t="str">
        <f aca="false">IFERROR(IF(OR(8&gt;$B$3,ISBLANK(Actuals!J71)),"",('Reforecast Q1 2026'!J71-Actuals!J71)/ABS('Reforecast Q1 2026'!J71)),"")</f>
        <v/>
      </c>
      <c r="AH56" s="131" t="n">
        <f aca="false">'Reforecast Q1 2026'!K71</f>
        <v>0</v>
      </c>
      <c r="AI56" s="131" t="str">
        <f aca="false">IF(OR(9&gt;$B$3,ISBLANK(Actuals!K71)),"",Actuals!K71)</f>
        <v/>
      </c>
      <c r="AJ56" s="132" t="str">
        <f aca="false">IF(OR(9&gt;$B$3,ISBLANK(Actuals!K71)),"",'Reforecast Q1 2026'!K71-Actuals!K71)</f>
        <v/>
      </c>
      <c r="AK56" s="132" t="str">
        <f aca="false">IFERROR(IF(OR(9&gt;$B$3,ISBLANK(Actuals!K71)),"",('Reforecast Q1 2026'!K71-Actuals!K71)/ABS('Reforecast Q1 2026'!K71)),"")</f>
        <v/>
      </c>
      <c r="AL56" s="131" t="n">
        <f aca="false">'Reforecast Q1 2026'!L71</f>
        <v>0</v>
      </c>
      <c r="AM56" s="131" t="str">
        <f aca="false">IF(OR(10&gt;$B$3,ISBLANK(Actuals!L71)),"",Actuals!L71)</f>
        <v/>
      </c>
      <c r="AN56" s="132" t="str">
        <f aca="false">IF(OR(10&gt;$B$3,ISBLANK(Actuals!L71)),"",'Reforecast Q1 2026'!L71-Actuals!L71)</f>
        <v/>
      </c>
      <c r="AO56" s="132" t="str">
        <f aca="false">IFERROR(IF(OR(10&gt;$B$3,ISBLANK(Actuals!L71)),"",('Reforecast Q1 2026'!L71-Actuals!L71)/ABS('Reforecast Q1 2026'!L71)),"")</f>
        <v/>
      </c>
      <c r="AP56" s="131" t="n">
        <f aca="false">'Reforecast Q1 2026'!M71</f>
        <v>0</v>
      </c>
      <c r="AQ56" s="131" t="str">
        <f aca="false">IF(OR(11&gt;$B$3,ISBLANK(Actuals!M71)),"",Actuals!M71)</f>
        <v/>
      </c>
      <c r="AR56" s="132" t="str">
        <f aca="false">IF(OR(11&gt;$B$3,ISBLANK(Actuals!M71)),"",'Reforecast Q1 2026'!M71-Actuals!M71)</f>
        <v/>
      </c>
      <c r="AS56" s="132" t="str">
        <f aca="false">IFERROR(IF(OR(11&gt;$B$3,ISBLANK(Actuals!M71)),"",('Reforecast Q1 2026'!M71-Actuals!M71)/ABS('Reforecast Q1 2026'!M71)),"")</f>
        <v/>
      </c>
      <c r="AT56" s="131" t="n">
        <f aca="false">'Reforecast Q1 2026'!N71</f>
        <v>0</v>
      </c>
      <c r="AU56" s="131" t="str">
        <f aca="false">IF(OR(12&gt;$B$3,ISBLANK(Actuals!N71)),"",Actuals!N71)</f>
        <v/>
      </c>
      <c r="AV56" s="132" t="str">
        <f aca="false">IF(OR(12&gt;$B$3,ISBLANK(Actuals!N71)),"",'Reforecast Q1 2026'!N71-Actuals!N71)</f>
        <v/>
      </c>
      <c r="AW56" s="132" t="str">
        <f aca="false">IFERROR(IF(OR(12&gt;$B$3,ISBLANK(Actuals!N71)),"",('Reforecast Q1 2026'!N71-Actuals!N71)/ABS('Reforecast Q1 2026'!N71)),"")</f>
        <v/>
      </c>
      <c r="AX56" s="133" t="n">
        <f aca="false">SUMPRODUCT((Actuals!C71:N71&lt;&gt;"")*('Reforecast Q1 2026'!C71:N71))</f>
        <v>0</v>
      </c>
      <c r="AY56" s="133" t="n">
        <f aca="false">SUM(Actuals!C71:N71)</f>
        <v>0</v>
      </c>
      <c r="AZ56" s="134" t="n">
        <f aca="false">AX56-AY56</f>
        <v>0</v>
      </c>
    </row>
    <row r="57" customFormat="false" ht="15" hidden="false" customHeight="true" outlineLevel="0" collapsed="false">
      <c r="A57" s="130" t="s">
        <v>109</v>
      </c>
      <c r="B57" s="131" t="n">
        <f aca="false">'Reforecast Q1 2026'!C72</f>
        <v>0</v>
      </c>
      <c r="C57" s="131" t="str">
        <f aca="false">IF(OR(1&gt;$B$3,ISBLANK(Actuals!C72)),"",Actuals!C72)</f>
        <v/>
      </c>
      <c r="D57" s="132" t="str">
        <f aca="false">IF(OR(1&gt;$B$3,ISBLANK(Actuals!C72)),"",'Reforecast Q1 2026'!C72-Actuals!C72)</f>
        <v/>
      </c>
      <c r="E57" s="132" t="str">
        <f aca="false">IFERROR(IF(OR(1&gt;$B$3,ISBLANK(Actuals!C72)),"",('Reforecast Q1 2026'!C72-Actuals!C72)/ABS('Reforecast Q1 2026'!C72)),"")</f>
        <v/>
      </c>
      <c r="F57" s="131" t="n">
        <f aca="false">'Reforecast Q1 2026'!D72</f>
        <v>0</v>
      </c>
      <c r="G57" s="131" t="str">
        <f aca="false">IF(OR(2&gt;$B$3,ISBLANK(Actuals!D72)),"",Actuals!D72)</f>
        <v/>
      </c>
      <c r="H57" s="132" t="str">
        <f aca="false">IF(OR(2&gt;$B$3,ISBLANK(Actuals!D72)),"",'Reforecast Q1 2026'!D72-Actuals!D72)</f>
        <v/>
      </c>
      <c r="I57" s="132" t="str">
        <f aca="false">IFERROR(IF(OR(2&gt;$B$3,ISBLANK(Actuals!D72)),"",('Reforecast Q1 2026'!D72-Actuals!D72)/ABS('Reforecast Q1 2026'!D72)),"")</f>
        <v/>
      </c>
      <c r="J57" s="131" t="n">
        <f aca="false">'Reforecast Q1 2026'!E72</f>
        <v>0</v>
      </c>
      <c r="K57" s="131" t="str">
        <f aca="false">IF(OR(3&gt;$B$3,ISBLANK(Actuals!E72)),"",Actuals!E72)</f>
        <v/>
      </c>
      <c r="L57" s="132" t="str">
        <f aca="false">IF(OR(3&gt;$B$3,ISBLANK(Actuals!E72)),"",'Reforecast Q1 2026'!E72-Actuals!E72)</f>
        <v/>
      </c>
      <c r="M57" s="132" t="str">
        <f aca="false">IFERROR(IF(OR(3&gt;$B$3,ISBLANK(Actuals!E72)),"",('Reforecast Q1 2026'!E72-Actuals!E72)/ABS('Reforecast Q1 2026'!E72)),"")</f>
        <v/>
      </c>
      <c r="N57" s="131" t="n">
        <f aca="false">'Reforecast Q1 2026'!F72</f>
        <v>0</v>
      </c>
      <c r="O57" s="131" t="str">
        <f aca="false">IF(OR(4&gt;$B$3,ISBLANK(Actuals!F72)),"",Actuals!F72)</f>
        <v/>
      </c>
      <c r="P57" s="132" t="str">
        <f aca="false">IF(OR(4&gt;$B$3,ISBLANK(Actuals!F72)),"",'Reforecast Q1 2026'!F72-Actuals!F72)</f>
        <v/>
      </c>
      <c r="Q57" s="132" t="str">
        <f aca="false">IFERROR(IF(OR(4&gt;$B$3,ISBLANK(Actuals!F72)),"",('Reforecast Q1 2026'!F72-Actuals!F72)/ABS('Reforecast Q1 2026'!F72)),"")</f>
        <v/>
      </c>
      <c r="R57" s="131" t="n">
        <f aca="false">'Reforecast Q1 2026'!G72</f>
        <v>0</v>
      </c>
      <c r="S57" s="131" t="str">
        <f aca="false">IF(OR(5&gt;$B$3,ISBLANK(Actuals!G72)),"",Actuals!G72)</f>
        <v/>
      </c>
      <c r="T57" s="132" t="str">
        <f aca="false">IF(OR(5&gt;$B$3,ISBLANK(Actuals!G72)),"",'Reforecast Q1 2026'!G72-Actuals!G72)</f>
        <v/>
      </c>
      <c r="U57" s="132" t="str">
        <f aca="false">IFERROR(IF(OR(5&gt;$B$3,ISBLANK(Actuals!G72)),"",('Reforecast Q1 2026'!G72-Actuals!G72)/ABS('Reforecast Q1 2026'!G72)),"")</f>
        <v/>
      </c>
      <c r="V57" s="131" t="n">
        <f aca="false">'Reforecast Q1 2026'!H72</f>
        <v>0</v>
      </c>
      <c r="W57" s="131" t="str">
        <f aca="false">IF(OR(6&gt;$B$3,ISBLANK(Actuals!H72)),"",Actuals!H72)</f>
        <v/>
      </c>
      <c r="X57" s="132" t="str">
        <f aca="false">IF(OR(6&gt;$B$3,ISBLANK(Actuals!H72)),"",'Reforecast Q1 2026'!H72-Actuals!H72)</f>
        <v/>
      </c>
      <c r="Y57" s="132" t="str">
        <f aca="false">IFERROR(IF(OR(6&gt;$B$3,ISBLANK(Actuals!H72)),"",('Reforecast Q1 2026'!H72-Actuals!H72)/ABS('Reforecast Q1 2026'!H72)),"")</f>
        <v/>
      </c>
      <c r="Z57" s="131" t="n">
        <f aca="false">'Reforecast Q1 2026'!I72</f>
        <v>0</v>
      </c>
      <c r="AA57" s="131" t="str">
        <f aca="false">IF(OR(7&gt;$B$3,ISBLANK(Actuals!I72)),"",Actuals!I72)</f>
        <v/>
      </c>
      <c r="AB57" s="132" t="str">
        <f aca="false">IF(OR(7&gt;$B$3,ISBLANK(Actuals!I72)),"",'Reforecast Q1 2026'!I72-Actuals!I72)</f>
        <v/>
      </c>
      <c r="AC57" s="132" t="str">
        <f aca="false">IFERROR(IF(OR(7&gt;$B$3,ISBLANK(Actuals!I72)),"",('Reforecast Q1 2026'!I72-Actuals!I72)/ABS('Reforecast Q1 2026'!I72)),"")</f>
        <v/>
      </c>
      <c r="AD57" s="131" t="n">
        <f aca="false">'Reforecast Q1 2026'!J72</f>
        <v>0</v>
      </c>
      <c r="AE57" s="131" t="str">
        <f aca="false">IF(OR(8&gt;$B$3,ISBLANK(Actuals!J72)),"",Actuals!J72)</f>
        <v/>
      </c>
      <c r="AF57" s="132" t="str">
        <f aca="false">IF(OR(8&gt;$B$3,ISBLANK(Actuals!J72)),"",'Reforecast Q1 2026'!J72-Actuals!J72)</f>
        <v/>
      </c>
      <c r="AG57" s="132" t="str">
        <f aca="false">IFERROR(IF(OR(8&gt;$B$3,ISBLANK(Actuals!J72)),"",('Reforecast Q1 2026'!J72-Actuals!J72)/ABS('Reforecast Q1 2026'!J72)),"")</f>
        <v/>
      </c>
      <c r="AH57" s="131" t="n">
        <f aca="false">'Reforecast Q1 2026'!K72</f>
        <v>0</v>
      </c>
      <c r="AI57" s="131" t="str">
        <f aca="false">IF(OR(9&gt;$B$3,ISBLANK(Actuals!K72)),"",Actuals!K72)</f>
        <v/>
      </c>
      <c r="AJ57" s="132" t="str">
        <f aca="false">IF(OR(9&gt;$B$3,ISBLANK(Actuals!K72)),"",'Reforecast Q1 2026'!K72-Actuals!K72)</f>
        <v/>
      </c>
      <c r="AK57" s="132" t="str">
        <f aca="false">IFERROR(IF(OR(9&gt;$B$3,ISBLANK(Actuals!K72)),"",('Reforecast Q1 2026'!K72-Actuals!K72)/ABS('Reforecast Q1 2026'!K72)),"")</f>
        <v/>
      </c>
      <c r="AL57" s="131" t="n">
        <f aca="false">'Reforecast Q1 2026'!L72</f>
        <v>0</v>
      </c>
      <c r="AM57" s="131" t="str">
        <f aca="false">IF(OR(10&gt;$B$3,ISBLANK(Actuals!L72)),"",Actuals!L72)</f>
        <v/>
      </c>
      <c r="AN57" s="132" t="str">
        <f aca="false">IF(OR(10&gt;$B$3,ISBLANK(Actuals!L72)),"",'Reforecast Q1 2026'!L72-Actuals!L72)</f>
        <v/>
      </c>
      <c r="AO57" s="132" t="str">
        <f aca="false">IFERROR(IF(OR(10&gt;$B$3,ISBLANK(Actuals!L72)),"",('Reforecast Q1 2026'!L72-Actuals!L72)/ABS('Reforecast Q1 2026'!L72)),"")</f>
        <v/>
      </c>
      <c r="AP57" s="131" t="n">
        <f aca="false">'Reforecast Q1 2026'!M72</f>
        <v>0</v>
      </c>
      <c r="AQ57" s="131" t="str">
        <f aca="false">IF(OR(11&gt;$B$3,ISBLANK(Actuals!M72)),"",Actuals!M72)</f>
        <v/>
      </c>
      <c r="AR57" s="132" t="str">
        <f aca="false">IF(OR(11&gt;$B$3,ISBLANK(Actuals!M72)),"",'Reforecast Q1 2026'!M72-Actuals!M72)</f>
        <v/>
      </c>
      <c r="AS57" s="132" t="str">
        <f aca="false">IFERROR(IF(OR(11&gt;$B$3,ISBLANK(Actuals!M72)),"",('Reforecast Q1 2026'!M72-Actuals!M72)/ABS('Reforecast Q1 2026'!M72)),"")</f>
        <v/>
      </c>
      <c r="AT57" s="131" t="n">
        <f aca="false">'Reforecast Q1 2026'!N72</f>
        <v>0</v>
      </c>
      <c r="AU57" s="131" t="str">
        <f aca="false">IF(OR(12&gt;$B$3,ISBLANK(Actuals!N72)),"",Actuals!N72)</f>
        <v/>
      </c>
      <c r="AV57" s="132" t="str">
        <f aca="false">IF(OR(12&gt;$B$3,ISBLANK(Actuals!N72)),"",'Reforecast Q1 2026'!N72-Actuals!N72)</f>
        <v/>
      </c>
      <c r="AW57" s="132" t="str">
        <f aca="false">IFERROR(IF(OR(12&gt;$B$3,ISBLANK(Actuals!N72)),"",('Reforecast Q1 2026'!N72-Actuals!N72)/ABS('Reforecast Q1 2026'!N72)),"")</f>
        <v/>
      </c>
      <c r="AX57" s="133" t="n">
        <f aca="false">SUMPRODUCT((Actuals!C72:N72&lt;&gt;"")*('Reforecast Q1 2026'!C72:N72))</f>
        <v>0</v>
      </c>
      <c r="AY57" s="133" t="n">
        <f aca="false">SUM(Actuals!C72:N72)</f>
        <v>0</v>
      </c>
      <c r="AZ57" s="134" t="n">
        <f aca="false">AX57-AY57</f>
        <v>0</v>
      </c>
    </row>
    <row r="58" customFormat="false" ht="15" hidden="false" customHeight="true" outlineLevel="0" collapsed="false">
      <c r="A58" s="130" t="s">
        <v>361</v>
      </c>
      <c r="B58" s="131" t="n">
        <f aca="false">'Reforecast Q1 2026'!C73</f>
        <v>0</v>
      </c>
      <c r="C58" s="131" t="str">
        <f aca="false">IF(OR(1&gt;$B$3,ISBLANK(Actuals!C73)),"",Actuals!C73)</f>
        <v/>
      </c>
      <c r="D58" s="132" t="str">
        <f aca="false">IF(OR(1&gt;$B$3,ISBLANK(Actuals!C73)),"",'Reforecast Q1 2026'!C73-Actuals!C73)</f>
        <v/>
      </c>
      <c r="E58" s="132" t="str">
        <f aca="false">IFERROR(IF(OR(1&gt;$B$3,ISBLANK(Actuals!C73)),"",('Reforecast Q1 2026'!C73-Actuals!C73)/ABS('Reforecast Q1 2026'!C73)),"")</f>
        <v/>
      </c>
      <c r="F58" s="131" t="n">
        <f aca="false">'Reforecast Q1 2026'!D73</f>
        <v>0</v>
      </c>
      <c r="G58" s="131" t="str">
        <f aca="false">IF(OR(2&gt;$B$3,ISBLANK(Actuals!D73)),"",Actuals!D73)</f>
        <v/>
      </c>
      <c r="H58" s="132" t="str">
        <f aca="false">IF(OR(2&gt;$B$3,ISBLANK(Actuals!D73)),"",'Reforecast Q1 2026'!D73-Actuals!D73)</f>
        <v/>
      </c>
      <c r="I58" s="132" t="str">
        <f aca="false">IFERROR(IF(OR(2&gt;$B$3,ISBLANK(Actuals!D73)),"",('Reforecast Q1 2026'!D73-Actuals!D73)/ABS('Reforecast Q1 2026'!D73)),"")</f>
        <v/>
      </c>
      <c r="J58" s="131" t="n">
        <f aca="false">'Reforecast Q1 2026'!E73</f>
        <v>0</v>
      </c>
      <c r="K58" s="131" t="str">
        <f aca="false">IF(OR(3&gt;$B$3,ISBLANK(Actuals!E73)),"",Actuals!E73)</f>
        <v/>
      </c>
      <c r="L58" s="132" t="str">
        <f aca="false">IF(OR(3&gt;$B$3,ISBLANK(Actuals!E73)),"",'Reforecast Q1 2026'!E73-Actuals!E73)</f>
        <v/>
      </c>
      <c r="M58" s="132" t="str">
        <f aca="false">IFERROR(IF(OR(3&gt;$B$3,ISBLANK(Actuals!E73)),"",('Reforecast Q1 2026'!E73-Actuals!E73)/ABS('Reforecast Q1 2026'!E73)),"")</f>
        <v/>
      </c>
      <c r="N58" s="131" t="n">
        <f aca="false">'Reforecast Q1 2026'!F73</f>
        <v>0</v>
      </c>
      <c r="O58" s="131" t="str">
        <f aca="false">IF(OR(4&gt;$B$3,ISBLANK(Actuals!F73)),"",Actuals!F73)</f>
        <v/>
      </c>
      <c r="P58" s="132" t="str">
        <f aca="false">IF(OR(4&gt;$B$3,ISBLANK(Actuals!F73)),"",'Reforecast Q1 2026'!F73-Actuals!F73)</f>
        <v/>
      </c>
      <c r="Q58" s="132" t="str">
        <f aca="false">IFERROR(IF(OR(4&gt;$B$3,ISBLANK(Actuals!F73)),"",('Reforecast Q1 2026'!F73-Actuals!F73)/ABS('Reforecast Q1 2026'!F73)),"")</f>
        <v/>
      </c>
      <c r="R58" s="131" t="n">
        <f aca="false">'Reforecast Q1 2026'!G73</f>
        <v>0</v>
      </c>
      <c r="S58" s="131" t="str">
        <f aca="false">IF(OR(5&gt;$B$3,ISBLANK(Actuals!G73)),"",Actuals!G73)</f>
        <v/>
      </c>
      <c r="T58" s="132" t="str">
        <f aca="false">IF(OR(5&gt;$B$3,ISBLANK(Actuals!G73)),"",'Reforecast Q1 2026'!G73-Actuals!G73)</f>
        <v/>
      </c>
      <c r="U58" s="132" t="str">
        <f aca="false">IFERROR(IF(OR(5&gt;$B$3,ISBLANK(Actuals!G73)),"",('Reforecast Q1 2026'!G73-Actuals!G73)/ABS('Reforecast Q1 2026'!G73)),"")</f>
        <v/>
      </c>
      <c r="V58" s="131" t="n">
        <f aca="false">'Reforecast Q1 2026'!H73</f>
        <v>0</v>
      </c>
      <c r="W58" s="131" t="str">
        <f aca="false">IF(OR(6&gt;$B$3,ISBLANK(Actuals!H73)),"",Actuals!H73)</f>
        <v/>
      </c>
      <c r="X58" s="132" t="str">
        <f aca="false">IF(OR(6&gt;$B$3,ISBLANK(Actuals!H73)),"",'Reforecast Q1 2026'!H73-Actuals!H73)</f>
        <v/>
      </c>
      <c r="Y58" s="132" t="str">
        <f aca="false">IFERROR(IF(OR(6&gt;$B$3,ISBLANK(Actuals!H73)),"",('Reforecast Q1 2026'!H73-Actuals!H73)/ABS('Reforecast Q1 2026'!H73)),"")</f>
        <v/>
      </c>
      <c r="Z58" s="131" t="n">
        <f aca="false">'Reforecast Q1 2026'!I73</f>
        <v>0</v>
      </c>
      <c r="AA58" s="131" t="str">
        <f aca="false">IF(OR(7&gt;$B$3,ISBLANK(Actuals!I73)),"",Actuals!I73)</f>
        <v/>
      </c>
      <c r="AB58" s="132" t="str">
        <f aca="false">IF(OR(7&gt;$B$3,ISBLANK(Actuals!I73)),"",'Reforecast Q1 2026'!I73-Actuals!I73)</f>
        <v/>
      </c>
      <c r="AC58" s="132" t="str">
        <f aca="false">IFERROR(IF(OR(7&gt;$B$3,ISBLANK(Actuals!I73)),"",('Reforecast Q1 2026'!I73-Actuals!I73)/ABS('Reforecast Q1 2026'!I73)),"")</f>
        <v/>
      </c>
      <c r="AD58" s="131" t="n">
        <f aca="false">'Reforecast Q1 2026'!J73</f>
        <v>0</v>
      </c>
      <c r="AE58" s="131" t="str">
        <f aca="false">IF(OR(8&gt;$B$3,ISBLANK(Actuals!J73)),"",Actuals!J73)</f>
        <v/>
      </c>
      <c r="AF58" s="132" t="str">
        <f aca="false">IF(OR(8&gt;$B$3,ISBLANK(Actuals!J73)),"",'Reforecast Q1 2026'!J73-Actuals!J73)</f>
        <v/>
      </c>
      <c r="AG58" s="132" t="str">
        <f aca="false">IFERROR(IF(OR(8&gt;$B$3,ISBLANK(Actuals!J73)),"",('Reforecast Q1 2026'!J73-Actuals!J73)/ABS('Reforecast Q1 2026'!J73)),"")</f>
        <v/>
      </c>
      <c r="AH58" s="131" t="n">
        <f aca="false">'Reforecast Q1 2026'!K73</f>
        <v>0</v>
      </c>
      <c r="AI58" s="131" t="str">
        <f aca="false">IF(OR(9&gt;$B$3,ISBLANK(Actuals!K73)),"",Actuals!K73)</f>
        <v/>
      </c>
      <c r="AJ58" s="132" t="str">
        <f aca="false">IF(OR(9&gt;$B$3,ISBLANK(Actuals!K73)),"",'Reforecast Q1 2026'!K73-Actuals!K73)</f>
        <v/>
      </c>
      <c r="AK58" s="132" t="str">
        <f aca="false">IFERROR(IF(OR(9&gt;$B$3,ISBLANK(Actuals!K73)),"",('Reforecast Q1 2026'!K73-Actuals!K73)/ABS('Reforecast Q1 2026'!K73)),"")</f>
        <v/>
      </c>
      <c r="AL58" s="131" t="n">
        <f aca="false">'Reforecast Q1 2026'!L73</f>
        <v>0</v>
      </c>
      <c r="AM58" s="131" t="str">
        <f aca="false">IF(OR(10&gt;$B$3,ISBLANK(Actuals!L73)),"",Actuals!L73)</f>
        <v/>
      </c>
      <c r="AN58" s="132" t="str">
        <f aca="false">IF(OR(10&gt;$B$3,ISBLANK(Actuals!L73)),"",'Reforecast Q1 2026'!L73-Actuals!L73)</f>
        <v/>
      </c>
      <c r="AO58" s="132" t="str">
        <f aca="false">IFERROR(IF(OR(10&gt;$B$3,ISBLANK(Actuals!L73)),"",('Reforecast Q1 2026'!L73-Actuals!L73)/ABS('Reforecast Q1 2026'!L73)),"")</f>
        <v/>
      </c>
      <c r="AP58" s="131" t="n">
        <f aca="false">'Reforecast Q1 2026'!M73</f>
        <v>0</v>
      </c>
      <c r="AQ58" s="131" t="str">
        <f aca="false">IF(OR(11&gt;$B$3,ISBLANK(Actuals!M73)),"",Actuals!M73)</f>
        <v/>
      </c>
      <c r="AR58" s="132" t="str">
        <f aca="false">IF(OR(11&gt;$B$3,ISBLANK(Actuals!M73)),"",'Reforecast Q1 2026'!M73-Actuals!M73)</f>
        <v/>
      </c>
      <c r="AS58" s="132" t="str">
        <f aca="false">IFERROR(IF(OR(11&gt;$B$3,ISBLANK(Actuals!M73)),"",('Reforecast Q1 2026'!M73-Actuals!M73)/ABS('Reforecast Q1 2026'!M73)),"")</f>
        <v/>
      </c>
      <c r="AT58" s="131" t="n">
        <f aca="false">'Reforecast Q1 2026'!N73</f>
        <v>0</v>
      </c>
      <c r="AU58" s="131" t="str">
        <f aca="false">IF(OR(12&gt;$B$3,ISBLANK(Actuals!N73)),"",Actuals!N73)</f>
        <v/>
      </c>
      <c r="AV58" s="132" t="str">
        <f aca="false">IF(OR(12&gt;$B$3,ISBLANK(Actuals!N73)),"",'Reforecast Q1 2026'!N73-Actuals!N73)</f>
        <v/>
      </c>
      <c r="AW58" s="132" t="str">
        <f aca="false">IFERROR(IF(OR(12&gt;$B$3,ISBLANK(Actuals!N73)),"",('Reforecast Q1 2026'!N73-Actuals!N73)/ABS('Reforecast Q1 2026'!N73)),"")</f>
        <v/>
      </c>
      <c r="AX58" s="133" t="n">
        <f aca="false">SUMPRODUCT((Actuals!C73:N73&lt;&gt;"")*('Reforecast Q1 2026'!C73:N73))</f>
        <v>0</v>
      </c>
      <c r="AY58" s="133" t="n">
        <f aca="false">SUM(Actuals!C73:N73)</f>
        <v>0</v>
      </c>
      <c r="AZ58" s="134" t="n">
        <f aca="false">AX58-AY58</f>
        <v>0</v>
      </c>
    </row>
    <row r="59" customFormat="false" ht="15" hidden="false" customHeight="true" outlineLevel="0" collapsed="false">
      <c r="A59" s="130" t="s">
        <v>362</v>
      </c>
      <c r="B59" s="131" t="n">
        <f aca="false">'Reforecast Q1 2026'!C74</f>
        <v>0</v>
      </c>
      <c r="C59" s="131" t="str">
        <f aca="false">IF(OR(1&gt;$B$3,ISBLANK(Actuals!C74)),"",Actuals!C74)</f>
        <v/>
      </c>
      <c r="D59" s="132" t="str">
        <f aca="false">IF(OR(1&gt;$B$3,ISBLANK(Actuals!C74)),"",'Reforecast Q1 2026'!C74-Actuals!C74)</f>
        <v/>
      </c>
      <c r="E59" s="132" t="str">
        <f aca="false">IFERROR(IF(OR(1&gt;$B$3,ISBLANK(Actuals!C74)),"",('Reforecast Q1 2026'!C74-Actuals!C74)/ABS('Reforecast Q1 2026'!C74)),"")</f>
        <v/>
      </c>
      <c r="F59" s="131" t="n">
        <f aca="false">'Reforecast Q1 2026'!D74</f>
        <v>0</v>
      </c>
      <c r="G59" s="131" t="str">
        <f aca="false">IF(OR(2&gt;$B$3,ISBLANK(Actuals!D74)),"",Actuals!D74)</f>
        <v/>
      </c>
      <c r="H59" s="132" t="str">
        <f aca="false">IF(OR(2&gt;$B$3,ISBLANK(Actuals!D74)),"",'Reforecast Q1 2026'!D74-Actuals!D74)</f>
        <v/>
      </c>
      <c r="I59" s="132" t="str">
        <f aca="false">IFERROR(IF(OR(2&gt;$B$3,ISBLANK(Actuals!D74)),"",('Reforecast Q1 2026'!D74-Actuals!D74)/ABS('Reforecast Q1 2026'!D74)),"")</f>
        <v/>
      </c>
      <c r="J59" s="131" t="n">
        <f aca="false">'Reforecast Q1 2026'!E74</f>
        <v>0</v>
      </c>
      <c r="K59" s="131" t="str">
        <f aca="false">IF(OR(3&gt;$B$3,ISBLANK(Actuals!E74)),"",Actuals!E74)</f>
        <v/>
      </c>
      <c r="L59" s="132" t="str">
        <f aca="false">IF(OR(3&gt;$B$3,ISBLANK(Actuals!E74)),"",'Reforecast Q1 2026'!E74-Actuals!E74)</f>
        <v/>
      </c>
      <c r="M59" s="132" t="str">
        <f aca="false">IFERROR(IF(OR(3&gt;$B$3,ISBLANK(Actuals!E74)),"",('Reforecast Q1 2026'!E74-Actuals!E74)/ABS('Reforecast Q1 2026'!E74)),"")</f>
        <v/>
      </c>
      <c r="N59" s="131" t="n">
        <f aca="false">'Reforecast Q1 2026'!F74</f>
        <v>0</v>
      </c>
      <c r="O59" s="131" t="str">
        <f aca="false">IF(OR(4&gt;$B$3,ISBLANK(Actuals!F74)),"",Actuals!F74)</f>
        <v/>
      </c>
      <c r="P59" s="132" t="str">
        <f aca="false">IF(OR(4&gt;$B$3,ISBLANK(Actuals!F74)),"",'Reforecast Q1 2026'!F74-Actuals!F74)</f>
        <v/>
      </c>
      <c r="Q59" s="132" t="str">
        <f aca="false">IFERROR(IF(OR(4&gt;$B$3,ISBLANK(Actuals!F74)),"",('Reforecast Q1 2026'!F74-Actuals!F74)/ABS('Reforecast Q1 2026'!F74)),"")</f>
        <v/>
      </c>
      <c r="R59" s="131" t="n">
        <f aca="false">'Reforecast Q1 2026'!G74</f>
        <v>0</v>
      </c>
      <c r="S59" s="131" t="str">
        <f aca="false">IF(OR(5&gt;$B$3,ISBLANK(Actuals!G74)),"",Actuals!G74)</f>
        <v/>
      </c>
      <c r="T59" s="132" t="str">
        <f aca="false">IF(OR(5&gt;$B$3,ISBLANK(Actuals!G74)),"",'Reforecast Q1 2026'!G74-Actuals!G74)</f>
        <v/>
      </c>
      <c r="U59" s="132" t="str">
        <f aca="false">IFERROR(IF(OR(5&gt;$B$3,ISBLANK(Actuals!G74)),"",('Reforecast Q1 2026'!G74-Actuals!G74)/ABS('Reforecast Q1 2026'!G74)),"")</f>
        <v/>
      </c>
      <c r="V59" s="131" t="n">
        <f aca="false">'Reforecast Q1 2026'!H74</f>
        <v>0</v>
      </c>
      <c r="W59" s="131" t="str">
        <f aca="false">IF(OR(6&gt;$B$3,ISBLANK(Actuals!H74)),"",Actuals!H74)</f>
        <v/>
      </c>
      <c r="X59" s="132" t="str">
        <f aca="false">IF(OR(6&gt;$B$3,ISBLANK(Actuals!H74)),"",'Reforecast Q1 2026'!H74-Actuals!H74)</f>
        <v/>
      </c>
      <c r="Y59" s="132" t="str">
        <f aca="false">IFERROR(IF(OR(6&gt;$B$3,ISBLANK(Actuals!H74)),"",('Reforecast Q1 2026'!H74-Actuals!H74)/ABS('Reforecast Q1 2026'!H74)),"")</f>
        <v/>
      </c>
      <c r="Z59" s="131" t="n">
        <f aca="false">'Reforecast Q1 2026'!I74</f>
        <v>0</v>
      </c>
      <c r="AA59" s="131" t="str">
        <f aca="false">IF(OR(7&gt;$B$3,ISBLANK(Actuals!I74)),"",Actuals!I74)</f>
        <v/>
      </c>
      <c r="AB59" s="132" t="str">
        <f aca="false">IF(OR(7&gt;$B$3,ISBLANK(Actuals!I74)),"",'Reforecast Q1 2026'!I74-Actuals!I74)</f>
        <v/>
      </c>
      <c r="AC59" s="132" t="str">
        <f aca="false">IFERROR(IF(OR(7&gt;$B$3,ISBLANK(Actuals!I74)),"",('Reforecast Q1 2026'!I74-Actuals!I74)/ABS('Reforecast Q1 2026'!I74)),"")</f>
        <v/>
      </c>
      <c r="AD59" s="131" t="n">
        <f aca="false">'Reforecast Q1 2026'!J74</f>
        <v>0</v>
      </c>
      <c r="AE59" s="131" t="str">
        <f aca="false">IF(OR(8&gt;$B$3,ISBLANK(Actuals!J74)),"",Actuals!J74)</f>
        <v/>
      </c>
      <c r="AF59" s="132" t="str">
        <f aca="false">IF(OR(8&gt;$B$3,ISBLANK(Actuals!J74)),"",'Reforecast Q1 2026'!J74-Actuals!J74)</f>
        <v/>
      </c>
      <c r="AG59" s="132" t="str">
        <f aca="false">IFERROR(IF(OR(8&gt;$B$3,ISBLANK(Actuals!J74)),"",('Reforecast Q1 2026'!J74-Actuals!J74)/ABS('Reforecast Q1 2026'!J74)),"")</f>
        <v/>
      </c>
      <c r="AH59" s="131" t="n">
        <f aca="false">'Reforecast Q1 2026'!K74</f>
        <v>0</v>
      </c>
      <c r="AI59" s="131" t="str">
        <f aca="false">IF(OR(9&gt;$B$3,ISBLANK(Actuals!K74)),"",Actuals!K74)</f>
        <v/>
      </c>
      <c r="AJ59" s="132" t="str">
        <f aca="false">IF(OR(9&gt;$B$3,ISBLANK(Actuals!K74)),"",'Reforecast Q1 2026'!K74-Actuals!K74)</f>
        <v/>
      </c>
      <c r="AK59" s="132" t="str">
        <f aca="false">IFERROR(IF(OR(9&gt;$B$3,ISBLANK(Actuals!K74)),"",('Reforecast Q1 2026'!K74-Actuals!K74)/ABS('Reforecast Q1 2026'!K74)),"")</f>
        <v/>
      </c>
      <c r="AL59" s="131" t="n">
        <f aca="false">'Reforecast Q1 2026'!L74</f>
        <v>0</v>
      </c>
      <c r="AM59" s="131" t="str">
        <f aca="false">IF(OR(10&gt;$B$3,ISBLANK(Actuals!L74)),"",Actuals!L74)</f>
        <v/>
      </c>
      <c r="AN59" s="132" t="str">
        <f aca="false">IF(OR(10&gt;$B$3,ISBLANK(Actuals!L74)),"",'Reforecast Q1 2026'!L74-Actuals!L74)</f>
        <v/>
      </c>
      <c r="AO59" s="132" t="str">
        <f aca="false">IFERROR(IF(OR(10&gt;$B$3,ISBLANK(Actuals!L74)),"",('Reforecast Q1 2026'!L74-Actuals!L74)/ABS('Reforecast Q1 2026'!L74)),"")</f>
        <v/>
      </c>
      <c r="AP59" s="131" t="n">
        <f aca="false">'Reforecast Q1 2026'!M74</f>
        <v>0</v>
      </c>
      <c r="AQ59" s="131" t="str">
        <f aca="false">IF(OR(11&gt;$B$3,ISBLANK(Actuals!M74)),"",Actuals!M74)</f>
        <v/>
      </c>
      <c r="AR59" s="132" t="str">
        <f aca="false">IF(OR(11&gt;$B$3,ISBLANK(Actuals!M74)),"",'Reforecast Q1 2026'!M74-Actuals!M74)</f>
        <v/>
      </c>
      <c r="AS59" s="132" t="str">
        <f aca="false">IFERROR(IF(OR(11&gt;$B$3,ISBLANK(Actuals!M74)),"",('Reforecast Q1 2026'!M74-Actuals!M74)/ABS('Reforecast Q1 2026'!M74)),"")</f>
        <v/>
      </c>
      <c r="AT59" s="131" t="n">
        <f aca="false">'Reforecast Q1 2026'!N74</f>
        <v>0</v>
      </c>
      <c r="AU59" s="131" t="str">
        <f aca="false">IF(OR(12&gt;$B$3,ISBLANK(Actuals!N74)),"",Actuals!N74)</f>
        <v/>
      </c>
      <c r="AV59" s="132" t="str">
        <f aca="false">IF(OR(12&gt;$B$3,ISBLANK(Actuals!N74)),"",'Reforecast Q1 2026'!N74-Actuals!N74)</f>
        <v/>
      </c>
      <c r="AW59" s="132" t="str">
        <f aca="false">IFERROR(IF(OR(12&gt;$B$3,ISBLANK(Actuals!N74)),"",('Reforecast Q1 2026'!N74-Actuals!N74)/ABS('Reforecast Q1 2026'!N74)),"")</f>
        <v/>
      </c>
      <c r="AX59" s="133" t="n">
        <f aca="false">SUMPRODUCT((Actuals!C74:N74&lt;&gt;"")*('Reforecast Q1 2026'!C74:N74))</f>
        <v>0</v>
      </c>
      <c r="AY59" s="133" t="n">
        <f aca="false">SUM(Actuals!C74:N74)</f>
        <v>0</v>
      </c>
      <c r="AZ59" s="134" t="n">
        <f aca="false">AX59-AY59</f>
        <v>0</v>
      </c>
    </row>
    <row r="60" customFormat="false" ht="15" hidden="false" customHeight="true" outlineLevel="0" collapsed="false">
      <c r="A60" s="130" t="s">
        <v>112</v>
      </c>
      <c r="B60" s="131" t="n">
        <f aca="false">'Reforecast Q1 2026'!C75</f>
        <v>0</v>
      </c>
      <c r="C60" s="131" t="str">
        <f aca="false">IF(OR(1&gt;$B$3,ISBLANK(Actuals!C75)),"",Actuals!C75)</f>
        <v/>
      </c>
      <c r="D60" s="132" t="str">
        <f aca="false">IF(OR(1&gt;$B$3,ISBLANK(Actuals!C75)),"",'Reforecast Q1 2026'!C75-Actuals!C75)</f>
        <v/>
      </c>
      <c r="E60" s="132" t="str">
        <f aca="false">IFERROR(IF(OR(1&gt;$B$3,ISBLANK(Actuals!C75)),"",('Reforecast Q1 2026'!C75-Actuals!C75)/ABS('Reforecast Q1 2026'!C75)),"")</f>
        <v/>
      </c>
      <c r="F60" s="131" t="n">
        <f aca="false">'Reforecast Q1 2026'!D75</f>
        <v>0</v>
      </c>
      <c r="G60" s="131" t="str">
        <f aca="false">IF(OR(2&gt;$B$3,ISBLANK(Actuals!D75)),"",Actuals!D75)</f>
        <v/>
      </c>
      <c r="H60" s="132" t="str">
        <f aca="false">IF(OR(2&gt;$B$3,ISBLANK(Actuals!D75)),"",'Reforecast Q1 2026'!D75-Actuals!D75)</f>
        <v/>
      </c>
      <c r="I60" s="132" t="str">
        <f aca="false">IFERROR(IF(OR(2&gt;$B$3,ISBLANK(Actuals!D75)),"",('Reforecast Q1 2026'!D75-Actuals!D75)/ABS('Reforecast Q1 2026'!D75)),"")</f>
        <v/>
      </c>
      <c r="J60" s="131" t="n">
        <f aca="false">'Reforecast Q1 2026'!E75</f>
        <v>0</v>
      </c>
      <c r="K60" s="131" t="str">
        <f aca="false">IF(OR(3&gt;$B$3,ISBLANK(Actuals!E75)),"",Actuals!E75)</f>
        <v/>
      </c>
      <c r="L60" s="132" t="str">
        <f aca="false">IF(OR(3&gt;$B$3,ISBLANK(Actuals!E75)),"",'Reforecast Q1 2026'!E75-Actuals!E75)</f>
        <v/>
      </c>
      <c r="M60" s="132" t="str">
        <f aca="false">IFERROR(IF(OR(3&gt;$B$3,ISBLANK(Actuals!E75)),"",('Reforecast Q1 2026'!E75-Actuals!E75)/ABS('Reforecast Q1 2026'!E75)),"")</f>
        <v/>
      </c>
      <c r="N60" s="131" t="n">
        <f aca="false">'Reforecast Q1 2026'!F75</f>
        <v>0</v>
      </c>
      <c r="O60" s="131" t="str">
        <f aca="false">IF(OR(4&gt;$B$3,ISBLANK(Actuals!F75)),"",Actuals!F75)</f>
        <v/>
      </c>
      <c r="P60" s="132" t="str">
        <f aca="false">IF(OR(4&gt;$B$3,ISBLANK(Actuals!F75)),"",'Reforecast Q1 2026'!F75-Actuals!F75)</f>
        <v/>
      </c>
      <c r="Q60" s="132" t="str">
        <f aca="false">IFERROR(IF(OR(4&gt;$B$3,ISBLANK(Actuals!F75)),"",('Reforecast Q1 2026'!F75-Actuals!F75)/ABS('Reforecast Q1 2026'!F75)),"")</f>
        <v/>
      </c>
      <c r="R60" s="131" t="n">
        <f aca="false">'Reforecast Q1 2026'!G75</f>
        <v>0</v>
      </c>
      <c r="S60" s="131" t="str">
        <f aca="false">IF(OR(5&gt;$B$3,ISBLANK(Actuals!G75)),"",Actuals!G75)</f>
        <v/>
      </c>
      <c r="T60" s="132" t="str">
        <f aca="false">IF(OR(5&gt;$B$3,ISBLANK(Actuals!G75)),"",'Reforecast Q1 2026'!G75-Actuals!G75)</f>
        <v/>
      </c>
      <c r="U60" s="132" t="str">
        <f aca="false">IFERROR(IF(OR(5&gt;$B$3,ISBLANK(Actuals!G75)),"",('Reforecast Q1 2026'!G75-Actuals!G75)/ABS('Reforecast Q1 2026'!G75)),"")</f>
        <v/>
      </c>
      <c r="V60" s="131" t="n">
        <f aca="false">'Reforecast Q1 2026'!H75</f>
        <v>0</v>
      </c>
      <c r="W60" s="131" t="str">
        <f aca="false">IF(OR(6&gt;$B$3,ISBLANK(Actuals!H75)),"",Actuals!H75)</f>
        <v/>
      </c>
      <c r="X60" s="132" t="str">
        <f aca="false">IF(OR(6&gt;$B$3,ISBLANK(Actuals!H75)),"",'Reforecast Q1 2026'!H75-Actuals!H75)</f>
        <v/>
      </c>
      <c r="Y60" s="132" t="str">
        <f aca="false">IFERROR(IF(OR(6&gt;$B$3,ISBLANK(Actuals!H75)),"",('Reforecast Q1 2026'!H75-Actuals!H75)/ABS('Reforecast Q1 2026'!H75)),"")</f>
        <v/>
      </c>
      <c r="Z60" s="131" t="n">
        <f aca="false">'Reforecast Q1 2026'!I75</f>
        <v>0</v>
      </c>
      <c r="AA60" s="131" t="str">
        <f aca="false">IF(OR(7&gt;$B$3,ISBLANK(Actuals!I75)),"",Actuals!I75)</f>
        <v/>
      </c>
      <c r="AB60" s="132" t="str">
        <f aca="false">IF(OR(7&gt;$B$3,ISBLANK(Actuals!I75)),"",'Reforecast Q1 2026'!I75-Actuals!I75)</f>
        <v/>
      </c>
      <c r="AC60" s="132" t="str">
        <f aca="false">IFERROR(IF(OR(7&gt;$B$3,ISBLANK(Actuals!I75)),"",('Reforecast Q1 2026'!I75-Actuals!I75)/ABS('Reforecast Q1 2026'!I75)),"")</f>
        <v/>
      </c>
      <c r="AD60" s="131" t="n">
        <f aca="false">'Reforecast Q1 2026'!J75</f>
        <v>0</v>
      </c>
      <c r="AE60" s="131" t="str">
        <f aca="false">IF(OR(8&gt;$B$3,ISBLANK(Actuals!J75)),"",Actuals!J75)</f>
        <v/>
      </c>
      <c r="AF60" s="132" t="str">
        <f aca="false">IF(OR(8&gt;$B$3,ISBLANK(Actuals!J75)),"",'Reforecast Q1 2026'!J75-Actuals!J75)</f>
        <v/>
      </c>
      <c r="AG60" s="132" t="str">
        <f aca="false">IFERROR(IF(OR(8&gt;$B$3,ISBLANK(Actuals!J75)),"",('Reforecast Q1 2026'!J75-Actuals!J75)/ABS('Reforecast Q1 2026'!J75)),"")</f>
        <v/>
      </c>
      <c r="AH60" s="131" t="n">
        <f aca="false">'Reforecast Q1 2026'!K75</f>
        <v>0</v>
      </c>
      <c r="AI60" s="131" t="str">
        <f aca="false">IF(OR(9&gt;$B$3,ISBLANK(Actuals!K75)),"",Actuals!K75)</f>
        <v/>
      </c>
      <c r="AJ60" s="132" t="str">
        <f aca="false">IF(OR(9&gt;$B$3,ISBLANK(Actuals!K75)),"",'Reforecast Q1 2026'!K75-Actuals!K75)</f>
        <v/>
      </c>
      <c r="AK60" s="132" t="str">
        <f aca="false">IFERROR(IF(OR(9&gt;$B$3,ISBLANK(Actuals!K75)),"",('Reforecast Q1 2026'!K75-Actuals!K75)/ABS('Reforecast Q1 2026'!K75)),"")</f>
        <v/>
      </c>
      <c r="AL60" s="131" t="n">
        <f aca="false">'Reforecast Q1 2026'!L75</f>
        <v>0</v>
      </c>
      <c r="AM60" s="131" t="str">
        <f aca="false">IF(OR(10&gt;$B$3,ISBLANK(Actuals!L75)),"",Actuals!L75)</f>
        <v/>
      </c>
      <c r="AN60" s="132" t="str">
        <f aca="false">IF(OR(10&gt;$B$3,ISBLANK(Actuals!L75)),"",'Reforecast Q1 2026'!L75-Actuals!L75)</f>
        <v/>
      </c>
      <c r="AO60" s="132" t="str">
        <f aca="false">IFERROR(IF(OR(10&gt;$B$3,ISBLANK(Actuals!L75)),"",('Reforecast Q1 2026'!L75-Actuals!L75)/ABS('Reforecast Q1 2026'!L75)),"")</f>
        <v/>
      </c>
      <c r="AP60" s="131" t="n">
        <f aca="false">'Reforecast Q1 2026'!M75</f>
        <v>0</v>
      </c>
      <c r="AQ60" s="131" t="str">
        <f aca="false">IF(OR(11&gt;$B$3,ISBLANK(Actuals!M75)),"",Actuals!M75)</f>
        <v/>
      </c>
      <c r="AR60" s="132" t="str">
        <f aca="false">IF(OR(11&gt;$B$3,ISBLANK(Actuals!M75)),"",'Reforecast Q1 2026'!M75-Actuals!M75)</f>
        <v/>
      </c>
      <c r="AS60" s="132" t="str">
        <f aca="false">IFERROR(IF(OR(11&gt;$B$3,ISBLANK(Actuals!M75)),"",('Reforecast Q1 2026'!M75-Actuals!M75)/ABS('Reforecast Q1 2026'!M75)),"")</f>
        <v/>
      </c>
      <c r="AT60" s="131" t="n">
        <f aca="false">'Reforecast Q1 2026'!N75</f>
        <v>0</v>
      </c>
      <c r="AU60" s="131" t="str">
        <f aca="false">IF(OR(12&gt;$B$3,ISBLANK(Actuals!N75)),"",Actuals!N75)</f>
        <v/>
      </c>
      <c r="AV60" s="132" t="str">
        <f aca="false">IF(OR(12&gt;$B$3,ISBLANK(Actuals!N75)),"",'Reforecast Q1 2026'!N75-Actuals!N75)</f>
        <v/>
      </c>
      <c r="AW60" s="132" t="str">
        <f aca="false">IFERROR(IF(OR(12&gt;$B$3,ISBLANK(Actuals!N75)),"",('Reforecast Q1 2026'!N75-Actuals!N75)/ABS('Reforecast Q1 2026'!N75)),"")</f>
        <v/>
      </c>
      <c r="AX60" s="133" t="n">
        <f aca="false">SUMPRODUCT((Actuals!C75:N75&lt;&gt;"")*('Reforecast Q1 2026'!C75:N75))</f>
        <v>0</v>
      </c>
      <c r="AY60" s="133" t="n">
        <f aca="false">SUM(Actuals!C75:N75)</f>
        <v>0</v>
      </c>
      <c r="AZ60" s="134" t="n">
        <f aca="false">AX60-AY60</f>
        <v>0</v>
      </c>
    </row>
    <row r="61" customFormat="false" ht="15" hidden="false" customHeight="true" outlineLevel="0" collapsed="false">
      <c r="A61" s="130" t="s">
        <v>363</v>
      </c>
      <c r="B61" s="131" t="n">
        <f aca="false">'Reforecast Q1 2026'!C76</f>
        <v>0</v>
      </c>
      <c r="C61" s="131" t="str">
        <f aca="false">IF(OR(1&gt;$B$3,ISBLANK(Actuals!C76)),"",Actuals!C76)</f>
        <v/>
      </c>
      <c r="D61" s="132" t="str">
        <f aca="false">IF(OR(1&gt;$B$3,ISBLANK(Actuals!C76)),"",'Reforecast Q1 2026'!C76-Actuals!C76)</f>
        <v/>
      </c>
      <c r="E61" s="132" t="str">
        <f aca="false">IFERROR(IF(OR(1&gt;$B$3,ISBLANK(Actuals!C76)),"",('Reforecast Q1 2026'!C76-Actuals!C76)/ABS('Reforecast Q1 2026'!C76)),"")</f>
        <v/>
      </c>
      <c r="F61" s="131" t="n">
        <f aca="false">'Reforecast Q1 2026'!D76</f>
        <v>0</v>
      </c>
      <c r="G61" s="131" t="str">
        <f aca="false">IF(OR(2&gt;$B$3,ISBLANK(Actuals!D76)),"",Actuals!D76)</f>
        <v/>
      </c>
      <c r="H61" s="132" t="str">
        <f aca="false">IF(OR(2&gt;$B$3,ISBLANK(Actuals!D76)),"",'Reforecast Q1 2026'!D76-Actuals!D76)</f>
        <v/>
      </c>
      <c r="I61" s="132" t="str">
        <f aca="false">IFERROR(IF(OR(2&gt;$B$3,ISBLANK(Actuals!D76)),"",('Reforecast Q1 2026'!D76-Actuals!D76)/ABS('Reforecast Q1 2026'!D76)),"")</f>
        <v/>
      </c>
      <c r="J61" s="131" t="n">
        <f aca="false">'Reforecast Q1 2026'!E76</f>
        <v>0</v>
      </c>
      <c r="K61" s="131" t="str">
        <f aca="false">IF(OR(3&gt;$B$3,ISBLANK(Actuals!E76)),"",Actuals!E76)</f>
        <v/>
      </c>
      <c r="L61" s="132" t="str">
        <f aca="false">IF(OR(3&gt;$B$3,ISBLANK(Actuals!E76)),"",'Reforecast Q1 2026'!E76-Actuals!E76)</f>
        <v/>
      </c>
      <c r="M61" s="132" t="str">
        <f aca="false">IFERROR(IF(OR(3&gt;$B$3,ISBLANK(Actuals!E76)),"",('Reforecast Q1 2026'!E76-Actuals!E76)/ABS('Reforecast Q1 2026'!E76)),"")</f>
        <v/>
      </c>
      <c r="N61" s="131" t="n">
        <f aca="false">'Reforecast Q1 2026'!F76</f>
        <v>0</v>
      </c>
      <c r="O61" s="131" t="str">
        <f aca="false">IF(OR(4&gt;$B$3,ISBLANK(Actuals!F76)),"",Actuals!F76)</f>
        <v/>
      </c>
      <c r="P61" s="132" t="str">
        <f aca="false">IF(OR(4&gt;$B$3,ISBLANK(Actuals!F76)),"",'Reforecast Q1 2026'!F76-Actuals!F76)</f>
        <v/>
      </c>
      <c r="Q61" s="132" t="str">
        <f aca="false">IFERROR(IF(OR(4&gt;$B$3,ISBLANK(Actuals!F76)),"",('Reforecast Q1 2026'!F76-Actuals!F76)/ABS('Reforecast Q1 2026'!F76)),"")</f>
        <v/>
      </c>
      <c r="R61" s="131" t="n">
        <f aca="false">'Reforecast Q1 2026'!G76</f>
        <v>0</v>
      </c>
      <c r="S61" s="131" t="str">
        <f aca="false">IF(OR(5&gt;$B$3,ISBLANK(Actuals!G76)),"",Actuals!G76)</f>
        <v/>
      </c>
      <c r="T61" s="132" t="str">
        <f aca="false">IF(OR(5&gt;$B$3,ISBLANK(Actuals!G76)),"",'Reforecast Q1 2026'!G76-Actuals!G76)</f>
        <v/>
      </c>
      <c r="U61" s="132" t="str">
        <f aca="false">IFERROR(IF(OR(5&gt;$B$3,ISBLANK(Actuals!G76)),"",('Reforecast Q1 2026'!G76-Actuals!G76)/ABS('Reforecast Q1 2026'!G76)),"")</f>
        <v/>
      </c>
      <c r="V61" s="131" t="n">
        <f aca="false">'Reforecast Q1 2026'!H76</f>
        <v>0</v>
      </c>
      <c r="W61" s="131" t="str">
        <f aca="false">IF(OR(6&gt;$B$3,ISBLANK(Actuals!H76)),"",Actuals!H76)</f>
        <v/>
      </c>
      <c r="X61" s="132" t="str">
        <f aca="false">IF(OR(6&gt;$B$3,ISBLANK(Actuals!H76)),"",'Reforecast Q1 2026'!H76-Actuals!H76)</f>
        <v/>
      </c>
      <c r="Y61" s="132" t="str">
        <f aca="false">IFERROR(IF(OR(6&gt;$B$3,ISBLANK(Actuals!H76)),"",('Reforecast Q1 2026'!H76-Actuals!H76)/ABS('Reforecast Q1 2026'!H76)),"")</f>
        <v/>
      </c>
      <c r="Z61" s="131" t="n">
        <f aca="false">'Reforecast Q1 2026'!I76</f>
        <v>0</v>
      </c>
      <c r="AA61" s="131" t="str">
        <f aca="false">IF(OR(7&gt;$B$3,ISBLANK(Actuals!I76)),"",Actuals!I76)</f>
        <v/>
      </c>
      <c r="AB61" s="132" t="str">
        <f aca="false">IF(OR(7&gt;$B$3,ISBLANK(Actuals!I76)),"",'Reforecast Q1 2026'!I76-Actuals!I76)</f>
        <v/>
      </c>
      <c r="AC61" s="132" t="str">
        <f aca="false">IFERROR(IF(OR(7&gt;$B$3,ISBLANK(Actuals!I76)),"",('Reforecast Q1 2026'!I76-Actuals!I76)/ABS('Reforecast Q1 2026'!I76)),"")</f>
        <v/>
      </c>
      <c r="AD61" s="131" t="n">
        <f aca="false">'Reforecast Q1 2026'!J76</f>
        <v>0</v>
      </c>
      <c r="AE61" s="131" t="str">
        <f aca="false">IF(OR(8&gt;$B$3,ISBLANK(Actuals!J76)),"",Actuals!J76)</f>
        <v/>
      </c>
      <c r="AF61" s="132" t="str">
        <f aca="false">IF(OR(8&gt;$B$3,ISBLANK(Actuals!J76)),"",'Reforecast Q1 2026'!J76-Actuals!J76)</f>
        <v/>
      </c>
      <c r="AG61" s="132" t="str">
        <f aca="false">IFERROR(IF(OR(8&gt;$B$3,ISBLANK(Actuals!J76)),"",('Reforecast Q1 2026'!J76-Actuals!J76)/ABS('Reforecast Q1 2026'!J76)),"")</f>
        <v/>
      </c>
      <c r="AH61" s="131" t="n">
        <f aca="false">'Reforecast Q1 2026'!K76</f>
        <v>0</v>
      </c>
      <c r="AI61" s="131" t="str">
        <f aca="false">IF(OR(9&gt;$B$3,ISBLANK(Actuals!K76)),"",Actuals!K76)</f>
        <v/>
      </c>
      <c r="AJ61" s="132" t="str">
        <f aca="false">IF(OR(9&gt;$B$3,ISBLANK(Actuals!K76)),"",'Reforecast Q1 2026'!K76-Actuals!K76)</f>
        <v/>
      </c>
      <c r="AK61" s="132" t="str">
        <f aca="false">IFERROR(IF(OR(9&gt;$B$3,ISBLANK(Actuals!K76)),"",('Reforecast Q1 2026'!K76-Actuals!K76)/ABS('Reforecast Q1 2026'!K76)),"")</f>
        <v/>
      </c>
      <c r="AL61" s="131" t="n">
        <f aca="false">'Reforecast Q1 2026'!L76</f>
        <v>0</v>
      </c>
      <c r="AM61" s="131" t="str">
        <f aca="false">IF(OR(10&gt;$B$3,ISBLANK(Actuals!L76)),"",Actuals!L76)</f>
        <v/>
      </c>
      <c r="AN61" s="132" t="str">
        <f aca="false">IF(OR(10&gt;$B$3,ISBLANK(Actuals!L76)),"",'Reforecast Q1 2026'!L76-Actuals!L76)</f>
        <v/>
      </c>
      <c r="AO61" s="132" t="str">
        <f aca="false">IFERROR(IF(OR(10&gt;$B$3,ISBLANK(Actuals!L76)),"",('Reforecast Q1 2026'!L76-Actuals!L76)/ABS('Reforecast Q1 2026'!L76)),"")</f>
        <v/>
      </c>
      <c r="AP61" s="131" t="n">
        <f aca="false">'Reforecast Q1 2026'!M76</f>
        <v>0</v>
      </c>
      <c r="AQ61" s="131" t="str">
        <f aca="false">IF(OR(11&gt;$B$3,ISBLANK(Actuals!M76)),"",Actuals!M76)</f>
        <v/>
      </c>
      <c r="AR61" s="132" t="str">
        <f aca="false">IF(OR(11&gt;$B$3,ISBLANK(Actuals!M76)),"",'Reforecast Q1 2026'!M76-Actuals!M76)</f>
        <v/>
      </c>
      <c r="AS61" s="132" t="str">
        <f aca="false">IFERROR(IF(OR(11&gt;$B$3,ISBLANK(Actuals!M76)),"",('Reforecast Q1 2026'!M76-Actuals!M76)/ABS('Reforecast Q1 2026'!M76)),"")</f>
        <v/>
      </c>
      <c r="AT61" s="131" t="n">
        <f aca="false">'Reforecast Q1 2026'!N76</f>
        <v>0</v>
      </c>
      <c r="AU61" s="131" t="str">
        <f aca="false">IF(OR(12&gt;$B$3,ISBLANK(Actuals!N76)),"",Actuals!N76)</f>
        <v/>
      </c>
      <c r="AV61" s="132" t="str">
        <f aca="false">IF(OR(12&gt;$B$3,ISBLANK(Actuals!N76)),"",'Reforecast Q1 2026'!N76-Actuals!N76)</f>
        <v/>
      </c>
      <c r="AW61" s="132" t="str">
        <f aca="false">IFERROR(IF(OR(12&gt;$B$3,ISBLANK(Actuals!N76)),"",('Reforecast Q1 2026'!N76-Actuals!N76)/ABS('Reforecast Q1 2026'!N76)),"")</f>
        <v/>
      </c>
      <c r="AX61" s="133" t="n">
        <f aca="false">SUMPRODUCT((Actuals!C76:N76&lt;&gt;"")*('Reforecast Q1 2026'!C76:N76))</f>
        <v>0</v>
      </c>
      <c r="AY61" s="133" t="n">
        <f aca="false">SUM(Actuals!C76:N76)</f>
        <v>0</v>
      </c>
      <c r="AZ61" s="134" t="n">
        <f aca="false">AX61-AY61</f>
        <v>0</v>
      </c>
    </row>
    <row r="62" customFormat="false" ht="15" hidden="false" customHeight="true" outlineLevel="0" collapsed="false">
      <c r="A62" s="130" t="s">
        <v>114</v>
      </c>
      <c r="B62" s="131" t="n">
        <f aca="false">'Reforecast Q1 2026'!C77</f>
        <v>0</v>
      </c>
      <c r="C62" s="131" t="str">
        <f aca="false">IF(OR(1&gt;$B$3,ISBLANK(Actuals!C77)),"",Actuals!C77)</f>
        <v/>
      </c>
      <c r="D62" s="132" t="str">
        <f aca="false">IF(OR(1&gt;$B$3,ISBLANK(Actuals!C77)),"",'Reforecast Q1 2026'!C77-Actuals!C77)</f>
        <v/>
      </c>
      <c r="E62" s="132" t="str">
        <f aca="false">IFERROR(IF(OR(1&gt;$B$3,ISBLANK(Actuals!C77)),"",('Reforecast Q1 2026'!C77-Actuals!C77)/ABS('Reforecast Q1 2026'!C77)),"")</f>
        <v/>
      </c>
      <c r="F62" s="131" t="n">
        <f aca="false">'Reforecast Q1 2026'!D77</f>
        <v>0</v>
      </c>
      <c r="G62" s="131" t="str">
        <f aca="false">IF(OR(2&gt;$B$3,ISBLANK(Actuals!D77)),"",Actuals!D77)</f>
        <v/>
      </c>
      <c r="H62" s="132" t="str">
        <f aca="false">IF(OR(2&gt;$B$3,ISBLANK(Actuals!D77)),"",'Reforecast Q1 2026'!D77-Actuals!D77)</f>
        <v/>
      </c>
      <c r="I62" s="132" t="str">
        <f aca="false">IFERROR(IF(OR(2&gt;$B$3,ISBLANK(Actuals!D77)),"",('Reforecast Q1 2026'!D77-Actuals!D77)/ABS('Reforecast Q1 2026'!D77)),"")</f>
        <v/>
      </c>
      <c r="J62" s="131" t="n">
        <f aca="false">'Reforecast Q1 2026'!E77</f>
        <v>0</v>
      </c>
      <c r="K62" s="131" t="str">
        <f aca="false">IF(OR(3&gt;$B$3,ISBLANK(Actuals!E77)),"",Actuals!E77)</f>
        <v/>
      </c>
      <c r="L62" s="132" t="str">
        <f aca="false">IF(OR(3&gt;$B$3,ISBLANK(Actuals!E77)),"",'Reforecast Q1 2026'!E77-Actuals!E77)</f>
        <v/>
      </c>
      <c r="M62" s="132" t="str">
        <f aca="false">IFERROR(IF(OR(3&gt;$B$3,ISBLANK(Actuals!E77)),"",('Reforecast Q1 2026'!E77-Actuals!E77)/ABS('Reforecast Q1 2026'!E77)),"")</f>
        <v/>
      </c>
      <c r="N62" s="131" t="n">
        <f aca="false">'Reforecast Q1 2026'!F77</f>
        <v>0</v>
      </c>
      <c r="O62" s="131" t="str">
        <f aca="false">IF(OR(4&gt;$B$3,ISBLANK(Actuals!F77)),"",Actuals!F77)</f>
        <v/>
      </c>
      <c r="P62" s="132" t="str">
        <f aca="false">IF(OR(4&gt;$B$3,ISBLANK(Actuals!F77)),"",'Reforecast Q1 2026'!F77-Actuals!F77)</f>
        <v/>
      </c>
      <c r="Q62" s="132" t="str">
        <f aca="false">IFERROR(IF(OR(4&gt;$B$3,ISBLANK(Actuals!F77)),"",('Reforecast Q1 2026'!F77-Actuals!F77)/ABS('Reforecast Q1 2026'!F77)),"")</f>
        <v/>
      </c>
      <c r="R62" s="131" t="n">
        <f aca="false">'Reforecast Q1 2026'!G77</f>
        <v>0</v>
      </c>
      <c r="S62" s="131" t="str">
        <f aca="false">IF(OR(5&gt;$B$3,ISBLANK(Actuals!G77)),"",Actuals!G77)</f>
        <v/>
      </c>
      <c r="T62" s="132" t="str">
        <f aca="false">IF(OR(5&gt;$B$3,ISBLANK(Actuals!G77)),"",'Reforecast Q1 2026'!G77-Actuals!G77)</f>
        <v/>
      </c>
      <c r="U62" s="132" t="str">
        <f aca="false">IFERROR(IF(OR(5&gt;$B$3,ISBLANK(Actuals!G77)),"",('Reforecast Q1 2026'!G77-Actuals!G77)/ABS('Reforecast Q1 2026'!G77)),"")</f>
        <v/>
      </c>
      <c r="V62" s="131" t="n">
        <f aca="false">'Reforecast Q1 2026'!H77</f>
        <v>0</v>
      </c>
      <c r="W62" s="131" t="str">
        <f aca="false">IF(OR(6&gt;$B$3,ISBLANK(Actuals!H77)),"",Actuals!H77)</f>
        <v/>
      </c>
      <c r="X62" s="132" t="str">
        <f aca="false">IF(OR(6&gt;$B$3,ISBLANK(Actuals!H77)),"",'Reforecast Q1 2026'!H77-Actuals!H77)</f>
        <v/>
      </c>
      <c r="Y62" s="132" t="str">
        <f aca="false">IFERROR(IF(OR(6&gt;$B$3,ISBLANK(Actuals!H77)),"",('Reforecast Q1 2026'!H77-Actuals!H77)/ABS('Reforecast Q1 2026'!H77)),"")</f>
        <v/>
      </c>
      <c r="Z62" s="131" t="n">
        <f aca="false">'Reforecast Q1 2026'!I77</f>
        <v>0</v>
      </c>
      <c r="AA62" s="131" t="str">
        <f aca="false">IF(OR(7&gt;$B$3,ISBLANK(Actuals!I77)),"",Actuals!I77)</f>
        <v/>
      </c>
      <c r="AB62" s="132" t="str">
        <f aca="false">IF(OR(7&gt;$B$3,ISBLANK(Actuals!I77)),"",'Reforecast Q1 2026'!I77-Actuals!I77)</f>
        <v/>
      </c>
      <c r="AC62" s="132" t="str">
        <f aca="false">IFERROR(IF(OR(7&gt;$B$3,ISBLANK(Actuals!I77)),"",('Reforecast Q1 2026'!I77-Actuals!I77)/ABS('Reforecast Q1 2026'!I77)),"")</f>
        <v/>
      </c>
      <c r="AD62" s="131" t="n">
        <f aca="false">'Reforecast Q1 2026'!J77</f>
        <v>0</v>
      </c>
      <c r="AE62" s="131" t="n">
        <f aca="false">IF(OR(8&gt;$B$3,ISBLANK(Actuals!J77)),"",Actuals!J77)</f>
        <v>127514</v>
      </c>
      <c r="AF62" s="132" t="n">
        <f aca="false">IF(OR(8&gt;$B$3,ISBLANK(Actuals!J77)),"",'Reforecast Q1 2026'!J77-Actuals!J77)</f>
        <v>-127514</v>
      </c>
      <c r="AG62" s="132" t="str">
        <f aca="false">IFERROR(IF(OR(8&gt;$B$3,ISBLANK(Actuals!J77)),"",('Reforecast Q1 2026'!J77-Actuals!J77)/ABS('Reforecast Q1 2026'!J77)),"")</f>
        <v/>
      </c>
      <c r="AH62" s="131" t="n">
        <f aca="false">'Reforecast Q1 2026'!K77</f>
        <v>0</v>
      </c>
      <c r="AI62" s="131" t="str">
        <f aca="false">IF(OR(9&gt;$B$3,ISBLANK(Actuals!K77)),"",Actuals!K77)</f>
        <v/>
      </c>
      <c r="AJ62" s="132" t="str">
        <f aca="false">IF(OR(9&gt;$B$3,ISBLANK(Actuals!K77)),"",'Reforecast Q1 2026'!K77-Actuals!K77)</f>
        <v/>
      </c>
      <c r="AK62" s="132" t="str">
        <f aca="false">IFERROR(IF(OR(9&gt;$B$3,ISBLANK(Actuals!K77)),"",('Reforecast Q1 2026'!K77-Actuals!K77)/ABS('Reforecast Q1 2026'!K77)),"")</f>
        <v/>
      </c>
      <c r="AL62" s="131" t="n">
        <f aca="false">'Reforecast Q1 2026'!L77</f>
        <v>0</v>
      </c>
      <c r="AM62" s="131" t="str">
        <f aca="false">IF(OR(10&gt;$B$3,ISBLANK(Actuals!L77)),"",Actuals!L77)</f>
        <v/>
      </c>
      <c r="AN62" s="132" t="str">
        <f aca="false">IF(OR(10&gt;$B$3,ISBLANK(Actuals!L77)),"",'Reforecast Q1 2026'!L77-Actuals!L77)</f>
        <v/>
      </c>
      <c r="AO62" s="132" t="str">
        <f aca="false">IFERROR(IF(OR(10&gt;$B$3,ISBLANK(Actuals!L77)),"",('Reforecast Q1 2026'!L77-Actuals!L77)/ABS('Reforecast Q1 2026'!L77)),"")</f>
        <v/>
      </c>
      <c r="AP62" s="131" t="n">
        <f aca="false">'Reforecast Q1 2026'!M77</f>
        <v>0</v>
      </c>
      <c r="AQ62" s="131" t="str">
        <f aca="false">IF(OR(11&gt;$B$3,ISBLANK(Actuals!M77)),"",Actuals!M77)</f>
        <v/>
      </c>
      <c r="AR62" s="132" t="str">
        <f aca="false">IF(OR(11&gt;$B$3,ISBLANK(Actuals!M77)),"",'Reforecast Q1 2026'!M77-Actuals!M77)</f>
        <v/>
      </c>
      <c r="AS62" s="132" t="str">
        <f aca="false">IFERROR(IF(OR(11&gt;$B$3,ISBLANK(Actuals!M77)),"",('Reforecast Q1 2026'!M77-Actuals!M77)/ABS('Reforecast Q1 2026'!M77)),"")</f>
        <v/>
      </c>
      <c r="AT62" s="131" t="n">
        <f aca="false">'Reforecast Q1 2026'!N77</f>
        <v>0</v>
      </c>
      <c r="AU62" s="131" t="str">
        <f aca="false">IF(OR(12&gt;$B$3,ISBLANK(Actuals!N77)),"",Actuals!N77)</f>
        <v/>
      </c>
      <c r="AV62" s="132" t="str">
        <f aca="false">IF(OR(12&gt;$B$3,ISBLANK(Actuals!N77)),"",'Reforecast Q1 2026'!N77-Actuals!N77)</f>
        <v/>
      </c>
      <c r="AW62" s="132" t="str">
        <f aca="false">IFERROR(IF(OR(12&gt;$B$3,ISBLANK(Actuals!N77)),"",('Reforecast Q1 2026'!N77-Actuals!N77)/ABS('Reforecast Q1 2026'!N77)),"")</f>
        <v/>
      </c>
      <c r="AX62" s="133" t="n">
        <f aca="false">SUMPRODUCT((Actuals!C77:N77&lt;&gt;"")*('Reforecast Q1 2026'!C77:N77))</f>
        <v>0</v>
      </c>
      <c r="AY62" s="133" t="n">
        <f aca="false">SUM(Actuals!C77:N77)</f>
        <v>127514</v>
      </c>
      <c r="AZ62" s="134" t="n">
        <f aca="false">AX62-AY62</f>
        <v>-127514</v>
      </c>
    </row>
    <row r="63" customFormat="false" ht="15" hidden="false" customHeight="true" outlineLevel="0" collapsed="false">
      <c r="A63" s="130" t="s">
        <v>115</v>
      </c>
      <c r="B63" s="131" t="n">
        <f aca="false">'Reforecast Q1 2026'!C78</f>
        <v>0</v>
      </c>
      <c r="C63" s="131" t="str">
        <f aca="false">IF(OR(1&gt;$B$3,ISBLANK(Actuals!C78)),"",Actuals!C78)</f>
        <v/>
      </c>
      <c r="D63" s="132" t="str">
        <f aca="false">IF(OR(1&gt;$B$3,ISBLANK(Actuals!C78)),"",'Reforecast Q1 2026'!C78-Actuals!C78)</f>
        <v/>
      </c>
      <c r="E63" s="132" t="str">
        <f aca="false">IFERROR(IF(OR(1&gt;$B$3,ISBLANK(Actuals!C78)),"",('Reforecast Q1 2026'!C78-Actuals!C78)/ABS('Reforecast Q1 2026'!C78)),"")</f>
        <v/>
      </c>
      <c r="F63" s="131" t="n">
        <f aca="false">'Reforecast Q1 2026'!D78</f>
        <v>0</v>
      </c>
      <c r="G63" s="131" t="str">
        <f aca="false">IF(OR(2&gt;$B$3,ISBLANK(Actuals!D78)),"",Actuals!D78)</f>
        <v/>
      </c>
      <c r="H63" s="132" t="str">
        <f aca="false">IF(OR(2&gt;$B$3,ISBLANK(Actuals!D78)),"",'Reforecast Q1 2026'!D78-Actuals!D78)</f>
        <v/>
      </c>
      <c r="I63" s="132" t="str">
        <f aca="false">IFERROR(IF(OR(2&gt;$B$3,ISBLANK(Actuals!D78)),"",('Reforecast Q1 2026'!D78-Actuals!D78)/ABS('Reforecast Q1 2026'!D78)),"")</f>
        <v/>
      </c>
      <c r="J63" s="131" t="n">
        <f aca="false">'Reforecast Q1 2026'!E78</f>
        <v>0</v>
      </c>
      <c r="K63" s="131" t="str">
        <f aca="false">IF(OR(3&gt;$B$3,ISBLANK(Actuals!E78)),"",Actuals!E78)</f>
        <v/>
      </c>
      <c r="L63" s="132" t="str">
        <f aca="false">IF(OR(3&gt;$B$3,ISBLANK(Actuals!E78)),"",'Reforecast Q1 2026'!E78-Actuals!E78)</f>
        <v/>
      </c>
      <c r="M63" s="132" t="str">
        <f aca="false">IFERROR(IF(OR(3&gt;$B$3,ISBLANK(Actuals!E78)),"",('Reforecast Q1 2026'!E78-Actuals!E78)/ABS('Reforecast Q1 2026'!E78)),"")</f>
        <v/>
      </c>
      <c r="N63" s="131" t="n">
        <f aca="false">'Reforecast Q1 2026'!F78</f>
        <v>0</v>
      </c>
      <c r="O63" s="131" t="str">
        <f aca="false">IF(OR(4&gt;$B$3,ISBLANK(Actuals!F78)),"",Actuals!F78)</f>
        <v/>
      </c>
      <c r="P63" s="132" t="str">
        <f aca="false">IF(OR(4&gt;$B$3,ISBLANK(Actuals!F78)),"",'Reforecast Q1 2026'!F78-Actuals!F78)</f>
        <v/>
      </c>
      <c r="Q63" s="132" t="str">
        <f aca="false">IFERROR(IF(OR(4&gt;$B$3,ISBLANK(Actuals!F78)),"",('Reforecast Q1 2026'!F78-Actuals!F78)/ABS('Reforecast Q1 2026'!F78)),"")</f>
        <v/>
      </c>
      <c r="R63" s="131" t="n">
        <f aca="false">'Reforecast Q1 2026'!G78</f>
        <v>0</v>
      </c>
      <c r="S63" s="131" t="str">
        <f aca="false">IF(OR(5&gt;$B$3,ISBLANK(Actuals!G78)),"",Actuals!G78)</f>
        <v/>
      </c>
      <c r="T63" s="132" t="str">
        <f aca="false">IF(OR(5&gt;$B$3,ISBLANK(Actuals!G78)),"",'Reforecast Q1 2026'!G78-Actuals!G78)</f>
        <v/>
      </c>
      <c r="U63" s="132" t="str">
        <f aca="false">IFERROR(IF(OR(5&gt;$B$3,ISBLANK(Actuals!G78)),"",('Reforecast Q1 2026'!G78-Actuals!G78)/ABS('Reforecast Q1 2026'!G78)),"")</f>
        <v/>
      </c>
      <c r="V63" s="131" t="n">
        <f aca="false">'Reforecast Q1 2026'!H78</f>
        <v>0</v>
      </c>
      <c r="W63" s="131" t="str">
        <f aca="false">IF(OR(6&gt;$B$3,ISBLANK(Actuals!H78)),"",Actuals!H78)</f>
        <v/>
      </c>
      <c r="X63" s="132" t="str">
        <f aca="false">IF(OR(6&gt;$B$3,ISBLANK(Actuals!H78)),"",'Reforecast Q1 2026'!H78-Actuals!H78)</f>
        <v/>
      </c>
      <c r="Y63" s="132" t="str">
        <f aca="false">IFERROR(IF(OR(6&gt;$B$3,ISBLANK(Actuals!H78)),"",('Reforecast Q1 2026'!H78-Actuals!H78)/ABS('Reforecast Q1 2026'!H78)),"")</f>
        <v/>
      </c>
      <c r="Z63" s="131" t="n">
        <f aca="false">'Reforecast Q1 2026'!I78</f>
        <v>0</v>
      </c>
      <c r="AA63" s="131" t="str">
        <f aca="false">IF(OR(7&gt;$B$3,ISBLANK(Actuals!I78)),"",Actuals!I78)</f>
        <v/>
      </c>
      <c r="AB63" s="132" t="str">
        <f aca="false">IF(OR(7&gt;$B$3,ISBLANK(Actuals!I78)),"",'Reforecast Q1 2026'!I78-Actuals!I78)</f>
        <v/>
      </c>
      <c r="AC63" s="132" t="str">
        <f aca="false">IFERROR(IF(OR(7&gt;$B$3,ISBLANK(Actuals!I78)),"",('Reforecast Q1 2026'!I78-Actuals!I78)/ABS('Reforecast Q1 2026'!I78)),"")</f>
        <v/>
      </c>
      <c r="AD63" s="131" t="n">
        <f aca="false">'Reforecast Q1 2026'!J78</f>
        <v>0</v>
      </c>
      <c r="AE63" s="131" t="str">
        <f aca="false">IF(OR(8&gt;$B$3,ISBLANK(Actuals!J78)),"",Actuals!J78)</f>
        <v/>
      </c>
      <c r="AF63" s="132" t="str">
        <f aca="false">IF(OR(8&gt;$B$3,ISBLANK(Actuals!J78)),"",'Reforecast Q1 2026'!J78-Actuals!J78)</f>
        <v/>
      </c>
      <c r="AG63" s="132" t="str">
        <f aca="false">IFERROR(IF(OR(8&gt;$B$3,ISBLANK(Actuals!J78)),"",('Reforecast Q1 2026'!J78-Actuals!J78)/ABS('Reforecast Q1 2026'!J78)),"")</f>
        <v/>
      </c>
      <c r="AH63" s="131" t="n">
        <f aca="false">'Reforecast Q1 2026'!K78</f>
        <v>0</v>
      </c>
      <c r="AI63" s="131" t="str">
        <f aca="false">IF(OR(9&gt;$B$3,ISBLANK(Actuals!K78)),"",Actuals!K78)</f>
        <v/>
      </c>
      <c r="AJ63" s="132" t="str">
        <f aca="false">IF(OR(9&gt;$B$3,ISBLANK(Actuals!K78)),"",'Reforecast Q1 2026'!K78-Actuals!K78)</f>
        <v/>
      </c>
      <c r="AK63" s="132" t="str">
        <f aca="false">IFERROR(IF(OR(9&gt;$B$3,ISBLANK(Actuals!K78)),"",('Reforecast Q1 2026'!K78-Actuals!K78)/ABS('Reforecast Q1 2026'!K78)),"")</f>
        <v/>
      </c>
      <c r="AL63" s="131" t="n">
        <f aca="false">'Reforecast Q1 2026'!L78</f>
        <v>0</v>
      </c>
      <c r="AM63" s="131" t="str">
        <f aca="false">IF(OR(10&gt;$B$3,ISBLANK(Actuals!L78)),"",Actuals!L78)</f>
        <v/>
      </c>
      <c r="AN63" s="132" t="str">
        <f aca="false">IF(OR(10&gt;$B$3,ISBLANK(Actuals!L78)),"",'Reforecast Q1 2026'!L78-Actuals!L78)</f>
        <v/>
      </c>
      <c r="AO63" s="132" t="str">
        <f aca="false">IFERROR(IF(OR(10&gt;$B$3,ISBLANK(Actuals!L78)),"",('Reforecast Q1 2026'!L78-Actuals!L78)/ABS('Reforecast Q1 2026'!L78)),"")</f>
        <v/>
      </c>
      <c r="AP63" s="131" t="n">
        <f aca="false">'Reforecast Q1 2026'!M78</f>
        <v>0</v>
      </c>
      <c r="AQ63" s="131" t="str">
        <f aca="false">IF(OR(11&gt;$B$3,ISBLANK(Actuals!M78)),"",Actuals!M78)</f>
        <v/>
      </c>
      <c r="AR63" s="132" t="str">
        <f aca="false">IF(OR(11&gt;$B$3,ISBLANK(Actuals!M78)),"",'Reforecast Q1 2026'!M78-Actuals!M78)</f>
        <v/>
      </c>
      <c r="AS63" s="132" t="str">
        <f aca="false">IFERROR(IF(OR(11&gt;$B$3,ISBLANK(Actuals!M78)),"",('Reforecast Q1 2026'!M78-Actuals!M78)/ABS('Reforecast Q1 2026'!M78)),"")</f>
        <v/>
      </c>
      <c r="AT63" s="131" t="n">
        <f aca="false">'Reforecast Q1 2026'!N78</f>
        <v>0</v>
      </c>
      <c r="AU63" s="131" t="str">
        <f aca="false">IF(OR(12&gt;$B$3,ISBLANK(Actuals!N78)),"",Actuals!N78)</f>
        <v/>
      </c>
      <c r="AV63" s="132" t="str">
        <f aca="false">IF(OR(12&gt;$B$3,ISBLANK(Actuals!N78)),"",'Reforecast Q1 2026'!N78-Actuals!N78)</f>
        <v/>
      </c>
      <c r="AW63" s="132" t="str">
        <f aca="false">IFERROR(IF(OR(12&gt;$B$3,ISBLANK(Actuals!N78)),"",('Reforecast Q1 2026'!N78-Actuals!N78)/ABS('Reforecast Q1 2026'!N78)),"")</f>
        <v/>
      </c>
      <c r="AX63" s="133" t="n">
        <f aca="false">SUMPRODUCT((Actuals!C78:N78&lt;&gt;"")*('Reforecast Q1 2026'!C78:N78))</f>
        <v>0</v>
      </c>
      <c r="AY63" s="133" t="n">
        <f aca="false">SUM(Actuals!C78:N78)</f>
        <v>0</v>
      </c>
      <c r="AZ63" s="134" t="n">
        <f aca="false">AX63-AY63</f>
        <v>0</v>
      </c>
    </row>
    <row r="64" customFormat="false" ht="15" hidden="false" customHeight="true" outlineLevel="0" collapsed="false">
      <c r="A64" s="130" t="s">
        <v>116</v>
      </c>
      <c r="B64" s="131" t="n">
        <f aca="false">'Reforecast Q1 2026'!C79</f>
        <v>0</v>
      </c>
      <c r="C64" s="131" t="str">
        <f aca="false">IF(OR(1&gt;$B$3,ISBLANK(Actuals!C79)),"",Actuals!C79)</f>
        <v/>
      </c>
      <c r="D64" s="132" t="str">
        <f aca="false">IF(OR(1&gt;$B$3,ISBLANK(Actuals!C79)),"",'Reforecast Q1 2026'!C79-Actuals!C79)</f>
        <v/>
      </c>
      <c r="E64" s="132" t="str">
        <f aca="false">IFERROR(IF(OR(1&gt;$B$3,ISBLANK(Actuals!C79)),"",('Reforecast Q1 2026'!C79-Actuals!C79)/ABS('Reforecast Q1 2026'!C79)),"")</f>
        <v/>
      </c>
      <c r="F64" s="131" t="n">
        <f aca="false">'Reforecast Q1 2026'!D79</f>
        <v>0</v>
      </c>
      <c r="G64" s="131" t="str">
        <f aca="false">IF(OR(2&gt;$B$3,ISBLANK(Actuals!D79)),"",Actuals!D79)</f>
        <v/>
      </c>
      <c r="H64" s="132" t="str">
        <f aca="false">IF(OR(2&gt;$B$3,ISBLANK(Actuals!D79)),"",'Reforecast Q1 2026'!D79-Actuals!D79)</f>
        <v/>
      </c>
      <c r="I64" s="132" t="str">
        <f aca="false">IFERROR(IF(OR(2&gt;$B$3,ISBLANK(Actuals!D79)),"",('Reforecast Q1 2026'!D79-Actuals!D79)/ABS('Reforecast Q1 2026'!D79)),"")</f>
        <v/>
      </c>
      <c r="J64" s="131" t="n">
        <f aca="false">'Reforecast Q1 2026'!E79</f>
        <v>0</v>
      </c>
      <c r="K64" s="131" t="str">
        <f aca="false">IF(OR(3&gt;$B$3,ISBLANK(Actuals!E79)),"",Actuals!E79)</f>
        <v/>
      </c>
      <c r="L64" s="132" t="str">
        <f aca="false">IF(OR(3&gt;$B$3,ISBLANK(Actuals!E79)),"",'Reforecast Q1 2026'!E79-Actuals!E79)</f>
        <v/>
      </c>
      <c r="M64" s="132" t="str">
        <f aca="false">IFERROR(IF(OR(3&gt;$B$3,ISBLANK(Actuals!E79)),"",('Reforecast Q1 2026'!E79-Actuals!E79)/ABS('Reforecast Q1 2026'!E79)),"")</f>
        <v/>
      </c>
      <c r="N64" s="131" t="n">
        <f aca="false">'Reforecast Q1 2026'!F79</f>
        <v>0</v>
      </c>
      <c r="O64" s="131" t="str">
        <f aca="false">IF(OR(4&gt;$B$3,ISBLANK(Actuals!F79)),"",Actuals!F79)</f>
        <v/>
      </c>
      <c r="P64" s="132" t="str">
        <f aca="false">IF(OR(4&gt;$B$3,ISBLANK(Actuals!F79)),"",'Reforecast Q1 2026'!F79-Actuals!F79)</f>
        <v/>
      </c>
      <c r="Q64" s="132" t="str">
        <f aca="false">IFERROR(IF(OR(4&gt;$B$3,ISBLANK(Actuals!F79)),"",('Reforecast Q1 2026'!F79-Actuals!F79)/ABS('Reforecast Q1 2026'!F79)),"")</f>
        <v/>
      </c>
      <c r="R64" s="131" t="n">
        <f aca="false">'Reforecast Q1 2026'!G79</f>
        <v>0</v>
      </c>
      <c r="S64" s="131" t="str">
        <f aca="false">IF(OR(5&gt;$B$3,ISBLANK(Actuals!G79)),"",Actuals!G79)</f>
        <v/>
      </c>
      <c r="T64" s="132" t="str">
        <f aca="false">IF(OR(5&gt;$B$3,ISBLANK(Actuals!G79)),"",'Reforecast Q1 2026'!G79-Actuals!G79)</f>
        <v/>
      </c>
      <c r="U64" s="132" t="str">
        <f aca="false">IFERROR(IF(OR(5&gt;$B$3,ISBLANK(Actuals!G79)),"",('Reforecast Q1 2026'!G79-Actuals!G79)/ABS('Reforecast Q1 2026'!G79)),"")</f>
        <v/>
      </c>
      <c r="V64" s="131" t="n">
        <f aca="false">'Reforecast Q1 2026'!H79</f>
        <v>0</v>
      </c>
      <c r="W64" s="131" t="str">
        <f aca="false">IF(OR(6&gt;$B$3,ISBLANK(Actuals!H79)),"",Actuals!H79)</f>
        <v/>
      </c>
      <c r="X64" s="132" t="str">
        <f aca="false">IF(OR(6&gt;$B$3,ISBLANK(Actuals!H79)),"",'Reforecast Q1 2026'!H79-Actuals!H79)</f>
        <v/>
      </c>
      <c r="Y64" s="132" t="str">
        <f aca="false">IFERROR(IF(OR(6&gt;$B$3,ISBLANK(Actuals!H79)),"",('Reforecast Q1 2026'!H79-Actuals!H79)/ABS('Reforecast Q1 2026'!H79)),"")</f>
        <v/>
      </c>
      <c r="Z64" s="131" t="n">
        <f aca="false">'Reforecast Q1 2026'!I79</f>
        <v>0</v>
      </c>
      <c r="AA64" s="131" t="str">
        <f aca="false">IF(OR(7&gt;$B$3,ISBLANK(Actuals!I79)),"",Actuals!I79)</f>
        <v/>
      </c>
      <c r="AB64" s="132" t="str">
        <f aca="false">IF(OR(7&gt;$B$3,ISBLANK(Actuals!I79)),"",'Reforecast Q1 2026'!I79-Actuals!I79)</f>
        <v/>
      </c>
      <c r="AC64" s="132" t="str">
        <f aca="false">IFERROR(IF(OR(7&gt;$B$3,ISBLANK(Actuals!I79)),"",('Reforecast Q1 2026'!I79-Actuals!I79)/ABS('Reforecast Q1 2026'!I79)),"")</f>
        <v/>
      </c>
      <c r="AD64" s="131" t="n">
        <f aca="false">'Reforecast Q1 2026'!J79</f>
        <v>0</v>
      </c>
      <c r="AE64" s="131" t="str">
        <f aca="false">IF(OR(8&gt;$B$3,ISBLANK(Actuals!J79)),"",Actuals!J79)</f>
        <v/>
      </c>
      <c r="AF64" s="132" t="str">
        <f aca="false">IF(OR(8&gt;$B$3,ISBLANK(Actuals!J79)),"",'Reforecast Q1 2026'!J79-Actuals!J79)</f>
        <v/>
      </c>
      <c r="AG64" s="132" t="str">
        <f aca="false">IFERROR(IF(OR(8&gt;$B$3,ISBLANK(Actuals!J79)),"",('Reforecast Q1 2026'!J79-Actuals!J79)/ABS('Reforecast Q1 2026'!J79)),"")</f>
        <v/>
      </c>
      <c r="AH64" s="131" t="n">
        <f aca="false">'Reforecast Q1 2026'!K79</f>
        <v>0</v>
      </c>
      <c r="AI64" s="131" t="str">
        <f aca="false">IF(OR(9&gt;$B$3,ISBLANK(Actuals!K79)),"",Actuals!K79)</f>
        <v/>
      </c>
      <c r="AJ64" s="132" t="str">
        <f aca="false">IF(OR(9&gt;$B$3,ISBLANK(Actuals!K79)),"",'Reforecast Q1 2026'!K79-Actuals!K79)</f>
        <v/>
      </c>
      <c r="AK64" s="132" t="str">
        <f aca="false">IFERROR(IF(OR(9&gt;$B$3,ISBLANK(Actuals!K79)),"",('Reforecast Q1 2026'!K79-Actuals!K79)/ABS('Reforecast Q1 2026'!K79)),"")</f>
        <v/>
      </c>
      <c r="AL64" s="131" t="n">
        <f aca="false">'Reforecast Q1 2026'!L79</f>
        <v>0</v>
      </c>
      <c r="AM64" s="131" t="str">
        <f aca="false">IF(OR(10&gt;$B$3,ISBLANK(Actuals!L79)),"",Actuals!L79)</f>
        <v/>
      </c>
      <c r="AN64" s="132" t="str">
        <f aca="false">IF(OR(10&gt;$B$3,ISBLANK(Actuals!L79)),"",'Reforecast Q1 2026'!L79-Actuals!L79)</f>
        <v/>
      </c>
      <c r="AO64" s="132" t="str">
        <f aca="false">IFERROR(IF(OR(10&gt;$B$3,ISBLANK(Actuals!L79)),"",('Reforecast Q1 2026'!L79-Actuals!L79)/ABS('Reforecast Q1 2026'!L79)),"")</f>
        <v/>
      </c>
      <c r="AP64" s="131" t="n">
        <f aca="false">'Reforecast Q1 2026'!M79</f>
        <v>0</v>
      </c>
      <c r="AQ64" s="131" t="str">
        <f aca="false">IF(OR(11&gt;$B$3,ISBLANK(Actuals!M79)),"",Actuals!M79)</f>
        <v/>
      </c>
      <c r="AR64" s="132" t="str">
        <f aca="false">IF(OR(11&gt;$B$3,ISBLANK(Actuals!M79)),"",'Reforecast Q1 2026'!M79-Actuals!M79)</f>
        <v/>
      </c>
      <c r="AS64" s="132" t="str">
        <f aca="false">IFERROR(IF(OR(11&gt;$B$3,ISBLANK(Actuals!M79)),"",('Reforecast Q1 2026'!M79-Actuals!M79)/ABS('Reforecast Q1 2026'!M79)),"")</f>
        <v/>
      </c>
      <c r="AT64" s="131" t="n">
        <f aca="false">'Reforecast Q1 2026'!N79</f>
        <v>0</v>
      </c>
      <c r="AU64" s="131" t="str">
        <f aca="false">IF(OR(12&gt;$B$3,ISBLANK(Actuals!N79)),"",Actuals!N79)</f>
        <v/>
      </c>
      <c r="AV64" s="132" t="str">
        <f aca="false">IF(OR(12&gt;$B$3,ISBLANK(Actuals!N79)),"",'Reforecast Q1 2026'!N79-Actuals!N79)</f>
        <v/>
      </c>
      <c r="AW64" s="132" t="str">
        <f aca="false">IFERROR(IF(OR(12&gt;$B$3,ISBLANK(Actuals!N79)),"",('Reforecast Q1 2026'!N79-Actuals!N79)/ABS('Reforecast Q1 2026'!N79)),"")</f>
        <v/>
      </c>
      <c r="AX64" s="133" t="n">
        <f aca="false">SUMPRODUCT((Actuals!C79:N79&lt;&gt;"")*('Reforecast Q1 2026'!C79:N79))</f>
        <v>0</v>
      </c>
      <c r="AY64" s="133" t="n">
        <f aca="false">SUM(Actuals!C79:N79)</f>
        <v>0</v>
      </c>
      <c r="AZ64" s="134" t="n">
        <f aca="false">AX64-AY64</f>
        <v>0</v>
      </c>
    </row>
    <row r="65" customFormat="false" ht="15" hidden="false" customHeight="true" outlineLevel="0" collapsed="false">
      <c r="A65" s="130" t="s">
        <v>364</v>
      </c>
      <c r="B65" s="131" t="n">
        <f aca="false">'Reforecast Q1 2026'!C80</f>
        <v>0</v>
      </c>
      <c r="C65" s="131" t="str">
        <f aca="false">IF(OR(1&gt;$B$3,ISBLANK(Actuals!C80)),"",Actuals!C80)</f>
        <v/>
      </c>
      <c r="D65" s="132" t="str">
        <f aca="false">IF(OR(1&gt;$B$3,ISBLANK(Actuals!C80)),"",'Reforecast Q1 2026'!C80-Actuals!C80)</f>
        <v/>
      </c>
      <c r="E65" s="132" t="str">
        <f aca="false">IFERROR(IF(OR(1&gt;$B$3,ISBLANK(Actuals!C80)),"",('Reforecast Q1 2026'!C80-Actuals!C80)/ABS('Reforecast Q1 2026'!C80)),"")</f>
        <v/>
      </c>
      <c r="F65" s="131" t="n">
        <f aca="false">'Reforecast Q1 2026'!D80</f>
        <v>0</v>
      </c>
      <c r="G65" s="131" t="str">
        <f aca="false">IF(OR(2&gt;$B$3,ISBLANK(Actuals!D80)),"",Actuals!D80)</f>
        <v/>
      </c>
      <c r="H65" s="132" t="str">
        <f aca="false">IF(OR(2&gt;$B$3,ISBLANK(Actuals!D80)),"",'Reforecast Q1 2026'!D80-Actuals!D80)</f>
        <v/>
      </c>
      <c r="I65" s="132" t="str">
        <f aca="false">IFERROR(IF(OR(2&gt;$B$3,ISBLANK(Actuals!D80)),"",('Reforecast Q1 2026'!D80-Actuals!D80)/ABS('Reforecast Q1 2026'!D80)),"")</f>
        <v/>
      </c>
      <c r="J65" s="131" t="n">
        <f aca="false">'Reforecast Q1 2026'!E80</f>
        <v>0</v>
      </c>
      <c r="K65" s="131" t="str">
        <f aca="false">IF(OR(3&gt;$B$3,ISBLANK(Actuals!E80)),"",Actuals!E80)</f>
        <v/>
      </c>
      <c r="L65" s="132" t="str">
        <f aca="false">IF(OR(3&gt;$B$3,ISBLANK(Actuals!E80)),"",'Reforecast Q1 2026'!E80-Actuals!E80)</f>
        <v/>
      </c>
      <c r="M65" s="132" t="str">
        <f aca="false">IFERROR(IF(OR(3&gt;$B$3,ISBLANK(Actuals!E80)),"",('Reforecast Q1 2026'!E80-Actuals!E80)/ABS('Reforecast Q1 2026'!E80)),"")</f>
        <v/>
      </c>
      <c r="N65" s="131" t="n">
        <f aca="false">'Reforecast Q1 2026'!F80</f>
        <v>0</v>
      </c>
      <c r="O65" s="131" t="str">
        <f aca="false">IF(OR(4&gt;$B$3,ISBLANK(Actuals!F80)),"",Actuals!F80)</f>
        <v/>
      </c>
      <c r="P65" s="132" t="str">
        <f aca="false">IF(OR(4&gt;$B$3,ISBLANK(Actuals!F80)),"",'Reforecast Q1 2026'!F80-Actuals!F80)</f>
        <v/>
      </c>
      <c r="Q65" s="132" t="str">
        <f aca="false">IFERROR(IF(OR(4&gt;$B$3,ISBLANK(Actuals!F80)),"",('Reforecast Q1 2026'!F80-Actuals!F80)/ABS('Reforecast Q1 2026'!F80)),"")</f>
        <v/>
      </c>
      <c r="R65" s="131" t="n">
        <f aca="false">'Reforecast Q1 2026'!G80</f>
        <v>0</v>
      </c>
      <c r="S65" s="131" t="str">
        <f aca="false">IF(OR(5&gt;$B$3,ISBLANK(Actuals!G80)),"",Actuals!G80)</f>
        <v/>
      </c>
      <c r="T65" s="132" t="str">
        <f aca="false">IF(OR(5&gt;$B$3,ISBLANK(Actuals!G80)),"",'Reforecast Q1 2026'!G80-Actuals!G80)</f>
        <v/>
      </c>
      <c r="U65" s="132" t="str">
        <f aca="false">IFERROR(IF(OR(5&gt;$B$3,ISBLANK(Actuals!G80)),"",('Reforecast Q1 2026'!G80-Actuals!G80)/ABS('Reforecast Q1 2026'!G80)),"")</f>
        <v/>
      </c>
      <c r="V65" s="131" t="n">
        <f aca="false">'Reforecast Q1 2026'!H80</f>
        <v>0</v>
      </c>
      <c r="W65" s="131" t="str">
        <f aca="false">IF(OR(6&gt;$B$3,ISBLANK(Actuals!H80)),"",Actuals!H80)</f>
        <v/>
      </c>
      <c r="X65" s="132" t="str">
        <f aca="false">IF(OR(6&gt;$B$3,ISBLANK(Actuals!H80)),"",'Reforecast Q1 2026'!H80-Actuals!H80)</f>
        <v/>
      </c>
      <c r="Y65" s="132" t="str">
        <f aca="false">IFERROR(IF(OR(6&gt;$B$3,ISBLANK(Actuals!H80)),"",('Reforecast Q1 2026'!H80-Actuals!H80)/ABS('Reforecast Q1 2026'!H80)),"")</f>
        <v/>
      </c>
      <c r="Z65" s="131" t="n">
        <f aca="false">'Reforecast Q1 2026'!I80</f>
        <v>0</v>
      </c>
      <c r="AA65" s="131" t="str">
        <f aca="false">IF(OR(7&gt;$B$3,ISBLANK(Actuals!I80)),"",Actuals!I80)</f>
        <v/>
      </c>
      <c r="AB65" s="132" t="str">
        <f aca="false">IF(OR(7&gt;$B$3,ISBLANK(Actuals!I80)),"",'Reforecast Q1 2026'!I80-Actuals!I80)</f>
        <v/>
      </c>
      <c r="AC65" s="132" t="str">
        <f aca="false">IFERROR(IF(OR(7&gt;$B$3,ISBLANK(Actuals!I80)),"",('Reforecast Q1 2026'!I80-Actuals!I80)/ABS('Reforecast Q1 2026'!I80)),"")</f>
        <v/>
      </c>
      <c r="AD65" s="131" t="n">
        <f aca="false">'Reforecast Q1 2026'!J80</f>
        <v>0</v>
      </c>
      <c r="AE65" s="131" t="str">
        <f aca="false">IF(OR(8&gt;$B$3,ISBLANK(Actuals!J80)),"",Actuals!J80)</f>
        <v/>
      </c>
      <c r="AF65" s="132" t="str">
        <f aca="false">IF(OR(8&gt;$B$3,ISBLANK(Actuals!J80)),"",'Reforecast Q1 2026'!J80-Actuals!J80)</f>
        <v/>
      </c>
      <c r="AG65" s="132" t="str">
        <f aca="false">IFERROR(IF(OR(8&gt;$B$3,ISBLANK(Actuals!J80)),"",('Reforecast Q1 2026'!J80-Actuals!J80)/ABS('Reforecast Q1 2026'!J80)),"")</f>
        <v/>
      </c>
      <c r="AH65" s="131" t="n">
        <f aca="false">'Reforecast Q1 2026'!K80</f>
        <v>0</v>
      </c>
      <c r="AI65" s="131" t="str">
        <f aca="false">IF(OR(9&gt;$B$3,ISBLANK(Actuals!K80)),"",Actuals!K80)</f>
        <v/>
      </c>
      <c r="AJ65" s="132" t="str">
        <f aca="false">IF(OR(9&gt;$B$3,ISBLANK(Actuals!K80)),"",'Reforecast Q1 2026'!K80-Actuals!K80)</f>
        <v/>
      </c>
      <c r="AK65" s="132" t="str">
        <f aca="false">IFERROR(IF(OR(9&gt;$B$3,ISBLANK(Actuals!K80)),"",('Reforecast Q1 2026'!K80-Actuals!K80)/ABS('Reforecast Q1 2026'!K80)),"")</f>
        <v/>
      </c>
      <c r="AL65" s="131" t="n">
        <f aca="false">'Reforecast Q1 2026'!L80</f>
        <v>0</v>
      </c>
      <c r="AM65" s="131" t="str">
        <f aca="false">IF(OR(10&gt;$B$3,ISBLANK(Actuals!L80)),"",Actuals!L80)</f>
        <v/>
      </c>
      <c r="AN65" s="132" t="str">
        <f aca="false">IF(OR(10&gt;$B$3,ISBLANK(Actuals!L80)),"",'Reforecast Q1 2026'!L80-Actuals!L80)</f>
        <v/>
      </c>
      <c r="AO65" s="132" t="str">
        <f aca="false">IFERROR(IF(OR(10&gt;$B$3,ISBLANK(Actuals!L80)),"",('Reforecast Q1 2026'!L80-Actuals!L80)/ABS('Reforecast Q1 2026'!L80)),"")</f>
        <v/>
      </c>
      <c r="AP65" s="131" t="n">
        <f aca="false">'Reforecast Q1 2026'!M80</f>
        <v>0</v>
      </c>
      <c r="AQ65" s="131" t="str">
        <f aca="false">IF(OR(11&gt;$B$3,ISBLANK(Actuals!M80)),"",Actuals!M80)</f>
        <v/>
      </c>
      <c r="AR65" s="132" t="str">
        <f aca="false">IF(OR(11&gt;$B$3,ISBLANK(Actuals!M80)),"",'Reforecast Q1 2026'!M80-Actuals!M80)</f>
        <v/>
      </c>
      <c r="AS65" s="132" t="str">
        <f aca="false">IFERROR(IF(OR(11&gt;$B$3,ISBLANK(Actuals!M80)),"",('Reforecast Q1 2026'!M80-Actuals!M80)/ABS('Reforecast Q1 2026'!M80)),"")</f>
        <v/>
      </c>
      <c r="AT65" s="131" t="n">
        <f aca="false">'Reforecast Q1 2026'!N80</f>
        <v>0</v>
      </c>
      <c r="AU65" s="131" t="str">
        <f aca="false">IF(OR(12&gt;$B$3,ISBLANK(Actuals!N80)),"",Actuals!N80)</f>
        <v/>
      </c>
      <c r="AV65" s="132" t="str">
        <f aca="false">IF(OR(12&gt;$B$3,ISBLANK(Actuals!N80)),"",'Reforecast Q1 2026'!N80-Actuals!N80)</f>
        <v/>
      </c>
      <c r="AW65" s="132" t="str">
        <f aca="false">IFERROR(IF(OR(12&gt;$B$3,ISBLANK(Actuals!N80)),"",('Reforecast Q1 2026'!N80-Actuals!N80)/ABS('Reforecast Q1 2026'!N80)),"")</f>
        <v/>
      </c>
      <c r="AX65" s="133" t="n">
        <f aca="false">SUMPRODUCT((Actuals!C80:N80&lt;&gt;"")*('Reforecast Q1 2026'!C80:N80))</f>
        <v>0</v>
      </c>
      <c r="AY65" s="133" t="n">
        <f aca="false">SUM(Actuals!C80:N80)</f>
        <v>0</v>
      </c>
      <c r="AZ65" s="134" t="n">
        <f aca="false">AX65-AY65</f>
        <v>0</v>
      </c>
    </row>
    <row r="66" customFormat="false" ht="15" hidden="false" customHeight="true" outlineLevel="0" collapsed="false">
      <c r="A66" s="90" t="s">
        <v>118</v>
      </c>
      <c r="B66" s="131" t="n">
        <f aca="false">'Reforecast Q1 2026'!C63</f>
        <v>0</v>
      </c>
      <c r="C66" s="131" t="str">
        <f aca="false">IF(OR(1&gt;$B$3,ISBLANK(Actuals!C63)),"",Actuals!C63)</f>
        <v/>
      </c>
      <c r="D66" s="132" t="str">
        <f aca="false">IF(OR(1&gt;$B$3,ISBLANK(Actuals!C63)),"",'Reforecast Q1 2026'!C63-Actuals!C63)</f>
        <v/>
      </c>
      <c r="E66" s="132" t="str">
        <f aca="false">IFERROR(IF(OR(1&gt;$B$3,ISBLANK(Actuals!C63)),"",('Reforecast Q1 2026'!C63-Actuals!C63)/ABS('Reforecast Q1 2026'!C63)),"")</f>
        <v/>
      </c>
      <c r="F66" s="131" t="n">
        <f aca="false">'Reforecast Q1 2026'!D63</f>
        <v>0</v>
      </c>
      <c r="G66" s="131" t="str">
        <f aca="false">IF(OR(2&gt;$B$3,ISBLANK(Actuals!D63)),"",Actuals!D63)</f>
        <v/>
      </c>
      <c r="H66" s="132" t="str">
        <f aca="false">IF(OR(2&gt;$B$3,ISBLANK(Actuals!D63)),"",'Reforecast Q1 2026'!D63-Actuals!D63)</f>
        <v/>
      </c>
      <c r="I66" s="132" t="str">
        <f aca="false">IFERROR(IF(OR(2&gt;$B$3,ISBLANK(Actuals!D63)),"",('Reforecast Q1 2026'!D63-Actuals!D63)/ABS('Reforecast Q1 2026'!D63)),"")</f>
        <v/>
      </c>
      <c r="J66" s="131" t="n">
        <f aca="false">'Reforecast Q1 2026'!E63</f>
        <v>0</v>
      </c>
      <c r="K66" s="131" t="str">
        <f aca="false">IF(OR(3&gt;$B$3,ISBLANK(Actuals!E63)),"",Actuals!E63)</f>
        <v/>
      </c>
      <c r="L66" s="132" t="str">
        <f aca="false">IF(OR(3&gt;$B$3,ISBLANK(Actuals!E63)),"",'Reforecast Q1 2026'!E63-Actuals!E63)</f>
        <v/>
      </c>
      <c r="M66" s="132" t="str">
        <f aca="false">IFERROR(IF(OR(3&gt;$B$3,ISBLANK(Actuals!E63)),"",('Reforecast Q1 2026'!E63-Actuals!E63)/ABS('Reforecast Q1 2026'!E63)),"")</f>
        <v/>
      </c>
      <c r="N66" s="131" t="n">
        <f aca="false">'Reforecast Q1 2026'!F63</f>
        <v>0</v>
      </c>
      <c r="O66" s="131" t="str">
        <f aca="false">IF(OR(4&gt;$B$3,ISBLANK(Actuals!F63)),"",Actuals!F63)</f>
        <v/>
      </c>
      <c r="P66" s="132" t="str">
        <f aca="false">IF(OR(4&gt;$B$3,ISBLANK(Actuals!F63)),"",'Reforecast Q1 2026'!F63-Actuals!F63)</f>
        <v/>
      </c>
      <c r="Q66" s="132" t="str">
        <f aca="false">IFERROR(IF(OR(4&gt;$B$3,ISBLANK(Actuals!F63)),"",('Reforecast Q1 2026'!F63-Actuals!F63)/ABS('Reforecast Q1 2026'!F63)),"")</f>
        <v/>
      </c>
      <c r="R66" s="131" t="n">
        <f aca="false">'Reforecast Q1 2026'!G63</f>
        <v>0</v>
      </c>
      <c r="S66" s="131" t="str">
        <f aca="false">IF(OR(5&gt;$B$3,ISBLANK(Actuals!G63)),"",Actuals!G63)</f>
        <v/>
      </c>
      <c r="T66" s="132" t="str">
        <f aca="false">IF(OR(5&gt;$B$3,ISBLANK(Actuals!G63)),"",'Reforecast Q1 2026'!G63-Actuals!G63)</f>
        <v/>
      </c>
      <c r="U66" s="132" t="str">
        <f aca="false">IFERROR(IF(OR(5&gt;$B$3,ISBLANK(Actuals!G63)),"",('Reforecast Q1 2026'!G63-Actuals!G63)/ABS('Reforecast Q1 2026'!G63)),"")</f>
        <v/>
      </c>
      <c r="V66" s="131" t="n">
        <f aca="false">'Reforecast Q1 2026'!H63</f>
        <v>0</v>
      </c>
      <c r="W66" s="131" t="n">
        <f aca="false">IF(OR(6&gt;$B$3,ISBLANK(Actuals!H63)),"",Actuals!H63)</f>
        <v>299000</v>
      </c>
      <c r="X66" s="132" t="n">
        <f aca="false">IF(OR(6&gt;$B$3,ISBLANK(Actuals!H63)),"",'Reforecast Q1 2026'!H63-Actuals!H63)</f>
        <v>-299000</v>
      </c>
      <c r="Y66" s="132" t="str">
        <f aca="false">IFERROR(IF(OR(6&gt;$B$3,ISBLANK(Actuals!H63)),"",('Reforecast Q1 2026'!H63-Actuals!H63)/ABS('Reforecast Q1 2026'!H63)),"")</f>
        <v/>
      </c>
      <c r="Z66" s="131" t="n">
        <f aca="false">'Reforecast Q1 2026'!I63</f>
        <v>0</v>
      </c>
      <c r="AA66" s="131" t="n">
        <f aca="false">IF(OR(7&gt;$B$3,ISBLANK(Actuals!I63)),"",Actuals!I63)</f>
        <v>0</v>
      </c>
      <c r="AB66" s="132" t="n">
        <f aca="false">IF(OR(7&gt;$B$3,ISBLANK(Actuals!I63)),"",'Reforecast Q1 2026'!I63-Actuals!I63)</f>
        <v>0</v>
      </c>
      <c r="AC66" s="132" t="str">
        <f aca="false">IFERROR(IF(OR(7&gt;$B$3,ISBLANK(Actuals!I63)),"",('Reforecast Q1 2026'!I63-Actuals!I63)/ABS('Reforecast Q1 2026'!I63)),"")</f>
        <v/>
      </c>
      <c r="AD66" s="131" t="n">
        <f aca="false">'Reforecast Q1 2026'!J63</f>
        <v>0</v>
      </c>
      <c r="AE66" s="131" t="n">
        <f aca="false">IF(OR(8&gt;$B$3,ISBLANK(Actuals!J63)),"",Actuals!J63)</f>
        <v>0</v>
      </c>
      <c r="AF66" s="132" t="n">
        <f aca="false">IF(OR(8&gt;$B$3,ISBLANK(Actuals!J63)),"",'Reforecast Q1 2026'!J63-Actuals!J63)</f>
        <v>0</v>
      </c>
      <c r="AG66" s="132" t="str">
        <f aca="false">IFERROR(IF(OR(8&gt;$B$3,ISBLANK(Actuals!J63)),"",('Reforecast Q1 2026'!J63-Actuals!J63)/ABS('Reforecast Q1 2026'!J63)),"")</f>
        <v/>
      </c>
      <c r="AH66" s="131" t="n">
        <f aca="false">'Reforecast Q1 2026'!K63</f>
        <v>0</v>
      </c>
      <c r="AI66" s="131" t="n">
        <f aca="false">IF(OR(9&gt;$B$3,ISBLANK(Actuals!K63)),"",Actuals!K63)</f>
        <v>0</v>
      </c>
      <c r="AJ66" s="132" t="n">
        <f aca="false">IF(OR(9&gt;$B$3,ISBLANK(Actuals!K63)),"",'Reforecast Q1 2026'!K63-Actuals!K63)</f>
        <v>0</v>
      </c>
      <c r="AK66" s="132" t="str">
        <f aca="false">IFERROR(IF(OR(9&gt;$B$3,ISBLANK(Actuals!K63)),"",('Reforecast Q1 2026'!K63-Actuals!K63)/ABS('Reforecast Q1 2026'!K63)),"")</f>
        <v/>
      </c>
      <c r="AL66" s="131" t="n">
        <f aca="false">'Reforecast Q1 2026'!L63</f>
        <v>0</v>
      </c>
      <c r="AM66" s="131" t="str">
        <f aca="false">IF(OR(10&gt;$B$3,ISBLANK(Actuals!L63)),"",Actuals!L63)</f>
        <v/>
      </c>
      <c r="AN66" s="132" t="str">
        <f aca="false">IF(OR(10&gt;$B$3,ISBLANK(Actuals!L63)),"",'Reforecast Q1 2026'!L63-Actuals!L63)</f>
        <v/>
      </c>
      <c r="AO66" s="132" t="str">
        <f aca="false">IFERROR(IF(OR(10&gt;$B$3,ISBLANK(Actuals!L63)),"",('Reforecast Q1 2026'!L63-Actuals!L63)/ABS('Reforecast Q1 2026'!L63)),"")</f>
        <v/>
      </c>
      <c r="AP66" s="131" t="n">
        <f aca="false">'Reforecast Q1 2026'!M63</f>
        <v>0</v>
      </c>
      <c r="AQ66" s="131" t="str">
        <f aca="false">IF(OR(11&gt;$B$3,ISBLANK(Actuals!M63)),"",Actuals!M63)</f>
        <v/>
      </c>
      <c r="AR66" s="132" t="str">
        <f aca="false">IF(OR(11&gt;$B$3,ISBLANK(Actuals!M63)),"",'Reforecast Q1 2026'!M63-Actuals!M63)</f>
        <v/>
      </c>
      <c r="AS66" s="132" t="str">
        <f aca="false">IFERROR(IF(OR(11&gt;$B$3,ISBLANK(Actuals!M63)),"",('Reforecast Q1 2026'!M63-Actuals!M63)/ABS('Reforecast Q1 2026'!M63)),"")</f>
        <v/>
      </c>
      <c r="AT66" s="131" t="n">
        <f aca="false">'Reforecast Q1 2026'!N63</f>
        <v>0</v>
      </c>
      <c r="AU66" s="131" t="str">
        <f aca="false">IF(OR(12&gt;$B$3,ISBLANK(Actuals!N63)),"",Actuals!N63)</f>
        <v/>
      </c>
      <c r="AV66" s="132" t="str">
        <f aca="false">IF(OR(12&gt;$B$3,ISBLANK(Actuals!N63)),"",'Reforecast Q1 2026'!N63-Actuals!N63)</f>
        <v/>
      </c>
      <c r="AW66" s="132" t="str">
        <f aca="false">IFERROR(IF(OR(12&gt;$B$3,ISBLANK(Actuals!N63)),"",('Reforecast Q1 2026'!N63-Actuals!N63)/ABS('Reforecast Q1 2026'!N63)),"")</f>
        <v/>
      </c>
      <c r="AX66" s="133" t="n">
        <f aca="false">SUMPRODUCT((Actuals!C63:N66&lt;&gt;"")*('Reforecast Q1 2026'!C63:N66))</f>
        <v>221822.89</v>
      </c>
      <c r="AY66" s="133" t="n">
        <f aca="false">SUM(Actuals!C63:N66)</f>
        <v>519989.56</v>
      </c>
      <c r="AZ66" s="134" t="n">
        <f aca="false">AX66-AY66</f>
        <v>-298166.67</v>
      </c>
    </row>
    <row r="67" customFormat="false" ht="15" hidden="false" customHeight="true" outlineLevel="0" collapsed="false">
      <c r="A67" s="130" t="s">
        <v>123</v>
      </c>
      <c r="B67" s="131" t="n">
        <f aca="false">'Reforecast Q1 2026'!C83</f>
        <v>-54421</v>
      </c>
      <c r="C67" s="131" t="n">
        <f aca="false">IF(OR(1&gt;$B$3,ISBLANK(Actuals!C83)),"",Actuals!C83)</f>
        <v>-54421</v>
      </c>
      <c r="D67" s="132" t="n">
        <f aca="false">IF(OR(1&gt;$B$3,ISBLANK(Actuals!C83)),"",'Reforecast Q1 2026'!C83-Actuals!C83)</f>
        <v>0</v>
      </c>
      <c r="E67" s="132" t="n">
        <f aca="false">IFERROR(IF(OR(1&gt;$B$3,ISBLANK(Actuals!C83)),"",('Reforecast Q1 2026'!C83-Actuals!C83)/ABS('Reforecast Q1 2026'!C83)),"")</f>
        <v>0</v>
      </c>
      <c r="F67" s="131" t="n">
        <f aca="false">'Reforecast Q1 2026'!D83</f>
        <v>-54166.68</v>
      </c>
      <c r="G67" s="131" t="n">
        <f aca="false">IF(OR(2&gt;$B$3,ISBLANK(Actuals!D83)),"",Actuals!D83)</f>
        <v>-54166.68</v>
      </c>
      <c r="H67" s="132" t="n">
        <f aca="false">IF(OR(2&gt;$B$3,ISBLANK(Actuals!D83)),"",'Reforecast Q1 2026'!D83-Actuals!D83)</f>
        <v>0</v>
      </c>
      <c r="I67" s="132" t="n">
        <f aca="false">IFERROR(IF(OR(2&gt;$B$3,ISBLANK(Actuals!D83)),"",('Reforecast Q1 2026'!D83-Actuals!D83)/ABS('Reforecast Q1 2026'!D83)),"")</f>
        <v>0</v>
      </c>
      <c r="J67" s="131" t="n">
        <f aca="false">'Reforecast Q1 2026'!E83</f>
        <v>-54166.68</v>
      </c>
      <c r="K67" s="131" t="n">
        <f aca="false">IF(OR(3&gt;$B$3,ISBLANK(Actuals!E83)),"",Actuals!E83)</f>
        <v>-54166.68</v>
      </c>
      <c r="L67" s="132" t="n">
        <f aca="false">IF(OR(3&gt;$B$3,ISBLANK(Actuals!E83)),"",'Reforecast Q1 2026'!E83-Actuals!E83)</f>
        <v>0</v>
      </c>
      <c r="M67" s="132" t="n">
        <f aca="false">IFERROR(IF(OR(3&gt;$B$3,ISBLANK(Actuals!E83)),"",('Reforecast Q1 2026'!E83-Actuals!E83)/ABS('Reforecast Q1 2026'!E83)),"")</f>
        <v>0</v>
      </c>
      <c r="N67" s="131" t="n">
        <f aca="false">'Reforecast Q1 2026'!F83</f>
        <v>-11458.3333333333</v>
      </c>
      <c r="O67" s="131" t="n">
        <f aca="false">IF(OR(4&gt;$B$3,ISBLANK(Actuals!F83)),"",Actuals!F83)</f>
        <v>-54166.68</v>
      </c>
      <c r="P67" s="132" t="n">
        <f aca="false">IF(OR(4&gt;$B$3,ISBLANK(Actuals!F83)),"",'Reforecast Q1 2026'!F83-Actuals!F83)</f>
        <v>42708.3466666667</v>
      </c>
      <c r="Q67" s="132" t="n">
        <f aca="false">IFERROR(IF(OR(4&gt;$B$3,ISBLANK(Actuals!F83)),"",('Reforecast Q1 2026'!F83-Actuals!F83)/ABS('Reforecast Q1 2026'!F83)),"")</f>
        <v>3.72727389090911</v>
      </c>
      <c r="R67" s="131" t="n">
        <f aca="false">'Reforecast Q1 2026'!G83</f>
        <v>-11458.3333333333</v>
      </c>
      <c r="S67" s="131" t="n">
        <f aca="false">IF(OR(5&gt;$B$3,ISBLANK(Actuals!G83)),"",Actuals!G83)</f>
        <v>-54166.68</v>
      </c>
      <c r="T67" s="132" t="n">
        <f aca="false">IF(OR(5&gt;$B$3,ISBLANK(Actuals!G83)),"",'Reforecast Q1 2026'!G83-Actuals!G83)</f>
        <v>42708.3466666667</v>
      </c>
      <c r="U67" s="132" t="n">
        <f aca="false">IFERROR(IF(OR(5&gt;$B$3,ISBLANK(Actuals!G83)),"",('Reforecast Q1 2026'!G83-Actuals!G83)/ABS('Reforecast Q1 2026'!G83)),"")</f>
        <v>3.72727389090911</v>
      </c>
      <c r="V67" s="131" t="n">
        <f aca="false">'Reforecast Q1 2026'!H83</f>
        <v>-11458.3333333333</v>
      </c>
      <c r="W67" s="131" t="n">
        <f aca="false">IF(OR(6&gt;$B$3,ISBLANK(Actuals!H83)),"",Actuals!H83)</f>
        <v>-54166.68</v>
      </c>
      <c r="X67" s="132" t="n">
        <f aca="false">IF(OR(6&gt;$B$3,ISBLANK(Actuals!H83)),"",'Reforecast Q1 2026'!H83-Actuals!H83)</f>
        <v>42708.3466666667</v>
      </c>
      <c r="Y67" s="132" t="n">
        <f aca="false">IFERROR(IF(OR(6&gt;$B$3,ISBLANK(Actuals!H83)),"",('Reforecast Q1 2026'!H83-Actuals!H83)/ABS('Reforecast Q1 2026'!H83)),"")</f>
        <v>3.72727389090911</v>
      </c>
      <c r="Z67" s="131" t="n">
        <f aca="false">'Reforecast Q1 2026'!I83</f>
        <v>-11458.3333333333</v>
      </c>
      <c r="AA67" s="131" t="n">
        <f aca="false">IF(OR(7&gt;$B$3,ISBLANK(Actuals!I83)),"",Actuals!I83)</f>
        <v>-54166.68</v>
      </c>
      <c r="AB67" s="132" t="n">
        <f aca="false">IF(OR(7&gt;$B$3,ISBLANK(Actuals!I83)),"",'Reforecast Q1 2026'!I83-Actuals!I83)</f>
        <v>42708.3466666667</v>
      </c>
      <c r="AC67" s="132" t="n">
        <f aca="false">IFERROR(IF(OR(7&gt;$B$3,ISBLANK(Actuals!I83)),"",('Reforecast Q1 2026'!I83-Actuals!I83)/ABS('Reforecast Q1 2026'!I83)),"")</f>
        <v>3.72727389090911</v>
      </c>
      <c r="AD67" s="131" t="n">
        <f aca="false">'Reforecast Q1 2026'!J83</f>
        <v>-11458.3333333333</v>
      </c>
      <c r="AE67" s="131" t="n">
        <f aca="false">IF(OR(8&gt;$B$3,ISBLANK(Actuals!J83)),"",Actuals!J83)</f>
        <v>-54166.68</v>
      </c>
      <c r="AF67" s="132" t="n">
        <f aca="false">IF(OR(8&gt;$B$3,ISBLANK(Actuals!J83)),"",'Reforecast Q1 2026'!J83-Actuals!J83)</f>
        <v>42708.3466666667</v>
      </c>
      <c r="AG67" s="132" t="n">
        <f aca="false">IFERROR(IF(OR(8&gt;$B$3,ISBLANK(Actuals!J83)),"",('Reforecast Q1 2026'!J83-Actuals!J83)/ABS('Reforecast Q1 2026'!J83)),"")</f>
        <v>3.72727389090911</v>
      </c>
      <c r="AH67" s="131" t="n">
        <f aca="false">'Reforecast Q1 2026'!K83</f>
        <v>-11458.3333333333</v>
      </c>
      <c r="AI67" s="131" t="n">
        <f aca="false">IF(OR(9&gt;$B$3,ISBLANK(Actuals!K83)),"",Actuals!K83)</f>
        <v>-54166.68</v>
      </c>
      <c r="AJ67" s="132" t="n">
        <f aca="false">IF(OR(9&gt;$B$3,ISBLANK(Actuals!K83)),"",'Reforecast Q1 2026'!K83-Actuals!K83)</f>
        <v>42708.3466666667</v>
      </c>
      <c r="AK67" s="132" t="n">
        <f aca="false">IFERROR(IF(OR(9&gt;$B$3,ISBLANK(Actuals!K83)),"",('Reforecast Q1 2026'!K83-Actuals!K83)/ABS('Reforecast Q1 2026'!K83)),"")</f>
        <v>3.72727389090911</v>
      </c>
      <c r="AL67" s="131" t="n">
        <f aca="false">'Reforecast Q1 2026'!L83</f>
        <v>-11458.3333333333</v>
      </c>
      <c r="AM67" s="131" t="str">
        <f aca="false">IF(OR(10&gt;$B$3,ISBLANK(Actuals!L83)),"",Actuals!L83)</f>
        <v/>
      </c>
      <c r="AN67" s="132" t="str">
        <f aca="false">IF(OR(10&gt;$B$3,ISBLANK(Actuals!L83)),"",'Reforecast Q1 2026'!L83-Actuals!L83)</f>
        <v/>
      </c>
      <c r="AO67" s="132" t="str">
        <f aca="false">IFERROR(IF(OR(10&gt;$B$3,ISBLANK(Actuals!L83)),"",('Reforecast Q1 2026'!L83-Actuals!L83)/ABS('Reforecast Q1 2026'!L83)),"")</f>
        <v/>
      </c>
      <c r="AP67" s="131" t="n">
        <f aca="false">'Reforecast Q1 2026'!M83</f>
        <v>-11458.3333333333</v>
      </c>
      <c r="AQ67" s="131" t="str">
        <f aca="false">IF(OR(11&gt;$B$3,ISBLANK(Actuals!M83)),"",Actuals!M83)</f>
        <v/>
      </c>
      <c r="AR67" s="132" t="str">
        <f aca="false">IF(OR(11&gt;$B$3,ISBLANK(Actuals!M83)),"",'Reforecast Q1 2026'!M83-Actuals!M83)</f>
        <v/>
      </c>
      <c r="AS67" s="132" t="str">
        <f aca="false">IFERROR(IF(OR(11&gt;$B$3,ISBLANK(Actuals!M83)),"",('Reforecast Q1 2026'!M83-Actuals!M83)/ABS('Reforecast Q1 2026'!M83)),"")</f>
        <v/>
      </c>
      <c r="AT67" s="131" t="n">
        <f aca="false">'Reforecast Q1 2026'!N83</f>
        <v>-11458.3333333333</v>
      </c>
      <c r="AU67" s="131" t="str">
        <f aca="false">IF(OR(12&gt;$B$3,ISBLANK(Actuals!N83)),"",Actuals!N83)</f>
        <v/>
      </c>
      <c r="AV67" s="132" t="str">
        <f aca="false">IF(OR(12&gt;$B$3,ISBLANK(Actuals!N83)),"",'Reforecast Q1 2026'!N83-Actuals!N83)</f>
        <v/>
      </c>
      <c r="AW67" s="132" t="str">
        <f aca="false">IFERROR(IF(OR(12&gt;$B$3,ISBLANK(Actuals!N83)),"",('Reforecast Q1 2026'!N83-Actuals!N83)/ABS('Reforecast Q1 2026'!N83)),"")</f>
        <v/>
      </c>
      <c r="AX67" s="133" t="n">
        <f aca="false">SUMPRODUCT((Actuals!C83:N83&lt;&gt;"")*('Reforecast Q1 2026'!C83:N83))</f>
        <v>-231504.36</v>
      </c>
      <c r="AY67" s="133" t="n">
        <f aca="false">SUM(Actuals!C83:N83)</f>
        <v>-487754.44</v>
      </c>
      <c r="AZ67" s="134" t="n">
        <f aca="false">AX67-AY67</f>
        <v>256250.08</v>
      </c>
    </row>
    <row r="68" customFormat="false" ht="15" hidden="false" customHeight="true" outlineLevel="0" collapsed="false">
      <c r="A68" s="130" t="s">
        <v>65</v>
      </c>
      <c r="B68" s="131" t="n">
        <f aca="false">'Reforecast Q1 2026'!C84</f>
        <v>-5302</v>
      </c>
      <c r="C68" s="131" t="n">
        <f aca="false">IF(OR(1&gt;$B$3,ISBLANK(Actuals!C84)),"",Actuals!C84)</f>
        <v>-5302</v>
      </c>
      <c r="D68" s="132" t="n">
        <f aca="false">IF(OR(1&gt;$B$3,ISBLANK(Actuals!C84)),"",'Reforecast Q1 2026'!C84-Actuals!C84)</f>
        <v>0</v>
      </c>
      <c r="E68" s="132" t="n">
        <f aca="false">IFERROR(IF(OR(1&gt;$B$3,ISBLANK(Actuals!C84)),"",('Reforecast Q1 2026'!C84-Actuals!C84)/ABS('Reforecast Q1 2026'!C84)),"")</f>
        <v>0</v>
      </c>
      <c r="F68" s="131" t="n">
        <f aca="false">'Reforecast Q1 2026'!D84</f>
        <v>-4279.79</v>
      </c>
      <c r="G68" s="131" t="n">
        <f aca="false">IF(OR(2&gt;$B$3,ISBLANK(Actuals!D84)),"",Actuals!D84)</f>
        <v>-4279.79</v>
      </c>
      <c r="H68" s="132" t="n">
        <f aca="false">IF(OR(2&gt;$B$3,ISBLANK(Actuals!D84)),"",'Reforecast Q1 2026'!D84-Actuals!D84)</f>
        <v>0</v>
      </c>
      <c r="I68" s="132" t="n">
        <f aca="false">IFERROR(IF(OR(2&gt;$B$3,ISBLANK(Actuals!D84)),"",('Reforecast Q1 2026'!D84-Actuals!D84)/ABS('Reforecast Q1 2026'!D84)),"")</f>
        <v>0</v>
      </c>
      <c r="J68" s="131" t="n">
        <f aca="false">'Reforecast Q1 2026'!E84</f>
        <v>-4145.97</v>
      </c>
      <c r="K68" s="131" t="n">
        <f aca="false">IF(OR(3&gt;$B$3,ISBLANK(Actuals!E84)),"",Actuals!E84)</f>
        <v>-4145.97</v>
      </c>
      <c r="L68" s="132" t="n">
        <f aca="false">IF(OR(3&gt;$B$3,ISBLANK(Actuals!E84)),"",'Reforecast Q1 2026'!E84-Actuals!E84)</f>
        <v>0</v>
      </c>
      <c r="M68" s="132" t="n">
        <f aca="false">IFERROR(IF(OR(3&gt;$B$3,ISBLANK(Actuals!E84)),"",('Reforecast Q1 2026'!E84-Actuals!E84)/ABS('Reforecast Q1 2026'!E84)),"")</f>
        <v>0</v>
      </c>
      <c r="N68" s="131" t="n">
        <f aca="false">'Reforecast Q1 2026'!F84</f>
        <v>-802.083333333334</v>
      </c>
      <c r="O68" s="131" t="n">
        <f aca="false">IF(OR(4&gt;$B$3,ISBLANK(Actuals!F84)),"",Actuals!F84)</f>
        <v>-4145.96</v>
      </c>
      <c r="P68" s="132" t="n">
        <f aca="false">IF(OR(4&gt;$B$3,ISBLANK(Actuals!F84)),"",'Reforecast Q1 2026'!F84-Actuals!F84)</f>
        <v>3343.87666666667</v>
      </c>
      <c r="Q68" s="132" t="n">
        <f aca="false">IFERROR(IF(OR(4&gt;$B$3,ISBLANK(Actuals!F84)),"",('Reforecast Q1 2026'!F84-Actuals!F84)/ABS('Reforecast Q1 2026'!F84)),"")</f>
        <v>4.16898909090909</v>
      </c>
      <c r="R68" s="131" t="n">
        <f aca="false">'Reforecast Q1 2026'!G84</f>
        <v>-802.083333333334</v>
      </c>
      <c r="S68" s="131" t="n">
        <f aca="false">IF(OR(5&gt;$B$3,ISBLANK(Actuals!G84)),"",Actuals!G84)</f>
        <v>-4145.99</v>
      </c>
      <c r="T68" s="132" t="n">
        <f aca="false">IF(OR(5&gt;$B$3,ISBLANK(Actuals!G84)),"",'Reforecast Q1 2026'!G84-Actuals!G84)</f>
        <v>3343.90666666667</v>
      </c>
      <c r="U68" s="132" t="n">
        <f aca="false">IFERROR(IF(OR(5&gt;$B$3,ISBLANK(Actuals!G84)),"",('Reforecast Q1 2026'!G84-Actuals!G84)/ABS('Reforecast Q1 2026'!G84)),"")</f>
        <v>4.16902649350649</v>
      </c>
      <c r="V68" s="131" t="n">
        <f aca="false">'Reforecast Q1 2026'!H84</f>
        <v>-802.083333333334</v>
      </c>
      <c r="W68" s="131" t="n">
        <f aca="false">IF(OR(6&gt;$B$3,ISBLANK(Actuals!H84)),"",Actuals!H84)</f>
        <v>-4145.95</v>
      </c>
      <c r="X68" s="132" t="n">
        <f aca="false">IF(OR(6&gt;$B$3,ISBLANK(Actuals!H84)),"",'Reforecast Q1 2026'!H84-Actuals!H84)</f>
        <v>3343.86666666667</v>
      </c>
      <c r="Y68" s="132" t="n">
        <f aca="false">IFERROR(IF(OR(6&gt;$B$3,ISBLANK(Actuals!H84)),"",('Reforecast Q1 2026'!H84-Actuals!H84)/ABS('Reforecast Q1 2026'!H84)),"")</f>
        <v>4.16897662337662</v>
      </c>
      <c r="Z68" s="131" t="n">
        <f aca="false">'Reforecast Q1 2026'!I84</f>
        <v>-802.083333333334</v>
      </c>
      <c r="AA68" s="131" t="n">
        <f aca="false">IF(OR(7&gt;$B$3,ISBLANK(Actuals!I84)),"",Actuals!I84)</f>
        <v>-4145.97</v>
      </c>
      <c r="AB68" s="132" t="n">
        <f aca="false">IF(OR(7&gt;$B$3,ISBLANK(Actuals!I84)),"",'Reforecast Q1 2026'!I84-Actuals!I84)</f>
        <v>3343.88666666667</v>
      </c>
      <c r="AC68" s="132" t="n">
        <f aca="false">IFERROR(IF(OR(7&gt;$B$3,ISBLANK(Actuals!I84)),"",('Reforecast Q1 2026'!I84-Actuals!I84)/ABS('Reforecast Q1 2026'!I84)),"")</f>
        <v>4.16900155844155</v>
      </c>
      <c r="AD68" s="131" t="n">
        <f aca="false">'Reforecast Q1 2026'!J84</f>
        <v>-802.083333333334</v>
      </c>
      <c r="AE68" s="131" t="n">
        <f aca="false">IF(OR(8&gt;$B$3,ISBLANK(Actuals!J84)),"",Actuals!J84)</f>
        <v>-4145.97</v>
      </c>
      <c r="AF68" s="132" t="n">
        <f aca="false">IF(OR(8&gt;$B$3,ISBLANK(Actuals!J84)),"",'Reforecast Q1 2026'!J84-Actuals!J84)</f>
        <v>3343.88666666667</v>
      </c>
      <c r="AG68" s="132" t="n">
        <f aca="false">IFERROR(IF(OR(8&gt;$B$3,ISBLANK(Actuals!J84)),"",('Reforecast Q1 2026'!J84-Actuals!J84)/ABS('Reforecast Q1 2026'!J84)),"")</f>
        <v>4.16900155844155</v>
      </c>
      <c r="AH68" s="131" t="n">
        <f aca="false">'Reforecast Q1 2026'!K84</f>
        <v>-802.083333333334</v>
      </c>
      <c r="AI68" s="131" t="n">
        <f aca="false">IF(OR(9&gt;$B$3,ISBLANK(Actuals!K84)),"",Actuals!K84)</f>
        <v>-3786.97</v>
      </c>
      <c r="AJ68" s="132" t="n">
        <f aca="false">IF(OR(9&gt;$B$3,ISBLANK(Actuals!K84)),"",'Reforecast Q1 2026'!K84-Actuals!K84)</f>
        <v>2984.88666666667</v>
      </c>
      <c r="AK68" s="132" t="n">
        <f aca="false">IFERROR(IF(OR(9&gt;$B$3,ISBLANK(Actuals!K84)),"",('Reforecast Q1 2026'!K84-Actuals!K84)/ABS('Reforecast Q1 2026'!K84)),"")</f>
        <v>3.72141714285714</v>
      </c>
      <c r="AL68" s="131" t="n">
        <f aca="false">'Reforecast Q1 2026'!L84</f>
        <v>-802.083333333334</v>
      </c>
      <c r="AM68" s="131" t="str">
        <f aca="false">IF(OR(10&gt;$B$3,ISBLANK(Actuals!L84)),"",Actuals!L84)</f>
        <v/>
      </c>
      <c r="AN68" s="132" t="str">
        <f aca="false">IF(OR(10&gt;$B$3,ISBLANK(Actuals!L84)),"",'Reforecast Q1 2026'!L84-Actuals!L84)</f>
        <v/>
      </c>
      <c r="AO68" s="132" t="str">
        <f aca="false">IFERROR(IF(OR(10&gt;$B$3,ISBLANK(Actuals!L84)),"",('Reforecast Q1 2026'!L84-Actuals!L84)/ABS('Reforecast Q1 2026'!L84)),"")</f>
        <v/>
      </c>
      <c r="AP68" s="131" t="n">
        <f aca="false">'Reforecast Q1 2026'!M84</f>
        <v>-802.083333333334</v>
      </c>
      <c r="AQ68" s="131" t="str">
        <f aca="false">IF(OR(11&gt;$B$3,ISBLANK(Actuals!M84)),"",Actuals!M84)</f>
        <v/>
      </c>
      <c r="AR68" s="132" t="str">
        <f aca="false">IF(OR(11&gt;$B$3,ISBLANK(Actuals!M84)),"",'Reforecast Q1 2026'!M84-Actuals!M84)</f>
        <v/>
      </c>
      <c r="AS68" s="132" t="str">
        <f aca="false">IFERROR(IF(OR(11&gt;$B$3,ISBLANK(Actuals!M84)),"",('Reforecast Q1 2026'!M84-Actuals!M84)/ABS('Reforecast Q1 2026'!M84)),"")</f>
        <v/>
      </c>
      <c r="AT68" s="131" t="n">
        <f aca="false">'Reforecast Q1 2026'!N84</f>
        <v>-802.083333333334</v>
      </c>
      <c r="AU68" s="131" t="str">
        <f aca="false">IF(OR(12&gt;$B$3,ISBLANK(Actuals!N84)),"",Actuals!N84)</f>
        <v/>
      </c>
      <c r="AV68" s="132" t="str">
        <f aca="false">IF(OR(12&gt;$B$3,ISBLANK(Actuals!N84)),"",'Reforecast Q1 2026'!N84-Actuals!N84)</f>
        <v/>
      </c>
      <c r="AW68" s="132" t="str">
        <f aca="false">IFERROR(IF(OR(12&gt;$B$3,ISBLANK(Actuals!N84)),"",('Reforecast Q1 2026'!N84-Actuals!N84)/ABS('Reforecast Q1 2026'!N84)),"")</f>
        <v/>
      </c>
      <c r="AX68" s="133" t="n">
        <f aca="false">SUMPRODUCT((Actuals!C84:N84&lt;&gt;"")*('Reforecast Q1 2026'!C84:N84))</f>
        <v>-18540.26</v>
      </c>
      <c r="AY68" s="133" t="n">
        <f aca="false">SUM(Actuals!C84:N84)</f>
        <v>-38244.57</v>
      </c>
      <c r="AZ68" s="134" t="n">
        <f aca="false">AX68-AY68</f>
        <v>19704.31</v>
      </c>
    </row>
    <row r="69" customFormat="false" ht="15" hidden="false" customHeight="true" outlineLevel="0" collapsed="false">
      <c r="A69" s="130" t="s">
        <v>67</v>
      </c>
      <c r="B69" s="131" t="n">
        <f aca="false">'Reforecast Q1 2026'!C85</f>
        <v>-12137.77</v>
      </c>
      <c r="C69" s="131" t="n">
        <f aca="false">IF(OR(1&gt;$B$3,ISBLANK(Actuals!C85)),"",Actuals!C85)</f>
        <v>-12137.77</v>
      </c>
      <c r="D69" s="132" t="n">
        <f aca="false">IF(OR(1&gt;$B$3,ISBLANK(Actuals!C85)),"",'Reforecast Q1 2026'!C85-Actuals!C85)</f>
        <v>0</v>
      </c>
      <c r="E69" s="132" t="n">
        <f aca="false">IFERROR(IF(OR(1&gt;$B$3,ISBLANK(Actuals!C85)),"",('Reforecast Q1 2026'!C85-Actuals!C85)/ABS('Reforecast Q1 2026'!C85)),"")</f>
        <v>0</v>
      </c>
      <c r="F69" s="131" t="n">
        <f aca="false">'Reforecast Q1 2026'!D85</f>
        <v>-12137.78</v>
      </c>
      <c r="G69" s="131" t="n">
        <f aca="false">IF(OR(2&gt;$B$3,ISBLANK(Actuals!D85)),"",Actuals!D85)</f>
        <v>-12137.78</v>
      </c>
      <c r="H69" s="132" t="n">
        <f aca="false">IF(OR(2&gt;$B$3,ISBLANK(Actuals!D85)),"",'Reforecast Q1 2026'!D85-Actuals!D85)</f>
        <v>0</v>
      </c>
      <c r="I69" s="132" t="n">
        <f aca="false">IFERROR(IF(OR(2&gt;$B$3,ISBLANK(Actuals!D85)),"",('Reforecast Q1 2026'!D85-Actuals!D85)/ABS('Reforecast Q1 2026'!D85)),"")</f>
        <v>0</v>
      </c>
      <c r="J69" s="131" t="n">
        <f aca="false">'Reforecast Q1 2026'!E85</f>
        <v>-12137.78</v>
      </c>
      <c r="K69" s="131" t="n">
        <f aca="false">IF(OR(3&gt;$B$3,ISBLANK(Actuals!E85)),"",Actuals!E85)</f>
        <v>-12137.78</v>
      </c>
      <c r="L69" s="132" t="n">
        <f aca="false">IF(OR(3&gt;$B$3,ISBLANK(Actuals!E85)),"",'Reforecast Q1 2026'!E85-Actuals!E85)</f>
        <v>0</v>
      </c>
      <c r="M69" s="132" t="n">
        <f aca="false">IFERROR(IF(OR(3&gt;$B$3,ISBLANK(Actuals!E85)),"",('Reforecast Q1 2026'!E85-Actuals!E85)/ABS('Reforecast Q1 2026'!E85)),"")</f>
        <v>0</v>
      </c>
      <c r="N69" s="131" t="n">
        <f aca="false">'Reforecast Q1 2026'!F85</f>
        <v>-572.916666666667</v>
      </c>
      <c r="O69" s="131" t="n">
        <f aca="false">IF(OR(4&gt;$B$3,ISBLANK(Actuals!F85)),"",Actuals!F85)</f>
        <v>-12137.78</v>
      </c>
      <c r="P69" s="132" t="n">
        <f aca="false">IF(OR(4&gt;$B$3,ISBLANK(Actuals!F85)),"",'Reforecast Q1 2026'!F85-Actuals!F85)</f>
        <v>11564.8633333333</v>
      </c>
      <c r="Q69" s="132" t="n">
        <f aca="false">IFERROR(IF(OR(4&gt;$B$3,ISBLANK(Actuals!F85)),"",('Reforecast Q1 2026'!F85-Actuals!F85)/ABS('Reforecast Q1 2026'!F85)),"")</f>
        <v>20.1859432727273</v>
      </c>
      <c r="R69" s="131" t="n">
        <f aca="false">'Reforecast Q1 2026'!G85</f>
        <v>-572.916666666667</v>
      </c>
      <c r="S69" s="131" t="n">
        <f aca="false">IF(OR(5&gt;$B$3,ISBLANK(Actuals!G85)),"",Actuals!G85)</f>
        <v>-12137.78</v>
      </c>
      <c r="T69" s="132" t="n">
        <f aca="false">IF(OR(5&gt;$B$3,ISBLANK(Actuals!G85)),"",'Reforecast Q1 2026'!G85-Actuals!G85)</f>
        <v>11564.8633333333</v>
      </c>
      <c r="U69" s="132" t="n">
        <f aca="false">IFERROR(IF(OR(5&gt;$B$3,ISBLANK(Actuals!G85)),"",('Reforecast Q1 2026'!G85-Actuals!G85)/ABS('Reforecast Q1 2026'!G85)),"")</f>
        <v>20.1859432727273</v>
      </c>
      <c r="V69" s="131" t="n">
        <f aca="false">'Reforecast Q1 2026'!H85</f>
        <v>-572.916666666667</v>
      </c>
      <c r="W69" s="131" t="n">
        <f aca="false">IF(OR(6&gt;$B$3,ISBLANK(Actuals!H85)),"",Actuals!H85)</f>
        <v>-12137.78</v>
      </c>
      <c r="X69" s="132" t="n">
        <f aca="false">IF(OR(6&gt;$B$3,ISBLANK(Actuals!H85)),"",'Reforecast Q1 2026'!H85-Actuals!H85)</f>
        <v>11564.8633333333</v>
      </c>
      <c r="Y69" s="132" t="n">
        <f aca="false">IFERROR(IF(OR(6&gt;$B$3,ISBLANK(Actuals!H85)),"",('Reforecast Q1 2026'!H85-Actuals!H85)/ABS('Reforecast Q1 2026'!H85)),"")</f>
        <v>20.1859432727273</v>
      </c>
      <c r="Z69" s="131" t="n">
        <f aca="false">'Reforecast Q1 2026'!I85</f>
        <v>-572.916666666667</v>
      </c>
      <c r="AA69" s="131" t="n">
        <f aca="false">IF(OR(7&gt;$B$3,ISBLANK(Actuals!I85)),"",Actuals!I85)</f>
        <v>-12137.78</v>
      </c>
      <c r="AB69" s="132" t="n">
        <f aca="false">IF(OR(7&gt;$B$3,ISBLANK(Actuals!I85)),"",'Reforecast Q1 2026'!I85-Actuals!I85)</f>
        <v>11564.8633333333</v>
      </c>
      <c r="AC69" s="132" t="n">
        <f aca="false">IFERROR(IF(OR(7&gt;$B$3,ISBLANK(Actuals!I85)),"",('Reforecast Q1 2026'!I85-Actuals!I85)/ABS('Reforecast Q1 2026'!I85)),"")</f>
        <v>20.1859432727273</v>
      </c>
      <c r="AD69" s="131" t="n">
        <f aca="false">'Reforecast Q1 2026'!J85</f>
        <v>-572.916666666667</v>
      </c>
      <c r="AE69" s="131" t="n">
        <f aca="false">IF(OR(8&gt;$B$3,ISBLANK(Actuals!J85)),"",Actuals!J85)</f>
        <v>-12137.78</v>
      </c>
      <c r="AF69" s="132" t="n">
        <f aca="false">IF(OR(8&gt;$B$3,ISBLANK(Actuals!J85)),"",'Reforecast Q1 2026'!J85-Actuals!J85)</f>
        <v>11564.8633333333</v>
      </c>
      <c r="AG69" s="132" t="n">
        <f aca="false">IFERROR(IF(OR(8&gt;$B$3,ISBLANK(Actuals!J85)),"",('Reforecast Q1 2026'!J85-Actuals!J85)/ABS('Reforecast Q1 2026'!J85)),"")</f>
        <v>20.1859432727273</v>
      </c>
      <c r="AH69" s="131" t="n">
        <f aca="false">'Reforecast Q1 2026'!K85</f>
        <v>-572.916666666667</v>
      </c>
      <c r="AI69" s="131" t="n">
        <f aca="false">IF(OR(9&gt;$B$3,ISBLANK(Actuals!K85)),"",Actuals!K85)</f>
        <v>-12137.78</v>
      </c>
      <c r="AJ69" s="132" t="n">
        <f aca="false">IF(OR(9&gt;$B$3,ISBLANK(Actuals!K85)),"",'Reforecast Q1 2026'!K85-Actuals!K85)</f>
        <v>11564.8633333333</v>
      </c>
      <c r="AK69" s="132" t="n">
        <f aca="false">IFERROR(IF(OR(9&gt;$B$3,ISBLANK(Actuals!K85)),"",('Reforecast Q1 2026'!K85-Actuals!K85)/ABS('Reforecast Q1 2026'!K85)),"")</f>
        <v>20.1859432727273</v>
      </c>
      <c r="AL69" s="131" t="n">
        <f aca="false">'Reforecast Q1 2026'!L85</f>
        <v>-572.916666666667</v>
      </c>
      <c r="AM69" s="131" t="str">
        <f aca="false">IF(OR(10&gt;$B$3,ISBLANK(Actuals!L85)),"",Actuals!L85)</f>
        <v/>
      </c>
      <c r="AN69" s="132" t="str">
        <f aca="false">IF(OR(10&gt;$B$3,ISBLANK(Actuals!L85)),"",'Reforecast Q1 2026'!L85-Actuals!L85)</f>
        <v/>
      </c>
      <c r="AO69" s="132" t="str">
        <f aca="false">IFERROR(IF(OR(10&gt;$B$3,ISBLANK(Actuals!L85)),"",('Reforecast Q1 2026'!L85-Actuals!L85)/ABS('Reforecast Q1 2026'!L85)),"")</f>
        <v/>
      </c>
      <c r="AP69" s="131" t="n">
        <f aca="false">'Reforecast Q1 2026'!M85</f>
        <v>-572.916666666667</v>
      </c>
      <c r="AQ69" s="131" t="str">
        <f aca="false">IF(OR(11&gt;$B$3,ISBLANK(Actuals!M85)),"",Actuals!M85)</f>
        <v/>
      </c>
      <c r="AR69" s="132" t="str">
        <f aca="false">IF(OR(11&gt;$B$3,ISBLANK(Actuals!M85)),"",'Reforecast Q1 2026'!M85-Actuals!M85)</f>
        <v/>
      </c>
      <c r="AS69" s="132" t="str">
        <f aca="false">IFERROR(IF(OR(11&gt;$B$3,ISBLANK(Actuals!M85)),"",('Reforecast Q1 2026'!M85-Actuals!M85)/ABS('Reforecast Q1 2026'!M85)),"")</f>
        <v/>
      </c>
      <c r="AT69" s="131" t="n">
        <f aca="false">'Reforecast Q1 2026'!N85</f>
        <v>-572.916666666667</v>
      </c>
      <c r="AU69" s="131" t="str">
        <f aca="false">IF(OR(12&gt;$B$3,ISBLANK(Actuals!N85)),"",Actuals!N85)</f>
        <v/>
      </c>
      <c r="AV69" s="132" t="str">
        <f aca="false">IF(OR(12&gt;$B$3,ISBLANK(Actuals!N85)),"",'Reforecast Q1 2026'!N85-Actuals!N85)</f>
        <v/>
      </c>
      <c r="AW69" s="132" t="str">
        <f aca="false">IFERROR(IF(OR(12&gt;$B$3,ISBLANK(Actuals!N85)),"",('Reforecast Q1 2026'!N85-Actuals!N85)/ABS('Reforecast Q1 2026'!N85)),"")</f>
        <v/>
      </c>
      <c r="AX69" s="133" t="n">
        <f aca="false">SUMPRODUCT((Actuals!C85:N85&lt;&gt;"")*('Reforecast Q1 2026'!C85:N85))</f>
        <v>-39850.83</v>
      </c>
      <c r="AY69" s="133" t="n">
        <f aca="false">SUM(Actuals!C85:N85)</f>
        <v>-109240.01</v>
      </c>
      <c r="AZ69" s="134" t="n">
        <f aca="false">AX69-AY69</f>
        <v>69389.18</v>
      </c>
    </row>
    <row r="70" customFormat="false" ht="15" hidden="false" customHeight="true" outlineLevel="0" collapsed="false">
      <c r="A70" s="130" t="s">
        <v>68</v>
      </c>
      <c r="B70" s="131" t="n">
        <f aca="false">'Reforecast Q1 2026'!C86</f>
        <v>-475.76</v>
      </c>
      <c r="C70" s="131" t="n">
        <f aca="false">IF(OR(1&gt;$B$3,ISBLANK(Actuals!C86)),"",Actuals!C86)</f>
        <v>-475.76</v>
      </c>
      <c r="D70" s="132" t="n">
        <f aca="false">IF(OR(1&gt;$B$3,ISBLANK(Actuals!C86)),"",'Reforecast Q1 2026'!C86-Actuals!C86)</f>
        <v>0</v>
      </c>
      <c r="E70" s="132" t="n">
        <f aca="false">IFERROR(IF(OR(1&gt;$B$3,ISBLANK(Actuals!C86)),"",('Reforecast Q1 2026'!C86-Actuals!C86)/ABS('Reforecast Q1 2026'!C86)),"")</f>
        <v>0</v>
      </c>
      <c r="F70" s="131" t="n">
        <f aca="false">'Reforecast Q1 2026'!D86</f>
        <v>-475.76</v>
      </c>
      <c r="G70" s="131" t="n">
        <f aca="false">IF(OR(2&gt;$B$3,ISBLANK(Actuals!D86)),"",Actuals!D86)</f>
        <v>-475.76</v>
      </c>
      <c r="H70" s="132" t="n">
        <f aca="false">IF(OR(2&gt;$B$3,ISBLANK(Actuals!D86)),"",'Reforecast Q1 2026'!D86-Actuals!D86)</f>
        <v>0</v>
      </c>
      <c r="I70" s="132" t="n">
        <f aca="false">IFERROR(IF(OR(2&gt;$B$3,ISBLANK(Actuals!D86)),"",('Reforecast Q1 2026'!D86-Actuals!D86)/ABS('Reforecast Q1 2026'!D86)),"")</f>
        <v>0</v>
      </c>
      <c r="J70" s="131" t="n">
        <f aca="false">'Reforecast Q1 2026'!E86</f>
        <v>-475.76</v>
      </c>
      <c r="K70" s="131" t="n">
        <f aca="false">IF(OR(3&gt;$B$3,ISBLANK(Actuals!E86)),"",Actuals!E86)</f>
        <v>-475.76</v>
      </c>
      <c r="L70" s="132" t="n">
        <f aca="false">IF(OR(3&gt;$B$3,ISBLANK(Actuals!E86)),"",'Reforecast Q1 2026'!E86-Actuals!E86)</f>
        <v>0</v>
      </c>
      <c r="M70" s="132" t="n">
        <f aca="false">IFERROR(IF(OR(3&gt;$B$3,ISBLANK(Actuals!E86)),"",('Reforecast Q1 2026'!E86-Actuals!E86)/ABS('Reforecast Q1 2026'!E86)),"")</f>
        <v>0</v>
      </c>
      <c r="N70" s="131" t="n">
        <f aca="false">'Reforecast Q1 2026'!F86</f>
        <v>-229.166666666667</v>
      </c>
      <c r="O70" s="131" t="n">
        <f aca="false">IF(OR(4&gt;$B$3,ISBLANK(Actuals!F86)),"",Actuals!F86)</f>
        <v>-475.76</v>
      </c>
      <c r="P70" s="132" t="n">
        <f aca="false">IF(OR(4&gt;$B$3,ISBLANK(Actuals!F86)),"",'Reforecast Q1 2026'!F86-Actuals!F86)</f>
        <v>246.593333333333</v>
      </c>
      <c r="Q70" s="132" t="n">
        <f aca="false">IFERROR(IF(OR(4&gt;$B$3,ISBLANK(Actuals!F86)),"",('Reforecast Q1 2026'!F86-Actuals!F86)/ABS('Reforecast Q1 2026'!F86)),"")</f>
        <v>1.07604363636363</v>
      </c>
      <c r="R70" s="131" t="n">
        <f aca="false">'Reforecast Q1 2026'!G86</f>
        <v>-229.166666666667</v>
      </c>
      <c r="S70" s="131" t="n">
        <f aca="false">IF(OR(5&gt;$B$3,ISBLANK(Actuals!G86)),"",Actuals!G86)</f>
        <v>-475.76</v>
      </c>
      <c r="T70" s="132" t="n">
        <f aca="false">IF(OR(5&gt;$B$3,ISBLANK(Actuals!G86)),"",'Reforecast Q1 2026'!G86-Actuals!G86)</f>
        <v>246.593333333333</v>
      </c>
      <c r="U70" s="132" t="n">
        <f aca="false">IFERROR(IF(OR(5&gt;$B$3,ISBLANK(Actuals!G86)),"",('Reforecast Q1 2026'!G86-Actuals!G86)/ABS('Reforecast Q1 2026'!G86)),"")</f>
        <v>1.07604363636363</v>
      </c>
      <c r="V70" s="131" t="n">
        <f aca="false">'Reforecast Q1 2026'!H86</f>
        <v>-229.166666666667</v>
      </c>
      <c r="W70" s="131" t="n">
        <f aca="false">IF(OR(6&gt;$B$3,ISBLANK(Actuals!H86)),"",Actuals!H86)</f>
        <v>-475.76</v>
      </c>
      <c r="X70" s="132" t="n">
        <f aca="false">IF(OR(6&gt;$B$3,ISBLANK(Actuals!H86)),"",'Reforecast Q1 2026'!H86-Actuals!H86)</f>
        <v>246.593333333333</v>
      </c>
      <c r="Y70" s="132" t="n">
        <f aca="false">IFERROR(IF(OR(6&gt;$B$3,ISBLANK(Actuals!H86)),"",('Reforecast Q1 2026'!H86-Actuals!H86)/ABS('Reforecast Q1 2026'!H86)),"")</f>
        <v>1.07604363636363</v>
      </c>
      <c r="Z70" s="131" t="n">
        <f aca="false">'Reforecast Q1 2026'!I86</f>
        <v>-229.166666666667</v>
      </c>
      <c r="AA70" s="131" t="n">
        <f aca="false">IF(OR(7&gt;$B$3,ISBLANK(Actuals!I86)),"",Actuals!I86)</f>
        <v>-475.76</v>
      </c>
      <c r="AB70" s="132" t="n">
        <f aca="false">IF(OR(7&gt;$B$3,ISBLANK(Actuals!I86)),"",'Reforecast Q1 2026'!I86-Actuals!I86)</f>
        <v>246.593333333333</v>
      </c>
      <c r="AC70" s="132" t="n">
        <f aca="false">IFERROR(IF(OR(7&gt;$B$3,ISBLANK(Actuals!I86)),"",('Reforecast Q1 2026'!I86-Actuals!I86)/ABS('Reforecast Q1 2026'!I86)),"")</f>
        <v>1.07604363636363</v>
      </c>
      <c r="AD70" s="131" t="n">
        <f aca="false">'Reforecast Q1 2026'!J86</f>
        <v>-229.166666666667</v>
      </c>
      <c r="AE70" s="131" t="n">
        <f aca="false">IF(OR(8&gt;$B$3,ISBLANK(Actuals!J86)),"",Actuals!J86)</f>
        <v>-475.76</v>
      </c>
      <c r="AF70" s="132" t="n">
        <f aca="false">IF(OR(8&gt;$B$3,ISBLANK(Actuals!J86)),"",'Reforecast Q1 2026'!J86-Actuals!J86)</f>
        <v>246.593333333333</v>
      </c>
      <c r="AG70" s="132" t="n">
        <f aca="false">IFERROR(IF(OR(8&gt;$B$3,ISBLANK(Actuals!J86)),"",('Reforecast Q1 2026'!J86-Actuals!J86)/ABS('Reforecast Q1 2026'!J86)),"")</f>
        <v>1.07604363636363</v>
      </c>
      <c r="AH70" s="131" t="n">
        <f aca="false">'Reforecast Q1 2026'!K86</f>
        <v>-229.166666666667</v>
      </c>
      <c r="AI70" s="131" t="n">
        <f aca="false">IF(OR(9&gt;$B$3,ISBLANK(Actuals!K86)),"",Actuals!K86)</f>
        <v>-475.76</v>
      </c>
      <c r="AJ70" s="132" t="n">
        <f aca="false">IF(OR(9&gt;$B$3,ISBLANK(Actuals!K86)),"",'Reforecast Q1 2026'!K86-Actuals!K86)</f>
        <v>246.593333333333</v>
      </c>
      <c r="AK70" s="132" t="n">
        <f aca="false">IFERROR(IF(OR(9&gt;$B$3,ISBLANK(Actuals!K86)),"",('Reforecast Q1 2026'!K86-Actuals!K86)/ABS('Reforecast Q1 2026'!K86)),"")</f>
        <v>1.07604363636363</v>
      </c>
      <c r="AL70" s="131" t="n">
        <f aca="false">'Reforecast Q1 2026'!L86</f>
        <v>-229.166666666667</v>
      </c>
      <c r="AM70" s="131" t="str">
        <f aca="false">IF(OR(10&gt;$B$3,ISBLANK(Actuals!L86)),"",Actuals!L86)</f>
        <v/>
      </c>
      <c r="AN70" s="132" t="str">
        <f aca="false">IF(OR(10&gt;$B$3,ISBLANK(Actuals!L86)),"",'Reforecast Q1 2026'!L86-Actuals!L86)</f>
        <v/>
      </c>
      <c r="AO70" s="132" t="str">
        <f aca="false">IFERROR(IF(OR(10&gt;$B$3,ISBLANK(Actuals!L86)),"",('Reforecast Q1 2026'!L86-Actuals!L86)/ABS('Reforecast Q1 2026'!L86)),"")</f>
        <v/>
      </c>
      <c r="AP70" s="131" t="n">
        <f aca="false">'Reforecast Q1 2026'!M86</f>
        <v>-229.166666666667</v>
      </c>
      <c r="AQ70" s="131" t="str">
        <f aca="false">IF(OR(11&gt;$B$3,ISBLANK(Actuals!M86)),"",Actuals!M86)</f>
        <v/>
      </c>
      <c r="AR70" s="132" t="str">
        <f aca="false">IF(OR(11&gt;$B$3,ISBLANK(Actuals!M86)),"",'Reforecast Q1 2026'!M86-Actuals!M86)</f>
        <v/>
      </c>
      <c r="AS70" s="132" t="str">
        <f aca="false">IFERROR(IF(OR(11&gt;$B$3,ISBLANK(Actuals!M86)),"",('Reforecast Q1 2026'!M86-Actuals!M86)/ABS('Reforecast Q1 2026'!M86)),"")</f>
        <v/>
      </c>
      <c r="AT70" s="131" t="n">
        <f aca="false">'Reforecast Q1 2026'!N86</f>
        <v>-229.166666666667</v>
      </c>
      <c r="AU70" s="131" t="str">
        <f aca="false">IF(OR(12&gt;$B$3,ISBLANK(Actuals!N86)),"",Actuals!N86)</f>
        <v/>
      </c>
      <c r="AV70" s="132" t="str">
        <f aca="false">IF(OR(12&gt;$B$3,ISBLANK(Actuals!N86)),"",'Reforecast Q1 2026'!N86-Actuals!N86)</f>
        <v/>
      </c>
      <c r="AW70" s="132" t="str">
        <f aca="false">IFERROR(IF(OR(12&gt;$B$3,ISBLANK(Actuals!N86)),"",('Reforecast Q1 2026'!N86-Actuals!N86)/ABS('Reforecast Q1 2026'!N86)),"")</f>
        <v/>
      </c>
      <c r="AX70" s="133" t="n">
        <f aca="false">SUMPRODUCT((Actuals!C86:N86&lt;&gt;"")*('Reforecast Q1 2026'!C86:N86))</f>
        <v>-2802.28</v>
      </c>
      <c r="AY70" s="133" t="n">
        <f aca="false">SUM(Actuals!C86:N86)</f>
        <v>-4281.84</v>
      </c>
      <c r="AZ70" s="134" t="n">
        <f aca="false">AX70-AY70</f>
        <v>1479.56</v>
      </c>
    </row>
    <row r="71" customFormat="false" ht="15" hidden="false" customHeight="true" outlineLevel="0" collapsed="false">
      <c r="A71" s="130" t="s">
        <v>69</v>
      </c>
      <c r="B71" s="131" t="n">
        <f aca="false">'Reforecast Q1 2026'!C87</f>
        <v>-2200.12</v>
      </c>
      <c r="C71" s="131" t="n">
        <f aca="false">IF(OR(1&gt;$B$3,ISBLANK(Actuals!C87)),"",Actuals!C87)</f>
        <v>-2200.12</v>
      </c>
      <c r="D71" s="132" t="n">
        <f aca="false">IF(OR(1&gt;$B$3,ISBLANK(Actuals!C87)),"",'Reforecast Q1 2026'!C87-Actuals!C87)</f>
        <v>0</v>
      </c>
      <c r="E71" s="132" t="n">
        <f aca="false">IFERROR(IF(OR(1&gt;$B$3,ISBLANK(Actuals!C87)),"",('Reforecast Q1 2026'!C87-Actuals!C87)/ABS('Reforecast Q1 2026'!C87)),"")</f>
        <v>0</v>
      </c>
      <c r="F71" s="131" t="n">
        <f aca="false">'Reforecast Q1 2026'!D87</f>
        <v>-2200.12</v>
      </c>
      <c r="G71" s="131" t="n">
        <f aca="false">IF(OR(2&gt;$B$3,ISBLANK(Actuals!D87)),"",Actuals!D87)</f>
        <v>-2200.12</v>
      </c>
      <c r="H71" s="132" t="n">
        <f aca="false">IF(OR(2&gt;$B$3,ISBLANK(Actuals!D87)),"",'Reforecast Q1 2026'!D87-Actuals!D87)</f>
        <v>0</v>
      </c>
      <c r="I71" s="132" t="n">
        <f aca="false">IFERROR(IF(OR(2&gt;$B$3,ISBLANK(Actuals!D87)),"",('Reforecast Q1 2026'!D87-Actuals!D87)/ABS('Reforecast Q1 2026'!D87)),"")</f>
        <v>0</v>
      </c>
      <c r="J71" s="131" t="n">
        <f aca="false">'Reforecast Q1 2026'!E87</f>
        <v>-2200.12</v>
      </c>
      <c r="K71" s="131" t="n">
        <f aca="false">IF(OR(3&gt;$B$3,ISBLANK(Actuals!E87)),"",Actuals!E87)</f>
        <v>-2200.12</v>
      </c>
      <c r="L71" s="132" t="n">
        <f aca="false">IF(OR(3&gt;$B$3,ISBLANK(Actuals!E87)),"",'Reforecast Q1 2026'!E87-Actuals!E87)</f>
        <v>0</v>
      </c>
      <c r="M71" s="132" t="n">
        <f aca="false">IFERROR(IF(OR(3&gt;$B$3,ISBLANK(Actuals!E87)),"",('Reforecast Q1 2026'!E87-Actuals!E87)/ABS('Reforecast Q1 2026'!E87)),"")</f>
        <v>0</v>
      </c>
      <c r="N71" s="131" t="n">
        <f aca="false">'Reforecast Q1 2026'!F87</f>
        <v>-57.2916666666667</v>
      </c>
      <c r="O71" s="131" t="n">
        <f aca="false">IF(OR(4&gt;$B$3,ISBLANK(Actuals!F87)),"",Actuals!F87)</f>
        <v>-2200.12</v>
      </c>
      <c r="P71" s="132" t="n">
        <f aca="false">IF(OR(4&gt;$B$3,ISBLANK(Actuals!F87)),"",'Reforecast Q1 2026'!F87-Actuals!F87)</f>
        <v>2142.82833333333</v>
      </c>
      <c r="Q71" s="132" t="n">
        <f aca="false">IFERROR(IF(OR(4&gt;$B$3,ISBLANK(Actuals!F87)),"",('Reforecast Q1 2026'!F87-Actuals!F87)/ABS('Reforecast Q1 2026'!F87)),"")</f>
        <v>37.4020945454545</v>
      </c>
      <c r="R71" s="131" t="n">
        <f aca="false">'Reforecast Q1 2026'!G87</f>
        <v>-57.2916666666667</v>
      </c>
      <c r="S71" s="131" t="n">
        <f aca="false">IF(OR(5&gt;$B$3,ISBLANK(Actuals!G87)),"",Actuals!G87)</f>
        <v>-2200.12</v>
      </c>
      <c r="T71" s="132" t="n">
        <f aca="false">IF(OR(5&gt;$B$3,ISBLANK(Actuals!G87)),"",'Reforecast Q1 2026'!G87-Actuals!G87)</f>
        <v>2142.82833333333</v>
      </c>
      <c r="U71" s="132" t="n">
        <f aca="false">IFERROR(IF(OR(5&gt;$B$3,ISBLANK(Actuals!G87)),"",('Reforecast Q1 2026'!G87-Actuals!G87)/ABS('Reforecast Q1 2026'!G87)),"")</f>
        <v>37.4020945454545</v>
      </c>
      <c r="V71" s="131" t="n">
        <f aca="false">'Reforecast Q1 2026'!H87</f>
        <v>-57.2916666666667</v>
      </c>
      <c r="W71" s="131" t="n">
        <f aca="false">IF(OR(6&gt;$B$3,ISBLANK(Actuals!H87)),"",Actuals!H87)</f>
        <v>-2200.12</v>
      </c>
      <c r="X71" s="132" t="n">
        <f aca="false">IF(OR(6&gt;$B$3,ISBLANK(Actuals!H87)),"",'Reforecast Q1 2026'!H87-Actuals!H87)</f>
        <v>2142.82833333333</v>
      </c>
      <c r="Y71" s="132" t="n">
        <f aca="false">IFERROR(IF(OR(6&gt;$B$3,ISBLANK(Actuals!H87)),"",('Reforecast Q1 2026'!H87-Actuals!H87)/ABS('Reforecast Q1 2026'!H87)),"")</f>
        <v>37.4020945454545</v>
      </c>
      <c r="Z71" s="131" t="n">
        <f aca="false">'Reforecast Q1 2026'!I87</f>
        <v>-57.2916666666667</v>
      </c>
      <c r="AA71" s="131" t="n">
        <f aca="false">IF(OR(7&gt;$B$3,ISBLANK(Actuals!I87)),"",Actuals!I87)</f>
        <v>-2200.12</v>
      </c>
      <c r="AB71" s="132" t="n">
        <f aca="false">IF(OR(7&gt;$B$3,ISBLANK(Actuals!I87)),"",'Reforecast Q1 2026'!I87-Actuals!I87)</f>
        <v>2142.82833333333</v>
      </c>
      <c r="AC71" s="132" t="n">
        <f aca="false">IFERROR(IF(OR(7&gt;$B$3,ISBLANK(Actuals!I87)),"",('Reforecast Q1 2026'!I87-Actuals!I87)/ABS('Reforecast Q1 2026'!I87)),"")</f>
        <v>37.4020945454545</v>
      </c>
      <c r="AD71" s="131" t="n">
        <f aca="false">'Reforecast Q1 2026'!J87</f>
        <v>-57.2916666666667</v>
      </c>
      <c r="AE71" s="131" t="n">
        <f aca="false">IF(OR(8&gt;$B$3,ISBLANK(Actuals!J87)),"",Actuals!J87)</f>
        <v>-2200.12</v>
      </c>
      <c r="AF71" s="132" t="n">
        <f aca="false">IF(OR(8&gt;$B$3,ISBLANK(Actuals!J87)),"",'Reforecast Q1 2026'!J87-Actuals!J87)</f>
        <v>2142.82833333333</v>
      </c>
      <c r="AG71" s="132" t="n">
        <f aca="false">IFERROR(IF(OR(8&gt;$B$3,ISBLANK(Actuals!J87)),"",('Reforecast Q1 2026'!J87-Actuals!J87)/ABS('Reforecast Q1 2026'!J87)),"")</f>
        <v>37.4020945454545</v>
      </c>
      <c r="AH71" s="131" t="n">
        <f aca="false">'Reforecast Q1 2026'!K87</f>
        <v>-57.2916666666667</v>
      </c>
      <c r="AI71" s="131" t="n">
        <f aca="false">IF(OR(9&gt;$B$3,ISBLANK(Actuals!K87)),"",Actuals!K87)</f>
        <v>-2200.12</v>
      </c>
      <c r="AJ71" s="132" t="n">
        <f aca="false">IF(OR(9&gt;$B$3,ISBLANK(Actuals!K87)),"",'Reforecast Q1 2026'!K87-Actuals!K87)</f>
        <v>2142.82833333333</v>
      </c>
      <c r="AK71" s="132" t="n">
        <f aca="false">IFERROR(IF(OR(9&gt;$B$3,ISBLANK(Actuals!K87)),"",('Reforecast Q1 2026'!K87-Actuals!K87)/ABS('Reforecast Q1 2026'!K87)),"")</f>
        <v>37.4020945454545</v>
      </c>
      <c r="AL71" s="131" t="n">
        <f aca="false">'Reforecast Q1 2026'!L87</f>
        <v>-57.2916666666667</v>
      </c>
      <c r="AM71" s="131" t="str">
        <f aca="false">IF(OR(10&gt;$B$3,ISBLANK(Actuals!L87)),"",Actuals!L87)</f>
        <v/>
      </c>
      <c r="AN71" s="132" t="str">
        <f aca="false">IF(OR(10&gt;$B$3,ISBLANK(Actuals!L87)),"",'Reforecast Q1 2026'!L87-Actuals!L87)</f>
        <v/>
      </c>
      <c r="AO71" s="132" t="str">
        <f aca="false">IFERROR(IF(OR(10&gt;$B$3,ISBLANK(Actuals!L87)),"",('Reforecast Q1 2026'!L87-Actuals!L87)/ABS('Reforecast Q1 2026'!L87)),"")</f>
        <v/>
      </c>
      <c r="AP71" s="131" t="n">
        <f aca="false">'Reforecast Q1 2026'!M87</f>
        <v>-57.2916666666667</v>
      </c>
      <c r="AQ71" s="131" t="str">
        <f aca="false">IF(OR(11&gt;$B$3,ISBLANK(Actuals!M87)),"",Actuals!M87)</f>
        <v/>
      </c>
      <c r="AR71" s="132" t="str">
        <f aca="false">IF(OR(11&gt;$B$3,ISBLANK(Actuals!M87)),"",'Reforecast Q1 2026'!M87-Actuals!M87)</f>
        <v/>
      </c>
      <c r="AS71" s="132" t="str">
        <f aca="false">IFERROR(IF(OR(11&gt;$B$3,ISBLANK(Actuals!M87)),"",('Reforecast Q1 2026'!M87-Actuals!M87)/ABS('Reforecast Q1 2026'!M87)),"")</f>
        <v/>
      </c>
      <c r="AT71" s="131" t="n">
        <f aca="false">'Reforecast Q1 2026'!N87</f>
        <v>-57.2916666666667</v>
      </c>
      <c r="AU71" s="131" t="str">
        <f aca="false">IF(OR(12&gt;$B$3,ISBLANK(Actuals!N87)),"",Actuals!N87)</f>
        <v/>
      </c>
      <c r="AV71" s="132" t="str">
        <f aca="false">IF(OR(12&gt;$B$3,ISBLANK(Actuals!N87)),"",'Reforecast Q1 2026'!N87-Actuals!N87)</f>
        <v/>
      </c>
      <c r="AW71" s="132" t="str">
        <f aca="false">IFERROR(IF(OR(12&gt;$B$3,ISBLANK(Actuals!N87)),"",('Reforecast Q1 2026'!N87-Actuals!N87)/ABS('Reforecast Q1 2026'!N87)),"")</f>
        <v/>
      </c>
      <c r="AX71" s="133" t="n">
        <f aca="false">SUMPRODUCT((Actuals!C87:N87&lt;&gt;"")*('Reforecast Q1 2026'!C87:N87))</f>
        <v>-6944.11</v>
      </c>
      <c r="AY71" s="133" t="n">
        <f aca="false">SUM(Actuals!C87:N87)</f>
        <v>-19801.08</v>
      </c>
      <c r="AZ71" s="134" t="n">
        <f aca="false">AX71-AY71</f>
        <v>12856.97</v>
      </c>
    </row>
    <row r="72" customFormat="false" ht="15" hidden="false" customHeight="true" outlineLevel="0" collapsed="false">
      <c r="A72" s="130" t="s">
        <v>72</v>
      </c>
      <c r="B72" s="131" t="n">
        <f aca="false">'Reforecast Q1 2026'!C88</f>
        <v>-8848.65</v>
      </c>
      <c r="C72" s="131" t="n">
        <f aca="false">IF(OR(1&gt;$B$3,ISBLANK(Actuals!C88)),"",Actuals!C88)</f>
        <v>-8848.65</v>
      </c>
      <c r="D72" s="132" t="n">
        <f aca="false">IF(OR(1&gt;$B$3,ISBLANK(Actuals!C88)),"",'Reforecast Q1 2026'!C88-Actuals!C88)</f>
        <v>0</v>
      </c>
      <c r="E72" s="132" t="n">
        <f aca="false">IFERROR(IF(OR(1&gt;$B$3,ISBLANK(Actuals!C88)),"",('Reforecast Q1 2026'!C88-Actuals!C88)/ABS('Reforecast Q1 2026'!C88)),"")</f>
        <v>0</v>
      </c>
      <c r="F72" s="131" t="n">
        <f aca="false">'Reforecast Q1 2026'!D88</f>
        <v>-8817.63</v>
      </c>
      <c r="G72" s="131" t="n">
        <f aca="false">IF(OR(2&gt;$B$3,ISBLANK(Actuals!D88)),"",Actuals!D88)</f>
        <v>-8817.63</v>
      </c>
      <c r="H72" s="132" t="n">
        <f aca="false">IF(OR(2&gt;$B$3,ISBLANK(Actuals!D88)),"",'Reforecast Q1 2026'!D88-Actuals!D88)</f>
        <v>0</v>
      </c>
      <c r="I72" s="132" t="n">
        <f aca="false">IFERROR(IF(OR(2&gt;$B$3,ISBLANK(Actuals!D88)),"",('Reforecast Q1 2026'!D88-Actuals!D88)/ABS('Reforecast Q1 2026'!D88)),"")</f>
        <v>0</v>
      </c>
      <c r="J72" s="131" t="n">
        <f aca="false">'Reforecast Q1 2026'!E88</f>
        <v>-3775.91</v>
      </c>
      <c r="K72" s="131" t="n">
        <f aca="false">IF(OR(3&gt;$B$3,ISBLANK(Actuals!E88)),"",Actuals!E88)</f>
        <v>-3775.91</v>
      </c>
      <c r="L72" s="132" t="n">
        <f aca="false">IF(OR(3&gt;$B$3,ISBLANK(Actuals!E88)),"",'Reforecast Q1 2026'!E88-Actuals!E88)</f>
        <v>0</v>
      </c>
      <c r="M72" s="132" t="n">
        <f aca="false">IFERROR(IF(OR(3&gt;$B$3,ISBLANK(Actuals!E88)),"",('Reforecast Q1 2026'!E88-Actuals!E88)/ABS('Reforecast Q1 2026'!E88)),"")</f>
        <v>0</v>
      </c>
      <c r="N72" s="131" t="n">
        <f aca="false">'Reforecast Q1 2026'!F88</f>
        <v>-8500</v>
      </c>
      <c r="O72" s="131" t="n">
        <f aca="false">IF(OR(4&gt;$B$3,ISBLANK(Actuals!F88)),"",Actuals!F88)</f>
        <v>-8731.12</v>
      </c>
      <c r="P72" s="132" t="n">
        <f aca="false">IF(OR(4&gt;$B$3,ISBLANK(Actuals!F88)),"",'Reforecast Q1 2026'!F88-Actuals!F88)</f>
        <v>231.120000000001</v>
      </c>
      <c r="Q72" s="132" t="n">
        <f aca="false">IFERROR(IF(OR(4&gt;$B$3,ISBLANK(Actuals!F88)),"",('Reforecast Q1 2026'!F88-Actuals!F88)/ABS('Reforecast Q1 2026'!F88)),"")</f>
        <v>0.0271905882352942</v>
      </c>
      <c r="R72" s="131" t="n">
        <f aca="false">'Reforecast Q1 2026'!G88</f>
        <v>-8500</v>
      </c>
      <c r="S72" s="131" t="n">
        <f aca="false">IF(OR(5&gt;$B$3,ISBLANK(Actuals!G88)),"",Actuals!G88)</f>
        <v>-8739.17</v>
      </c>
      <c r="T72" s="132" t="n">
        <f aca="false">IF(OR(5&gt;$B$3,ISBLANK(Actuals!G88)),"",'Reforecast Q1 2026'!G88-Actuals!G88)</f>
        <v>239.17</v>
      </c>
      <c r="U72" s="132" t="n">
        <f aca="false">IFERROR(IF(OR(5&gt;$B$3,ISBLANK(Actuals!G88)),"",('Reforecast Q1 2026'!G88-Actuals!G88)/ABS('Reforecast Q1 2026'!G88)),"")</f>
        <v>0.0281376470588235</v>
      </c>
      <c r="V72" s="131" t="n">
        <f aca="false">'Reforecast Q1 2026'!H88</f>
        <v>-8500</v>
      </c>
      <c r="W72" s="131" t="n">
        <f aca="false">IF(OR(6&gt;$B$3,ISBLANK(Actuals!H88)),"",Actuals!H88)</f>
        <v>-8771.99</v>
      </c>
      <c r="X72" s="132" t="n">
        <f aca="false">IF(OR(6&gt;$B$3,ISBLANK(Actuals!H88)),"",'Reforecast Q1 2026'!H88-Actuals!H88)</f>
        <v>271.99</v>
      </c>
      <c r="Y72" s="132" t="n">
        <f aca="false">IFERROR(IF(OR(6&gt;$B$3,ISBLANK(Actuals!H88)),"",('Reforecast Q1 2026'!H88-Actuals!H88)/ABS('Reforecast Q1 2026'!H88)),"")</f>
        <v>0.0319988235294117</v>
      </c>
      <c r="Z72" s="131" t="n">
        <f aca="false">'Reforecast Q1 2026'!I88</f>
        <v>-8500</v>
      </c>
      <c r="AA72" s="131" t="n">
        <f aca="false">IF(OR(7&gt;$B$3,ISBLANK(Actuals!I88)),"",Actuals!I88)</f>
        <v>-13832.56</v>
      </c>
      <c r="AB72" s="132" t="n">
        <f aca="false">IF(OR(7&gt;$B$3,ISBLANK(Actuals!I88)),"",'Reforecast Q1 2026'!I88-Actuals!I88)</f>
        <v>5332.56</v>
      </c>
      <c r="AC72" s="132" t="n">
        <f aca="false">IFERROR(IF(OR(7&gt;$B$3,ISBLANK(Actuals!I88)),"",('Reforecast Q1 2026'!I88-Actuals!I88)/ABS('Reforecast Q1 2026'!I88)),"")</f>
        <v>0.62736</v>
      </c>
      <c r="AD72" s="131" t="n">
        <f aca="false">'Reforecast Q1 2026'!J88</f>
        <v>-8500</v>
      </c>
      <c r="AE72" s="131" t="n">
        <f aca="false">IF(OR(8&gt;$B$3,ISBLANK(Actuals!J88)),"",Actuals!J88)</f>
        <v>-3870.05</v>
      </c>
      <c r="AF72" s="132" t="n">
        <f aca="false">IF(OR(8&gt;$B$3,ISBLANK(Actuals!J88)),"",'Reforecast Q1 2026'!J88-Actuals!J88)</f>
        <v>-4629.95</v>
      </c>
      <c r="AG72" s="132" t="n">
        <f aca="false">IFERROR(IF(OR(8&gt;$B$3,ISBLANK(Actuals!J88)),"",('Reforecast Q1 2026'!J88-Actuals!J88)/ABS('Reforecast Q1 2026'!J88)),"")</f>
        <v>-0.5447</v>
      </c>
      <c r="AH72" s="131" t="n">
        <f aca="false">'Reforecast Q1 2026'!K88</f>
        <v>-8500</v>
      </c>
      <c r="AI72" s="131" t="n">
        <f aca="false">IF(OR(9&gt;$B$3,ISBLANK(Actuals!K88)),"",Actuals!K88)</f>
        <v>-8909.61</v>
      </c>
      <c r="AJ72" s="132" t="n">
        <f aca="false">IF(OR(9&gt;$B$3,ISBLANK(Actuals!K88)),"",'Reforecast Q1 2026'!K88-Actuals!K88)</f>
        <v>409.610000000001</v>
      </c>
      <c r="AK72" s="132" t="n">
        <f aca="false">IFERROR(IF(OR(9&gt;$B$3,ISBLANK(Actuals!K88)),"",('Reforecast Q1 2026'!K88-Actuals!K88)/ABS('Reforecast Q1 2026'!K88)),"")</f>
        <v>0.048189411764706</v>
      </c>
      <c r="AL72" s="131" t="n">
        <f aca="false">'Reforecast Q1 2026'!L88</f>
        <v>-8500</v>
      </c>
      <c r="AM72" s="131" t="str">
        <f aca="false">IF(OR(10&gt;$B$3,ISBLANK(Actuals!L88)),"",Actuals!L88)</f>
        <v/>
      </c>
      <c r="AN72" s="132" t="str">
        <f aca="false">IF(OR(10&gt;$B$3,ISBLANK(Actuals!L88)),"",'Reforecast Q1 2026'!L88-Actuals!L88)</f>
        <v/>
      </c>
      <c r="AO72" s="132" t="str">
        <f aca="false">IFERROR(IF(OR(10&gt;$B$3,ISBLANK(Actuals!L88)),"",('Reforecast Q1 2026'!L88-Actuals!L88)/ABS('Reforecast Q1 2026'!L88)),"")</f>
        <v/>
      </c>
      <c r="AP72" s="131" t="n">
        <f aca="false">'Reforecast Q1 2026'!M88</f>
        <v>-8500</v>
      </c>
      <c r="AQ72" s="131" t="str">
        <f aca="false">IF(OR(11&gt;$B$3,ISBLANK(Actuals!M88)),"",Actuals!M88)</f>
        <v/>
      </c>
      <c r="AR72" s="132" t="str">
        <f aca="false">IF(OR(11&gt;$B$3,ISBLANK(Actuals!M88)),"",'Reforecast Q1 2026'!M88-Actuals!M88)</f>
        <v/>
      </c>
      <c r="AS72" s="132" t="str">
        <f aca="false">IFERROR(IF(OR(11&gt;$B$3,ISBLANK(Actuals!M88)),"",('Reforecast Q1 2026'!M88-Actuals!M88)/ABS('Reforecast Q1 2026'!M88)),"")</f>
        <v/>
      </c>
      <c r="AT72" s="131" t="n">
        <f aca="false">'Reforecast Q1 2026'!N88</f>
        <v>-8500</v>
      </c>
      <c r="AU72" s="131" t="str">
        <f aca="false">IF(OR(12&gt;$B$3,ISBLANK(Actuals!N88)),"",Actuals!N88)</f>
        <v/>
      </c>
      <c r="AV72" s="132" t="str">
        <f aca="false">IF(OR(12&gt;$B$3,ISBLANK(Actuals!N88)),"",'Reforecast Q1 2026'!N88-Actuals!N88)</f>
        <v/>
      </c>
      <c r="AW72" s="132" t="str">
        <f aca="false">IFERROR(IF(OR(12&gt;$B$3,ISBLANK(Actuals!N88)),"",('Reforecast Q1 2026'!N88-Actuals!N88)/ABS('Reforecast Q1 2026'!N88)),"")</f>
        <v/>
      </c>
      <c r="AX72" s="133" t="n">
        <f aca="false">SUMPRODUCT((Actuals!C88:N88&lt;&gt;"")*('Reforecast Q1 2026'!C88:N88))</f>
        <v>-72442.19</v>
      </c>
      <c r="AY72" s="133" t="n">
        <f aca="false">SUM(Actuals!C88:N88)</f>
        <v>-74296.69</v>
      </c>
      <c r="AZ72" s="134" t="n">
        <f aca="false">AX72-AY72</f>
        <v>1854.5</v>
      </c>
    </row>
    <row r="73" customFormat="false" ht="15" hidden="false" customHeight="true" outlineLevel="0" collapsed="false">
      <c r="A73" s="130" t="s">
        <v>73</v>
      </c>
      <c r="B73" s="131" t="n">
        <f aca="false">'Reforecast Q1 2026'!C89</f>
        <v>-1722.9</v>
      </c>
      <c r="C73" s="131" t="n">
        <f aca="false">IF(OR(1&gt;$B$3,ISBLANK(Actuals!C89)),"",Actuals!C89)</f>
        <v>-1722.9</v>
      </c>
      <c r="D73" s="132" t="n">
        <f aca="false">IF(OR(1&gt;$B$3,ISBLANK(Actuals!C89)),"",'Reforecast Q1 2026'!C89-Actuals!C89)</f>
        <v>0</v>
      </c>
      <c r="E73" s="132" t="n">
        <f aca="false">IFERROR(IF(OR(1&gt;$B$3,ISBLANK(Actuals!C89)),"",('Reforecast Q1 2026'!C89-Actuals!C89)/ABS('Reforecast Q1 2026'!C89)),"")</f>
        <v>0</v>
      </c>
      <c r="F73" s="131" t="n">
        <f aca="false">'Reforecast Q1 2026'!D89</f>
        <v>0</v>
      </c>
      <c r="G73" s="131" t="n">
        <f aca="false">IF(OR(2&gt;$B$3,ISBLANK(Actuals!D89)),"",Actuals!D89)</f>
        <v>0</v>
      </c>
      <c r="H73" s="132" t="n">
        <f aca="false">IF(OR(2&gt;$B$3,ISBLANK(Actuals!D89)),"",'Reforecast Q1 2026'!D89-Actuals!D89)</f>
        <v>0</v>
      </c>
      <c r="I73" s="132" t="str">
        <f aca="false">IFERROR(IF(OR(2&gt;$B$3,ISBLANK(Actuals!D89)),"",('Reforecast Q1 2026'!D89-Actuals!D89)/ABS('Reforecast Q1 2026'!D89)),"")</f>
        <v/>
      </c>
      <c r="J73" s="131" t="n">
        <f aca="false">'Reforecast Q1 2026'!E89</f>
        <v>-28.51</v>
      </c>
      <c r="K73" s="131" t="n">
        <f aca="false">IF(OR(3&gt;$B$3,ISBLANK(Actuals!E89)),"",Actuals!E89)</f>
        <v>-28.51</v>
      </c>
      <c r="L73" s="132" t="n">
        <f aca="false">IF(OR(3&gt;$B$3,ISBLANK(Actuals!E89)),"",'Reforecast Q1 2026'!E89-Actuals!E89)</f>
        <v>0</v>
      </c>
      <c r="M73" s="132" t="n">
        <f aca="false">IFERROR(IF(OR(3&gt;$B$3,ISBLANK(Actuals!E89)),"",('Reforecast Q1 2026'!E89-Actuals!E89)/ABS('Reforecast Q1 2026'!E89)),"")</f>
        <v>0</v>
      </c>
      <c r="N73" s="131" t="n">
        <f aca="false">'Reforecast Q1 2026'!F89</f>
        <v>-583.8</v>
      </c>
      <c r="O73" s="131" t="n">
        <f aca="false">IF(OR(4&gt;$B$3,ISBLANK(Actuals!F89)),"",Actuals!F89)</f>
        <v>0</v>
      </c>
      <c r="P73" s="132" t="n">
        <f aca="false">IF(OR(4&gt;$B$3,ISBLANK(Actuals!F89)),"",'Reforecast Q1 2026'!F89-Actuals!F89)</f>
        <v>-583.8</v>
      </c>
      <c r="Q73" s="132" t="n">
        <f aca="false">IFERROR(IF(OR(4&gt;$B$3,ISBLANK(Actuals!F89)),"",('Reforecast Q1 2026'!F89-Actuals!F89)/ABS('Reforecast Q1 2026'!F89)),"")</f>
        <v>-1</v>
      </c>
      <c r="R73" s="131" t="n">
        <f aca="false">'Reforecast Q1 2026'!G89</f>
        <v>-583.8</v>
      </c>
      <c r="S73" s="131" t="n">
        <f aca="false">IF(OR(5&gt;$B$3,ISBLANK(Actuals!G89)),"",Actuals!G89)</f>
        <v>-212.12</v>
      </c>
      <c r="T73" s="132" t="n">
        <f aca="false">IF(OR(5&gt;$B$3,ISBLANK(Actuals!G89)),"",'Reforecast Q1 2026'!G89-Actuals!G89)</f>
        <v>-371.68</v>
      </c>
      <c r="U73" s="132" t="n">
        <f aca="false">IFERROR(IF(OR(5&gt;$B$3,ISBLANK(Actuals!G89)),"",('Reforecast Q1 2026'!G89-Actuals!G89)/ABS('Reforecast Q1 2026'!G89)),"")</f>
        <v>-0.636656389174375</v>
      </c>
      <c r="V73" s="131" t="n">
        <f aca="false">'Reforecast Q1 2026'!H89</f>
        <v>-583.8</v>
      </c>
      <c r="W73" s="131" t="n">
        <f aca="false">IF(OR(6&gt;$B$3,ISBLANK(Actuals!H89)),"",Actuals!H89)</f>
        <v>-83.92</v>
      </c>
      <c r="X73" s="132" t="n">
        <f aca="false">IF(OR(6&gt;$B$3,ISBLANK(Actuals!H89)),"",'Reforecast Q1 2026'!H89-Actuals!H89)</f>
        <v>-499.88</v>
      </c>
      <c r="Y73" s="132" t="n">
        <f aca="false">IFERROR(IF(OR(6&gt;$B$3,ISBLANK(Actuals!H89)),"",('Reforecast Q1 2026'!H89-Actuals!H89)/ABS('Reforecast Q1 2026'!H89)),"")</f>
        <v>-0.856252141144227</v>
      </c>
      <c r="Z73" s="131" t="n">
        <f aca="false">'Reforecast Q1 2026'!I89</f>
        <v>-583.8</v>
      </c>
      <c r="AA73" s="131" t="n">
        <f aca="false">IF(OR(7&gt;$B$3,ISBLANK(Actuals!I89)),"",Actuals!I89)</f>
        <v>-530</v>
      </c>
      <c r="AB73" s="132" t="n">
        <f aca="false">IF(OR(7&gt;$B$3,ISBLANK(Actuals!I89)),"",'Reforecast Q1 2026'!I89-Actuals!I89)</f>
        <v>-53.8</v>
      </c>
      <c r="AC73" s="132" t="n">
        <f aca="false">IFERROR(IF(OR(7&gt;$B$3,ISBLANK(Actuals!I89)),"",('Reforecast Q1 2026'!I89-Actuals!I89)/ABS('Reforecast Q1 2026'!I89)),"")</f>
        <v>-0.0921548475505309</v>
      </c>
      <c r="AD73" s="131" t="n">
        <f aca="false">'Reforecast Q1 2026'!J89</f>
        <v>-583.8</v>
      </c>
      <c r="AE73" s="131" t="n">
        <f aca="false">IF(OR(8&gt;$B$3,ISBLANK(Actuals!J89)),"",Actuals!J89)</f>
        <v>-180.23</v>
      </c>
      <c r="AF73" s="132" t="n">
        <f aca="false">IF(OR(8&gt;$B$3,ISBLANK(Actuals!J89)),"",'Reforecast Q1 2026'!J89-Actuals!J89)</f>
        <v>-403.57</v>
      </c>
      <c r="AG73" s="132" t="n">
        <f aca="false">IFERROR(IF(OR(8&gt;$B$3,ISBLANK(Actuals!J89)),"",('Reforecast Q1 2026'!J89-Actuals!J89)/ABS('Reforecast Q1 2026'!J89)),"")</f>
        <v>-0.691281260705721</v>
      </c>
      <c r="AH73" s="131" t="n">
        <f aca="false">'Reforecast Q1 2026'!K89</f>
        <v>-583.8</v>
      </c>
      <c r="AI73" s="131" t="n">
        <f aca="false">IF(OR(9&gt;$B$3,ISBLANK(Actuals!K89)),"",Actuals!K89)</f>
        <v>-952.23</v>
      </c>
      <c r="AJ73" s="132" t="n">
        <f aca="false">IF(OR(9&gt;$B$3,ISBLANK(Actuals!K89)),"",'Reforecast Q1 2026'!K89-Actuals!K89)</f>
        <v>368.43</v>
      </c>
      <c r="AK73" s="132" t="n">
        <f aca="false">IFERROR(IF(OR(9&gt;$B$3,ISBLANK(Actuals!K89)),"",('Reforecast Q1 2026'!K89-Actuals!K89)/ABS('Reforecast Q1 2026'!K89)),"")</f>
        <v>0.63108941418294</v>
      </c>
      <c r="AL73" s="131" t="n">
        <f aca="false">'Reforecast Q1 2026'!L89</f>
        <v>-583.8</v>
      </c>
      <c r="AM73" s="131" t="str">
        <f aca="false">IF(OR(10&gt;$B$3,ISBLANK(Actuals!L89)),"",Actuals!L89)</f>
        <v/>
      </c>
      <c r="AN73" s="132" t="str">
        <f aca="false">IF(OR(10&gt;$B$3,ISBLANK(Actuals!L89)),"",'Reforecast Q1 2026'!L89-Actuals!L89)</f>
        <v/>
      </c>
      <c r="AO73" s="132" t="str">
        <f aca="false">IFERROR(IF(OR(10&gt;$B$3,ISBLANK(Actuals!L89)),"",('Reforecast Q1 2026'!L89-Actuals!L89)/ABS('Reforecast Q1 2026'!L89)),"")</f>
        <v/>
      </c>
      <c r="AP73" s="131" t="n">
        <f aca="false">'Reforecast Q1 2026'!M89</f>
        <v>-583.8</v>
      </c>
      <c r="AQ73" s="131" t="str">
        <f aca="false">IF(OR(11&gt;$B$3,ISBLANK(Actuals!M89)),"",Actuals!M89)</f>
        <v/>
      </c>
      <c r="AR73" s="132" t="str">
        <f aca="false">IF(OR(11&gt;$B$3,ISBLANK(Actuals!M89)),"",'Reforecast Q1 2026'!M89-Actuals!M89)</f>
        <v/>
      </c>
      <c r="AS73" s="132" t="str">
        <f aca="false">IFERROR(IF(OR(11&gt;$B$3,ISBLANK(Actuals!M89)),"",('Reforecast Q1 2026'!M89-Actuals!M89)/ABS('Reforecast Q1 2026'!M89)),"")</f>
        <v/>
      </c>
      <c r="AT73" s="131" t="n">
        <f aca="false">'Reforecast Q1 2026'!N89</f>
        <v>-583.8</v>
      </c>
      <c r="AU73" s="131" t="str">
        <f aca="false">IF(OR(12&gt;$B$3,ISBLANK(Actuals!N89)),"",Actuals!N89)</f>
        <v/>
      </c>
      <c r="AV73" s="132" t="str">
        <f aca="false">IF(OR(12&gt;$B$3,ISBLANK(Actuals!N89)),"",'Reforecast Q1 2026'!N89-Actuals!N89)</f>
        <v/>
      </c>
      <c r="AW73" s="132" t="str">
        <f aca="false">IFERROR(IF(OR(12&gt;$B$3,ISBLANK(Actuals!N89)),"",('Reforecast Q1 2026'!N89-Actuals!N89)/ABS('Reforecast Q1 2026'!N89)),"")</f>
        <v/>
      </c>
      <c r="AX73" s="133" t="n">
        <f aca="false">SUMPRODUCT((Actuals!C89:N89&lt;&gt;"")*('Reforecast Q1 2026'!C89:N89))</f>
        <v>-5254.21</v>
      </c>
      <c r="AY73" s="133" t="n">
        <f aca="false">SUM(Actuals!C89:N89)</f>
        <v>-3709.91</v>
      </c>
      <c r="AZ73" s="134" t="n">
        <f aca="false">AX73-AY73</f>
        <v>-1544.3</v>
      </c>
    </row>
    <row r="74" customFormat="false" ht="15" hidden="false" customHeight="true" outlineLevel="0" collapsed="false">
      <c r="A74" s="130" t="s">
        <v>124</v>
      </c>
      <c r="B74" s="131" t="n">
        <f aca="false">'Reforecast Q1 2026'!C90</f>
        <v>-246.85</v>
      </c>
      <c r="C74" s="131" t="n">
        <f aca="false">IF(OR(1&gt;$B$3,ISBLANK(Actuals!C90)),"",Actuals!C90)</f>
        <v>-246.85</v>
      </c>
      <c r="D74" s="132" t="n">
        <f aca="false">IF(OR(1&gt;$B$3,ISBLANK(Actuals!C90)),"",'Reforecast Q1 2026'!C90-Actuals!C90)</f>
        <v>0</v>
      </c>
      <c r="E74" s="132" t="n">
        <f aca="false">IFERROR(IF(OR(1&gt;$B$3,ISBLANK(Actuals!C90)),"",('Reforecast Q1 2026'!C90-Actuals!C90)/ABS('Reforecast Q1 2026'!C90)),"")</f>
        <v>0</v>
      </c>
      <c r="F74" s="131" t="n">
        <f aca="false">'Reforecast Q1 2026'!D90</f>
        <v>0</v>
      </c>
      <c r="G74" s="131" t="n">
        <f aca="false">IF(OR(2&gt;$B$3,ISBLANK(Actuals!D90)),"",Actuals!D90)</f>
        <v>0</v>
      </c>
      <c r="H74" s="132" t="n">
        <f aca="false">IF(OR(2&gt;$B$3,ISBLANK(Actuals!D90)),"",'Reforecast Q1 2026'!D90-Actuals!D90)</f>
        <v>0</v>
      </c>
      <c r="I74" s="132" t="str">
        <f aca="false">IFERROR(IF(OR(2&gt;$B$3,ISBLANK(Actuals!D90)),"",('Reforecast Q1 2026'!D90-Actuals!D90)/ABS('Reforecast Q1 2026'!D90)),"")</f>
        <v/>
      </c>
      <c r="J74" s="131" t="n">
        <f aca="false">'Reforecast Q1 2026'!E90</f>
        <v>-4246.73</v>
      </c>
      <c r="K74" s="131" t="n">
        <f aca="false">IF(OR(3&gt;$B$3,ISBLANK(Actuals!E90)),"",Actuals!E90)</f>
        <v>-4246.73</v>
      </c>
      <c r="L74" s="132" t="n">
        <f aca="false">IF(OR(3&gt;$B$3,ISBLANK(Actuals!E90)),"",'Reforecast Q1 2026'!E90-Actuals!E90)</f>
        <v>0</v>
      </c>
      <c r="M74" s="132" t="n">
        <f aca="false">IFERROR(IF(OR(3&gt;$B$3,ISBLANK(Actuals!E90)),"",('Reforecast Q1 2026'!E90-Actuals!E90)/ABS('Reforecast Q1 2026'!E90)),"")</f>
        <v>0</v>
      </c>
      <c r="N74" s="131" t="n">
        <f aca="false">'Reforecast Q1 2026'!F90</f>
        <v>-1497.86</v>
      </c>
      <c r="O74" s="131" t="n">
        <f aca="false">IF(OR(4&gt;$B$3,ISBLANK(Actuals!F90)),"",Actuals!F90)</f>
        <v>-3123.87</v>
      </c>
      <c r="P74" s="132" t="n">
        <f aca="false">IF(OR(4&gt;$B$3,ISBLANK(Actuals!F90)),"",'Reforecast Q1 2026'!F90-Actuals!F90)</f>
        <v>1626.01</v>
      </c>
      <c r="Q74" s="132" t="n">
        <f aca="false">IFERROR(IF(OR(4&gt;$B$3,ISBLANK(Actuals!F90)),"",('Reforecast Q1 2026'!F90-Actuals!F90)/ABS('Reforecast Q1 2026'!F90)),"")</f>
        <v>1.08555539235977</v>
      </c>
      <c r="R74" s="131" t="n">
        <f aca="false">'Reforecast Q1 2026'!G90</f>
        <v>-1497.86</v>
      </c>
      <c r="S74" s="131" t="n">
        <f aca="false">IF(OR(5&gt;$B$3,ISBLANK(Actuals!G90)),"",Actuals!G90)</f>
        <v>-3184.88</v>
      </c>
      <c r="T74" s="132" t="n">
        <f aca="false">IF(OR(5&gt;$B$3,ISBLANK(Actuals!G90)),"",'Reforecast Q1 2026'!G90-Actuals!G90)</f>
        <v>1687.02</v>
      </c>
      <c r="U74" s="132" t="n">
        <f aca="false">IFERROR(IF(OR(5&gt;$B$3,ISBLANK(Actuals!G90)),"",('Reforecast Q1 2026'!G90-Actuals!G90)/ABS('Reforecast Q1 2026'!G90)),"")</f>
        <v>1.12628683588586</v>
      </c>
      <c r="V74" s="131" t="n">
        <f aca="false">'Reforecast Q1 2026'!H90</f>
        <v>-1497.86</v>
      </c>
      <c r="W74" s="131" t="n">
        <f aca="false">IF(OR(6&gt;$B$3,ISBLANK(Actuals!H90)),"",Actuals!H90)</f>
        <v>-4015.94</v>
      </c>
      <c r="X74" s="132" t="n">
        <f aca="false">IF(OR(6&gt;$B$3,ISBLANK(Actuals!H90)),"",'Reforecast Q1 2026'!H90-Actuals!H90)</f>
        <v>2518.08</v>
      </c>
      <c r="Y74" s="132" t="n">
        <f aca="false">IFERROR(IF(OR(6&gt;$B$3,ISBLANK(Actuals!H90)),"",('Reforecast Q1 2026'!H90-Actuals!H90)/ABS('Reforecast Q1 2026'!H90)),"")</f>
        <v>1.68111839557769</v>
      </c>
      <c r="Z74" s="131" t="n">
        <f aca="false">'Reforecast Q1 2026'!I90</f>
        <v>-1497.86</v>
      </c>
      <c r="AA74" s="131" t="n">
        <f aca="false">IF(OR(7&gt;$B$3,ISBLANK(Actuals!I90)),"",Actuals!I90)</f>
        <v>-759.45</v>
      </c>
      <c r="AB74" s="132" t="n">
        <f aca="false">IF(OR(7&gt;$B$3,ISBLANK(Actuals!I90)),"",'Reforecast Q1 2026'!I90-Actuals!I90)</f>
        <v>-738.41</v>
      </c>
      <c r="AC74" s="132" t="n">
        <f aca="false">IFERROR(IF(OR(7&gt;$B$3,ISBLANK(Actuals!I90)),"",('Reforecast Q1 2026'!I90-Actuals!I90)/ABS('Reforecast Q1 2026'!I90)),"")</f>
        <v>-0.4929766466826</v>
      </c>
      <c r="AD74" s="131" t="n">
        <f aca="false">'Reforecast Q1 2026'!J90</f>
        <v>-1497.86</v>
      </c>
      <c r="AE74" s="131" t="n">
        <f aca="false">IF(OR(8&gt;$B$3,ISBLANK(Actuals!J90)),"",Actuals!J90)</f>
        <v>-6023.52</v>
      </c>
      <c r="AF74" s="132" t="n">
        <f aca="false">IF(OR(8&gt;$B$3,ISBLANK(Actuals!J90)),"",'Reforecast Q1 2026'!J90-Actuals!J90)</f>
        <v>4525.66</v>
      </c>
      <c r="AG74" s="132" t="n">
        <f aca="false">IFERROR(IF(OR(8&gt;$B$3,ISBLANK(Actuals!J90)),"",('Reforecast Q1 2026'!J90-Actuals!J90)/ABS('Reforecast Q1 2026'!J90)),"")</f>
        <v>3.02141722190325</v>
      </c>
      <c r="AH74" s="131" t="n">
        <f aca="false">'Reforecast Q1 2026'!K90</f>
        <v>-1497.86</v>
      </c>
      <c r="AI74" s="131" t="n">
        <f aca="false">IF(OR(9&gt;$B$3,ISBLANK(Actuals!K90)),"",Actuals!K90)</f>
        <v>-1177.72</v>
      </c>
      <c r="AJ74" s="132" t="n">
        <f aca="false">IF(OR(9&gt;$B$3,ISBLANK(Actuals!K90)),"",'Reforecast Q1 2026'!K90-Actuals!K90)</f>
        <v>-320.14</v>
      </c>
      <c r="AK74" s="132" t="n">
        <f aca="false">IFERROR(IF(OR(9&gt;$B$3,ISBLANK(Actuals!K90)),"",('Reforecast Q1 2026'!K90-Actuals!K90)/ABS('Reforecast Q1 2026'!K90)),"")</f>
        <v>-0.213731590402307</v>
      </c>
      <c r="AL74" s="131" t="n">
        <f aca="false">'Reforecast Q1 2026'!L90</f>
        <v>-1497.86</v>
      </c>
      <c r="AM74" s="131" t="str">
        <f aca="false">IF(OR(10&gt;$B$3,ISBLANK(Actuals!L90)),"",Actuals!L90)</f>
        <v/>
      </c>
      <c r="AN74" s="132" t="str">
        <f aca="false">IF(OR(10&gt;$B$3,ISBLANK(Actuals!L90)),"",'Reforecast Q1 2026'!L90-Actuals!L90)</f>
        <v/>
      </c>
      <c r="AO74" s="132" t="str">
        <f aca="false">IFERROR(IF(OR(10&gt;$B$3,ISBLANK(Actuals!L90)),"",('Reforecast Q1 2026'!L90-Actuals!L90)/ABS('Reforecast Q1 2026'!L90)),"")</f>
        <v/>
      </c>
      <c r="AP74" s="131" t="n">
        <f aca="false">'Reforecast Q1 2026'!M90</f>
        <v>-1497.86</v>
      </c>
      <c r="AQ74" s="131" t="str">
        <f aca="false">IF(OR(11&gt;$B$3,ISBLANK(Actuals!M90)),"",Actuals!M90)</f>
        <v/>
      </c>
      <c r="AR74" s="132" t="str">
        <f aca="false">IF(OR(11&gt;$B$3,ISBLANK(Actuals!M90)),"",'Reforecast Q1 2026'!M90-Actuals!M90)</f>
        <v/>
      </c>
      <c r="AS74" s="132" t="str">
        <f aca="false">IFERROR(IF(OR(11&gt;$B$3,ISBLANK(Actuals!M90)),"",('Reforecast Q1 2026'!M90-Actuals!M90)/ABS('Reforecast Q1 2026'!M90)),"")</f>
        <v/>
      </c>
      <c r="AT74" s="131" t="n">
        <f aca="false">'Reforecast Q1 2026'!N90</f>
        <v>-1497.86</v>
      </c>
      <c r="AU74" s="131" t="str">
        <f aca="false">IF(OR(12&gt;$B$3,ISBLANK(Actuals!N90)),"",Actuals!N90)</f>
        <v/>
      </c>
      <c r="AV74" s="132" t="str">
        <f aca="false">IF(OR(12&gt;$B$3,ISBLANK(Actuals!N90)),"",'Reforecast Q1 2026'!N90-Actuals!N90)</f>
        <v/>
      </c>
      <c r="AW74" s="132" t="str">
        <f aca="false">IFERROR(IF(OR(12&gt;$B$3,ISBLANK(Actuals!N90)),"",('Reforecast Q1 2026'!N90-Actuals!N90)/ABS('Reforecast Q1 2026'!N90)),"")</f>
        <v/>
      </c>
      <c r="AX74" s="133" t="n">
        <f aca="false">SUMPRODUCT((Actuals!C90:N90&lt;&gt;"")*('Reforecast Q1 2026'!C90:N90))</f>
        <v>-13480.74</v>
      </c>
      <c r="AY74" s="133" t="n">
        <f aca="false">SUM(Actuals!C90:N90)</f>
        <v>-22778.96</v>
      </c>
      <c r="AZ74" s="134" t="n">
        <f aca="false">AX74-AY74</f>
        <v>9298.22</v>
      </c>
    </row>
    <row r="75" customFormat="false" ht="15" hidden="false" customHeight="true" outlineLevel="0" collapsed="false">
      <c r="A75" s="130" t="s">
        <v>125</v>
      </c>
      <c r="B75" s="131" t="n">
        <f aca="false">'Reforecast Q1 2026'!C91</f>
        <v>0</v>
      </c>
      <c r="C75" s="131" t="n">
        <f aca="false">IF(OR(1&gt;$B$3,ISBLANK(Actuals!C91)),"",Actuals!C91)</f>
        <v>0</v>
      </c>
      <c r="D75" s="132" t="n">
        <f aca="false">IF(OR(1&gt;$B$3,ISBLANK(Actuals!C91)),"",'Reforecast Q1 2026'!C91-Actuals!C91)</f>
        <v>0</v>
      </c>
      <c r="E75" s="132" t="str">
        <f aca="false">IFERROR(IF(OR(1&gt;$B$3,ISBLANK(Actuals!C91)),"",('Reforecast Q1 2026'!C91-Actuals!C91)/ABS('Reforecast Q1 2026'!C91)),"")</f>
        <v/>
      </c>
      <c r="F75" s="131" t="n">
        <f aca="false">'Reforecast Q1 2026'!D91</f>
        <v>0</v>
      </c>
      <c r="G75" s="131" t="n">
        <f aca="false">IF(OR(2&gt;$B$3,ISBLANK(Actuals!D91)),"",Actuals!D91)</f>
        <v>0</v>
      </c>
      <c r="H75" s="132" t="n">
        <f aca="false">IF(OR(2&gt;$B$3,ISBLANK(Actuals!D91)),"",'Reforecast Q1 2026'!D91-Actuals!D91)</f>
        <v>0</v>
      </c>
      <c r="I75" s="132" t="str">
        <f aca="false">IFERROR(IF(OR(2&gt;$B$3,ISBLANK(Actuals!D91)),"",('Reforecast Q1 2026'!D91-Actuals!D91)/ABS('Reforecast Q1 2026'!D91)),"")</f>
        <v/>
      </c>
      <c r="J75" s="131" t="n">
        <f aca="false">'Reforecast Q1 2026'!E91</f>
        <v>-870</v>
      </c>
      <c r="K75" s="131" t="n">
        <f aca="false">IF(OR(3&gt;$B$3,ISBLANK(Actuals!E91)),"",Actuals!E91)</f>
        <v>-870</v>
      </c>
      <c r="L75" s="132" t="n">
        <f aca="false">IF(OR(3&gt;$B$3,ISBLANK(Actuals!E91)),"",'Reforecast Q1 2026'!E91-Actuals!E91)</f>
        <v>0</v>
      </c>
      <c r="M75" s="132" t="n">
        <f aca="false">IFERROR(IF(OR(3&gt;$B$3,ISBLANK(Actuals!E91)),"",('Reforecast Q1 2026'!E91-Actuals!E91)/ABS('Reforecast Q1 2026'!E91)),"")</f>
        <v>0</v>
      </c>
      <c r="N75" s="131" t="n">
        <f aca="false">'Reforecast Q1 2026'!F91</f>
        <v>-290</v>
      </c>
      <c r="O75" s="131" t="n">
        <f aca="false">IF(OR(4&gt;$B$3,ISBLANK(Actuals!F91)),"",Actuals!F91)</f>
        <v>0</v>
      </c>
      <c r="P75" s="132" t="n">
        <f aca="false">IF(OR(4&gt;$B$3,ISBLANK(Actuals!F91)),"",'Reforecast Q1 2026'!F91-Actuals!F91)</f>
        <v>-290</v>
      </c>
      <c r="Q75" s="132" t="n">
        <f aca="false">IFERROR(IF(OR(4&gt;$B$3,ISBLANK(Actuals!F91)),"",('Reforecast Q1 2026'!F91-Actuals!F91)/ABS('Reforecast Q1 2026'!F91)),"")</f>
        <v>-1</v>
      </c>
      <c r="R75" s="131" t="n">
        <f aca="false">'Reforecast Q1 2026'!G91</f>
        <v>-290</v>
      </c>
      <c r="S75" s="131" t="n">
        <f aca="false">IF(OR(5&gt;$B$3,ISBLANK(Actuals!G91)),"",Actuals!G91)</f>
        <v>0</v>
      </c>
      <c r="T75" s="132" t="n">
        <f aca="false">IF(OR(5&gt;$B$3,ISBLANK(Actuals!G91)),"",'Reforecast Q1 2026'!G91-Actuals!G91)</f>
        <v>-290</v>
      </c>
      <c r="U75" s="132" t="n">
        <f aca="false">IFERROR(IF(OR(5&gt;$B$3,ISBLANK(Actuals!G91)),"",('Reforecast Q1 2026'!G91-Actuals!G91)/ABS('Reforecast Q1 2026'!G91)),"")</f>
        <v>-1</v>
      </c>
      <c r="V75" s="131" t="n">
        <f aca="false">'Reforecast Q1 2026'!H91</f>
        <v>-290</v>
      </c>
      <c r="W75" s="131" t="n">
        <f aca="false">IF(OR(6&gt;$B$3,ISBLANK(Actuals!H91)),"",Actuals!H91)</f>
        <v>0</v>
      </c>
      <c r="X75" s="132" t="n">
        <f aca="false">IF(OR(6&gt;$B$3,ISBLANK(Actuals!H91)),"",'Reforecast Q1 2026'!H91-Actuals!H91)</f>
        <v>-290</v>
      </c>
      <c r="Y75" s="132" t="n">
        <f aca="false">IFERROR(IF(OR(6&gt;$B$3,ISBLANK(Actuals!H91)),"",('Reforecast Q1 2026'!H91-Actuals!H91)/ABS('Reforecast Q1 2026'!H91)),"")</f>
        <v>-1</v>
      </c>
      <c r="Z75" s="131" t="n">
        <f aca="false">'Reforecast Q1 2026'!I91</f>
        <v>-290</v>
      </c>
      <c r="AA75" s="131" t="n">
        <f aca="false">IF(OR(7&gt;$B$3,ISBLANK(Actuals!I91)),"",Actuals!I91)</f>
        <v>0</v>
      </c>
      <c r="AB75" s="132" t="n">
        <f aca="false">IF(OR(7&gt;$B$3,ISBLANK(Actuals!I91)),"",'Reforecast Q1 2026'!I91-Actuals!I91)</f>
        <v>-290</v>
      </c>
      <c r="AC75" s="132" t="n">
        <f aca="false">IFERROR(IF(OR(7&gt;$B$3,ISBLANK(Actuals!I91)),"",('Reforecast Q1 2026'!I91-Actuals!I91)/ABS('Reforecast Q1 2026'!I91)),"")</f>
        <v>-1</v>
      </c>
      <c r="AD75" s="131" t="n">
        <f aca="false">'Reforecast Q1 2026'!J91</f>
        <v>-290</v>
      </c>
      <c r="AE75" s="131" t="n">
        <f aca="false">IF(OR(8&gt;$B$3,ISBLANK(Actuals!J91)),"",Actuals!J91)</f>
        <v>0</v>
      </c>
      <c r="AF75" s="132" t="n">
        <f aca="false">IF(OR(8&gt;$B$3,ISBLANK(Actuals!J91)),"",'Reforecast Q1 2026'!J91-Actuals!J91)</f>
        <v>-290</v>
      </c>
      <c r="AG75" s="132" t="n">
        <f aca="false">IFERROR(IF(OR(8&gt;$B$3,ISBLANK(Actuals!J91)),"",('Reforecast Q1 2026'!J91-Actuals!J91)/ABS('Reforecast Q1 2026'!J91)),"")</f>
        <v>-1</v>
      </c>
      <c r="AH75" s="131" t="n">
        <f aca="false">'Reforecast Q1 2026'!K91</f>
        <v>-290</v>
      </c>
      <c r="AI75" s="131" t="n">
        <f aca="false">IF(OR(9&gt;$B$3,ISBLANK(Actuals!K91)),"",Actuals!K91)</f>
        <v>0</v>
      </c>
      <c r="AJ75" s="132" t="n">
        <f aca="false">IF(OR(9&gt;$B$3,ISBLANK(Actuals!K91)),"",'Reforecast Q1 2026'!K91-Actuals!K91)</f>
        <v>-290</v>
      </c>
      <c r="AK75" s="132" t="n">
        <f aca="false">IFERROR(IF(OR(9&gt;$B$3,ISBLANK(Actuals!K91)),"",('Reforecast Q1 2026'!K91-Actuals!K91)/ABS('Reforecast Q1 2026'!K91)),"")</f>
        <v>-1</v>
      </c>
      <c r="AL75" s="131" t="n">
        <f aca="false">'Reforecast Q1 2026'!L91</f>
        <v>-290</v>
      </c>
      <c r="AM75" s="131" t="str">
        <f aca="false">IF(OR(10&gt;$B$3,ISBLANK(Actuals!L91)),"",Actuals!L91)</f>
        <v/>
      </c>
      <c r="AN75" s="132" t="str">
        <f aca="false">IF(OR(10&gt;$B$3,ISBLANK(Actuals!L91)),"",'Reforecast Q1 2026'!L91-Actuals!L91)</f>
        <v/>
      </c>
      <c r="AO75" s="132" t="str">
        <f aca="false">IFERROR(IF(OR(10&gt;$B$3,ISBLANK(Actuals!L91)),"",('Reforecast Q1 2026'!L91-Actuals!L91)/ABS('Reforecast Q1 2026'!L91)),"")</f>
        <v/>
      </c>
      <c r="AP75" s="131" t="n">
        <f aca="false">'Reforecast Q1 2026'!M91</f>
        <v>-290</v>
      </c>
      <c r="AQ75" s="131" t="str">
        <f aca="false">IF(OR(11&gt;$B$3,ISBLANK(Actuals!M91)),"",Actuals!M91)</f>
        <v/>
      </c>
      <c r="AR75" s="132" t="str">
        <f aca="false">IF(OR(11&gt;$B$3,ISBLANK(Actuals!M91)),"",'Reforecast Q1 2026'!M91-Actuals!M91)</f>
        <v/>
      </c>
      <c r="AS75" s="132" t="str">
        <f aca="false">IFERROR(IF(OR(11&gt;$B$3,ISBLANK(Actuals!M91)),"",('Reforecast Q1 2026'!M91-Actuals!M91)/ABS('Reforecast Q1 2026'!M91)),"")</f>
        <v/>
      </c>
      <c r="AT75" s="131" t="n">
        <f aca="false">'Reforecast Q1 2026'!N91</f>
        <v>-290</v>
      </c>
      <c r="AU75" s="131" t="str">
        <f aca="false">IF(OR(12&gt;$B$3,ISBLANK(Actuals!N91)),"",Actuals!N91)</f>
        <v/>
      </c>
      <c r="AV75" s="132" t="str">
        <f aca="false">IF(OR(12&gt;$B$3,ISBLANK(Actuals!N91)),"",'Reforecast Q1 2026'!N91-Actuals!N91)</f>
        <v/>
      </c>
      <c r="AW75" s="132" t="str">
        <f aca="false">IFERROR(IF(OR(12&gt;$B$3,ISBLANK(Actuals!N91)),"",('Reforecast Q1 2026'!N91-Actuals!N91)/ABS('Reforecast Q1 2026'!N91)),"")</f>
        <v/>
      </c>
      <c r="AX75" s="133" t="n">
        <f aca="false">SUMPRODUCT((Actuals!C91:N91&lt;&gt;"")*('Reforecast Q1 2026'!C91:N91))</f>
        <v>-2610</v>
      </c>
      <c r="AY75" s="133" t="n">
        <f aca="false">SUM(Actuals!C91:N91)</f>
        <v>-870</v>
      </c>
      <c r="AZ75" s="134" t="n">
        <f aca="false">AX75-AY75</f>
        <v>-1740</v>
      </c>
    </row>
    <row r="76" customFormat="false" ht="15" hidden="false" customHeight="true" outlineLevel="0" collapsed="false">
      <c r="A76" s="130" t="s">
        <v>126</v>
      </c>
      <c r="B76" s="131" t="n">
        <f aca="false">'Reforecast Q1 2026'!C92</f>
        <v>-245</v>
      </c>
      <c r="C76" s="131" t="n">
        <f aca="false">IF(OR(1&gt;$B$3,ISBLANK(Actuals!C92)),"",Actuals!C92)</f>
        <v>-245</v>
      </c>
      <c r="D76" s="132" t="n">
        <f aca="false">IF(OR(1&gt;$B$3,ISBLANK(Actuals!C92)),"",'Reforecast Q1 2026'!C92-Actuals!C92)</f>
        <v>0</v>
      </c>
      <c r="E76" s="132" t="n">
        <f aca="false">IFERROR(IF(OR(1&gt;$B$3,ISBLANK(Actuals!C92)),"",('Reforecast Q1 2026'!C92-Actuals!C92)/ABS('Reforecast Q1 2026'!C92)),"")</f>
        <v>0</v>
      </c>
      <c r="F76" s="131" t="n">
        <f aca="false">'Reforecast Q1 2026'!D92</f>
        <v>-245</v>
      </c>
      <c r="G76" s="131" t="n">
        <f aca="false">IF(OR(2&gt;$B$3,ISBLANK(Actuals!D92)),"",Actuals!D92)</f>
        <v>-245</v>
      </c>
      <c r="H76" s="132" t="n">
        <f aca="false">IF(OR(2&gt;$B$3,ISBLANK(Actuals!D92)),"",'Reforecast Q1 2026'!D92-Actuals!D92)</f>
        <v>0</v>
      </c>
      <c r="I76" s="132" t="n">
        <f aca="false">IFERROR(IF(OR(2&gt;$B$3,ISBLANK(Actuals!D92)),"",('Reforecast Q1 2026'!D92-Actuals!D92)/ABS('Reforecast Q1 2026'!D92)),"")</f>
        <v>0</v>
      </c>
      <c r="J76" s="131" t="n">
        <f aca="false">'Reforecast Q1 2026'!E92</f>
        <v>-245</v>
      </c>
      <c r="K76" s="131" t="n">
        <f aca="false">IF(OR(3&gt;$B$3,ISBLANK(Actuals!E92)),"",Actuals!E92)</f>
        <v>-245</v>
      </c>
      <c r="L76" s="132" t="n">
        <f aca="false">IF(OR(3&gt;$B$3,ISBLANK(Actuals!E92)),"",'Reforecast Q1 2026'!E92-Actuals!E92)</f>
        <v>0</v>
      </c>
      <c r="M76" s="132" t="n">
        <f aca="false">IFERROR(IF(OR(3&gt;$B$3,ISBLANK(Actuals!E92)),"",('Reforecast Q1 2026'!E92-Actuals!E92)/ABS('Reforecast Q1 2026'!E92)),"")</f>
        <v>0</v>
      </c>
      <c r="N76" s="131" t="n">
        <f aca="false">'Reforecast Q1 2026'!F92</f>
        <v>-245</v>
      </c>
      <c r="O76" s="131" t="n">
        <f aca="false">IF(OR(4&gt;$B$3,ISBLANK(Actuals!F92)),"",Actuals!F92)</f>
        <v>-245</v>
      </c>
      <c r="P76" s="132" t="n">
        <f aca="false">IF(OR(4&gt;$B$3,ISBLANK(Actuals!F92)),"",'Reforecast Q1 2026'!F92-Actuals!F92)</f>
        <v>0</v>
      </c>
      <c r="Q76" s="132" t="n">
        <f aca="false">IFERROR(IF(OR(4&gt;$B$3,ISBLANK(Actuals!F92)),"",('Reforecast Q1 2026'!F92-Actuals!F92)/ABS('Reforecast Q1 2026'!F92)),"")</f>
        <v>0</v>
      </c>
      <c r="R76" s="131" t="n">
        <f aca="false">'Reforecast Q1 2026'!G92</f>
        <v>-245</v>
      </c>
      <c r="S76" s="131" t="n">
        <f aca="false">IF(OR(5&gt;$B$3,ISBLANK(Actuals!G92)),"",Actuals!G92)</f>
        <v>-245</v>
      </c>
      <c r="T76" s="132" t="n">
        <f aca="false">IF(OR(5&gt;$B$3,ISBLANK(Actuals!G92)),"",'Reforecast Q1 2026'!G92-Actuals!G92)</f>
        <v>0</v>
      </c>
      <c r="U76" s="132" t="n">
        <f aca="false">IFERROR(IF(OR(5&gt;$B$3,ISBLANK(Actuals!G92)),"",('Reforecast Q1 2026'!G92-Actuals!G92)/ABS('Reforecast Q1 2026'!G92)),"")</f>
        <v>0</v>
      </c>
      <c r="V76" s="131" t="n">
        <f aca="false">'Reforecast Q1 2026'!H92</f>
        <v>-245</v>
      </c>
      <c r="W76" s="131" t="n">
        <f aca="false">IF(OR(6&gt;$B$3,ISBLANK(Actuals!H92)),"",Actuals!H92)</f>
        <v>-245</v>
      </c>
      <c r="X76" s="132" t="n">
        <f aca="false">IF(OR(6&gt;$B$3,ISBLANK(Actuals!H92)),"",'Reforecast Q1 2026'!H92-Actuals!H92)</f>
        <v>0</v>
      </c>
      <c r="Y76" s="132" t="n">
        <f aca="false">IFERROR(IF(OR(6&gt;$B$3,ISBLANK(Actuals!H92)),"",('Reforecast Q1 2026'!H92-Actuals!H92)/ABS('Reforecast Q1 2026'!H92)),"")</f>
        <v>0</v>
      </c>
      <c r="Z76" s="131" t="n">
        <f aca="false">'Reforecast Q1 2026'!I92</f>
        <v>-245</v>
      </c>
      <c r="AA76" s="131" t="n">
        <f aca="false">IF(OR(7&gt;$B$3,ISBLANK(Actuals!I92)),"",Actuals!I92)</f>
        <v>-245</v>
      </c>
      <c r="AB76" s="132" t="n">
        <f aca="false">IF(OR(7&gt;$B$3,ISBLANK(Actuals!I92)),"",'Reforecast Q1 2026'!I92-Actuals!I92)</f>
        <v>0</v>
      </c>
      <c r="AC76" s="132" t="n">
        <f aca="false">IFERROR(IF(OR(7&gt;$B$3,ISBLANK(Actuals!I92)),"",('Reforecast Q1 2026'!I92-Actuals!I92)/ABS('Reforecast Q1 2026'!I92)),"")</f>
        <v>0</v>
      </c>
      <c r="AD76" s="131" t="n">
        <f aca="false">'Reforecast Q1 2026'!J92</f>
        <v>-245</v>
      </c>
      <c r="AE76" s="131" t="n">
        <f aca="false">IF(OR(8&gt;$B$3,ISBLANK(Actuals!J92)),"",Actuals!J92)</f>
        <v>0</v>
      </c>
      <c r="AF76" s="132" t="n">
        <f aca="false">IF(OR(8&gt;$B$3,ISBLANK(Actuals!J92)),"",'Reforecast Q1 2026'!J92-Actuals!J92)</f>
        <v>-245</v>
      </c>
      <c r="AG76" s="132" t="n">
        <f aca="false">IFERROR(IF(OR(8&gt;$B$3,ISBLANK(Actuals!J92)),"",('Reforecast Q1 2026'!J92-Actuals!J92)/ABS('Reforecast Q1 2026'!J92)),"")</f>
        <v>-1</v>
      </c>
      <c r="AH76" s="131" t="n">
        <f aca="false">'Reforecast Q1 2026'!K92</f>
        <v>-245</v>
      </c>
      <c r="AI76" s="131" t="n">
        <f aca="false">IF(OR(9&gt;$B$3,ISBLANK(Actuals!K92)),"",Actuals!K92)</f>
        <v>-245</v>
      </c>
      <c r="AJ76" s="132" t="n">
        <f aca="false">IF(OR(9&gt;$B$3,ISBLANK(Actuals!K92)),"",'Reforecast Q1 2026'!K92-Actuals!K92)</f>
        <v>0</v>
      </c>
      <c r="AK76" s="132" t="n">
        <f aca="false">IFERROR(IF(OR(9&gt;$B$3,ISBLANK(Actuals!K92)),"",('Reforecast Q1 2026'!K92-Actuals!K92)/ABS('Reforecast Q1 2026'!K92)),"")</f>
        <v>0</v>
      </c>
      <c r="AL76" s="131" t="n">
        <f aca="false">'Reforecast Q1 2026'!L92</f>
        <v>-245</v>
      </c>
      <c r="AM76" s="131" t="str">
        <f aca="false">IF(OR(10&gt;$B$3,ISBLANK(Actuals!L92)),"",Actuals!L92)</f>
        <v/>
      </c>
      <c r="AN76" s="132" t="str">
        <f aca="false">IF(OR(10&gt;$B$3,ISBLANK(Actuals!L92)),"",'Reforecast Q1 2026'!L92-Actuals!L92)</f>
        <v/>
      </c>
      <c r="AO76" s="132" t="str">
        <f aca="false">IFERROR(IF(OR(10&gt;$B$3,ISBLANK(Actuals!L92)),"",('Reforecast Q1 2026'!L92-Actuals!L92)/ABS('Reforecast Q1 2026'!L92)),"")</f>
        <v/>
      </c>
      <c r="AP76" s="131" t="n">
        <f aca="false">'Reforecast Q1 2026'!M92</f>
        <v>-245</v>
      </c>
      <c r="AQ76" s="131" t="str">
        <f aca="false">IF(OR(11&gt;$B$3,ISBLANK(Actuals!M92)),"",Actuals!M92)</f>
        <v/>
      </c>
      <c r="AR76" s="132" t="str">
        <f aca="false">IF(OR(11&gt;$B$3,ISBLANK(Actuals!M92)),"",'Reforecast Q1 2026'!M92-Actuals!M92)</f>
        <v/>
      </c>
      <c r="AS76" s="132" t="str">
        <f aca="false">IFERROR(IF(OR(11&gt;$B$3,ISBLANK(Actuals!M92)),"",('Reforecast Q1 2026'!M92-Actuals!M92)/ABS('Reforecast Q1 2026'!M92)),"")</f>
        <v/>
      </c>
      <c r="AT76" s="131" t="n">
        <f aca="false">'Reforecast Q1 2026'!N92</f>
        <v>-245</v>
      </c>
      <c r="AU76" s="131" t="str">
        <f aca="false">IF(OR(12&gt;$B$3,ISBLANK(Actuals!N92)),"",Actuals!N92)</f>
        <v/>
      </c>
      <c r="AV76" s="132" t="str">
        <f aca="false">IF(OR(12&gt;$B$3,ISBLANK(Actuals!N92)),"",'Reforecast Q1 2026'!N92-Actuals!N92)</f>
        <v/>
      </c>
      <c r="AW76" s="132" t="str">
        <f aca="false">IFERROR(IF(OR(12&gt;$B$3,ISBLANK(Actuals!N92)),"",('Reforecast Q1 2026'!N92-Actuals!N92)/ABS('Reforecast Q1 2026'!N92)),"")</f>
        <v/>
      </c>
      <c r="AX76" s="133" t="n">
        <f aca="false">SUMPRODUCT((Actuals!C92:N92&lt;&gt;"")*('Reforecast Q1 2026'!C92:N92))</f>
        <v>-2205</v>
      </c>
      <c r="AY76" s="133" t="n">
        <f aca="false">SUM(Actuals!C92:N92)</f>
        <v>-1960</v>
      </c>
      <c r="AZ76" s="134" t="n">
        <f aca="false">AX76-AY76</f>
        <v>-245</v>
      </c>
    </row>
    <row r="77" customFormat="false" ht="15" hidden="false" customHeight="true" outlineLevel="0" collapsed="false">
      <c r="A77" s="130" t="s">
        <v>127</v>
      </c>
      <c r="B77" s="131" t="n">
        <f aca="false">'Reforecast Q1 2026'!C93</f>
        <v>-986.57</v>
      </c>
      <c r="C77" s="131" t="n">
        <f aca="false">IF(OR(1&gt;$B$3,ISBLANK(Actuals!C93)),"",Actuals!C93)</f>
        <v>-986.57</v>
      </c>
      <c r="D77" s="132" t="n">
        <f aca="false">IF(OR(1&gt;$B$3,ISBLANK(Actuals!C93)),"",'Reforecast Q1 2026'!C93-Actuals!C93)</f>
        <v>0</v>
      </c>
      <c r="E77" s="132" t="n">
        <f aca="false">IFERROR(IF(OR(1&gt;$B$3,ISBLANK(Actuals!C93)),"",('Reforecast Q1 2026'!C93-Actuals!C93)/ABS('Reforecast Q1 2026'!C93)),"")</f>
        <v>0</v>
      </c>
      <c r="F77" s="131" t="n">
        <f aca="false">'Reforecast Q1 2026'!D93</f>
        <v>-1254.61</v>
      </c>
      <c r="G77" s="131" t="n">
        <f aca="false">IF(OR(2&gt;$B$3,ISBLANK(Actuals!D93)),"",Actuals!D93)</f>
        <v>-1254.61</v>
      </c>
      <c r="H77" s="132" t="n">
        <f aca="false">IF(OR(2&gt;$B$3,ISBLANK(Actuals!D93)),"",'Reforecast Q1 2026'!D93-Actuals!D93)</f>
        <v>0</v>
      </c>
      <c r="I77" s="132" t="n">
        <f aca="false">IFERROR(IF(OR(2&gt;$B$3,ISBLANK(Actuals!D93)),"",('Reforecast Q1 2026'!D93-Actuals!D93)/ABS('Reforecast Q1 2026'!D93)),"")</f>
        <v>0</v>
      </c>
      <c r="J77" s="131" t="n">
        <f aca="false">'Reforecast Q1 2026'!E93</f>
        <v>-1297.31</v>
      </c>
      <c r="K77" s="131" t="n">
        <f aca="false">IF(OR(3&gt;$B$3,ISBLANK(Actuals!E93)),"",Actuals!E93)</f>
        <v>-1297.31</v>
      </c>
      <c r="L77" s="132" t="n">
        <f aca="false">IF(OR(3&gt;$B$3,ISBLANK(Actuals!E93)),"",'Reforecast Q1 2026'!E93-Actuals!E93)</f>
        <v>0</v>
      </c>
      <c r="M77" s="132" t="n">
        <f aca="false">IFERROR(IF(OR(3&gt;$B$3,ISBLANK(Actuals!E93)),"",('Reforecast Q1 2026'!E93-Actuals!E93)/ABS('Reforecast Q1 2026'!E93)),"")</f>
        <v>0</v>
      </c>
      <c r="N77" s="131" t="n">
        <f aca="false">'Reforecast Q1 2026'!F93</f>
        <v>-1179.5</v>
      </c>
      <c r="O77" s="131" t="n">
        <f aca="false">IF(OR(4&gt;$B$3,ISBLANK(Actuals!F93)),"",Actuals!F93)</f>
        <v>-48.78</v>
      </c>
      <c r="P77" s="132" t="n">
        <f aca="false">IF(OR(4&gt;$B$3,ISBLANK(Actuals!F93)),"",'Reforecast Q1 2026'!F93-Actuals!F93)</f>
        <v>-1130.72</v>
      </c>
      <c r="Q77" s="132" t="n">
        <f aca="false">IFERROR(IF(OR(4&gt;$B$3,ISBLANK(Actuals!F93)),"",('Reforecast Q1 2026'!F93-Actuals!F93)/ABS('Reforecast Q1 2026'!F93)),"")</f>
        <v>-0.958643493005511</v>
      </c>
      <c r="R77" s="131" t="n">
        <f aca="false">'Reforecast Q1 2026'!G93</f>
        <v>-1179.5</v>
      </c>
      <c r="S77" s="131" t="n">
        <f aca="false">IF(OR(5&gt;$B$3,ISBLANK(Actuals!G93)),"",Actuals!G93)</f>
        <v>-4199.86</v>
      </c>
      <c r="T77" s="132" t="n">
        <f aca="false">IF(OR(5&gt;$B$3,ISBLANK(Actuals!G93)),"",'Reforecast Q1 2026'!G93-Actuals!G93)</f>
        <v>3020.36</v>
      </c>
      <c r="U77" s="132" t="n">
        <f aca="false">IFERROR(IF(OR(5&gt;$B$3,ISBLANK(Actuals!G93)),"",('Reforecast Q1 2026'!G93-Actuals!G93)/ABS('Reforecast Q1 2026'!G93)),"")</f>
        <v>2.56071216617211</v>
      </c>
      <c r="V77" s="131" t="n">
        <f aca="false">'Reforecast Q1 2026'!H93</f>
        <v>-1179.5</v>
      </c>
      <c r="W77" s="131" t="n">
        <f aca="false">IF(OR(6&gt;$B$3,ISBLANK(Actuals!H93)),"",Actuals!H93)</f>
        <v>-3433.39</v>
      </c>
      <c r="X77" s="132" t="n">
        <f aca="false">IF(OR(6&gt;$B$3,ISBLANK(Actuals!H93)),"",'Reforecast Q1 2026'!H93-Actuals!H93)</f>
        <v>2253.89</v>
      </c>
      <c r="Y77" s="132" t="n">
        <f aca="false">IFERROR(IF(OR(6&gt;$B$3,ISBLANK(Actuals!H93)),"",('Reforecast Q1 2026'!H93-Actuals!H93)/ABS('Reforecast Q1 2026'!H93)),"")</f>
        <v>1.91088596863078</v>
      </c>
      <c r="Z77" s="131" t="n">
        <f aca="false">'Reforecast Q1 2026'!I93</f>
        <v>-1179.5</v>
      </c>
      <c r="AA77" s="131" t="n">
        <f aca="false">IF(OR(7&gt;$B$3,ISBLANK(Actuals!I93)),"",Actuals!I93)</f>
        <v>0</v>
      </c>
      <c r="AB77" s="132" t="n">
        <f aca="false">IF(OR(7&gt;$B$3,ISBLANK(Actuals!I93)),"",'Reforecast Q1 2026'!I93-Actuals!I93)</f>
        <v>-1179.5</v>
      </c>
      <c r="AC77" s="132" t="n">
        <f aca="false">IFERROR(IF(OR(7&gt;$B$3,ISBLANK(Actuals!I93)),"",('Reforecast Q1 2026'!I93-Actuals!I93)/ABS('Reforecast Q1 2026'!I93)),"")</f>
        <v>-1</v>
      </c>
      <c r="AD77" s="131" t="n">
        <f aca="false">'Reforecast Q1 2026'!J93</f>
        <v>-1179.5</v>
      </c>
      <c r="AE77" s="131" t="n">
        <f aca="false">IF(OR(8&gt;$B$3,ISBLANK(Actuals!J93)),"",Actuals!J93)</f>
        <v>-9.99</v>
      </c>
      <c r="AF77" s="132" t="n">
        <f aca="false">IF(OR(8&gt;$B$3,ISBLANK(Actuals!J93)),"",'Reforecast Q1 2026'!J93-Actuals!J93)</f>
        <v>-1169.51</v>
      </c>
      <c r="AG77" s="132" t="n">
        <f aca="false">IFERROR(IF(OR(8&gt;$B$3,ISBLANK(Actuals!J93)),"",('Reforecast Q1 2026'!J93-Actuals!J93)/ABS('Reforecast Q1 2026'!J93)),"")</f>
        <v>-0.991530309453158</v>
      </c>
      <c r="AH77" s="131" t="n">
        <f aca="false">'Reforecast Q1 2026'!K93</f>
        <v>-1179.5</v>
      </c>
      <c r="AI77" s="131" t="n">
        <f aca="false">IF(OR(9&gt;$B$3,ISBLANK(Actuals!K93)),"",Actuals!K93)</f>
        <v>-3772.85</v>
      </c>
      <c r="AJ77" s="132" t="n">
        <f aca="false">IF(OR(9&gt;$B$3,ISBLANK(Actuals!K93)),"",'Reforecast Q1 2026'!K93-Actuals!K93)</f>
        <v>2593.35</v>
      </c>
      <c r="AK77" s="132" t="n">
        <f aca="false">IFERROR(IF(OR(9&gt;$B$3,ISBLANK(Actuals!K93)),"",('Reforecast Q1 2026'!K93-Actuals!K93)/ABS('Reforecast Q1 2026'!K93)),"")</f>
        <v>2.19868588384909</v>
      </c>
      <c r="AL77" s="131" t="n">
        <f aca="false">'Reforecast Q1 2026'!L93</f>
        <v>-1179.5</v>
      </c>
      <c r="AM77" s="131" t="str">
        <f aca="false">IF(OR(10&gt;$B$3,ISBLANK(Actuals!L93)),"",Actuals!L93)</f>
        <v/>
      </c>
      <c r="AN77" s="132" t="str">
        <f aca="false">IF(OR(10&gt;$B$3,ISBLANK(Actuals!L93)),"",'Reforecast Q1 2026'!L93-Actuals!L93)</f>
        <v/>
      </c>
      <c r="AO77" s="132" t="str">
        <f aca="false">IFERROR(IF(OR(10&gt;$B$3,ISBLANK(Actuals!L93)),"",('Reforecast Q1 2026'!L93-Actuals!L93)/ABS('Reforecast Q1 2026'!L93)),"")</f>
        <v/>
      </c>
      <c r="AP77" s="131" t="n">
        <f aca="false">'Reforecast Q1 2026'!M93</f>
        <v>-1179.5</v>
      </c>
      <c r="AQ77" s="131" t="str">
        <f aca="false">IF(OR(11&gt;$B$3,ISBLANK(Actuals!M93)),"",Actuals!M93)</f>
        <v/>
      </c>
      <c r="AR77" s="132" t="str">
        <f aca="false">IF(OR(11&gt;$B$3,ISBLANK(Actuals!M93)),"",'Reforecast Q1 2026'!M93-Actuals!M93)</f>
        <v/>
      </c>
      <c r="AS77" s="132" t="str">
        <f aca="false">IFERROR(IF(OR(11&gt;$B$3,ISBLANK(Actuals!M93)),"",('Reforecast Q1 2026'!M93-Actuals!M93)/ABS('Reforecast Q1 2026'!M93)),"")</f>
        <v/>
      </c>
      <c r="AT77" s="131" t="n">
        <f aca="false">'Reforecast Q1 2026'!N93</f>
        <v>-1179.5</v>
      </c>
      <c r="AU77" s="131" t="str">
        <f aca="false">IF(OR(12&gt;$B$3,ISBLANK(Actuals!N93)),"",Actuals!N93)</f>
        <v/>
      </c>
      <c r="AV77" s="132" t="str">
        <f aca="false">IF(OR(12&gt;$B$3,ISBLANK(Actuals!N93)),"",'Reforecast Q1 2026'!N93-Actuals!N93)</f>
        <v/>
      </c>
      <c r="AW77" s="132" t="str">
        <f aca="false">IFERROR(IF(OR(12&gt;$B$3,ISBLANK(Actuals!N93)),"",('Reforecast Q1 2026'!N93-Actuals!N93)/ABS('Reforecast Q1 2026'!N93)),"")</f>
        <v/>
      </c>
      <c r="AX77" s="133" t="n">
        <f aca="false">SUMPRODUCT((Actuals!C93:N93&lt;&gt;"")*('Reforecast Q1 2026'!C93:N93))</f>
        <v>-10615.49</v>
      </c>
      <c r="AY77" s="133" t="n">
        <f aca="false">SUM(Actuals!C93:N93)</f>
        <v>-15003.36</v>
      </c>
      <c r="AZ77" s="134" t="n">
        <f aca="false">AX77-AY77</f>
        <v>4387.87</v>
      </c>
    </row>
    <row r="78" customFormat="false" ht="15" hidden="false" customHeight="true" outlineLevel="0" collapsed="false">
      <c r="A78" s="130" t="s">
        <v>128</v>
      </c>
      <c r="B78" s="131" t="n">
        <f aca="false">'Reforecast Q1 2026'!C94</f>
        <v>-588.66</v>
      </c>
      <c r="C78" s="131" t="n">
        <f aca="false">IF(OR(1&gt;$B$3,ISBLANK(Actuals!C94)),"",Actuals!C94)</f>
        <v>-588.66</v>
      </c>
      <c r="D78" s="132" t="n">
        <f aca="false">IF(OR(1&gt;$B$3,ISBLANK(Actuals!C94)),"",'Reforecast Q1 2026'!C94-Actuals!C94)</f>
        <v>0</v>
      </c>
      <c r="E78" s="132" t="n">
        <f aca="false">IFERROR(IF(OR(1&gt;$B$3,ISBLANK(Actuals!C94)),"",('Reforecast Q1 2026'!C94-Actuals!C94)/ABS('Reforecast Q1 2026'!C94)),"")</f>
        <v>0</v>
      </c>
      <c r="F78" s="131" t="n">
        <f aca="false">'Reforecast Q1 2026'!D94</f>
        <v>-22.94</v>
      </c>
      <c r="G78" s="131" t="n">
        <f aca="false">IF(OR(2&gt;$B$3,ISBLANK(Actuals!D94)),"",Actuals!D94)</f>
        <v>-22.94</v>
      </c>
      <c r="H78" s="132" t="n">
        <f aca="false">IF(OR(2&gt;$B$3,ISBLANK(Actuals!D94)),"",'Reforecast Q1 2026'!D94-Actuals!D94)</f>
        <v>0</v>
      </c>
      <c r="I78" s="132" t="n">
        <f aca="false">IFERROR(IF(OR(2&gt;$B$3,ISBLANK(Actuals!D94)),"",('Reforecast Q1 2026'!D94-Actuals!D94)/ABS('Reforecast Q1 2026'!D94)),"")</f>
        <v>0</v>
      </c>
      <c r="J78" s="131" t="n">
        <f aca="false">'Reforecast Q1 2026'!E94</f>
        <v>-487.3</v>
      </c>
      <c r="K78" s="131" t="n">
        <f aca="false">IF(OR(3&gt;$B$3,ISBLANK(Actuals!E94)),"",Actuals!E94)</f>
        <v>-487.3</v>
      </c>
      <c r="L78" s="132" t="n">
        <f aca="false">IF(OR(3&gt;$B$3,ISBLANK(Actuals!E94)),"",'Reforecast Q1 2026'!E94-Actuals!E94)</f>
        <v>0</v>
      </c>
      <c r="M78" s="132" t="n">
        <f aca="false">IFERROR(IF(OR(3&gt;$B$3,ISBLANK(Actuals!E94)),"",('Reforecast Q1 2026'!E94-Actuals!E94)/ABS('Reforecast Q1 2026'!E94)),"")</f>
        <v>0</v>
      </c>
      <c r="N78" s="131" t="n">
        <f aca="false">'Reforecast Q1 2026'!F94</f>
        <v>-366.3</v>
      </c>
      <c r="O78" s="131" t="n">
        <f aca="false">IF(OR(4&gt;$B$3,ISBLANK(Actuals!F94)),"",Actuals!F94)</f>
        <v>-399.98</v>
      </c>
      <c r="P78" s="132" t="n">
        <f aca="false">IF(OR(4&gt;$B$3,ISBLANK(Actuals!F94)),"",'Reforecast Q1 2026'!F94-Actuals!F94)</f>
        <v>33.68</v>
      </c>
      <c r="Q78" s="132" t="n">
        <f aca="false">IFERROR(IF(OR(4&gt;$B$3,ISBLANK(Actuals!F94)),"",('Reforecast Q1 2026'!F94-Actuals!F94)/ABS('Reforecast Q1 2026'!F94)),"")</f>
        <v>0.091946491946492</v>
      </c>
      <c r="R78" s="131" t="n">
        <f aca="false">'Reforecast Q1 2026'!G94</f>
        <v>-366.3</v>
      </c>
      <c r="S78" s="131" t="n">
        <f aca="false">IF(OR(5&gt;$B$3,ISBLANK(Actuals!G94)),"",Actuals!G94)</f>
        <v>-216.15</v>
      </c>
      <c r="T78" s="132" t="n">
        <f aca="false">IF(OR(5&gt;$B$3,ISBLANK(Actuals!G94)),"",'Reforecast Q1 2026'!G94-Actuals!G94)</f>
        <v>-150.15</v>
      </c>
      <c r="U78" s="132" t="n">
        <f aca="false">IFERROR(IF(OR(5&gt;$B$3,ISBLANK(Actuals!G94)),"",('Reforecast Q1 2026'!G94-Actuals!G94)/ABS('Reforecast Q1 2026'!G94)),"")</f>
        <v>-0.40990990990991</v>
      </c>
      <c r="V78" s="131" t="n">
        <f aca="false">'Reforecast Q1 2026'!H94</f>
        <v>-366.3</v>
      </c>
      <c r="W78" s="131" t="n">
        <f aca="false">IF(OR(6&gt;$B$3,ISBLANK(Actuals!H94)),"",Actuals!H94)</f>
        <v>-936.05</v>
      </c>
      <c r="X78" s="132" t="n">
        <f aca="false">IF(OR(6&gt;$B$3,ISBLANK(Actuals!H94)),"",'Reforecast Q1 2026'!H94-Actuals!H94)</f>
        <v>569.75</v>
      </c>
      <c r="Y78" s="132" t="n">
        <f aca="false">IFERROR(IF(OR(6&gt;$B$3,ISBLANK(Actuals!H94)),"",('Reforecast Q1 2026'!H94-Actuals!H94)/ABS('Reforecast Q1 2026'!H94)),"")</f>
        <v>1.55541905541906</v>
      </c>
      <c r="Z78" s="131" t="n">
        <f aca="false">'Reforecast Q1 2026'!I94</f>
        <v>-366.3</v>
      </c>
      <c r="AA78" s="131" t="n">
        <f aca="false">IF(OR(7&gt;$B$3,ISBLANK(Actuals!I94)),"",Actuals!I94)</f>
        <v>-9.99</v>
      </c>
      <c r="AB78" s="132" t="n">
        <f aca="false">IF(OR(7&gt;$B$3,ISBLANK(Actuals!I94)),"",'Reforecast Q1 2026'!I94-Actuals!I94)</f>
        <v>-356.31</v>
      </c>
      <c r="AC78" s="132" t="n">
        <f aca="false">IFERROR(IF(OR(7&gt;$B$3,ISBLANK(Actuals!I94)),"",('Reforecast Q1 2026'!I94-Actuals!I94)/ABS('Reforecast Q1 2026'!I94)),"")</f>
        <v>-0.972727272727273</v>
      </c>
      <c r="AD78" s="131" t="n">
        <f aca="false">'Reforecast Q1 2026'!J94</f>
        <v>-366.3</v>
      </c>
      <c r="AE78" s="131" t="n">
        <f aca="false">IF(OR(8&gt;$B$3,ISBLANK(Actuals!J94)),"",Actuals!J94)</f>
        <v>-32.2</v>
      </c>
      <c r="AF78" s="132" t="n">
        <f aca="false">IF(OR(8&gt;$B$3,ISBLANK(Actuals!J94)),"",'Reforecast Q1 2026'!J94-Actuals!J94)</f>
        <v>-334.1</v>
      </c>
      <c r="AG78" s="132" t="n">
        <f aca="false">IFERROR(IF(OR(8&gt;$B$3,ISBLANK(Actuals!J94)),"",('Reforecast Q1 2026'!J94-Actuals!J94)/ABS('Reforecast Q1 2026'!J94)),"")</f>
        <v>-0.912093912093912</v>
      </c>
      <c r="AH78" s="131" t="n">
        <f aca="false">'Reforecast Q1 2026'!K94</f>
        <v>-366.3</v>
      </c>
      <c r="AI78" s="131" t="n">
        <f aca="false">IF(OR(9&gt;$B$3,ISBLANK(Actuals!K94)),"",Actuals!K94)</f>
        <v>-436.42</v>
      </c>
      <c r="AJ78" s="132" t="n">
        <f aca="false">IF(OR(9&gt;$B$3,ISBLANK(Actuals!K94)),"",'Reforecast Q1 2026'!K94-Actuals!K94)</f>
        <v>70.12</v>
      </c>
      <c r="AK78" s="132" t="n">
        <f aca="false">IFERROR(IF(OR(9&gt;$B$3,ISBLANK(Actuals!K94)),"",('Reforecast Q1 2026'!K94-Actuals!K94)/ABS('Reforecast Q1 2026'!K94)),"")</f>
        <v>0.191427791427791</v>
      </c>
      <c r="AL78" s="131" t="n">
        <f aca="false">'Reforecast Q1 2026'!L94</f>
        <v>-366.3</v>
      </c>
      <c r="AM78" s="131" t="str">
        <f aca="false">IF(OR(10&gt;$B$3,ISBLANK(Actuals!L94)),"",Actuals!L94)</f>
        <v/>
      </c>
      <c r="AN78" s="132" t="str">
        <f aca="false">IF(OR(10&gt;$B$3,ISBLANK(Actuals!L94)),"",'Reforecast Q1 2026'!L94-Actuals!L94)</f>
        <v/>
      </c>
      <c r="AO78" s="132" t="str">
        <f aca="false">IFERROR(IF(OR(10&gt;$B$3,ISBLANK(Actuals!L94)),"",('Reforecast Q1 2026'!L94-Actuals!L94)/ABS('Reforecast Q1 2026'!L94)),"")</f>
        <v/>
      </c>
      <c r="AP78" s="131" t="n">
        <f aca="false">'Reforecast Q1 2026'!M94</f>
        <v>-366.3</v>
      </c>
      <c r="AQ78" s="131" t="str">
        <f aca="false">IF(OR(11&gt;$B$3,ISBLANK(Actuals!M94)),"",Actuals!M94)</f>
        <v/>
      </c>
      <c r="AR78" s="132" t="str">
        <f aca="false">IF(OR(11&gt;$B$3,ISBLANK(Actuals!M94)),"",'Reforecast Q1 2026'!M94-Actuals!M94)</f>
        <v/>
      </c>
      <c r="AS78" s="132" t="str">
        <f aca="false">IFERROR(IF(OR(11&gt;$B$3,ISBLANK(Actuals!M94)),"",('Reforecast Q1 2026'!M94-Actuals!M94)/ABS('Reforecast Q1 2026'!M94)),"")</f>
        <v/>
      </c>
      <c r="AT78" s="131" t="n">
        <f aca="false">'Reforecast Q1 2026'!N94</f>
        <v>-366.3</v>
      </c>
      <c r="AU78" s="131" t="str">
        <f aca="false">IF(OR(12&gt;$B$3,ISBLANK(Actuals!N94)),"",Actuals!N94)</f>
        <v/>
      </c>
      <c r="AV78" s="132" t="str">
        <f aca="false">IF(OR(12&gt;$B$3,ISBLANK(Actuals!N94)),"",'Reforecast Q1 2026'!N94-Actuals!N94)</f>
        <v/>
      </c>
      <c r="AW78" s="132" t="str">
        <f aca="false">IFERROR(IF(OR(12&gt;$B$3,ISBLANK(Actuals!N94)),"",('Reforecast Q1 2026'!N94-Actuals!N94)/ABS('Reforecast Q1 2026'!N94)),"")</f>
        <v/>
      </c>
      <c r="AX78" s="133" t="n">
        <f aca="false">SUMPRODUCT((Actuals!C94:N94&lt;&gt;"")*('Reforecast Q1 2026'!C94:N94))</f>
        <v>-3296.7</v>
      </c>
      <c r="AY78" s="133" t="n">
        <f aca="false">SUM(Actuals!C94:N94)</f>
        <v>-3129.69</v>
      </c>
      <c r="AZ78" s="134" t="n">
        <f aca="false">AX78-AY78</f>
        <v>-167.01</v>
      </c>
    </row>
    <row r="79" customFormat="false" ht="15" hidden="false" customHeight="true" outlineLevel="0" collapsed="false">
      <c r="A79" s="130" t="s">
        <v>129</v>
      </c>
      <c r="B79" s="131" t="n">
        <f aca="false">'Reforecast Q1 2026'!C95</f>
        <v>0</v>
      </c>
      <c r="C79" s="131" t="n">
        <f aca="false">IF(OR(1&gt;$B$3,ISBLANK(Actuals!C95)),"",Actuals!C95)</f>
        <v>0</v>
      </c>
      <c r="D79" s="132" t="n">
        <f aca="false">IF(OR(1&gt;$B$3,ISBLANK(Actuals!C95)),"",'Reforecast Q1 2026'!C95-Actuals!C95)</f>
        <v>0</v>
      </c>
      <c r="E79" s="132" t="str">
        <f aca="false">IFERROR(IF(OR(1&gt;$B$3,ISBLANK(Actuals!C95)),"",('Reforecast Q1 2026'!C95-Actuals!C95)/ABS('Reforecast Q1 2026'!C95)),"")</f>
        <v/>
      </c>
      <c r="F79" s="131" t="n">
        <f aca="false">'Reforecast Q1 2026'!D95</f>
        <v>-92.75</v>
      </c>
      <c r="G79" s="131" t="n">
        <f aca="false">IF(OR(2&gt;$B$3,ISBLANK(Actuals!D95)),"",Actuals!D95)</f>
        <v>-92.75</v>
      </c>
      <c r="H79" s="132" t="n">
        <f aca="false">IF(OR(2&gt;$B$3,ISBLANK(Actuals!D95)),"",'Reforecast Q1 2026'!D95-Actuals!D95)</f>
        <v>0</v>
      </c>
      <c r="I79" s="132" t="n">
        <f aca="false">IFERROR(IF(OR(2&gt;$B$3,ISBLANK(Actuals!D95)),"",('Reforecast Q1 2026'!D95-Actuals!D95)/ABS('Reforecast Q1 2026'!D95)),"")</f>
        <v>0</v>
      </c>
      <c r="J79" s="131" t="n">
        <f aca="false">'Reforecast Q1 2026'!E95</f>
        <v>-57.46</v>
      </c>
      <c r="K79" s="131" t="n">
        <f aca="false">IF(OR(3&gt;$B$3,ISBLANK(Actuals!E95)),"",Actuals!E95)</f>
        <v>-57.46</v>
      </c>
      <c r="L79" s="132" t="n">
        <f aca="false">IF(OR(3&gt;$B$3,ISBLANK(Actuals!E95)),"",'Reforecast Q1 2026'!E95-Actuals!E95)</f>
        <v>0</v>
      </c>
      <c r="M79" s="132" t="n">
        <f aca="false">IFERROR(IF(OR(3&gt;$B$3,ISBLANK(Actuals!E95)),"",('Reforecast Q1 2026'!E95-Actuals!E95)/ABS('Reforecast Q1 2026'!E95)),"")</f>
        <v>0</v>
      </c>
      <c r="N79" s="131" t="n">
        <f aca="false">'Reforecast Q1 2026'!F95</f>
        <v>-50.07</v>
      </c>
      <c r="O79" s="131" t="n">
        <f aca="false">IF(OR(4&gt;$B$3,ISBLANK(Actuals!F95)),"",Actuals!F95)</f>
        <v>0</v>
      </c>
      <c r="P79" s="132" t="n">
        <f aca="false">IF(OR(4&gt;$B$3,ISBLANK(Actuals!F95)),"",'Reforecast Q1 2026'!F95-Actuals!F95)</f>
        <v>-50.07</v>
      </c>
      <c r="Q79" s="132" t="n">
        <f aca="false">IFERROR(IF(OR(4&gt;$B$3,ISBLANK(Actuals!F95)),"",('Reforecast Q1 2026'!F95-Actuals!F95)/ABS('Reforecast Q1 2026'!F95)),"")</f>
        <v>-1</v>
      </c>
      <c r="R79" s="131" t="n">
        <f aca="false">'Reforecast Q1 2026'!G95</f>
        <v>-50.07</v>
      </c>
      <c r="S79" s="131" t="n">
        <f aca="false">IF(OR(5&gt;$B$3,ISBLANK(Actuals!G95)),"",Actuals!G95)</f>
        <v>-24.3</v>
      </c>
      <c r="T79" s="132" t="n">
        <f aca="false">IF(OR(5&gt;$B$3,ISBLANK(Actuals!G95)),"",'Reforecast Q1 2026'!G95-Actuals!G95)</f>
        <v>-25.77</v>
      </c>
      <c r="U79" s="132" t="n">
        <f aca="false">IFERROR(IF(OR(5&gt;$B$3,ISBLANK(Actuals!G95)),"",('Reforecast Q1 2026'!G95-Actuals!G95)/ABS('Reforecast Q1 2026'!G95)),"")</f>
        <v>-0.51467944877172</v>
      </c>
      <c r="V79" s="131" t="n">
        <f aca="false">'Reforecast Q1 2026'!H95</f>
        <v>-50.07</v>
      </c>
      <c r="W79" s="131" t="n">
        <f aca="false">IF(OR(6&gt;$B$3,ISBLANK(Actuals!H95)),"",Actuals!H95)</f>
        <v>-917.7</v>
      </c>
      <c r="X79" s="132" t="n">
        <f aca="false">IF(OR(6&gt;$B$3,ISBLANK(Actuals!H95)),"",'Reforecast Q1 2026'!H95-Actuals!H95)</f>
        <v>867.63</v>
      </c>
      <c r="Y79" s="132" t="n">
        <f aca="false">IFERROR(IF(OR(6&gt;$B$3,ISBLANK(Actuals!H95)),"",('Reforecast Q1 2026'!H95-Actuals!H95)/ABS('Reforecast Q1 2026'!H95)),"")</f>
        <v>17.328340323547</v>
      </c>
      <c r="Z79" s="131" t="n">
        <f aca="false">'Reforecast Q1 2026'!I95</f>
        <v>-50.07</v>
      </c>
      <c r="AA79" s="131" t="n">
        <f aca="false">IF(OR(7&gt;$B$3,ISBLANK(Actuals!I95)),"",Actuals!I95)</f>
        <v>0</v>
      </c>
      <c r="AB79" s="132" t="n">
        <f aca="false">IF(OR(7&gt;$B$3,ISBLANK(Actuals!I95)),"",'Reforecast Q1 2026'!I95-Actuals!I95)</f>
        <v>-50.07</v>
      </c>
      <c r="AC79" s="132" t="n">
        <f aca="false">IFERROR(IF(OR(7&gt;$B$3,ISBLANK(Actuals!I95)),"",('Reforecast Q1 2026'!I95-Actuals!I95)/ABS('Reforecast Q1 2026'!I95)),"")</f>
        <v>-1</v>
      </c>
      <c r="AD79" s="131" t="n">
        <f aca="false">'Reforecast Q1 2026'!J95</f>
        <v>-50.07</v>
      </c>
      <c r="AE79" s="131" t="n">
        <f aca="false">IF(OR(8&gt;$B$3,ISBLANK(Actuals!J95)),"",Actuals!J95)</f>
        <v>-70.35</v>
      </c>
      <c r="AF79" s="132" t="n">
        <f aca="false">IF(OR(8&gt;$B$3,ISBLANK(Actuals!J95)),"",'Reforecast Q1 2026'!J95-Actuals!J95)</f>
        <v>20.28</v>
      </c>
      <c r="AG79" s="132" t="n">
        <f aca="false">IFERROR(IF(OR(8&gt;$B$3,ISBLANK(Actuals!J95)),"",('Reforecast Q1 2026'!J95-Actuals!J95)/ABS('Reforecast Q1 2026'!J95)),"")</f>
        <v>0.405032953864589</v>
      </c>
      <c r="AH79" s="131" t="n">
        <f aca="false">'Reforecast Q1 2026'!K95</f>
        <v>-50.07</v>
      </c>
      <c r="AI79" s="131" t="n">
        <f aca="false">IF(OR(9&gt;$B$3,ISBLANK(Actuals!K95)),"",Actuals!K95)</f>
        <v>-160</v>
      </c>
      <c r="AJ79" s="132" t="n">
        <f aca="false">IF(OR(9&gt;$B$3,ISBLANK(Actuals!K95)),"",'Reforecast Q1 2026'!K95-Actuals!K95)</f>
        <v>109.93</v>
      </c>
      <c r="AK79" s="132" t="n">
        <f aca="false">IFERROR(IF(OR(9&gt;$B$3,ISBLANK(Actuals!K95)),"",('Reforecast Q1 2026'!K95-Actuals!K95)/ABS('Reforecast Q1 2026'!K95)),"")</f>
        <v>2.19552626323148</v>
      </c>
      <c r="AL79" s="131" t="n">
        <f aca="false">'Reforecast Q1 2026'!L95</f>
        <v>-50.07</v>
      </c>
      <c r="AM79" s="131" t="str">
        <f aca="false">IF(OR(10&gt;$B$3,ISBLANK(Actuals!L95)),"",Actuals!L95)</f>
        <v/>
      </c>
      <c r="AN79" s="132" t="str">
        <f aca="false">IF(OR(10&gt;$B$3,ISBLANK(Actuals!L95)),"",'Reforecast Q1 2026'!L95-Actuals!L95)</f>
        <v/>
      </c>
      <c r="AO79" s="132" t="str">
        <f aca="false">IFERROR(IF(OR(10&gt;$B$3,ISBLANK(Actuals!L95)),"",('Reforecast Q1 2026'!L95-Actuals!L95)/ABS('Reforecast Q1 2026'!L95)),"")</f>
        <v/>
      </c>
      <c r="AP79" s="131" t="n">
        <f aca="false">'Reforecast Q1 2026'!M95</f>
        <v>-50.07</v>
      </c>
      <c r="AQ79" s="131" t="str">
        <f aca="false">IF(OR(11&gt;$B$3,ISBLANK(Actuals!M95)),"",Actuals!M95)</f>
        <v/>
      </c>
      <c r="AR79" s="132" t="str">
        <f aca="false">IF(OR(11&gt;$B$3,ISBLANK(Actuals!M95)),"",'Reforecast Q1 2026'!M95-Actuals!M95)</f>
        <v/>
      </c>
      <c r="AS79" s="132" t="str">
        <f aca="false">IFERROR(IF(OR(11&gt;$B$3,ISBLANK(Actuals!M95)),"",('Reforecast Q1 2026'!M95-Actuals!M95)/ABS('Reforecast Q1 2026'!M95)),"")</f>
        <v/>
      </c>
      <c r="AT79" s="131" t="n">
        <f aca="false">'Reforecast Q1 2026'!N95</f>
        <v>-50.07</v>
      </c>
      <c r="AU79" s="131" t="str">
        <f aca="false">IF(OR(12&gt;$B$3,ISBLANK(Actuals!N95)),"",Actuals!N95)</f>
        <v/>
      </c>
      <c r="AV79" s="132" t="str">
        <f aca="false">IF(OR(12&gt;$B$3,ISBLANK(Actuals!N95)),"",'Reforecast Q1 2026'!N95-Actuals!N95)</f>
        <v/>
      </c>
      <c r="AW79" s="132" t="str">
        <f aca="false">IFERROR(IF(OR(12&gt;$B$3,ISBLANK(Actuals!N95)),"",('Reforecast Q1 2026'!N95-Actuals!N95)/ABS('Reforecast Q1 2026'!N95)),"")</f>
        <v/>
      </c>
      <c r="AX79" s="133" t="n">
        <f aca="false">SUMPRODUCT((Actuals!C95:N95&lt;&gt;"")*('Reforecast Q1 2026'!C95:N95))</f>
        <v>-450.63</v>
      </c>
      <c r="AY79" s="133" t="n">
        <f aca="false">SUM(Actuals!C95:N95)</f>
        <v>-1322.56</v>
      </c>
      <c r="AZ79" s="134" t="n">
        <f aca="false">AX79-AY79</f>
        <v>871.93</v>
      </c>
    </row>
    <row r="80" customFormat="false" ht="15" hidden="false" customHeight="true" outlineLevel="0" collapsed="false">
      <c r="A80" s="130" t="s">
        <v>78</v>
      </c>
      <c r="B80" s="131" t="n">
        <f aca="false">'Reforecast Q1 2026'!C96</f>
        <v>-640.88</v>
      </c>
      <c r="C80" s="131" t="n">
        <f aca="false">IF(OR(1&gt;$B$3,ISBLANK(Actuals!C96)),"",Actuals!C96)</f>
        <v>-640.88</v>
      </c>
      <c r="D80" s="132" t="n">
        <f aca="false">IF(OR(1&gt;$B$3,ISBLANK(Actuals!C96)),"",'Reforecast Q1 2026'!C96-Actuals!C96)</f>
        <v>0</v>
      </c>
      <c r="E80" s="132" t="n">
        <f aca="false">IFERROR(IF(OR(1&gt;$B$3,ISBLANK(Actuals!C96)),"",('Reforecast Q1 2026'!C96-Actuals!C96)/ABS('Reforecast Q1 2026'!C96)),"")</f>
        <v>0</v>
      </c>
      <c r="F80" s="131" t="n">
        <f aca="false">'Reforecast Q1 2026'!D96</f>
        <v>-872.64</v>
      </c>
      <c r="G80" s="131" t="n">
        <f aca="false">IF(OR(2&gt;$B$3,ISBLANK(Actuals!D96)),"",Actuals!D96)</f>
        <v>-872.64</v>
      </c>
      <c r="H80" s="132" t="n">
        <f aca="false">IF(OR(2&gt;$B$3,ISBLANK(Actuals!D96)),"",'Reforecast Q1 2026'!D96-Actuals!D96)</f>
        <v>0</v>
      </c>
      <c r="I80" s="132" t="n">
        <f aca="false">IFERROR(IF(OR(2&gt;$B$3,ISBLANK(Actuals!D96)),"",('Reforecast Q1 2026'!D96-Actuals!D96)/ABS('Reforecast Q1 2026'!D96)),"")</f>
        <v>0</v>
      </c>
      <c r="J80" s="131" t="n">
        <f aca="false">'Reforecast Q1 2026'!E96</f>
        <v>-1175.78</v>
      </c>
      <c r="K80" s="131" t="n">
        <f aca="false">IF(OR(3&gt;$B$3,ISBLANK(Actuals!E96)),"",Actuals!E96)</f>
        <v>-1175.78</v>
      </c>
      <c r="L80" s="132" t="n">
        <f aca="false">IF(OR(3&gt;$B$3,ISBLANK(Actuals!E96)),"",'Reforecast Q1 2026'!E96-Actuals!E96)</f>
        <v>0</v>
      </c>
      <c r="M80" s="132" t="n">
        <f aca="false">IFERROR(IF(OR(3&gt;$B$3,ISBLANK(Actuals!E96)),"",('Reforecast Q1 2026'!E96-Actuals!E96)/ABS('Reforecast Q1 2026'!E96)),"")</f>
        <v>0</v>
      </c>
      <c r="N80" s="131" t="n">
        <f aca="false">'Reforecast Q1 2026'!F96</f>
        <v>-896.43</v>
      </c>
      <c r="O80" s="131" t="n">
        <f aca="false">IF(OR(4&gt;$B$3,ISBLANK(Actuals!F96)),"",Actuals!F96)</f>
        <v>-471.38</v>
      </c>
      <c r="P80" s="132" t="n">
        <f aca="false">IF(OR(4&gt;$B$3,ISBLANK(Actuals!F96)),"",'Reforecast Q1 2026'!F96-Actuals!F96)</f>
        <v>-425.05</v>
      </c>
      <c r="Q80" s="132" t="n">
        <f aca="false">IFERROR(IF(OR(4&gt;$B$3,ISBLANK(Actuals!F96)),"",('Reforecast Q1 2026'!F96-Actuals!F96)/ABS('Reforecast Q1 2026'!F96)),"")</f>
        <v>-0.474158606918555</v>
      </c>
      <c r="R80" s="131" t="n">
        <f aca="false">'Reforecast Q1 2026'!G96</f>
        <v>-896.43</v>
      </c>
      <c r="S80" s="131" t="n">
        <f aca="false">IF(OR(5&gt;$B$3,ISBLANK(Actuals!G96)),"",Actuals!G96)</f>
        <v>-1307.57</v>
      </c>
      <c r="T80" s="132" t="n">
        <f aca="false">IF(OR(5&gt;$B$3,ISBLANK(Actuals!G96)),"",'Reforecast Q1 2026'!G96-Actuals!G96)</f>
        <v>411.14</v>
      </c>
      <c r="U80" s="132" t="n">
        <f aca="false">IFERROR(IF(OR(5&gt;$B$3,ISBLANK(Actuals!G96)),"",('Reforecast Q1 2026'!G96-Actuals!G96)/ABS('Reforecast Q1 2026'!G96)),"")</f>
        <v>0.458641500172908</v>
      </c>
      <c r="V80" s="131" t="n">
        <f aca="false">'Reforecast Q1 2026'!H96</f>
        <v>-896.43</v>
      </c>
      <c r="W80" s="131" t="n">
        <f aca="false">IF(OR(6&gt;$B$3,ISBLANK(Actuals!H96)),"",Actuals!H96)</f>
        <v>-3067.11</v>
      </c>
      <c r="X80" s="132" t="n">
        <f aca="false">IF(OR(6&gt;$B$3,ISBLANK(Actuals!H96)),"",'Reforecast Q1 2026'!H96-Actuals!H96)</f>
        <v>2170.68</v>
      </c>
      <c r="Y80" s="132" t="n">
        <f aca="false">IFERROR(IF(OR(6&gt;$B$3,ISBLANK(Actuals!H96)),"",('Reforecast Q1 2026'!H96-Actuals!H96)/ABS('Reforecast Q1 2026'!H96)),"")</f>
        <v>2.42147183829189</v>
      </c>
      <c r="Z80" s="131" t="n">
        <f aca="false">'Reforecast Q1 2026'!I96</f>
        <v>-896.43</v>
      </c>
      <c r="AA80" s="131" t="n">
        <f aca="false">IF(OR(7&gt;$B$3,ISBLANK(Actuals!I96)),"",Actuals!I96)</f>
        <v>-131.02</v>
      </c>
      <c r="AB80" s="132" t="n">
        <f aca="false">IF(OR(7&gt;$B$3,ISBLANK(Actuals!I96)),"",'Reforecast Q1 2026'!I96-Actuals!I96)</f>
        <v>-765.41</v>
      </c>
      <c r="AC80" s="132" t="n">
        <f aca="false">IFERROR(IF(OR(7&gt;$B$3,ISBLANK(Actuals!I96)),"",('Reforecast Q1 2026'!I96-Actuals!I96)/ABS('Reforecast Q1 2026'!I96)),"")</f>
        <v>-0.853842463996073</v>
      </c>
      <c r="AD80" s="131" t="n">
        <f aca="false">'Reforecast Q1 2026'!J96</f>
        <v>-896.43</v>
      </c>
      <c r="AE80" s="131" t="n">
        <f aca="false">IF(OR(8&gt;$B$3,ISBLANK(Actuals!J96)),"",Actuals!J96)</f>
        <v>-13.5</v>
      </c>
      <c r="AF80" s="132" t="n">
        <f aca="false">IF(OR(8&gt;$B$3,ISBLANK(Actuals!J96)),"",'Reforecast Q1 2026'!J96-Actuals!J96)</f>
        <v>-882.93</v>
      </c>
      <c r="AG80" s="132" t="n">
        <f aca="false">IFERROR(IF(OR(8&gt;$B$3,ISBLANK(Actuals!J96)),"",('Reforecast Q1 2026'!J96-Actuals!J96)/ABS('Reforecast Q1 2026'!J96)),"")</f>
        <v>-0.984940263043406</v>
      </c>
      <c r="AH80" s="131" t="n">
        <f aca="false">'Reforecast Q1 2026'!K96</f>
        <v>-896.43</v>
      </c>
      <c r="AI80" s="131" t="n">
        <f aca="false">IF(OR(9&gt;$B$3,ISBLANK(Actuals!K96)),"",Actuals!K96)</f>
        <v>-1504.31</v>
      </c>
      <c r="AJ80" s="132" t="n">
        <f aca="false">IF(OR(9&gt;$B$3,ISBLANK(Actuals!K96)),"",'Reforecast Q1 2026'!K96-Actuals!K96)</f>
        <v>607.88</v>
      </c>
      <c r="AK80" s="132" t="n">
        <f aca="false">IFERROR(IF(OR(9&gt;$B$3,ISBLANK(Actuals!K96)),"",('Reforecast Q1 2026'!K96-Actuals!K96)/ABS('Reforecast Q1 2026'!K96)),"")</f>
        <v>0.678112066753679</v>
      </c>
      <c r="AL80" s="131" t="n">
        <f aca="false">'Reforecast Q1 2026'!L96</f>
        <v>-896.43</v>
      </c>
      <c r="AM80" s="131" t="str">
        <f aca="false">IF(OR(10&gt;$B$3,ISBLANK(Actuals!L96)),"",Actuals!L96)</f>
        <v/>
      </c>
      <c r="AN80" s="132" t="str">
        <f aca="false">IF(OR(10&gt;$B$3,ISBLANK(Actuals!L96)),"",'Reforecast Q1 2026'!L96-Actuals!L96)</f>
        <v/>
      </c>
      <c r="AO80" s="132" t="str">
        <f aca="false">IFERROR(IF(OR(10&gt;$B$3,ISBLANK(Actuals!L96)),"",('Reforecast Q1 2026'!L96-Actuals!L96)/ABS('Reforecast Q1 2026'!L96)),"")</f>
        <v/>
      </c>
      <c r="AP80" s="131" t="n">
        <f aca="false">'Reforecast Q1 2026'!M96</f>
        <v>-896.43</v>
      </c>
      <c r="AQ80" s="131" t="str">
        <f aca="false">IF(OR(11&gt;$B$3,ISBLANK(Actuals!M96)),"",Actuals!M96)</f>
        <v/>
      </c>
      <c r="AR80" s="132" t="str">
        <f aca="false">IF(OR(11&gt;$B$3,ISBLANK(Actuals!M96)),"",'Reforecast Q1 2026'!M96-Actuals!M96)</f>
        <v/>
      </c>
      <c r="AS80" s="132" t="str">
        <f aca="false">IFERROR(IF(OR(11&gt;$B$3,ISBLANK(Actuals!M96)),"",('Reforecast Q1 2026'!M96-Actuals!M96)/ABS('Reforecast Q1 2026'!M96)),"")</f>
        <v/>
      </c>
      <c r="AT80" s="131" t="n">
        <f aca="false">'Reforecast Q1 2026'!N96</f>
        <v>-896.43</v>
      </c>
      <c r="AU80" s="131" t="str">
        <f aca="false">IF(OR(12&gt;$B$3,ISBLANK(Actuals!N96)),"",Actuals!N96)</f>
        <v/>
      </c>
      <c r="AV80" s="132" t="str">
        <f aca="false">IF(OR(12&gt;$B$3,ISBLANK(Actuals!N96)),"",'Reforecast Q1 2026'!N96-Actuals!N96)</f>
        <v/>
      </c>
      <c r="AW80" s="132" t="str">
        <f aca="false">IFERROR(IF(OR(12&gt;$B$3,ISBLANK(Actuals!N96)),"",('Reforecast Q1 2026'!N96-Actuals!N96)/ABS('Reforecast Q1 2026'!N96)),"")</f>
        <v/>
      </c>
      <c r="AX80" s="133" t="n">
        <f aca="false">SUMPRODUCT((Actuals!C96:N96&lt;&gt;"")*('Reforecast Q1 2026'!C96:N96))</f>
        <v>-8067.88</v>
      </c>
      <c r="AY80" s="133" t="n">
        <f aca="false">SUM(Actuals!C96:N96)</f>
        <v>-9184.19</v>
      </c>
      <c r="AZ80" s="134" t="n">
        <f aca="false">AX80-AY80</f>
        <v>1116.31</v>
      </c>
    </row>
    <row r="81" customFormat="false" ht="15" hidden="false" customHeight="true" outlineLevel="0" collapsed="false">
      <c r="A81" s="130" t="s">
        <v>79</v>
      </c>
      <c r="B81" s="131" t="n">
        <f aca="false">'Reforecast Q1 2026'!C97</f>
        <v>0</v>
      </c>
      <c r="C81" s="131" t="n">
        <f aca="false">IF(OR(1&gt;$B$3,ISBLANK(Actuals!C97)),"",Actuals!C97)</f>
        <v>0</v>
      </c>
      <c r="D81" s="132" t="n">
        <f aca="false">IF(OR(1&gt;$B$3,ISBLANK(Actuals!C97)),"",'Reforecast Q1 2026'!C97-Actuals!C97)</f>
        <v>0</v>
      </c>
      <c r="E81" s="132" t="str">
        <f aca="false">IFERROR(IF(OR(1&gt;$B$3,ISBLANK(Actuals!C97)),"",('Reforecast Q1 2026'!C97-Actuals!C97)/ABS('Reforecast Q1 2026'!C97)),"")</f>
        <v/>
      </c>
      <c r="F81" s="131" t="n">
        <f aca="false">'Reforecast Q1 2026'!D97</f>
        <v>0</v>
      </c>
      <c r="G81" s="131" t="n">
        <f aca="false">IF(OR(2&gt;$B$3,ISBLANK(Actuals!D97)),"",Actuals!D97)</f>
        <v>0</v>
      </c>
      <c r="H81" s="132" t="n">
        <f aca="false">IF(OR(2&gt;$B$3,ISBLANK(Actuals!D97)),"",'Reforecast Q1 2026'!D97-Actuals!D97)</f>
        <v>0</v>
      </c>
      <c r="I81" s="132" t="str">
        <f aca="false">IFERROR(IF(OR(2&gt;$B$3,ISBLANK(Actuals!D97)),"",('Reforecast Q1 2026'!D97-Actuals!D97)/ABS('Reforecast Q1 2026'!D97)),"")</f>
        <v/>
      </c>
      <c r="J81" s="131" t="n">
        <f aca="false">'Reforecast Q1 2026'!E97</f>
        <v>-38050.5</v>
      </c>
      <c r="K81" s="131" t="n">
        <f aca="false">IF(OR(3&gt;$B$3,ISBLANK(Actuals!E97)),"",Actuals!E97)</f>
        <v>-38050.5</v>
      </c>
      <c r="L81" s="132" t="n">
        <f aca="false">IF(OR(3&gt;$B$3,ISBLANK(Actuals!E97)),"",'Reforecast Q1 2026'!E97-Actuals!E97)</f>
        <v>0</v>
      </c>
      <c r="M81" s="132" t="n">
        <f aca="false">IFERROR(IF(OR(3&gt;$B$3,ISBLANK(Actuals!E97)),"",('Reforecast Q1 2026'!E97-Actuals!E97)/ABS('Reforecast Q1 2026'!E97)),"")</f>
        <v>0</v>
      </c>
      <c r="N81" s="131" t="n">
        <f aca="false">'Reforecast Q1 2026'!F97</f>
        <v>-2000</v>
      </c>
      <c r="O81" s="131" t="n">
        <f aca="false">IF(OR(4&gt;$B$3,ISBLANK(Actuals!F97)),"",Actuals!F97)</f>
        <v>0</v>
      </c>
      <c r="P81" s="132" t="n">
        <f aca="false">IF(OR(4&gt;$B$3,ISBLANK(Actuals!F97)),"",'Reforecast Q1 2026'!F97-Actuals!F97)</f>
        <v>-2000</v>
      </c>
      <c r="Q81" s="132" t="n">
        <f aca="false">IFERROR(IF(OR(4&gt;$B$3,ISBLANK(Actuals!F97)),"",('Reforecast Q1 2026'!F97-Actuals!F97)/ABS('Reforecast Q1 2026'!F97)),"")</f>
        <v>-1</v>
      </c>
      <c r="R81" s="131" t="n">
        <f aca="false">'Reforecast Q1 2026'!G97</f>
        <v>-2000</v>
      </c>
      <c r="S81" s="131" t="n">
        <f aca="false">IF(OR(5&gt;$B$3,ISBLANK(Actuals!G97)),"",Actuals!G97)</f>
        <v>-986.5</v>
      </c>
      <c r="T81" s="132" t="n">
        <f aca="false">IF(OR(5&gt;$B$3,ISBLANK(Actuals!G97)),"",'Reforecast Q1 2026'!G97-Actuals!G97)</f>
        <v>-1013.5</v>
      </c>
      <c r="U81" s="132" t="n">
        <f aca="false">IFERROR(IF(OR(5&gt;$B$3,ISBLANK(Actuals!G97)),"",('Reforecast Q1 2026'!G97-Actuals!G97)/ABS('Reforecast Q1 2026'!G97)),"")</f>
        <v>-0.50675</v>
      </c>
      <c r="V81" s="131" t="n">
        <f aca="false">'Reforecast Q1 2026'!H97</f>
        <v>-2000</v>
      </c>
      <c r="W81" s="131" t="n">
        <f aca="false">IF(OR(6&gt;$B$3,ISBLANK(Actuals!H97)),"",Actuals!H97)</f>
        <v>-4830</v>
      </c>
      <c r="X81" s="132" t="n">
        <f aca="false">IF(OR(6&gt;$B$3,ISBLANK(Actuals!H97)),"",'Reforecast Q1 2026'!H97-Actuals!H97)</f>
        <v>2830</v>
      </c>
      <c r="Y81" s="132" t="n">
        <f aca="false">IFERROR(IF(OR(6&gt;$B$3,ISBLANK(Actuals!H97)),"",('Reforecast Q1 2026'!H97-Actuals!H97)/ABS('Reforecast Q1 2026'!H97)),"")</f>
        <v>1.415</v>
      </c>
      <c r="Z81" s="131" t="n">
        <f aca="false">'Reforecast Q1 2026'!I97</f>
        <v>-2000</v>
      </c>
      <c r="AA81" s="131" t="n">
        <f aca="false">IF(OR(7&gt;$B$3,ISBLANK(Actuals!I97)),"",Actuals!I97)</f>
        <v>0</v>
      </c>
      <c r="AB81" s="132" t="n">
        <f aca="false">IF(OR(7&gt;$B$3,ISBLANK(Actuals!I97)),"",'Reforecast Q1 2026'!I97-Actuals!I97)</f>
        <v>-2000</v>
      </c>
      <c r="AC81" s="132" t="n">
        <f aca="false">IFERROR(IF(OR(7&gt;$B$3,ISBLANK(Actuals!I97)),"",('Reforecast Q1 2026'!I97-Actuals!I97)/ABS('Reforecast Q1 2026'!I97)),"")</f>
        <v>-1</v>
      </c>
      <c r="AD81" s="131" t="n">
        <f aca="false">'Reforecast Q1 2026'!J97</f>
        <v>-2000</v>
      </c>
      <c r="AE81" s="131" t="n">
        <f aca="false">IF(OR(8&gt;$B$3,ISBLANK(Actuals!J97)),"",Actuals!J97)</f>
        <v>0</v>
      </c>
      <c r="AF81" s="132" t="n">
        <f aca="false">IF(OR(8&gt;$B$3,ISBLANK(Actuals!J97)),"",'Reforecast Q1 2026'!J97-Actuals!J97)</f>
        <v>-2000</v>
      </c>
      <c r="AG81" s="132" t="n">
        <f aca="false">IFERROR(IF(OR(8&gt;$B$3,ISBLANK(Actuals!J97)),"",('Reforecast Q1 2026'!J97-Actuals!J97)/ABS('Reforecast Q1 2026'!J97)),"")</f>
        <v>-1</v>
      </c>
      <c r="AH81" s="131" t="n">
        <f aca="false">'Reforecast Q1 2026'!K97</f>
        <v>-2000</v>
      </c>
      <c r="AI81" s="131" t="n">
        <f aca="false">IF(OR(9&gt;$B$3,ISBLANK(Actuals!K97)),"",Actuals!K97)</f>
        <v>0</v>
      </c>
      <c r="AJ81" s="132" t="n">
        <f aca="false">IF(OR(9&gt;$B$3,ISBLANK(Actuals!K97)),"",'Reforecast Q1 2026'!K97-Actuals!K97)</f>
        <v>-2000</v>
      </c>
      <c r="AK81" s="132" t="n">
        <f aca="false">IFERROR(IF(OR(9&gt;$B$3,ISBLANK(Actuals!K97)),"",('Reforecast Q1 2026'!K97-Actuals!K97)/ABS('Reforecast Q1 2026'!K97)),"")</f>
        <v>-1</v>
      </c>
      <c r="AL81" s="131" t="n">
        <f aca="false">'Reforecast Q1 2026'!L97</f>
        <v>-2000</v>
      </c>
      <c r="AM81" s="131" t="str">
        <f aca="false">IF(OR(10&gt;$B$3,ISBLANK(Actuals!L97)),"",Actuals!L97)</f>
        <v/>
      </c>
      <c r="AN81" s="132" t="str">
        <f aca="false">IF(OR(10&gt;$B$3,ISBLANK(Actuals!L97)),"",'Reforecast Q1 2026'!L97-Actuals!L97)</f>
        <v/>
      </c>
      <c r="AO81" s="132" t="str">
        <f aca="false">IFERROR(IF(OR(10&gt;$B$3,ISBLANK(Actuals!L97)),"",('Reforecast Q1 2026'!L97-Actuals!L97)/ABS('Reforecast Q1 2026'!L97)),"")</f>
        <v/>
      </c>
      <c r="AP81" s="131" t="n">
        <f aca="false">'Reforecast Q1 2026'!M97</f>
        <v>-2000</v>
      </c>
      <c r="AQ81" s="131" t="str">
        <f aca="false">IF(OR(11&gt;$B$3,ISBLANK(Actuals!M97)),"",Actuals!M97)</f>
        <v/>
      </c>
      <c r="AR81" s="132" t="str">
        <f aca="false">IF(OR(11&gt;$B$3,ISBLANK(Actuals!M97)),"",'Reforecast Q1 2026'!M97-Actuals!M97)</f>
        <v/>
      </c>
      <c r="AS81" s="132" t="str">
        <f aca="false">IFERROR(IF(OR(11&gt;$B$3,ISBLANK(Actuals!M97)),"",('Reforecast Q1 2026'!M97-Actuals!M97)/ABS('Reforecast Q1 2026'!M97)),"")</f>
        <v/>
      </c>
      <c r="AT81" s="131" t="n">
        <f aca="false">'Reforecast Q1 2026'!N97</f>
        <v>-2000</v>
      </c>
      <c r="AU81" s="131" t="str">
        <f aca="false">IF(OR(12&gt;$B$3,ISBLANK(Actuals!N97)),"",Actuals!N97)</f>
        <v/>
      </c>
      <c r="AV81" s="132" t="str">
        <f aca="false">IF(OR(12&gt;$B$3,ISBLANK(Actuals!N97)),"",'Reforecast Q1 2026'!N97-Actuals!N97)</f>
        <v/>
      </c>
      <c r="AW81" s="132" t="str">
        <f aca="false">IFERROR(IF(OR(12&gt;$B$3,ISBLANK(Actuals!N97)),"",('Reforecast Q1 2026'!N97-Actuals!N97)/ABS('Reforecast Q1 2026'!N97)),"")</f>
        <v/>
      </c>
      <c r="AX81" s="133" t="n">
        <f aca="false">SUMPRODUCT((Actuals!C97:N97&lt;&gt;"")*('Reforecast Q1 2026'!C97:N97))</f>
        <v>-50050.5</v>
      </c>
      <c r="AY81" s="133" t="n">
        <f aca="false">SUM(Actuals!C97:N97)</f>
        <v>-43867</v>
      </c>
      <c r="AZ81" s="134" t="n">
        <f aca="false">AX81-AY81</f>
        <v>-6183.5</v>
      </c>
    </row>
    <row r="82" customFormat="false" ht="15" hidden="false" customHeight="true" outlineLevel="0" collapsed="false">
      <c r="A82" s="130" t="s">
        <v>80</v>
      </c>
      <c r="B82" s="131" t="n">
        <f aca="false">'Reforecast Q1 2026'!C98</f>
        <v>-4097.78</v>
      </c>
      <c r="C82" s="131" t="n">
        <f aca="false">IF(OR(1&gt;$B$3,ISBLANK(Actuals!C98)),"",Actuals!C98)</f>
        <v>-4097.78</v>
      </c>
      <c r="D82" s="132" t="n">
        <f aca="false">IF(OR(1&gt;$B$3,ISBLANK(Actuals!C98)),"",'Reforecast Q1 2026'!C98-Actuals!C98)</f>
        <v>0</v>
      </c>
      <c r="E82" s="132" t="n">
        <f aca="false">IFERROR(IF(OR(1&gt;$B$3,ISBLANK(Actuals!C98)),"",('Reforecast Q1 2026'!C98-Actuals!C98)/ABS('Reforecast Q1 2026'!C98)),"")</f>
        <v>0</v>
      </c>
      <c r="F82" s="131" t="n">
        <f aca="false">'Reforecast Q1 2026'!D98</f>
        <v>-1950.2</v>
      </c>
      <c r="G82" s="131" t="n">
        <f aca="false">IF(OR(2&gt;$B$3,ISBLANK(Actuals!D98)),"",Actuals!D98)</f>
        <v>-1950.2</v>
      </c>
      <c r="H82" s="132" t="n">
        <f aca="false">IF(OR(2&gt;$B$3,ISBLANK(Actuals!D98)),"",'Reforecast Q1 2026'!D98-Actuals!D98)</f>
        <v>0</v>
      </c>
      <c r="I82" s="132" t="n">
        <f aca="false">IFERROR(IF(OR(2&gt;$B$3,ISBLANK(Actuals!D98)),"",('Reforecast Q1 2026'!D98-Actuals!D98)/ABS('Reforecast Q1 2026'!D98)),"")</f>
        <v>0</v>
      </c>
      <c r="J82" s="131" t="n">
        <f aca="false">'Reforecast Q1 2026'!E98</f>
        <v>-1978.2</v>
      </c>
      <c r="K82" s="131" t="n">
        <f aca="false">IF(OR(3&gt;$B$3,ISBLANK(Actuals!E98)),"",Actuals!E98)</f>
        <v>-1978.2</v>
      </c>
      <c r="L82" s="132" t="n">
        <f aca="false">IF(OR(3&gt;$B$3,ISBLANK(Actuals!E98)),"",'Reforecast Q1 2026'!E98-Actuals!E98)</f>
        <v>0</v>
      </c>
      <c r="M82" s="132" t="n">
        <f aca="false">IFERROR(IF(OR(3&gt;$B$3,ISBLANK(Actuals!E98)),"",('Reforecast Q1 2026'!E98-Actuals!E98)/ABS('Reforecast Q1 2026'!E98)),"")</f>
        <v>0</v>
      </c>
      <c r="N82" s="131" t="n">
        <f aca="false">'Reforecast Q1 2026'!F98</f>
        <v>-2675.39</v>
      </c>
      <c r="O82" s="131" t="n">
        <f aca="false">IF(OR(4&gt;$B$3,ISBLANK(Actuals!F98)),"",Actuals!F98)</f>
        <v>-1970.2</v>
      </c>
      <c r="P82" s="132" t="n">
        <f aca="false">IF(OR(4&gt;$B$3,ISBLANK(Actuals!F98)),"",'Reforecast Q1 2026'!F98-Actuals!F98)</f>
        <v>-705.19</v>
      </c>
      <c r="Q82" s="132" t="n">
        <f aca="false">IFERROR(IF(OR(4&gt;$B$3,ISBLANK(Actuals!F98)),"",('Reforecast Q1 2026'!F98-Actuals!F98)/ABS('Reforecast Q1 2026'!F98)),"")</f>
        <v>-0.263584000837261</v>
      </c>
      <c r="R82" s="131" t="n">
        <f aca="false">'Reforecast Q1 2026'!G98</f>
        <v>-2675.39</v>
      </c>
      <c r="S82" s="131" t="n">
        <f aca="false">IF(OR(5&gt;$B$3,ISBLANK(Actuals!G98)),"",Actuals!G98)</f>
        <v>-6126.2</v>
      </c>
      <c r="T82" s="132" t="n">
        <f aca="false">IF(OR(5&gt;$B$3,ISBLANK(Actuals!G98)),"",'Reforecast Q1 2026'!G98-Actuals!G98)</f>
        <v>3450.81</v>
      </c>
      <c r="U82" s="132" t="n">
        <f aca="false">IFERROR(IF(OR(5&gt;$B$3,ISBLANK(Actuals!G98)),"",('Reforecast Q1 2026'!G98-Actuals!G98)/ABS('Reforecast Q1 2026'!G98)),"")</f>
        <v>1.28983437928676</v>
      </c>
      <c r="V82" s="131" t="n">
        <f aca="false">'Reforecast Q1 2026'!H98</f>
        <v>-2675.39</v>
      </c>
      <c r="W82" s="131" t="n">
        <f aca="false">IF(OR(6&gt;$B$3,ISBLANK(Actuals!H98)),"",Actuals!H98)</f>
        <v>-1993.2</v>
      </c>
      <c r="X82" s="132" t="n">
        <f aca="false">IF(OR(6&gt;$B$3,ISBLANK(Actuals!H98)),"",'Reforecast Q1 2026'!H98-Actuals!H98)</f>
        <v>-682.19</v>
      </c>
      <c r="Y82" s="132" t="n">
        <f aca="false">IFERROR(IF(OR(6&gt;$B$3,ISBLANK(Actuals!H98)),"",('Reforecast Q1 2026'!H98-Actuals!H98)/ABS('Reforecast Q1 2026'!H98)),"")</f>
        <v>-0.254987123372667</v>
      </c>
      <c r="Z82" s="131" t="n">
        <f aca="false">'Reforecast Q1 2026'!I98</f>
        <v>-2675.39</v>
      </c>
      <c r="AA82" s="131" t="n">
        <f aca="false">IF(OR(7&gt;$B$3,ISBLANK(Actuals!I98)),"",Actuals!I98)</f>
        <v>-2040.2</v>
      </c>
      <c r="AB82" s="132" t="n">
        <f aca="false">IF(OR(7&gt;$B$3,ISBLANK(Actuals!I98)),"",'Reforecast Q1 2026'!I98-Actuals!I98)</f>
        <v>-635.19</v>
      </c>
      <c r="AC82" s="132" t="n">
        <f aca="false">IFERROR(IF(OR(7&gt;$B$3,ISBLANK(Actuals!I98)),"",('Reforecast Q1 2026'!I98-Actuals!I98)/ABS('Reforecast Q1 2026'!I98)),"")</f>
        <v>-0.23741959116241</v>
      </c>
      <c r="AD82" s="131" t="n">
        <f aca="false">'Reforecast Q1 2026'!J98</f>
        <v>-2675.39</v>
      </c>
      <c r="AE82" s="131" t="n">
        <f aca="false">IF(OR(8&gt;$B$3,ISBLANK(Actuals!J98)),"",Actuals!J98)</f>
        <v>-2271.2</v>
      </c>
      <c r="AF82" s="132" t="n">
        <f aca="false">IF(OR(8&gt;$B$3,ISBLANK(Actuals!J98)),"",'Reforecast Q1 2026'!J98-Actuals!J98)</f>
        <v>-404.19</v>
      </c>
      <c r="AG82" s="132" t="n">
        <f aca="false">IFERROR(IF(OR(8&gt;$B$3,ISBLANK(Actuals!J98)),"",('Reforecast Q1 2026'!J98-Actuals!J98)/ABS('Reforecast Q1 2026'!J98)),"")</f>
        <v>-0.151077039235401</v>
      </c>
      <c r="AH82" s="131" t="n">
        <f aca="false">'Reforecast Q1 2026'!K98</f>
        <v>-2675.39</v>
      </c>
      <c r="AI82" s="131" t="n">
        <f aca="false">IF(OR(9&gt;$B$3,ISBLANK(Actuals!K98)),"",Actuals!K98)</f>
        <v>-21969.2</v>
      </c>
      <c r="AJ82" s="132" t="n">
        <f aca="false">IF(OR(9&gt;$B$3,ISBLANK(Actuals!K98)),"",'Reforecast Q1 2026'!K98-Actuals!K98)</f>
        <v>19293.81</v>
      </c>
      <c r="AK82" s="132" t="n">
        <f aca="false">IFERROR(IF(OR(9&gt;$B$3,ISBLANK(Actuals!K98)),"",('Reforecast Q1 2026'!K98-Actuals!K98)/ABS('Reforecast Q1 2026'!K98)),"")</f>
        <v>7.21158784326771</v>
      </c>
      <c r="AL82" s="131" t="n">
        <f aca="false">'Reforecast Q1 2026'!L98</f>
        <v>-2675.39</v>
      </c>
      <c r="AM82" s="131" t="str">
        <f aca="false">IF(OR(10&gt;$B$3,ISBLANK(Actuals!L98)),"",Actuals!L98)</f>
        <v/>
      </c>
      <c r="AN82" s="132" t="str">
        <f aca="false">IF(OR(10&gt;$B$3,ISBLANK(Actuals!L98)),"",'Reforecast Q1 2026'!L98-Actuals!L98)</f>
        <v/>
      </c>
      <c r="AO82" s="132" t="str">
        <f aca="false">IFERROR(IF(OR(10&gt;$B$3,ISBLANK(Actuals!L98)),"",('Reforecast Q1 2026'!L98-Actuals!L98)/ABS('Reforecast Q1 2026'!L98)),"")</f>
        <v/>
      </c>
      <c r="AP82" s="131" t="n">
        <f aca="false">'Reforecast Q1 2026'!M98</f>
        <v>-2675.39</v>
      </c>
      <c r="AQ82" s="131" t="str">
        <f aca="false">IF(OR(11&gt;$B$3,ISBLANK(Actuals!M98)),"",Actuals!M98)</f>
        <v/>
      </c>
      <c r="AR82" s="132" t="str">
        <f aca="false">IF(OR(11&gt;$B$3,ISBLANK(Actuals!M98)),"",'Reforecast Q1 2026'!M98-Actuals!M98)</f>
        <v/>
      </c>
      <c r="AS82" s="132" t="str">
        <f aca="false">IFERROR(IF(OR(11&gt;$B$3,ISBLANK(Actuals!M98)),"",('Reforecast Q1 2026'!M98-Actuals!M98)/ABS('Reforecast Q1 2026'!M98)),"")</f>
        <v/>
      </c>
      <c r="AT82" s="131" t="n">
        <f aca="false">'Reforecast Q1 2026'!N98</f>
        <v>-2675.39</v>
      </c>
      <c r="AU82" s="131" t="str">
        <f aca="false">IF(OR(12&gt;$B$3,ISBLANK(Actuals!N98)),"",Actuals!N98)</f>
        <v/>
      </c>
      <c r="AV82" s="132" t="str">
        <f aca="false">IF(OR(12&gt;$B$3,ISBLANK(Actuals!N98)),"",'Reforecast Q1 2026'!N98-Actuals!N98)</f>
        <v/>
      </c>
      <c r="AW82" s="132" t="str">
        <f aca="false">IFERROR(IF(OR(12&gt;$B$3,ISBLANK(Actuals!N98)),"",('Reforecast Q1 2026'!N98-Actuals!N98)/ABS('Reforecast Q1 2026'!N98)),"")</f>
        <v/>
      </c>
      <c r="AX82" s="133" t="n">
        <f aca="false">SUMPRODUCT((Actuals!C98:N98&lt;&gt;"")*('Reforecast Q1 2026'!C98:N98))</f>
        <v>-24078.52</v>
      </c>
      <c r="AY82" s="133" t="n">
        <f aca="false">SUM(Actuals!C98:N98)</f>
        <v>-44396.38</v>
      </c>
      <c r="AZ82" s="134" t="n">
        <f aca="false">AX82-AY82</f>
        <v>20317.86</v>
      </c>
    </row>
    <row r="83" customFormat="false" ht="15" hidden="false" customHeight="true" outlineLevel="0" collapsed="false">
      <c r="A83" s="130" t="s">
        <v>81</v>
      </c>
      <c r="B83" s="131" t="n">
        <f aca="false">'Reforecast Q1 2026'!C99</f>
        <v>-28038</v>
      </c>
      <c r="C83" s="131" t="n">
        <f aca="false">IF(OR(1&gt;$B$3,ISBLANK(Actuals!C99)),"",Actuals!C99)</f>
        <v>-28038</v>
      </c>
      <c r="D83" s="132" t="n">
        <f aca="false">IF(OR(1&gt;$B$3,ISBLANK(Actuals!C99)),"",'Reforecast Q1 2026'!C99-Actuals!C99)</f>
        <v>0</v>
      </c>
      <c r="E83" s="132" t="n">
        <f aca="false">IFERROR(IF(OR(1&gt;$B$3,ISBLANK(Actuals!C99)),"",('Reforecast Q1 2026'!C99-Actuals!C99)/ABS('Reforecast Q1 2026'!C99)),"")</f>
        <v>0</v>
      </c>
      <c r="F83" s="131" t="n">
        <f aca="false">'Reforecast Q1 2026'!D99</f>
        <v>-29387.5</v>
      </c>
      <c r="G83" s="131" t="n">
        <f aca="false">IF(OR(2&gt;$B$3,ISBLANK(Actuals!D99)),"",Actuals!D99)</f>
        <v>-29387.5</v>
      </c>
      <c r="H83" s="132" t="n">
        <f aca="false">IF(OR(2&gt;$B$3,ISBLANK(Actuals!D99)),"",'Reforecast Q1 2026'!D99-Actuals!D99)</f>
        <v>0</v>
      </c>
      <c r="I83" s="132" t="n">
        <f aca="false">IFERROR(IF(OR(2&gt;$B$3,ISBLANK(Actuals!D99)),"",('Reforecast Q1 2026'!D99-Actuals!D99)/ABS('Reforecast Q1 2026'!D99)),"")</f>
        <v>0</v>
      </c>
      <c r="J83" s="131" t="n">
        <f aca="false">'Reforecast Q1 2026'!E99</f>
        <v>-28083</v>
      </c>
      <c r="K83" s="131" t="n">
        <f aca="false">IF(OR(3&gt;$B$3,ISBLANK(Actuals!E99)),"",Actuals!E99)</f>
        <v>-28083</v>
      </c>
      <c r="L83" s="132" t="n">
        <f aca="false">IF(OR(3&gt;$B$3,ISBLANK(Actuals!E99)),"",'Reforecast Q1 2026'!E99-Actuals!E99)</f>
        <v>0</v>
      </c>
      <c r="M83" s="132" t="n">
        <f aca="false">IFERROR(IF(OR(3&gt;$B$3,ISBLANK(Actuals!E99)),"",('Reforecast Q1 2026'!E99-Actuals!E99)/ABS('Reforecast Q1 2026'!E99)),"")</f>
        <v>0</v>
      </c>
      <c r="N83" s="131" t="n">
        <f aca="false">'Reforecast Q1 2026'!F99</f>
        <v>-8625</v>
      </c>
      <c r="O83" s="131" t="n">
        <f aca="false">IF(OR(4&gt;$B$3,ISBLANK(Actuals!F99)),"",Actuals!F99)</f>
        <v>-28083</v>
      </c>
      <c r="P83" s="132" t="n">
        <f aca="false">IF(OR(4&gt;$B$3,ISBLANK(Actuals!F99)),"",'Reforecast Q1 2026'!F99-Actuals!F99)</f>
        <v>19458</v>
      </c>
      <c r="Q83" s="132" t="n">
        <f aca="false">IFERROR(IF(OR(4&gt;$B$3,ISBLANK(Actuals!F99)),"",('Reforecast Q1 2026'!F99-Actuals!F99)/ABS('Reforecast Q1 2026'!F99)),"")</f>
        <v>2.256</v>
      </c>
      <c r="R83" s="131" t="n">
        <f aca="false">'Reforecast Q1 2026'!G99</f>
        <v>-8625</v>
      </c>
      <c r="S83" s="131" t="n">
        <f aca="false">IF(OR(5&gt;$B$3,ISBLANK(Actuals!G99)),"",Actuals!G99)</f>
        <v>-69333</v>
      </c>
      <c r="T83" s="132" t="n">
        <f aca="false">IF(OR(5&gt;$B$3,ISBLANK(Actuals!G99)),"",'Reforecast Q1 2026'!G99-Actuals!G99)</f>
        <v>60708</v>
      </c>
      <c r="U83" s="132" t="n">
        <f aca="false">IFERROR(IF(OR(5&gt;$B$3,ISBLANK(Actuals!G99)),"",('Reforecast Q1 2026'!G99-Actuals!G99)/ABS('Reforecast Q1 2026'!G99)),"")</f>
        <v>7.03860869565217</v>
      </c>
      <c r="V83" s="131" t="n">
        <f aca="false">'Reforecast Q1 2026'!H99</f>
        <v>-8625</v>
      </c>
      <c r="W83" s="131" t="n">
        <f aca="false">IF(OR(6&gt;$B$3,ISBLANK(Actuals!H99)),"",Actuals!H99)</f>
        <v>-28083</v>
      </c>
      <c r="X83" s="132" t="n">
        <f aca="false">IF(OR(6&gt;$B$3,ISBLANK(Actuals!H99)),"",'Reforecast Q1 2026'!H99-Actuals!H99)</f>
        <v>19458</v>
      </c>
      <c r="Y83" s="132" t="n">
        <f aca="false">IFERROR(IF(OR(6&gt;$B$3,ISBLANK(Actuals!H99)),"",('Reforecast Q1 2026'!H99-Actuals!H99)/ABS('Reforecast Q1 2026'!H99)),"")</f>
        <v>2.256</v>
      </c>
      <c r="Z83" s="131" t="n">
        <f aca="false">'Reforecast Q1 2026'!I99</f>
        <v>-8625</v>
      </c>
      <c r="AA83" s="131" t="n">
        <f aca="false">IF(OR(7&gt;$B$3,ISBLANK(Actuals!I99)),"",Actuals!I99)</f>
        <v>-28628</v>
      </c>
      <c r="AB83" s="132" t="n">
        <f aca="false">IF(OR(7&gt;$B$3,ISBLANK(Actuals!I99)),"",'Reforecast Q1 2026'!I99-Actuals!I99)</f>
        <v>20003</v>
      </c>
      <c r="AC83" s="132" t="n">
        <f aca="false">IFERROR(IF(OR(7&gt;$B$3,ISBLANK(Actuals!I99)),"",('Reforecast Q1 2026'!I99-Actuals!I99)/ABS('Reforecast Q1 2026'!I99)),"")</f>
        <v>2.3191884057971</v>
      </c>
      <c r="AD83" s="131" t="n">
        <f aca="false">'Reforecast Q1 2026'!J99</f>
        <v>-8625</v>
      </c>
      <c r="AE83" s="131" t="n">
        <f aca="false">IF(OR(8&gt;$B$3,ISBLANK(Actuals!J99)),"",Actuals!J99)</f>
        <v>-28083</v>
      </c>
      <c r="AF83" s="132" t="n">
        <f aca="false">IF(OR(8&gt;$B$3,ISBLANK(Actuals!J99)),"",'Reforecast Q1 2026'!J99-Actuals!J99)</f>
        <v>19458</v>
      </c>
      <c r="AG83" s="132" t="n">
        <f aca="false">IFERROR(IF(OR(8&gt;$B$3,ISBLANK(Actuals!J99)),"",('Reforecast Q1 2026'!J99-Actuals!J99)/ABS('Reforecast Q1 2026'!J99)),"")</f>
        <v>2.256</v>
      </c>
      <c r="AH83" s="131" t="n">
        <f aca="false">'Reforecast Q1 2026'!K99</f>
        <v>-8625</v>
      </c>
      <c r="AI83" s="131" t="n">
        <f aca="false">IF(OR(9&gt;$B$3,ISBLANK(Actuals!K99)),"",Actuals!K99)</f>
        <v>-28083</v>
      </c>
      <c r="AJ83" s="132" t="n">
        <f aca="false">IF(OR(9&gt;$B$3,ISBLANK(Actuals!K99)),"",'Reforecast Q1 2026'!K99-Actuals!K99)</f>
        <v>19458</v>
      </c>
      <c r="AK83" s="132" t="n">
        <f aca="false">IFERROR(IF(OR(9&gt;$B$3,ISBLANK(Actuals!K99)),"",('Reforecast Q1 2026'!K99-Actuals!K99)/ABS('Reforecast Q1 2026'!K99)),"")</f>
        <v>2.256</v>
      </c>
      <c r="AL83" s="131" t="n">
        <f aca="false">'Reforecast Q1 2026'!L99</f>
        <v>-8625</v>
      </c>
      <c r="AM83" s="131" t="str">
        <f aca="false">IF(OR(10&gt;$B$3,ISBLANK(Actuals!L99)),"",Actuals!L99)</f>
        <v/>
      </c>
      <c r="AN83" s="132" t="str">
        <f aca="false">IF(OR(10&gt;$B$3,ISBLANK(Actuals!L99)),"",'Reforecast Q1 2026'!L99-Actuals!L99)</f>
        <v/>
      </c>
      <c r="AO83" s="132" t="str">
        <f aca="false">IFERROR(IF(OR(10&gt;$B$3,ISBLANK(Actuals!L99)),"",('Reforecast Q1 2026'!L99-Actuals!L99)/ABS('Reforecast Q1 2026'!L99)),"")</f>
        <v/>
      </c>
      <c r="AP83" s="131" t="n">
        <f aca="false">'Reforecast Q1 2026'!M99</f>
        <v>-8625</v>
      </c>
      <c r="AQ83" s="131" t="str">
        <f aca="false">IF(OR(11&gt;$B$3,ISBLANK(Actuals!M99)),"",Actuals!M99)</f>
        <v/>
      </c>
      <c r="AR83" s="132" t="str">
        <f aca="false">IF(OR(11&gt;$B$3,ISBLANK(Actuals!M99)),"",'Reforecast Q1 2026'!M99-Actuals!M99)</f>
        <v/>
      </c>
      <c r="AS83" s="132" t="str">
        <f aca="false">IFERROR(IF(OR(11&gt;$B$3,ISBLANK(Actuals!M99)),"",('Reforecast Q1 2026'!M99-Actuals!M99)/ABS('Reforecast Q1 2026'!M99)),"")</f>
        <v/>
      </c>
      <c r="AT83" s="131" t="n">
        <f aca="false">'Reforecast Q1 2026'!N99</f>
        <v>-8625</v>
      </c>
      <c r="AU83" s="131" t="str">
        <f aca="false">IF(OR(12&gt;$B$3,ISBLANK(Actuals!N99)),"",Actuals!N99)</f>
        <v/>
      </c>
      <c r="AV83" s="132" t="str">
        <f aca="false">IF(OR(12&gt;$B$3,ISBLANK(Actuals!N99)),"",'Reforecast Q1 2026'!N99-Actuals!N99)</f>
        <v/>
      </c>
      <c r="AW83" s="132" t="str">
        <f aca="false">IFERROR(IF(OR(12&gt;$B$3,ISBLANK(Actuals!N99)),"",('Reforecast Q1 2026'!N99-Actuals!N99)/ABS('Reforecast Q1 2026'!N99)),"")</f>
        <v/>
      </c>
      <c r="AX83" s="133" t="n">
        <f aca="false">SUMPRODUCT((Actuals!C99:N99&lt;&gt;"")*('Reforecast Q1 2026'!C99:N99))</f>
        <v>-137258.5</v>
      </c>
      <c r="AY83" s="133" t="n">
        <f aca="false">SUM(Actuals!C99:N99)</f>
        <v>-295801.5</v>
      </c>
      <c r="AZ83" s="134" t="n">
        <f aca="false">AX83-AY83</f>
        <v>158543</v>
      </c>
    </row>
    <row r="84" customFormat="false" ht="15" hidden="false" customHeight="true" outlineLevel="0" collapsed="false">
      <c r="A84" s="130" t="s">
        <v>130</v>
      </c>
      <c r="B84" s="131" t="n">
        <f aca="false">'Reforecast Q1 2026'!C100</f>
        <v>-268</v>
      </c>
      <c r="C84" s="131" t="n">
        <f aca="false">IF(OR(1&gt;$B$3,ISBLANK(Actuals!C100)),"",Actuals!C100)</f>
        <v>-268</v>
      </c>
      <c r="D84" s="132" t="n">
        <f aca="false">IF(OR(1&gt;$B$3,ISBLANK(Actuals!C100)),"",'Reforecast Q1 2026'!C100-Actuals!C100)</f>
        <v>0</v>
      </c>
      <c r="E84" s="132" t="n">
        <f aca="false">IFERROR(IF(OR(1&gt;$B$3,ISBLANK(Actuals!C100)),"",('Reforecast Q1 2026'!C100-Actuals!C100)/ABS('Reforecast Q1 2026'!C100)),"")</f>
        <v>0</v>
      </c>
      <c r="F84" s="131" t="n">
        <f aca="false">'Reforecast Q1 2026'!D100</f>
        <v>-2088.75</v>
      </c>
      <c r="G84" s="131" t="n">
        <f aca="false">IF(OR(2&gt;$B$3,ISBLANK(Actuals!D100)),"",Actuals!D100)</f>
        <v>-2088.75</v>
      </c>
      <c r="H84" s="132" t="n">
        <f aca="false">IF(OR(2&gt;$B$3,ISBLANK(Actuals!D100)),"",'Reforecast Q1 2026'!D100-Actuals!D100)</f>
        <v>0</v>
      </c>
      <c r="I84" s="132" t="n">
        <f aca="false">IFERROR(IF(OR(2&gt;$B$3,ISBLANK(Actuals!D100)),"",('Reforecast Q1 2026'!D100-Actuals!D100)/ABS('Reforecast Q1 2026'!D100)),"")</f>
        <v>0</v>
      </c>
      <c r="J84" s="131" t="n">
        <f aca="false">'Reforecast Q1 2026'!E100</f>
        <v>-2401.75</v>
      </c>
      <c r="K84" s="131" t="n">
        <f aca="false">IF(OR(3&gt;$B$3,ISBLANK(Actuals!E100)),"",Actuals!E100)</f>
        <v>-2401.75</v>
      </c>
      <c r="L84" s="132" t="n">
        <f aca="false">IF(OR(3&gt;$B$3,ISBLANK(Actuals!E100)),"",'Reforecast Q1 2026'!E100-Actuals!E100)</f>
        <v>0</v>
      </c>
      <c r="M84" s="132" t="n">
        <f aca="false">IFERROR(IF(OR(3&gt;$B$3,ISBLANK(Actuals!E100)),"",('Reforecast Q1 2026'!E100-Actuals!E100)/ABS('Reforecast Q1 2026'!E100)),"")</f>
        <v>0</v>
      </c>
      <c r="N84" s="131" t="n">
        <f aca="false">'Reforecast Q1 2026'!F100</f>
        <v>-1586.17</v>
      </c>
      <c r="O84" s="131" t="n">
        <f aca="false">IF(OR(4&gt;$B$3,ISBLANK(Actuals!F100)),"",Actuals!F100)</f>
        <v>-4209.5</v>
      </c>
      <c r="P84" s="132" t="n">
        <f aca="false">IF(OR(4&gt;$B$3,ISBLANK(Actuals!F100)),"",'Reforecast Q1 2026'!F100-Actuals!F100)</f>
        <v>2623.33</v>
      </c>
      <c r="Q84" s="132" t="n">
        <f aca="false">IFERROR(IF(OR(4&gt;$B$3,ISBLANK(Actuals!F100)),"",('Reforecast Q1 2026'!F100-Actuals!F100)/ABS('Reforecast Q1 2026'!F100)),"")</f>
        <v>1.65387694887685</v>
      </c>
      <c r="R84" s="131" t="n">
        <f aca="false">'Reforecast Q1 2026'!G100</f>
        <v>-1586.17</v>
      </c>
      <c r="S84" s="131" t="n">
        <f aca="false">IF(OR(5&gt;$B$3,ISBLANK(Actuals!G100)),"",Actuals!G100)</f>
        <v>-2377.59</v>
      </c>
      <c r="T84" s="132" t="n">
        <f aca="false">IF(OR(5&gt;$B$3,ISBLANK(Actuals!G100)),"",'Reforecast Q1 2026'!G100-Actuals!G100)</f>
        <v>791.42</v>
      </c>
      <c r="U84" s="132" t="n">
        <f aca="false">IFERROR(IF(OR(5&gt;$B$3,ISBLANK(Actuals!G100)),"",('Reforecast Q1 2026'!G100-Actuals!G100)/ABS('Reforecast Q1 2026'!G100)),"")</f>
        <v>0.498950301670061</v>
      </c>
      <c r="V84" s="131" t="n">
        <f aca="false">'Reforecast Q1 2026'!H100</f>
        <v>-1586.17</v>
      </c>
      <c r="W84" s="131" t="n">
        <f aca="false">IF(OR(6&gt;$B$3,ISBLANK(Actuals!H100)),"",Actuals!H100)</f>
        <v>-16</v>
      </c>
      <c r="X84" s="132" t="n">
        <f aca="false">IF(OR(6&gt;$B$3,ISBLANK(Actuals!H100)),"",'Reforecast Q1 2026'!H100-Actuals!H100)</f>
        <v>-1570.17</v>
      </c>
      <c r="Y84" s="132" t="n">
        <f aca="false">IFERROR(IF(OR(6&gt;$B$3,ISBLANK(Actuals!H100)),"",('Reforecast Q1 2026'!H100-Actuals!H100)/ABS('Reforecast Q1 2026'!H100)),"")</f>
        <v>-0.989912808841423</v>
      </c>
      <c r="Z84" s="131" t="n">
        <f aca="false">'Reforecast Q1 2026'!I100</f>
        <v>-1586.17</v>
      </c>
      <c r="AA84" s="131" t="n">
        <f aca="false">IF(OR(7&gt;$B$3,ISBLANK(Actuals!I100)),"",Actuals!I100)</f>
        <v>-4592.5</v>
      </c>
      <c r="AB84" s="132" t="n">
        <f aca="false">IF(OR(7&gt;$B$3,ISBLANK(Actuals!I100)),"",'Reforecast Q1 2026'!I100-Actuals!I100)</f>
        <v>3006.33</v>
      </c>
      <c r="AC84" s="132" t="n">
        <f aca="false">IFERROR(IF(OR(7&gt;$B$3,ISBLANK(Actuals!I100)),"",('Reforecast Q1 2026'!I100-Actuals!I100)/ABS('Reforecast Q1 2026'!I100)),"")</f>
        <v>1.89533908723529</v>
      </c>
      <c r="AD84" s="131" t="n">
        <f aca="false">'Reforecast Q1 2026'!J100</f>
        <v>-1586.17</v>
      </c>
      <c r="AE84" s="131" t="n">
        <f aca="false">IF(OR(8&gt;$B$3,ISBLANK(Actuals!J100)),"",Actuals!J100)</f>
        <v>-268</v>
      </c>
      <c r="AF84" s="132" t="n">
        <f aca="false">IF(OR(8&gt;$B$3,ISBLANK(Actuals!J100)),"",'Reforecast Q1 2026'!J100-Actuals!J100)</f>
        <v>-1318.17</v>
      </c>
      <c r="AG84" s="132" t="n">
        <f aca="false">IFERROR(IF(OR(8&gt;$B$3,ISBLANK(Actuals!J100)),"",('Reforecast Q1 2026'!J100-Actuals!J100)/ABS('Reforecast Q1 2026'!J100)),"")</f>
        <v>-0.831039548093836</v>
      </c>
      <c r="AH84" s="131" t="n">
        <f aca="false">'Reforecast Q1 2026'!K100</f>
        <v>-1586.17</v>
      </c>
      <c r="AI84" s="131" t="n">
        <f aca="false">IF(OR(9&gt;$B$3,ISBLANK(Actuals!K100)),"",Actuals!K100)</f>
        <v>-16</v>
      </c>
      <c r="AJ84" s="132" t="n">
        <f aca="false">IF(OR(9&gt;$B$3,ISBLANK(Actuals!K100)),"",'Reforecast Q1 2026'!K100-Actuals!K100)</f>
        <v>-1570.17</v>
      </c>
      <c r="AK84" s="132" t="n">
        <f aca="false">IFERROR(IF(OR(9&gt;$B$3,ISBLANK(Actuals!K100)),"",('Reforecast Q1 2026'!K100-Actuals!K100)/ABS('Reforecast Q1 2026'!K100)),"")</f>
        <v>-0.989912808841423</v>
      </c>
      <c r="AL84" s="131" t="n">
        <f aca="false">'Reforecast Q1 2026'!L100</f>
        <v>-1586.17</v>
      </c>
      <c r="AM84" s="131" t="str">
        <f aca="false">IF(OR(10&gt;$B$3,ISBLANK(Actuals!L100)),"",Actuals!L100)</f>
        <v/>
      </c>
      <c r="AN84" s="132" t="str">
        <f aca="false">IF(OR(10&gt;$B$3,ISBLANK(Actuals!L100)),"",'Reforecast Q1 2026'!L100-Actuals!L100)</f>
        <v/>
      </c>
      <c r="AO84" s="132" t="str">
        <f aca="false">IFERROR(IF(OR(10&gt;$B$3,ISBLANK(Actuals!L100)),"",('Reforecast Q1 2026'!L100-Actuals!L100)/ABS('Reforecast Q1 2026'!L100)),"")</f>
        <v/>
      </c>
      <c r="AP84" s="131" t="n">
        <f aca="false">'Reforecast Q1 2026'!M100</f>
        <v>-1586.17</v>
      </c>
      <c r="AQ84" s="131" t="str">
        <f aca="false">IF(OR(11&gt;$B$3,ISBLANK(Actuals!M100)),"",Actuals!M100)</f>
        <v/>
      </c>
      <c r="AR84" s="132" t="str">
        <f aca="false">IF(OR(11&gt;$B$3,ISBLANK(Actuals!M100)),"",'Reforecast Q1 2026'!M100-Actuals!M100)</f>
        <v/>
      </c>
      <c r="AS84" s="132" t="str">
        <f aca="false">IFERROR(IF(OR(11&gt;$B$3,ISBLANK(Actuals!M100)),"",('Reforecast Q1 2026'!M100-Actuals!M100)/ABS('Reforecast Q1 2026'!M100)),"")</f>
        <v/>
      </c>
      <c r="AT84" s="131" t="n">
        <f aca="false">'Reforecast Q1 2026'!N100</f>
        <v>-1586.17</v>
      </c>
      <c r="AU84" s="131" t="str">
        <f aca="false">IF(OR(12&gt;$B$3,ISBLANK(Actuals!N100)),"",Actuals!N100)</f>
        <v/>
      </c>
      <c r="AV84" s="132" t="str">
        <f aca="false">IF(OR(12&gt;$B$3,ISBLANK(Actuals!N100)),"",'Reforecast Q1 2026'!N100-Actuals!N100)</f>
        <v/>
      </c>
      <c r="AW84" s="132" t="str">
        <f aca="false">IFERROR(IF(OR(12&gt;$B$3,ISBLANK(Actuals!N100)),"",('Reforecast Q1 2026'!N100-Actuals!N100)/ABS('Reforecast Q1 2026'!N100)),"")</f>
        <v/>
      </c>
      <c r="AX84" s="133" t="n">
        <f aca="false">SUMPRODUCT((Actuals!C100:N100&lt;&gt;"")*('Reforecast Q1 2026'!C100:N100))</f>
        <v>-14275.52</v>
      </c>
      <c r="AY84" s="133" t="n">
        <f aca="false">SUM(Actuals!C100:N100)</f>
        <v>-16238.09</v>
      </c>
      <c r="AZ84" s="134" t="n">
        <f aca="false">AX84-AY84</f>
        <v>1962.57</v>
      </c>
    </row>
    <row r="85" customFormat="false" ht="15" hidden="false" customHeight="true" outlineLevel="0" collapsed="false">
      <c r="A85" s="130" t="s">
        <v>131</v>
      </c>
      <c r="B85" s="131" t="n">
        <f aca="false">'Reforecast Q1 2026'!C101</f>
        <v>-341.83</v>
      </c>
      <c r="C85" s="131" t="n">
        <f aca="false">IF(OR(1&gt;$B$3,ISBLANK(Actuals!C101)),"",Actuals!C101)</f>
        <v>-341.83</v>
      </c>
      <c r="D85" s="132" t="n">
        <f aca="false">IF(OR(1&gt;$B$3,ISBLANK(Actuals!C101)),"",'Reforecast Q1 2026'!C101-Actuals!C101)</f>
        <v>0</v>
      </c>
      <c r="E85" s="132" t="n">
        <f aca="false">IFERROR(IF(OR(1&gt;$B$3,ISBLANK(Actuals!C101)),"",('Reforecast Q1 2026'!C101-Actuals!C101)/ABS('Reforecast Q1 2026'!C101)),"")</f>
        <v>0</v>
      </c>
      <c r="F85" s="131" t="n">
        <f aca="false">'Reforecast Q1 2026'!D101</f>
        <v>-728</v>
      </c>
      <c r="G85" s="131" t="n">
        <f aca="false">IF(OR(2&gt;$B$3,ISBLANK(Actuals!D101)),"",Actuals!D101)</f>
        <v>-728</v>
      </c>
      <c r="H85" s="132" t="n">
        <f aca="false">IF(OR(2&gt;$B$3,ISBLANK(Actuals!D101)),"",'Reforecast Q1 2026'!D101-Actuals!D101)</f>
        <v>0</v>
      </c>
      <c r="I85" s="132" t="n">
        <f aca="false">IFERROR(IF(OR(2&gt;$B$3,ISBLANK(Actuals!D101)),"",('Reforecast Q1 2026'!D101-Actuals!D101)/ABS('Reforecast Q1 2026'!D101)),"")</f>
        <v>0</v>
      </c>
      <c r="J85" s="131" t="n">
        <f aca="false">'Reforecast Q1 2026'!E101</f>
        <v>-15256.75</v>
      </c>
      <c r="K85" s="131" t="n">
        <f aca="false">IF(OR(3&gt;$B$3,ISBLANK(Actuals!E101)),"",Actuals!E101)</f>
        <v>-15256.75</v>
      </c>
      <c r="L85" s="132" t="n">
        <f aca="false">IF(OR(3&gt;$B$3,ISBLANK(Actuals!E101)),"",'Reforecast Q1 2026'!E101-Actuals!E101)</f>
        <v>0</v>
      </c>
      <c r="M85" s="132" t="n">
        <f aca="false">IFERROR(IF(OR(3&gt;$B$3,ISBLANK(Actuals!E101)),"",('Reforecast Q1 2026'!E101-Actuals!E101)/ABS('Reforecast Q1 2026'!E101)),"")</f>
        <v>0</v>
      </c>
      <c r="N85" s="131" t="n">
        <f aca="false">'Reforecast Q1 2026'!F101</f>
        <v>-5442.19</v>
      </c>
      <c r="O85" s="131" t="n">
        <f aca="false">IF(OR(4&gt;$B$3,ISBLANK(Actuals!F101)),"",Actuals!F101)</f>
        <v>-1033.41</v>
      </c>
      <c r="P85" s="132" t="n">
        <f aca="false">IF(OR(4&gt;$B$3,ISBLANK(Actuals!F101)),"",'Reforecast Q1 2026'!F101-Actuals!F101)</f>
        <v>-4408.78</v>
      </c>
      <c r="Q85" s="132" t="n">
        <f aca="false">IFERROR(IF(OR(4&gt;$B$3,ISBLANK(Actuals!F101)),"",('Reforecast Q1 2026'!F101-Actuals!F101)/ABS('Reforecast Q1 2026'!F101)),"")</f>
        <v>-0.810111370606318</v>
      </c>
      <c r="R85" s="131" t="n">
        <f aca="false">'Reforecast Q1 2026'!G101</f>
        <v>-5442.19</v>
      </c>
      <c r="S85" s="131" t="n">
        <f aca="false">IF(OR(5&gt;$B$3,ISBLANK(Actuals!G101)),"",Actuals!G101)</f>
        <v>-3499</v>
      </c>
      <c r="T85" s="132" t="n">
        <f aca="false">IF(OR(5&gt;$B$3,ISBLANK(Actuals!G101)),"",'Reforecast Q1 2026'!G101-Actuals!G101)</f>
        <v>-1943.19</v>
      </c>
      <c r="U85" s="132" t="n">
        <f aca="false">IFERROR(IF(OR(5&gt;$B$3,ISBLANK(Actuals!G101)),"",('Reforecast Q1 2026'!G101-Actuals!G101)/ABS('Reforecast Q1 2026'!G101)),"")</f>
        <v>-0.357060301092024</v>
      </c>
      <c r="V85" s="131" t="n">
        <f aca="false">'Reforecast Q1 2026'!H101</f>
        <v>-5442.19</v>
      </c>
      <c r="W85" s="131" t="n">
        <f aca="false">IF(OR(6&gt;$B$3,ISBLANK(Actuals!H101)),"",Actuals!H101)</f>
        <v>-1033.41</v>
      </c>
      <c r="X85" s="132" t="n">
        <f aca="false">IF(OR(6&gt;$B$3,ISBLANK(Actuals!H101)),"",'Reforecast Q1 2026'!H101-Actuals!H101)</f>
        <v>-4408.78</v>
      </c>
      <c r="Y85" s="132" t="n">
        <f aca="false">IFERROR(IF(OR(6&gt;$B$3,ISBLANK(Actuals!H101)),"",('Reforecast Q1 2026'!H101-Actuals!H101)/ABS('Reforecast Q1 2026'!H101)),"")</f>
        <v>-0.810111370606318</v>
      </c>
      <c r="Z85" s="131" t="n">
        <f aca="false">'Reforecast Q1 2026'!I101</f>
        <v>-5442.19</v>
      </c>
      <c r="AA85" s="131" t="n">
        <f aca="false">IF(OR(7&gt;$B$3,ISBLANK(Actuals!I101)),"",Actuals!I101)</f>
        <v>-537.06</v>
      </c>
      <c r="AB85" s="132" t="n">
        <f aca="false">IF(OR(7&gt;$B$3,ISBLANK(Actuals!I101)),"",'Reforecast Q1 2026'!I101-Actuals!I101)</f>
        <v>-4905.13</v>
      </c>
      <c r="AC85" s="132" t="n">
        <f aca="false">IFERROR(IF(OR(7&gt;$B$3,ISBLANK(Actuals!I101)),"",('Reforecast Q1 2026'!I101-Actuals!I101)/ABS('Reforecast Q1 2026'!I101)),"")</f>
        <v>-0.901315463076445</v>
      </c>
      <c r="AD85" s="131" t="n">
        <f aca="false">'Reforecast Q1 2026'!J101</f>
        <v>-5442.19</v>
      </c>
      <c r="AE85" s="131" t="n">
        <f aca="false">IF(OR(8&gt;$B$3,ISBLANK(Actuals!J101)),"",Actuals!J101)</f>
        <v>-1903.22</v>
      </c>
      <c r="AF85" s="132" t="n">
        <f aca="false">IF(OR(8&gt;$B$3,ISBLANK(Actuals!J101)),"",'Reforecast Q1 2026'!J101-Actuals!J101)</f>
        <v>-3538.97</v>
      </c>
      <c r="AG85" s="132" t="n">
        <f aca="false">IFERROR(IF(OR(8&gt;$B$3,ISBLANK(Actuals!J101)),"",('Reforecast Q1 2026'!J101-Actuals!J101)/ABS('Reforecast Q1 2026'!J101)),"")</f>
        <v>-0.650284168689443</v>
      </c>
      <c r="AH85" s="131" t="n">
        <f aca="false">'Reforecast Q1 2026'!K101</f>
        <v>-5442.19</v>
      </c>
      <c r="AI85" s="131" t="n">
        <f aca="false">IF(OR(9&gt;$B$3,ISBLANK(Actuals!K101)),"",Actuals!K101)</f>
        <v>-192</v>
      </c>
      <c r="AJ85" s="132" t="n">
        <f aca="false">IF(OR(9&gt;$B$3,ISBLANK(Actuals!K101)),"",'Reforecast Q1 2026'!K101-Actuals!K101)</f>
        <v>-5250.19</v>
      </c>
      <c r="AK85" s="132" t="n">
        <f aca="false">IFERROR(IF(OR(9&gt;$B$3,ISBLANK(Actuals!K101)),"",('Reforecast Q1 2026'!K101-Actuals!K101)/ABS('Reforecast Q1 2026'!K101)),"")</f>
        <v>-0.964720085112795</v>
      </c>
      <c r="AL85" s="131" t="n">
        <f aca="false">'Reforecast Q1 2026'!L101</f>
        <v>-5442.19</v>
      </c>
      <c r="AM85" s="131" t="str">
        <f aca="false">IF(OR(10&gt;$B$3,ISBLANK(Actuals!L101)),"",Actuals!L101)</f>
        <v/>
      </c>
      <c r="AN85" s="132" t="str">
        <f aca="false">IF(OR(10&gt;$B$3,ISBLANK(Actuals!L101)),"",'Reforecast Q1 2026'!L101-Actuals!L101)</f>
        <v/>
      </c>
      <c r="AO85" s="132" t="str">
        <f aca="false">IFERROR(IF(OR(10&gt;$B$3,ISBLANK(Actuals!L101)),"",('Reforecast Q1 2026'!L101-Actuals!L101)/ABS('Reforecast Q1 2026'!L101)),"")</f>
        <v/>
      </c>
      <c r="AP85" s="131" t="n">
        <f aca="false">'Reforecast Q1 2026'!M101</f>
        <v>-5442.19</v>
      </c>
      <c r="AQ85" s="131" t="str">
        <f aca="false">IF(OR(11&gt;$B$3,ISBLANK(Actuals!M101)),"",Actuals!M101)</f>
        <v/>
      </c>
      <c r="AR85" s="132" t="str">
        <f aca="false">IF(OR(11&gt;$B$3,ISBLANK(Actuals!M101)),"",'Reforecast Q1 2026'!M101-Actuals!M101)</f>
        <v/>
      </c>
      <c r="AS85" s="132" t="str">
        <f aca="false">IFERROR(IF(OR(11&gt;$B$3,ISBLANK(Actuals!M101)),"",('Reforecast Q1 2026'!M101-Actuals!M101)/ABS('Reforecast Q1 2026'!M101)),"")</f>
        <v/>
      </c>
      <c r="AT85" s="131" t="n">
        <f aca="false">'Reforecast Q1 2026'!N101</f>
        <v>-5442.19</v>
      </c>
      <c r="AU85" s="131" t="str">
        <f aca="false">IF(OR(12&gt;$B$3,ISBLANK(Actuals!N101)),"",Actuals!N101)</f>
        <v/>
      </c>
      <c r="AV85" s="132" t="str">
        <f aca="false">IF(OR(12&gt;$B$3,ISBLANK(Actuals!N101)),"",'Reforecast Q1 2026'!N101-Actuals!N101)</f>
        <v/>
      </c>
      <c r="AW85" s="132" t="str">
        <f aca="false">IFERROR(IF(OR(12&gt;$B$3,ISBLANK(Actuals!N101)),"",('Reforecast Q1 2026'!N101-Actuals!N101)/ABS('Reforecast Q1 2026'!N101)),"")</f>
        <v/>
      </c>
      <c r="AX85" s="133" t="n">
        <f aca="false">SUMPRODUCT((Actuals!C101:N101&lt;&gt;"")*('Reforecast Q1 2026'!C101:N101))</f>
        <v>-48979.72</v>
      </c>
      <c r="AY85" s="133" t="n">
        <f aca="false">SUM(Actuals!C101:N101)</f>
        <v>-24524.68</v>
      </c>
      <c r="AZ85" s="134" t="n">
        <f aca="false">AX85-AY85</f>
        <v>-24455.04</v>
      </c>
    </row>
    <row r="86" customFormat="false" ht="15" hidden="false" customHeight="true" outlineLevel="0" collapsed="false">
      <c r="A86" s="130" t="s">
        <v>132</v>
      </c>
      <c r="B86" s="131" t="n">
        <f aca="false">'Reforecast Q1 2026'!C102</f>
        <v>-1905.31</v>
      </c>
      <c r="C86" s="131" t="n">
        <f aca="false">IF(OR(1&gt;$B$3,ISBLANK(Actuals!C102)),"",Actuals!C102)</f>
        <v>-1905.31</v>
      </c>
      <c r="D86" s="132" t="n">
        <f aca="false">IF(OR(1&gt;$B$3,ISBLANK(Actuals!C102)),"",'Reforecast Q1 2026'!C102-Actuals!C102)</f>
        <v>0</v>
      </c>
      <c r="E86" s="132" t="n">
        <f aca="false">IFERROR(IF(OR(1&gt;$B$3,ISBLANK(Actuals!C102)),"",('Reforecast Q1 2026'!C102-Actuals!C102)/ABS('Reforecast Q1 2026'!C102)),"")</f>
        <v>0</v>
      </c>
      <c r="F86" s="131" t="n">
        <f aca="false">'Reforecast Q1 2026'!D102</f>
        <v>-1905.31</v>
      </c>
      <c r="G86" s="131" t="n">
        <f aca="false">IF(OR(2&gt;$B$3,ISBLANK(Actuals!D102)),"",Actuals!D102)</f>
        <v>-1905.31</v>
      </c>
      <c r="H86" s="132" t="n">
        <f aca="false">IF(OR(2&gt;$B$3,ISBLANK(Actuals!D102)),"",'Reforecast Q1 2026'!D102-Actuals!D102)</f>
        <v>0</v>
      </c>
      <c r="I86" s="132" t="n">
        <f aca="false">IFERROR(IF(OR(2&gt;$B$3,ISBLANK(Actuals!D102)),"",('Reforecast Q1 2026'!D102-Actuals!D102)/ABS('Reforecast Q1 2026'!D102)),"")</f>
        <v>0</v>
      </c>
      <c r="J86" s="131" t="n">
        <f aca="false">'Reforecast Q1 2026'!E102</f>
        <v>-1905.31</v>
      </c>
      <c r="K86" s="131" t="n">
        <f aca="false">IF(OR(3&gt;$B$3,ISBLANK(Actuals!E102)),"",Actuals!E102)</f>
        <v>-1905.31</v>
      </c>
      <c r="L86" s="132" t="n">
        <f aca="false">IF(OR(3&gt;$B$3,ISBLANK(Actuals!E102)),"",'Reforecast Q1 2026'!E102-Actuals!E102)</f>
        <v>0</v>
      </c>
      <c r="M86" s="132" t="n">
        <f aca="false">IFERROR(IF(OR(3&gt;$B$3,ISBLANK(Actuals!E102)),"",('Reforecast Q1 2026'!E102-Actuals!E102)/ABS('Reforecast Q1 2026'!E102)),"")</f>
        <v>0</v>
      </c>
      <c r="N86" s="131" t="n">
        <f aca="false">'Reforecast Q1 2026'!F102</f>
        <v>-1905.31</v>
      </c>
      <c r="O86" s="131" t="n">
        <f aca="false">IF(OR(4&gt;$B$3,ISBLANK(Actuals!F102)),"",Actuals!F102)</f>
        <v>-1905.31</v>
      </c>
      <c r="P86" s="132" t="n">
        <f aca="false">IF(OR(4&gt;$B$3,ISBLANK(Actuals!F102)),"",'Reforecast Q1 2026'!F102-Actuals!F102)</f>
        <v>0</v>
      </c>
      <c r="Q86" s="132" t="n">
        <f aca="false">IFERROR(IF(OR(4&gt;$B$3,ISBLANK(Actuals!F102)),"",('Reforecast Q1 2026'!F102-Actuals!F102)/ABS('Reforecast Q1 2026'!F102)),"")</f>
        <v>0</v>
      </c>
      <c r="R86" s="131" t="n">
        <f aca="false">'Reforecast Q1 2026'!G102</f>
        <v>-1905.31</v>
      </c>
      <c r="S86" s="131" t="n">
        <f aca="false">IF(OR(5&gt;$B$3,ISBLANK(Actuals!G102)),"",Actuals!G102)</f>
        <v>-1905.31</v>
      </c>
      <c r="T86" s="132" t="n">
        <f aca="false">IF(OR(5&gt;$B$3,ISBLANK(Actuals!G102)),"",'Reforecast Q1 2026'!G102-Actuals!G102)</f>
        <v>0</v>
      </c>
      <c r="U86" s="132" t="n">
        <f aca="false">IFERROR(IF(OR(5&gt;$B$3,ISBLANK(Actuals!G102)),"",('Reforecast Q1 2026'!G102-Actuals!G102)/ABS('Reforecast Q1 2026'!G102)),"")</f>
        <v>0</v>
      </c>
      <c r="V86" s="131" t="n">
        <f aca="false">'Reforecast Q1 2026'!H102</f>
        <v>-1905.31</v>
      </c>
      <c r="W86" s="131" t="n">
        <f aca="false">IF(OR(6&gt;$B$3,ISBLANK(Actuals!H102)),"",Actuals!H102)</f>
        <v>-1905.31</v>
      </c>
      <c r="X86" s="132" t="n">
        <f aca="false">IF(OR(6&gt;$B$3,ISBLANK(Actuals!H102)),"",'Reforecast Q1 2026'!H102-Actuals!H102)</f>
        <v>0</v>
      </c>
      <c r="Y86" s="132" t="n">
        <f aca="false">IFERROR(IF(OR(6&gt;$B$3,ISBLANK(Actuals!H102)),"",('Reforecast Q1 2026'!H102-Actuals!H102)/ABS('Reforecast Q1 2026'!H102)),"")</f>
        <v>0</v>
      </c>
      <c r="Z86" s="131" t="n">
        <f aca="false">'Reforecast Q1 2026'!I102</f>
        <v>-1905.31</v>
      </c>
      <c r="AA86" s="131" t="n">
        <f aca="false">IF(OR(7&gt;$B$3,ISBLANK(Actuals!I102)),"",Actuals!I102)</f>
        <v>-1905.31</v>
      </c>
      <c r="AB86" s="132" t="n">
        <f aca="false">IF(OR(7&gt;$B$3,ISBLANK(Actuals!I102)),"",'Reforecast Q1 2026'!I102-Actuals!I102)</f>
        <v>0</v>
      </c>
      <c r="AC86" s="132" t="n">
        <f aca="false">IFERROR(IF(OR(7&gt;$B$3,ISBLANK(Actuals!I102)),"",('Reforecast Q1 2026'!I102-Actuals!I102)/ABS('Reforecast Q1 2026'!I102)),"")</f>
        <v>0</v>
      </c>
      <c r="AD86" s="131" t="n">
        <f aca="false">'Reforecast Q1 2026'!J102</f>
        <v>-1905.31</v>
      </c>
      <c r="AE86" s="131" t="n">
        <f aca="false">IF(OR(8&gt;$B$3,ISBLANK(Actuals!J102)),"",Actuals!J102)</f>
        <v>-1905.31</v>
      </c>
      <c r="AF86" s="132" t="n">
        <f aca="false">IF(OR(8&gt;$B$3,ISBLANK(Actuals!J102)),"",'Reforecast Q1 2026'!J102-Actuals!J102)</f>
        <v>0</v>
      </c>
      <c r="AG86" s="132" t="n">
        <f aca="false">IFERROR(IF(OR(8&gt;$B$3,ISBLANK(Actuals!J102)),"",('Reforecast Q1 2026'!J102-Actuals!J102)/ABS('Reforecast Q1 2026'!J102)),"")</f>
        <v>0</v>
      </c>
      <c r="AH86" s="131" t="n">
        <f aca="false">'Reforecast Q1 2026'!K102</f>
        <v>-1905.31</v>
      </c>
      <c r="AI86" s="131" t="n">
        <f aca="false">IF(OR(9&gt;$B$3,ISBLANK(Actuals!K102)),"",Actuals!K102)</f>
        <v>-1451.67</v>
      </c>
      <c r="AJ86" s="132" t="n">
        <f aca="false">IF(OR(9&gt;$B$3,ISBLANK(Actuals!K102)),"",'Reforecast Q1 2026'!K102-Actuals!K102)</f>
        <v>-453.64</v>
      </c>
      <c r="AK86" s="132" t="n">
        <f aca="false">IFERROR(IF(OR(9&gt;$B$3,ISBLANK(Actuals!K102)),"",('Reforecast Q1 2026'!K102-Actuals!K102)/ABS('Reforecast Q1 2026'!K102)),"")</f>
        <v>-0.238092488886323</v>
      </c>
      <c r="AL86" s="131" t="n">
        <f aca="false">'Reforecast Q1 2026'!L102</f>
        <v>-1905.31</v>
      </c>
      <c r="AM86" s="131" t="str">
        <f aca="false">IF(OR(10&gt;$B$3,ISBLANK(Actuals!L102)),"",Actuals!L102)</f>
        <v/>
      </c>
      <c r="AN86" s="132" t="str">
        <f aca="false">IF(OR(10&gt;$B$3,ISBLANK(Actuals!L102)),"",'Reforecast Q1 2026'!L102-Actuals!L102)</f>
        <v/>
      </c>
      <c r="AO86" s="132" t="str">
        <f aca="false">IFERROR(IF(OR(10&gt;$B$3,ISBLANK(Actuals!L102)),"",('Reforecast Q1 2026'!L102-Actuals!L102)/ABS('Reforecast Q1 2026'!L102)),"")</f>
        <v/>
      </c>
      <c r="AP86" s="131" t="n">
        <f aca="false">'Reforecast Q1 2026'!M102</f>
        <v>-1905.31</v>
      </c>
      <c r="AQ86" s="131" t="str">
        <f aca="false">IF(OR(11&gt;$B$3,ISBLANK(Actuals!M102)),"",Actuals!M102)</f>
        <v/>
      </c>
      <c r="AR86" s="132" t="str">
        <f aca="false">IF(OR(11&gt;$B$3,ISBLANK(Actuals!M102)),"",'Reforecast Q1 2026'!M102-Actuals!M102)</f>
        <v/>
      </c>
      <c r="AS86" s="132" t="str">
        <f aca="false">IFERROR(IF(OR(11&gt;$B$3,ISBLANK(Actuals!M102)),"",('Reforecast Q1 2026'!M102-Actuals!M102)/ABS('Reforecast Q1 2026'!M102)),"")</f>
        <v/>
      </c>
      <c r="AT86" s="131" t="n">
        <f aca="false">'Reforecast Q1 2026'!N102</f>
        <v>-1905.31</v>
      </c>
      <c r="AU86" s="131" t="str">
        <f aca="false">IF(OR(12&gt;$B$3,ISBLANK(Actuals!N102)),"",Actuals!N102)</f>
        <v/>
      </c>
      <c r="AV86" s="132" t="str">
        <f aca="false">IF(OR(12&gt;$B$3,ISBLANK(Actuals!N102)),"",'Reforecast Q1 2026'!N102-Actuals!N102)</f>
        <v/>
      </c>
      <c r="AW86" s="132" t="str">
        <f aca="false">IFERROR(IF(OR(12&gt;$B$3,ISBLANK(Actuals!N102)),"",('Reforecast Q1 2026'!N102-Actuals!N102)/ABS('Reforecast Q1 2026'!N102)),"")</f>
        <v/>
      </c>
      <c r="AX86" s="133" t="n">
        <f aca="false">SUMPRODUCT((Actuals!C102:N102&lt;&gt;"")*('Reforecast Q1 2026'!C102:N102))</f>
        <v>-17147.79</v>
      </c>
      <c r="AY86" s="133" t="n">
        <f aca="false">SUM(Actuals!C102:N102)</f>
        <v>-16694.15</v>
      </c>
      <c r="AZ86" s="134" t="n">
        <f aca="false">AX86-AY86</f>
        <v>-453.639999999999</v>
      </c>
    </row>
    <row r="87" customFormat="false" ht="15" hidden="false" customHeight="true" outlineLevel="0" collapsed="false">
      <c r="A87" s="130" t="s">
        <v>133</v>
      </c>
      <c r="B87" s="131" t="n">
        <f aca="false">'Reforecast Q1 2026'!C103</f>
        <v>-2100</v>
      </c>
      <c r="C87" s="131" t="n">
        <f aca="false">IF(OR(1&gt;$B$3,ISBLANK(Actuals!C103)),"",Actuals!C103)</f>
        <v>-2100</v>
      </c>
      <c r="D87" s="132" t="n">
        <f aca="false">IF(OR(1&gt;$B$3,ISBLANK(Actuals!C103)),"",'Reforecast Q1 2026'!C103-Actuals!C103)</f>
        <v>0</v>
      </c>
      <c r="E87" s="132" t="n">
        <f aca="false">IFERROR(IF(OR(1&gt;$B$3,ISBLANK(Actuals!C103)),"",('Reforecast Q1 2026'!C103-Actuals!C103)/ABS('Reforecast Q1 2026'!C103)),"")</f>
        <v>0</v>
      </c>
      <c r="F87" s="131" t="n">
        <f aca="false">'Reforecast Q1 2026'!D103</f>
        <v>-2100</v>
      </c>
      <c r="G87" s="131" t="n">
        <f aca="false">IF(OR(2&gt;$B$3,ISBLANK(Actuals!D103)),"",Actuals!D103)</f>
        <v>-2100</v>
      </c>
      <c r="H87" s="132" t="n">
        <f aca="false">IF(OR(2&gt;$B$3,ISBLANK(Actuals!D103)),"",'Reforecast Q1 2026'!D103-Actuals!D103)</f>
        <v>0</v>
      </c>
      <c r="I87" s="132" t="n">
        <f aca="false">IFERROR(IF(OR(2&gt;$B$3,ISBLANK(Actuals!D103)),"",('Reforecast Q1 2026'!D103-Actuals!D103)/ABS('Reforecast Q1 2026'!D103)),"")</f>
        <v>0</v>
      </c>
      <c r="J87" s="131" t="n">
        <f aca="false">'Reforecast Q1 2026'!E103</f>
        <v>-2100</v>
      </c>
      <c r="K87" s="131" t="n">
        <f aca="false">IF(OR(3&gt;$B$3,ISBLANK(Actuals!E103)),"",Actuals!E103)</f>
        <v>-2100</v>
      </c>
      <c r="L87" s="132" t="n">
        <f aca="false">IF(OR(3&gt;$B$3,ISBLANK(Actuals!E103)),"",'Reforecast Q1 2026'!E103-Actuals!E103)</f>
        <v>0</v>
      </c>
      <c r="M87" s="132" t="n">
        <f aca="false">IFERROR(IF(OR(3&gt;$B$3,ISBLANK(Actuals!E103)),"",('Reforecast Q1 2026'!E103-Actuals!E103)/ABS('Reforecast Q1 2026'!E103)),"")</f>
        <v>0</v>
      </c>
      <c r="N87" s="131" t="n">
        <f aca="false">'Reforecast Q1 2026'!F103</f>
        <v>-2100</v>
      </c>
      <c r="O87" s="131" t="n">
        <f aca="false">IF(OR(4&gt;$B$3,ISBLANK(Actuals!F103)),"",Actuals!F103)</f>
        <v>-2100</v>
      </c>
      <c r="P87" s="132" t="n">
        <f aca="false">IF(OR(4&gt;$B$3,ISBLANK(Actuals!F103)),"",'Reforecast Q1 2026'!F103-Actuals!F103)</f>
        <v>0</v>
      </c>
      <c r="Q87" s="132" t="n">
        <f aca="false">IFERROR(IF(OR(4&gt;$B$3,ISBLANK(Actuals!F103)),"",('Reforecast Q1 2026'!F103-Actuals!F103)/ABS('Reforecast Q1 2026'!F103)),"")</f>
        <v>0</v>
      </c>
      <c r="R87" s="131" t="n">
        <f aca="false">'Reforecast Q1 2026'!G103</f>
        <v>-2100</v>
      </c>
      <c r="S87" s="131" t="n">
        <f aca="false">IF(OR(5&gt;$B$3,ISBLANK(Actuals!G103)),"",Actuals!G103)</f>
        <v>-2100</v>
      </c>
      <c r="T87" s="132" t="n">
        <f aca="false">IF(OR(5&gt;$B$3,ISBLANK(Actuals!G103)),"",'Reforecast Q1 2026'!G103-Actuals!G103)</f>
        <v>0</v>
      </c>
      <c r="U87" s="132" t="n">
        <f aca="false">IFERROR(IF(OR(5&gt;$B$3,ISBLANK(Actuals!G103)),"",('Reforecast Q1 2026'!G103-Actuals!G103)/ABS('Reforecast Q1 2026'!G103)),"")</f>
        <v>0</v>
      </c>
      <c r="V87" s="131" t="n">
        <f aca="false">'Reforecast Q1 2026'!H103</f>
        <v>-2100</v>
      </c>
      <c r="W87" s="131" t="n">
        <f aca="false">IF(OR(6&gt;$B$3,ISBLANK(Actuals!H103)),"",Actuals!H103)</f>
        <v>-2100</v>
      </c>
      <c r="X87" s="132" t="n">
        <f aca="false">IF(OR(6&gt;$B$3,ISBLANK(Actuals!H103)),"",'Reforecast Q1 2026'!H103-Actuals!H103)</f>
        <v>0</v>
      </c>
      <c r="Y87" s="132" t="n">
        <f aca="false">IFERROR(IF(OR(6&gt;$B$3,ISBLANK(Actuals!H103)),"",('Reforecast Q1 2026'!H103-Actuals!H103)/ABS('Reforecast Q1 2026'!H103)),"")</f>
        <v>0</v>
      </c>
      <c r="Z87" s="131" t="n">
        <f aca="false">'Reforecast Q1 2026'!I103</f>
        <v>-2100</v>
      </c>
      <c r="AA87" s="131" t="n">
        <f aca="false">IF(OR(7&gt;$B$3,ISBLANK(Actuals!I103)),"",Actuals!I103)</f>
        <v>-2100</v>
      </c>
      <c r="AB87" s="132" t="n">
        <f aca="false">IF(OR(7&gt;$B$3,ISBLANK(Actuals!I103)),"",'Reforecast Q1 2026'!I103-Actuals!I103)</f>
        <v>0</v>
      </c>
      <c r="AC87" s="132" t="n">
        <f aca="false">IFERROR(IF(OR(7&gt;$B$3,ISBLANK(Actuals!I103)),"",('Reforecast Q1 2026'!I103-Actuals!I103)/ABS('Reforecast Q1 2026'!I103)),"")</f>
        <v>0</v>
      </c>
      <c r="AD87" s="131" t="n">
        <f aca="false">'Reforecast Q1 2026'!J103</f>
        <v>-2100</v>
      </c>
      <c r="AE87" s="131" t="n">
        <f aca="false">IF(OR(8&gt;$B$3,ISBLANK(Actuals!J103)),"",Actuals!J103)</f>
        <v>-2100</v>
      </c>
      <c r="AF87" s="132" t="n">
        <f aca="false">IF(OR(8&gt;$B$3,ISBLANK(Actuals!J103)),"",'Reforecast Q1 2026'!J103-Actuals!J103)</f>
        <v>0</v>
      </c>
      <c r="AG87" s="132" t="n">
        <f aca="false">IFERROR(IF(OR(8&gt;$B$3,ISBLANK(Actuals!J103)),"",('Reforecast Q1 2026'!J103-Actuals!J103)/ABS('Reforecast Q1 2026'!J103)),"")</f>
        <v>0</v>
      </c>
      <c r="AH87" s="131" t="n">
        <f aca="false">'Reforecast Q1 2026'!K103</f>
        <v>-2100</v>
      </c>
      <c r="AI87" s="131" t="n">
        <f aca="false">IF(OR(9&gt;$B$3,ISBLANK(Actuals!K103)),"",Actuals!K103)</f>
        <v>-2100</v>
      </c>
      <c r="AJ87" s="132" t="n">
        <f aca="false">IF(OR(9&gt;$B$3,ISBLANK(Actuals!K103)),"",'Reforecast Q1 2026'!K103-Actuals!K103)</f>
        <v>0</v>
      </c>
      <c r="AK87" s="132" t="n">
        <f aca="false">IFERROR(IF(OR(9&gt;$B$3,ISBLANK(Actuals!K103)),"",('Reforecast Q1 2026'!K103-Actuals!K103)/ABS('Reforecast Q1 2026'!K103)),"")</f>
        <v>0</v>
      </c>
      <c r="AL87" s="131" t="n">
        <f aca="false">'Reforecast Q1 2026'!L103</f>
        <v>-2100</v>
      </c>
      <c r="AM87" s="131" t="str">
        <f aca="false">IF(OR(10&gt;$B$3,ISBLANK(Actuals!L103)),"",Actuals!L103)</f>
        <v/>
      </c>
      <c r="AN87" s="132" t="str">
        <f aca="false">IF(OR(10&gt;$B$3,ISBLANK(Actuals!L103)),"",'Reforecast Q1 2026'!L103-Actuals!L103)</f>
        <v/>
      </c>
      <c r="AO87" s="132" t="str">
        <f aca="false">IFERROR(IF(OR(10&gt;$B$3,ISBLANK(Actuals!L103)),"",('Reforecast Q1 2026'!L103-Actuals!L103)/ABS('Reforecast Q1 2026'!L103)),"")</f>
        <v/>
      </c>
      <c r="AP87" s="131" t="n">
        <f aca="false">'Reforecast Q1 2026'!M103</f>
        <v>-2100</v>
      </c>
      <c r="AQ87" s="131" t="str">
        <f aca="false">IF(OR(11&gt;$B$3,ISBLANK(Actuals!M103)),"",Actuals!M103)</f>
        <v/>
      </c>
      <c r="AR87" s="132" t="str">
        <f aca="false">IF(OR(11&gt;$B$3,ISBLANK(Actuals!M103)),"",'Reforecast Q1 2026'!M103-Actuals!M103)</f>
        <v/>
      </c>
      <c r="AS87" s="132" t="str">
        <f aca="false">IFERROR(IF(OR(11&gt;$B$3,ISBLANK(Actuals!M103)),"",('Reforecast Q1 2026'!M103-Actuals!M103)/ABS('Reforecast Q1 2026'!M103)),"")</f>
        <v/>
      </c>
      <c r="AT87" s="131" t="n">
        <f aca="false">'Reforecast Q1 2026'!N103</f>
        <v>-2100</v>
      </c>
      <c r="AU87" s="131" t="str">
        <f aca="false">IF(OR(12&gt;$B$3,ISBLANK(Actuals!N103)),"",Actuals!N103)</f>
        <v/>
      </c>
      <c r="AV87" s="132" t="str">
        <f aca="false">IF(OR(12&gt;$B$3,ISBLANK(Actuals!N103)),"",'Reforecast Q1 2026'!N103-Actuals!N103)</f>
        <v/>
      </c>
      <c r="AW87" s="132" t="str">
        <f aca="false">IFERROR(IF(OR(12&gt;$B$3,ISBLANK(Actuals!N103)),"",('Reforecast Q1 2026'!N103-Actuals!N103)/ABS('Reforecast Q1 2026'!N103)),"")</f>
        <v/>
      </c>
      <c r="AX87" s="133" t="n">
        <f aca="false">SUMPRODUCT((Actuals!C103:N103&lt;&gt;"")*('Reforecast Q1 2026'!C103:N103))</f>
        <v>-18900</v>
      </c>
      <c r="AY87" s="133" t="n">
        <f aca="false">SUM(Actuals!C103:N103)</f>
        <v>-18900</v>
      </c>
      <c r="AZ87" s="134" t="n">
        <f aca="false">AX87-AY87</f>
        <v>0</v>
      </c>
    </row>
    <row r="88" customFormat="false" ht="15" hidden="false" customHeight="true" outlineLevel="0" collapsed="false">
      <c r="A88" s="130" t="s">
        <v>84</v>
      </c>
      <c r="B88" s="131" t="n">
        <f aca="false">'Reforecast Q1 2026'!C104</f>
        <v>-66666.66</v>
      </c>
      <c r="C88" s="131" t="n">
        <f aca="false">IF(OR(1&gt;$B$3,ISBLANK(Actuals!C104)),"",Actuals!C104)</f>
        <v>-66666.66</v>
      </c>
      <c r="D88" s="132" t="n">
        <f aca="false">IF(OR(1&gt;$B$3,ISBLANK(Actuals!C104)),"",'Reforecast Q1 2026'!C104-Actuals!C104)</f>
        <v>0</v>
      </c>
      <c r="E88" s="132" t="n">
        <f aca="false">IFERROR(IF(OR(1&gt;$B$3,ISBLANK(Actuals!C104)),"",('Reforecast Q1 2026'!C104-Actuals!C104)/ABS('Reforecast Q1 2026'!C104)),"")</f>
        <v>0</v>
      </c>
      <c r="F88" s="131" t="n">
        <f aca="false">'Reforecast Q1 2026'!D104</f>
        <v>-66666.66</v>
      </c>
      <c r="G88" s="131" t="n">
        <f aca="false">IF(OR(2&gt;$B$3,ISBLANK(Actuals!D104)),"",Actuals!D104)</f>
        <v>-66666.66</v>
      </c>
      <c r="H88" s="132" t="n">
        <f aca="false">IF(OR(2&gt;$B$3,ISBLANK(Actuals!D104)),"",'Reforecast Q1 2026'!D104-Actuals!D104)</f>
        <v>0</v>
      </c>
      <c r="I88" s="132" t="n">
        <f aca="false">IFERROR(IF(OR(2&gt;$B$3,ISBLANK(Actuals!D104)),"",('Reforecast Q1 2026'!D104-Actuals!D104)/ABS('Reforecast Q1 2026'!D104)),"")</f>
        <v>0</v>
      </c>
      <c r="J88" s="131" t="n">
        <f aca="false">'Reforecast Q1 2026'!E104</f>
        <v>-66666.66</v>
      </c>
      <c r="K88" s="131" t="n">
        <f aca="false">IF(OR(3&gt;$B$3,ISBLANK(Actuals!E104)),"",Actuals!E104)</f>
        <v>-66666.66</v>
      </c>
      <c r="L88" s="132" t="n">
        <f aca="false">IF(OR(3&gt;$B$3,ISBLANK(Actuals!E104)),"",'Reforecast Q1 2026'!E104-Actuals!E104)</f>
        <v>0</v>
      </c>
      <c r="M88" s="132" t="n">
        <f aca="false">IFERROR(IF(OR(3&gt;$B$3,ISBLANK(Actuals!E104)),"",('Reforecast Q1 2026'!E104-Actuals!E104)/ABS('Reforecast Q1 2026'!E104)),"")</f>
        <v>0</v>
      </c>
      <c r="N88" s="131" t="n">
        <f aca="false">'Reforecast Q1 2026'!F104</f>
        <v>-25000</v>
      </c>
      <c r="O88" s="131" t="n">
        <f aca="false">IF(OR(4&gt;$B$3,ISBLANK(Actuals!F104)),"",Actuals!F104)</f>
        <v>-66666.66</v>
      </c>
      <c r="P88" s="132" t="n">
        <f aca="false">IF(OR(4&gt;$B$3,ISBLANK(Actuals!F104)),"",'Reforecast Q1 2026'!F104-Actuals!F104)</f>
        <v>41666.66</v>
      </c>
      <c r="Q88" s="132" t="n">
        <f aca="false">IFERROR(IF(OR(4&gt;$B$3,ISBLANK(Actuals!F104)),"",('Reforecast Q1 2026'!F104-Actuals!F104)/ABS('Reforecast Q1 2026'!F104)),"")</f>
        <v>1.6666664</v>
      </c>
      <c r="R88" s="131" t="n">
        <f aca="false">'Reforecast Q1 2026'!G104</f>
        <v>-25000</v>
      </c>
      <c r="S88" s="131" t="n">
        <f aca="false">IF(OR(5&gt;$B$3,ISBLANK(Actuals!G104)),"",Actuals!G104)</f>
        <v>-66666.66</v>
      </c>
      <c r="T88" s="132" t="n">
        <f aca="false">IF(OR(5&gt;$B$3,ISBLANK(Actuals!G104)),"",'Reforecast Q1 2026'!G104-Actuals!G104)</f>
        <v>41666.66</v>
      </c>
      <c r="U88" s="132" t="n">
        <f aca="false">IFERROR(IF(OR(5&gt;$B$3,ISBLANK(Actuals!G104)),"",('Reforecast Q1 2026'!G104-Actuals!G104)/ABS('Reforecast Q1 2026'!G104)),"")</f>
        <v>1.6666664</v>
      </c>
      <c r="V88" s="131" t="n">
        <f aca="false">'Reforecast Q1 2026'!H104</f>
        <v>-25000</v>
      </c>
      <c r="W88" s="131" t="n">
        <f aca="false">IF(OR(6&gt;$B$3,ISBLANK(Actuals!H104)),"",Actuals!H104)</f>
        <v>-66666.66</v>
      </c>
      <c r="X88" s="132" t="n">
        <f aca="false">IF(OR(6&gt;$B$3,ISBLANK(Actuals!H104)),"",'Reforecast Q1 2026'!H104-Actuals!H104)</f>
        <v>41666.66</v>
      </c>
      <c r="Y88" s="132" t="n">
        <f aca="false">IFERROR(IF(OR(6&gt;$B$3,ISBLANK(Actuals!H104)),"",('Reforecast Q1 2026'!H104-Actuals!H104)/ABS('Reforecast Q1 2026'!H104)),"")</f>
        <v>1.6666664</v>
      </c>
      <c r="Z88" s="131" t="n">
        <f aca="false">'Reforecast Q1 2026'!I104</f>
        <v>-25000</v>
      </c>
      <c r="AA88" s="131" t="n">
        <f aca="false">IF(OR(7&gt;$B$3,ISBLANK(Actuals!I104)),"",Actuals!I104)</f>
        <v>-66666.66</v>
      </c>
      <c r="AB88" s="132" t="n">
        <f aca="false">IF(OR(7&gt;$B$3,ISBLANK(Actuals!I104)),"",'Reforecast Q1 2026'!I104-Actuals!I104)</f>
        <v>41666.66</v>
      </c>
      <c r="AC88" s="132" t="n">
        <f aca="false">IFERROR(IF(OR(7&gt;$B$3,ISBLANK(Actuals!I104)),"",('Reforecast Q1 2026'!I104-Actuals!I104)/ABS('Reforecast Q1 2026'!I104)),"")</f>
        <v>1.6666664</v>
      </c>
      <c r="AD88" s="131" t="n">
        <f aca="false">'Reforecast Q1 2026'!J104</f>
        <v>-25000</v>
      </c>
      <c r="AE88" s="131" t="n">
        <f aca="false">IF(OR(8&gt;$B$3,ISBLANK(Actuals!J104)),"",Actuals!J104)</f>
        <v>-66666.66</v>
      </c>
      <c r="AF88" s="132" t="n">
        <f aca="false">IF(OR(8&gt;$B$3,ISBLANK(Actuals!J104)),"",'Reforecast Q1 2026'!J104-Actuals!J104)</f>
        <v>41666.66</v>
      </c>
      <c r="AG88" s="132" t="n">
        <f aca="false">IFERROR(IF(OR(8&gt;$B$3,ISBLANK(Actuals!J104)),"",('Reforecast Q1 2026'!J104-Actuals!J104)/ABS('Reforecast Q1 2026'!J104)),"")</f>
        <v>1.6666664</v>
      </c>
      <c r="AH88" s="131" t="n">
        <f aca="false">'Reforecast Q1 2026'!K104</f>
        <v>-25000</v>
      </c>
      <c r="AI88" s="131" t="n">
        <f aca="false">IF(OR(9&gt;$B$3,ISBLANK(Actuals!K104)),"",Actuals!K104)</f>
        <v>-66666.66</v>
      </c>
      <c r="AJ88" s="132" t="n">
        <f aca="false">IF(OR(9&gt;$B$3,ISBLANK(Actuals!K104)),"",'Reforecast Q1 2026'!K104-Actuals!K104)</f>
        <v>41666.66</v>
      </c>
      <c r="AK88" s="132" t="n">
        <f aca="false">IFERROR(IF(OR(9&gt;$B$3,ISBLANK(Actuals!K104)),"",('Reforecast Q1 2026'!K104-Actuals!K104)/ABS('Reforecast Q1 2026'!K104)),"")</f>
        <v>1.6666664</v>
      </c>
      <c r="AL88" s="131" t="n">
        <f aca="false">'Reforecast Q1 2026'!L104</f>
        <v>-25000</v>
      </c>
      <c r="AM88" s="131" t="str">
        <f aca="false">IF(OR(10&gt;$B$3,ISBLANK(Actuals!L104)),"",Actuals!L104)</f>
        <v/>
      </c>
      <c r="AN88" s="132" t="str">
        <f aca="false">IF(OR(10&gt;$B$3,ISBLANK(Actuals!L104)),"",'Reforecast Q1 2026'!L104-Actuals!L104)</f>
        <v/>
      </c>
      <c r="AO88" s="132" t="str">
        <f aca="false">IFERROR(IF(OR(10&gt;$B$3,ISBLANK(Actuals!L104)),"",('Reforecast Q1 2026'!L104-Actuals!L104)/ABS('Reforecast Q1 2026'!L104)),"")</f>
        <v/>
      </c>
      <c r="AP88" s="131" t="n">
        <f aca="false">'Reforecast Q1 2026'!M104</f>
        <v>-25000</v>
      </c>
      <c r="AQ88" s="131" t="str">
        <f aca="false">IF(OR(11&gt;$B$3,ISBLANK(Actuals!M104)),"",Actuals!M104)</f>
        <v/>
      </c>
      <c r="AR88" s="132" t="str">
        <f aca="false">IF(OR(11&gt;$B$3,ISBLANK(Actuals!M104)),"",'Reforecast Q1 2026'!M104-Actuals!M104)</f>
        <v/>
      </c>
      <c r="AS88" s="132" t="str">
        <f aca="false">IFERROR(IF(OR(11&gt;$B$3,ISBLANK(Actuals!M104)),"",('Reforecast Q1 2026'!M104-Actuals!M104)/ABS('Reforecast Q1 2026'!M104)),"")</f>
        <v/>
      </c>
      <c r="AT88" s="131" t="n">
        <f aca="false">'Reforecast Q1 2026'!N104</f>
        <v>-25000</v>
      </c>
      <c r="AU88" s="131" t="str">
        <f aca="false">IF(OR(12&gt;$B$3,ISBLANK(Actuals!N104)),"",Actuals!N104)</f>
        <v/>
      </c>
      <c r="AV88" s="132" t="str">
        <f aca="false">IF(OR(12&gt;$B$3,ISBLANK(Actuals!N104)),"",'Reforecast Q1 2026'!N104-Actuals!N104)</f>
        <v/>
      </c>
      <c r="AW88" s="132" t="str">
        <f aca="false">IFERROR(IF(OR(12&gt;$B$3,ISBLANK(Actuals!N104)),"",('Reforecast Q1 2026'!N104-Actuals!N104)/ABS('Reforecast Q1 2026'!N104)),"")</f>
        <v/>
      </c>
      <c r="AX88" s="133" t="n">
        <f aca="false">SUMPRODUCT((Actuals!C104:N104&lt;&gt;"")*('Reforecast Q1 2026'!C104:N104))</f>
        <v>-349999.98</v>
      </c>
      <c r="AY88" s="133" t="n">
        <f aca="false">SUM(Actuals!C104:N104)</f>
        <v>-599999.94</v>
      </c>
      <c r="AZ88" s="134" t="n">
        <f aca="false">AX88-AY88</f>
        <v>249999.96</v>
      </c>
    </row>
    <row r="89" customFormat="false" ht="15" hidden="false" customHeight="true" outlineLevel="0" collapsed="false">
      <c r="A89" s="130" t="s">
        <v>92</v>
      </c>
      <c r="B89" s="131" t="n">
        <f aca="false">'Reforecast Q1 2026'!C105</f>
        <v>-4731.96</v>
      </c>
      <c r="C89" s="131" t="n">
        <f aca="false">IF(OR(1&gt;$B$3,ISBLANK(Actuals!C105)),"",Actuals!C105)</f>
        <v>-6935.84</v>
      </c>
      <c r="D89" s="132" t="n">
        <f aca="false">IF(OR(1&gt;$B$3,ISBLANK(Actuals!C105)),"",'Reforecast Q1 2026'!C105-Actuals!C105)</f>
        <v>2203.88</v>
      </c>
      <c r="E89" s="132" t="n">
        <f aca="false">IFERROR(IF(OR(1&gt;$B$3,ISBLANK(Actuals!C105)),"",('Reforecast Q1 2026'!C105-Actuals!C105)/ABS('Reforecast Q1 2026'!C105)),"")</f>
        <v>0.465743581940676</v>
      </c>
      <c r="F89" s="131" t="n">
        <f aca="false">'Reforecast Q1 2026'!D105</f>
        <v>-5</v>
      </c>
      <c r="G89" s="131" t="n">
        <f aca="false">IF(OR(2&gt;$B$3,ISBLANK(Actuals!D105)),"",Actuals!D105)</f>
        <v>-2799.88</v>
      </c>
      <c r="H89" s="132" t="n">
        <f aca="false">IF(OR(2&gt;$B$3,ISBLANK(Actuals!D105)),"",'Reforecast Q1 2026'!D105-Actuals!D105)</f>
        <v>2794.88</v>
      </c>
      <c r="I89" s="132" t="n">
        <f aca="false">IFERROR(IF(OR(2&gt;$B$3,ISBLANK(Actuals!D105)),"",('Reforecast Q1 2026'!D105-Actuals!D105)/ABS('Reforecast Q1 2026'!D105)),"")</f>
        <v>558.976</v>
      </c>
      <c r="J89" s="131" t="n">
        <f aca="false">'Reforecast Q1 2026'!E105</f>
        <v>-5</v>
      </c>
      <c r="K89" s="131" t="n">
        <f aca="false">IF(OR(3&gt;$B$3,ISBLANK(Actuals!E105)),"",Actuals!E105)</f>
        <v>-12899.88</v>
      </c>
      <c r="L89" s="132" t="n">
        <f aca="false">IF(OR(3&gt;$B$3,ISBLANK(Actuals!E105)),"",'Reforecast Q1 2026'!E105-Actuals!E105)</f>
        <v>12894.88</v>
      </c>
      <c r="M89" s="132" t="n">
        <f aca="false">IFERROR(IF(OR(3&gt;$B$3,ISBLANK(Actuals!E105)),"",('Reforecast Q1 2026'!E105-Actuals!E105)/ABS('Reforecast Q1 2026'!E105)),"")</f>
        <v>2578.976</v>
      </c>
      <c r="N89" s="131" t="n">
        <f aca="false">'Reforecast Q1 2026'!F105</f>
        <v>-1580.65</v>
      </c>
      <c r="O89" s="131" t="n">
        <f aca="false">IF(OR(4&gt;$B$3,ISBLANK(Actuals!F105)),"",Actuals!F105)</f>
        <v>-2932.88</v>
      </c>
      <c r="P89" s="132" t="n">
        <f aca="false">IF(OR(4&gt;$B$3,ISBLANK(Actuals!F105)),"",'Reforecast Q1 2026'!F105-Actuals!F105)</f>
        <v>1352.23</v>
      </c>
      <c r="Q89" s="132" t="n">
        <f aca="false">IFERROR(IF(OR(4&gt;$B$3,ISBLANK(Actuals!F105)),"",('Reforecast Q1 2026'!F105-Actuals!F105)/ABS('Reforecast Q1 2026'!F105)),"")</f>
        <v>0.855489830133173</v>
      </c>
      <c r="R89" s="131" t="n">
        <f aca="false">'Reforecast Q1 2026'!G105</f>
        <v>-1580.65</v>
      </c>
      <c r="S89" s="131" t="n">
        <f aca="false">IF(OR(5&gt;$B$3,ISBLANK(Actuals!G105)),"",Actuals!G105)</f>
        <v>-5474.88</v>
      </c>
      <c r="T89" s="132" t="n">
        <f aca="false">IF(OR(5&gt;$B$3,ISBLANK(Actuals!G105)),"",'Reforecast Q1 2026'!G105-Actuals!G105)</f>
        <v>3894.23</v>
      </c>
      <c r="U89" s="132" t="n">
        <f aca="false">IFERROR(IF(OR(5&gt;$B$3,ISBLANK(Actuals!G105)),"",('Reforecast Q1 2026'!G105-Actuals!G105)/ABS('Reforecast Q1 2026'!G105)),"")</f>
        <v>2.46368898870718</v>
      </c>
      <c r="V89" s="131" t="n">
        <f aca="false">'Reforecast Q1 2026'!H105</f>
        <v>-1580.65</v>
      </c>
      <c r="W89" s="131" t="n">
        <f aca="false">IF(OR(6&gt;$B$3,ISBLANK(Actuals!H105)),"",Actuals!H105)</f>
        <v>-5</v>
      </c>
      <c r="X89" s="132" t="n">
        <f aca="false">IF(OR(6&gt;$B$3,ISBLANK(Actuals!H105)),"",'Reforecast Q1 2026'!H105-Actuals!H105)</f>
        <v>-1575.65</v>
      </c>
      <c r="Y89" s="132" t="n">
        <f aca="false">IFERROR(IF(OR(6&gt;$B$3,ISBLANK(Actuals!H105)),"",('Reforecast Q1 2026'!H105-Actuals!H105)/ABS('Reforecast Q1 2026'!H105)),"")</f>
        <v>-0.996836744377313</v>
      </c>
      <c r="Z89" s="131" t="n">
        <f aca="false">'Reforecast Q1 2026'!I105</f>
        <v>-1580.65</v>
      </c>
      <c r="AA89" s="131" t="n">
        <f aca="false">IF(OR(7&gt;$B$3,ISBLANK(Actuals!I105)),"",Actuals!I105)</f>
        <v>-255</v>
      </c>
      <c r="AB89" s="132" t="n">
        <f aca="false">IF(OR(7&gt;$B$3,ISBLANK(Actuals!I105)),"",'Reforecast Q1 2026'!I105-Actuals!I105)</f>
        <v>-1325.65</v>
      </c>
      <c r="AC89" s="132" t="n">
        <f aca="false">IFERROR(IF(OR(7&gt;$B$3,ISBLANK(Actuals!I105)),"",('Reforecast Q1 2026'!I105-Actuals!I105)/ABS('Reforecast Q1 2026'!I105)),"")</f>
        <v>-0.83867396324297</v>
      </c>
      <c r="AD89" s="131" t="n">
        <f aca="false">'Reforecast Q1 2026'!J105</f>
        <v>-1580.65</v>
      </c>
      <c r="AE89" s="131" t="n">
        <f aca="false">IF(OR(8&gt;$B$3,ISBLANK(Actuals!J105)),"",Actuals!J105)</f>
        <v>4520.8</v>
      </c>
      <c r="AF89" s="132" t="n">
        <f aca="false">IF(OR(8&gt;$B$3,ISBLANK(Actuals!J105)),"",'Reforecast Q1 2026'!J105-Actuals!J105)</f>
        <v>-6101.45</v>
      </c>
      <c r="AG89" s="132" t="n">
        <f aca="false">IFERROR(IF(OR(8&gt;$B$3,ISBLANK(Actuals!J105)),"",('Reforecast Q1 2026'!J105-Actuals!J105)/ABS('Reforecast Q1 2026'!J105)),"")</f>
        <v>-3.86008920380856</v>
      </c>
      <c r="AH89" s="131" t="n">
        <f aca="false">'Reforecast Q1 2026'!K105</f>
        <v>-1580.65</v>
      </c>
      <c r="AI89" s="131" t="n">
        <f aca="false">IF(OR(9&gt;$B$3,ISBLANK(Actuals!K105)),"",Actuals!K105)</f>
        <v>-5476.82</v>
      </c>
      <c r="AJ89" s="132" t="n">
        <f aca="false">IF(OR(9&gt;$B$3,ISBLANK(Actuals!K105)),"",'Reforecast Q1 2026'!K105-Actuals!K105)</f>
        <v>3896.17</v>
      </c>
      <c r="AK89" s="132" t="n">
        <f aca="false">IFERROR(IF(OR(9&gt;$B$3,ISBLANK(Actuals!K105)),"",('Reforecast Q1 2026'!K105-Actuals!K105)/ABS('Reforecast Q1 2026'!K105)),"")</f>
        <v>2.46491633188878</v>
      </c>
      <c r="AL89" s="131" t="n">
        <f aca="false">'Reforecast Q1 2026'!L105</f>
        <v>-1580.65</v>
      </c>
      <c r="AM89" s="131" t="str">
        <f aca="false">IF(OR(10&gt;$B$3,ISBLANK(Actuals!L105)),"",Actuals!L105)</f>
        <v/>
      </c>
      <c r="AN89" s="132" t="str">
        <f aca="false">IF(OR(10&gt;$B$3,ISBLANK(Actuals!L105)),"",'Reforecast Q1 2026'!L105-Actuals!L105)</f>
        <v/>
      </c>
      <c r="AO89" s="132" t="str">
        <f aca="false">IFERROR(IF(OR(10&gt;$B$3,ISBLANK(Actuals!L105)),"",('Reforecast Q1 2026'!L105-Actuals!L105)/ABS('Reforecast Q1 2026'!L105)),"")</f>
        <v/>
      </c>
      <c r="AP89" s="131" t="n">
        <f aca="false">'Reforecast Q1 2026'!M105</f>
        <v>-1580.65</v>
      </c>
      <c r="AQ89" s="131" t="str">
        <f aca="false">IF(OR(11&gt;$B$3,ISBLANK(Actuals!M105)),"",Actuals!M105)</f>
        <v/>
      </c>
      <c r="AR89" s="132" t="str">
        <f aca="false">IF(OR(11&gt;$B$3,ISBLANK(Actuals!M105)),"",'Reforecast Q1 2026'!M105-Actuals!M105)</f>
        <v/>
      </c>
      <c r="AS89" s="132" t="str">
        <f aca="false">IFERROR(IF(OR(11&gt;$B$3,ISBLANK(Actuals!M105)),"",('Reforecast Q1 2026'!M105-Actuals!M105)/ABS('Reforecast Q1 2026'!M105)),"")</f>
        <v/>
      </c>
      <c r="AT89" s="131" t="n">
        <f aca="false">'Reforecast Q1 2026'!N105</f>
        <v>-1580.65</v>
      </c>
      <c r="AU89" s="131" t="str">
        <f aca="false">IF(OR(12&gt;$B$3,ISBLANK(Actuals!N105)),"",Actuals!N105)</f>
        <v/>
      </c>
      <c r="AV89" s="132" t="str">
        <f aca="false">IF(OR(12&gt;$B$3,ISBLANK(Actuals!N105)),"",'Reforecast Q1 2026'!N105-Actuals!N105)</f>
        <v/>
      </c>
      <c r="AW89" s="132" t="str">
        <f aca="false">IFERROR(IF(OR(12&gt;$B$3,ISBLANK(Actuals!N105)),"",('Reforecast Q1 2026'!N105-Actuals!N105)/ABS('Reforecast Q1 2026'!N105)),"")</f>
        <v/>
      </c>
      <c r="AX89" s="133" t="n">
        <f aca="false">SUMPRODUCT((Actuals!C105:N105&lt;&gt;"")*('Reforecast Q1 2026'!C105:N105))</f>
        <v>-14225.86</v>
      </c>
      <c r="AY89" s="133" t="n">
        <f aca="false">SUM(Actuals!C105:N105)</f>
        <v>-32259.38</v>
      </c>
      <c r="AZ89" s="134" t="n">
        <f aca="false">AX89-AY89</f>
        <v>18033.52</v>
      </c>
    </row>
    <row r="90" customFormat="false" ht="15" hidden="false" customHeight="true" outlineLevel="0" collapsed="false">
      <c r="A90" s="130" t="s">
        <v>93</v>
      </c>
      <c r="B90" s="131" t="n">
        <f aca="false">'Reforecast Q1 2026'!C106</f>
        <v>-658.14</v>
      </c>
      <c r="C90" s="131" t="n">
        <f aca="false">IF(OR(1&gt;$B$3,ISBLANK(Actuals!C106)),"",Actuals!C106)</f>
        <v>-658.14</v>
      </c>
      <c r="D90" s="132" t="n">
        <f aca="false">IF(OR(1&gt;$B$3,ISBLANK(Actuals!C106)),"",'Reforecast Q1 2026'!C106-Actuals!C106)</f>
        <v>0</v>
      </c>
      <c r="E90" s="132" t="n">
        <f aca="false">IFERROR(IF(OR(1&gt;$B$3,ISBLANK(Actuals!C106)),"",('Reforecast Q1 2026'!C106-Actuals!C106)/ABS('Reforecast Q1 2026'!C106)),"")</f>
        <v>0</v>
      </c>
      <c r="F90" s="131" t="n">
        <f aca="false">'Reforecast Q1 2026'!D106</f>
        <v>-310</v>
      </c>
      <c r="G90" s="131" t="n">
        <f aca="false">IF(OR(2&gt;$B$3,ISBLANK(Actuals!D106)),"",Actuals!D106)</f>
        <v>-310</v>
      </c>
      <c r="H90" s="132" t="n">
        <f aca="false">IF(OR(2&gt;$B$3,ISBLANK(Actuals!D106)),"",'Reforecast Q1 2026'!D106-Actuals!D106)</f>
        <v>0</v>
      </c>
      <c r="I90" s="132" t="n">
        <f aca="false">IFERROR(IF(OR(2&gt;$B$3,ISBLANK(Actuals!D106)),"",('Reforecast Q1 2026'!D106-Actuals!D106)/ABS('Reforecast Q1 2026'!D106)),"")</f>
        <v>0</v>
      </c>
      <c r="J90" s="131" t="n">
        <f aca="false">'Reforecast Q1 2026'!E106</f>
        <v>-371.74</v>
      </c>
      <c r="K90" s="131" t="n">
        <f aca="false">IF(OR(3&gt;$B$3,ISBLANK(Actuals!E106)),"",Actuals!E106)</f>
        <v>-371.74</v>
      </c>
      <c r="L90" s="132" t="n">
        <f aca="false">IF(OR(3&gt;$B$3,ISBLANK(Actuals!E106)),"",'Reforecast Q1 2026'!E106-Actuals!E106)</f>
        <v>0</v>
      </c>
      <c r="M90" s="132" t="n">
        <f aca="false">IFERROR(IF(OR(3&gt;$B$3,ISBLANK(Actuals!E106)),"",('Reforecast Q1 2026'!E106-Actuals!E106)/ABS('Reforecast Q1 2026'!E106)),"")</f>
        <v>0</v>
      </c>
      <c r="N90" s="131" t="n">
        <f aca="false">'Reforecast Q1 2026'!F106</f>
        <v>-446.63</v>
      </c>
      <c r="O90" s="131" t="n">
        <f aca="false">IF(OR(4&gt;$B$3,ISBLANK(Actuals!F106)),"",Actuals!F106)</f>
        <v>-857.33</v>
      </c>
      <c r="P90" s="132" t="n">
        <f aca="false">IF(OR(4&gt;$B$3,ISBLANK(Actuals!F106)),"",'Reforecast Q1 2026'!F106-Actuals!F106)</f>
        <v>410.7</v>
      </c>
      <c r="Q90" s="132" t="n">
        <f aca="false">IFERROR(IF(OR(4&gt;$B$3,ISBLANK(Actuals!F106)),"",('Reforecast Q1 2026'!F106-Actuals!F106)/ABS('Reforecast Q1 2026'!F106)),"")</f>
        <v>0.919553097642344</v>
      </c>
      <c r="R90" s="131" t="n">
        <f aca="false">'Reforecast Q1 2026'!G106</f>
        <v>-446.63</v>
      </c>
      <c r="S90" s="131" t="n">
        <f aca="false">IF(OR(5&gt;$B$3,ISBLANK(Actuals!G106)),"",Actuals!G106)</f>
        <v>-305</v>
      </c>
      <c r="T90" s="132" t="n">
        <f aca="false">IF(OR(5&gt;$B$3,ISBLANK(Actuals!G106)),"",'Reforecast Q1 2026'!G106-Actuals!G106)</f>
        <v>-141.63</v>
      </c>
      <c r="U90" s="132" t="n">
        <f aca="false">IFERROR(IF(OR(5&gt;$B$3,ISBLANK(Actuals!G106)),"",('Reforecast Q1 2026'!G106-Actuals!G106)/ABS('Reforecast Q1 2026'!G106)),"")</f>
        <v>-0.317108120815888</v>
      </c>
      <c r="V90" s="131" t="n">
        <f aca="false">'Reforecast Q1 2026'!H106</f>
        <v>-446.63</v>
      </c>
      <c r="W90" s="131" t="n">
        <f aca="false">IF(OR(6&gt;$B$3,ISBLANK(Actuals!H106)),"",Actuals!H106)</f>
        <v>-352.5</v>
      </c>
      <c r="X90" s="132" t="n">
        <f aca="false">IF(OR(6&gt;$B$3,ISBLANK(Actuals!H106)),"",'Reforecast Q1 2026'!H106-Actuals!H106)</f>
        <v>-94.13</v>
      </c>
      <c r="Y90" s="132" t="n">
        <f aca="false">IFERROR(IF(OR(6&gt;$B$3,ISBLANK(Actuals!H106)),"",('Reforecast Q1 2026'!H106-Actuals!H106)/ABS('Reforecast Q1 2026'!H106)),"")</f>
        <v>-0.210756106844592</v>
      </c>
      <c r="Z90" s="131" t="n">
        <f aca="false">'Reforecast Q1 2026'!I106</f>
        <v>-446.63</v>
      </c>
      <c r="AA90" s="131" t="n">
        <f aca="false">IF(OR(7&gt;$B$3,ISBLANK(Actuals!I106)),"",Actuals!I106)</f>
        <v>-204</v>
      </c>
      <c r="AB90" s="132" t="n">
        <f aca="false">IF(OR(7&gt;$B$3,ISBLANK(Actuals!I106)),"",'Reforecast Q1 2026'!I106-Actuals!I106)</f>
        <v>-242.63</v>
      </c>
      <c r="AC90" s="132" t="n">
        <f aca="false">IFERROR(IF(OR(7&gt;$B$3,ISBLANK(Actuals!I106)),"",('Reforecast Q1 2026'!I106-Actuals!I106)/ABS('Reforecast Q1 2026'!I106)),"")</f>
        <v>-0.543246087365381</v>
      </c>
      <c r="AD90" s="131" t="n">
        <f aca="false">'Reforecast Q1 2026'!J106</f>
        <v>-446.63</v>
      </c>
      <c r="AE90" s="131" t="n">
        <f aca="false">IF(OR(8&gt;$B$3,ISBLANK(Actuals!J106)),"",Actuals!J106)</f>
        <v>-1477.65</v>
      </c>
      <c r="AF90" s="132" t="n">
        <f aca="false">IF(OR(8&gt;$B$3,ISBLANK(Actuals!J106)),"",'Reforecast Q1 2026'!J106-Actuals!J106)</f>
        <v>1031.02</v>
      </c>
      <c r="AG90" s="132" t="n">
        <f aca="false">IFERROR(IF(OR(8&gt;$B$3,ISBLANK(Actuals!J106)),"",('Reforecast Q1 2026'!J106-Actuals!J106)/ABS('Reforecast Q1 2026'!J106)),"")</f>
        <v>2.30844323041444</v>
      </c>
      <c r="AH90" s="131" t="n">
        <f aca="false">'Reforecast Q1 2026'!K106</f>
        <v>-446.63</v>
      </c>
      <c r="AI90" s="131" t="n">
        <f aca="false">IF(OR(9&gt;$B$3,ISBLANK(Actuals!K106)),"",Actuals!K106)</f>
        <v>-1132.51</v>
      </c>
      <c r="AJ90" s="132" t="n">
        <f aca="false">IF(OR(9&gt;$B$3,ISBLANK(Actuals!K106)),"",'Reforecast Q1 2026'!K106-Actuals!K106)</f>
        <v>685.88</v>
      </c>
      <c r="AK90" s="132" t="n">
        <f aca="false">IFERROR(IF(OR(9&gt;$B$3,ISBLANK(Actuals!K106)),"",('Reforecast Q1 2026'!K106-Actuals!K106)/ABS('Reforecast Q1 2026'!K106)),"")</f>
        <v>1.53567830195016</v>
      </c>
      <c r="AL90" s="131" t="n">
        <f aca="false">'Reforecast Q1 2026'!L106</f>
        <v>-446.63</v>
      </c>
      <c r="AM90" s="131" t="str">
        <f aca="false">IF(OR(10&gt;$B$3,ISBLANK(Actuals!L106)),"",Actuals!L106)</f>
        <v/>
      </c>
      <c r="AN90" s="132" t="str">
        <f aca="false">IF(OR(10&gt;$B$3,ISBLANK(Actuals!L106)),"",'Reforecast Q1 2026'!L106-Actuals!L106)</f>
        <v/>
      </c>
      <c r="AO90" s="132" t="str">
        <f aca="false">IFERROR(IF(OR(10&gt;$B$3,ISBLANK(Actuals!L106)),"",('Reforecast Q1 2026'!L106-Actuals!L106)/ABS('Reforecast Q1 2026'!L106)),"")</f>
        <v/>
      </c>
      <c r="AP90" s="131" t="n">
        <f aca="false">'Reforecast Q1 2026'!M106</f>
        <v>-446.63</v>
      </c>
      <c r="AQ90" s="131" t="str">
        <f aca="false">IF(OR(11&gt;$B$3,ISBLANK(Actuals!M106)),"",Actuals!M106)</f>
        <v/>
      </c>
      <c r="AR90" s="132" t="str">
        <f aca="false">IF(OR(11&gt;$B$3,ISBLANK(Actuals!M106)),"",'Reforecast Q1 2026'!M106-Actuals!M106)</f>
        <v/>
      </c>
      <c r="AS90" s="132" t="str">
        <f aca="false">IFERROR(IF(OR(11&gt;$B$3,ISBLANK(Actuals!M106)),"",('Reforecast Q1 2026'!M106-Actuals!M106)/ABS('Reforecast Q1 2026'!M106)),"")</f>
        <v/>
      </c>
      <c r="AT90" s="131" t="n">
        <f aca="false">'Reforecast Q1 2026'!N106</f>
        <v>-446.63</v>
      </c>
      <c r="AU90" s="131" t="str">
        <f aca="false">IF(OR(12&gt;$B$3,ISBLANK(Actuals!N106)),"",Actuals!N106)</f>
        <v/>
      </c>
      <c r="AV90" s="132" t="str">
        <f aca="false">IF(OR(12&gt;$B$3,ISBLANK(Actuals!N106)),"",'Reforecast Q1 2026'!N106-Actuals!N106)</f>
        <v/>
      </c>
      <c r="AW90" s="132" t="str">
        <f aca="false">IFERROR(IF(OR(12&gt;$B$3,ISBLANK(Actuals!N106)),"",('Reforecast Q1 2026'!N106-Actuals!N106)/ABS('Reforecast Q1 2026'!N106)),"")</f>
        <v/>
      </c>
      <c r="AX90" s="133" t="n">
        <f aca="false">SUMPRODUCT((Actuals!C106:N106&lt;&gt;"")*('Reforecast Q1 2026'!C106:N106))</f>
        <v>-4019.66</v>
      </c>
      <c r="AY90" s="133" t="n">
        <f aca="false">SUM(Actuals!C106:N106)</f>
        <v>-5668.87</v>
      </c>
      <c r="AZ90" s="134" t="n">
        <f aca="false">AX90-AY90</f>
        <v>1649.21</v>
      </c>
    </row>
    <row r="91" customFormat="false" ht="15" hidden="false" customHeight="true" outlineLevel="0" collapsed="false">
      <c r="A91" s="130" t="s">
        <v>134</v>
      </c>
      <c r="B91" s="131" t="n">
        <f aca="false">'Reforecast Q1 2026'!C107</f>
        <v>0</v>
      </c>
      <c r="C91" s="131" t="str">
        <f aca="false">IF(OR(1&gt;$B$3,ISBLANK(Actuals!C107)),"",Actuals!C107)</f>
        <v/>
      </c>
      <c r="D91" s="132" t="str">
        <f aca="false">IF(OR(1&gt;$B$3,ISBLANK(Actuals!C107)),"",'Reforecast Q1 2026'!C107-Actuals!C107)</f>
        <v/>
      </c>
      <c r="E91" s="132" t="str">
        <f aca="false">IFERROR(IF(OR(1&gt;$B$3,ISBLANK(Actuals!C107)),"",('Reforecast Q1 2026'!C107-Actuals!C107)/ABS('Reforecast Q1 2026'!C107)),"")</f>
        <v/>
      </c>
      <c r="F91" s="131" t="n">
        <f aca="false">'Reforecast Q1 2026'!D107</f>
        <v>0</v>
      </c>
      <c r="G91" s="131" t="str">
        <f aca="false">IF(OR(2&gt;$B$3,ISBLANK(Actuals!D107)),"",Actuals!D107)</f>
        <v/>
      </c>
      <c r="H91" s="132" t="str">
        <f aca="false">IF(OR(2&gt;$B$3,ISBLANK(Actuals!D107)),"",'Reforecast Q1 2026'!D107-Actuals!D107)</f>
        <v/>
      </c>
      <c r="I91" s="132" t="str">
        <f aca="false">IFERROR(IF(OR(2&gt;$B$3,ISBLANK(Actuals!D107)),"",('Reforecast Q1 2026'!D107-Actuals!D107)/ABS('Reforecast Q1 2026'!D107)),"")</f>
        <v/>
      </c>
      <c r="J91" s="131" t="n">
        <f aca="false">'Reforecast Q1 2026'!E107</f>
        <v>0</v>
      </c>
      <c r="K91" s="131" t="str">
        <f aca="false">IF(OR(3&gt;$B$3,ISBLANK(Actuals!E107)),"",Actuals!E107)</f>
        <v/>
      </c>
      <c r="L91" s="132" t="str">
        <f aca="false">IF(OR(3&gt;$B$3,ISBLANK(Actuals!E107)),"",'Reforecast Q1 2026'!E107-Actuals!E107)</f>
        <v/>
      </c>
      <c r="M91" s="132" t="str">
        <f aca="false">IFERROR(IF(OR(3&gt;$B$3,ISBLANK(Actuals!E107)),"",('Reforecast Q1 2026'!E107-Actuals!E107)/ABS('Reforecast Q1 2026'!E107)),"")</f>
        <v/>
      </c>
      <c r="N91" s="131" t="n">
        <f aca="false">'Reforecast Q1 2026'!F107</f>
        <v>0</v>
      </c>
      <c r="O91" s="131" t="str">
        <f aca="false">IF(OR(4&gt;$B$3,ISBLANK(Actuals!F107)),"",Actuals!F107)</f>
        <v/>
      </c>
      <c r="P91" s="132" t="str">
        <f aca="false">IF(OR(4&gt;$B$3,ISBLANK(Actuals!F107)),"",'Reforecast Q1 2026'!F107-Actuals!F107)</f>
        <v/>
      </c>
      <c r="Q91" s="132" t="str">
        <f aca="false">IFERROR(IF(OR(4&gt;$B$3,ISBLANK(Actuals!F107)),"",('Reforecast Q1 2026'!F107-Actuals!F107)/ABS('Reforecast Q1 2026'!F107)),"")</f>
        <v/>
      </c>
      <c r="R91" s="131" t="n">
        <f aca="false">'Reforecast Q1 2026'!G107</f>
        <v>0</v>
      </c>
      <c r="S91" s="131" t="str">
        <f aca="false">IF(OR(5&gt;$B$3,ISBLANK(Actuals!G107)),"",Actuals!G107)</f>
        <v/>
      </c>
      <c r="T91" s="132" t="str">
        <f aca="false">IF(OR(5&gt;$B$3,ISBLANK(Actuals!G107)),"",'Reforecast Q1 2026'!G107-Actuals!G107)</f>
        <v/>
      </c>
      <c r="U91" s="132" t="str">
        <f aca="false">IFERROR(IF(OR(5&gt;$B$3,ISBLANK(Actuals!G107)),"",('Reforecast Q1 2026'!G107-Actuals!G107)/ABS('Reforecast Q1 2026'!G107)),"")</f>
        <v/>
      </c>
      <c r="V91" s="131" t="n">
        <f aca="false">'Reforecast Q1 2026'!H107</f>
        <v>0</v>
      </c>
      <c r="W91" s="131" t="str">
        <f aca="false">IF(OR(6&gt;$B$3,ISBLANK(Actuals!H107)),"",Actuals!H107)</f>
        <v/>
      </c>
      <c r="X91" s="132" t="str">
        <f aca="false">IF(OR(6&gt;$B$3,ISBLANK(Actuals!H107)),"",'Reforecast Q1 2026'!H107-Actuals!H107)</f>
        <v/>
      </c>
      <c r="Y91" s="132" t="str">
        <f aca="false">IFERROR(IF(OR(6&gt;$B$3,ISBLANK(Actuals!H107)),"",('Reforecast Q1 2026'!H107-Actuals!H107)/ABS('Reforecast Q1 2026'!H107)),"")</f>
        <v/>
      </c>
      <c r="Z91" s="131" t="n">
        <f aca="false">'Reforecast Q1 2026'!I107</f>
        <v>0</v>
      </c>
      <c r="AA91" s="131" t="str">
        <f aca="false">IF(OR(7&gt;$B$3,ISBLANK(Actuals!I107)),"",Actuals!I107)</f>
        <v/>
      </c>
      <c r="AB91" s="132" t="str">
        <f aca="false">IF(OR(7&gt;$B$3,ISBLANK(Actuals!I107)),"",'Reforecast Q1 2026'!I107-Actuals!I107)</f>
        <v/>
      </c>
      <c r="AC91" s="132" t="str">
        <f aca="false">IFERROR(IF(OR(7&gt;$B$3,ISBLANK(Actuals!I107)),"",('Reforecast Q1 2026'!I107-Actuals!I107)/ABS('Reforecast Q1 2026'!I107)),"")</f>
        <v/>
      </c>
      <c r="AD91" s="131" t="n">
        <f aca="false">'Reforecast Q1 2026'!J107</f>
        <v>0</v>
      </c>
      <c r="AE91" s="131" t="str">
        <f aca="false">IF(OR(8&gt;$B$3,ISBLANK(Actuals!J107)),"",Actuals!J107)</f>
        <v/>
      </c>
      <c r="AF91" s="132" t="str">
        <f aca="false">IF(OR(8&gt;$B$3,ISBLANK(Actuals!J107)),"",'Reforecast Q1 2026'!J107-Actuals!J107)</f>
        <v/>
      </c>
      <c r="AG91" s="132" t="str">
        <f aca="false">IFERROR(IF(OR(8&gt;$B$3,ISBLANK(Actuals!J107)),"",('Reforecast Q1 2026'!J107-Actuals!J107)/ABS('Reforecast Q1 2026'!J107)),"")</f>
        <v/>
      </c>
      <c r="AH91" s="131" t="n">
        <f aca="false">'Reforecast Q1 2026'!K107</f>
        <v>0</v>
      </c>
      <c r="AI91" s="131" t="str">
        <f aca="false">IF(OR(9&gt;$B$3,ISBLANK(Actuals!K107)),"",Actuals!K107)</f>
        <v/>
      </c>
      <c r="AJ91" s="132" t="str">
        <f aca="false">IF(OR(9&gt;$B$3,ISBLANK(Actuals!K107)),"",'Reforecast Q1 2026'!K107-Actuals!K107)</f>
        <v/>
      </c>
      <c r="AK91" s="132" t="str">
        <f aca="false">IFERROR(IF(OR(9&gt;$B$3,ISBLANK(Actuals!K107)),"",('Reforecast Q1 2026'!K107-Actuals!K107)/ABS('Reforecast Q1 2026'!K107)),"")</f>
        <v/>
      </c>
      <c r="AL91" s="131" t="n">
        <f aca="false">'Reforecast Q1 2026'!L107</f>
        <v>0</v>
      </c>
      <c r="AM91" s="131" t="str">
        <f aca="false">IF(OR(10&gt;$B$3,ISBLANK(Actuals!L107)),"",Actuals!L107)</f>
        <v/>
      </c>
      <c r="AN91" s="132" t="str">
        <f aca="false">IF(OR(10&gt;$B$3,ISBLANK(Actuals!L107)),"",'Reforecast Q1 2026'!L107-Actuals!L107)</f>
        <v/>
      </c>
      <c r="AO91" s="132" t="str">
        <f aca="false">IFERROR(IF(OR(10&gt;$B$3,ISBLANK(Actuals!L107)),"",('Reforecast Q1 2026'!L107-Actuals!L107)/ABS('Reforecast Q1 2026'!L107)),"")</f>
        <v/>
      </c>
      <c r="AP91" s="131" t="n">
        <f aca="false">'Reforecast Q1 2026'!M107</f>
        <v>0</v>
      </c>
      <c r="AQ91" s="131" t="str">
        <f aca="false">IF(OR(11&gt;$B$3,ISBLANK(Actuals!M107)),"",Actuals!M107)</f>
        <v/>
      </c>
      <c r="AR91" s="132" t="str">
        <f aca="false">IF(OR(11&gt;$B$3,ISBLANK(Actuals!M107)),"",'Reforecast Q1 2026'!M107-Actuals!M107)</f>
        <v/>
      </c>
      <c r="AS91" s="132" t="str">
        <f aca="false">IFERROR(IF(OR(11&gt;$B$3,ISBLANK(Actuals!M107)),"",('Reforecast Q1 2026'!M107-Actuals!M107)/ABS('Reforecast Q1 2026'!M107)),"")</f>
        <v/>
      </c>
      <c r="AT91" s="131" t="n">
        <f aca="false">'Reforecast Q1 2026'!N107</f>
        <v>0</v>
      </c>
      <c r="AU91" s="131" t="str">
        <f aca="false">IF(OR(12&gt;$B$3,ISBLANK(Actuals!N107)),"",Actuals!N107)</f>
        <v/>
      </c>
      <c r="AV91" s="132" t="str">
        <f aca="false">IF(OR(12&gt;$B$3,ISBLANK(Actuals!N107)),"",'Reforecast Q1 2026'!N107-Actuals!N107)</f>
        <v/>
      </c>
      <c r="AW91" s="132" t="str">
        <f aca="false">IFERROR(IF(OR(12&gt;$B$3,ISBLANK(Actuals!N107)),"",('Reforecast Q1 2026'!N107-Actuals!N107)/ABS('Reforecast Q1 2026'!N107)),"")</f>
        <v/>
      </c>
      <c r="AX91" s="133" t="n">
        <f aca="false">SUMPRODUCT((Actuals!C107:N107&lt;&gt;"")*('Reforecast Q1 2026'!C107:N107))</f>
        <v>0</v>
      </c>
      <c r="AY91" s="133" t="n">
        <f aca="false">SUM(Actuals!C107:N107)</f>
        <v>0</v>
      </c>
      <c r="AZ91" s="134" t="n">
        <f aca="false">AX91-AY91</f>
        <v>0</v>
      </c>
    </row>
    <row r="92" customFormat="false" ht="15" hidden="false" customHeight="true" outlineLevel="0" collapsed="false">
      <c r="A92" s="130" t="s">
        <v>135</v>
      </c>
      <c r="B92" s="131" t="n">
        <f aca="false">'Reforecast Q1 2026'!C108</f>
        <v>0</v>
      </c>
      <c r="C92" s="131" t="str">
        <f aca="false">IF(OR(1&gt;$B$3,ISBLANK(Actuals!C108)),"",Actuals!C108)</f>
        <v/>
      </c>
      <c r="D92" s="132" t="str">
        <f aca="false">IF(OR(1&gt;$B$3,ISBLANK(Actuals!C108)),"",'Reforecast Q1 2026'!C108-Actuals!C108)</f>
        <v/>
      </c>
      <c r="E92" s="132" t="str">
        <f aca="false">IFERROR(IF(OR(1&gt;$B$3,ISBLANK(Actuals!C108)),"",('Reforecast Q1 2026'!C108-Actuals!C108)/ABS('Reforecast Q1 2026'!C108)),"")</f>
        <v/>
      </c>
      <c r="F92" s="131" t="n">
        <f aca="false">'Reforecast Q1 2026'!D108</f>
        <v>0</v>
      </c>
      <c r="G92" s="131" t="str">
        <f aca="false">IF(OR(2&gt;$B$3,ISBLANK(Actuals!D108)),"",Actuals!D108)</f>
        <v/>
      </c>
      <c r="H92" s="132" t="str">
        <f aca="false">IF(OR(2&gt;$B$3,ISBLANK(Actuals!D108)),"",'Reforecast Q1 2026'!D108-Actuals!D108)</f>
        <v/>
      </c>
      <c r="I92" s="132" t="str">
        <f aca="false">IFERROR(IF(OR(2&gt;$B$3,ISBLANK(Actuals!D108)),"",('Reforecast Q1 2026'!D108-Actuals!D108)/ABS('Reforecast Q1 2026'!D108)),"")</f>
        <v/>
      </c>
      <c r="J92" s="131" t="n">
        <f aca="false">'Reforecast Q1 2026'!E108</f>
        <v>0</v>
      </c>
      <c r="K92" s="131" t="str">
        <f aca="false">IF(OR(3&gt;$B$3,ISBLANK(Actuals!E108)),"",Actuals!E108)</f>
        <v/>
      </c>
      <c r="L92" s="132" t="str">
        <f aca="false">IF(OR(3&gt;$B$3,ISBLANK(Actuals!E108)),"",'Reforecast Q1 2026'!E108-Actuals!E108)</f>
        <v/>
      </c>
      <c r="M92" s="132" t="str">
        <f aca="false">IFERROR(IF(OR(3&gt;$B$3,ISBLANK(Actuals!E108)),"",('Reforecast Q1 2026'!E108-Actuals!E108)/ABS('Reforecast Q1 2026'!E108)),"")</f>
        <v/>
      </c>
      <c r="N92" s="131" t="n">
        <f aca="false">'Reforecast Q1 2026'!F108</f>
        <v>0</v>
      </c>
      <c r="O92" s="131" t="str">
        <f aca="false">IF(OR(4&gt;$B$3,ISBLANK(Actuals!F108)),"",Actuals!F108)</f>
        <v/>
      </c>
      <c r="P92" s="132" t="str">
        <f aca="false">IF(OR(4&gt;$B$3,ISBLANK(Actuals!F108)),"",'Reforecast Q1 2026'!F108-Actuals!F108)</f>
        <v/>
      </c>
      <c r="Q92" s="132" t="str">
        <f aca="false">IFERROR(IF(OR(4&gt;$B$3,ISBLANK(Actuals!F108)),"",('Reforecast Q1 2026'!F108-Actuals!F108)/ABS('Reforecast Q1 2026'!F108)),"")</f>
        <v/>
      </c>
      <c r="R92" s="131" t="n">
        <f aca="false">'Reforecast Q1 2026'!G108</f>
        <v>0</v>
      </c>
      <c r="S92" s="131" t="str">
        <f aca="false">IF(OR(5&gt;$B$3,ISBLANK(Actuals!G108)),"",Actuals!G108)</f>
        <v/>
      </c>
      <c r="T92" s="132" t="str">
        <f aca="false">IF(OR(5&gt;$B$3,ISBLANK(Actuals!G108)),"",'Reforecast Q1 2026'!G108-Actuals!G108)</f>
        <v/>
      </c>
      <c r="U92" s="132" t="str">
        <f aca="false">IFERROR(IF(OR(5&gt;$B$3,ISBLANK(Actuals!G108)),"",('Reforecast Q1 2026'!G108-Actuals!G108)/ABS('Reforecast Q1 2026'!G108)),"")</f>
        <v/>
      </c>
      <c r="V92" s="131" t="n">
        <f aca="false">'Reforecast Q1 2026'!H108</f>
        <v>0</v>
      </c>
      <c r="W92" s="131" t="str">
        <f aca="false">IF(OR(6&gt;$B$3,ISBLANK(Actuals!H108)),"",Actuals!H108)</f>
        <v/>
      </c>
      <c r="X92" s="132" t="str">
        <f aca="false">IF(OR(6&gt;$B$3,ISBLANK(Actuals!H108)),"",'Reforecast Q1 2026'!H108-Actuals!H108)</f>
        <v/>
      </c>
      <c r="Y92" s="132" t="str">
        <f aca="false">IFERROR(IF(OR(6&gt;$B$3,ISBLANK(Actuals!H108)),"",('Reforecast Q1 2026'!H108-Actuals!H108)/ABS('Reforecast Q1 2026'!H108)),"")</f>
        <v/>
      </c>
      <c r="Z92" s="131" t="n">
        <f aca="false">'Reforecast Q1 2026'!I108</f>
        <v>0</v>
      </c>
      <c r="AA92" s="131" t="str">
        <f aca="false">IF(OR(7&gt;$B$3,ISBLANK(Actuals!I108)),"",Actuals!I108)</f>
        <v/>
      </c>
      <c r="AB92" s="132" t="str">
        <f aca="false">IF(OR(7&gt;$B$3,ISBLANK(Actuals!I108)),"",'Reforecast Q1 2026'!I108-Actuals!I108)</f>
        <v/>
      </c>
      <c r="AC92" s="132" t="str">
        <f aca="false">IFERROR(IF(OR(7&gt;$B$3,ISBLANK(Actuals!I108)),"",('Reforecast Q1 2026'!I108-Actuals!I108)/ABS('Reforecast Q1 2026'!I108)),"")</f>
        <v/>
      </c>
      <c r="AD92" s="131" t="n">
        <f aca="false">'Reforecast Q1 2026'!J108</f>
        <v>0</v>
      </c>
      <c r="AE92" s="131" t="str">
        <f aca="false">IF(OR(8&gt;$B$3,ISBLANK(Actuals!J108)),"",Actuals!J108)</f>
        <v/>
      </c>
      <c r="AF92" s="132" t="str">
        <f aca="false">IF(OR(8&gt;$B$3,ISBLANK(Actuals!J108)),"",'Reforecast Q1 2026'!J108-Actuals!J108)</f>
        <v/>
      </c>
      <c r="AG92" s="132" t="str">
        <f aca="false">IFERROR(IF(OR(8&gt;$B$3,ISBLANK(Actuals!J108)),"",('Reforecast Q1 2026'!J108-Actuals!J108)/ABS('Reforecast Q1 2026'!J108)),"")</f>
        <v/>
      </c>
      <c r="AH92" s="131" t="n">
        <f aca="false">'Reforecast Q1 2026'!K108</f>
        <v>0</v>
      </c>
      <c r="AI92" s="131" t="str">
        <f aca="false">IF(OR(9&gt;$B$3,ISBLANK(Actuals!K108)),"",Actuals!K108)</f>
        <v/>
      </c>
      <c r="AJ92" s="132" t="str">
        <f aca="false">IF(OR(9&gt;$B$3,ISBLANK(Actuals!K108)),"",'Reforecast Q1 2026'!K108-Actuals!K108)</f>
        <v/>
      </c>
      <c r="AK92" s="132" t="str">
        <f aca="false">IFERROR(IF(OR(9&gt;$B$3,ISBLANK(Actuals!K108)),"",('Reforecast Q1 2026'!K108-Actuals!K108)/ABS('Reforecast Q1 2026'!K108)),"")</f>
        <v/>
      </c>
      <c r="AL92" s="131" t="n">
        <f aca="false">'Reforecast Q1 2026'!L108</f>
        <v>0</v>
      </c>
      <c r="AM92" s="131" t="str">
        <f aca="false">IF(OR(10&gt;$B$3,ISBLANK(Actuals!L108)),"",Actuals!L108)</f>
        <v/>
      </c>
      <c r="AN92" s="132" t="str">
        <f aca="false">IF(OR(10&gt;$B$3,ISBLANK(Actuals!L108)),"",'Reforecast Q1 2026'!L108-Actuals!L108)</f>
        <v/>
      </c>
      <c r="AO92" s="132" t="str">
        <f aca="false">IFERROR(IF(OR(10&gt;$B$3,ISBLANK(Actuals!L108)),"",('Reforecast Q1 2026'!L108-Actuals!L108)/ABS('Reforecast Q1 2026'!L108)),"")</f>
        <v/>
      </c>
      <c r="AP92" s="131" t="n">
        <f aca="false">'Reforecast Q1 2026'!M108</f>
        <v>0</v>
      </c>
      <c r="AQ92" s="131" t="str">
        <f aca="false">IF(OR(11&gt;$B$3,ISBLANK(Actuals!M108)),"",Actuals!M108)</f>
        <v/>
      </c>
      <c r="AR92" s="132" t="str">
        <f aca="false">IF(OR(11&gt;$B$3,ISBLANK(Actuals!M108)),"",'Reforecast Q1 2026'!M108-Actuals!M108)</f>
        <v/>
      </c>
      <c r="AS92" s="132" t="str">
        <f aca="false">IFERROR(IF(OR(11&gt;$B$3,ISBLANK(Actuals!M108)),"",('Reforecast Q1 2026'!M108-Actuals!M108)/ABS('Reforecast Q1 2026'!M108)),"")</f>
        <v/>
      </c>
      <c r="AT92" s="131" t="n">
        <f aca="false">'Reforecast Q1 2026'!N108</f>
        <v>0</v>
      </c>
      <c r="AU92" s="131" t="str">
        <f aca="false">IF(OR(12&gt;$B$3,ISBLANK(Actuals!N108)),"",Actuals!N108)</f>
        <v/>
      </c>
      <c r="AV92" s="132" t="str">
        <f aca="false">IF(OR(12&gt;$B$3,ISBLANK(Actuals!N108)),"",'Reforecast Q1 2026'!N108-Actuals!N108)</f>
        <v/>
      </c>
      <c r="AW92" s="132" t="str">
        <f aca="false">IFERROR(IF(OR(12&gt;$B$3,ISBLANK(Actuals!N108)),"",('Reforecast Q1 2026'!N108-Actuals!N108)/ABS('Reforecast Q1 2026'!N108)),"")</f>
        <v/>
      </c>
      <c r="AX92" s="133" t="n">
        <f aca="false">SUMPRODUCT((Actuals!C108:N108&lt;&gt;"")*('Reforecast Q1 2026'!C108:N108))</f>
        <v>0</v>
      </c>
      <c r="AY92" s="133" t="n">
        <f aca="false">SUM(Actuals!C108:N108)</f>
        <v>0</v>
      </c>
      <c r="AZ92" s="134" t="n">
        <f aca="false">AX92-AY92</f>
        <v>0</v>
      </c>
    </row>
    <row r="93" customFormat="false" ht="15" hidden="false" customHeight="true" outlineLevel="0" collapsed="false">
      <c r="A93" s="130" t="s">
        <v>136</v>
      </c>
      <c r="B93" s="131" t="n">
        <f aca="false">'Reforecast Q1 2026'!C109</f>
        <v>0</v>
      </c>
      <c r="C93" s="131" t="str">
        <f aca="false">IF(OR(1&gt;$B$3,ISBLANK(Actuals!C109)),"",Actuals!C109)</f>
        <v/>
      </c>
      <c r="D93" s="132" t="str">
        <f aca="false">IF(OR(1&gt;$B$3,ISBLANK(Actuals!C109)),"",'Reforecast Q1 2026'!C109-Actuals!C109)</f>
        <v/>
      </c>
      <c r="E93" s="132" t="str">
        <f aca="false">IFERROR(IF(OR(1&gt;$B$3,ISBLANK(Actuals!C109)),"",('Reforecast Q1 2026'!C109-Actuals!C109)/ABS('Reforecast Q1 2026'!C109)),"")</f>
        <v/>
      </c>
      <c r="F93" s="131" t="n">
        <f aca="false">'Reforecast Q1 2026'!D109</f>
        <v>0</v>
      </c>
      <c r="G93" s="131" t="str">
        <f aca="false">IF(OR(2&gt;$B$3,ISBLANK(Actuals!D109)),"",Actuals!D109)</f>
        <v/>
      </c>
      <c r="H93" s="132" t="str">
        <f aca="false">IF(OR(2&gt;$B$3,ISBLANK(Actuals!D109)),"",'Reforecast Q1 2026'!D109-Actuals!D109)</f>
        <v/>
      </c>
      <c r="I93" s="132" t="str">
        <f aca="false">IFERROR(IF(OR(2&gt;$B$3,ISBLANK(Actuals!D109)),"",('Reforecast Q1 2026'!D109-Actuals!D109)/ABS('Reforecast Q1 2026'!D109)),"")</f>
        <v/>
      </c>
      <c r="J93" s="131" t="n">
        <f aca="false">'Reforecast Q1 2026'!E109</f>
        <v>0</v>
      </c>
      <c r="K93" s="131" t="str">
        <f aca="false">IF(OR(3&gt;$B$3,ISBLANK(Actuals!E109)),"",Actuals!E109)</f>
        <v/>
      </c>
      <c r="L93" s="132" t="str">
        <f aca="false">IF(OR(3&gt;$B$3,ISBLANK(Actuals!E109)),"",'Reforecast Q1 2026'!E109-Actuals!E109)</f>
        <v/>
      </c>
      <c r="M93" s="132" t="str">
        <f aca="false">IFERROR(IF(OR(3&gt;$B$3,ISBLANK(Actuals!E109)),"",('Reforecast Q1 2026'!E109-Actuals!E109)/ABS('Reforecast Q1 2026'!E109)),"")</f>
        <v/>
      </c>
      <c r="N93" s="131" t="n">
        <f aca="false">'Reforecast Q1 2026'!F109</f>
        <v>0</v>
      </c>
      <c r="O93" s="131" t="str">
        <f aca="false">IF(OR(4&gt;$B$3,ISBLANK(Actuals!F109)),"",Actuals!F109)</f>
        <v/>
      </c>
      <c r="P93" s="132" t="str">
        <f aca="false">IF(OR(4&gt;$B$3,ISBLANK(Actuals!F109)),"",'Reforecast Q1 2026'!F109-Actuals!F109)</f>
        <v/>
      </c>
      <c r="Q93" s="132" t="str">
        <f aca="false">IFERROR(IF(OR(4&gt;$B$3,ISBLANK(Actuals!F109)),"",('Reforecast Q1 2026'!F109-Actuals!F109)/ABS('Reforecast Q1 2026'!F109)),"")</f>
        <v/>
      </c>
      <c r="R93" s="131" t="n">
        <f aca="false">'Reforecast Q1 2026'!G109</f>
        <v>0</v>
      </c>
      <c r="S93" s="131" t="str">
        <f aca="false">IF(OR(5&gt;$B$3,ISBLANK(Actuals!G109)),"",Actuals!G109)</f>
        <v/>
      </c>
      <c r="T93" s="132" t="str">
        <f aca="false">IF(OR(5&gt;$B$3,ISBLANK(Actuals!G109)),"",'Reforecast Q1 2026'!G109-Actuals!G109)</f>
        <v/>
      </c>
      <c r="U93" s="132" t="str">
        <f aca="false">IFERROR(IF(OR(5&gt;$B$3,ISBLANK(Actuals!G109)),"",('Reforecast Q1 2026'!G109-Actuals!G109)/ABS('Reforecast Q1 2026'!G109)),"")</f>
        <v/>
      </c>
      <c r="V93" s="131" t="n">
        <f aca="false">'Reforecast Q1 2026'!H109</f>
        <v>0</v>
      </c>
      <c r="W93" s="131" t="str">
        <f aca="false">IF(OR(6&gt;$B$3,ISBLANK(Actuals!H109)),"",Actuals!H109)</f>
        <v/>
      </c>
      <c r="X93" s="132" t="str">
        <f aca="false">IF(OR(6&gt;$B$3,ISBLANK(Actuals!H109)),"",'Reforecast Q1 2026'!H109-Actuals!H109)</f>
        <v/>
      </c>
      <c r="Y93" s="132" t="str">
        <f aca="false">IFERROR(IF(OR(6&gt;$B$3,ISBLANK(Actuals!H109)),"",('Reforecast Q1 2026'!H109-Actuals!H109)/ABS('Reforecast Q1 2026'!H109)),"")</f>
        <v/>
      </c>
      <c r="Z93" s="131" t="n">
        <f aca="false">'Reforecast Q1 2026'!I109</f>
        <v>0</v>
      </c>
      <c r="AA93" s="131" t="str">
        <f aca="false">IF(OR(7&gt;$B$3,ISBLANK(Actuals!I109)),"",Actuals!I109)</f>
        <v/>
      </c>
      <c r="AB93" s="132" t="str">
        <f aca="false">IF(OR(7&gt;$B$3,ISBLANK(Actuals!I109)),"",'Reforecast Q1 2026'!I109-Actuals!I109)</f>
        <v/>
      </c>
      <c r="AC93" s="132" t="str">
        <f aca="false">IFERROR(IF(OR(7&gt;$B$3,ISBLANK(Actuals!I109)),"",('Reforecast Q1 2026'!I109-Actuals!I109)/ABS('Reforecast Q1 2026'!I109)),"")</f>
        <v/>
      </c>
      <c r="AD93" s="131" t="n">
        <f aca="false">'Reforecast Q1 2026'!J109</f>
        <v>0</v>
      </c>
      <c r="AE93" s="131" t="n">
        <f aca="false">IF(OR(8&gt;$B$3,ISBLANK(Actuals!J109)),"",Actuals!J109)</f>
        <v>0</v>
      </c>
      <c r="AF93" s="132" t="n">
        <f aca="false">IF(OR(8&gt;$B$3,ISBLANK(Actuals!J109)),"",'Reforecast Q1 2026'!J109-Actuals!J109)</f>
        <v>0</v>
      </c>
      <c r="AG93" s="132" t="str">
        <f aca="false">IFERROR(IF(OR(8&gt;$B$3,ISBLANK(Actuals!J109)),"",('Reforecast Q1 2026'!J109-Actuals!J109)/ABS('Reforecast Q1 2026'!J109)),"")</f>
        <v/>
      </c>
      <c r="AH93" s="131" t="n">
        <f aca="false">'Reforecast Q1 2026'!K109</f>
        <v>0</v>
      </c>
      <c r="AI93" s="131" t="str">
        <f aca="false">IF(OR(9&gt;$B$3,ISBLANK(Actuals!K109)),"",Actuals!K109)</f>
        <v/>
      </c>
      <c r="AJ93" s="132" t="str">
        <f aca="false">IF(OR(9&gt;$B$3,ISBLANK(Actuals!K109)),"",'Reforecast Q1 2026'!K109-Actuals!K109)</f>
        <v/>
      </c>
      <c r="AK93" s="132" t="str">
        <f aca="false">IFERROR(IF(OR(9&gt;$B$3,ISBLANK(Actuals!K109)),"",('Reforecast Q1 2026'!K109-Actuals!K109)/ABS('Reforecast Q1 2026'!K109)),"")</f>
        <v/>
      </c>
      <c r="AL93" s="131" t="n">
        <f aca="false">'Reforecast Q1 2026'!L109</f>
        <v>0</v>
      </c>
      <c r="AM93" s="131" t="str">
        <f aca="false">IF(OR(10&gt;$B$3,ISBLANK(Actuals!L109)),"",Actuals!L109)</f>
        <v/>
      </c>
      <c r="AN93" s="132" t="str">
        <f aca="false">IF(OR(10&gt;$B$3,ISBLANK(Actuals!L109)),"",'Reforecast Q1 2026'!L109-Actuals!L109)</f>
        <v/>
      </c>
      <c r="AO93" s="132" t="str">
        <f aca="false">IFERROR(IF(OR(10&gt;$B$3,ISBLANK(Actuals!L109)),"",('Reforecast Q1 2026'!L109-Actuals!L109)/ABS('Reforecast Q1 2026'!L109)),"")</f>
        <v/>
      </c>
      <c r="AP93" s="131" t="n">
        <f aca="false">'Reforecast Q1 2026'!M109</f>
        <v>0</v>
      </c>
      <c r="AQ93" s="131" t="str">
        <f aca="false">IF(OR(11&gt;$B$3,ISBLANK(Actuals!M109)),"",Actuals!M109)</f>
        <v/>
      </c>
      <c r="AR93" s="132" t="str">
        <f aca="false">IF(OR(11&gt;$B$3,ISBLANK(Actuals!M109)),"",'Reforecast Q1 2026'!M109-Actuals!M109)</f>
        <v/>
      </c>
      <c r="AS93" s="132" t="str">
        <f aca="false">IFERROR(IF(OR(11&gt;$B$3,ISBLANK(Actuals!M109)),"",('Reforecast Q1 2026'!M109-Actuals!M109)/ABS('Reforecast Q1 2026'!M109)),"")</f>
        <v/>
      </c>
      <c r="AT93" s="131" t="n">
        <f aca="false">'Reforecast Q1 2026'!N109</f>
        <v>0</v>
      </c>
      <c r="AU93" s="131" t="str">
        <f aca="false">IF(OR(12&gt;$B$3,ISBLANK(Actuals!N109)),"",Actuals!N109)</f>
        <v/>
      </c>
      <c r="AV93" s="132" t="str">
        <f aca="false">IF(OR(12&gt;$B$3,ISBLANK(Actuals!N109)),"",'Reforecast Q1 2026'!N109-Actuals!N109)</f>
        <v/>
      </c>
      <c r="AW93" s="132" t="str">
        <f aca="false">IFERROR(IF(OR(12&gt;$B$3,ISBLANK(Actuals!N109)),"",('Reforecast Q1 2026'!N109-Actuals!N109)/ABS('Reforecast Q1 2026'!N109)),"")</f>
        <v/>
      </c>
      <c r="AX93" s="133" t="n">
        <f aca="false">SUMPRODUCT((Actuals!C109:N109&lt;&gt;"")*('Reforecast Q1 2026'!C109:N109))</f>
        <v>0</v>
      </c>
      <c r="AY93" s="133" t="n">
        <f aca="false">SUM(Actuals!C109:N109)</f>
        <v>0</v>
      </c>
      <c r="AZ93" s="134" t="n">
        <f aca="false">AX93-AY93</f>
        <v>0</v>
      </c>
    </row>
    <row r="94" customFormat="false" ht="15" hidden="false" customHeight="true" outlineLevel="0" collapsed="false">
      <c r="A94" s="130" t="s">
        <v>137</v>
      </c>
      <c r="B94" s="131" t="n">
        <f aca="false">'Reforecast Q1 2026'!C110</f>
        <v>0</v>
      </c>
      <c r="C94" s="131" t="str">
        <f aca="false">IF(OR(1&gt;$B$3,ISBLANK(Actuals!C110)),"",Actuals!C110)</f>
        <v/>
      </c>
      <c r="D94" s="132" t="str">
        <f aca="false">IF(OR(1&gt;$B$3,ISBLANK(Actuals!C110)),"",'Reforecast Q1 2026'!C110-Actuals!C110)</f>
        <v/>
      </c>
      <c r="E94" s="132" t="str">
        <f aca="false">IFERROR(IF(OR(1&gt;$B$3,ISBLANK(Actuals!C110)),"",('Reforecast Q1 2026'!C110-Actuals!C110)/ABS('Reforecast Q1 2026'!C110)),"")</f>
        <v/>
      </c>
      <c r="F94" s="131" t="n">
        <f aca="false">'Reforecast Q1 2026'!D110</f>
        <v>0</v>
      </c>
      <c r="G94" s="131" t="str">
        <f aca="false">IF(OR(2&gt;$B$3,ISBLANK(Actuals!D110)),"",Actuals!D110)</f>
        <v/>
      </c>
      <c r="H94" s="132" t="str">
        <f aca="false">IF(OR(2&gt;$B$3,ISBLANK(Actuals!D110)),"",'Reforecast Q1 2026'!D110-Actuals!D110)</f>
        <v/>
      </c>
      <c r="I94" s="132" t="str">
        <f aca="false">IFERROR(IF(OR(2&gt;$B$3,ISBLANK(Actuals!D110)),"",('Reforecast Q1 2026'!D110-Actuals!D110)/ABS('Reforecast Q1 2026'!D110)),"")</f>
        <v/>
      </c>
      <c r="J94" s="131" t="n">
        <f aca="false">'Reforecast Q1 2026'!E110</f>
        <v>0</v>
      </c>
      <c r="K94" s="131" t="str">
        <f aca="false">IF(OR(3&gt;$B$3,ISBLANK(Actuals!E110)),"",Actuals!E110)</f>
        <v/>
      </c>
      <c r="L94" s="132" t="str">
        <f aca="false">IF(OR(3&gt;$B$3,ISBLANK(Actuals!E110)),"",'Reforecast Q1 2026'!E110-Actuals!E110)</f>
        <v/>
      </c>
      <c r="M94" s="132" t="str">
        <f aca="false">IFERROR(IF(OR(3&gt;$B$3,ISBLANK(Actuals!E110)),"",('Reforecast Q1 2026'!E110-Actuals!E110)/ABS('Reforecast Q1 2026'!E110)),"")</f>
        <v/>
      </c>
      <c r="N94" s="131" t="n">
        <f aca="false">'Reforecast Q1 2026'!F110</f>
        <v>0</v>
      </c>
      <c r="O94" s="131" t="str">
        <f aca="false">IF(OR(4&gt;$B$3,ISBLANK(Actuals!F110)),"",Actuals!F110)</f>
        <v/>
      </c>
      <c r="P94" s="132" t="str">
        <f aca="false">IF(OR(4&gt;$B$3,ISBLANK(Actuals!F110)),"",'Reforecast Q1 2026'!F110-Actuals!F110)</f>
        <v/>
      </c>
      <c r="Q94" s="132" t="str">
        <f aca="false">IFERROR(IF(OR(4&gt;$B$3,ISBLANK(Actuals!F110)),"",('Reforecast Q1 2026'!F110-Actuals!F110)/ABS('Reforecast Q1 2026'!F110)),"")</f>
        <v/>
      </c>
      <c r="R94" s="131" t="n">
        <f aca="false">'Reforecast Q1 2026'!G110</f>
        <v>0</v>
      </c>
      <c r="S94" s="131" t="str">
        <f aca="false">IF(OR(5&gt;$B$3,ISBLANK(Actuals!G110)),"",Actuals!G110)</f>
        <v/>
      </c>
      <c r="T94" s="132" t="str">
        <f aca="false">IF(OR(5&gt;$B$3,ISBLANK(Actuals!G110)),"",'Reforecast Q1 2026'!G110-Actuals!G110)</f>
        <v/>
      </c>
      <c r="U94" s="132" t="str">
        <f aca="false">IFERROR(IF(OR(5&gt;$B$3,ISBLANK(Actuals!G110)),"",('Reforecast Q1 2026'!G110-Actuals!G110)/ABS('Reforecast Q1 2026'!G110)),"")</f>
        <v/>
      </c>
      <c r="V94" s="131" t="n">
        <f aca="false">'Reforecast Q1 2026'!H110</f>
        <v>0</v>
      </c>
      <c r="W94" s="131" t="str">
        <f aca="false">IF(OR(6&gt;$B$3,ISBLANK(Actuals!H110)),"",Actuals!H110)</f>
        <v/>
      </c>
      <c r="X94" s="132" t="str">
        <f aca="false">IF(OR(6&gt;$B$3,ISBLANK(Actuals!H110)),"",'Reforecast Q1 2026'!H110-Actuals!H110)</f>
        <v/>
      </c>
      <c r="Y94" s="132" t="str">
        <f aca="false">IFERROR(IF(OR(6&gt;$B$3,ISBLANK(Actuals!H110)),"",('Reforecast Q1 2026'!H110-Actuals!H110)/ABS('Reforecast Q1 2026'!H110)),"")</f>
        <v/>
      </c>
      <c r="Z94" s="131" t="n">
        <f aca="false">'Reforecast Q1 2026'!I110</f>
        <v>0</v>
      </c>
      <c r="AA94" s="131" t="str">
        <f aca="false">IF(OR(7&gt;$B$3,ISBLANK(Actuals!I110)),"",Actuals!I110)</f>
        <v/>
      </c>
      <c r="AB94" s="132" t="str">
        <f aca="false">IF(OR(7&gt;$B$3,ISBLANK(Actuals!I110)),"",'Reforecast Q1 2026'!I110-Actuals!I110)</f>
        <v/>
      </c>
      <c r="AC94" s="132" t="str">
        <f aca="false">IFERROR(IF(OR(7&gt;$B$3,ISBLANK(Actuals!I110)),"",('Reforecast Q1 2026'!I110-Actuals!I110)/ABS('Reforecast Q1 2026'!I110)),"")</f>
        <v/>
      </c>
      <c r="AD94" s="131" t="n">
        <f aca="false">'Reforecast Q1 2026'!J110</f>
        <v>0</v>
      </c>
      <c r="AE94" s="131" t="str">
        <f aca="false">IF(OR(8&gt;$B$3,ISBLANK(Actuals!J110)),"",Actuals!J110)</f>
        <v/>
      </c>
      <c r="AF94" s="132" t="str">
        <f aca="false">IF(OR(8&gt;$B$3,ISBLANK(Actuals!J110)),"",'Reforecast Q1 2026'!J110-Actuals!J110)</f>
        <v/>
      </c>
      <c r="AG94" s="132" t="str">
        <f aca="false">IFERROR(IF(OR(8&gt;$B$3,ISBLANK(Actuals!J110)),"",('Reforecast Q1 2026'!J110-Actuals!J110)/ABS('Reforecast Q1 2026'!J110)),"")</f>
        <v/>
      </c>
      <c r="AH94" s="131" t="n">
        <f aca="false">'Reforecast Q1 2026'!K110</f>
        <v>0</v>
      </c>
      <c r="AI94" s="131" t="str">
        <f aca="false">IF(OR(9&gt;$B$3,ISBLANK(Actuals!K110)),"",Actuals!K110)</f>
        <v/>
      </c>
      <c r="AJ94" s="132" t="str">
        <f aca="false">IF(OR(9&gt;$B$3,ISBLANK(Actuals!K110)),"",'Reforecast Q1 2026'!K110-Actuals!K110)</f>
        <v/>
      </c>
      <c r="AK94" s="132" t="str">
        <f aca="false">IFERROR(IF(OR(9&gt;$B$3,ISBLANK(Actuals!K110)),"",('Reforecast Q1 2026'!K110-Actuals!K110)/ABS('Reforecast Q1 2026'!K110)),"")</f>
        <v/>
      </c>
      <c r="AL94" s="131" t="n">
        <f aca="false">'Reforecast Q1 2026'!L110</f>
        <v>0</v>
      </c>
      <c r="AM94" s="131" t="str">
        <f aca="false">IF(OR(10&gt;$B$3,ISBLANK(Actuals!L110)),"",Actuals!L110)</f>
        <v/>
      </c>
      <c r="AN94" s="132" t="str">
        <f aca="false">IF(OR(10&gt;$B$3,ISBLANK(Actuals!L110)),"",'Reforecast Q1 2026'!L110-Actuals!L110)</f>
        <v/>
      </c>
      <c r="AO94" s="132" t="str">
        <f aca="false">IFERROR(IF(OR(10&gt;$B$3,ISBLANK(Actuals!L110)),"",('Reforecast Q1 2026'!L110-Actuals!L110)/ABS('Reforecast Q1 2026'!L110)),"")</f>
        <v/>
      </c>
      <c r="AP94" s="131" t="n">
        <f aca="false">'Reforecast Q1 2026'!M110</f>
        <v>0</v>
      </c>
      <c r="AQ94" s="131" t="str">
        <f aca="false">IF(OR(11&gt;$B$3,ISBLANK(Actuals!M110)),"",Actuals!M110)</f>
        <v/>
      </c>
      <c r="AR94" s="132" t="str">
        <f aca="false">IF(OR(11&gt;$B$3,ISBLANK(Actuals!M110)),"",'Reforecast Q1 2026'!M110-Actuals!M110)</f>
        <v/>
      </c>
      <c r="AS94" s="132" t="str">
        <f aca="false">IFERROR(IF(OR(11&gt;$B$3,ISBLANK(Actuals!M110)),"",('Reforecast Q1 2026'!M110-Actuals!M110)/ABS('Reforecast Q1 2026'!M110)),"")</f>
        <v/>
      </c>
      <c r="AT94" s="131" t="n">
        <f aca="false">'Reforecast Q1 2026'!N110</f>
        <v>0</v>
      </c>
      <c r="AU94" s="131" t="str">
        <f aca="false">IF(OR(12&gt;$B$3,ISBLANK(Actuals!N110)),"",Actuals!N110)</f>
        <v/>
      </c>
      <c r="AV94" s="132" t="str">
        <f aca="false">IF(OR(12&gt;$B$3,ISBLANK(Actuals!N110)),"",'Reforecast Q1 2026'!N110-Actuals!N110)</f>
        <v/>
      </c>
      <c r="AW94" s="132" t="str">
        <f aca="false">IFERROR(IF(OR(12&gt;$B$3,ISBLANK(Actuals!N110)),"",('Reforecast Q1 2026'!N110-Actuals!N110)/ABS('Reforecast Q1 2026'!N110)),"")</f>
        <v/>
      </c>
      <c r="AX94" s="133" t="n">
        <f aca="false">SUMPRODUCT((Actuals!C110:N110&lt;&gt;"")*('Reforecast Q1 2026'!C110:N110))</f>
        <v>0</v>
      </c>
      <c r="AY94" s="133" t="n">
        <f aca="false">SUM(Actuals!C110:N110)</f>
        <v>0</v>
      </c>
      <c r="AZ94" s="134" t="n">
        <f aca="false">AX94-AY94</f>
        <v>0</v>
      </c>
    </row>
    <row r="95" customFormat="false" ht="15" hidden="false" customHeight="true" outlineLevel="0" collapsed="false">
      <c r="A95" s="130" t="s">
        <v>138</v>
      </c>
      <c r="B95" s="131" t="n">
        <f aca="false">'Reforecast Q1 2026'!C111</f>
        <v>0</v>
      </c>
      <c r="C95" s="131" t="str">
        <f aca="false">IF(OR(1&gt;$B$3,ISBLANK(Actuals!C111)),"",Actuals!C111)</f>
        <v/>
      </c>
      <c r="D95" s="132" t="str">
        <f aca="false">IF(OR(1&gt;$B$3,ISBLANK(Actuals!C111)),"",'Reforecast Q1 2026'!C111-Actuals!C111)</f>
        <v/>
      </c>
      <c r="E95" s="132" t="str">
        <f aca="false">IFERROR(IF(OR(1&gt;$B$3,ISBLANK(Actuals!C111)),"",('Reforecast Q1 2026'!C111-Actuals!C111)/ABS('Reforecast Q1 2026'!C111)),"")</f>
        <v/>
      </c>
      <c r="F95" s="131" t="n">
        <f aca="false">'Reforecast Q1 2026'!D111</f>
        <v>0</v>
      </c>
      <c r="G95" s="131" t="str">
        <f aca="false">IF(OR(2&gt;$B$3,ISBLANK(Actuals!D111)),"",Actuals!D111)</f>
        <v/>
      </c>
      <c r="H95" s="132" t="str">
        <f aca="false">IF(OR(2&gt;$B$3,ISBLANK(Actuals!D111)),"",'Reforecast Q1 2026'!D111-Actuals!D111)</f>
        <v/>
      </c>
      <c r="I95" s="132" t="str">
        <f aca="false">IFERROR(IF(OR(2&gt;$B$3,ISBLANK(Actuals!D111)),"",('Reforecast Q1 2026'!D111-Actuals!D111)/ABS('Reforecast Q1 2026'!D111)),"")</f>
        <v/>
      </c>
      <c r="J95" s="131" t="n">
        <f aca="false">'Reforecast Q1 2026'!E111</f>
        <v>0</v>
      </c>
      <c r="K95" s="131" t="str">
        <f aca="false">IF(OR(3&gt;$B$3,ISBLANK(Actuals!E111)),"",Actuals!E111)</f>
        <v/>
      </c>
      <c r="L95" s="132" t="str">
        <f aca="false">IF(OR(3&gt;$B$3,ISBLANK(Actuals!E111)),"",'Reforecast Q1 2026'!E111-Actuals!E111)</f>
        <v/>
      </c>
      <c r="M95" s="132" t="str">
        <f aca="false">IFERROR(IF(OR(3&gt;$B$3,ISBLANK(Actuals!E111)),"",('Reforecast Q1 2026'!E111-Actuals!E111)/ABS('Reforecast Q1 2026'!E111)),"")</f>
        <v/>
      </c>
      <c r="N95" s="131" t="n">
        <f aca="false">'Reforecast Q1 2026'!F111</f>
        <v>0</v>
      </c>
      <c r="O95" s="131" t="str">
        <f aca="false">IF(OR(4&gt;$B$3,ISBLANK(Actuals!F111)),"",Actuals!F111)</f>
        <v/>
      </c>
      <c r="P95" s="132" t="str">
        <f aca="false">IF(OR(4&gt;$B$3,ISBLANK(Actuals!F111)),"",'Reforecast Q1 2026'!F111-Actuals!F111)</f>
        <v/>
      </c>
      <c r="Q95" s="132" t="str">
        <f aca="false">IFERROR(IF(OR(4&gt;$B$3,ISBLANK(Actuals!F111)),"",('Reforecast Q1 2026'!F111-Actuals!F111)/ABS('Reforecast Q1 2026'!F111)),"")</f>
        <v/>
      </c>
      <c r="R95" s="131" t="n">
        <f aca="false">'Reforecast Q1 2026'!G111</f>
        <v>0</v>
      </c>
      <c r="S95" s="131" t="str">
        <f aca="false">IF(OR(5&gt;$B$3,ISBLANK(Actuals!G111)),"",Actuals!G111)</f>
        <v/>
      </c>
      <c r="T95" s="132" t="str">
        <f aca="false">IF(OR(5&gt;$B$3,ISBLANK(Actuals!G111)),"",'Reforecast Q1 2026'!G111-Actuals!G111)</f>
        <v/>
      </c>
      <c r="U95" s="132" t="str">
        <f aca="false">IFERROR(IF(OR(5&gt;$B$3,ISBLANK(Actuals!G111)),"",('Reforecast Q1 2026'!G111-Actuals!G111)/ABS('Reforecast Q1 2026'!G111)),"")</f>
        <v/>
      </c>
      <c r="V95" s="131" t="n">
        <f aca="false">'Reforecast Q1 2026'!H111</f>
        <v>0</v>
      </c>
      <c r="W95" s="131" t="str">
        <f aca="false">IF(OR(6&gt;$B$3,ISBLANK(Actuals!H111)),"",Actuals!H111)</f>
        <v/>
      </c>
      <c r="X95" s="132" t="str">
        <f aca="false">IF(OR(6&gt;$B$3,ISBLANK(Actuals!H111)),"",'Reforecast Q1 2026'!H111-Actuals!H111)</f>
        <v/>
      </c>
      <c r="Y95" s="132" t="str">
        <f aca="false">IFERROR(IF(OR(6&gt;$B$3,ISBLANK(Actuals!H111)),"",('Reforecast Q1 2026'!H111-Actuals!H111)/ABS('Reforecast Q1 2026'!H111)),"")</f>
        <v/>
      </c>
      <c r="Z95" s="131" t="n">
        <f aca="false">'Reforecast Q1 2026'!I111</f>
        <v>0</v>
      </c>
      <c r="AA95" s="131" t="str">
        <f aca="false">IF(OR(7&gt;$B$3,ISBLANK(Actuals!I111)),"",Actuals!I111)</f>
        <v/>
      </c>
      <c r="AB95" s="132" t="str">
        <f aca="false">IF(OR(7&gt;$B$3,ISBLANK(Actuals!I111)),"",'Reforecast Q1 2026'!I111-Actuals!I111)</f>
        <v/>
      </c>
      <c r="AC95" s="132" t="str">
        <f aca="false">IFERROR(IF(OR(7&gt;$B$3,ISBLANK(Actuals!I111)),"",('Reforecast Q1 2026'!I111-Actuals!I111)/ABS('Reforecast Q1 2026'!I111)),"")</f>
        <v/>
      </c>
      <c r="AD95" s="131" t="n">
        <f aca="false">'Reforecast Q1 2026'!J111</f>
        <v>0</v>
      </c>
      <c r="AE95" s="131" t="str">
        <f aca="false">IF(OR(8&gt;$B$3,ISBLANK(Actuals!J111)),"",Actuals!J111)</f>
        <v/>
      </c>
      <c r="AF95" s="132" t="str">
        <f aca="false">IF(OR(8&gt;$B$3,ISBLANK(Actuals!J111)),"",'Reforecast Q1 2026'!J111-Actuals!J111)</f>
        <v/>
      </c>
      <c r="AG95" s="132" t="str">
        <f aca="false">IFERROR(IF(OR(8&gt;$B$3,ISBLANK(Actuals!J111)),"",('Reforecast Q1 2026'!J111-Actuals!J111)/ABS('Reforecast Q1 2026'!J111)),"")</f>
        <v/>
      </c>
      <c r="AH95" s="131" t="n">
        <f aca="false">'Reforecast Q1 2026'!K111</f>
        <v>0</v>
      </c>
      <c r="AI95" s="131" t="str">
        <f aca="false">IF(OR(9&gt;$B$3,ISBLANK(Actuals!K111)),"",Actuals!K111)</f>
        <v/>
      </c>
      <c r="AJ95" s="132" t="str">
        <f aca="false">IF(OR(9&gt;$B$3,ISBLANK(Actuals!K111)),"",'Reforecast Q1 2026'!K111-Actuals!K111)</f>
        <v/>
      </c>
      <c r="AK95" s="132" t="str">
        <f aca="false">IFERROR(IF(OR(9&gt;$B$3,ISBLANK(Actuals!K111)),"",('Reforecast Q1 2026'!K111-Actuals!K111)/ABS('Reforecast Q1 2026'!K111)),"")</f>
        <v/>
      </c>
      <c r="AL95" s="131" t="n">
        <f aca="false">'Reforecast Q1 2026'!L111</f>
        <v>0</v>
      </c>
      <c r="AM95" s="131" t="str">
        <f aca="false">IF(OR(10&gt;$B$3,ISBLANK(Actuals!L111)),"",Actuals!L111)</f>
        <v/>
      </c>
      <c r="AN95" s="132" t="str">
        <f aca="false">IF(OR(10&gt;$B$3,ISBLANK(Actuals!L111)),"",'Reforecast Q1 2026'!L111-Actuals!L111)</f>
        <v/>
      </c>
      <c r="AO95" s="132" t="str">
        <f aca="false">IFERROR(IF(OR(10&gt;$B$3,ISBLANK(Actuals!L111)),"",('Reforecast Q1 2026'!L111-Actuals!L111)/ABS('Reforecast Q1 2026'!L111)),"")</f>
        <v/>
      </c>
      <c r="AP95" s="131" t="n">
        <f aca="false">'Reforecast Q1 2026'!M111</f>
        <v>0</v>
      </c>
      <c r="AQ95" s="131" t="str">
        <f aca="false">IF(OR(11&gt;$B$3,ISBLANK(Actuals!M111)),"",Actuals!M111)</f>
        <v/>
      </c>
      <c r="AR95" s="132" t="str">
        <f aca="false">IF(OR(11&gt;$B$3,ISBLANK(Actuals!M111)),"",'Reforecast Q1 2026'!M111-Actuals!M111)</f>
        <v/>
      </c>
      <c r="AS95" s="132" t="str">
        <f aca="false">IFERROR(IF(OR(11&gt;$B$3,ISBLANK(Actuals!M111)),"",('Reforecast Q1 2026'!M111-Actuals!M111)/ABS('Reforecast Q1 2026'!M111)),"")</f>
        <v/>
      </c>
      <c r="AT95" s="131" t="n">
        <f aca="false">'Reforecast Q1 2026'!N111</f>
        <v>0</v>
      </c>
      <c r="AU95" s="131" t="str">
        <f aca="false">IF(OR(12&gt;$B$3,ISBLANK(Actuals!N111)),"",Actuals!N111)</f>
        <v/>
      </c>
      <c r="AV95" s="132" t="str">
        <f aca="false">IF(OR(12&gt;$B$3,ISBLANK(Actuals!N111)),"",'Reforecast Q1 2026'!N111-Actuals!N111)</f>
        <v/>
      </c>
      <c r="AW95" s="132" t="str">
        <f aca="false">IFERROR(IF(OR(12&gt;$B$3,ISBLANK(Actuals!N111)),"",('Reforecast Q1 2026'!N111-Actuals!N111)/ABS('Reforecast Q1 2026'!N111)),"")</f>
        <v/>
      </c>
      <c r="AX95" s="133" t="n">
        <f aca="false">SUMPRODUCT((Actuals!C111:N111&lt;&gt;"")*('Reforecast Q1 2026'!C111:N111))</f>
        <v>0</v>
      </c>
      <c r="AY95" s="133" t="n">
        <f aca="false">SUM(Actuals!C111:N111)</f>
        <v>0</v>
      </c>
      <c r="AZ95" s="134" t="n">
        <f aca="false">AX95-AY95</f>
        <v>0</v>
      </c>
    </row>
    <row r="96" customFormat="false" ht="15" hidden="false" customHeight="true" outlineLevel="0" collapsed="false">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c r="AA96" s="108"/>
      <c r="AB96" s="108"/>
      <c r="AC96" s="108"/>
      <c r="AD96" s="108"/>
      <c r="AE96" s="108"/>
      <c r="AF96" s="108"/>
      <c r="AG96" s="108"/>
      <c r="AH96" s="108"/>
      <c r="AI96" s="108"/>
      <c r="AJ96" s="108"/>
      <c r="AK96" s="108"/>
      <c r="AL96" s="108"/>
      <c r="AM96" s="108"/>
      <c r="AN96" s="108"/>
      <c r="AO96" s="108"/>
      <c r="AP96" s="108"/>
      <c r="AQ96" s="108"/>
      <c r="AR96" s="108"/>
      <c r="AS96" s="108"/>
      <c r="AT96" s="108"/>
      <c r="AU96" s="108"/>
      <c r="AV96" s="108"/>
      <c r="AW96" s="108"/>
      <c r="AX96" s="108"/>
      <c r="AY96" s="108"/>
      <c r="AZ96" s="108"/>
    </row>
    <row r="97" customFormat="false" ht="15" hidden="false" customHeight="true" outlineLevel="0" collapsed="false">
      <c r="A97" s="135" t="s">
        <v>518</v>
      </c>
      <c r="B97" s="136" t="n">
        <f aca="false">SUM(B6:B13)+SUM(B15:B95)</f>
        <v>-202748.04</v>
      </c>
      <c r="C97" s="136" t="n">
        <f aca="false">SUM(C6:C13)+SUM(C15:C95)</f>
        <v>-206557.78</v>
      </c>
      <c r="D97" s="136" t="n">
        <f aca="false">SUM(D6:D13)+SUM(D15:D95)</f>
        <v>3809.74</v>
      </c>
      <c r="E97" s="136"/>
      <c r="F97" s="136" t="n">
        <f aca="false">SUM(F6:F13)+SUM(F15:F95)</f>
        <v>-465294.64</v>
      </c>
      <c r="G97" s="136" t="n">
        <f aca="false">SUM(G6:G13)+SUM(G15:G95)</f>
        <v>-469696.73</v>
      </c>
      <c r="H97" s="136" t="n">
        <f aca="false">SUM(H6:H13)+SUM(H15:H95)</f>
        <v>4402.08999999999</v>
      </c>
      <c r="I97" s="136"/>
      <c r="J97" s="136" t="n">
        <f aca="false">SUM(J6:J13)+SUM(J15:J95)</f>
        <v>35842.0500000003</v>
      </c>
      <c r="K97" s="136" t="n">
        <f aca="false">SUM(K6:K13)+SUM(K15:K95)</f>
        <v>21337.2600000002</v>
      </c>
      <c r="L97" s="136" t="n">
        <f aca="false">SUM(L6:L13)+SUM(L15:L95)</f>
        <v>14504.79</v>
      </c>
      <c r="M97" s="136"/>
      <c r="N97" s="136" t="n">
        <f aca="false">SUM(N6:N13)+SUM(N15:N95)</f>
        <v>42717.9922202429</v>
      </c>
      <c r="O97" s="136" t="n">
        <f aca="false">SUM(O6:O13)+SUM(O15:O95)</f>
        <v>212136.55</v>
      </c>
      <c r="P97" s="136" t="n">
        <f aca="false">SUM(P6:P13)+SUM(P15:P95)</f>
        <v>-178918.557779757</v>
      </c>
      <c r="Q97" s="136"/>
      <c r="R97" s="136" t="n">
        <f aca="false">SUM(R6:R13)+SUM(R15:R95)</f>
        <v>-29679.925088813</v>
      </c>
      <c r="S97" s="136" t="n">
        <f aca="false">SUM(S6:S13)+SUM(S15:S95)</f>
        <v>-188293.09</v>
      </c>
      <c r="T97" s="136" t="n">
        <f aca="false">SUM(T6:T13)+SUM(T15:T95)</f>
        <v>149113.164911187</v>
      </c>
      <c r="U97" s="136"/>
      <c r="V97" s="136" t="n">
        <f aca="false">SUM(V6:V13)+SUM(V15:V95)</f>
        <v>-59054.9222056931</v>
      </c>
      <c r="W97" s="136" t="n">
        <f aca="false">SUM(W6:W13)+SUM(W15:W95)</f>
        <v>449429.350000001</v>
      </c>
      <c r="X97" s="136" t="n">
        <f aca="false">SUM(X6:X13)+SUM(X15:X95)</f>
        <v>-517984.272205694</v>
      </c>
      <c r="Y97" s="136"/>
      <c r="Z97" s="136" t="n">
        <f aca="false">SUM(Z6:Z13)+SUM(Z15:Z95)</f>
        <v>444413.23693596</v>
      </c>
      <c r="AA97" s="136" t="n">
        <f aca="false">SUM(AA6:AA13)+SUM(AA15:AA95)</f>
        <v>1327689.46</v>
      </c>
      <c r="AB97" s="136" t="n">
        <f aca="false">SUM(AB6:AB13)+SUM(AB15:AB95)</f>
        <v>-883276.22306404</v>
      </c>
      <c r="AC97" s="136"/>
      <c r="AD97" s="136" t="n">
        <f aca="false">SUM(AD6:AD13)+SUM(AD15:AD95)</f>
        <v>137353.04008154</v>
      </c>
      <c r="AE97" s="136" t="n">
        <f aca="false">SUM(AE6:AE13)+SUM(AE15:AE95)</f>
        <v>172720.41</v>
      </c>
      <c r="AF97" s="136" t="n">
        <f aca="false">SUM(AF6:AF13)+SUM(AF15:AF95)</f>
        <v>-35367.3699184602</v>
      </c>
      <c r="AG97" s="136"/>
      <c r="AH97" s="136" t="n">
        <f aca="false">SUM(AH6:AH13)+SUM(AH15:AH95)</f>
        <v>136519.707981801</v>
      </c>
      <c r="AI97" s="136" t="n">
        <f aca="false">SUM(AI6:AI13)+SUM(AI15:AI95)</f>
        <v>-212630.01</v>
      </c>
      <c r="AJ97" s="136" t="n">
        <f aca="false">SUM(AJ6:AJ13)+SUM(AJ15:AJ95)</f>
        <v>349149.717981801</v>
      </c>
      <c r="AK97" s="136"/>
      <c r="AL97" s="136" t="n">
        <f aca="false">SUM(AL6:AL13)+SUM(AL15:AL95)</f>
        <v>441570.278826481</v>
      </c>
      <c r="AM97" s="136" t="n">
        <f aca="false">SUM(AM6:AM13)+SUM(AM15:AM95)</f>
        <v>0</v>
      </c>
      <c r="AN97" s="136" t="n">
        <f aca="false">SUM(AN6:AN13)+SUM(AN15:AN95)</f>
        <v>0</v>
      </c>
      <c r="AO97" s="136"/>
      <c r="AP97" s="136" t="n">
        <f aca="false">SUM(AP6:AP13)+SUM(AP15:AP95)</f>
        <v>463196.206572316</v>
      </c>
      <c r="AQ97" s="136" t="n">
        <f aca="false">SUM(AQ6:AQ13)+SUM(AQ15:AQ95)</f>
        <v>0</v>
      </c>
      <c r="AR97" s="136" t="n">
        <f aca="false">SUM(AR6:AR13)+SUM(AR15:AR95)</f>
        <v>0</v>
      </c>
      <c r="AS97" s="136"/>
      <c r="AT97" s="136" t="n">
        <f aca="false">SUM(AT6:AT13)+SUM(AT15:AT95)</f>
        <v>210821.122324942</v>
      </c>
      <c r="AU97" s="136" t="n">
        <f aca="false">SUM(AU6:AU13)+SUM(AU15:AU95)</f>
        <v>0</v>
      </c>
      <c r="AV97" s="136" t="n">
        <f aca="false">SUM(AV6:AV13)+SUM(AV15:AV95)</f>
        <v>0</v>
      </c>
      <c r="AW97" s="136"/>
      <c r="AX97" s="136" t="n">
        <f aca="false">SUM(AX6:AX13)+SUM(AX15:AX95)</f>
        <v>233391.389925037</v>
      </c>
      <c r="AY97" s="136" t="n">
        <f aca="false">SUM(AY6:AY13)+SUM(AY15:AY95)</f>
        <v>1327124.98</v>
      </c>
      <c r="AZ97" s="136" t="n">
        <f aca="false">SUM(AZ6:AZ13)+SUM(AZ15:AZ95)</f>
        <v>-1093733.59007497</v>
      </c>
    </row>
    <row r="98" customFormat="false" ht="15" hidden="false" customHeight="true" outlineLevel="0" collapsed="false">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c r="AA98" s="137"/>
      <c r="AB98" s="137"/>
      <c r="AC98" s="137"/>
      <c r="AD98" s="137"/>
      <c r="AE98" s="137"/>
      <c r="AF98" s="137"/>
      <c r="AG98" s="137"/>
      <c r="AH98" s="137"/>
      <c r="AI98" s="137"/>
      <c r="AJ98" s="137"/>
      <c r="AK98" s="137"/>
      <c r="AL98" s="137"/>
      <c r="AM98" s="137"/>
      <c r="AN98" s="137"/>
      <c r="AO98" s="137"/>
      <c r="AP98" s="137"/>
      <c r="AQ98" s="137"/>
      <c r="AR98" s="137"/>
      <c r="AS98" s="137"/>
      <c r="AT98" s="137"/>
      <c r="AU98" s="137"/>
      <c r="AV98" s="137"/>
      <c r="AW98" s="137"/>
      <c r="AX98" s="137"/>
      <c r="AY98" s="137"/>
      <c r="AZ98" s="137"/>
    </row>
    <row r="99" customFormat="false" ht="15" hidden="false" customHeight="true" outlineLevel="0" collapsed="false">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c r="AA99" s="137"/>
      <c r="AB99" s="137"/>
      <c r="AC99" s="137"/>
      <c r="AD99" s="137"/>
      <c r="AE99" s="137"/>
      <c r="AF99" s="137"/>
      <c r="AG99" s="137"/>
      <c r="AH99" s="137"/>
      <c r="AI99" s="137"/>
      <c r="AJ99" s="137"/>
      <c r="AK99" s="137"/>
      <c r="AL99" s="137"/>
      <c r="AM99" s="137"/>
      <c r="AN99" s="137"/>
      <c r="AO99" s="137"/>
      <c r="AP99" s="137"/>
      <c r="AQ99" s="137"/>
      <c r="AR99" s="137"/>
      <c r="AS99" s="137"/>
      <c r="AT99" s="137"/>
      <c r="AU99" s="137"/>
      <c r="AV99" s="137"/>
      <c r="AW99" s="137"/>
      <c r="AX99" s="137"/>
      <c r="AY99" s="137"/>
      <c r="AZ99" s="137"/>
    </row>
    <row r="100" customFormat="false" ht="15" hidden="false" customHeight="true" outlineLevel="0" collapsed="false">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c r="AA100" s="137"/>
      <c r="AB100" s="137"/>
      <c r="AC100" s="137"/>
      <c r="AD100" s="137"/>
      <c r="AE100" s="137"/>
      <c r="AF100" s="137"/>
      <c r="AG100" s="137"/>
      <c r="AH100" s="137"/>
      <c r="AI100" s="137"/>
      <c r="AJ100" s="137"/>
      <c r="AK100" s="137"/>
      <c r="AL100" s="137"/>
      <c r="AM100" s="137"/>
      <c r="AN100" s="137"/>
      <c r="AO100" s="137"/>
      <c r="AP100" s="137"/>
      <c r="AQ100" s="137"/>
      <c r="AR100" s="137"/>
      <c r="AS100" s="137"/>
      <c r="AT100" s="137"/>
      <c r="AU100" s="137"/>
      <c r="AV100" s="137"/>
      <c r="AW100" s="137"/>
      <c r="AX100" s="137"/>
      <c r="AY100" s="137"/>
      <c r="AZ100" s="137"/>
    </row>
    <row r="101" customFormat="false" ht="15" hidden="false" customHeight="true" outlineLevel="0" collapsed="false">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c r="AA101" s="137"/>
      <c r="AB101" s="137"/>
      <c r="AC101" s="137"/>
      <c r="AD101" s="137"/>
      <c r="AE101" s="137"/>
      <c r="AF101" s="137"/>
      <c r="AG101" s="137"/>
      <c r="AH101" s="137"/>
      <c r="AI101" s="137"/>
      <c r="AJ101" s="137"/>
      <c r="AK101" s="137"/>
      <c r="AL101" s="137"/>
      <c r="AM101" s="137"/>
      <c r="AN101" s="137"/>
      <c r="AO101" s="137"/>
      <c r="AP101" s="137"/>
      <c r="AQ101" s="137"/>
      <c r="AR101" s="137"/>
      <c r="AS101" s="137"/>
      <c r="AT101" s="137"/>
      <c r="AU101" s="137"/>
      <c r="AV101" s="137"/>
      <c r="AW101" s="137"/>
      <c r="AX101" s="137"/>
      <c r="AY101" s="137"/>
      <c r="AZ101" s="137"/>
    </row>
    <row r="102" customFormat="false" ht="15" hidden="false" customHeight="true" outlineLevel="0" collapsed="false">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c r="AA102" s="137"/>
      <c r="AB102" s="137"/>
      <c r="AC102" s="137"/>
      <c r="AD102" s="137"/>
      <c r="AE102" s="137"/>
      <c r="AF102" s="137"/>
      <c r="AG102" s="137"/>
      <c r="AH102" s="137"/>
      <c r="AI102" s="137"/>
      <c r="AJ102" s="137"/>
      <c r="AK102" s="137"/>
      <c r="AL102" s="137"/>
      <c r="AM102" s="137"/>
      <c r="AN102" s="137"/>
      <c r="AO102" s="137"/>
      <c r="AP102" s="137"/>
      <c r="AQ102" s="137"/>
      <c r="AR102" s="137"/>
      <c r="AS102" s="137"/>
      <c r="AT102" s="137"/>
      <c r="AU102" s="137"/>
      <c r="AV102" s="137"/>
      <c r="AW102" s="137"/>
      <c r="AX102" s="137"/>
      <c r="AY102" s="137"/>
      <c r="AZ102" s="137"/>
    </row>
    <row r="103" customFormat="false" ht="15" hidden="false" customHeight="true" outlineLevel="0" collapsed="false">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c r="AA103" s="137"/>
      <c r="AB103" s="137"/>
      <c r="AC103" s="137"/>
      <c r="AD103" s="137"/>
      <c r="AE103" s="137"/>
      <c r="AF103" s="137"/>
      <c r="AG103" s="137"/>
      <c r="AH103" s="137"/>
      <c r="AI103" s="137"/>
      <c r="AJ103" s="137"/>
      <c r="AK103" s="137"/>
      <c r="AL103" s="137"/>
      <c r="AM103" s="137"/>
      <c r="AN103" s="137"/>
      <c r="AO103" s="137"/>
      <c r="AP103" s="137"/>
      <c r="AQ103" s="137"/>
      <c r="AR103" s="137"/>
      <c r="AS103" s="137"/>
      <c r="AT103" s="137"/>
      <c r="AU103" s="137"/>
      <c r="AV103" s="137"/>
      <c r="AW103" s="137"/>
      <c r="AX103" s="137"/>
      <c r="AY103" s="137"/>
      <c r="AZ103" s="137"/>
    </row>
    <row r="104" customFormat="false" ht="15" hidden="false" customHeight="true" outlineLevel="0" collapsed="false">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c r="AA104" s="137"/>
      <c r="AB104" s="137"/>
      <c r="AC104" s="137"/>
      <c r="AD104" s="137"/>
      <c r="AE104" s="137"/>
      <c r="AF104" s="137"/>
      <c r="AG104" s="137"/>
      <c r="AH104" s="137"/>
      <c r="AI104" s="137"/>
      <c r="AJ104" s="137"/>
      <c r="AK104" s="137"/>
      <c r="AL104" s="137"/>
      <c r="AM104" s="137"/>
      <c r="AN104" s="137"/>
      <c r="AO104" s="137"/>
      <c r="AP104" s="137"/>
      <c r="AQ104" s="137"/>
      <c r="AR104" s="137"/>
      <c r="AS104" s="137"/>
      <c r="AT104" s="137"/>
      <c r="AU104" s="137"/>
      <c r="AV104" s="137"/>
      <c r="AW104" s="137"/>
      <c r="AX104" s="137"/>
      <c r="AY104" s="137"/>
      <c r="AZ104" s="137"/>
    </row>
    <row r="105" customFormat="false" ht="15" hidden="false" customHeight="true" outlineLevel="0" collapsed="false">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c r="AA105" s="137"/>
      <c r="AB105" s="137"/>
      <c r="AC105" s="137"/>
      <c r="AD105" s="137"/>
      <c r="AE105" s="137"/>
      <c r="AF105" s="137"/>
      <c r="AG105" s="137"/>
      <c r="AH105" s="137"/>
      <c r="AI105" s="137"/>
      <c r="AJ105" s="137"/>
      <c r="AK105" s="137"/>
      <c r="AL105" s="137"/>
      <c r="AM105" s="137"/>
      <c r="AN105" s="137"/>
      <c r="AO105" s="137"/>
      <c r="AP105" s="137"/>
      <c r="AQ105" s="137"/>
      <c r="AR105" s="137"/>
      <c r="AS105" s="137"/>
      <c r="AT105" s="137"/>
      <c r="AU105" s="137"/>
      <c r="AV105" s="137"/>
      <c r="AW105" s="137"/>
      <c r="AX105" s="137"/>
      <c r="AY105" s="137"/>
      <c r="AZ105" s="137"/>
    </row>
    <row r="106" customFormat="false" ht="15" hidden="false" customHeight="true" outlineLevel="0" collapsed="false">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c r="AA106" s="137"/>
      <c r="AB106" s="137"/>
      <c r="AC106" s="137"/>
      <c r="AD106" s="137"/>
      <c r="AE106" s="137"/>
      <c r="AF106" s="137"/>
      <c r="AG106" s="137"/>
      <c r="AH106" s="137"/>
      <c r="AI106" s="137"/>
      <c r="AJ106" s="137"/>
      <c r="AK106" s="137"/>
      <c r="AL106" s="137"/>
      <c r="AM106" s="137"/>
      <c r="AN106" s="137"/>
      <c r="AO106" s="137"/>
      <c r="AP106" s="137"/>
      <c r="AQ106" s="137"/>
      <c r="AR106" s="137"/>
      <c r="AS106" s="137"/>
      <c r="AT106" s="137"/>
      <c r="AU106" s="137"/>
      <c r="AV106" s="137"/>
      <c r="AW106" s="137"/>
      <c r="AX106" s="137"/>
      <c r="AY106" s="137"/>
      <c r="AZ106" s="137"/>
    </row>
    <row r="107" customFormat="false" ht="15" hidden="false" customHeight="true" outlineLevel="0" collapsed="false">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c r="AA107" s="137"/>
      <c r="AB107" s="137"/>
      <c r="AC107" s="137"/>
      <c r="AD107" s="137"/>
      <c r="AE107" s="137"/>
      <c r="AF107" s="137"/>
      <c r="AG107" s="137"/>
      <c r="AH107" s="137"/>
      <c r="AI107" s="137"/>
      <c r="AJ107" s="137"/>
      <c r="AK107" s="137"/>
      <c r="AL107" s="137"/>
      <c r="AM107" s="137"/>
      <c r="AN107" s="137"/>
      <c r="AO107" s="137"/>
      <c r="AP107" s="137"/>
      <c r="AQ107" s="137"/>
      <c r="AR107" s="137"/>
      <c r="AS107" s="137"/>
      <c r="AT107" s="137"/>
      <c r="AU107" s="137"/>
      <c r="AV107" s="137"/>
      <c r="AW107" s="137"/>
      <c r="AX107" s="137"/>
      <c r="AY107" s="137"/>
      <c r="AZ107" s="137"/>
    </row>
    <row r="108" customFormat="false" ht="15" hidden="false" customHeight="true" outlineLevel="0" collapsed="false">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c r="AA108" s="137"/>
      <c r="AB108" s="137"/>
      <c r="AC108" s="137"/>
      <c r="AD108" s="137"/>
      <c r="AE108" s="137"/>
      <c r="AF108" s="137"/>
      <c r="AG108" s="137"/>
      <c r="AH108" s="137"/>
      <c r="AI108" s="137"/>
      <c r="AJ108" s="137"/>
      <c r="AK108" s="137"/>
      <c r="AL108" s="137"/>
      <c r="AM108" s="137"/>
      <c r="AN108" s="137"/>
      <c r="AO108" s="137"/>
      <c r="AP108" s="137"/>
      <c r="AQ108" s="137"/>
      <c r="AR108" s="137"/>
      <c r="AS108" s="137"/>
      <c r="AT108" s="137"/>
      <c r="AU108" s="137"/>
      <c r="AV108" s="137"/>
      <c r="AW108" s="137"/>
      <c r="AX108" s="137"/>
      <c r="AY108" s="137"/>
      <c r="AZ108" s="137"/>
    </row>
    <row r="109" customFormat="false" ht="15" hidden="false" customHeight="true" outlineLevel="0" collapsed="false">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c r="AA109" s="137"/>
      <c r="AB109" s="137"/>
      <c r="AC109" s="137"/>
      <c r="AD109" s="137"/>
      <c r="AE109" s="137"/>
      <c r="AF109" s="137"/>
      <c r="AG109" s="137"/>
      <c r="AH109" s="137"/>
      <c r="AI109" s="137"/>
      <c r="AJ109" s="137"/>
      <c r="AK109" s="137"/>
      <c r="AL109" s="137"/>
      <c r="AM109" s="137"/>
      <c r="AN109" s="137"/>
      <c r="AO109" s="137"/>
      <c r="AP109" s="137"/>
      <c r="AQ109" s="137"/>
      <c r="AR109" s="137"/>
      <c r="AS109" s="137"/>
      <c r="AT109" s="137"/>
      <c r="AU109" s="137"/>
      <c r="AV109" s="137"/>
      <c r="AW109" s="137"/>
      <c r="AX109" s="137"/>
      <c r="AY109" s="137"/>
      <c r="AZ109" s="137"/>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265625" defaultRowHeight="13.5" customHeight="false"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520</v>
      </c>
    </row>
    <row r="2" customFormat="false" ht="15" hidden="false" customHeight="true" outlineLevel="0" collapsed="false">
      <c r="A2" s="72" t="s">
        <v>521</v>
      </c>
      <c r="C2" s="120" t="n">
        <v>46023</v>
      </c>
      <c r="D2" s="120" t="n">
        <v>46054</v>
      </c>
      <c r="E2" s="120" t="n">
        <v>46082</v>
      </c>
      <c r="F2" s="120" t="n">
        <v>46113</v>
      </c>
      <c r="G2" s="120" t="n">
        <v>46143</v>
      </c>
      <c r="H2" s="120" t="n">
        <v>46174</v>
      </c>
      <c r="I2" s="120" t="n">
        <v>46204</v>
      </c>
      <c r="J2" s="120" t="n">
        <v>46235</v>
      </c>
      <c r="K2" s="120" t="n">
        <v>46266</v>
      </c>
      <c r="L2" s="120" t="n">
        <v>46296</v>
      </c>
      <c r="M2" s="120" t="n">
        <v>46327</v>
      </c>
      <c r="N2" s="120"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38" t="s">
        <v>4</v>
      </c>
      <c r="C8" s="139" t="n">
        <v>189686.63</v>
      </c>
      <c r="D8" s="139" t="n">
        <v>189686.63</v>
      </c>
      <c r="E8" s="139" t="n">
        <v>189686.63</v>
      </c>
      <c r="F8" s="139" t="n">
        <v>189686.63</v>
      </c>
      <c r="G8" s="139" t="n">
        <v>293206.86</v>
      </c>
      <c r="H8" s="139" t="n">
        <v>293206.86</v>
      </c>
      <c r="I8" s="139" t="n">
        <v>293206.86</v>
      </c>
      <c r="J8" s="139" t="n">
        <v>293206.86</v>
      </c>
      <c r="K8" s="139" t="n">
        <v>293206.86</v>
      </c>
      <c r="L8" s="139" t="n">
        <v>293206.86</v>
      </c>
      <c r="M8" s="139" t="n">
        <v>293206.86</v>
      </c>
      <c r="N8" s="139" t="n">
        <v>260706.85</v>
      </c>
    </row>
    <row r="9" customFormat="false" ht="15" hidden="false" customHeight="true" outlineLevel="0" collapsed="false">
      <c r="A9" s="130" t="s">
        <v>354</v>
      </c>
      <c r="C9" s="139" t="n">
        <v>0</v>
      </c>
      <c r="D9" s="139" t="n">
        <v>0</v>
      </c>
      <c r="E9" s="139" t="n">
        <v>0</v>
      </c>
      <c r="F9" s="139" t="n">
        <v>0</v>
      </c>
      <c r="G9" s="139" t="n">
        <v>0</v>
      </c>
      <c r="H9" s="139" t="n">
        <v>0</v>
      </c>
      <c r="I9" s="139" t="n">
        <v>0</v>
      </c>
      <c r="J9" s="139" t="n">
        <v>0</v>
      </c>
      <c r="K9" s="139" t="n">
        <v>0</v>
      </c>
      <c r="L9" s="139" t="n">
        <v>0</v>
      </c>
      <c r="M9" s="139" t="n">
        <v>0</v>
      </c>
      <c r="N9" s="139" t="n">
        <v>0</v>
      </c>
    </row>
    <row r="10" customFormat="false" ht="15" hidden="false" customHeight="true" outlineLevel="0" collapsed="false">
      <c r="A10" s="130" t="s">
        <v>522</v>
      </c>
      <c r="C10" s="139" t="n">
        <v>134573.26</v>
      </c>
      <c r="D10" s="139" t="n">
        <v>149817.92</v>
      </c>
      <c r="E10" s="139" t="n">
        <v>164993.33</v>
      </c>
      <c r="F10" s="139" t="n">
        <v>179495.73</v>
      </c>
      <c r="G10" s="139" t="n">
        <v>230135.69</v>
      </c>
      <c r="H10" s="139" t="n">
        <v>246811.27</v>
      </c>
      <c r="I10" s="139" t="n">
        <v>261045.09</v>
      </c>
      <c r="J10" s="139" t="n">
        <v>272157.23</v>
      </c>
      <c r="K10" s="139" t="n">
        <v>279616.59</v>
      </c>
      <c r="L10" s="139" t="n">
        <v>283097.52</v>
      </c>
      <c r="M10" s="139" t="n">
        <v>282514.62</v>
      </c>
      <c r="N10" s="139" t="n">
        <v>266132.31</v>
      </c>
    </row>
    <row r="11" customFormat="false" ht="15" hidden="false" customHeight="true" outlineLevel="0" collapsed="false">
      <c r="A11" s="130" t="s">
        <v>355</v>
      </c>
      <c r="C11" s="139" t="n">
        <v>0</v>
      </c>
      <c r="D11" s="139" t="n">
        <v>0</v>
      </c>
      <c r="E11" s="139" t="n">
        <v>0</v>
      </c>
      <c r="F11" s="139" t="n">
        <v>0</v>
      </c>
      <c r="G11" s="139" t="n">
        <v>0</v>
      </c>
      <c r="H11" s="139" t="n">
        <v>0</v>
      </c>
      <c r="I11" s="139" t="n">
        <v>0</v>
      </c>
      <c r="J11" s="139" t="n">
        <v>0</v>
      </c>
      <c r="K11" s="139" t="n">
        <v>0</v>
      </c>
      <c r="L11" s="139" t="n">
        <v>0</v>
      </c>
      <c r="M11" s="139" t="n">
        <v>0</v>
      </c>
      <c r="N11" s="139" t="n">
        <v>0</v>
      </c>
    </row>
    <row r="12" customFormat="false" ht="15" hidden="false" customHeight="true" outlineLevel="0" collapsed="false">
      <c r="A12" s="138" t="s">
        <v>6</v>
      </c>
      <c r="C12" s="139" t="n">
        <v>2653995.85</v>
      </c>
      <c r="D12" s="139" t="n">
        <v>2933528.7</v>
      </c>
      <c r="E12" s="139" t="n">
        <v>3209528.94</v>
      </c>
      <c r="F12" s="139" t="n">
        <v>3471205.82</v>
      </c>
      <c r="G12" s="139" t="n">
        <v>4411909.08</v>
      </c>
      <c r="H12" s="139" t="n">
        <v>4713320.79</v>
      </c>
      <c r="I12" s="139" t="n">
        <v>4969335.52</v>
      </c>
      <c r="J12" s="139" t="n">
        <v>5167809.94</v>
      </c>
      <c r="K12" s="139" t="n">
        <v>5299239.86</v>
      </c>
      <c r="L12" s="139" t="n">
        <v>5357779.86</v>
      </c>
      <c r="M12" s="139" t="n">
        <v>5341883.63</v>
      </c>
      <c r="N12" s="139" t="n">
        <v>4998563.51</v>
      </c>
    </row>
    <row r="13" customFormat="false" ht="15" hidden="false" customHeight="true" outlineLevel="0" collapsed="false">
      <c r="A13" s="115" t="s">
        <v>52</v>
      </c>
      <c r="C13" s="139" t="n">
        <v>2978255.74</v>
      </c>
      <c r="D13" s="139" t="n">
        <v>3273033.25</v>
      </c>
      <c r="E13" s="139" t="n">
        <v>3564208.9</v>
      </c>
      <c r="F13" s="139" t="n">
        <v>3840388.18</v>
      </c>
      <c r="G13" s="139" t="n">
        <v>4935251.63</v>
      </c>
      <c r="H13" s="139" t="n">
        <v>5253338.92</v>
      </c>
      <c r="I13" s="139" t="n">
        <v>5523587.47</v>
      </c>
      <c r="J13" s="139" t="n">
        <v>5733174.03</v>
      </c>
      <c r="K13" s="139" t="n">
        <v>5872063.31</v>
      </c>
      <c r="L13" s="139" t="n">
        <v>5934084.24</v>
      </c>
      <c r="M13" s="139" t="n">
        <v>5917605.11</v>
      </c>
      <c r="N13" s="139" t="n">
        <v>5525402.67</v>
      </c>
    </row>
    <row r="14" customFormat="false" ht="15" hidden="false" customHeight="true" outlineLevel="0" collapsed="false">
      <c r="A14" s="140" t="s">
        <v>356</v>
      </c>
      <c r="C14" s="139" t="n">
        <v>-2653995.85</v>
      </c>
      <c r="D14" s="139" t="n">
        <v>-2933528.7</v>
      </c>
      <c r="E14" s="139" t="n">
        <v>-3209528.94</v>
      </c>
      <c r="F14" s="139" t="n">
        <v>-3471205.82</v>
      </c>
      <c r="G14" s="139" t="n">
        <v>-4411909.08</v>
      </c>
      <c r="H14" s="139" t="n">
        <v>-4713320.79</v>
      </c>
      <c r="I14" s="139" t="n">
        <v>-4969335.52</v>
      </c>
      <c r="J14" s="139" t="n">
        <v>-5167809.94</v>
      </c>
      <c r="K14" s="139" t="n">
        <v>-5299239.86</v>
      </c>
      <c r="L14" s="139" t="n">
        <v>-5357779.86</v>
      </c>
      <c r="M14" s="139" t="n">
        <v>-5341883.63</v>
      </c>
      <c r="N14" s="139" t="n">
        <v>-4998563.51</v>
      </c>
    </row>
    <row r="15" customFormat="false" ht="15" hidden="false" customHeight="true" outlineLevel="0" collapsed="false">
      <c r="A15" s="130" t="s">
        <v>413</v>
      </c>
      <c r="C15" s="139" t="n">
        <v>0</v>
      </c>
      <c r="D15" s="139" t="n">
        <v>0</v>
      </c>
      <c r="E15" s="139" t="n">
        <v>0</v>
      </c>
      <c r="F15" s="139" t="n">
        <v>0</v>
      </c>
      <c r="G15" s="139" t="n">
        <v>0</v>
      </c>
      <c r="H15" s="139" t="n">
        <v>0</v>
      </c>
      <c r="I15" s="139" t="n">
        <v>0</v>
      </c>
      <c r="J15" s="139" t="n">
        <v>0</v>
      </c>
      <c r="K15" s="139" t="n">
        <v>0</v>
      </c>
      <c r="L15" s="139" t="n">
        <v>0</v>
      </c>
      <c r="M15" s="139" t="n">
        <v>0</v>
      </c>
      <c r="N15" s="139" t="n">
        <v>0</v>
      </c>
    </row>
    <row r="16" customFormat="false" ht="15" hidden="false" customHeight="true" outlineLevel="0" collapsed="false">
      <c r="A16" s="130" t="s">
        <v>415</v>
      </c>
      <c r="C16" s="139" t="n">
        <v>0</v>
      </c>
      <c r="D16" s="139" t="n">
        <v>0</v>
      </c>
      <c r="E16" s="139" t="n">
        <v>0</v>
      </c>
      <c r="F16" s="139" t="n">
        <v>0</v>
      </c>
      <c r="G16" s="139" t="n">
        <v>0</v>
      </c>
      <c r="H16" s="139" t="n">
        <v>0</v>
      </c>
      <c r="I16" s="139" t="n">
        <v>0</v>
      </c>
      <c r="J16" s="139" t="n">
        <v>0</v>
      </c>
      <c r="K16" s="139" t="n">
        <v>0</v>
      </c>
      <c r="L16" s="139" t="n">
        <v>0</v>
      </c>
      <c r="M16" s="139" t="n">
        <v>0</v>
      </c>
      <c r="N16" s="139" t="n">
        <v>0</v>
      </c>
    </row>
    <row r="17" customFormat="false" ht="15" hidden="false" customHeight="true" outlineLevel="0" collapsed="false">
      <c r="A17" s="115" t="s">
        <v>61</v>
      </c>
      <c r="C17" s="139" t="n">
        <v>324259.89</v>
      </c>
      <c r="D17" s="139" t="n">
        <v>339504.55</v>
      </c>
      <c r="E17" s="139" t="n">
        <v>354679.96</v>
      </c>
      <c r="F17" s="139" t="n">
        <v>369182.36</v>
      </c>
      <c r="G17" s="139" t="n">
        <v>523342.55</v>
      </c>
      <c r="H17" s="139" t="n">
        <v>540018.13</v>
      </c>
      <c r="I17" s="139" t="n">
        <v>554251.95</v>
      </c>
      <c r="J17" s="139" t="n">
        <v>565364.09</v>
      </c>
      <c r="K17" s="139" t="n">
        <v>572823.45</v>
      </c>
      <c r="L17" s="139" t="n">
        <v>576304.38</v>
      </c>
      <c r="M17" s="139" t="n">
        <v>575721.48</v>
      </c>
      <c r="N17" s="139" t="n">
        <v>526839.16</v>
      </c>
    </row>
    <row r="18" customFormat="false" ht="15" hidden="false" customHeight="true" outlineLevel="0" collapsed="false">
      <c r="A18" s="138" t="s">
        <v>62</v>
      </c>
      <c r="C18" s="141" t="n">
        <v>0.11</v>
      </c>
      <c r="D18" s="141" t="n">
        <v>0.1</v>
      </c>
      <c r="E18" s="141" t="n">
        <v>0.1</v>
      </c>
      <c r="F18" s="141" t="n">
        <v>0.1</v>
      </c>
      <c r="G18" s="141" t="n">
        <v>0.11</v>
      </c>
      <c r="H18" s="141" t="n">
        <v>0.1</v>
      </c>
      <c r="I18" s="141" t="n">
        <v>0.1</v>
      </c>
      <c r="J18" s="141" t="n">
        <v>0.1</v>
      </c>
      <c r="K18" s="141" t="n">
        <v>0.1</v>
      </c>
      <c r="L18" s="141" t="n">
        <v>0.1</v>
      </c>
      <c r="M18" s="141" t="n">
        <v>0.1</v>
      </c>
      <c r="N18" s="141" t="n">
        <v>0.1</v>
      </c>
    </row>
    <row r="21" customFormat="false" ht="15" hidden="false" customHeight="true" outlineLevel="0" collapsed="false">
      <c r="A21" s="130" t="s">
        <v>123</v>
      </c>
      <c r="C21" s="139" t="n">
        <v>-176250.01</v>
      </c>
      <c r="D21" s="139" t="n">
        <v>-176250.01</v>
      </c>
      <c r="E21" s="139" t="n">
        <v>-176250.01</v>
      </c>
      <c r="F21" s="139" t="n">
        <v>-176250.01</v>
      </c>
      <c r="G21" s="139" t="n">
        <v>-176250.01</v>
      </c>
      <c r="H21" s="139" t="n">
        <v>-176250.01</v>
      </c>
      <c r="I21" s="139" t="n">
        <v>-176250.01</v>
      </c>
      <c r="J21" s="139" t="n">
        <v>-176250.01</v>
      </c>
      <c r="K21" s="139" t="n">
        <v>-176250.01</v>
      </c>
      <c r="L21" s="139" t="n">
        <v>-176250.01</v>
      </c>
      <c r="M21" s="139" t="n">
        <v>-176250.01</v>
      </c>
      <c r="N21" s="139" t="n">
        <v>-176250.01</v>
      </c>
    </row>
    <row r="22" customFormat="false" ht="15" hidden="false" customHeight="true" outlineLevel="0" collapsed="false">
      <c r="A22" s="130" t="s">
        <v>65</v>
      </c>
      <c r="C22" s="139" t="n">
        <v>-26437.5</v>
      </c>
      <c r="D22" s="139" t="n">
        <v>-26437.5</v>
      </c>
      <c r="E22" s="139" t="n">
        <v>-26437.5</v>
      </c>
      <c r="F22" s="139" t="n">
        <v>-26437.5</v>
      </c>
      <c r="G22" s="139" t="n">
        <v>-26437.5</v>
      </c>
      <c r="H22" s="139" t="n">
        <v>-26437.5</v>
      </c>
      <c r="I22" s="139" t="n">
        <v>-26437.5</v>
      </c>
      <c r="J22" s="139" t="n">
        <v>-26437.5</v>
      </c>
      <c r="K22" s="139" t="n">
        <v>-26437.5</v>
      </c>
      <c r="L22" s="139" t="n">
        <v>-26437.5</v>
      </c>
      <c r="M22" s="139" t="n">
        <v>-26437.5</v>
      </c>
      <c r="N22" s="139" t="n">
        <v>-26437.5</v>
      </c>
    </row>
    <row r="23" customFormat="false" ht="15" hidden="false" customHeight="true" outlineLevel="0" collapsed="false">
      <c r="A23" s="130" t="s">
        <v>66</v>
      </c>
      <c r="C23" s="139" t="n">
        <v>-58683.33</v>
      </c>
      <c r="D23" s="139" t="n">
        <v>-58683.33</v>
      </c>
      <c r="E23" s="139" t="n">
        <v>-58683.33</v>
      </c>
      <c r="F23" s="139" t="n">
        <v>-58683.33</v>
      </c>
      <c r="G23" s="139" t="n">
        <v>-58683.33</v>
      </c>
      <c r="H23" s="139" t="n">
        <v>-58683.33</v>
      </c>
      <c r="I23" s="139" t="n">
        <v>-58683.33</v>
      </c>
      <c r="J23" s="139" t="n">
        <v>-58683.33</v>
      </c>
      <c r="K23" s="139" t="n">
        <v>-58683.33</v>
      </c>
      <c r="L23" s="139" t="n">
        <v>-58683.33</v>
      </c>
      <c r="M23" s="139" t="n">
        <v>-58683.33</v>
      </c>
      <c r="N23" s="139" t="n">
        <v>-58683.33</v>
      </c>
    </row>
    <row r="24" customFormat="false" ht="15" hidden="false" customHeight="true" outlineLevel="0" collapsed="false">
      <c r="A24" s="130" t="s">
        <v>67</v>
      </c>
      <c r="C24" s="139" t="n">
        <v>-25071.7</v>
      </c>
      <c r="D24" s="139" t="n">
        <v>-25071.7</v>
      </c>
      <c r="E24" s="139" t="n">
        <v>-25071.7</v>
      </c>
      <c r="F24" s="139" t="n">
        <v>-25071.7</v>
      </c>
      <c r="G24" s="139" t="n">
        <v>-25071.7</v>
      </c>
      <c r="H24" s="139" t="n">
        <v>-25071.7</v>
      </c>
      <c r="I24" s="139" t="n">
        <v>-25071.7</v>
      </c>
      <c r="J24" s="139" t="n">
        <v>-25071.7</v>
      </c>
      <c r="K24" s="139" t="n">
        <v>-25071.7</v>
      </c>
      <c r="L24" s="139" t="n">
        <v>-25071.7</v>
      </c>
      <c r="M24" s="139" t="n">
        <v>-25071.7</v>
      </c>
      <c r="N24" s="139" t="n">
        <v>-25071.7</v>
      </c>
    </row>
    <row r="25" customFormat="false" ht="15" hidden="false" customHeight="true" outlineLevel="0" collapsed="false">
      <c r="A25" s="130" t="s">
        <v>68</v>
      </c>
      <c r="C25" s="139" t="n">
        <v>-1731.41</v>
      </c>
      <c r="D25" s="139" t="n">
        <v>-1731.41</v>
      </c>
      <c r="E25" s="139" t="n">
        <v>-1731.41</v>
      </c>
      <c r="F25" s="139" t="n">
        <v>-1731.41</v>
      </c>
      <c r="G25" s="139" t="n">
        <v>-1731.41</v>
      </c>
      <c r="H25" s="139" t="n">
        <v>-1731.41</v>
      </c>
      <c r="I25" s="139" t="n">
        <v>-1731.41</v>
      </c>
      <c r="J25" s="139" t="n">
        <v>-1731.41</v>
      </c>
      <c r="K25" s="139" t="n">
        <v>-1731.41</v>
      </c>
      <c r="L25" s="139" t="n">
        <v>-1731.41</v>
      </c>
      <c r="M25" s="139" t="n">
        <v>-1731.41</v>
      </c>
      <c r="N25" s="139" t="n">
        <v>-1731.41</v>
      </c>
    </row>
    <row r="26" customFormat="false" ht="15" hidden="false" customHeight="true" outlineLevel="0" collapsed="false">
      <c r="A26" s="130" t="s">
        <v>69</v>
      </c>
      <c r="C26" s="139" t="n">
        <v>-1008</v>
      </c>
      <c r="D26" s="139" t="n">
        <v>-1008</v>
      </c>
      <c r="E26" s="139" t="n">
        <v>-1008</v>
      </c>
      <c r="F26" s="139" t="n">
        <v>-1008</v>
      </c>
      <c r="G26" s="139" t="n">
        <v>-1008</v>
      </c>
      <c r="H26" s="139" t="n">
        <v>-1008</v>
      </c>
      <c r="I26" s="139" t="n">
        <v>-1008</v>
      </c>
      <c r="J26" s="139" t="n">
        <v>-1008</v>
      </c>
      <c r="K26" s="139" t="n">
        <v>-1008</v>
      </c>
      <c r="L26" s="139" t="n">
        <v>-1008</v>
      </c>
      <c r="M26" s="139" t="n">
        <v>-1008</v>
      </c>
      <c r="N26" s="139" t="n">
        <v>-1008</v>
      </c>
    </row>
    <row r="27" customFormat="false" ht="15" hidden="false" customHeight="true" outlineLevel="0" collapsed="false">
      <c r="A27" s="130" t="s">
        <v>70</v>
      </c>
      <c r="C27" s="139" t="n">
        <v>0</v>
      </c>
      <c r="D27" s="139" t="n">
        <v>0</v>
      </c>
      <c r="E27" s="139" t="n">
        <v>0</v>
      </c>
      <c r="F27" s="139" t="n">
        <v>0</v>
      </c>
      <c r="G27" s="139" t="n">
        <v>0</v>
      </c>
      <c r="H27" s="139" t="n">
        <v>0</v>
      </c>
      <c r="I27" s="139" t="n">
        <v>0</v>
      </c>
      <c r="J27" s="139" t="n">
        <v>0</v>
      </c>
      <c r="K27" s="139" t="n">
        <v>0</v>
      </c>
      <c r="L27" s="139" t="n">
        <v>0</v>
      </c>
      <c r="M27" s="139" t="n">
        <v>0</v>
      </c>
      <c r="N27" s="139" t="n">
        <v>0</v>
      </c>
    </row>
    <row r="28" customFormat="false" ht="15" hidden="false" customHeight="true" outlineLevel="0" collapsed="false">
      <c r="A28" s="130" t="s">
        <v>71</v>
      </c>
      <c r="C28" s="139" t="n">
        <v>0</v>
      </c>
      <c r="D28" s="139" t="n">
        <v>0</v>
      </c>
      <c r="E28" s="139" t="n">
        <v>0</v>
      </c>
      <c r="F28" s="139" t="n">
        <v>0</v>
      </c>
      <c r="G28" s="139" t="n">
        <v>0</v>
      </c>
      <c r="H28" s="139" t="n">
        <v>0</v>
      </c>
      <c r="I28" s="139" t="n">
        <v>0</v>
      </c>
      <c r="J28" s="139" t="n">
        <v>0</v>
      </c>
      <c r="K28" s="139" t="n">
        <v>0</v>
      </c>
      <c r="L28" s="139" t="n">
        <v>0</v>
      </c>
      <c r="M28" s="139" t="n">
        <v>0</v>
      </c>
      <c r="N28" s="139" t="n">
        <v>0</v>
      </c>
    </row>
    <row r="29" customFormat="false" ht="15" hidden="false" customHeight="true" outlineLevel="0" collapsed="false">
      <c r="A29" s="130" t="s">
        <v>72</v>
      </c>
      <c r="C29" s="139" t="n">
        <v>-10000</v>
      </c>
      <c r="D29" s="139" t="n">
        <v>-10000</v>
      </c>
      <c r="E29" s="139" t="n">
        <v>-10000</v>
      </c>
      <c r="F29" s="139" t="n">
        <v>-10000</v>
      </c>
      <c r="G29" s="139" t="n">
        <v>-10000</v>
      </c>
      <c r="H29" s="139" t="n">
        <v>-10000</v>
      </c>
      <c r="I29" s="139" t="n">
        <v>-10200</v>
      </c>
      <c r="J29" s="139" t="n">
        <v>-10200</v>
      </c>
      <c r="K29" s="139" t="n">
        <v>-10200</v>
      </c>
      <c r="L29" s="139" t="n">
        <v>-10200</v>
      </c>
      <c r="M29" s="139" t="n">
        <v>-10200</v>
      </c>
      <c r="N29" s="139" t="n">
        <v>-10200</v>
      </c>
    </row>
    <row r="30" customFormat="false" ht="15" hidden="false" customHeight="true" outlineLevel="0" collapsed="false">
      <c r="A30" s="130" t="s">
        <v>73</v>
      </c>
      <c r="C30" s="139" t="n">
        <v>-2800</v>
      </c>
      <c r="D30" s="139" t="n">
        <v>-2800</v>
      </c>
      <c r="E30" s="139" t="n">
        <v>-2800</v>
      </c>
      <c r="F30" s="139" t="n">
        <v>-2800</v>
      </c>
      <c r="G30" s="139" t="n">
        <v>-2800</v>
      </c>
      <c r="H30" s="139" t="n">
        <v>-2800</v>
      </c>
      <c r="I30" s="139" t="n">
        <v>-2856</v>
      </c>
      <c r="J30" s="139" t="n">
        <v>-2856</v>
      </c>
      <c r="K30" s="139" t="n">
        <v>-2856</v>
      </c>
      <c r="L30" s="139" t="n">
        <v>-2856</v>
      </c>
      <c r="M30" s="139" t="n">
        <v>-2856</v>
      </c>
      <c r="N30" s="139" t="n">
        <v>-2856</v>
      </c>
    </row>
    <row r="31" customFormat="false" ht="15" hidden="false" customHeight="true" outlineLevel="0" collapsed="false">
      <c r="A31" s="130" t="s">
        <v>74</v>
      </c>
      <c r="C31" s="139" t="n">
        <v>0</v>
      </c>
      <c r="D31" s="139" t="n">
        <v>0</v>
      </c>
      <c r="E31" s="139" t="n">
        <v>0</v>
      </c>
      <c r="F31" s="139" t="n">
        <v>0</v>
      </c>
      <c r="G31" s="139" t="n">
        <v>0</v>
      </c>
      <c r="H31" s="139" t="n">
        <v>0</v>
      </c>
      <c r="I31" s="139" t="n">
        <v>0</v>
      </c>
      <c r="J31" s="139" t="n">
        <v>0</v>
      </c>
      <c r="K31" s="139" t="n">
        <v>0</v>
      </c>
      <c r="L31" s="139" t="n">
        <v>0</v>
      </c>
      <c r="M31" s="139" t="n">
        <v>0</v>
      </c>
      <c r="N31" s="139" t="n">
        <v>0</v>
      </c>
    </row>
    <row r="32" customFormat="false" ht="15" hidden="false" customHeight="true" outlineLevel="0" collapsed="false">
      <c r="A32" s="138" t="s">
        <v>75</v>
      </c>
      <c r="C32" s="139" t="n">
        <v>-3300</v>
      </c>
      <c r="D32" s="139" t="n">
        <v>-3300</v>
      </c>
      <c r="E32" s="139" t="n">
        <v>-3300</v>
      </c>
      <c r="F32" s="139" t="n">
        <v>-3300</v>
      </c>
      <c r="G32" s="139" t="n">
        <v>-3300</v>
      </c>
      <c r="H32" s="139" t="n">
        <v>-3300</v>
      </c>
      <c r="I32" s="139" t="n">
        <v>-3366</v>
      </c>
      <c r="J32" s="139" t="n">
        <v>-3366</v>
      </c>
      <c r="K32" s="139" t="n">
        <v>-3366</v>
      </c>
      <c r="L32" s="139" t="n">
        <v>-3366</v>
      </c>
      <c r="M32" s="139" t="n">
        <v>-3366</v>
      </c>
      <c r="N32" s="139" t="n">
        <v>-3366</v>
      </c>
    </row>
    <row r="33" customFormat="false" ht="15" hidden="false" customHeight="true" outlineLevel="0" collapsed="false">
      <c r="A33" s="130" t="s">
        <v>124</v>
      </c>
      <c r="C33" s="139" t="n">
        <v>0</v>
      </c>
      <c r="D33" s="139" t="n">
        <v>0</v>
      </c>
      <c r="E33" s="139" t="n">
        <v>0</v>
      </c>
      <c r="F33" s="139" t="n">
        <v>0</v>
      </c>
      <c r="G33" s="139" t="n">
        <v>0</v>
      </c>
      <c r="H33" s="139" t="n">
        <v>0</v>
      </c>
      <c r="I33" s="139" t="n">
        <v>0</v>
      </c>
      <c r="J33" s="139" t="n">
        <v>0</v>
      </c>
      <c r="K33" s="139" t="n">
        <v>0</v>
      </c>
      <c r="L33" s="139" t="n">
        <v>0</v>
      </c>
      <c r="M33" s="139" t="n">
        <v>0</v>
      </c>
      <c r="N33" s="139" t="n">
        <v>0</v>
      </c>
    </row>
    <row r="34" customFormat="false" ht="15" hidden="false" customHeight="true" outlineLevel="0" collapsed="false">
      <c r="A34" s="130" t="s">
        <v>77</v>
      </c>
      <c r="C34" s="139" t="n">
        <v>-300</v>
      </c>
      <c r="D34" s="139" t="n">
        <v>-300</v>
      </c>
      <c r="E34" s="139" t="n">
        <v>-300</v>
      </c>
      <c r="F34" s="139" t="n">
        <v>-300</v>
      </c>
      <c r="G34" s="139" t="n">
        <v>-300</v>
      </c>
      <c r="H34" s="139" t="n">
        <v>-300</v>
      </c>
      <c r="I34" s="139" t="n">
        <v>-306</v>
      </c>
      <c r="J34" s="139" t="n">
        <v>-306</v>
      </c>
      <c r="K34" s="139" t="n">
        <v>-306</v>
      </c>
      <c r="L34" s="139" t="n">
        <v>-306</v>
      </c>
      <c r="M34" s="139" t="n">
        <v>-306</v>
      </c>
      <c r="N34" s="139" t="n">
        <v>-306</v>
      </c>
    </row>
    <row r="35" customFormat="false" ht="15" hidden="false" customHeight="true" outlineLevel="0" collapsed="false">
      <c r="A35" s="130" t="s">
        <v>78</v>
      </c>
      <c r="C35" s="139" t="n">
        <v>-1500</v>
      </c>
      <c r="D35" s="139" t="n">
        <v>-1500</v>
      </c>
      <c r="E35" s="139" t="n">
        <v>-1500</v>
      </c>
      <c r="F35" s="139" t="n">
        <v>-1500</v>
      </c>
      <c r="G35" s="139" t="n">
        <v>-1500</v>
      </c>
      <c r="H35" s="139" t="n">
        <v>-1500</v>
      </c>
      <c r="I35" s="139" t="n">
        <v>-1530</v>
      </c>
      <c r="J35" s="139" t="n">
        <v>-1530</v>
      </c>
      <c r="K35" s="139" t="n">
        <v>-1530</v>
      </c>
      <c r="L35" s="139" t="n">
        <v>-1530</v>
      </c>
      <c r="M35" s="139" t="n">
        <v>-1530</v>
      </c>
      <c r="N35" s="139" t="n">
        <v>-1530</v>
      </c>
    </row>
    <row r="36" customFormat="false" ht="15" hidden="false" customHeight="true" outlineLevel="0" collapsed="false">
      <c r="A36" s="130" t="s">
        <v>79</v>
      </c>
      <c r="C36" s="139" t="n">
        <v>-1000</v>
      </c>
      <c r="D36" s="139" t="n">
        <v>-1000</v>
      </c>
      <c r="E36" s="139" t="n">
        <v>-1000</v>
      </c>
      <c r="F36" s="139" t="n">
        <v>-1000</v>
      </c>
      <c r="G36" s="139" t="n">
        <v>-1000</v>
      </c>
      <c r="H36" s="139" t="n">
        <v>-1000</v>
      </c>
      <c r="I36" s="139" t="n">
        <v>-1020</v>
      </c>
      <c r="J36" s="139" t="n">
        <v>-1020</v>
      </c>
      <c r="K36" s="139" t="n">
        <v>-1020</v>
      </c>
      <c r="L36" s="139" t="n">
        <v>-1020</v>
      </c>
      <c r="M36" s="139" t="n">
        <v>-1020</v>
      </c>
      <c r="N36" s="139" t="n">
        <v>-1020</v>
      </c>
    </row>
    <row r="37" customFormat="false" ht="15" hidden="false" customHeight="true" outlineLevel="0" collapsed="false">
      <c r="A37" s="130" t="s">
        <v>80</v>
      </c>
      <c r="C37" s="139" t="n">
        <v>-1000</v>
      </c>
      <c r="D37" s="139" t="n">
        <v>-1000</v>
      </c>
      <c r="E37" s="139" t="n">
        <v>-1000</v>
      </c>
      <c r="F37" s="139" t="n">
        <v>-1000</v>
      </c>
      <c r="G37" s="139" t="n">
        <v>-1000</v>
      </c>
      <c r="H37" s="139" t="n">
        <v>-1000</v>
      </c>
      <c r="I37" s="139" t="n">
        <v>-1020</v>
      </c>
      <c r="J37" s="139" t="n">
        <v>-1020</v>
      </c>
      <c r="K37" s="139" t="n">
        <v>-1020</v>
      </c>
      <c r="L37" s="139" t="n">
        <v>-1020</v>
      </c>
      <c r="M37" s="139" t="n">
        <v>-1020</v>
      </c>
      <c r="N37" s="139" t="n">
        <v>-1020</v>
      </c>
    </row>
    <row r="38" customFormat="false" ht="15" hidden="false" customHeight="true" outlineLevel="0" collapsed="false">
      <c r="A38" s="130" t="s">
        <v>81</v>
      </c>
      <c r="C38" s="139" t="n">
        <v>0</v>
      </c>
      <c r="D38" s="139" t="n">
        <v>0</v>
      </c>
      <c r="E38" s="139" t="n">
        <v>0</v>
      </c>
      <c r="F38" s="139" t="n">
        <v>0</v>
      </c>
      <c r="G38" s="139" t="n">
        <v>0</v>
      </c>
      <c r="H38" s="139" t="n">
        <v>0</v>
      </c>
      <c r="I38" s="139" t="n">
        <v>0</v>
      </c>
      <c r="J38" s="139" t="n">
        <v>0</v>
      </c>
      <c r="K38" s="139" t="n">
        <v>0</v>
      </c>
      <c r="L38" s="139" t="n">
        <v>0</v>
      </c>
      <c r="M38" s="139" t="n">
        <v>0</v>
      </c>
      <c r="N38" s="139" t="n">
        <v>0</v>
      </c>
    </row>
    <row r="39" customFormat="false" ht="15" hidden="false" customHeight="true" outlineLevel="0" collapsed="false">
      <c r="A39" s="130" t="s">
        <v>82</v>
      </c>
      <c r="C39" s="139" t="n">
        <v>-1666.67</v>
      </c>
      <c r="D39" s="139" t="n">
        <v>-1666.67</v>
      </c>
      <c r="E39" s="139" t="n">
        <v>-1666.67</v>
      </c>
      <c r="F39" s="139" t="n">
        <v>-1666.67</v>
      </c>
      <c r="G39" s="139" t="n">
        <v>-1666.67</v>
      </c>
      <c r="H39" s="139" t="n">
        <v>-1666.67</v>
      </c>
      <c r="I39" s="139" t="n">
        <v>-1700</v>
      </c>
      <c r="J39" s="139" t="n">
        <v>-1700</v>
      </c>
      <c r="K39" s="139" t="n">
        <v>-1700</v>
      </c>
      <c r="L39" s="139" t="n">
        <v>-1700</v>
      </c>
      <c r="M39" s="139" t="n">
        <v>-1700</v>
      </c>
      <c r="N39" s="139" t="n">
        <v>-1700</v>
      </c>
    </row>
    <row r="40" customFormat="false" ht="15" hidden="false" customHeight="true" outlineLevel="0" collapsed="false">
      <c r="A40" s="130" t="s">
        <v>83</v>
      </c>
      <c r="C40" s="139" t="n">
        <v>-1000</v>
      </c>
      <c r="D40" s="139" t="n">
        <v>-1000</v>
      </c>
      <c r="E40" s="139" t="n">
        <v>-1000</v>
      </c>
      <c r="F40" s="139" t="n">
        <v>-1000</v>
      </c>
      <c r="G40" s="139" t="n">
        <v>-1000</v>
      </c>
      <c r="H40" s="139" t="n">
        <v>-1000</v>
      </c>
      <c r="I40" s="139" t="n">
        <v>-1020</v>
      </c>
      <c r="J40" s="139" t="n">
        <v>-1020</v>
      </c>
      <c r="K40" s="139" t="n">
        <v>-1020</v>
      </c>
      <c r="L40" s="139" t="n">
        <v>-1020</v>
      </c>
      <c r="M40" s="139" t="n">
        <v>-1020</v>
      </c>
      <c r="N40" s="139" t="n">
        <v>-1020</v>
      </c>
    </row>
    <row r="41" customFormat="false" ht="15" hidden="false" customHeight="true" outlineLevel="0" collapsed="false">
      <c r="A41" s="130" t="s">
        <v>84</v>
      </c>
      <c r="C41" s="139" t="n">
        <v>0</v>
      </c>
      <c r="D41" s="139" t="n">
        <v>0</v>
      </c>
      <c r="E41" s="139" t="n">
        <v>0</v>
      </c>
      <c r="F41" s="139" t="n">
        <v>0</v>
      </c>
      <c r="G41" s="139" t="n">
        <v>0</v>
      </c>
      <c r="H41" s="139" t="n">
        <v>0</v>
      </c>
      <c r="I41" s="139" t="n">
        <v>0</v>
      </c>
      <c r="J41" s="139" t="n">
        <v>0</v>
      </c>
      <c r="K41" s="139" t="n">
        <v>0</v>
      </c>
      <c r="L41" s="139" t="n">
        <v>0</v>
      </c>
      <c r="M41" s="139" t="n">
        <v>0</v>
      </c>
      <c r="N41" s="139" t="n">
        <v>0</v>
      </c>
    </row>
    <row r="42" customFormat="false" ht="15" hidden="false" customHeight="true" outlineLevel="0" collapsed="false">
      <c r="A42" s="130" t="s">
        <v>85</v>
      </c>
      <c r="C42" s="139" t="n">
        <v>0</v>
      </c>
      <c r="D42" s="139" t="n">
        <v>0</v>
      </c>
      <c r="E42" s="139" t="n">
        <v>0</v>
      </c>
      <c r="F42" s="139" t="n">
        <v>0</v>
      </c>
      <c r="G42" s="139" t="n">
        <v>0</v>
      </c>
      <c r="H42" s="139" t="n">
        <v>0</v>
      </c>
      <c r="I42" s="139" t="n">
        <v>0</v>
      </c>
      <c r="J42" s="139" t="n">
        <v>0</v>
      </c>
      <c r="K42" s="139" t="n">
        <v>0</v>
      </c>
      <c r="L42" s="139" t="n">
        <v>0</v>
      </c>
      <c r="M42" s="139" t="n">
        <v>0</v>
      </c>
      <c r="N42" s="139" t="n">
        <v>0</v>
      </c>
    </row>
    <row r="43" customFormat="false" ht="15" hidden="false" customHeight="true" outlineLevel="0" collapsed="false">
      <c r="A43" s="130" t="s">
        <v>86</v>
      </c>
      <c r="C43" s="139" t="n">
        <v>0</v>
      </c>
      <c r="D43" s="139" t="n">
        <v>0</v>
      </c>
      <c r="E43" s="139" t="n">
        <v>0</v>
      </c>
      <c r="F43" s="139" t="n">
        <v>0</v>
      </c>
      <c r="G43" s="139" t="n">
        <v>0</v>
      </c>
      <c r="H43" s="139" t="n">
        <v>0</v>
      </c>
      <c r="I43" s="139" t="n">
        <v>0</v>
      </c>
      <c r="J43" s="139" t="n">
        <v>0</v>
      </c>
      <c r="K43" s="139" t="n">
        <v>0</v>
      </c>
      <c r="L43" s="139" t="n">
        <v>0</v>
      </c>
      <c r="M43" s="139" t="n">
        <v>0</v>
      </c>
      <c r="N43" s="139" t="n">
        <v>0</v>
      </c>
    </row>
    <row r="44" customFormat="false" ht="15" hidden="false" customHeight="true" outlineLevel="0" collapsed="false">
      <c r="A44" s="130" t="s">
        <v>87</v>
      </c>
      <c r="C44" s="139" t="n">
        <v>0</v>
      </c>
      <c r="D44" s="139" t="n">
        <v>0</v>
      </c>
      <c r="E44" s="139" t="n">
        <v>0</v>
      </c>
      <c r="F44" s="139" t="n">
        <v>0</v>
      </c>
      <c r="G44" s="139" t="n">
        <v>0</v>
      </c>
      <c r="H44" s="139" t="n">
        <v>0</v>
      </c>
      <c r="I44" s="139" t="n">
        <v>0</v>
      </c>
      <c r="J44" s="139" t="n">
        <v>0</v>
      </c>
      <c r="K44" s="139" t="n">
        <v>0</v>
      </c>
      <c r="L44" s="139" t="n">
        <v>0</v>
      </c>
      <c r="M44" s="139" t="n">
        <v>0</v>
      </c>
      <c r="N44" s="139" t="n">
        <v>0</v>
      </c>
    </row>
    <row r="45" customFormat="false" ht="15" hidden="false" customHeight="true" outlineLevel="0" collapsed="false">
      <c r="A45" s="138" t="s">
        <v>88</v>
      </c>
      <c r="C45" s="139" t="n">
        <v>-4166.67</v>
      </c>
      <c r="D45" s="139" t="n">
        <v>-4166.67</v>
      </c>
      <c r="E45" s="139" t="n">
        <v>-4166.67</v>
      </c>
      <c r="F45" s="139" t="n">
        <v>-4166.67</v>
      </c>
      <c r="G45" s="139" t="n">
        <v>-4166.67</v>
      </c>
      <c r="H45" s="139" t="n">
        <v>-4166.67</v>
      </c>
      <c r="I45" s="139" t="n">
        <v>-4250</v>
      </c>
      <c r="J45" s="139" t="n">
        <v>-4250</v>
      </c>
      <c r="K45" s="139" t="n">
        <v>-4250</v>
      </c>
      <c r="L45" s="139" t="n">
        <v>-4250</v>
      </c>
      <c r="M45" s="139" t="n">
        <v>-4250</v>
      </c>
      <c r="N45" s="139" t="n">
        <v>-4250</v>
      </c>
    </row>
    <row r="46" customFormat="false" ht="15" hidden="false" customHeight="true" outlineLevel="0" collapsed="false">
      <c r="A46" s="138" t="s">
        <v>89</v>
      </c>
      <c r="C46" s="139" t="n">
        <v>-1000</v>
      </c>
      <c r="D46" s="139" t="n">
        <v>-1000</v>
      </c>
      <c r="E46" s="139" t="n">
        <v>-1000</v>
      </c>
      <c r="F46" s="139" t="n">
        <v>-1000</v>
      </c>
      <c r="G46" s="139" t="n">
        <v>-1000</v>
      </c>
      <c r="H46" s="139" t="n">
        <v>-1000</v>
      </c>
      <c r="I46" s="139" t="n">
        <v>-1020</v>
      </c>
      <c r="J46" s="139" t="n">
        <v>-1020</v>
      </c>
      <c r="K46" s="139" t="n">
        <v>-1020</v>
      </c>
      <c r="L46" s="139" t="n">
        <v>-1020</v>
      </c>
      <c r="M46" s="139" t="n">
        <v>-1020</v>
      </c>
      <c r="N46" s="139" t="n">
        <v>-1020</v>
      </c>
    </row>
    <row r="47" customFormat="false" ht="15" hidden="false" customHeight="true" outlineLevel="0" collapsed="false">
      <c r="A47" s="138" t="s">
        <v>90</v>
      </c>
      <c r="C47" s="139" t="n">
        <v>0</v>
      </c>
      <c r="D47" s="139" t="n">
        <v>0</v>
      </c>
      <c r="E47" s="139" t="n">
        <v>0</v>
      </c>
      <c r="F47" s="139" t="n">
        <v>0</v>
      </c>
      <c r="G47" s="139" t="n">
        <v>0</v>
      </c>
      <c r="H47" s="139" t="n">
        <v>0</v>
      </c>
      <c r="I47" s="139" t="n">
        <v>0</v>
      </c>
      <c r="J47" s="139" t="n">
        <v>0</v>
      </c>
      <c r="K47" s="139" t="n">
        <v>0</v>
      </c>
      <c r="L47" s="139" t="n">
        <v>0</v>
      </c>
      <c r="M47" s="139" t="n">
        <v>0</v>
      </c>
      <c r="N47" s="139" t="n">
        <v>0</v>
      </c>
    </row>
    <row r="48" customFormat="false" ht="15" hidden="false" customHeight="true" outlineLevel="0" collapsed="false">
      <c r="A48" s="138" t="s">
        <v>91</v>
      </c>
      <c r="C48" s="139" t="n">
        <v>-4166.67</v>
      </c>
      <c r="D48" s="139" t="n">
        <v>-4166.67</v>
      </c>
      <c r="E48" s="139" t="n">
        <v>-4166.67</v>
      </c>
      <c r="F48" s="139" t="n">
        <v>-4166.67</v>
      </c>
      <c r="G48" s="139" t="n">
        <v>-4166.67</v>
      </c>
      <c r="H48" s="139" t="n">
        <v>-4166.67</v>
      </c>
      <c r="I48" s="139" t="n">
        <v>-4250</v>
      </c>
      <c r="J48" s="139" t="n">
        <v>-4250</v>
      </c>
      <c r="K48" s="139" t="n">
        <v>-4250</v>
      </c>
      <c r="L48" s="139" t="n">
        <v>-4250</v>
      </c>
      <c r="M48" s="139" t="n">
        <v>-4250</v>
      </c>
      <c r="N48" s="139" t="n">
        <v>-4250</v>
      </c>
    </row>
    <row r="49" customFormat="false" ht="15" hidden="false" customHeight="true" outlineLevel="0" collapsed="false">
      <c r="A49" s="138" t="s">
        <v>92</v>
      </c>
      <c r="C49" s="139" t="n">
        <v>0</v>
      </c>
      <c r="D49" s="139" t="n">
        <v>0</v>
      </c>
      <c r="E49" s="139" t="n">
        <v>0</v>
      </c>
      <c r="F49" s="139" t="n">
        <v>0</v>
      </c>
      <c r="G49" s="139" t="n">
        <v>0</v>
      </c>
      <c r="H49" s="139" t="n">
        <v>0</v>
      </c>
      <c r="I49" s="139" t="n">
        <v>0</v>
      </c>
      <c r="J49" s="139" t="n">
        <v>0</v>
      </c>
      <c r="K49" s="139" t="n">
        <v>0</v>
      </c>
      <c r="L49" s="139" t="n">
        <v>0</v>
      </c>
      <c r="M49" s="139" t="n">
        <v>0</v>
      </c>
      <c r="N49" s="139" t="n">
        <v>0</v>
      </c>
    </row>
    <row r="50" customFormat="false" ht="15" hidden="false" customHeight="true" outlineLevel="0" collapsed="false">
      <c r="A50" s="138" t="s">
        <v>93</v>
      </c>
      <c r="C50" s="139" t="n">
        <v>-166.67</v>
      </c>
      <c r="D50" s="139" t="n">
        <v>-166.67</v>
      </c>
      <c r="E50" s="139" t="n">
        <v>-166.67</v>
      </c>
      <c r="F50" s="139" t="n">
        <v>-166.67</v>
      </c>
      <c r="G50" s="139" t="n">
        <v>-166.67</v>
      </c>
      <c r="H50" s="139" t="n">
        <v>-166.67</v>
      </c>
      <c r="I50" s="139" t="n">
        <v>-170</v>
      </c>
      <c r="J50" s="139" t="n">
        <v>-170</v>
      </c>
      <c r="K50" s="139" t="n">
        <v>-170</v>
      </c>
      <c r="L50" s="139" t="n">
        <v>-170</v>
      </c>
      <c r="M50" s="139" t="n">
        <v>-170</v>
      </c>
      <c r="N50" s="139" t="n">
        <v>-170</v>
      </c>
    </row>
    <row r="51" customFormat="false" ht="15" hidden="false" customHeight="true" outlineLevel="0" collapsed="false">
      <c r="A51" s="138" t="s">
        <v>94</v>
      </c>
      <c r="C51" s="139" t="n">
        <v>0</v>
      </c>
      <c r="D51" s="139" t="n">
        <v>0</v>
      </c>
      <c r="E51" s="139" t="n">
        <v>0</v>
      </c>
      <c r="F51" s="139" t="n">
        <v>0</v>
      </c>
      <c r="G51" s="139" t="n">
        <v>0</v>
      </c>
      <c r="H51" s="139" t="n">
        <v>0</v>
      </c>
      <c r="I51" s="139" t="n">
        <v>0</v>
      </c>
      <c r="J51" s="139" t="n">
        <v>0</v>
      </c>
      <c r="K51" s="139" t="n">
        <v>0</v>
      </c>
      <c r="L51" s="139" t="n">
        <v>0</v>
      </c>
      <c r="M51" s="139" t="n">
        <v>0</v>
      </c>
      <c r="N51" s="139" t="n">
        <v>0</v>
      </c>
    </row>
    <row r="52" customFormat="false" ht="15" hidden="false" customHeight="true" outlineLevel="0" collapsed="false">
      <c r="A52" s="140" t="s">
        <v>95</v>
      </c>
      <c r="C52" s="139" t="n">
        <v>0</v>
      </c>
      <c r="D52" s="139" t="n">
        <v>0</v>
      </c>
      <c r="E52" s="139" t="n">
        <v>0</v>
      </c>
      <c r="F52" s="139" t="n">
        <v>0</v>
      </c>
      <c r="G52" s="139" t="n">
        <v>0</v>
      </c>
      <c r="H52" s="139" t="n">
        <v>0</v>
      </c>
      <c r="I52" s="139" t="n">
        <v>0</v>
      </c>
      <c r="J52" s="139" t="n">
        <v>0</v>
      </c>
      <c r="K52" s="139" t="n">
        <v>0</v>
      </c>
      <c r="L52" s="139" t="n">
        <v>0</v>
      </c>
      <c r="M52" s="139" t="n">
        <v>0</v>
      </c>
      <c r="N52" s="139" t="n">
        <v>0</v>
      </c>
    </row>
    <row r="53" customFormat="false" ht="15" hidden="false" customHeight="true" outlineLevel="0" collapsed="false">
      <c r="A53" s="142" t="s">
        <v>96</v>
      </c>
      <c r="C53" s="139" t="n">
        <v>-416.67</v>
      </c>
      <c r="D53" s="139" t="n">
        <v>-416.67</v>
      </c>
      <c r="E53" s="139" t="n">
        <v>-416.67</v>
      </c>
      <c r="F53" s="139" t="n">
        <v>-416.67</v>
      </c>
      <c r="G53" s="139" t="n">
        <v>-416.67</v>
      </c>
      <c r="H53" s="139" t="n">
        <v>-416.67</v>
      </c>
      <c r="I53" s="139" t="n">
        <v>-425</v>
      </c>
      <c r="J53" s="139" t="n">
        <v>-425</v>
      </c>
      <c r="K53" s="139" t="n">
        <v>-425</v>
      </c>
      <c r="L53" s="139" t="n">
        <v>-425</v>
      </c>
      <c r="M53" s="139" t="n">
        <v>-425</v>
      </c>
      <c r="N53" s="139" t="n">
        <v>-425</v>
      </c>
    </row>
    <row r="54" customFormat="false" ht="15" hidden="false" customHeight="true" outlineLevel="0" collapsed="false">
      <c r="A54" s="142" t="s">
        <v>517</v>
      </c>
      <c r="C54" s="139" t="n">
        <v>0</v>
      </c>
      <c r="D54" s="139" t="n">
        <v>0</v>
      </c>
      <c r="E54" s="139" t="n">
        <v>0</v>
      </c>
      <c r="F54" s="139" t="n">
        <v>0</v>
      </c>
      <c r="G54" s="139" t="n">
        <v>0</v>
      </c>
      <c r="H54" s="139" t="n">
        <v>0</v>
      </c>
      <c r="I54" s="139" t="n">
        <v>0</v>
      </c>
      <c r="J54" s="139" t="n">
        <v>0</v>
      </c>
      <c r="K54" s="139" t="n">
        <v>0</v>
      </c>
      <c r="L54" s="139" t="n">
        <v>0</v>
      </c>
      <c r="M54" s="139" t="n">
        <v>0</v>
      </c>
      <c r="N54" s="139" t="n">
        <v>0</v>
      </c>
    </row>
    <row r="55" customFormat="false" ht="15" hidden="false" customHeight="true" outlineLevel="0" collapsed="false">
      <c r="A55" s="115" t="s">
        <v>97</v>
      </c>
      <c r="C55" s="139" t="n">
        <v>-321665.3</v>
      </c>
      <c r="D55" s="139" t="n">
        <v>-321665.3</v>
      </c>
      <c r="E55" s="139" t="n">
        <v>-321665.3</v>
      </c>
      <c r="F55" s="139" t="n">
        <v>-321665.3</v>
      </c>
      <c r="G55" s="139" t="n">
        <v>-321665.3</v>
      </c>
      <c r="H55" s="139" t="n">
        <v>-321665.3</v>
      </c>
      <c r="I55" s="139" t="n">
        <v>-322314.95</v>
      </c>
      <c r="J55" s="139" t="n">
        <v>-322314.95</v>
      </c>
      <c r="K55" s="139" t="n">
        <v>-322314.95</v>
      </c>
      <c r="L55" s="139" t="n">
        <v>-322314.95</v>
      </c>
      <c r="M55" s="139" t="n">
        <v>-322314.95</v>
      </c>
      <c r="N55" s="139" t="n">
        <v>-322314.95</v>
      </c>
    </row>
    <row r="57" customFormat="false" ht="15" hidden="false" customHeight="true" outlineLevel="0" collapsed="false">
      <c r="A57" s="140" t="s">
        <v>98</v>
      </c>
      <c r="C57" s="139" t="n">
        <v>2594.59</v>
      </c>
      <c r="D57" s="139" t="n">
        <v>17839.25</v>
      </c>
      <c r="E57" s="139" t="n">
        <v>33014.66</v>
      </c>
      <c r="F57" s="139" t="n">
        <v>47517.06</v>
      </c>
      <c r="G57" s="139" t="n">
        <v>201677.25</v>
      </c>
      <c r="H57" s="139" t="n">
        <v>218352.83</v>
      </c>
      <c r="I57" s="139" t="n">
        <v>231937</v>
      </c>
      <c r="J57" s="139" t="n">
        <v>243049.14</v>
      </c>
      <c r="K57" s="139" t="n">
        <v>250508.5</v>
      </c>
      <c r="L57" s="139" t="n">
        <v>253989.43</v>
      </c>
      <c r="M57" s="139" t="n">
        <v>253406.53</v>
      </c>
      <c r="N57" s="139" t="n">
        <v>204524.21</v>
      </c>
    </row>
    <row r="58" customFormat="false" ht="15" hidden="false" customHeight="true" outlineLevel="0" collapsed="false">
      <c r="A58" s="138" t="s">
        <v>99</v>
      </c>
      <c r="C58" s="141" t="n">
        <v>0</v>
      </c>
      <c r="D58" s="141" t="n">
        <v>0.01</v>
      </c>
      <c r="E58" s="141" t="n">
        <v>0.01</v>
      </c>
      <c r="F58" s="141" t="n">
        <v>0.01</v>
      </c>
      <c r="G58" s="141" t="n">
        <v>0.04</v>
      </c>
      <c r="H58" s="141" t="n">
        <v>0.04</v>
      </c>
      <c r="I58" s="141" t="n">
        <v>0.04</v>
      </c>
      <c r="J58" s="141" t="n">
        <v>0.04</v>
      </c>
      <c r="K58" s="141" t="n">
        <v>0.04</v>
      </c>
      <c r="L58" s="141" t="n">
        <v>0.04</v>
      </c>
      <c r="M58" s="141" t="n">
        <v>0.04</v>
      </c>
      <c r="N58" s="141" t="n">
        <v>0.04</v>
      </c>
    </row>
    <row r="63" customFormat="false" ht="15" hidden="false" customHeight="true" outlineLevel="0" collapsed="false">
      <c r="A63" s="130" t="s">
        <v>118</v>
      </c>
      <c r="C63" s="139" t="n">
        <v>0</v>
      </c>
      <c r="D63" s="139" t="n">
        <v>0</v>
      </c>
      <c r="E63" s="139" t="n">
        <v>0</v>
      </c>
      <c r="F63" s="139" t="n">
        <v>0</v>
      </c>
      <c r="G63" s="139" t="n">
        <v>0</v>
      </c>
      <c r="H63" s="139" t="n">
        <v>0</v>
      </c>
      <c r="I63" s="139" t="n">
        <v>0</v>
      </c>
      <c r="J63" s="139" t="n">
        <v>0</v>
      </c>
      <c r="K63" s="139" t="n">
        <v>0</v>
      </c>
      <c r="L63" s="139" t="n">
        <v>0</v>
      </c>
      <c r="M63" s="139" t="n">
        <v>0</v>
      </c>
      <c r="N63" s="139" t="n">
        <v>0</v>
      </c>
    </row>
    <row r="64" customFormat="false" ht="15" hidden="false" customHeight="true" outlineLevel="0" collapsed="false">
      <c r="A64" s="130" t="s">
        <v>101</v>
      </c>
      <c r="C64" s="139" t="n">
        <v>833.33</v>
      </c>
      <c r="D64" s="139" t="n">
        <v>833.33</v>
      </c>
      <c r="E64" s="139" t="n">
        <v>833.33</v>
      </c>
      <c r="F64" s="139" t="n">
        <v>833.33</v>
      </c>
      <c r="G64" s="139" t="n">
        <v>833.33</v>
      </c>
      <c r="H64" s="139" t="n">
        <v>833.33</v>
      </c>
      <c r="I64" s="139" t="n">
        <v>833.33</v>
      </c>
      <c r="J64" s="139" t="n">
        <v>833.33</v>
      </c>
      <c r="K64" s="139" t="n">
        <v>833.33</v>
      </c>
      <c r="L64" s="139" t="n">
        <v>833.33</v>
      </c>
      <c r="M64" s="139" t="n">
        <v>833.33</v>
      </c>
      <c r="N64" s="139" t="n">
        <v>833.33</v>
      </c>
    </row>
    <row r="65" customFormat="false" ht="15" hidden="false" customHeight="true" outlineLevel="0" collapsed="false">
      <c r="A65" s="130" t="s">
        <v>102</v>
      </c>
      <c r="C65" s="139" t="n">
        <v>36538.46</v>
      </c>
      <c r="D65" s="139" t="n">
        <v>36538.46</v>
      </c>
      <c r="E65" s="139" t="n">
        <v>36538.46</v>
      </c>
      <c r="F65" s="139" t="n">
        <v>36538.46</v>
      </c>
      <c r="G65" s="139" t="n">
        <v>36538.46</v>
      </c>
      <c r="H65" s="139" t="n">
        <v>36538.46</v>
      </c>
      <c r="I65" s="139" t="n">
        <v>36538.46</v>
      </c>
      <c r="J65" s="139" t="n">
        <v>36538.46</v>
      </c>
      <c r="K65" s="139" t="n">
        <v>36538.46</v>
      </c>
      <c r="L65" s="139" t="n">
        <v>36538.46</v>
      </c>
      <c r="M65" s="139" t="n">
        <v>36538.46</v>
      </c>
      <c r="N65" s="139" t="n">
        <v>36538.46</v>
      </c>
    </row>
    <row r="66" customFormat="false" ht="15" hidden="false" customHeight="true" outlineLevel="0" collapsed="false">
      <c r="A66" s="130" t="s">
        <v>103</v>
      </c>
      <c r="C66" s="139" t="n">
        <v>0</v>
      </c>
      <c r="D66" s="139" t="n">
        <v>0</v>
      </c>
      <c r="E66" s="139" t="n">
        <v>0</v>
      </c>
      <c r="F66" s="139" t="n">
        <v>0</v>
      </c>
      <c r="G66" s="139" t="n">
        <v>0</v>
      </c>
      <c r="H66" s="139" t="n">
        <v>0</v>
      </c>
      <c r="I66" s="139" t="n">
        <v>0</v>
      </c>
      <c r="J66" s="139" t="n">
        <v>0</v>
      </c>
      <c r="K66" s="139" t="n">
        <v>0</v>
      </c>
      <c r="L66" s="139" t="n">
        <v>0</v>
      </c>
      <c r="M66" s="139" t="n">
        <v>0</v>
      </c>
      <c r="N66" s="139" t="n">
        <v>0</v>
      </c>
    </row>
    <row r="67" customFormat="false" ht="15" hidden="false" customHeight="true" outlineLevel="0" collapsed="false">
      <c r="A67" s="130" t="s">
        <v>104</v>
      </c>
      <c r="C67" s="139" t="n">
        <v>0</v>
      </c>
      <c r="D67" s="139" t="n">
        <v>0</v>
      </c>
      <c r="E67" s="139" t="n">
        <v>0</v>
      </c>
      <c r="F67" s="139" t="n">
        <v>0</v>
      </c>
      <c r="G67" s="139" t="n">
        <v>0</v>
      </c>
      <c r="H67" s="139" t="n">
        <v>0</v>
      </c>
      <c r="I67" s="139" t="n">
        <v>0</v>
      </c>
      <c r="J67" s="139" t="n">
        <v>0</v>
      </c>
      <c r="K67" s="139" t="n">
        <v>0</v>
      </c>
      <c r="L67" s="139" t="n">
        <v>0</v>
      </c>
      <c r="M67" s="139" t="n">
        <v>0</v>
      </c>
      <c r="N67" s="139" t="n">
        <v>0</v>
      </c>
    </row>
    <row r="68" customFormat="false" ht="15" hidden="false" customHeight="true" outlineLevel="0" collapsed="false">
      <c r="A68" s="130" t="s">
        <v>105</v>
      </c>
      <c r="C68" s="139" t="n">
        <v>0</v>
      </c>
      <c r="D68" s="139" t="n">
        <v>0</v>
      </c>
      <c r="E68" s="139" t="n">
        <v>0</v>
      </c>
      <c r="F68" s="139" t="n">
        <v>0</v>
      </c>
      <c r="G68" s="139" t="n">
        <v>0</v>
      </c>
      <c r="H68" s="139" t="n">
        <v>0</v>
      </c>
      <c r="I68" s="139" t="n">
        <v>0</v>
      </c>
      <c r="J68" s="139" t="n">
        <v>0</v>
      </c>
      <c r="K68" s="139" t="n">
        <v>0</v>
      </c>
      <c r="L68" s="139" t="n">
        <v>0</v>
      </c>
      <c r="M68" s="139" t="n">
        <v>0</v>
      </c>
      <c r="N68" s="139" t="n">
        <v>0</v>
      </c>
    </row>
    <row r="69" customFormat="false" ht="15" hidden="false" customHeight="true" outlineLevel="0" collapsed="false">
      <c r="A69" s="130" t="s">
        <v>106</v>
      </c>
      <c r="C69" s="139" t="n">
        <v>10227.27</v>
      </c>
      <c r="D69" s="139" t="n">
        <v>10227.27</v>
      </c>
      <c r="E69" s="139" t="n">
        <v>10227.27</v>
      </c>
      <c r="F69" s="139" t="n">
        <v>10227.27</v>
      </c>
      <c r="G69" s="139" t="n">
        <v>10227.27</v>
      </c>
      <c r="H69" s="139" t="n">
        <v>10227.27</v>
      </c>
      <c r="I69" s="139" t="n">
        <v>10227.27</v>
      </c>
      <c r="J69" s="139" t="n">
        <v>10227.27</v>
      </c>
      <c r="K69" s="139" t="n">
        <v>10227.27</v>
      </c>
      <c r="L69" s="139" t="n">
        <v>0</v>
      </c>
      <c r="M69" s="139" t="n">
        <v>0</v>
      </c>
      <c r="N69" s="139" t="n">
        <v>0</v>
      </c>
    </row>
    <row r="70" customFormat="false" ht="15" hidden="false" customHeight="true" outlineLevel="0" collapsed="false">
      <c r="A70" s="130" t="s">
        <v>107</v>
      </c>
      <c r="C70" s="139" t="n">
        <v>0</v>
      </c>
      <c r="D70" s="139" t="n">
        <v>0</v>
      </c>
      <c r="E70" s="139" t="n">
        <v>0</v>
      </c>
      <c r="F70" s="139" t="n">
        <v>11875</v>
      </c>
      <c r="G70" s="139" t="n">
        <v>11875</v>
      </c>
      <c r="H70" s="139" t="n">
        <v>11875</v>
      </c>
      <c r="I70" s="139" t="n">
        <v>11875</v>
      </c>
      <c r="J70" s="139" t="n">
        <v>11875</v>
      </c>
      <c r="K70" s="139" t="n">
        <v>11875</v>
      </c>
      <c r="L70" s="139" t="n">
        <v>11875</v>
      </c>
      <c r="M70" s="139" t="n">
        <v>11875</v>
      </c>
      <c r="N70" s="139" t="n">
        <v>11875</v>
      </c>
    </row>
    <row r="71" customFormat="false" ht="15" hidden="false" customHeight="true" outlineLevel="0" collapsed="false">
      <c r="A71" s="130" t="s">
        <v>360</v>
      </c>
      <c r="C71" s="139" t="n">
        <v>0</v>
      </c>
      <c r="D71" s="139" t="n">
        <v>0</v>
      </c>
      <c r="E71" s="139" t="n">
        <v>0</v>
      </c>
      <c r="F71" s="139" t="n">
        <v>0</v>
      </c>
      <c r="G71" s="139" t="n">
        <v>0</v>
      </c>
      <c r="H71" s="139" t="n">
        <v>0</v>
      </c>
      <c r="I71" s="139" t="n">
        <v>0</v>
      </c>
      <c r="J71" s="139" t="n">
        <v>0</v>
      </c>
      <c r="K71" s="139" t="n">
        <v>0</v>
      </c>
      <c r="L71" s="139" t="n">
        <v>0</v>
      </c>
      <c r="M71" s="139" t="n">
        <v>0</v>
      </c>
      <c r="N71" s="139" t="n">
        <v>0</v>
      </c>
    </row>
    <row r="72" customFormat="false" ht="15" hidden="false" customHeight="true" outlineLevel="0" collapsed="false">
      <c r="A72" s="130" t="s">
        <v>109</v>
      </c>
      <c r="C72" s="139" t="n">
        <v>0</v>
      </c>
      <c r="D72" s="139" t="n">
        <v>0</v>
      </c>
      <c r="E72" s="139" t="n">
        <v>0</v>
      </c>
      <c r="F72" s="139" t="n">
        <v>0</v>
      </c>
      <c r="G72" s="139" t="n">
        <v>0</v>
      </c>
      <c r="H72" s="139" t="n">
        <v>0</v>
      </c>
      <c r="I72" s="139" t="n">
        <v>0</v>
      </c>
      <c r="J72" s="139" t="n">
        <v>0</v>
      </c>
      <c r="K72" s="139" t="n">
        <v>0</v>
      </c>
      <c r="L72" s="139" t="n">
        <v>0</v>
      </c>
      <c r="M72" s="139" t="n">
        <v>0</v>
      </c>
      <c r="N72" s="139" t="n">
        <v>0</v>
      </c>
    </row>
    <row r="73" customFormat="false" ht="15" hidden="false" customHeight="true" outlineLevel="0" collapsed="false">
      <c r="A73" s="130" t="s">
        <v>361</v>
      </c>
      <c r="C73" s="139" t="n">
        <v>0</v>
      </c>
      <c r="D73" s="139" t="n">
        <v>0</v>
      </c>
      <c r="E73" s="139" t="n">
        <v>0</v>
      </c>
      <c r="F73" s="139" t="n">
        <v>0</v>
      </c>
      <c r="G73" s="139" t="n">
        <v>0</v>
      </c>
      <c r="H73" s="139" t="n">
        <v>0</v>
      </c>
      <c r="I73" s="139" t="n">
        <v>0</v>
      </c>
      <c r="J73" s="139" t="n">
        <v>0</v>
      </c>
      <c r="K73" s="139" t="n">
        <v>0</v>
      </c>
      <c r="L73" s="139" t="n">
        <v>0</v>
      </c>
      <c r="M73" s="139" t="n">
        <v>0</v>
      </c>
      <c r="N73" s="139" t="n">
        <v>0</v>
      </c>
    </row>
    <row r="74" customFormat="false" ht="15" hidden="false" customHeight="true" outlineLevel="0" collapsed="false">
      <c r="A74" s="130" t="s">
        <v>362</v>
      </c>
      <c r="C74" s="139" t="n">
        <v>0</v>
      </c>
      <c r="D74" s="139" t="n">
        <v>0</v>
      </c>
      <c r="E74" s="139" t="n">
        <v>0</v>
      </c>
      <c r="F74" s="139" t="n">
        <v>0</v>
      </c>
      <c r="G74" s="139" t="n">
        <v>0</v>
      </c>
      <c r="H74" s="139" t="n">
        <v>0</v>
      </c>
      <c r="I74" s="139" t="n">
        <v>0</v>
      </c>
      <c r="J74" s="139" t="n">
        <v>0</v>
      </c>
      <c r="K74" s="139" t="n">
        <v>0</v>
      </c>
      <c r="L74" s="139" t="n">
        <v>0</v>
      </c>
      <c r="M74" s="139" t="n">
        <v>0</v>
      </c>
      <c r="N74" s="139" t="n">
        <v>0</v>
      </c>
    </row>
    <row r="75" customFormat="false" ht="15" hidden="false" customHeight="true" outlineLevel="0" collapsed="false">
      <c r="A75" s="130" t="s">
        <v>112</v>
      </c>
      <c r="C75" s="139" t="n">
        <v>0</v>
      </c>
      <c r="D75" s="139" t="n">
        <v>0</v>
      </c>
      <c r="E75" s="139" t="n">
        <v>0</v>
      </c>
      <c r="F75" s="139" t="n">
        <v>0</v>
      </c>
      <c r="G75" s="139" t="n">
        <v>0</v>
      </c>
      <c r="H75" s="139" t="n">
        <v>0</v>
      </c>
      <c r="I75" s="139" t="n">
        <v>0</v>
      </c>
      <c r="J75" s="139" t="n">
        <v>0</v>
      </c>
      <c r="K75" s="139" t="n">
        <v>0</v>
      </c>
      <c r="L75" s="139" t="n">
        <v>0</v>
      </c>
      <c r="M75" s="139" t="n">
        <v>0</v>
      </c>
      <c r="N75" s="139" t="n">
        <v>0</v>
      </c>
    </row>
    <row r="76" customFormat="false" ht="15" hidden="false" customHeight="true" outlineLevel="0" collapsed="false">
      <c r="A76" s="130" t="s">
        <v>363</v>
      </c>
      <c r="C76" s="139" t="n">
        <v>0</v>
      </c>
      <c r="D76" s="139" t="n">
        <v>0</v>
      </c>
      <c r="E76" s="139" t="n">
        <v>0</v>
      </c>
      <c r="F76" s="139" t="n">
        <v>0</v>
      </c>
      <c r="G76" s="139" t="n">
        <v>0</v>
      </c>
      <c r="H76" s="139" t="n">
        <v>0</v>
      </c>
      <c r="I76" s="139" t="n">
        <v>0</v>
      </c>
      <c r="J76" s="139" t="n">
        <v>0</v>
      </c>
      <c r="K76" s="139" t="n">
        <v>0</v>
      </c>
      <c r="L76" s="139" t="n">
        <v>0</v>
      </c>
      <c r="M76" s="139" t="n">
        <v>0</v>
      </c>
      <c r="N76" s="139" t="n">
        <v>0</v>
      </c>
    </row>
    <row r="77" customFormat="false" ht="15" hidden="false" customHeight="true" outlineLevel="0" collapsed="false">
      <c r="A77" s="130" t="s">
        <v>114</v>
      </c>
      <c r="C77" s="139" t="n">
        <v>0</v>
      </c>
      <c r="D77" s="139" t="n">
        <v>0</v>
      </c>
      <c r="E77" s="139" t="n">
        <v>0</v>
      </c>
      <c r="F77" s="139" t="n">
        <v>0</v>
      </c>
      <c r="G77" s="139" t="n">
        <v>0</v>
      </c>
      <c r="H77" s="139" t="n">
        <v>0</v>
      </c>
      <c r="I77" s="139" t="n">
        <v>0</v>
      </c>
      <c r="J77" s="139" t="n">
        <v>0</v>
      </c>
      <c r="K77" s="139" t="n">
        <v>0</v>
      </c>
      <c r="L77" s="139" t="n">
        <v>0</v>
      </c>
      <c r="M77" s="139" t="n">
        <v>0</v>
      </c>
      <c r="N77" s="139" t="n">
        <v>0</v>
      </c>
    </row>
    <row r="78" customFormat="false" ht="15" hidden="false" customHeight="true" outlineLevel="0" collapsed="false">
      <c r="A78" s="130" t="s">
        <v>115</v>
      </c>
      <c r="C78" s="139" t="n">
        <v>0</v>
      </c>
      <c r="D78" s="139" t="n">
        <v>0</v>
      </c>
      <c r="E78" s="139" t="n">
        <v>0</v>
      </c>
      <c r="F78" s="139" t="n">
        <v>0</v>
      </c>
      <c r="G78" s="139" t="n">
        <v>0</v>
      </c>
      <c r="H78" s="139" t="n">
        <v>0</v>
      </c>
      <c r="I78" s="139" t="n">
        <v>0</v>
      </c>
      <c r="J78" s="139" t="n">
        <v>0</v>
      </c>
      <c r="K78" s="139" t="n">
        <v>0</v>
      </c>
      <c r="L78" s="139" t="n">
        <v>0</v>
      </c>
      <c r="M78" s="139" t="n">
        <v>0</v>
      </c>
      <c r="N78" s="139" t="n">
        <v>0</v>
      </c>
    </row>
    <row r="79" customFormat="false" ht="15" hidden="false" customHeight="true" outlineLevel="0" collapsed="false">
      <c r="A79" s="130" t="s">
        <v>116</v>
      </c>
      <c r="C79" s="139" t="n">
        <v>0</v>
      </c>
      <c r="D79" s="139" t="n">
        <v>0</v>
      </c>
      <c r="E79" s="139" t="n">
        <v>0</v>
      </c>
      <c r="F79" s="139" t="n">
        <v>0</v>
      </c>
      <c r="G79" s="139" t="n">
        <v>0</v>
      </c>
      <c r="H79" s="139" t="n">
        <v>0</v>
      </c>
      <c r="I79" s="139" t="n">
        <v>0</v>
      </c>
      <c r="J79" s="139" t="n">
        <v>0</v>
      </c>
      <c r="K79" s="139" t="n">
        <v>0</v>
      </c>
      <c r="L79" s="139" t="n">
        <v>0</v>
      </c>
      <c r="M79" s="139" t="n">
        <v>0</v>
      </c>
      <c r="N79" s="139" t="n">
        <v>0</v>
      </c>
    </row>
    <row r="80" customFormat="false" ht="15" hidden="false" customHeight="true" outlineLevel="0" collapsed="false">
      <c r="A80" s="130" t="s">
        <v>364</v>
      </c>
      <c r="C80" s="139" t="n">
        <v>0</v>
      </c>
      <c r="D80" s="139" t="n">
        <v>0</v>
      </c>
      <c r="E80" s="139" t="n">
        <v>0</v>
      </c>
      <c r="F80" s="139" t="n">
        <v>0</v>
      </c>
      <c r="G80" s="139" t="n">
        <v>0</v>
      </c>
      <c r="H80" s="139" t="n">
        <v>0</v>
      </c>
      <c r="I80" s="139" t="n">
        <v>0</v>
      </c>
      <c r="J80" s="139" t="n">
        <v>0</v>
      </c>
      <c r="K80" s="139" t="n">
        <v>0</v>
      </c>
      <c r="L80" s="139" t="n">
        <v>0</v>
      </c>
      <c r="M80" s="139" t="n">
        <v>0</v>
      </c>
      <c r="N80" s="139" t="n">
        <v>0</v>
      </c>
    </row>
    <row r="81" customFormat="false" ht="15" hidden="false" customHeight="true" outlineLevel="0" collapsed="false">
      <c r="A81" s="115" t="s">
        <v>121</v>
      </c>
      <c r="C81" s="139" t="n">
        <v>47599.06</v>
      </c>
      <c r="D81" s="139" t="n">
        <v>47599.06</v>
      </c>
      <c r="E81" s="139" t="n">
        <v>47599.06</v>
      </c>
      <c r="F81" s="139" t="n">
        <v>59474.06</v>
      </c>
      <c r="G81" s="139" t="n">
        <v>59474.06</v>
      </c>
      <c r="H81" s="139" t="n">
        <v>59474.06</v>
      </c>
      <c r="I81" s="139" t="n">
        <v>59474.06</v>
      </c>
      <c r="J81" s="139" t="n">
        <v>59474.06</v>
      </c>
      <c r="K81" s="139" t="n">
        <v>59474.06</v>
      </c>
      <c r="L81" s="139" t="n">
        <v>49246.79</v>
      </c>
      <c r="M81" s="139" t="n">
        <v>49246.79</v>
      </c>
      <c r="N81" s="139" t="n">
        <v>49246.79</v>
      </c>
    </row>
    <row r="83" customFormat="false" ht="15" hidden="false" customHeight="true" outlineLevel="0" collapsed="false">
      <c r="A83" s="130" t="s">
        <v>123</v>
      </c>
      <c r="C83" s="139" t="n">
        <v>-90233.32</v>
      </c>
      <c r="D83" s="139" t="n">
        <v>-90233.32</v>
      </c>
      <c r="E83" s="139" t="n">
        <v>-90233.32</v>
      </c>
      <c r="F83" s="139" t="n">
        <v>-90233.32</v>
      </c>
      <c r="G83" s="139" t="n">
        <v>-90233.32</v>
      </c>
      <c r="H83" s="139" t="n">
        <v>-90233.32</v>
      </c>
      <c r="I83" s="139" t="n">
        <v>-89059.65</v>
      </c>
      <c r="J83" s="139" t="n">
        <v>-89059.65</v>
      </c>
      <c r="K83" s="139" t="n">
        <v>-89059.65</v>
      </c>
      <c r="L83" s="139" t="n">
        <v>-89059.65</v>
      </c>
      <c r="M83" s="139" t="n">
        <v>-89059.65</v>
      </c>
      <c r="N83" s="139" t="n">
        <v>-89059.65</v>
      </c>
    </row>
    <row r="84" customFormat="false" ht="15" hidden="false" customHeight="true" outlineLevel="0" collapsed="false">
      <c r="A84" s="130" t="s">
        <v>65</v>
      </c>
      <c r="C84" s="139" t="n">
        <v>-8125</v>
      </c>
      <c r="D84" s="139" t="n">
        <v>-8125</v>
      </c>
      <c r="E84" s="139" t="n">
        <v>-8125</v>
      </c>
      <c r="F84" s="139" t="n">
        <v>-8125</v>
      </c>
      <c r="G84" s="139" t="n">
        <v>-8125</v>
      </c>
      <c r="H84" s="139" t="n">
        <v>-8125</v>
      </c>
      <c r="I84" s="139" t="n">
        <v>-8125</v>
      </c>
      <c r="J84" s="139" t="n">
        <v>-8125</v>
      </c>
      <c r="K84" s="139" t="n">
        <v>-8125</v>
      </c>
      <c r="L84" s="139" t="n">
        <v>-8125</v>
      </c>
      <c r="M84" s="139" t="n">
        <v>-8125</v>
      </c>
      <c r="N84" s="139" t="n">
        <v>-8125</v>
      </c>
    </row>
    <row r="85" customFormat="false" ht="15" hidden="false" customHeight="true" outlineLevel="0" collapsed="false">
      <c r="A85" s="130" t="s">
        <v>67</v>
      </c>
      <c r="C85" s="139" t="n">
        <v>-6554.17</v>
      </c>
      <c r="D85" s="139" t="n">
        <v>-6554.17</v>
      </c>
      <c r="E85" s="139" t="n">
        <v>-6554.17</v>
      </c>
      <c r="F85" s="139" t="n">
        <v>-6554.17</v>
      </c>
      <c r="G85" s="139" t="n">
        <v>-6554.17</v>
      </c>
      <c r="H85" s="139" t="n">
        <v>-6554.17</v>
      </c>
      <c r="I85" s="139" t="n">
        <v>-6554.17</v>
      </c>
      <c r="J85" s="139" t="n">
        <v>-6554.17</v>
      </c>
      <c r="K85" s="139" t="n">
        <v>-6554.17</v>
      </c>
      <c r="L85" s="139" t="n">
        <v>-6554.17</v>
      </c>
      <c r="M85" s="139" t="n">
        <v>-6554.17</v>
      </c>
      <c r="N85" s="139" t="n">
        <v>-6554.17</v>
      </c>
    </row>
    <row r="86" customFormat="false" ht="15" hidden="false" customHeight="true" outlineLevel="0" collapsed="false">
      <c r="A86" s="130" t="s">
        <v>68</v>
      </c>
      <c r="C86" s="139" t="n">
        <v>-487.5</v>
      </c>
      <c r="D86" s="139" t="n">
        <v>-487.5</v>
      </c>
      <c r="E86" s="139" t="n">
        <v>-487.5</v>
      </c>
      <c r="F86" s="139" t="n">
        <v>-487.5</v>
      </c>
      <c r="G86" s="139" t="n">
        <v>-487.5</v>
      </c>
      <c r="H86" s="139" t="n">
        <v>-487.5</v>
      </c>
      <c r="I86" s="139" t="n">
        <v>-487.5</v>
      </c>
      <c r="J86" s="139" t="n">
        <v>-487.5</v>
      </c>
      <c r="K86" s="139" t="n">
        <v>-487.5</v>
      </c>
      <c r="L86" s="139" t="n">
        <v>-487.5</v>
      </c>
      <c r="M86" s="139" t="n">
        <v>-487.5</v>
      </c>
      <c r="N86" s="139" t="n">
        <v>-487.5</v>
      </c>
    </row>
    <row r="87" customFormat="false" ht="15" hidden="false" customHeight="true" outlineLevel="0" collapsed="false">
      <c r="A87" s="130" t="s">
        <v>69</v>
      </c>
      <c r="C87" s="139" t="n">
        <v>-270.83</v>
      </c>
      <c r="D87" s="139" t="n">
        <v>-270.83</v>
      </c>
      <c r="E87" s="139" t="n">
        <v>-270.83</v>
      </c>
      <c r="F87" s="139" t="n">
        <v>-270.83</v>
      </c>
      <c r="G87" s="139" t="n">
        <v>-270.83</v>
      </c>
      <c r="H87" s="139" t="n">
        <v>-270.83</v>
      </c>
      <c r="I87" s="139" t="n">
        <v>-270.83</v>
      </c>
      <c r="J87" s="139" t="n">
        <v>-270.83</v>
      </c>
      <c r="K87" s="139" t="n">
        <v>-270.83</v>
      </c>
      <c r="L87" s="139" t="n">
        <v>-270.83</v>
      </c>
      <c r="M87" s="139" t="n">
        <v>-270.83</v>
      </c>
      <c r="N87" s="139" t="n">
        <v>-270.83</v>
      </c>
    </row>
    <row r="88" customFormat="false" ht="15" hidden="false" customHeight="true" outlineLevel="0" collapsed="false">
      <c r="A88" s="130" t="s">
        <v>72</v>
      </c>
      <c r="C88" s="139" t="n">
        <v>-8000</v>
      </c>
      <c r="D88" s="139" t="n">
        <v>-8000</v>
      </c>
      <c r="E88" s="139" t="n">
        <v>-8000</v>
      </c>
      <c r="F88" s="139" t="n">
        <v>-8000</v>
      </c>
      <c r="G88" s="139" t="n">
        <v>-8000</v>
      </c>
      <c r="H88" s="139" t="n">
        <v>-8000</v>
      </c>
      <c r="I88" s="139" t="n">
        <v>-8160</v>
      </c>
      <c r="J88" s="139" t="n">
        <v>-8160</v>
      </c>
      <c r="K88" s="139" t="n">
        <v>-8160</v>
      </c>
      <c r="L88" s="139" t="n">
        <v>-8160</v>
      </c>
      <c r="M88" s="139" t="n">
        <v>-8160</v>
      </c>
      <c r="N88" s="139" t="n">
        <v>-8160</v>
      </c>
    </row>
    <row r="89" customFormat="false" ht="15" hidden="false" customHeight="true" outlineLevel="0" collapsed="false">
      <c r="A89" s="130" t="s">
        <v>73</v>
      </c>
      <c r="C89" s="139" t="n">
        <v>-183.33</v>
      </c>
      <c r="D89" s="139" t="n">
        <v>-183.33</v>
      </c>
      <c r="E89" s="139" t="n">
        <v>-183.33</v>
      </c>
      <c r="F89" s="139" t="n">
        <v>-183.33</v>
      </c>
      <c r="G89" s="139" t="n">
        <v>-183.33</v>
      </c>
      <c r="H89" s="139" t="n">
        <v>-183.33</v>
      </c>
      <c r="I89" s="139" t="n">
        <v>-187</v>
      </c>
      <c r="J89" s="139" t="n">
        <v>-187</v>
      </c>
      <c r="K89" s="139" t="n">
        <v>-187</v>
      </c>
      <c r="L89" s="139" t="n">
        <v>-187</v>
      </c>
      <c r="M89" s="139" t="n">
        <v>-187</v>
      </c>
      <c r="N89" s="139" t="n">
        <v>-187</v>
      </c>
    </row>
    <row r="90" customFormat="false" ht="15" hidden="false" customHeight="true" outlineLevel="0" collapsed="false">
      <c r="A90" s="130" t="s">
        <v>124</v>
      </c>
      <c r="C90" s="139" t="n">
        <v>-3000</v>
      </c>
      <c r="D90" s="139" t="n">
        <v>-3000</v>
      </c>
      <c r="E90" s="139" t="n">
        <v>-3000</v>
      </c>
      <c r="F90" s="139" t="n">
        <v>-3000</v>
      </c>
      <c r="G90" s="139" t="n">
        <v>-3000</v>
      </c>
      <c r="H90" s="139" t="n">
        <v>-3000</v>
      </c>
      <c r="I90" s="139" t="n">
        <v>-3060</v>
      </c>
      <c r="J90" s="139" t="n">
        <v>-3060</v>
      </c>
      <c r="K90" s="139" t="n">
        <v>-3060</v>
      </c>
      <c r="L90" s="139" t="n">
        <v>-3060</v>
      </c>
      <c r="M90" s="139" t="n">
        <v>-3060</v>
      </c>
      <c r="N90" s="139" t="n">
        <v>-3060</v>
      </c>
    </row>
    <row r="91" customFormat="false" ht="15" hidden="false" customHeight="true" outlineLevel="0" collapsed="false">
      <c r="A91" s="130" t="s">
        <v>125</v>
      </c>
      <c r="C91" s="139" t="n">
        <v>0</v>
      </c>
      <c r="D91" s="139" t="n">
        <v>0</v>
      </c>
      <c r="E91" s="139" t="n">
        <v>0</v>
      </c>
      <c r="F91" s="139" t="n">
        <v>0</v>
      </c>
      <c r="G91" s="139" t="n">
        <v>0</v>
      </c>
      <c r="H91" s="139" t="n">
        <v>0</v>
      </c>
      <c r="I91" s="139" t="n">
        <v>0</v>
      </c>
      <c r="J91" s="139" t="n">
        <v>0</v>
      </c>
      <c r="K91" s="139" t="n">
        <v>0</v>
      </c>
      <c r="L91" s="139" t="n">
        <v>0</v>
      </c>
      <c r="M91" s="139" t="n">
        <v>0</v>
      </c>
      <c r="N91" s="139" t="n">
        <v>0</v>
      </c>
    </row>
    <row r="92" customFormat="false" ht="15" hidden="false" customHeight="true" outlineLevel="0" collapsed="false">
      <c r="A92" s="138" t="s">
        <v>126</v>
      </c>
      <c r="C92" s="139" t="n">
        <v>0</v>
      </c>
      <c r="D92" s="139" t="n">
        <v>0</v>
      </c>
      <c r="E92" s="139" t="n">
        <v>0</v>
      </c>
      <c r="F92" s="139" t="n">
        <v>0</v>
      </c>
      <c r="G92" s="139" t="n">
        <v>0</v>
      </c>
      <c r="H92" s="139" t="n">
        <v>0</v>
      </c>
      <c r="I92" s="139" t="n">
        <v>0</v>
      </c>
      <c r="J92" s="139" t="n">
        <v>0</v>
      </c>
      <c r="K92" s="139" t="n">
        <v>0</v>
      </c>
      <c r="L92" s="139" t="n">
        <v>0</v>
      </c>
      <c r="M92" s="139" t="n">
        <v>0</v>
      </c>
      <c r="N92" s="139" t="n">
        <v>0</v>
      </c>
    </row>
    <row r="93" customFormat="false" ht="15" hidden="false" customHeight="true" outlineLevel="0" collapsed="false">
      <c r="A93" s="138" t="s">
        <v>127</v>
      </c>
      <c r="C93" s="139" t="n">
        <v>-3000</v>
      </c>
      <c r="D93" s="139" t="n">
        <v>-3000</v>
      </c>
      <c r="E93" s="139" t="n">
        <v>-3000</v>
      </c>
      <c r="F93" s="139" t="n">
        <v>-3000</v>
      </c>
      <c r="G93" s="139" t="n">
        <v>-3000</v>
      </c>
      <c r="H93" s="139" t="n">
        <v>-3000</v>
      </c>
      <c r="I93" s="139" t="n">
        <v>-3060</v>
      </c>
      <c r="J93" s="139" t="n">
        <v>-3060</v>
      </c>
      <c r="K93" s="139" t="n">
        <v>-3060</v>
      </c>
      <c r="L93" s="139" t="n">
        <v>-3060</v>
      </c>
      <c r="M93" s="139" t="n">
        <v>-3060</v>
      </c>
      <c r="N93" s="139" t="n">
        <v>-3060</v>
      </c>
    </row>
    <row r="94" customFormat="false" ht="15" hidden="false" customHeight="true" outlineLevel="0" collapsed="false">
      <c r="A94" s="138" t="s">
        <v>128</v>
      </c>
      <c r="C94" s="139" t="n">
        <v>-833.33</v>
      </c>
      <c r="D94" s="139" t="n">
        <v>-833.33</v>
      </c>
      <c r="E94" s="139" t="n">
        <v>-833.33</v>
      </c>
      <c r="F94" s="139" t="n">
        <v>-833.33</v>
      </c>
      <c r="G94" s="139" t="n">
        <v>-833.33</v>
      </c>
      <c r="H94" s="139" t="n">
        <v>-833.33</v>
      </c>
      <c r="I94" s="139" t="n">
        <v>-850</v>
      </c>
      <c r="J94" s="139" t="n">
        <v>-850</v>
      </c>
      <c r="K94" s="139" t="n">
        <v>-850</v>
      </c>
      <c r="L94" s="139" t="n">
        <v>-850</v>
      </c>
      <c r="M94" s="139" t="n">
        <v>-850</v>
      </c>
      <c r="N94" s="139" t="n">
        <v>-850</v>
      </c>
    </row>
    <row r="95" customFormat="false" ht="15" hidden="false" customHeight="true" outlineLevel="0" collapsed="false">
      <c r="A95" s="138" t="s">
        <v>129</v>
      </c>
      <c r="C95" s="139" t="n">
        <v>0</v>
      </c>
      <c r="D95" s="139" t="n">
        <v>0</v>
      </c>
      <c r="E95" s="139" t="n">
        <v>0</v>
      </c>
      <c r="F95" s="139" t="n">
        <v>0</v>
      </c>
      <c r="G95" s="139" t="n">
        <v>0</v>
      </c>
      <c r="H95" s="139" t="n">
        <v>0</v>
      </c>
      <c r="I95" s="139" t="n">
        <v>0</v>
      </c>
      <c r="J95" s="139" t="n">
        <v>0</v>
      </c>
      <c r="K95" s="139" t="n">
        <v>0</v>
      </c>
      <c r="L95" s="139" t="n">
        <v>0</v>
      </c>
      <c r="M95" s="139" t="n">
        <v>0</v>
      </c>
      <c r="N95" s="139" t="n">
        <v>0</v>
      </c>
    </row>
    <row r="96" customFormat="false" ht="15" hidden="false" customHeight="true" outlineLevel="0" collapsed="false">
      <c r="A96" s="138" t="s">
        <v>78</v>
      </c>
      <c r="C96" s="139" t="n">
        <v>-3000</v>
      </c>
      <c r="D96" s="139" t="n">
        <v>-3000</v>
      </c>
      <c r="E96" s="139" t="n">
        <v>-3000</v>
      </c>
      <c r="F96" s="139" t="n">
        <v>-3000</v>
      </c>
      <c r="G96" s="139" t="n">
        <v>-3000</v>
      </c>
      <c r="H96" s="139" t="n">
        <v>-3000</v>
      </c>
      <c r="I96" s="139" t="n">
        <v>-3060</v>
      </c>
      <c r="J96" s="139" t="n">
        <v>-3060</v>
      </c>
      <c r="K96" s="139" t="n">
        <v>-3060</v>
      </c>
      <c r="L96" s="139" t="n">
        <v>-3060</v>
      </c>
      <c r="M96" s="139" t="n">
        <v>-3060</v>
      </c>
      <c r="N96" s="139" t="n">
        <v>-3060</v>
      </c>
    </row>
    <row r="97" customFormat="false" ht="15" hidden="false" customHeight="true" outlineLevel="0" collapsed="false">
      <c r="A97" s="138" t="s">
        <v>79</v>
      </c>
      <c r="C97" s="139" t="n">
        <v>-500</v>
      </c>
      <c r="D97" s="139" t="n">
        <v>-500</v>
      </c>
      <c r="E97" s="139" t="n">
        <v>-500</v>
      </c>
      <c r="F97" s="139" t="n">
        <v>-500</v>
      </c>
      <c r="G97" s="139" t="n">
        <v>-500</v>
      </c>
      <c r="H97" s="139" t="n">
        <v>-500</v>
      </c>
      <c r="I97" s="139" t="n">
        <v>-510</v>
      </c>
      <c r="J97" s="139" t="n">
        <v>-510</v>
      </c>
      <c r="K97" s="139" t="n">
        <v>-510</v>
      </c>
      <c r="L97" s="139" t="n">
        <v>-510</v>
      </c>
      <c r="M97" s="139" t="n">
        <v>-510</v>
      </c>
      <c r="N97" s="139" t="n">
        <v>-510</v>
      </c>
    </row>
    <row r="98" customFormat="false" ht="15" hidden="false" customHeight="true" outlineLevel="0" collapsed="false">
      <c r="A98" s="130" t="s">
        <v>80</v>
      </c>
      <c r="C98" s="139" t="n">
        <v>-5500</v>
      </c>
      <c r="D98" s="139" t="n">
        <v>-5500</v>
      </c>
      <c r="E98" s="139" t="n">
        <v>-5500</v>
      </c>
      <c r="F98" s="139" t="n">
        <v>-5500</v>
      </c>
      <c r="G98" s="139" t="n">
        <v>-5500</v>
      </c>
      <c r="H98" s="139" t="n">
        <v>-5500</v>
      </c>
      <c r="I98" s="139" t="n">
        <v>-5610</v>
      </c>
      <c r="J98" s="139" t="n">
        <v>-5610</v>
      </c>
      <c r="K98" s="139" t="n">
        <v>-5610</v>
      </c>
      <c r="L98" s="139" t="n">
        <v>-5610</v>
      </c>
      <c r="M98" s="139" t="n">
        <v>-5610</v>
      </c>
      <c r="N98" s="139" t="n">
        <v>-5610</v>
      </c>
    </row>
    <row r="99" customFormat="false" ht="15" hidden="false" customHeight="true" outlineLevel="0" collapsed="false">
      <c r="A99" s="130" t="s">
        <v>81</v>
      </c>
      <c r="C99" s="139" t="n">
        <v>-2083.33</v>
      </c>
      <c r="D99" s="139" t="n">
        <v>-2083.33</v>
      </c>
      <c r="E99" s="139" t="n">
        <v>-2083.33</v>
      </c>
      <c r="F99" s="139" t="n">
        <v>-2083.33</v>
      </c>
      <c r="G99" s="139" t="n">
        <v>-2083.33</v>
      </c>
      <c r="H99" s="139" t="n">
        <v>-2083.33</v>
      </c>
      <c r="I99" s="139" t="n">
        <v>-2125</v>
      </c>
      <c r="J99" s="139" t="n">
        <v>-2125</v>
      </c>
      <c r="K99" s="139" t="n">
        <v>-2125</v>
      </c>
      <c r="L99" s="139" t="n">
        <v>-2125</v>
      </c>
      <c r="M99" s="139" t="n">
        <v>-2125</v>
      </c>
      <c r="N99" s="139" t="n">
        <v>-2125</v>
      </c>
    </row>
    <row r="100" customFormat="false" ht="15" hidden="false" customHeight="true" outlineLevel="0" collapsed="false">
      <c r="A100" s="138" t="s">
        <v>130</v>
      </c>
      <c r="C100" s="139" t="n">
        <v>-500</v>
      </c>
      <c r="D100" s="139" t="n">
        <v>-500</v>
      </c>
      <c r="E100" s="139" t="n">
        <v>-500</v>
      </c>
      <c r="F100" s="139" t="n">
        <v>-500</v>
      </c>
      <c r="G100" s="139" t="n">
        <v>-500</v>
      </c>
      <c r="H100" s="139" t="n">
        <v>-500</v>
      </c>
      <c r="I100" s="139" t="n">
        <v>-510</v>
      </c>
      <c r="J100" s="139" t="n">
        <v>-510</v>
      </c>
      <c r="K100" s="139" t="n">
        <v>-510</v>
      </c>
      <c r="L100" s="139" t="n">
        <v>-510</v>
      </c>
      <c r="M100" s="139" t="n">
        <v>-510</v>
      </c>
      <c r="N100" s="139" t="n">
        <v>-510</v>
      </c>
    </row>
    <row r="101" customFormat="false" ht="15" hidden="false" customHeight="true" outlineLevel="0" collapsed="false">
      <c r="A101" s="138" t="s">
        <v>131</v>
      </c>
      <c r="C101" s="139" t="n">
        <v>-2000</v>
      </c>
      <c r="D101" s="139" t="n">
        <v>-2000</v>
      </c>
      <c r="E101" s="139" t="n">
        <v>-2000</v>
      </c>
      <c r="F101" s="139" t="n">
        <v>-2000</v>
      </c>
      <c r="G101" s="139" t="n">
        <v>-2000</v>
      </c>
      <c r="H101" s="139" t="n">
        <v>-2000</v>
      </c>
      <c r="I101" s="139" t="n">
        <v>-2040</v>
      </c>
      <c r="J101" s="139" t="n">
        <v>-2040</v>
      </c>
      <c r="K101" s="139" t="n">
        <v>-2040</v>
      </c>
      <c r="L101" s="139" t="n">
        <v>-2040</v>
      </c>
      <c r="M101" s="139" t="n">
        <v>-2040</v>
      </c>
      <c r="N101" s="139" t="n">
        <v>-2040</v>
      </c>
    </row>
    <row r="102" customFormat="false" ht="15" hidden="false" customHeight="true" outlineLevel="0" collapsed="false">
      <c r="A102" s="142" t="s">
        <v>132</v>
      </c>
      <c r="C102" s="139" t="n">
        <v>-1541.67</v>
      </c>
      <c r="D102" s="139" t="n">
        <v>-1541.67</v>
      </c>
      <c r="E102" s="139" t="n">
        <v>-1541.67</v>
      </c>
      <c r="F102" s="139" t="n">
        <v>-1541.67</v>
      </c>
      <c r="G102" s="139" t="n">
        <v>-1541.67</v>
      </c>
      <c r="H102" s="139" t="n">
        <v>-1541.67</v>
      </c>
      <c r="I102" s="139" t="n">
        <v>-1572.5</v>
      </c>
      <c r="J102" s="139" t="n">
        <v>-1572.5</v>
      </c>
      <c r="K102" s="139" t="n">
        <v>-1572.5</v>
      </c>
      <c r="L102" s="139" t="n">
        <v>-1572.5</v>
      </c>
      <c r="M102" s="139" t="n">
        <v>-1572.5</v>
      </c>
      <c r="N102" s="139" t="n">
        <v>-1572.5</v>
      </c>
    </row>
    <row r="103" customFormat="false" ht="15" hidden="false" customHeight="true" outlineLevel="0" collapsed="false">
      <c r="A103" s="142" t="s">
        <v>133</v>
      </c>
      <c r="C103" s="139" t="n">
        <v>-2100</v>
      </c>
      <c r="D103" s="139" t="n">
        <v>-2100</v>
      </c>
      <c r="E103" s="139" t="n">
        <v>-2100</v>
      </c>
      <c r="F103" s="139" t="n">
        <v>-2100</v>
      </c>
      <c r="G103" s="139" t="n">
        <v>-2100</v>
      </c>
      <c r="H103" s="139" t="n">
        <v>-2100</v>
      </c>
      <c r="I103" s="139" t="n">
        <v>-2142</v>
      </c>
      <c r="J103" s="139" t="n">
        <v>-2142</v>
      </c>
      <c r="K103" s="139" t="n">
        <v>-2142</v>
      </c>
      <c r="L103" s="139" t="n">
        <v>-2142</v>
      </c>
      <c r="M103" s="139" t="n">
        <v>-2142</v>
      </c>
      <c r="N103" s="139" t="n">
        <v>-2142</v>
      </c>
    </row>
    <row r="104" customFormat="false" ht="15" hidden="false" customHeight="true" outlineLevel="0" collapsed="false">
      <c r="A104" s="142" t="s">
        <v>84</v>
      </c>
      <c r="C104" s="139" t="n">
        <v>0</v>
      </c>
      <c r="D104" s="139" t="n">
        <v>0</v>
      </c>
      <c r="E104" s="139" t="n">
        <v>0</v>
      </c>
      <c r="F104" s="139" t="n">
        <v>0</v>
      </c>
      <c r="G104" s="139" t="n">
        <v>0</v>
      </c>
      <c r="H104" s="139" t="n">
        <v>0</v>
      </c>
      <c r="I104" s="139" t="n">
        <v>0</v>
      </c>
      <c r="J104" s="139" t="n">
        <v>0</v>
      </c>
      <c r="K104" s="139" t="n">
        <v>0</v>
      </c>
      <c r="L104" s="139" t="n">
        <v>0</v>
      </c>
      <c r="M104" s="139" t="n">
        <v>0</v>
      </c>
      <c r="N104" s="139" t="n">
        <v>0</v>
      </c>
    </row>
    <row r="105" customFormat="false" ht="15" hidden="false" customHeight="true" outlineLevel="0" collapsed="false">
      <c r="A105" s="130" t="s">
        <v>92</v>
      </c>
      <c r="C105" s="139" t="n">
        <v>0</v>
      </c>
      <c r="D105" s="139" t="n">
        <v>0</v>
      </c>
      <c r="E105" s="139" t="n">
        <v>0</v>
      </c>
      <c r="F105" s="139" t="n">
        <v>0</v>
      </c>
      <c r="G105" s="139" t="n">
        <v>0</v>
      </c>
      <c r="H105" s="139" t="n">
        <v>0</v>
      </c>
      <c r="I105" s="139" t="n">
        <v>0</v>
      </c>
      <c r="J105" s="139" t="n">
        <v>0</v>
      </c>
      <c r="K105" s="139" t="n">
        <v>0</v>
      </c>
      <c r="L105" s="139" t="n">
        <v>0</v>
      </c>
      <c r="M105" s="139" t="n">
        <v>0</v>
      </c>
      <c r="N105" s="139" t="n">
        <v>0</v>
      </c>
    </row>
    <row r="106" customFormat="false" ht="15" hidden="false" customHeight="true" outlineLevel="0" collapsed="false">
      <c r="A106" s="130" t="s">
        <v>93</v>
      </c>
      <c r="C106" s="139" t="n">
        <v>-500</v>
      </c>
      <c r="D106" s="139" t="n">
        <v>-500</v>
      </c>
      <c r="E106" s="139" t="n">
        <v>-500</v>
      </c>
      <c r="F106" s="139" t="n">
        <v>-500</v>
      </c>
      <c r="G106" s="139" t="n">
        <v>-500</v>
      </c>
      <c r="H106" s="139" t="n">
        <v>-500</v>
      </c>
      <c r="I106" s="139" t="n">
        <v>-510</v>
      </c>
      <c r="J106" s="139" t="n">
        <v>-510</v>
      </c>
      <c r="K106" s="139" t="n">
        <v>-510</v>
      </c>
      <c r="L106" s="139" t="n">
        <v>-510</v>
      </c>
      <c r="M106" s="139" t="n">
        <v>-510</v>
      </c>
      <c r="N106" s="139" t="n">
        <v>-510</v>
      </c>
    </row>
    <row r="107" customFormat="false" ht="15" hidden="false" customHeight="true" outlineLevel="0" collapsed="false">
      <c r="A107" s="130" t="s">
        <v>134</v>
      </c>
      <c r="C107" s="139" t="n">
        <v>0</v>
      </c>
      <c r="D107" s="139" t="n">
        <v>0</v>
      </c>
      <c r="E107" s="139" t="n">
        <v>0</v>
      </c>
      <c r="F107" s="139" t="n">
        <v>0</v>
      </c>
      <c r="G107" s="139" t="n">
        <v>0</v>
      </c>
      <c r="H107" s="139" t="n">
        <v>0</v>
      </c>
      <c r="I107" s="139" t="n">
        <v>0</v>
      </c>
      <c r="J107" s="139" t="n">
        <v>0</v>
      </c>
      <c r="K107" s="139" t="n">
        <v>0</v>
      </c>
      <c r="L107" s="139" t="n">
        <v>0</v>
      </c>
      <c r="M107" s="139" t="n">
        <v>0</v>
      </c>
      <c r="N107" s="139" t="n">
        <v>0</v>
      </c>
    </row>
    <row r="108" customFormat="false" ht="15" hidden="false" customHeight="true" outlineLevel="0" collapsed="false">
      <c r="A108" s="130" t="s">
        <v>135</v>
      </c>
      <c r="C108" s="139" t="n">
        <v>0</v>
      </c>
      <c r="D108" s="139" t="n">
        <v>0</v>
      </c>
      <c r="E108" s="139" t="n">
        <v>0</v>
      </c>
      <c r="F108" s="139" t="n">
        <v>0</v>
      </c>
      <c r="G108" s="139" t="n">
        <v>0</v>
      </c>
      <c r="H108" s="139" t="n">
        <v>0</v>
      </c>
      <c r="I108" s="139" t="n">
        <v>0</v>
      </c>
      <c r="J108" s="139" t="n">
        <v>0</v>
      </c>
      <c r="K108" s="139" t="n">
        <v>0</v>
      </c>
      <c r="L108" s="139" t="n">
        <v>0</v>
      </c>
      <c r="M108" s="139" t="n">
        <v>0</v>
      </c>
      <c r="N108" s="139" t="n">
        <v>0</v>
      </c>
    </row>
    <row r="109" customFormat="false" ht="15" hidden="false" customHeight="true" outlineLevel="0" collapsed="false">
      <c r="A109" s="130" t="s">
        <v>136</v>
      </c>
      <c r="C109" s="139" t="n">
        <v>0</v>
      </c>
      <c r="D109" s="139" t="n">
        <v>0</v>
      </c>
      <c r="E109" s="139" t="n">
        <v>0</v>
      </c>
      <c r="F109" s="139" t="n">
        <v>0</v>
      </c>
      <c r="G109" s="139" t="n">
        <v>0</v>
      </c>
      <c r="H109" s="139" t="n">
        <v>0</v>
      </c>
      <c r="I109" s="139" t="n">
        <v>0</v>
      </c>
      <c r="J109" s="139" t="n">
        <v>0</v>
      </c>
      <c r="K109" s="139" t="n">
        <v>0</v>
      </c>
      <c r="L109" s="139" t="n">
        <v>0</v>
      </c>
      <c r="M109" s="139" t="n">
        <v>0</v>
      </c>
      <c r="N109" s="139" t="n">
        <v>0</v>
      </c>
    </row>
    <row r="110" customFormat="false" ht="15" hidden="false" customHeight="true" outlineLevel="0" collapsed="false">
      <c r="A110" s="130" t="s">
        <v>137</v>
      </c>
      <c r="C110" s="139" t="n">
        <v>0</v>
      </c>
      <c r="D110" s="139" t="n">
        <v>0</v>
      </c>
      <c r="E110" s="139" t="n">
        <v>0</v>
      </c>
      <c r="F110" s="139" t="n">
        <v>0</v>
      </c>
      <c r="G110" s="139" t="n">
        <v>0</v>
      </c>
      <c r="H110" s="139" t="n">
        <v>0</v>
      </c>
      <c r="I110" s="139" t="n">
        <v>0</v>
      </c>
      <c r="J110" s="139" t="n">
        <v>0</v>
      </c>
      <c r="K110" s="139" t="n">
        <v>0</v>
      </c>
      <c r="L110" s="139" t="n">
        <v>0</v>
      </c>
      <c r="M110" s="139" t="n">
        <v>0</v>
      </c>
      <c r="N110" s="139" t="n">
        <v>0</v>
      </c>
    </row>
    <row r="111" customFormat="false" ht="15" hidden="false" customHeight="true" outlineLevel="0" collapsed="false">
      <c r="A111" s="130" t="s">
        <v>138</v>
      </c>
      <c r="C111" s="139" t="n">
        <v>0</v>
      </c>
      <c r="D111" s="139" t="n">
        <v>0</v>
      </c>
      <c r="E111" s="139" t="n">
        <v>0</v>
      </c>
      <c r="F111" s="139" t="n">
        <v>0</v>
      </c>
      <c r="G111" s="139" t="n">
        <v>0</v>
      </c>
      <c r="H111" s="139" t="n">
        <v>0</v>
      </c>
      <c r="I111" s="139" t="n">
        <v>0</v>
      </c>
      <c r="J111" s="139" t="n">
        <v>0</v>
      </c>
      <c r="K111" s="139" t="n">
        <v>0</v>
      </c>
      <c r="L111" s="139" t="n">
        <v>0</v>
      </c>
      <c r="M111" s="139" t="n">
        <v>0</v>
      </c>
      <c r="N111" s="139" t="n">
        <v>0</v>
      </c>
    </row>
    <row r="112" customFormat="false" ht="15" hidden="false" customHeight="true" outlineLevel="0" collapsed="false">
      <c r="A112" s="115" t="s">
        <v>139</v>
      </c>
      <c r="C112" s="139" t="n">
        <v>-138412.48</v>
      </c>
      <c r="D112" s="139" t="n">
        <v>-138412.48</v>
      </c>
      <c r="E112" s="139" t="n">
        <v>-138412.48</v>
      </c>
      <c r="F112" s="139" t="n">
        <v>-138412.48</v>
      </c>
      <c r="G112" s="139" t="n">
        <v>-138412.48</v>
      </c>
      <c r="H112" s="139" t="n">
        <v>-138412.48</v>
      </c>
      <c r="I112" s="139" t="n">
        <v>-137893.65</v>
      </c>
      <c r="J112" s="139" t="n">
        <v>-137893.65</v>
      </c>
      <c r="K112" s="139" t="n">
        <v>-137893.65</v>
      </c>
      <c r="L112" s="139" t="n">
        <v>-137893.65</v>
      </c>
      <c r="M112" s="139" t="n">
        <v>-137893.65</v>
      </c>
      <c r="N112" s="139" t="n">
        <v>-137893.65</v>
      </c>
    </row>
    <row r="114" customFormat="false" ht="15" hidden="false" customHeight="true" outlineLevel="0" collapsed="false">
      <c r="A114" s="140" t="s">
        <v>140</v>
      </c>
      <c r="C114" s="139" t="n">
        <v>-90813.42</v>
      </c>
      <c r="D114" s="139" t="n">
        <v>-90813.42</v>
      </c>
      <c r="E114" s="139" t="n">
        <v>-90813.42</v>
      </c>
      <c r="F114" s="139" t="n">
        <v>-78938.42</v>
      </c>
      <c r="G114" s="139" t="n">
        <v>-78938.42</v>
      </c>
      <c r="H114" s="139" t="n">
        <v>-78938.42</v>
      </c>
      <c r="I114" s="139" t="n">
        <v>-78419.59</v>
      </c>
      <c r="J114" s="139" t="n">
        <v>-78419.59</v>
      </c>
      <c r="K114" s="139" t="n">
        <v>-78419.59</v>
      </c>
      <c r="L114" s="139" t="n">
        <v>-88646.86</v>
      </c>
      <c r="M114" s="139" t="n">
        <v>-88646.86</v>
      </c>
      <c r="N114" s="139" t="n">
        <v>-88646.86</v>
      </c>
    </row>
    <row r="117" customFormat="false" ht="19.5" hidden="false" customHeight="true" outlineLevel="0" collapsed="false">
      <c r="A117" s="143" t="s">
        <v>523</v>
      </c>
      <c r="B117" s="143"/>
      <c r="C117" s="143"/>
      <c r="D117" s="143"/>
      <c r="E117" s="143"/>
      <c r="F117" s="143"/>
      <c r="G117" s="143"/>
      <c r="H117" s="143"/>
      <c r="I117" s="143"/>
      <c r="J117" s="143"/>
      <c r="K117" s="143"/>
      <c r="L117" s="143"/>
      <c r="M117" s="143"/>
      <c r="N117" s="143"/>
    </row>
    <row r="118" customFormat="false" ht="45.75" hidden="false" customHeight="true" outlineLevel="0" collapsed="false">
      <c r="A118" s="144" t="s">
        <v>524</v>
      </c>
      <c r="B118" s="144"/>
      <c r="C118" s="144"/>
      <c r="D118" s="144"/>
      <c r="E118" s="144"/>
      <c r="F118" s="144"/>
      <c r="G118" s="144"/>
      <c r="H118" s="144"/>
      <c r="I118" s="144"/>
      <c r="J118" s="144"/>
      <c r="K118" s="144"/>
      <c r="L118" s="144"/>
      <c r="M118" s="144"/>
      <c r="N118" s="144"/>
    </row>
    <row r="119" customFormat="false" ht="45.75" hidden="false" customHeight="true" outlineLevel="0" collapsed="false">
      <c r="A119" s="144" t="s">
        <v>525</v>
      </c>
      <c r="B119" s="144"/>
      <c r="C119" s="144"/>
      <c r="D119" s="144"/>
      <c r="E119" s="144"/>
      <c r="F119" s="144"/>
      <c r="G119" s="144"/>
      <c r="H119" s="144"/>
      <c r="I119" s="144"/>
      <c r="J119" s="144"/>
      <c r="K119" s="144"/>
      <c r="L119" s="144"/>
      <c r="M119" s="144"/>
      <c r="N119" s="144"/>
    </row>
    <row r="120" customFormat="false" ht="45.75" hidden="false" customHeight="true" outlineLevel="0" collapsed="false">
      <c r="A120" s="144" t="s">
        <v>526</v>
      </c>
      <c r="B120" s="144"/>
      <c r="C120" s="144"/>
      <c r="D120" s="144"/>
      <c r="E120" s="144"/>
      <c r="F120" s="144"/>
      <c r="G120" s="144"/>
      <c r="H120" s="144"/>
      <c r="I120" s="144"/>
      <c r="J120" s="144"/>
      <c r="K120" s="144"/>
      <c r="L120" s="144"/>
      <c r="M120" s="144"/>
      <c r="N120" s="144"/>
    </row>
    <row r="121" customFormat="false" ht="45.75" hidden="false" customHeight="true" outlineLevel="0" collapsed="false">
      <c r="A121" s="144" t="s">
        <v>527</v>
      </c>
      <c r="B121" s="144"/>
      <c r="C121" s="144"/>
      <c r="D121" s="144"/>
      <c r="E121" s="144"/>
      <c r="F121" s="144"/>
      <c r="G121" s="144"/>
      <c r="H121" s="144"/>
      <c r="I121" s="144"/>
      <c r="J121" s="144"/>
      <c r="K121" s="144"/>
      <c r="L121" s="144"/>
      <c r="M121" s="144"/>
      <c r="N121" s="144"/>
    </row>
    <row r="122" customFormat="false" ht="45.75" hidden="false" customHeight="true" outlineLevel="0" collapsed="false">
      <c r="A122" s="144" t="s">
        <v>528</v>
      </c>
      <c r="B122" s="144"/>
      <c r="C122" s="144"/>
      <c r="D122" s="144"/>
      <c r="E122" s="144"/>
      <c r="F122" s="144"/>
      <c r="G122" s="144"/>
      <c r="H122" s="144"/>
      <c r="I122" s="144"/>
      <c r="J122" s="144"/>
      <c r="K122" s="144"/>
      <c r="L122" s="144"/>
      <c r="M122" s="144"/>
      <c r="N122" s="144"/>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375" defaultRowHeight="15" customHeight="false" zeroHeight="false" outlineLevelRow="0" outlineLevelCol="0"/>
  <cols>
    <col collapsed="false" customWidth="true" hidden="false" outlineLevel="0" max="1" min="1" style="0" width="58"/>
    <col collapsed="false" customWidth="true" hidden="false" outlineLevel="0" max="2" min="2" style="0" width="9"/>
    <col collapsed="false" customWidth="true" hidden="false" outlineLevel="0" max="15" min="3" style="0" width="11.5"/>
  </cols>
  <sheetData>
    <row r="1" customFormat="false" ht="17.35" hidden="false" customHeight="false" outlineLevel="0" collapsed="false">
      <c r="A1" s="145" t="s">
        <v>529</v>
      </c>
    </row>
    <row r="2" customFormat="false" ht="15" hidden="false" customHeight="false" outlineLevel="0" collapsed="false">
      <c r="A2" s="146" t="s">
        <v>530</v>
      </c>
    </row>
    <row r="3" customFormat="false" ht="15" hidden="false" customHeight="false" outlineLevel="0" collapsed="false">
      <c r="A3" s="147" t="s">
        <v>531</v>
      </c>
    </row>
    <row r="4" customFormat="false" ht="15" hidden="false" customHeight="false" outlineLevel="0" collapsed="false">
      <c r="A4" s="146" t="s">
        <v>1</v>
      </c>
      <c r="C4" s="146" t="n">
        <v>1</v>
      </c>
      <c r="D4" s="146" t="n">
        <v>2</v>
      </c>
      <c r="E4" s="146" t="n">
        <v>3</v>
      </c>
      <c r="F4" s="146" t="n">
        <v>4</v>
      </c>
      <c r="G4" s="146" t="n">
        <v>5</v>
      </c>
      <c r="H4" s="146" t="n">
        <v>6</v>
      </c>
      <c r="I4" s="146" t="n">
        <v>7</v>
      </c>
      <c r="J4" s="146" t="n">
        <v>8</v>
      </c>
      <c r="K4" s="146" t="n">
        <v>9</v>
      </c>
      <c r="L4" s="146" t="n">
        <v>10</v>
      </c>
      <c r="M4" s="146" t="n">
        <v>11</v>
      </c>
      <c r="N4" s="146" t="n">
        <v>12</v>
      </c>
    </row>
    <row r="5" customFormat="false" ht="15" hidden="false" customHeight="false" outlineLevel="0" collapsed="false">
      <c r="A5" s="148" t="s">
        <v>532</v>
      </c>
      <c r="B5" s="148" t="s">
        <v>533</v>
      </c>
      <c r="C5" s="148" t="s">
        <v>534</v>
      </c>
      <c r="D5" s="148" t="s">
        <v>535</v>
      </c>
      <c r="E5" s="148" t="s">
        <v>536</v>
      </c>
      <c r="F5" s="148" t="s">
        <v>537</v>
      </c>
      <c r="G5" s="148" t="s">
        <v>538</v>
      </c>
      <c r="H5" s="148" t="s">
        <v>539</v>
      </c>
      <c r="I5" s="148" t="s">
        <v>540</v>
      </c>
      <c r="J5" s="148" t="s">
        <v>541</v>
      </c>
      <c r="K5" s="148" t="s">
        <v>542</v>
      </c>
      <c r="L5" s="148" t="s">
        <v>543</v>
      </c>
      <c r="M5" s="148" t="s">
        <v>544</v>
      </c>
      <c r="N5" s="148" t="s">
        <v>545</v>
      </c>
      <c r="O5" s="148" t="s">
        <v>546</v>
      </c>
    </row>
    <row r="6" customFormat="false" ht="15" hidden="false" customHeight="false" outlineLevel="0" collapsed="false">
      <c r="A6" s="149" t="s">
        <v>384</v>
      </c>
      <c r="B6" s="150"/>
      <c r="C6" s="150"/>
      <c r="D6" s="150"/>
      <c r="E6" s="150"/>
      <c r="F6" s="150"/>
      <c r="G6" s="150"/>
      <c r="H6" s="150"/>
      <c r="I6" s="150"/>
      <c r="J6" s="150"/>
      <c r="K6" s="150"/>
      <c r="L6" s="150"/>
      <c r="M6" s="150"/>
      <c r="N6" s="150"/>
      <c r="O6" s="150"/>
    </row>
    <row r="7" customFormat="false" ht="15" hidden="false" customHeight="false" outlineLevel="0" collapsed="false">
      <c r="A7" s="151" t="s">
        <v>4</v>
      </c>
      <c r="B7" s="146" t="n">
        <v>10</v>
      </c>
      <c r="C7" s="152" t="n">
        <v>413306.32</v>
      </c>
      <c r="D7" s="152" t="n">
        <v>423591.63</v>
      </c>
      <c r="E7" s="152" t="n">
        <v>443350.63</v>
      </c>
      <c r="F7" s="152" t="n">
        <v>490831.08</v>
      </c>
      <c r="G7" s="152" t="n">
        <v>515376.77</v>
      </c>
      <c r="H7" s="152" t="n">
        <v>677840.36</v>
      </c>
      <c r="I7" s="152" t="n">
        <v>731225.9</v>
      </c>
      <c r="J7" s="152" t="n">
        <v>668362.72</v>
      </c>
      <c r="K7" s="152" t="n">
        <v>742122.2</v>
      </c>
      <c r="L7" s="152" t="n">
        <v>745054.66</v>
      </c>
      <c r="M7" s="152" t="n">
        <v>826867.19</v>
      </c>
      <c r="N7" s="152" t="n">
        <v>724495.75</v>
      </c>
      <c r="O7" s="153" t="n">
        <f aca="false">SUM(C7:N7)</f>
        <v>7402425.21</v>
      </c>
    </row>
    <row r="8" customFormat="false" ht="15" hidden="false" customHeight="false" outlineLevel="0" collapsed="false">
      <c r="A8" s="151" t="s">
        <v>5</v>
      </c>
      <c r="B8" s="146" t="n">
        <v>11</v>
      </c>
      <c r="C8" s="152" t="n">
        <v>316162.67</v>
      </c>
      <c r="D8" s="152" t="n">
        <v>324551.22</v>
      </c>
      <c r="E8" s="152" t="n">
        <v>334137.12</v>
      </c>
      <c r="F8" s="152" t="n">
        <v>370122.32</v>
      </c>
      <c r="G8" s="152" t="n">
        <v>389762.56</v>
      </c>
      <c r="H8" s="152" t="n">
        <v>509483.9</v>
      </c>
      <c r="I8" s="152" t="n">
        <v>549813.35</v>
      </c>
      <c r="J8" s="152" t="n">
        <v>502936.08</v>
      </c>
      <c r="K8" s="152" t="n">
        <v>566265.42</v>
      </c>
      <c r="L8" s="152" t="n">
        <v>567638.26</v>
      </c>
      <c r="M8" s="152" t="n">
        <v>633521.41</v>
      </c>
      <c r="N8" s="152" t="n">
        <v>552365.93</v>
      </c>
      <c r="O8" s="153" t="n">
        <f aca="false">SUM(C8:N8)</f>
        <v>5616760.24</v>
      </c>
    </row>
    <row r="9" customFormat="false" ht="15" hidden="false" customHeight="false" outlineLevel="0" collapsed="false">
      <c r="A9" s="151" t="s">
        <v>51</v>
      </c>
      <c r="B9" s="146" t="n">
        <v>57</v>
      </c>
      <c r="C9" s="152" t="n">
        <v>4923945.33</v>
      </c>
      <c r="D9" s="152" t="n">
        <v>4988886.23</v>
      </c>
      <c r="E9" s="152" t="n">
        <v>5471649.52</v>
      </c>
      <c r="F9" s="152" t="n">
        <v>5829440.98</v>
      </c>
      <c r="G9" s="152" t="n">
        <v>6228355.36</v>
      </c>
      <c r="H9" s="152" t="n">
        <v>7580716.69</v>
      </c>
      <c r="I9" s="152" t="n">
        <v>8863308.13</v>
      </c>
      <c r="J9" s="152" t="n">
        <v>8624882.52</v>
      </c>
      <c r="K9" s="152" t="n">
        <v>9795023.92</v>
      </c>
      <c r="L9" s="152" t="n">
        <v>9678288.27</v>
      </c>
      <c r="M9" s="152" t="n">
        <v>11441335.2</v>
      </c>
      <c r="N9" s="152" t="n">
        <v>10667220.89</v>
      </c>
      <c r="O9" s="153" t="n">
        <f aca="false">SUM(C9:N9)</f>
        <v>94093053.04</v>
      </c>
    </row>
    <row r="10" customFormat="false" ht="15" hidden="false" customHeight="false" outlineLevel="0" collapsed="false">
      <c r="A10" s="151" t="s">
        <v>54</v>
      </c>
      <c r="B10" s="146" t="n">
        <v>104</v>
      </c>
      <c r="C10" s="152" t="n">
        <v>-4996341.37</v>
      </c>
      <c r="D10" s="152" t="n">
        <v>-5050706.1</v>
      </c>
      <c r="E10" s="152" t="n">
        <v>-5544285.39</v>
      </c>
      <c r="F10" s="152" t="n">
        <v>-5891772.49</v>
      </c>
      <c r="G10" s="152" t="n">
        <v>-6278773.51</v>
      </c>
      <c r="H10" s="152" t="n">
        <v>-7631396.1</v>
      </c>
      <c r="I10" s="152" t="n">
        <v>-8924351.34</v>
      </c>
      <c r="J10" s="152" t="n">
        <v>-8680028.93</v>
      </c>
      <c r="K10" s="152" t="n">
        <v>-9815388.53</v>
      </c>
      <c r="L10" s="152" t="n">
        <v>-9680614.66</v>
      </c>
      <c r="M10" s="152" t="n">
        <v>-11440295.74</v>
      </c>
      <c r="N10" s="152" t="n">
        <v>-10666570.71</v>
      </c>
      <c r="O10" s="153" t="n">
        <f aca="false">SUM(C10:N10)</f>
        <v>-94600524.87</v>
      </c>
    </row>
    <row r="11" customFormat="false" ht="15" hidden="false" customHeight="false" outlineLevel="0" collapsed="false">
      <c r="A11" s="151" t="s">
        <v>58</v>
      </c>
      <c r="B11" s="146" t="n">
        <v>196</v>
      </c>
      <c r="C11" s="152" t="n">
        <v>0</v>
      </c>
      <c r="D11" s="152" t="n">
        <v>0</v>
      </c>
      <c r="E11" s="152" t="n">
        <v>0</v>
      </c>
      <c r="F11" s="152" t="n">
        <v>-332539.87</v>
      </c>
      <c r="G11" s="152" t="n">
        <v>-204464.98</v>
      </c>
      <c r="H11" s="152" t="n">
        <v>-583586.3</v>
      </c>
      <c r="I11" s="152" t="n">
        <v>0</v>
      </c>
      <c r="J11" s="152" t="n">
        <v>0</v>
      </c>
      <c r="K11" s="152" t="n">
        <v>-251994.15</v>
      </c>
      <c r="L11" s="152" t="n">
        <v>-242893.28</v>
      </c>
      <c r="M11" s="152" t="n">
        <v>0</v>
      </c>
      <c r="N11" s="152" t="n">
        <v>0</v>
      </c>
      <c r="O11" s="153" t="n">
        <f aca="false">SUM(C11:N11)</f>
        <v>-1615478.58</v>
      </c>
    </row>
    <row r="12" customFormat="false" ht="15" hidden="false" customHeight="false" outlineLevel="0" collapsed="false">
      <c r="A12" s="151" t="s">
        <v>59</v>
      </c>
      <c r="B12" s="146" t="n">
        <v>197</v>
      </c>
      <c r="C12" s="152" t="n">
        <v>-454.04</v>
      </c>
      <c r="D12" s="152" t="n">
        <v>-443.06</v>
      </c>
      <c r="E12" s="152" t="n">
        <v>-497.34</v>
      </c>
      <c r="F12" s="152" t="n">
        <v>-481.05</v>
      </c>
      <c r="G12" s="152" t="n">
        <v>-524.1</v>
      </c>
      <c r="H12" s="152" t="n">
        <v>-508.89</v>
      </c>
      <c r="I12" s="152" t="n">
        <v>-647.4</v>
      </c>
      <c r="J12" s="152" t="n">
        <v>-505.81</v>
      </c>
      <c r="K12" s="152" t="n">
        <v>-909.9</v>
      </c>
      <c r="L12" s="152" t="n">
        <v>-641.89</v>
      </c>
      <c r="M12" s="152" t="n">
        <v>-1039.46</v>
      </c>
      <c r="N12" s="152" t="n">
        <v>-650.18</v>
      </c>
      <c r="O12" s="153" t="n">
        <f aca="false">SUM(C12:N12)</f>
        <v>-7303.12</v>
      </c>
    </row>
    <row r="13" customFormat="false" ht="15" hidden="false" customHeight="false" outlineLevel="0" collapsed="false">
      <c r="A13" s="151" t="s">
        <v>60</v>
      </c>
      <c r="B13" s="146" t="n">
        <v>198</v>
      </c>
      <c r="C13" s="152" t="n">
        <v>0</v>
      </c>
      <c r="D13" s="152" t="n">
        <v>0</v>
      </c>
      <c r="E13" s="152" t="n">
        <v>0</v>
      </c>
      <c r="F13" s="152" t="n">
        <v>0</v>
      </c>
      <c r="G13" s="152" t="n">
        <v>0</v>
      </c>
      <c r="H13" s="152" t="n">
        <v>0</v>
      </c>
      <c r="I13" s="152" t="n">
        <v>0</v>
      </c>
      <c r="J13" s="152" t="n">
        <v>0</v>
      </c>
      <c r="K13" s="152" t="n">
        <v>0</v>
      </c>
      <c r="L13" s="152" t="n">
        <v>0</v>
      </c>
      <c r="M13" s="152" t="n">
        <v>0</v>
      </c>
      <c r="N13" s="152" t="n">
        <v>0</v>
      </c>
      <c r="O13" s="153" t="n">
        <f aca="false">SUM(C13:N13)</f>
        <v>0</v>
      </c>
    </row>
    <row r="14" customFormat="false" ht="15" hidden="false" customHeight="false" outlineLevel="0" collapsed="false">
      <c r="A14" s="154" t="s">
        <v>61</v>
      </c>
      <c r="B14" s="146" t="n">
        <v>199</v>
      </c>
      <c r="C14" s="155" t="n">
        <v>656618.91</v>
      </c>
      <c r="D14" s="155" t="n">
        <v>685879.92</v>
      </c>
      <c r="E14" s="155" t="n">
        <v>704354.54</v>
      </c>
      <c r="F14" s="155" t="n">
        <v>465600.97</v>
      </c>
      <c r="G14" s="155" t="n">
        <v>649732.11</v>
      </c>
      <c r="H14" s="155" t="n">
        <v>552549.66</v>
      </c>
      <c r="I14" s="155" t="n">
        <v>1219348.64</v>
      </c>
      <c r="J14" s="155" t="n">
        <v>1115646.58</v>
      </c>
      <c r="K14" s="155" t="n">
        <v>1035118.95</v>
      </c>
      <c r="L14" s="155" t="n">
        <v>1066831.36</v>
      </c>
      <c r="M14" s="155" t="n">
        <v>1460388.59</v>
      </c>
      <c r="N14" s="155" t="n">
        <v>1276861.67</v>
      </c>
      <c r="O14" s="155" t="n">
        <f aca="false">SUM(C14:N14)</f>
        <v>10888931.9</v>
      </c>
    </row>
    <row r="15" customFormat="false" ht="15" hidden="false" customHeight="false" outlineLevel="0" collapsed="false">
      <c r="A15" s="151" t="s">
        <v>64</v>
      </c>
      <c r="B15" s="146" t="n">
        <v>203</v>
      </c>
      <c r="C15" s="152" t="n">
        <v>-270881</v>
      </c>
      <c r="D15" s="152" t="n">
        <v>-281297.67</v>
      </c>
      <c r="E15" s="152" t="n">
        <v>-281297.67</v>
      </c>
      <c r="F15" s="152" t="n">
        <v>-294631</v>
      </c>
      <c r="G15" s="152" t="n">
        <v>-318381</v>
      </c>
      <c r="H15" s="152" t="n">
        <v>-366297.67</v>
      </c>
      <c r="I15" s="152" t="n">
        <v>-366297.67</v>
      </c>
      <c r="J15" s="152" t="n">
        <v>-366297.67</v>
      </c>
      <c r="K15" s="152" t="n">
        <v>-366297.67</v>
      </c>
      <c r="L15" s="152" t="n">
        <v>-412964.33</v>
      </c>
      <c r="M15" s="152" t="n">
        <v>-412964.33</v>
      </c>
      <c r="N15" s="152" t="n">
        <v>-612964.33</v>
      </c>
      <c r="O15" s="153" t="n">
        <f aca="false">SUM(C15:N15)</f>
        <v>-4350572.01</v>
      </c>
    </row>
    <row r="16" customFormat="false" ht="15" hidden="false" customHeight="false" outlineLevel="0" collapsed="false">
      <c r="A16" s="151" t="s">
        <v>65</v>
      </c>
      <c r="B16" s="146" t="n">
        <v>204</v>
      </c>
      <c r="C16" s="152" t="n">
        <v>-22797.09</v>
      </c>
      <c r="D16" s="152" t="n">
        <v>-23526.25</v>
      </c>
      <c r="E16" s="152" t="n">
        <v>-23526.25</v>
      </c>
      <c r="F16" s="152" t="n">
        <v>-24459.59</v>
      </c>
      <c r="G16" s="152" t="n">
        <v>-26122.09</v>
      </c>
      <c r="H16" s="152" t="n">
        <v>-29476.25</v>
      </c>
      <c r="I16" s="152" t="n">
        <v>-29476.25</v>
      </c>
      <c r="J16" s="152" t="n">
        <v>-29476.25</v>
      </c>
      <c r="K16" s="152" t="n">
        <v>-29476.25</v>
      </c>
      <c r="L16" s="152" t="n">
        <v>-32742.92</v>
      </c>
      <c r="M16" s="152" t="n">
        <v>-32742.92</v>
      </c>
      <c r="N16" s="152" t="n">
        <v>-32742.92</v>
      </c>
      <c r="O16" s="153" t="n">
        <f aca="false">SUM(C16:N16)</f>
        <v>-336565.03</v>
      </c>
    </row>
    <row r="17" customFormat="false" ht="15" hidden="false" customHeight="false" outlineLevel="0" collapsed="false">
      <c r="A17" s="151" t="s">
        <v>66</v>
      </c>
      <c r="B17" s="146" t="n">
        <v>205</v>
      </c>
      <c r="C17" s="152" t="n">
        <v>0</v>
      </c>
      <c r="D17" s="152" t="n">
        <v>0</v>
      </c>
      <c r="E17" s="152" t="n">
        <v>0</v>
      </c>
      <c r="F17" s="152" t="n">
        <v>0</v>
      </c>
      <c r="G17" s="152" t="n">
        <v>0</v>
      </c>
      <c r="H17" s="152" t="n">
        <v>0</v>
      </c>
      <c r="I17" s="152" t="n">
        <v>0</v>
      </c>
      <c r="J17" s="152" t="n">
        <v>0</v>
      </c>
      <c r="K17" s="152" t="n">
        <v>0</v>
      </c>
      <c r="L17" s="152" t="n">
        <v>0</v>
      </c>
      <c r="M17" s="152" t="n">
        <v>0</v>
      </c>
      <c r="N17" s="152" t="n">
        <v>0</v>
      </c>
      <c r="O17" s="153" t="n">
        <f aca="false">SUM(C17:N17)</f>
        <v>0</v>
      </c>
    </row>
    <row r="18" customFormat="false" ht="15" hidden="false" customHeight="false" outlineLevel="0" collapsed="false">
      <c r="A18" s="151" t="s">
        <v>67</v>
      </c>
      <c r="B18" s="146" t="n">
        <v>206</v>
      </c>
      <c r="C18" s="152" t="n">
        <v>-11398.54</v>
      </c>
      <c r="D18" s="152" t="n">
        <v>-11763.13</v>
      </c>
      <c r="E18" s="152" t="n">
        <v>-11763.13</v>
      </c>
      <c r="F18" s="152" t="n">
        <v>-12229.79</v>
      </c>
      <c r="G18" s="152" t="n">
        <v>-13061.04</v>
      </c>
      <c r="H18" s="152" t="n">
        <v>-14738.13</v>
      </c>
      <c r="I18" s="152" t="n">
        <v>-14738.13</v>
      </c>
      <c r="J18" s="152" t="n">
        <v>-14738.13</v>
      </c>
      <c r="K18" s="152" t="n">
        <v>-14738.13</v>
      </c>
      <c r="L18" s="152" t="n">
        <v>-16371.46</v>
      </c>
      <c r="M18" s="152" t="n">
        <v>-16371.46</v>
      </c>
      <c r="N18" s="152" t="n">
        <v>-16371.46</v>
      </c>
      <c r="O18" s="153" t="n">
        <f aca="false">SUM(C18:N18)</f>
        <v>-168282.53</v>
      </c>
    </row>
    <row r="19" customFormat="false" ht="15" hidden="false" customHeight="false" outlineLevel="0" collapsed="false">
      <c r="A19" s="151" t="s">
        <v>68</v>
      </c>
      <c r="B19" s="146" t="n">
        <v>207</v>
      </c>
      <c r="C19" s="152" t="n">
        <v>-977.02</v>
      </c>
      <c r="D19" s="152" t="n">
        <v>-1008.27</v>
      </c>
      <c r="E19" s="152" t="n">
        <v>-1008.27</v>
      </c>
      <c r="F19" s="152" t="n">
        <v>-1048.27</v>
      </c>
      <c r="G19" s="152" t="n">
        <v>-1119.52</v>
      </c>
      <c r="H19" s="152" t="n">
        <v>-1263.27</v>
      </c>
      <c r="I19" s="152" t="n">
        <v>-1263.27</v>
      </c>
      <c r="J19" s="152" t="n">
        <v>-1263.27</v>
      </c>
      <c r="K19" s="152" t="n">
        <v>-1263.27</v>
      </c>
      <c r="L19" s="152" t="n">
        <v>-1403.27</v>
      </c>
      <c r="M19" s="152" t="n">
        <v>-1403.27</v>
      </c>
      <c r="N19" s="152" t="n">
        <v>-1403.27</v>
      </c>
      <c r="O19" s="153" t="n">
        <f aca="false">SUM(C19:N19)</f>
        <v>-14424.24</v>
      </c>
    </row>
    <row r="20" customFormat="false" ht="15" hidden="false" customHeight="false" outlineLevel="0" collapsed="false">
      <c r="A20" s="151" t="s">
        <v>69</v>
      </c>
      <c r="B20" s="146" t="n">
        <v>208</v>
      </c>
      <c r="C20" s="152" t="n">
        <v>-1628.36</v>
      </c>
      <c r="D20" s="152" t="n">
        <v>-1680.45</v>
      </c>
      <c r="E20" s="152" t="n">
        <v>-1680.45</v>
      </c>
      <c r="F20" s="152" t="n">
        <v>-1747.11</v>
      </c>
      <c r="G20" s="152" t="n">
        <v>-1865.86</v>
      </c>
      <c r="H20" s="152" t="n">
        <v>-2105.45</v>
      </c>
      <c r="I20" s="152" t="n">
        <v>-2105.45</v>
      </c>
      <c r="J20" s="152" t="n">
        <v>-2105.45</v>
      </c>
      <c r="K20" s="152" t="n">
        <v>-2105.45</v>
      </c>
      <c r="L20" s="152" t="n">
        <v>-2338.78</v>
      </c>
      <c r="M20" s="152" t="n">
        <v>-2338.78</v>
      </c>
      <c r="N20" s="152" t="n">
        <v>-2338.78</v>
      </c>
      <c r="O20" s="153" t="n">
        <f aca="false">SUM(C20:N20)</f>
        <v>-24040.37</v>
      </c>
    </row>
    <row r="21" customFormat="false" ht="15" hidden="false" customHeight="false" outlineLevel="0" collapsed="false">
      <c r="A21" s="151" t="s">
        <v>70</v>
      </c>
      <c r="B21" s="146" t="n">
        <v>209</v>
      </c>
      <c r="C21" s="152" t="n">
        <v>-16666.67</v>
      </c>
      <c r="D21" s="152" t="n">
        <v>-16666.67</v>
      </c>
      <c r="E21" s="152" t="n">
        <v>-16666.67</v>
      </c>
      <c r="F21" s="152" t="n">
        <v>-16666.67</v>
      </c>
      <c r="G21" s="152" t="n">
        <v>-16666.67</v>
      </c>
      <c r="H21" s="152" t="n">
        <v>-16666.67</v>
      </c>
      <c r="I21" s="152" t="n">
        <v>-16666.67</v>
      </c>
      <c r="J21" s="152" t="n">
        <v>-16666.67</v>
      </c>
      <c r="K21" s="152" t="n">
        <v>-16666.67</v>
      </c>
      <c r="L21" s="152" t="n">
        <v>-16666.67</v>
      </c>
      <c r="M21" s="152" t="n">
        <v>-16666.67</v>
      </c>
      <c r="N21" s="152" t="n">
        <v>-16666.67</v>
      </c>
      <c r="O21" s="153" t="n">
        <f aca="false">SUM(C21:N21)</f>
        <v>-200000.04</v>
      </c>
    </row>
    <row r="22" customFormat="false" ht="15" hidden="false" customHeight="false" outlineLevel="0" collapsed="false">
      <c r="A22" s="151" t="s">
        <v>71</v>
      </c>
      <c r="B22" s="146" t="n">
        <v>210</v>
      </c>
      <c r="C22" s="152" t="n">
        <v>0</v>
      </c>
      <c r="D22" s="152" t="n">
        <v>0</v>
      </c>
      <c r="E22" s="152" t="n">
        <v>0</v>
      </c>
      <c r="F22" s="152" t="n">
        <v>0</v>
      </c>
      <c r="G22" s="152" t="n">
        <v>0</v>
      </c>
      <c r="H22" s="152" t="n">
        <v>0</v>
      </c>
      <c r="I22" s="152" t="n">
        <v>0</v>
      </c>
      <c r="J22" s="152" t="n">
        <v>0</v>
      </c>
      <c r="K22" s="152" t="n">
        <v>0</v>
      </c>
      <c r="L22" s="152" t="n">
        <v>0</v>
      </c>
      <c r="M22" s="152" t="n">
        <v>0</v>
      </c>
      <c r="N22" s="152" t="n">
        <v>0</v>
      </c>
      <c r="O22" s="153" t="n">
        <f aca="false">SUM(C22:N22)</f>
        <v>0</v>
      </c>
    </row>
    <row r="23" customFormat="false" ht="15" hidden="false" customHeight="false" outlineLevel="0" collapsed="false">
      <c r="A23" s="151" t="s">
        <v>72</v>
      </c>
      <c r="B23" s="146" t="n">
        <v>211</v>
      </c>
      <c r="C23" s="152" t="n">
        <v>-15000</v>
      </c>
      <c r="D23" s="152" t="n">
        <v>-15000</v>
      </c>
      <c r="E23" s="152" t="n">
        <v>-15000</v>
      </c>
      <c r="F23" s="152" t="n">
        <v>-15000</v>
      </c>
      <c r="G23" s="152" t="n">
        <v>-15000</v>
      </c>
      <c r="H23" s="152" t="n">
        <v>-15000</v>
      </c>
      <c r="I23" s="152" t="n">
        <v>-15000</v>
      </c>
      <c r="J23" s="152" t="n">
        <v>-15000</v>
      </c>
      <c r="K23" s="152" t="n">
        <v>-15000</v>
      </c>
      <c r="L23" s="152" t="n">
        <v>-15000</v>
      </c>
      <c r="M23" s="152" t="n">
        <v>-15000</v>
      </c>
      <c r="N23" s="152" t="n">
        <v>-15000</v>
      </c>
      <c r="O23" s="153" t="n">
        <f aca="false">SUM(C23:N23)</f>
        <v>-180000</v>
      </c>
    </row>
    <row r="24" customFormat="false" ht="15" hidden="false" customHeight="false" outlineLevel="0" collapsed="false">
      <c r="A24" s="151" t="s">
        <v>73</v>
      </c>
      <c r="B24" s="146" t="n">
        <v>212</v>
      </c>
      <c r="C24" s="152" t="n">
        <v>-4024.64</v>
      </c>
      <c r="D24" s="152" t="n">
        <v>-4024.64</v>
      </c>
      <c r="E24" s="152" t="n">
        <v>-4024.64</v>
      </c>
      <c r="F24" s="152" t="n">
        <v>-4024.64</v>
      </c>
      <c r="G24" s="152" t="n">
        <v>-4024.64</v>
      </c>
      <c r="H24" s="152" t="n">
        <v>-4024.64</v>
      </c>
      <c r="I24" s="152" t="n">
        <v>-4024.64</v>
      </c>
      <c r="J24" s="152" t="n">
        <v>-4024.64</v>
      </c>
      <c r="K24" s="152" t="n">
        <v>-4024.64</v>
      </c>
      <c r="L24" s="152" t="n">
        <v>-4024.64</v>
      </c>
      <c r="M24" s="152" t="n">
        <v>-4024.64</v>
      </c>
      <c r="N24" s="152" t="n">
        <v>-4024.64</v>
      </c>
      <c r="O24" s="153" t="n">
        <f aca="false">SUM(C24:N24)</f>
        <v>-48295.68</v>
      </c>
    </row>
    <row r="25" customFormat="false" ht="15" hidden="false" customHeight="false" outlineLevel="0" collapsed="false">
      <c r="A25" s="151" t="s">
        <v>74</v>
      </c>
      <c r="B25" s="146" t="n">
        <v>213</v>
      </c>
      <c r="C25" s="152" t="n">
        <v>-359.13</v>
      </c>
      <c r="D25" s="152" t="n">
        <v>-359.13</v>
      </c>
      <c r="E25" s="152" t="n">
        <v>-359.13</v>
      </c>
      <c r="F25" s="152" t="n">
        <v>-359.13</v>
      </c>
      <c r="G25" s="152" t="n">
        <v>-359.13</v>
      </c>
      <c r="H25" s="152" t="n">
        <v>-359.13</v>
      </c>
      <c r="I25" s="152" t="n">
        <v>-359.13</v>
      </c>
      <c r="J25" s="152" t="n">
        <v>-359.13</v>
      </c>
      <c r="K25" s="152" t="n">
        <v>-359.13</v>
      </c>
      <c r="L25" s="152" t="n">
        <v>-359.13</v>
      </c>
      <c r="M25" s="152" t="n">
        <v>-359.13</v>
      </c>
      <c r="N25" s="152" t="n">
        <v>-359.13</v>
      </c>
      <c r="O25" s="153" t="n">
        <f aca="false">SUM(C25:N25)</f>
        <v>-4309.56</v>
      </c>
    </row>
    <row r="26" customFormat="false" ht="15" hidden="false" customHeight="false" outlineLevel="0" collapsed="false">
      <c r="A26" s="151" t="s">
        <v>75</v>
      </c>
      <c r="B26" s="146" t="n">
        <v>214</v>
      </c>
      <c r="C26" s="152" t="n">
        <v>-26.33</v>
      </c>
      <c r="D26" s="152" t="n">
        <v>-26.33</v>
      </c>
      <c r="E26" s="152" t="n">
        <v>-26.33</v>
      </c>
      <c r="F26" s="152" t="n">
        <v>-26.33</v>
      </c>
      <c r="G26" s="152" t="n">
        <v>-26.33</v>
      </c>
      <c r="H26" s="152" t="n">
        <v>-26.33</v>
      </c>
      <c r="I26" s="152" t="n">
        <v>-26.33</v>
      </c>
      <c r="J26" s="152" t="n">
        <v>-26.33</v>
      </c>
      <c r="K26" s="152" t="n">
        <v>-26.33</v>
      </c>
      <c r="L26" s="152" t="n">
        <v>-26.33</v>
      </c>
      <c r="M26" s="152" t="n">
        <v>-26.33</v>
      </c>
      <c r="N26" s="152" t="n">
        <v>-26.33</v>
      </c>
      <c r="O26" s="153" t="n">
        <f aca="false">SUM(C26:N26)</f>
        <v>-315.96</v>
      </c>
    </row>
    <row r="27" customFormat="false" ht="15" hidden="false" customHeight="false" outlineLevel="0" collapsed="false">
      <c r="A27" s="151" t="s">
        <v>76</v>
      </c>
      <c r="B27" s="146" t="n">
        <v>215</v>
      </c>
      <c r="C27" s="152" t="n">
        <v>-32800.8</v>
      </c>
      <c r="D27" s="152" t="n">
        <v>-32800.8</v>
      </c>
      <c r="E27" s="152" t="n">
        <v>-9300.8</v>
      </c>
      <c r="F27" s="152" t="n">
        <v>-9300.8</v>
      </c>
      <c r="G27" s="152" t="n">
        <v>-9300.8</v>
      </c>
      <c r="H27" s="152" t="n">
        <v>-9300.8</v>
      </c>
      <c r="I27" s="152" t="n">
        <v>-9300.8</v>
      </c>
      <c r="J27" s="152" t="n">
        <v>-9300.8</v>
      </c>
      <c r="K27" s="152" t="n">
        <v>-9300.8</v>
      </c>
      <c r="L27" s="152" t="n">
        <v>-9300.8</v>
      </c>
      <c r="M27" s="152" t="n">
        <v>-9300.8</v>
      </c>
      <c r="N27" s="152" t="n">
        <v>-9300.8</v>
      </c>
      <c r="O27" s="153" t="n">
        <f aca="false">SUM(C27:N27)</f>
        <v>-158609.6</v>
      </c>
    </row>
    <row r="28" customFormat="false" ht="15" hidden="false" customHeight="false" outlineLevel="0" collapsed="false">
      <c r="A28" s="151" t="s">
        <v>77</v>
      </c>
      <c r="B28" s="146" t="n">
        <v>216</v>
      </c>
      <c r="C28" s="152" t="n">
        <v>-736.03</v>
      </c>
      <c r="D28" s="152" t="n">
        <v>-736.03</v>
      </c>
      <c r="E28" s="152" t="n">
        <v>-736.03</v>
      </c>
      <c r="F28" s="152" t="n">
        <v>-736.03</v>
      </c>
      <c r="G28" s="152" t="n">
        <v>-736.03</v>
      </c>
      <c r="H28" s="152" t="n">
        <v>-736.03</v>
      </c>
      <c r="I28" s="152" t="n">
        <v>-736.03</v>
      </c>
      <c r="J28" s="152" t="n">
        <v>-736.03</v>
      </c>
      <c r="K28" s="152" t="n">
        <v>-736.03</v>
      </c>
      <c r="L28" s="152" t="n">
        <v>-736.03</v>
      </c>
      <c r="M28" s="152" t="n">
        <v>-736.03</v>
      </c>
      <c r="N28" s="152" t="n">
        <v>-736.03</v>
      </c>
      <c r="O28" s="153" t="n">
        <f aca="false">SUM(C28:N28)</f>
        <v>-8832.36</v>
      </c>
    </row>
    <row r="29" customFormat="false" ht="15" hidden="false" customHeight="false" outlineLevel="0" collapsed="false">
      <c r="A29" s="151" t="s">
        <v>78</v>
      </c>
      <c r="B29" s="146" t="n">
        <v>217</v>
      </c>
      <c r="C29" s="152" t="n">
        <v>-1134.62</v>
      </c>
      <c r="D29" s="152" t="n">
        <v>-1134.62</v>
      </c>
      <c r="E29" s="152" t="n">
        <v>-1134.62</v>
      </c>
      <c r="F29" s="152" t="n">
        <v>-1134.62</v>
      </c>
      <c r="G29" s="152" t="n">
        <v>-1134.62</v>
      </c>
      <c r="H29" s="152" t="n">
        <v>-1134.62</v>
      </c>
      <c r="I29" s="152" t="n">
        <v>-1134.62</v>
      </c>
      <c r="J29" s="152" t="n">
        <v>-1134.62</v>
      </c>
      <c r="K29" s="152" t="n">
        <v>-1134.62</v>
      </c>
      <c r="L29" s="152" t="n">
        <v>-1134.62</v>
      </c>
      <c r="M29" s="152" t="n">
        <v>-1134.62</v>
      </c>
      <c r="N29" s="152" t="n">
        <v>-1134.62</v>
      </c>
      <c r="O29" s="153" t="n">
        <f aca="false">SUM(C29:N29)</f>
        <v>-13615.44</v>
      </c>
    </row>
    <row r="30" customFormat="false" ht="15" hidden="false" customHeight="false" outlineLevel="0" collapsed="false">
      <c r="A30" s="151" t="s">
        <v>79</v>
      </c>
      <c r="B30" s="146" t="n">
        <v>218</v>
      </c>
      <c r="C30" s="152" t="n">
        <v>-1270.83</v>
      </c>
      <c r="D30" s="152" t="n">
        <v>-1270.83</v>
      </c>
      <c r="E30" s="152" t="n">
        <v>-1270.83</v>
      </c>
      <c r="F30" s="152" t="n">
        <v>-1270.83</v>
      </c>
      <c r="G30" s="152" t="n">
        <v>-1270.83</v>
      </c>
      <c r="H30" s="152" t="n">
        <v>-1270.83</v>
      </c>
      <c r="I30" s="152" t="n">
        <v>-1270.83</v>
      </c>
      <c r="J30" s="152" t="n">
        <v>-1270.83</v>
      </c>
      <c r="K30" s="152" t="n">
        <v>-1270.83</v>
      </c>
      <c r="L30" s="152" t="n">
        <v>-1270.83</v>
      </c>
      <c r="M30" s="152" t="n">
        <v>-1270.83</v>
      </c>
      <c r="N30" s="152" t="n">
        <v>-1270.83</v>
      </c>
      <c r="O30" s="153" t="n">
        <f aca="false">SUM(C30:N30)</f>
        <v>-15249.96</v>
      </c>
    </row>
    <row r="31" customFormat="false" ht="15" hidden="false" customHeight="false" outlineLevel="0" collapsed="false">
      <c r="A31" s="151" t="s">
        <v>80</v>
      </c>
      <c r="B31" s="146" t="n">
        <v>219</v>
      </c>
      <c r="C31" s="152" t="n">
        <v>-5916.33</v>
      </c>
      <c r="D31" s="152" t="n">
        <v>-5916.33</v>
      </c>
      <c r="E31" s="152" t="n">
        <v>-5916.33</v>
      </c>
      <c r="F31" s="152" t="n">
        <v>-5916.33</v>
      </c>
      <c r="G31" s="152" t="n">
        <v>-5916.33</v>
      </c>
      <c r="H31" s="152" t="n">
        <v>-5916.33</v>
      </c>
      <c r="I31" s="152" t="n">
        <v>-5916.33</v>
      </c>
      <c r="J31" s="152" t="n">
        <v>-5916.33</v>
      </c>
      <c r="K31" s="152" t="n">
        <v>-5916.33</v>
      </c>
      <c r="L31" s="152" t="n">
        <v>-5916.33</v>
      </c>
      <c r="M31" s="152" t="n">
        <v>-5916.33</v>
      </c>
      <c r="N31" s="152" t="n">
        <v>-5916.33</v>
      </c>
      <c r="O31" s="153" t="n">
        <f aca="false">SUM(C31:N31)</f>
        <v>-70995.96</v>
      </c>
    </row>
    <row r="32" customFormat="false" ht="15" hidden="false" customHeight="false" outlineLevel="0" collapsed="false">
      <c r="A32" s="151" t="s">
        <v>81</v>
      </c>
      <c r="B32" s="146" t="n">
        <v>220</v>
      </c>
      <c r="C32" s="152" t="n">
        <v>-250.13</v>
      </c>
      <c r="D32" s="152" t="n">
        <v>-250.13</v>
      </c>
      <c r="E32" s="152" t="n">
        <v>-250.13</v>
      </c>
      <c r="F32" s="152" t="n">
        <v>-250.13</v>
      </c>
      <c r="G32" s="152" t="n">
        <v>-250.13</v>
      </c>
      <c r="H32" s="152" t="n">
        <v>-250.13</v>
      </c>
      <c r="I32" s="152" t="n">
        <v>-250.13</v>
      </c>
      <c r="J32" s="152" t="n">
        <v>-250.13</v>
      </c>
      <c r="K32" s="152" t="n">
        <v>-250.13</v>
      </c>
      <c r="L32" s="152" t="n">
        <v>-250.13</v>
      </c>
      <c r="M32" s="152" t="n">
        <v>-250.13</v>
      </c>
      <c r="N32" s="152" t="n">
        <v>-250.13</v>
      </c>
      <c r="O32" s="153" t="n">
        <f aca="false">SUM(C32:N32)</f>
        <v>-3001.56</v>
      </c>
    </row>
    <row r="33" customFormat="false" ht="15" hidden="false" customHeight="false" outlineLevel="0" collapsed="false">
      <c r="A33" s="151" t="s">
        <v>82</v>
      </c>
      <c r="B33" s="146" t="n">
        <v>221</v>
      </c>
      <c r="C33" s="152" t="n">
        <v>-1750.91</v>
      </c>
      <c r="D33" s="152" t="n">
        <v>-1750.91</v>
      </c>
      <c r="E33" s="152" t="n">
        <v>-1750.91</v>
      </c>
      <c r="F33" s="152" t="n">
        <v>-1750.91</v>
      </c>
      <c r="G33" s="152" t="n">
        <v>-1750.91</v>
      </c>
      <c r="H33" s="152" t="n">
        <v>-1750.91</v>
      </c>
      <c r="I33" s="152" t="n">
        <v>-1750.91</v>
      </c>
      <c r="J33" s="152" t="n">
        <v>-1750.91</v>
      </c>
      <c r="K33" s="152" t="n">
        <v>-1750.91</v>
      </c>
      <c r="L33" s="152" t="n">
        <v>-1750.91</v>
      </c>
      <c r="M33" s="152" t="n">
        <v>-1750.91</v>
      </c>
      <c r="N33" s="152" t="n">
        <v>-1750.91</v>
      </c>
      <c r="O33" s="153" t="n">
        <f aca="false">SUM(C33:N33)</f>
        <v>-21010.92</v>
      </c>
    </row>
    <row r="34" customFormat="false" ht="15" hidden="false" customHeight="false" outlineLevel="0" collapsed="false">
      <c r="A34" s="151" t="s">
        <v>83</v>
      </c>
      <c r="B34" s="146" t="n">
        <v>222</v>
      </c>
      <c r="C34" s="152" t="n">
        <v>-1988.67</v>
      </c>
      <c r="D34" s="152" t="n">
        <v>-1988.67</v>
      </c>
      <c r="E34" s="152" t="n">
        <v>-1988.67</v>
      </c>
      <c r="F34" s="152" t="n">
        <v>-1988.67</v>
      </c>
      <c r="G34" s="152" t="n">
        <v>-1988.67</v>
      </c>
      <c r="H34" s="152" t="n">
        <v>-1988.67</v>
      </c>
      <c r="I34" s="152" t="n">
        <v>-1988.67</v>
      </c>
      <c r="J34" s="152" t="n">
        <v>-1988.67</v>
      </c>
      <c r="K34" s="152" t="n">
        <v>-1988.67</v>
      </c>
      <c r="L34" s="152" t="n">
        <v>-1988.67</v>
      </c>
      <c r="M34" s="152" t="n">
        <v>-1988.67</v>
      </c>
      <c r="N34" s="152" t="n">
        <v>-1988.67</v>
      </c>
      <c r="O34" s="153" t="n">
        <f aca="false">SUM(C34:N34)</f>
        <v>-23864.04</v>
      </c>
    </row>
    <row r="35" customFormat="false" ht="15" hidden="false" customHeight="false" outlineLevel="0" collapsed="false">
      <c r="A35" s="151" t="s">
        <v>84</v>
      </c>
      <c r="B35" s="146" t="n">
        <v>223</v>
      </c>
      <c r="C35" s="152" t="n">
        <v>0</v>
      </c>
      <c r="D35" s="152" t="n">
        <v>-9375</v>
      </c>
      <c r="E35" s="152" t="n">
        <v>0</v>
      </c>
      <c r="F35" s="152" t="n">
        <v>-12000</v>
      </c>
      <c r="G35" s="152" t="n">
        <v>-21375</v>
      </c>
      <c r="H35" s="152" t="n">
        <v>-43125</v>
      </c>
      <c r="I35" s="152" t="n">
        <v>0</v>
      </c>
      <c r="J35" s="152" t="n">
        <v>0</v>
      </c>
      <c r="K35" s="152" t="n">
        <v>0</v>
      </c>
      <c r="L35" s="152" t="n">
        <v>-42000</v>
      </c>
      <c r="M35" s="152" t="n">
        <v>0</v>
      </c>
      <c r="N35" s="152" t="n">
        <v>0</v>
      </c>
      <c r="O35" s="153" t="n">
        <f aca="false">SUM(C35:N35)</f>
        <v>-127875</v>
      </c>
    </row>
    <row r="36" customFormat="false" ht="15" hidden="false" customHeight="false" outlineLevel="0" collapsed="false">
      <c r="A36" s="151" t="s">
        <v>85</v>
      </c>
      <c r="B36" s="146" t="n">
        <v>224</v>
      </c>
      <c r="C36" s="152" t="n">
        <v>-55</v>
      </c>
      <c r="D36" s="152" t="n">
        <v>-55</v>
      </c>
      <c r="E36" s="152" t="n">
        <v>-55</v>
      </c>
      <c r="F36" s="152" t="n">
        <v>-55</v>
      </c>
      <c r="G36" s="152" t="n">
        <v>-55</v>
      </c>
      <c r="H36" s="152" t="n">
        <v>-55</v>
      </c>
      <c r="I36" s="152" t="n">
        <v>-55</v>
      </c>
      <c r="J36" s="152" t="n">
        <v>-55</v>
      </c>
      <c r="K36" s="152" t="n">
        <v>-55</v>
      </c>
      <c r="L36" s="152" t="n">
        <v>-55</v>
      </c>
      <c r="M36" s="152" t="n">
        <v>-55</v>
      </c>
      <c r="N36" s="152" t="n">
        <v>-55</v>
      </c>
      <c r="O36" s="153" t="n">
        <f aca="false">SUM(C36:N36)</f>
        <v>-660</v>
      </c>
    </row>
    <row r="37" customFormat="false" ht="15" hidden="false" customHeight="false" outlineLevel="0" collapsed="false">
      <c r="A37" s="151" t="s">
        <v>86</v>
      </c>
      <c r="B37" s="146" t="n">
        <v>225</v>
      </c>
      <c r="C37" s="152" t="n">
        <v>0</v>
      </c>
      <c r="D37" s="152" t="n">
        <v>0</v>
      </c>
      <c r="E37" s="152" t="n">
        <v>0</v>
      </c>
      <c r="F37" s="152" t="n">
        <v>0</v>
      </c>
      <c r="G37" s="152" t="n">
        <v>0</v>
      </c>
      <c r="H37" s="152" t="n">
        <v>0</v>
      </c>
      <c r="I37" s="152" t="n">
        <v>0</v>
      </c>
      <c r="J37" s="152" t="n">
        <v>0</v>
      </c>
      <c r="K37" s="152" t="n">
        <v>0</v>
      </c>
      <c r="L37" s="152" t="n">
        <v>0</v>
      </c>
      <c r="M37" s="152" t="n">
        <v>0</v>
      </c>
      <c r="N37" s="152" t="n">
        <v>0</v>
      </c>
      <c r="O37" s="153" t="n">
        <f aca="false">SUM(C37:N37)</f>
        <v>0</v>
      </c>
    </row>
    <row r="38" customFormat="false" ht="15" hidden="false" customHeight="false" outlineLevel="0" collapsed="false">
      <c r="A38" s="151" t="s">
        <v>87</v>
      </c>
      <c r="B38" s="146" t="n">
        <v>226</v>
      </c>
      <c r="C38" s="152" t="n">
        <v>-550</v>
      </c>
      <c r="D38" s="152" t="n">
        <v>-550</v>
      </c>
      <c r="E38" s="152" t="n">
        <v>-550</v>
      </c>
      <c r="F38" s="152" t="n">
        <v>-550</v>
      </c>
      <c r="G38" s="152" t="n">
        <v>-550</v>
      </c>
      <c r="H38" s="152" t="n">
        <v>-550</v>
      </c>
      <c r="I38" s="152" t="n">
        <v>-550</v>
      </c>
      <c r="J38" s="152" t="n">
        <v>-550</v>
      </c>
      <c r="K38" s="152" t="n">
        <v>-550</v>
      </c>
      <c r="L38" s="152" t="n">
        <v>-550</v>
      </c>
      <c r="M38" s="152" t="n">
        <v>-550</v>
      </c>
      <c r="N38" s="152" t="n">
        <v>-550</v>
      </c>
      <c r="O38" s="153" t="n">
        <f aca="false">SUM(C38:N38)</f>
        <v>-6600</v>
      </c>
    </row>
    <row r="39" customFormat="false" ht="15" hidden="false" customHeight="false" outlineLevel="0" collapsed="false">
      <c r="A39" s="151" t="s">
        <v>88</v>
      </c>
      <c r="B39" s="146" t="n">
        <v>227</v>
      </c>
      <c r="C39" s="152" t="n">
        <v>-17638.14</v>
      </c>
      <c r="D39" s="152" t="n">
        <v>-17638.14</v>
      </c>
      <c r="E39" s="152" t="n">
        <v>-17638.14</v>
      </c>
      <c r="F39" s="152" t="n">
        <v>-17638.14</v>
      </c>
      <c r="G39" s="152" t="n">
        <v>-17638.14</v>
      </c>
      <c r="H39" s="152" t="n">
        <v>-17638.14</v>
      </c>
      <c r="I39" s="152" t="n">
        <v>-17638.14</v>
      </c>
      <c r="J39" s="152" t="n">
        <v>-17638.14</v>
      </c>
      <c r="K39" s="152" t="n">
        <v>-17638.14</v>
      </c>
      <c r="L39" s="152" t="n">
        <v>-17638.14</v>
      </c>
      <c r="M39" s="152" t="n">
        <v>-17638.14</v>
      </c>
      <c r="N39" s="152" t="n">
        <v>-17638.14</v>
      </c>
      <c r="O39" s="153" t="n">
        <f aca="false">SUM(C39:N39)</f>
        <v>-211657.68</v>
      </c>
    </row>
    <row r="40" customFormat="false" ht="15" hidden="false" customHeight="false" outlineLevel="0" collapsed="false">
      <c r="A40" s="151" t="s">
        <v>89</v>
      </c>
      <c r="B40" s="146" t="n">
        <v>228</v>
      </c>
      <c r="C40" s="152" t="n">
        <v>-1422.33</v>
      </c>
      <c r="D40" s="152" t="n">
        <v>-1422.33</v>
      </c>
      <c r="E40" s="152" t="n">
        <v>-1422.33</v>
      </c>
      <c r="F40" s="152" t="n">
        <v>-1422.33</v>
      </c>
      <c r="G40" s="152" t="n">
        <v>-1422.33</v>
      </c>
      <c r="H40" s="152" t="n">
        <v>-1422.33</v>
      </c>
      <c r="I40" s="152" t="n">
        <v>-1422.33</v>
      </c>
      <c r="J40" s="152" t="n">
        <v>-1422.33</v>
      </c>
      <c r="K40" s="152" t="n">
        <v>-1422.33</v>
      </c>
      <c r="L40" s="152" t="n">
        <v>-1422.33</v>
      </c>
      <c r="M40" s="152" t="n">
        <v>-1422.33</v>
      </c>
      <c r="N40" s="152" t="n">
        <v>-1422.33</v>
      </c>
      <c r="O40" s="153" t="n">
        <f aca="false">SUM(C40:N40)</f>
        <v>-17067.96</v>
      </c>
    </row>
    <row r="41" customFormat="false" ht="15" hidden="false" customHeight="false" outlineLevel="0" collapsed="false">
      <c r="A41" s="151" t="s">
        <v>90</v>
      </c>
      <c r="B41" s="146" t="n">
        <v>229</v>
      </c>
      <c r="C41" s="152" t="n">
        <v>-160</v>
      </c>
      <c r="D41" s="152" t="n">
        <v>-160</v>
      </c>
      <c r="E41" s="152" t="n">
        <v>-160</v>
      </c>
      <c r="F41" s="152" t="n">
        <v>-160</v>
      </c>
      <c r="G41" s="152" t="n">
        <v>-160</v>
      </c>
      <c r="H41" s="152" t="n">
        <v>-160</v>
      </c>
      <c r="I41" s="152" t="n">
        <v>-160</v>
      </c>
      <c r="J41" s="152" t="n">
        <v>-160</v>
      </c>
      <c r="K41" s="152" t="n">
        <v>-160</v>
      </c>
      <c r="L41" s="152" t="n">
        <v>-160</v>
      </c>
      <c r="M41" s="152" t="n">
        <v>-160</v>
      </c>
      <c r="N41" s="152" t="n">
        <v>-160</v>
      </c>
      <c r="O41" s="153" t="n">
        <f aca="false">SUM(C41:N41)</f>
        <v>-1920</v>
      </c>
    </row>
    <row r="42" customFormat="false" ht="15" hidden="false" customHeight="false" outlineLevel="0" collapsed="false">
      <c r="A42" s="151" t="s">
        <v>91</v>
      </c>
      <c r="B42" s="146" t="n">
        <v>230</v>
      </c>
      <c r="C42" s="152" t="n">
        <v>-5000</v>
      </c>
      <c r="D42" s="152" t="n">
        <v>-5000</v>
      </c>
      <c r="E42" s="152" t="n">
        <v>-5000</v>
      </c>
      <c r="F42" s="152" t="n">
        <v>-5000</v>
      </c>
      <c r="G42" s="152" t="n">
        <v>-5000</v>
      </c>
      <c r="H42" s="152" t="n">
        <v>-5000</v>
      </c>
      <c r="I42" s="152" t="n">
        <v>-5000</v>
      </c>
      <c r="J42" s="152" t="n">
        <v>-5000</v>
      </c>
      <c r="K42" s="152" t="n">
        <v>-5000</v>
      </c>
      <c r="L42" s="152" t="n">
        <v>-5000</v>
      </c>
      <c r="M42" s="152" t="n">
        <v>-5000</v>
      </c>
      <c r="N42" s="152" t="n">
        <v>-5000</v>
      </c>
      <c r="O42" s="153" t="n">
        <f aca="false">SUM(C42:N42)</f>
        <v>-60000</v>
      </c>
    </row>
    <row r="43" customFormat="false" ht="15" hidden="false" customHeight="false" outlineLevel="0" collapsed="false">
      <c r="A43" s="151" t="s">
        <v>92</v>
      </c>
      <c r="B43" s="146" t="n">
        <v>231</v>
      </c>
      <c r="C43" s="152" t="n">
        <v>-417.6</v>
      </c>
      <c r="D43" s="152" t="n">
        <v>-417.6</v>
      </c>
      <c r="E43" s="152" t="n">
        <v>-417.6</v>
      </c>
      <c r="F43" s="152" t="n">
        <v>-417.6</v>
      </c>
      <c r="G43" s="152" t="n">
        <v>-417.6</v>
      </c>
      <c r="H43" s="152" t="n">
        <v>-417.6</v>
      </c>
      <c r="I43" s="152" t="n">
        <v>-417.6</v>
      </c>
      <c r="J43" s="152" t="n">
        <v>-417.6</v>
      </c>
      <c r="K43" s="152" t="n">
        <v>-417.6</v>
      </c>
      <c r="L43" s="152" t="n">
        <v>-417.6</v>
      </c>
      <c r="M43" s="152" t="n">
        <v>-417.6</v>
      </c>
      <c r="N43" s="152" t="n">
        <v>-417.6</v>
      </c>
      <c r="O43" s="153" t="n">
        <f aca="false">SUM(C43:N43)</f>
        <v>-5011.2</v>
      </c>
    </row>
    <row r="44" customFormat="false" ht="15" hidden="false" customHeight="false" outlineLevel="0" collapsed="false">
      <c r="A44" s="151" t="s">
        <v>93</v>
      </c>
      <c r="B44" s="146" t="n">
        <v>232</v>
      </c>
      <c r="C44" s="152" t="n">
        <v>-26.67</v>
      </c>
      <c r="D44" s="152" t="n">
        <v>-26.67</v>
      </c>
      <c r="E44" s="152" t="n">
        <v>-26.67</v>
      </c>
      <c r="F44" s="152" t="n">
        <v>-26.67</v>
      </c>
      <c r="G44" s="152" t="n">
        <v>-26.67</v>
      </c>
      <c r="H44" s="152" t="n">
        <v>-26.67</v>
      </c>
      <c r="I44" s="152" t="n">
        <v>-26.67</v>
      </c>
      <c r="J44" s="152" t="n">
        <v>-26.67</v>
      </c>
      <c r="K44" s="152" t="n">
        <v>-26.67</v>
      </c>
      <c r="L44" s="152" t="n">
        <v>-26.67</v>
      </c>
      <c r="M44" s="152" t="n">
        <v>-26.67</v>
      </c>
      <c r="N44" s="152" t="n">
        <v>-26.67</v>
      </c>
      <c r="O44" s="153" t="n">
        <f aca="false">SUM(C44:N44)</f>
        <v>-320.04</v>
      </c>
    </row>
    <row r="45" customFormat="false" ht="15" hidden="false" customHeight="false" outlineLevel="0" collapsed="false">
      <c r="A45" s="151" t="s">
        <v>94</v>
      </c>
      <c r="B45" s="146" t="n">
        <v>233</v>
      </c>
      <c r="C45" s="152" t="n">
        <v>-21</v>
      </c>
      <c r="D45" s="152" t="n">
        <v>-21</v>
      </c>
      <c r="E45" s="152" t="n">
        <v>-21</v>
      </c>
      <c r="F45" s="152" t="n">
        <v>-21</v>
      </c>
      <c r="G45" s="152" t="n">
        <v>-21</v>
      </c>
      <c r="H45" s="152" t="n">
        <v>-21</v>
      </c>
      <c r="I45" s="152" t="n">
        <v>-21</v>
      </c>
      <c r="J45" s="152" t="n">
        <v>-21</v>
      </c>
      <c r="K45" s="152" t="n">
        <v>-21</v>
      </c>
      <c r="L45" s="152" t="n">
        <v>-21</v>
      </c>
      <c r="M45" s="152" t="n">
        <v>-21</v>
      </c>
      <c r="N45" s="152" t="n">
        <v>-21</v>
      </c>
      <c r="O45" s="153" t="n">
        <f aca="false">SUM(C45:N45)</f>
        <v>-252</v>
      </c>
    </row>
    <row r="46" customFormat="false" ht="15" hidden="false" customHeight="false" outlineLevel="0" collapsed="false">
      <c r="A46" s="151" t="s">
        <v>95</v>
      </c>
      <c r="B46" s="146" t="n">
        <v>234</v>
      </c>
      <c r="C46" s="152" t="n">
        <v>0</v>
      </c>
      <c r="D46" s="152" t="n">
        <v>0</v>
      </c>
      <c r="E46" s="152" t="n">
        <v>0</v>
      </c>
      <c r="F46" s="152" t="n">
        <v>0</v>
      </c>
      <c r="G46" s="152" t="n">
        <v>0</v>
      </c>
      <c r="H46" s="152" t="n">
        <v>0</v>
      </c>
      <c r="I46" s="152" t="n">
        <v>0</v>
      </c>
      <c r="J46" s="152" t="n">
        <v>0</v>
      </c>
      <c r="K46" s="152" t="n">
        <v>0</v>
      </c>
      <c r="L46" s="152" t="n">
        <v>0</v>
      </c>
      <c r="M46" s="152" t="n">
        <v>-62565.83</v>
      </c>
      <c r="N46" s="152" t="n">
        <v>0</v>
      </c>
      <c r="O46" s="153" t="n">
        <f aca="false">SUM(C46:N46)</f>
        <v>-62565.83</v>
      </c>
    </row>
    <row r="47" customFormat="false" ht="15" hidden="false" customHeight="false" outlineLevel="0" collapsed="false">
      <c r="A47" s="151" t="s">
        <v>96</v>
      </c>
      <c r="B47" s="146" t="n">
        <v>235</v>
      </c>
      <c r="C47" s="152" t="n">
        <v>-1250</v>
      </c>
      <c r="D47" s="152" t="n">
        <v>-1250</v>
      </c>
      <c r="E47" s="152" t="n">
        <v>-1250</v>
      </c>
      <c r="F47" s="152" t="n">
        <v>-1250</v>
      </c>
      <c r="G47" s="152" t="n">
        <v>-1250</v>
      </c>
      <c r="H47" s="152" t="n">
        <v>-1250</v>
      </c>
      <c r="I47" s="152" t="n">
        <v>-1250</v>
      </c>
      <c r="J47" s="152" t="n">
        <v>-1250</v>
      </c>
      <c r="K47" s="152" t="n">
        <v>-1250</v>
      </c>
      <c r="L47" s="152" t="n">
        <v>-1250</v>
      </c>
      <c r="M47" s="152" t="n">
        <v>-1250</v>
      </c>
      <c r="N47" s="152" t="n">
        <v>-1250</v>
      </c>
      <c r="O47" s="153" t="n">
        <f aca="false">SUM(C47:N47)</f>
        <v>-15000</v>
      </c>
    </row>
    <row r="48" customFormat="false" ht="15" hidden="false" customHeight="false" outlineLevel="0" collapsed="false">
      <c r="A48" s="154" t="s">
        <v>97</v>
      </c>
      <c r="B48" s="146" t="n">
        <v>236</v>
      </c>
      <c r="C48" s="155" t="n">
        <v>-416147.84</v>
      </c>
      <c r="D48" s="155" t="n">
        <v>-437116.59</v>
      </c>
      <c r="E48" s="155" t="n">
        <v>-404241.59</v>
      </c>
      <c r="F48" s="155" t="n">
        <v>-431081.59</v>
      </c>
      <c r="G48" s="155" t="n">
        <v>-466890.34</v>
      </c>
      <c r="H48" s="155" t="n">
        <v>-541971.59</v>
      </c>
      <c r="I48" s="155" t="n">
        <v>-498846.59</v>
      </c>
      <c r="J48" s="155" t="n">
        <v>-498846.59</v>
      </c>
      <c r="K48" s="155" t="n">
        <v>-498846.59</v>
      </c>
      <c r="L48" s="155" t="n">
        <v>-592786.59</v>
      </c>
      <c r="M48" s="155" t="n">
        <v>-613352.41</v>
      </c>
      <c r="N48" s="155" t="n">
        <v>-750786.59</v>
      </c>
      <c r="O48" s="155" t="n">
        <f aca="false">SUM(C48:N48)</f>
        <v>-6150914.9</v>
      </c>
    </row>
    <row r="49" customFormat="false" ht="15" hidden="false" customHeight="false" outlineLevel="0" collapsed="false">
      <c r="A49" s="154" t="s">
        <v>98</v>
      </c>
      <c r="B49" s="146" t="n">
        <v>237</v>
      </c>
      <c r="C49" s="155" t="n">
        <v>240471.07</v>
      </c>
      <c r="D49" s="155" t="n">
        <v>248763.34</v>
      </c>
      <c r="E49" s="155" t="n">
        <v>300112.96</v>
      </c>
      <c r="F49" s="155" t="n">
        <v>34519.38</v>
      </c>
      <c r="G49" s="155" t="n">
        <v>182841.77</v>
      </c>
      <c r="H49" s="155" t="n">
        <v>10578.07</v>
      </c>
      <c r="I49" s="155" t="n">
        <v>720502.05</v>
      </c>
      <c r="J49" s="155" t="n">
        <v>616799.99</v>
      </c>
      <c r="K49" s="155" t="n">
        <v>536272.37</v>
      </c>
      <c r="L49" s="155" t="n">
        <v>474044.77</v>
      </c>
      <c r="M49" s="155" t="n">
        <v>847036.18</v>
      </c>
      <c r="N49" s="155" t="n">
        <v>526075.09</v>
      </c>
      <c r="O49" s="155" t="n">
        <f aca="false">SUM(C49:N49)</f>
        <v>4738017.04</v>
      </c>
    </row>
    <row r="50" customFormat="false" ht="15" hidden="false" customHeight="false" outlineLevel="0" collapsed="false">
      <c r="A50" s="149" t="s">
        <v>547</v>
      </c>
      <c r="B50" s="150"/>
      <c r="C50" s="150"/>
      <c r="D50" s="150"/>
      <c r="E50" s="150"/>
      <c r="F50" s="150"/>
      <c r="G50" s="150"/>
      <c r="H50" s="150"/>
      <c r="I50" s="150"/>
      <c r="J50" s="150"/>
      <c r="K50" s="150"/>
      <c r="L50" s="150"/>
      <c r="M50" s="150"/>
      <c r="N50" s="150"/>
      <c r="O50" s="150"/>
    </row>
    <row r="51" customFormat="false" ht="15" hidden="false" customHeight="false" outlineLevel="0" collapsed="false">
      <c r="A51" s="151" t="s">
        <v>101</v>
      </c>
      <c r="B51" s="146" t="n">
        <v>241</v>
      </c>
      <c r="C51" s="152" t="n">
        <v>0</v>
      </c>
      <c r="D51" s="152" t="n">
        <v>0</v>
      </c>
      <c r="E51" s="152" t="n">
        <v>0</v>
      </c>
      <c r="F51" s="152" t="n">
        <v>0</v>
      </c>
      <c r="G51" s="152" t="n">
        <v>0</v>
      </c>
      <c r="H51" s="152" t="n">
        <v>0</v>
      </c>
      <c r="I51" s="152" t="n">
        <v>0</v>
      </c>
      <c r="J51" s="152" t="n">
        <v>0</v>
      </c>
      <c r="K51" s="152" t="n">
        <v>0</v>
      </c>
      <c r="L51" s="152" t="n">
        <v>0</v>
      </c>
      <c r="M51" s="152" t="n">
        <v>0</v>
      </c>
      <c r="N51" s="152" t="n">
        <v>0</v>
      </c>
      <c r="O51" s="153" t="n">
        <f aca="false">SUM(C51:N51)</f>
        <v>0</v>
      </c>
    </row>
    <row r="52" customFormat="false" ht="15" hidden="false" customHeight="false" outlineLevel="0" collapsed="false">
      <c r="A52" s="151" t="s">
        <v>102</v>
      </c>
      <c r="B52" s="146" t="n">
        <v>242</v>
      </c>
      <c r="C52" s="152" t="n">
        <v>23906.25</v>
      </c>
      <c r="D52" s="152" t="n">
        <v>23906.25</v>
      </c>
      <c r="E52" s="152" t="n">
        <v>23906.25</v>
      </c>
      <c r="F52" s="152" t="n">
        <v>23906.25</v>
      </c>
      <c r="G52" s="152" t="n">
        <v>23906.25</v>
      </c>
      <c r="H52" s="152" t="n">
        <v>23906.25</v>
      </c>
      <c r="I52" s="152" t="n">
        <v>0</v>
      </c>
      <c r="J52" s="152" t="n">
        <v>0</v>
      </c>
      <c r="K52" s="152" t="n">
        <v>0</v>
      </c>
      <c r="L52" s="152" t="n">
        <v>0</v>
      </c>
      <c r="M52" s="152" t="n">
        <v>0</v>
      </c>
      <c r="N52" s="152" t="n">
        <v>0</v>
      </c>
      <c r="O52" s="153" t="n">
        <f aca="false">SUM(C52:N52)</f>
        <v>143437.5</v>
      </c>
    </row>
    <row r="53" customFormat="false" ht="15" hidden="false" customHeight="false" outlineLevel="0" collapsed="false">
      <c r="A53" s="151" t="s">
        <v>103</v>
      </c>
      <c r="B53" s="146" t="n">
        <v>243</v>
      </c>
      <c r="C53" s="152" t="n">
        <v>0</v>
      </c>
      <c r="D53" s="152" t="n">
        <v>0</v>
      </c>
      <c r="E53" s="152" t="n">
        <v>0</v>
      </c>
      <c r="F53" s="152" t="n">
        <v>0</v>
      </c>
      <c r="G53" s="152" t="n">
        <v>0</v>
      </c>
      <c r="H53" s="152" t="n">
        <v>0</v>
      </c>
      <c r="I53" s="152" t="n">
        <v>0</v>
      </c>
      <c r="J53" s="152" t="n">
        <v>0</v>
      </c>
      <c r="K53" s="152" t="n">
        <v>0</v>
      </c>
      <c r="L53" s="152" t="n">
        <v>0</v>
      </c>
      <c r="M53" s="152" t="n">
        <v>0</v>
      </c>
      <c r="N53" s="152" t="n">
        <v>57375</v>
      </c>
      <c r="O53" s="153" t="n">
        <f aca="false">SUM(C53:N53)</f>
        <v>57375</v>
      </c>
    </row>
    <row r="54" customFormat="false" ht="15" hidden="false" customHeight="false" outlineLevel="0" collapsed="false">
      <c r="A54" s="151" t="s">
        <v>104</v>
      </c>
      <c r="B54" s="146" t="n">
        <v>244</v>
      </c>
      <c r="C54" s="152" t="n">
        <v>0</v>
      </c>
      <c r="D54" s="152" t="n">
        <v>0</v>
      </c>
      <c r="E54" s="152" t="n">
        <v>0</v>
      </c>
      <c r="F54" s="152" t="n">
        <v>0</v>
      </c>
      <c r="G54" s="152" t="n">
        <v>0</v>
      </c>
      <c r="H54" s="152" t="n">
        <v>0</v>
      </c>
      <c r="I54" s="152" t="n">
        <v>0</v>
      </c>
      <c r="J54" s="152" t="n">
        <v>0</v>
      </c>
      <c r="K54" s="152" t="n">
        <v>0</v>
      </c>
      <c r="L54" s="152" t="n">
        <v>0</v>
      </c>
      <c r="M54" s="152" t="n">
        <v>0</v>
      </c>
      <c r="N54" s="152" t="n">
        <v>0</v>
      </c>
      <c r="O54" s="153" t="n">
        <f aca="false">SUM(C54:N54)</f>
        <v>0</v>
      </c>
    </row>
    <row r="55" customFormat="false" ht="15" hidden="false" customHeight="false" outlineLevel="0" collapsed="false">
      <c r="A55" s="151" t="s">
        <v>105</v>
      </c>
      <c r="B55" s="146" t="n">
        <v>245</v>
      </c>
      <c r="C55" s="152" t="n">
        <v>0</v>
      </c>
      <c r="D55" s="152" t="n">
        <v>0</v>
      </c>
      <c r="E55" s="152" t="n">
        <v>0</v>
      </c>
      <c r="F55" s="152" t="n">
        <v>0</v>
      </c>
      <c r="G55" s="152" t="n">
        <v>0</v>
      </c>
      <c r="H55" s="152" t="n">
        <v>0</v>
      </c>
      <c r="I55" s="152" t="n">
        <v>0</v>
      </c>
      <c r="J55" s="152" t="n">
        <v>0</v>
      </c>
      <c r="K55" s="152" t="n">
        <v>0</v>
      </c>
      <c r="L55" s="152" t="n">
        <v>0</v>
      </c>
      <c r="M55" s="152" t="n">
        <v>0</v>
      </c>
      <c r="N55" s="152" t="n">
        <v>0</v>
      </c>
      <c r="O55" s="153" t="n">
        <f aca="false">SUM(C55:N55)</f>
        <v>0</v>
      </c>
    </row>
    <row r="56" customFormat="false" ht="15" hidden="false" customHeight="false" outlineLevel="0" collapsed="false">
      <c r="A56" s="151" t="s">
        <v>106</v>
      </c>
      <c r="B56" s="146" t="n">
        <v>246</v>
      </c>
      <c r="C56" s="152" t="n">
        <v>0</v>
      </c>
      <c r="D56" s="152" t="n">
        <v>0</v>
      </c>
      <c r="E56" s="152" t="n">
        <v>0</v>
      </c>
      <c r="F56" s="152" t="n">
        <v>0</v>
      </c>
      <c r="G56" s="152" t="n">
        <v>0</v>
      </c>
      <c r="H56" s="152" t="n">
        <v>0</v>
      </c>
      <c r="I56" s="152" t="n">
        <v>0</v>
      </c>
      <c r="J56" s="152" t="n">
        <v>0</v>
      </c>
      <c r="K56" s="152" t="n">
        <v>0</v>
      </c>
      <c r="L56" s="152" t="n">
        <v>0</v>
      </c>
      <c r="M56" s="152" t="n">
        <v>0</v>
      </c>
      <c r="N56" s="152" t="n">
        <v>0</v>
      </c>
      <c r="O56" s="153" t="n">
        <f aca="false">SUM(C56:N56)</f>
        <v>0</v>
      </c>
    </row>
    <row r="57" customFormat="false" ht="15" hidden="false" customHeight="false" outlineLevel="0" collapsed="false">
      <c r="A57" s="151" t="s">
        <v>107</v>
      </c>
      <c r="B57" s="146" t="n">
        <v>247</v>
      </c>
      <c r="C57" s="152" t="n">
        <v>9500</v>
      </c>
      <c r="D57" s="152" t="n">
        <v>9500</v>
      </c>
      <c r="E57" s="152" t="n">
        <v>9500</v>
      </c>
      <c r="F57" s="152" t="n">
        <v>9500</v>
      </c>
      <c r="G57" s="152" t="n">
        <v>9500</v>
      </c>
      <c r="H57" s="152" t="n">
        <v>9500</v>
      </c>
      <c r="I57" s="152" t="n">
        <v>9500</v>
      </c>
      <c r="J57" s="152" t="n">
        <v>9500</v>
      </c>
      <c r="K57" s="152" t="n">
        <v>9500</v>
      </c>
      <c r="L57" s="152" t="n">
        <v>9500</v>
      </c>
      <c r="M57" s="152" t="n">
        <v>9500</v>
      </c>
      <c r="N57" s="152" t="n">
        <v>9500</v>
      </c>
      <c r="O57" s="153" t="n">
        <f aca="false">SUM(C57:N57)</f>
        <v>114000</v>
      </c>
    </row>
    <row r="58" customFormat="false" ht="15" hidden="false" customHeight="false" outlineLevel="0" collapsed="false">
      <c r="A58" s="151" t="s">
        <v>108</v>
      </c>
      <c r="B58" s="146" t="n">
        <v>248</v>
      </c>
      <c r="C58" s="152" t="n">
        <v>0</v>
      </c>
      <c r="D58" s="152" t="n">
        <v>0</v>
      </c>
      <c r="E58" s="152" t="n">
        <v>0</v>
      </c>
      <c r="F58" s="152" t="n">
        <v>0</v>
      </c>
      <c r="G58" s="152" t="n">
        <v>0</v>
      </c>
      <c r="H58" s="152" t="n">
        <v>0</v>
      </c>
      <c r="I58" s="152" t="n">
        <v>0</v>
      </c>
      <c r="J58" s="152" t="n">
        <v>0</v>
      </c>
      <c r="K58" s="152" t="n">
        <v>0</v>
      </c>
      <c r="L58" s="152" t="n">
        <v>0</v>
      </c>
      <c r="M58" s="152" t="n">
        <v>0</v>
      </c>
      <c r="N58" s="152" t="n">
        <v>0</v>
      </c>
      <c r="O58" s="153" t="n">
        <f aca="false">SUM(C58:N58)</f>
        <v>0</v>
      </c>
    </row>
    <row r="59" customFormat="false" ht="15" hidden="false" customHeight="false" outlineLevel="0" collapsed="false">
      <c r="A59" s="151" t="s">
        <v>109</v>
      </c>
      <c r="B59" s="146" t="n">
        <v>249</v>
      </c>
      <c r="C59" s="152" t="n">
        <v>0</v>
      </c>
      <c r="D59" s="152" t="n">
        <v>3157.89</v>
      </c>
      <c r="E59" s="152" t="n">
        <v>3157.89</v>
      </c>
      <c r="F59" s="152" t="n">
        <v>3157.89</v>
      </c>
      <c r="G59" s="152" t="n">
        <v>3157.89</v>
      </c>
      <c r="H59" s="152" t="n">
        <v>3157.89</v>
      </c>
      <c r="I59" s="152" t="n">
        <v>3157.89</v>
      </c>
      <c r="J59" s="152" t="n">
        <v>3157.89</v>
      </c>
      <c r="K59" s="152" t="n">
        <v>3157.89</v>
      </c>
      <c r="L59" s="152" t="n">
        <v>3157.89</v>
      </c>
      <c r="M59" s="152" t="n">
        <v>3157.89</v>
      </c>
      <c r="N59" s="152" t="n">
        <v>3157.89</v>
      </c>
      <c r="O59" s="153" t="n">
        <f aca="false">SUM(C59:N59)</f>
        <v>34736.79</v>
      </c>
    </row>
    <row r="60" customFormat="false" ht="15" hidden="false" customHeight="false" outlineLevel="0" collapsed="false">
      <c r="A60" s="151" t="s">
        <v>110</v>
      </c>
      <c r="B60" s="146" t="n">
        <v>250</v>
      </c>
      <c r="C60" s="152" t="n">
        <v>0</v>
      </c>
      <c r="D60" s="152" t="n">
        <v>0</v>
      </c>
      <c r="E60" s="152" t="n">
        <v>0</v>
      </c>
      <c r="F60" s="152" t="n">
        <v>0</v>
      </c>
      <c r="G60" s="152" t="n">
        <v>0</v>
      </c>
      <c r="H60" s="152" t="n">
        <v>0</v>
      </c>
      <c r="I60" s="152" t="n">
        <v>0</v>
      </c>
      <c r="J60" s="152" t="n">
        <v>0</v>
      </c>
      <c r="K60" s="152" t="n">
        <v>0</v>
      </c>
      <c r="L60" s="152" t="n">
        <v>0</v>
      </c>
      <c r="M60" s="152" t="n">
        <v>0</v>
      </c>
      <c r="N60" s="152" t="n">
        <v>0</v>
      </c>
      <c r="O60" s="153" t="n">
        <f aca="false">SUM(C60:N60)</f>
        <v>0</v>
      </c>
    </row>
    <row r="61" customFormat="false" ht="15" hidden="false" customHeight="false" outlineLevel="0" collapsed="false">
      <c r="A61" s="151" t="s">
        <v>111</v>
      </c>
      <c r="B61" s="146" t="n">
        <v>251</v>
      </c>
      <c r="C61" s="152" t="n">
        <v>0</v>
      </c>
      <c r="D61" s="152" t="n">
        <v>0</v>
      </c>
      <c r="E61" s="152" t="n">
        <v>0</v>
      </c>
      <c r="F61" s="152" t="n">
        <v>0</v>
      </c>
      <c r="G61" s="152" t="n">
        <v>0</v>
      </c>
      <c r="H61" s="152" t="n">
        <v>0</v>
      </c>
      <c r="I61" s="152" t="n">
        <v>0</v>
      </c>
      <c r="J61" s="152" t="n">
        <v>0</v>
      </c>
      <c r="K61" s="152" t="n">
        <v>0</v>
      </c>
      <c r="L61" s="152" t="n">
        <v>0</v>
      </c>
      <c r="M61" s="152" t="n">
        <v>0</v>
      </c>
      <c r="N61" s="152" t="n">
        <v>0</v>
      </c>
      <c r="O61" s="153" t="n">
        <f aca="false">SUM(C61:N61)</f>
        <v>0</v>
      </c>
    </row>
    <row r="62" customFormat="false" ht="15" hidden="false" customHeight="false" outlineLevel="0" collapsed="false">
      <c r="A62" s="151" t="s">
        <v>112</v>
      </c>
      <c r="B62" s="146" t="n">
        <v>252</v>
      </c>
      <c r="C62" s="152" t="n">
        <v>3157.89</v>
      </c>
      <c r="D62" s="152" t="n">
        <v>3157.89</v>
      </c>
      <c r="E62" s="152" t="n">
        <v>3157.89</v>
      </c>
      <c r="F62" s="152" t="n">
        <v>3157.89</v>
      </c>
      <c r="G62" s="152" t="n">
        <v>3157.89</v>
      </c>
      <c r="H62" s="152" t="n">
        <v>3157.89</v>
      </c>
      <c r="I62" s="152" t="n">
        <v>3157.89</v>
      </c>
      <c r="J62" s="152" t="n">
        <v>3157.89</v>
      </c>
      <c r="K62" s="152" t="n">
        <v>3157.89</v>
      </c>
      <c r="L62" s="152" t="n">
        <v>3157.89</v>
      </c>
      <c r="M62" s="152" t="n">
        <v>3157.89</v>
      </c>
      <c r="N62" s="152" t="n">
        <v>3157.89</v>
      </c>
      <c r="O62" s="153" t="n">
        <f aca="false">SUM(C62:N62)</f>
        <v>37894.68</v>
      </c>
    </row>
    <row r="63" customFormat="false" ht="15" hidden="false" customHeight="false" outlineLevel="0" collapsed="false">
      <c r="A63" s="151" t="s">
        <v>113</v>
      </c>
      <c r="B63" s="146" t="n">
        <v>253</v>
      </c>
      <c r="C63" s="152" t="n">
        <v>0</v>
      </c>
      <c r="D63" s="152" t="n">
        <v>0</v>
      </c>
      <c r="E63" s="152" t="n">
        <v>0</v>
      </c>
      <c r="F63" s="152" t="n">
        <v>0</v>
      </c>
      <c r="G63" s="152" t="n">
        <v>0</v>
      </c>
      <c r="H63" s="152" t="n">
        <v>0</v>
      </c>
      <c r="I63" s="152" t="n">
        <v>0</v>
      </c>
      <c r="J63" s="152" t="n">
        <v>0</v>
      </c>
      <c r="K63" s="152" t="n">
        <v>0</v>
      </c>
      <c r="L63" s="152" t="n">
        <v>0</v>
      </c>
      <c r="M63" s="152" t="n">
        <v>0</v>
      </c>
      <c r="N63" s="152" t="n">
        <v>0</v>
      </c>
      <c r="O63" s="153" t="n">
        <f aca="false">SUM(C63:N63)</f>
        <v>0</v>
      </c>
    </row>
    <row r="64" customFormat="false" ht="15" hidden="false" customHeight="false" outlineLevel="0" collapsed="false">
      <c r="A64" s="151" t="s">
        <v>114</v>
      </c>
      <c r="B64" s="146" t="n">
        <v>254</v>
      </c>
      <c r="C64" s="152" t="n">
        <v>0</v>
      </c>
      <c r="D64" s="152" t="n">
        <v>0</v>
      </c>
      <c r="E64" s="152" t="n">
        <v>0</v>
      </c>
      <c r="F64" s="152" t="n">
        <v>0</v>
      </c>
      <c r="G64" s="152" t="n">
        <v>0</v>
      </c>
      <c r="H64" s="152" t="n">
        <v>0</v>
      </c>
      <c r="I64" s="152" t="n">
        <v>0</v>
      </c>
      <c r="J64" s="152" t="n">
        <v>0</v>
      </c>
      <c r="K64" s="152" t="n">
        <v>0</v>
      </c>
      <c r="L64" s="152" t="n">
        <v>0</v>
      </c>
      <c r="M64" s="152" t="n">
        <v>0</v>
      </c>
      <c r="N64" s="152" t="n">
        <v>0</v>
      </c>
      <c r="O64" s="153" t="n">
        <f aca="false">SUM(C64:N64)</f>
        <v>0</v>
      </c>
    </row>
    <row r="65" customFormat="false" ht="15" hidden="false" customHeight="false" outlineLevel="0" collapsed="false">
      <c r="A65" s="151" t="s">
        <v>115</v>
      </c>
      <c r="B65" s="146" t="n">
        <v>255</v>
      </c>
      <c r="C65" s="152" t="n">
        <v>0</v>
      </c>
      <c r="D65" s="152" t="n">
        <v>0</v>
      </c>
      <c r="E65" s="152" t="n">
        <v>0</v>
      </c>
      <c r="F65" s="152" t="n">
        <v>0</v>
      </c>
      <c r="G65" s="152" t="n">
        <v>0</v>
      </c>
      <c r="H65" s="152" t="n">
        <v>0</v>
      </c>
      <c r="I65" s="152" t="n">
        <v>0</v>
      </c>
      <c r="J65" s="152" t="n">
        <v>0</v>
      </c>
      <c r="K65" s="152" t="n">
        <v>0</v>
      </c>
      <c r="L65" s="152" t="n">
        <v>0</v>
      </c>
      <c r="M65" s="152" t="n">
        <v>0</v>
      </c>
      <c r="N65" s="152" t="n">
        <v>0</v>
      </c>
      <c r="O65" s="153" t="n">
        <f aca="false">SUM(C65:N65)</f>
        <v>0</v>
      </c>
    </row>
    <row r="66" customFormat="false" ht="15" hidden="false" customHeight="false" outlineLevel="0" collapsed="false">
      <c r="A66" s="151" t="s">
        <v>116</v>
      </c>
      <c r="B66" s="146" t="n">
        <v>256</v>
      </c>
      <c r="C66" s="152" t="n">
        <v>0</v>
      </c>
      <c r="D66" s="152" t="n">
        <v>0</v>
      </c>
      <c r="E66" s="152" t="n">
        <v>0</v>
      </c>
      <c r="F66" s="152" t="n">
        <v>0</v>
      </c>
      <c r="G66" s="152" t="n">
        <v>0</v>
      </c>
      <c r="H66" s="152" t="n">
        <v>0</v>
      </c>
      <c r="I66" s="152" t="n">
        <v>0</v>
      </c>
      <c r="J66" s="152" t="n">
        <v>0</v>
      </c>
      <c r="K66" s="152" t="n">
        <v>0</v>
      </c>
      <c r="L66" s="152" t="n">
        <v>0</v>
      </c>
      <c r="M66" s="152" t="n">
        <v>0</v>
      </c>
      <c r="N66" s="152" t="n">
        <v>0</v>
      </c>
      <c r="O66" s="153" t="n">
        <f aca="false">SUM(C66:N66)</f>
        <v>0</v>
      </c>
    </row>
    <row r="67" customFormat="false" ht="15" hidden="false" customHeight="false" outlineLevel="0" collapsed="false">
      <c r="A67" s="151" t="s">
        <v>117</v>
      </c>
      <c r="B67" s="146" t="n">
        <v>257</v>
      </c>
      <c r="C67" s="152" t="n">
        <v>0</v>
      </c>
      <c r="D67" s="152" t="n">
        <v>0</v>
      </c>
      <c r="E67" s="152" t="n">
        <v>0</v>
      </c>
      <c r="F67" s="152" t="n">
        <v>0</v>
      </c>
      <c r="G67" s="152" t="n">
        <v>0</v>
      </c>
      <c r="H67" s="152" t="n">
        <v>0</v>
      </c>
      <c r="I67" s="152" t="n">
        <v>0</v>
      </c>
      <c r="J67" s="152" t="n">
        <v>0</v>
      </c>
      <c r="K67" s="152" t="n">
        <v>0</v>
      </c>
      <c r="L67" s="152" t="n">
        <v>0</v>
      </c>
      <c r="M67" s="152" t="n">
        <v>0</v>
      </c>
      <c r="N67" s="152" t="n">
        <v>0</v>
      </c>
      <c r="O67" s="153" t="n">
        <f aca="false">SUM(C67:N67)</f>
        <v>0</v>
      </c>
    </row>
    <row r="68" customFormat="false" ht="15" hidden="false" customHeight="false" outlineLevel="0" collapsed="false">
      <c r="A68" s="151" t="s">
        <v>118</v>
      </c>
      <c r="B68" s="146" t="n">
        <v>258</v>
      </c>
      <c r="C68" s="152" t="n">
        <v>0</v>
      </c>
      <c r="D68" s="152" t="n">
        <v>0</v>
      </c>
      <c r="E68" s="152" t="n">
        <v>0</v>
      </c>
      <c r="F68" s="152" t="n">
        <v>0</v>
      </c>
      <c r="G68" s="152" t="n">
        <v>0</v>
      </c>
      <c r="H68" s="152" t="n">
        <v>0</v>
      </c>
      <c r="I68" s="152" t="n">
        <v>0</v>
      </c>
      <c r="J68" s="152" t="n">
        <v>0</v>
      </c>
      <c r="K68" s="152" t="n">
        <v>0</v>
      </c>
      <c r="L68" s="152" t="n">
        <v>0</v>
      </c>
      <c r="M68" s="152" t="n">
        <v>0</v>
      </c>
      <c r="N68" s="152" t="n">
        <v>0</v>
      </c>
      <c r="O68" s="153" t="n">
        <f aca="false">SUM(C68:N68)</f>
        <v>0</v>
      </c>
    </row>
    <row r="69" customFormat="false" ht="15" hidden="false" customHeight="false" outlineLevel="0" collapsed="false">
      <c r="A69" s="151" t="s">
        <v>119</v>
      </c>
      <c r="B69" s="146" t="n">
        <v>259</v>
      </c>
      <c r="C69" s="152" t="n">
        <v>0</v>
      </c>
      <c r="D69" s="152" t="n">
        <v>0</v>
      </c>
      <c r="E69" s="152" t="n">
        <v>0</v>
      </c>
      <c r="F69" s="152" t="n">
        <v>0</v>
      </c>
      <c r="G69" s="152" t="n">
        <v>0</v>
      </c>
      <c r="H69" s="152" t="n">
        <v>0</v>
      </c>
      <c r="I69" s="152" t="n">
        <v>0</v>
      </c>
      <c r="J69" s="152" t="n">
        <v>0</v>
      </c>
      <c r="K69" s="152" t="n">
        <v>0</v>
      </c>
      <c r="L69" s="152" t="n">
        <v>0</v>
      </c>
      <c r="M69" s="152" t="n">
        <v>0</v>
      </c>
      <c r="N69" s="152" t="n">
        <v>0</v>
      </c>
      <c r="O69" s="153" t="n">
        <f aca="false">SUM(C69:N69)</f>
        <v>0</v>
      </c>
    </row>
    <row r="70" customFormat="false" ht="15" hidden="false" customHeight="false" outlineLevel="0" collapsed="false">
      <c r="A70" s="151" t="s">
        <v>120</v>
      </c>
      <c r="B70" s="146" t="n">
        <v>260</v>
      </c>
      <c r="C70" s="152" t="n">
        <v>0</v>
      </c>
      <c r="D70" s="152" t="n">
        <v>0</v>
      </c>
      <c r="E70" s="152" t="n">
        <v>0</v>
      </c>
      <c r="F70" s="152" t="n">
        <v>0</v>
      </c>
      <c r="G70" s="152" t="n">
        <v>0</v>
      </c>
      <c r="H70" s="152" t="n">
        <v>0</v>
      </c>
      <c r="I70" s="152" t="n">
        <v>0</v>
      </c>
      <c r="J70" s="152" t="n">
        <v>0</v>
      </c>
      <c r="K70" s="152" t="n">
        <v>0</v>
      </c>
      <c r="L70" s="152" t="n">
        <v>0</v>
      </c>
      <c r="M70" s="152" t="n">
        <v>0</v>
      </c>
      <c r="N70" s="152" t="n">
        <v>0</v>
      </c>
      <c r="O70" s="153" t="n">
        <f aca="false">SUM(C70:N70)</f>
        <v>0</v>
      </c>
    </row>
    <row r="71" customFormat="false" ht="15" hidden="false" customHeight="false" outlineLevel="0" collapsed="false">
      <c r="A71" s="154" t="s">
        <v>121</v>
      </c>
      <c r="B71" s="146" t="n">
        <v>261</v>
      </c>
      <c r="C71" s="155" t="n">
        <v>36564.14</v>
      </c>
      <c r="D71" s="155" t="n">
        <v>39722.04</v>
      </c>
      <c r="E71" s="155" t="n">
        <v>39722.04</v>
      </c>
      <c r="F71" s="155" t="n">
        <v>39722.04</v>
      </c>
      <c r="G71" s="155" t="n">
        <v>39722.04</v>
      </c>
      <c r="H71" s="155" t="n">
        <v>39722.04</v>
      </c>
      <c r="I71" s="155" t="n">
        <v>15815.79</v>
      </c>
      <c r="J71" s="155" t="n">
        <v>15815.79</v>
      </c>
      <c r="K71" s="155" t="n">
        <v>15815.79</v>
      </c>
      <c r="L71" s="155" t="n">
        <v>15815.79</v>
      </c>
      <c r="M71" s="155" t="n">
        <v>15815.79</v>
      </c>
      <c r="N71" s="155" t="n">
        <v>73190.79</v>
      </c>
      <c r="O71" s="155" t="n">
        <f aca="false">SUM(C71:N71)</f>
        <v>387444.08</v>
      </c>
    </row>
    <row r="72" customFormat="false" ht="15" hidden="false" customHeight="false" outlineLevel="0" collapsed="false">
      <c r="A72" s="151" t="s">
        <v>123</v>
      </c>
      <c r="B72" s="146" t="n">
        <v>263</v>
      </c>
      <c r="C72" s="152" t="n">
        <v>-54791.67</v>
      </c>
      <c r="D72" s="152" t="n">
        <v>-54791.67</v>
      </c>
      <c r="E72" s="152" t="n">
        <v>-54791.67</v>
      </c>
      <c r="F72" s="152" t="n">
        <v>-54791.67</v>
      </c>
      <c r="G72" s="152" t="n">
        <v>-54791.67</v>
      </c>
      <c r="H72" s="152" t="n">
        <v>-54791.67</v>
      </c>
      <c r="I72" s="152" t="n">
        <v>-54791.67</v>
      </c>
      <c r="J72" s="152" t="n">
        <v>-54791.67</v>
      </c>
      <c r="K72" s="152" t="n">
        <v>-54791.67</v>
      </c>
      <c r="L72" s="152" t="n">
        <v>-54791.67</v>
      </c>
      <c r="M72" s="152" t="n">
        <v>-54791.67</v>
      </c>
      <c r="N72" s="152" t="n">
        <v>-54791.67</v>
      </c>
      <c r="O72" s="153" t="n">
        <f aca="false">SUM(C72:N72)</f>
        <v>-657500.04</v>
      </c>
    </row>
    <row r="73" customFormat="false" ht="15" hidden="false" customHeight="false" outlineLevel="0" collapsed="false">
      <c r="A73" s="151" t="s">
        <v>65</v>
      </c>
      <c r="B73" s="146" t="n">
        <v>264</v>
      </c>
      <c r="C73" s="152" t="n">
        <v>-3835.42</v>
      </c>
      <c r="D73" s="152" t="n">
        <v>-3835.42</v>
      </c>
      <c r="E73" s="152" t="n">
        <v>-3835.42</v>
      </c>
      <c r="F73" s="152" t="n">
        <v>-3835.42</v>
      </c>
      <c r="G73" s="152" t="n">
        <v>-3835.42</v>
      </c>
      <c r="H73" s="152" t="n">
        <v>-3835.42</v>
      </c>
      <c r="I73" s="152" t="n">
        <v>-3835.42</v>
      </c>
      <c r="J73" s="152" t="n">
        <v>-3835.42</v>
      </c>
      <c r="K73" s="152" t="n">
        <v>-3835.42</v>
      </c>
      <c r="L73" s="152" t="n">
        <v>-3835.42</v>
      </c>
      <c r="M73" s="152" t="n">
        <v>-3835.42</v>
      </c>
      <c r="N73" s="152" t="n">
        <v>-3835.42</v>
      </c>
      <c r="O73" s="153" t="n">
        <f aca="false">SUM(C73:N73)</f>
        <v>-46025.04</v>
      </c>
    </row>
    <row r="74" customFormat="false" ht="15" hidden="false" customHeight="false" outlineLevel="0" collapsed="false">
      <c r="A74" s="151" t="s">
        <v>67</v>
      </c>
      <c r="B74" s="146" t="n">
        <v>265</v>
      </c>
      <c r="C74" s="152" t="n">
        <v>-12138</v>
      </c>
      <c r="D74" s="152" t="n">
        <v>-12138</v>
      </c>
      <c r="E74" s="152" t="n">
        <v>-12138</v>
      </c>
      <c r="F74" s="152" t="n">
        <v>-12138</v>
      </c>
      <c r="G74" s="152" t="n">
        <v>-12138</v>
      </c>
      <c r="H74" s="152" t="n">
        <v>-12138</v>
      </c>
      <c r="I74" s="152" t="n">
        <v>-12138</v>
      </c>
      <c r="J74" s="152" t="n">
        <v>-12138</v>
      </c>
      <c r="K74" s="152" t="n">
        <v>-12138</v>
      </c>
      <c r="L74" s="152" t="n">
        <v>-12138</v>
      </c>
      <c r="M74" s="152" t="n">
        <v>-12138</v>
      </c>
      <c r="N74" s="152" t="n">
        <v>-12138</v>
      </c>
      <c r="O74" s="153" t="n">
        <f aca="false">SUM(C74:N74)</f>
        <v>-145656</v>
      </c>
    </row>
    <row r="75" customFormat="false" ht="15" hidden="false" customHeight="false" outlineLevel="0" collapsed="false">
      <c r="A75" s="151" t="s">
        <v>68</v>
      </c>
      <c r="B75" s="146" t="n">
        <v>266</v>
      </c>
      <c r="C75" s="152" t="n">
        <v>-1095.83</v>
      </c>
      <c r="D75" s="152" t="n">
        <v>-1095.83</v>
      </c>
      <c r="E75" s="152" t="n">
        <v>-1095.83</v>
      </c>
      <c r="F75" s="152" t="n">
        <v>-1095.83</v>
      </c>
      <c r="G75" s="152" t="n">
        <v>-1095.83</v>
      </c>
      <c r="H75" s="152" t="n">
        <v>-1095.83</v>
      </c>
      <c r="I75" s="152" t="n">
        <v>-1095.83</v>
      </c>
      <c r="J75" s="152" t="n">
        <v>-1095.83</v>
      </c>
      <c r="K75" s="152" t="n">
        <v>-1095.83</v>
      </c>
      <c r="L75" s="152" t="n">
        <v>-1095.83</v>
      </c>
      <c r="M75" s="152" t="n">
        <v>-1095.83</v>
      </c>
      <c r="N75" s="152" t="n">
        <v>-1095.83</v>
      </c>
      <c r="O75" s="153" t="n">
        <f aca="false">SUM(C75:N75)</f>
        <v>-13149.96</v>
      </c>
    </row>
    <row r="76" customFormat="false" ht="15" hidden="false" customHeight="false" outlineLevel="0" collapsed="false">
      <c r="A76" s="151" t="s">
        <v>69</v>
      </c>
      <c r="B76" s="146" t="n">
        <v>267</v>
      </c>
      <c r="C76" s="152" t="n">
        <v>-273.96</v>
      </c>
      <c r="D76" s="152" t="n">
        <v>-273.96</v>
      </c>
      <c r="E76" s="152" t="n">
        <v>-273.96</v>
      </c>
      <c r="F76" s="152" t="n">
        <v>-273.96</v>
      </c>
      <c r="G76" s="152" t="n">
        <v>-273.96</v>
      </c>
      <c r="H76" s="152" t="n">
        <v>-273.96</v>
      </c>
      <c r="I76" s="152" t="n">
        <v>-273.96</v>
      </c>
      <c r="J76" s="152" t="n">
        <v>-273.96</v>
      </c>
      <c r="K76" s="152" t="n">
        <v>-273.96</v>
      </c>
      <c r="L76" s="152" t="n">
        <v>-273.96</v>
      </c>
      <c r="M76" s="152" t="n">
        <v>-273.96</v>
      </c>
      <c r="N76" s="152" t="n">
        <v>-273.96</v>
      </c>
      <c r="O76" s="153" t="n">
        <f aca="false">SUM(C76:N76)</f>
        <v>-3287.52</v>
      </c>
    </row>
    <row r="77" customFormat="false" ht="15" hidden="false" customHeight="false" outlineLevel="0" collapsed="false">
      <c r="A77" s="151" t="s">
        <v>72</v>
      </c>
      <c r="B77" s="146" t="n">
        <v>268</v>
      </c>
      <c r="C77" s="152" t="n">
        <v>-8500</v>
      </c>
      <c r="D77" s="152" t="n">
        <v>-6750</v>
      </c>
      <c r="E77" s="152" t="n">
        <v>-6750</v>
      </c>
      <c r="F77" s="152" t="n">
        <v>-6750</v>
      </c>
      <c r="G77" s="152" t="n">
        <v>-5000</v>
      </c>
      <c r="H77" s="152" t="n">
        <v>-5000</v>
      </c>
      <c r="I77" s="152" t="n">
        <v>-5000</v>
      </c>
      <c r="J77" s="152" t="n">
        <v>-5000</v>
      </c>
      <c r="K77" s="152" t="n">
        <v>-5000</v>
      </c>
      <c r="L77" s="152" t="n">
        <v>-5000</v>
      </c>
      <c r="M77" s="152" t="n">
        <v>-5000</v>
      </c>
      <c r="N77" s="152" t="n">
        <v>-5000</v>
      </c>
      <c r="O77" s="153" t="n">
        <f aca="false">SUM(C77:N77)</f>
        <v>-68750</v>
      </c>
    </row>
    <row r="78" customFormat="false" ht="15" hidden="false" customHeight="false" outlineLevel="0" collapsed="false">
      <c r="A78" s="151" t="s">
        <v>73</v>
      </c>
      <c r="B78" s="146" t="n">
        <v>269</v>
      </c>
      <c r="C78" s="152" t="n">
        <v>-583.8</v>
      </c>
      <c r="D78" s="152" t="n">
        <v>-583.8</v>
      </c>
      <c r="E78" s="152" t="n">
        <v>-583.8</v>
      </c>
      <c r="F78" s="152" t="n">
        <v>-583.8</v>
      </c>
      <c r="G78" s="152" t="n">
        <v>-583.8</v>
      </c>
      <c r="H78" s="152" t="n">
        <v>-583.8</v>
      </c>
      <c r="I78" s="152" t="n">
        <v>-583.8</v>
      </c>
      <c r="J78" s="152" t="n">
        <v>-583.8</v>
      </c>
      <c r="K78" s="152" t="n">
        <v>-583.8</v>
      </c>
      <c r="L78" s="152" t="n">
        <v>-583.8</v>
      </c>
      <c r="M78" s="152" t="n">
        <v>-583.8</v>
      </c>
      <c r="N78" s="152" t="n">
        <v>-583.8</v>
      </c>
      <c r="O78" s="153" t="n">
        <f aca="false">SUM(C78:N78)</f>
        <v>-7005.6</v>
      </c>
    </row>
    <row r="79" customFormat="false" ht="15" hidden="false" customHeight="false" outlineLevel="0" collapsed="false">
      <c r="A79" s="151" t="s">
        <v>124</v>
      </c>
      <c r="B79" s="146" t="n">
        <v>270</v>
      </c>
      <c r="C79" s="152" t="n">
        <v>-1497.86</v>
      </c>
      <c r="D79" s="152" t="n">
        <v>-1497.86</v>
      </c>
      <c r="E79" s="152" t="n">
        <v>-1497.86</v>
      </c>
      <c r="F79" s="152" t="n">
        <v>-1497.86</v>
      </c>
      <c r="G79" s="152" t="n">
        <v>-1497.86</v>
      </c>
      <c r="H79" s="152" t="n">
        <v>-1497.86</v>
      </c>
      <c r="I79" s="152" t="n">
        <v>-1497.86</v>
      </c>
      <c r="J79" s="152" t="n">
        <v>-1497.86</v>
      </c>
      <c r="K79" s="152" t="n">
        <v>-1497.86</v>
      </c>
      <c r="L79" s="152" t="n">
        <v>-1497.86</v>
      </c>
      <c r="M79" s="152" t="n">
        <v>-1497.86</v>
      </c>
      <c r="N79" s="152" t="n">
        <v>-1497.86</v>
      </c>
      <c r="O79" s="153" t="n">
        <f aca="false">SUM(C79:N79)</f>
        <v>-17974.32</v>
      </c>
    </row>
    <row r="80" customFormat="false" ht="15" hidden="false" customHeight="false" outlineLevel="0" collapsed="false">
      <c r="A80" s="151" t="s">
        <v>125</v>
      </c>
      <c r="B80" s="146" t="n">
        <v>271</v>
      </c>
      <c r="C80" s="152" t="n">
        <v>-290</v>
      </c>
      <c r="D80" s="152" t="n">
        <v>-290</v>
      </c>
      <c r="E80" s="152" t="n">
        <v>-290</v>
      </c>
      <c r="F80" s="152" t="n">
        <v>-290</v>
      </c>
      <c r="G80" s="152" t="n">
        <v>-290</v>
      </c>
      <c r="H80" s="152" t="n">
        <v>-290</v>
      </c>
      <c r="I80" s="152" t="n">
        <v>-290</v>
      </c>
      <c r="J80" s="152" t="n">
        <v>-290</v>
      </c>
      <c r="K80" s="152" t="n">
        <v>-290</v>
      </c>
      <c r="L80" s="152" t="n">
        <v>-290</v>
      </c>
      <c r="M80" s="152" t="n">
        <v>-290</v>
      </c>
      <c r="N80" s="152" t="n">
        <v>-290</v>
      </c>
      <c r="O80" s="153" t="n">
        <f aca="false">SUM(C80:N80)</f>
        <v>-3480</v>
      </c>
    </row>
    <row r="81" customFormat="false" ht="15" hidden="false" customHeight="false" outlineLevel="0" collapsed="false">
      <c r="A81" s="151" t="s">
        <v>126</v>
      </c>
      <c r="B81" s="146" t="n">
        <v>272</v>
      </c>
      <c r="C81" s="152" t="n">
        <v>-245</v>
      </c>
      <c r="D81" s="152" t="n">
        <v>-245</v>
      </c>
      <c r="E81" s="152" t="n">
        <v>-245</v>
      </c>
      <c r="F81" s="152" t="n">
        <v>-245</v>
      </c>
      <c r="G81" s="152" t="n">
        <v>-245</v>
      </c>
      <c r="H81" s="152" t="n">
        <v>-245</v>
      </c>
      <c r="I81" s="152" t="n">
        <v>-245</v>
      </c>
      <c r="J81" s="152" t="n">
        <v>-245</v>
      </c>
      <c r="K81" s="152" t="n">
        <v>-245</v>
      </c>
      <c r="L81" s="152" t="n">
        <v>-245</v>
      </c>
      <c r="M81" s="152" t="n">
        <v>-245</v>
      </c>
      <c r="N81" s="152" t="n">
        <v>-245</v>
      </c>
      <c r="O81" s="153" t="n">
        <f aca="false">SUM(C81:N81)</f>
        <v>-2940</v>
      </c>
    </row>
    <row r="82" customFormat="false" ht="15" hidden="false" customHeight="false" outlineLevel="0" collapsed="false">
      <c r="A82" s="151" t="s">
        <v>127</v>
      </c>
      <c r="B82" s="146" t="n">
        <v>273</v>
      </c>
      <c r="C82" s="152" t="n">
        <v>-1179.5</v>
      </c>
      <c r="D82" s="152" t="n">
        <v>-1179.5</v>
      </c>
      <c r="E82" s="152" t="n">
        <v>-1179.5</v>
      </c>
      <c r="F82" s="152" t="n">
        <v>-1179.5</v>
      </c>
      <c r="G82" s="152" t="n">
        <v>-1179.5</v>
      </c>
      <c r="H82" s="152" t="n">
        <v>-1179.5</v>
      </c>
      <c r="I82" s="152" t="n">
        <v>-1179.5</v>
      </c>
      <c r="J82" s="152" t="n">
        <v>-1179.5</v>
      </c>
      <c r="K82" s="152" t="n">
        <v>-1179.5</v>
      </c>
      <c r="L82" s="152" t="n">
        <v>-1179.5</v>
      </c>
      <c r="M82" s="152" t="n">
        <v>-1179.5</v>
      </c>
      <c r="N82" s="152" t="n">
        <v>-1179.5</v>
      </c>
      <c r="O82" s="153" t="n">
        <f aca="false">SUM(C82:N82)</f>
        <v>-14154</v>
      </c>
    </row>
    <row r="83" customFormat="false" ht="15" hidden="false" customHeight="false" outlineLevel="0" collapsed="false">
      <c r="A83" s="151" t="s">
        <v>128</v>
      </c>
      <c r="B83" s="146" t="n">
        <v>274</v>
      </c>
      <c r="C83" s="152" t="n">
        <v>-366.3</v>
      </c>
      <c r="D83" s="152" t="n">
        <v>-366.3</v>
      </c>
      <c r="E83" s="152" t="n">
        <v>-366.3</v>
      </c>
      <c r="F83" s="152" t="n">
        <v>-366.3</v>
      </c>
      <c r="G83" s="152" t="n">
        <v>-366.3</v>
      </c>
      <c r="H83" s="152" t="n">
        <v>-366.3</v>
      </c>
      <c r="I83" s="152" t="n">
        <v>-366.3</v>
      </c>
      <c r="J83" s="152" t="n">
        <v>-366.3</v>
      </c>
      <c r="K83" s="152" t="n">
        <v>-366.3</v>
      </c>
      <c r="L83" s="152" t="n">
        <v>-366.3</v>
      </c>
      <c r="M83" s="152" t="n">
        <v>-366.3</v>
      </c>
      <c r="N83" s="152" t="n">
        <v>-366.3</v>
      </c>
      <c r="O83" s="153" t="n">
        <f aca="false">SUM(C83:N83)</f>
        <v>-4395.6</v>
      </c>
    </row>
    <row r="84" customFormat="false" ht="15" hidden="false" customHeight="false" outlineLevel="0" collapsed="false">
      <c r="A84" s="151" t="s">
        <v>129</v>
      </c>
      <c r="B84" s="146" t="n">
        <v>275</v>
      </c>
      <c r="C84" s="152" t="n">
        <v>-50.07</v>
      </c>
      <c r="D84" s="152" t="n">
        <v>-50.07</v>
      </c>
      <c r="E84" s="152" t="n">
        <v>-50.07</v>
      </c>
      <c r="F84" s="152" t="n">
        <v>-50.07</v>
      </c>
      <c r="G84" s="152" t="n">
        <v>-50.07</v>
      </c>
      <c r="H84" s="152" t="n">
        <v>-50.07</v>
      </c>
      <c r="I84" s="152" t="n">
        <v>-50.07</v>
      </c>
      <c r="J84" s="152" t="n">
        <v>-50.07</v>
      </c>
      <c r="K84" s="152" t="n">
        <v>-50.07</v>
      </c>
      <c r="L84" s="152" t="n">
        <v>-50.07</v>
      </c>
      <c r="M84" s="152" t="n">
        <v>-50.07</v>
      </c>
      <c r="N84" s="152" t="n">
        <v>-50.07</v>
      </c>
      <c r="O84" s="153" t="n">
        <f aca="false">SUM(C84:N84)</f>
        <v>-600.84</v>
      </c>
    </row>
    <row r="85" customFormat="false" ht="15" hidden="false" customHeight="false" outlineLevel="0" collapsed="false">
      <c r="A85" s="151" t="s">
        <v>78</v>
      </c>
      <c r="B85" s="146" t="n">
        <v>276</v>
      </c>
      <c r="C85" s="152" t="n">
        <v>-896.43</v>
      </c>
      <c r="D85" s="152" t="n">
        <v>-896.43</v>
      </c>
      <c r="E85" s="152" t="n">
        <v>-896.43</v>
      </c>
      <c r="F85" s="152" t="n">
        <v>-896.43</v>
      </c>
      <c r="G85" s="152" t="n">
        <v>-896.43</v>
      </c>
      <c r="H85" s="152" t="n">
        <v>-896.43</v>
      </c>
      <c r="I85" s="152" t="n">
        <v>-896.43</v>
      </c>
      <c r="J85" s="152" t="n">
        <v>-896.43</v>
      </c>
      <c r="K85" s="152" t="n">
        <v>-896.43</v>
      </c>
      <c r="L85" s="152" t="n">
        <v>-896.43</v>
      </c>
      <c r="M85" s="152" t="n">
        <v>-896.43</v>
      </c>
      <c r="N85" s="152" t="n">
        <v>-896.43</v>
      </c>
      <c r="O85" s="153" t="n">
        <f aca="false">SUM(C85:N85)</f>
        <v>-10757.16</v>
      </c>
    </row>
    <row r="86" customFormat="false" ht="15" hidden="false" customHeight="false" outlineLevel="0" collapsed="false">
      <c r="A86" s="151" t="s">
        <v>79</v>
      </c>
      <c r="B86" s="146" t="n">
        <v>277</v>
      </c>
      <c r="C86" s="152" t="n">
        <v>-3750</v>
      </c>
      <c r="D86" s="152" t="n">
        <v>-3750</v>
      </c>
      <c r="E86" s="152" t="n">
        <v>-3750</v>
      </c>
      <c r="F86" s="152" t="n">
        <v>-3750</v>
      </c>
      <c r="G86" s="152" t="n">
        <v>-3750</v>
      </c>
      <c r="H86" s="152" t="n">
        <v>-3750</v>
      </c>
      <c r="I86" s="152" t="n">
        <v>-3750</v>
      </c>
      <c r="J86" s="152" t="n">
        <v>-3750</v>
      </c>
      <c r="K86" s="152" t="n">
        <v>-3750</v>
      </c>
      <c r="L86" s="152" t="n">
        <v>-3750</v>
      </c>
      <c r="M86" s="152" t="n">
        <v>-3750</v>
      </c>
      <c r="N86" s="152" t="n">
        <v>-3750</v>
      </c>
      <c r="O86" s="153" t="n">
        <f aca="false">SUM(C86:N86)</f>
        <v>-45000</v>
      </c>
    </row>
    <row r="87" customFormat="false" ht="15" hidden="false" customHeight="false" outlineLevel="0" collapsed="false">
      <c r="A87" s="151" t="s">
        <v>80</v>
      </c>
      <c r="B87" s="146" t="n">
        <v>278</v>
      </c>
      <c r="C87" s="152" t="n">
        <v>-2675.39</v>
      </c>
      <c r="D87" s="152" t="n">
        <v>-2675.39</v>
      </c>
      <c r="E87" s="152" t="n">
        <v>-2675.39</v>
      </c>
      <c r="F87" s="152" t="n">
        <v>-2675.39</v>
      </c>
      <c r="G87" s="152" t="n">
        <v>-2675.39</v>
      </c>
      <c r="H87" s="152" t="n">
        <v>-2675.39</v>
      </c>
      <c r="I87" s="152" t="n">
        <v>-2675.39</v>
      </c>
      <c r="J87" s="152" t="n">
        <v>-2675.39</v>
      </c>
      <c r="K87" s="152" t="n">
        <v>-2675.39</v>
      </c>
      <c r="L87" s="152" t="n">
        <v>-2675.39</v>
      </c>
      <c r="M87" s="152" t="n">
        <v>-2675.39</v>
      </c>
      <c r="N87" s="152" t="n">
        <v>-2675.39</v>
      </c>
      <c r="O87" s="153" t="n">
        <f aca="false">SUM(C87:N87)</f>
        <v>-32104.68</v>
      </c>
    </row>
    <row r="88" customFormat="false" ht="15" hidden="false" customHeight="false" outlineLevel="0" collapsed="false">
      <c r="A88" s="151" t="s">
        <v>81</v>
      </c>
      <c r="B88" s="146" t="n">
        <v>279</v>
      </c>
      <c r="C88" s="152" t="n">
        <v>-28083.33</v>
      </c>
      <c r="D88" s="152" t="n">
        <v>-28083.33</v>
      </c>
      <c r="E88" s="152" t="n">
        <v>-28083.33</v>
      </c>
      <c r="F88" s="152" t="n">
        <v>-28083.33</v>
      </c>
      <c r="G88" s="152" t="n">
        <v>-28083.33</v>
      </c>
      <c r="H88" s="152" t="n">
        <v>-28083.33</v>
      </c>
      <c r="I88" s="152" t="n">
        <v>-28083.33</v>
      </c>
      <c r="J88" s="152" t="n">
        <v>-28083.33</v>
      </c>
      <c r="K88" s="152" t="n">
        <v>-28083.33</v>
      </c>
      <c r="L88" s="152" t="n">
        <v>-28083.33</v>
      </c>
      <c r="M88" s="152" t="n">
        <v>-28083.33</v>
      </c>
      <c r="N88" s="152" t="n">
        <v>-28083.33</v>
      </c>
      <c r="O88" s="153" t="n">
        <f aca="false">SUM(C88:N88)</f>
        <v>-336999.96</v>
      </c>
    </row>
    <row r="89" customFormat="false" ht="15" hidden="false" customHeight="false" outlineLevel="0" collapsed="false">
      <c r="A89" s="151" t="s">
        <v>130</v>
      </c>
      <c r="B89" s="146" t="n">
        <v>280</v>
      </c>
      <c r="C89" s="152" t="n">
        <v>-1586.17</v>
      </c>
      <c r="D89" s="152" t="n">
        <v>-1586.17</v>
      </c>
      <c r="E89" s="152" t="n">
        <v>-1586.17</v>
      </c>
      <c r="F89" s="152" t="n">
        <v>-1586.17</v>
      </c>
      <c r="G89" s="152" t="n">
        <v>-1586.17</v>
      </c>
      <c r="H89" s="152" t="n">
        <v>-1586.17</v>
      </c>
      <c r="I89" s="152" t="n">
        <v>-1586.17</v>
      </c>
      <c r="J89" s="152" t="n">
        <v>-1586.17</v>
      </c>
      <c r="K89" s="152" t="n">
        <v>-1586.17</v>
      </c>
      <c r="L89" s="152" t="n">
        <v>-1586.17</v>
      </c>
      <c r="M89" s="152" t="n">
        <v>-1586.17</v>
      </c>
      <c r="N89" s="152" t="n">
        <v>-1586.17</v>
      </c>
      <c r="O89" s="153" t="n">
        <f aca="false">SUM(C89:N89)</f>
        <v>-19034.04</v>
      </c>
    </row>
    <row r="90" customFormat="false" ht="15" hidden="false" customHeight="false" outlineLevel="0" collapsed="false">
      <c r="A90" s="151" t="s">
        <v>131</v>
      </c>
      <c r="B90" s="146" t="n">
        <v>281</v>
      </c>
      <c r="C90" s="152" t="n">
        <v>-3333.33</v>
      </c>
      <c r="D90" s="152" t="n">
        <v>-3333.33</v>
      </c>
      <c r="E90" s="152" t="n">
        <v>-3333.33</v>
      </c>
      <c r="F90" s="152" t="n">
        <v>-3333.33</v>
      </c>
      <c r="G90" s="152" t="n">
        <v>-3333.33</v>
      </c>
      <c r="H90" s="152" t="n">
        <v>-3333.33</v>
      </c>
      <c r="I90" s="152" t="n">
        <v>-3333.33</v>
      </c>
      <c r="J90" s="152" t="n">
        <v>-3333.33</v>
      </c>
      <c r="K90" s="152" t="n">
        <v>-3333.33</v>
      </c>
      <c r="L90" s="152" t="n">
        <v>-3333.33</v>
      </c>
      <c r="M90" s="152" t="n">
        <v>-3333.33</v>
      </c>
      <c r="N90" s="152" t="n">
        <v>-3333.33</v>
      </c>
      <c r="O90" s="153" t="n">
        <f aca="false">SUM(C90:N90)</f>
        <v>-39999.96</v>
      </c>
    </row>
    <row r="91" customFormat="false" ht="15" hidden="false" customHeight="false" outlineLevel="0" collapsed="false">
      <c r="A91" s="151" t="s">
        <v>132</v>
      </c>
      <c r="B91" s="146" t="n">
        <v>282</v>
      </c>
      <c r="C91" s="152" t="n">
        <v>-1905.31</v>
      </c>
      <c r="D91" s="152" t="n">
        <v>-1905.31</v>
      </c>
      <c r="E91" s="152" t="n">
        <v>-1905.31</v>
      </c>
      <c r="F91" s="152" t="n">
        <v>-1905.31</v>
      </c>
      <c r="G91" s="152" t="n">
        <v>-1905.31</v>
      </c>
      <c r="H91" s="152" t="n">
        <v>-1905.31</v>
      </c>
      <c r="I91" s="152" t="n">
        <v>-1905.31</v>
      </c>
      <c r="J91" s="152" t="n">
        <v>-1905.31</v>
      </c>
      <c r="K91" s="152" t="n">
        <v>-1905.31</v>
      </c>
      <c r="L91" s="152" t="n">
        <v>-1905.31</v>
      </c>
      <c r="M91" s="152" t="n">
        <v>-1905.31</v>
      </c>
      <c r="N91" s="152" t="n">
        <v>-1905.31</v>
      </c>
      <c r="O91" s="153" t="n">
        <f aca="false">SUM(C91:N91)</f>
        <v>-22863.72</v>
      </c>
    </row>
    <row r="92" customFormat="false" ht="15" hidden="false" customHeight="false" outlineLevel="0" collapsed="false">
      <c r="A92" s="151" t="s">
        <v>133</v>
      </c>
      <c r="B92" s="146" t="n">
        <v>283</v>
      </c>
      <c r="C92" s="152" t="n">
        <v>-2100</v>
      </c>
      <c r="D92" s="152" t="n">
        <v>-2100</v>
      </c>
      <c r="E92" s="152" t="n">
        <v>-2100</v>
      </c>
      <c r="F92" s="152" t="n">
        <v>-2100</v>
      </c>
      <c r="G92" s="152" t="n">
        <v>-2100</v>
      </c>
      <c r="H92" s="152" t="n">
        <v>-2100</v>
      </c>
      <c r="I92" s="152" t="n">
        <v>-2100</v>
      </c>
      <c r="J92" s="152" t="n">
        <v>-2100</v>
      </c>
      <c r="K92" s="152" t="n">
        <v>-2100</v>
      </c>
      <c r="L92" s="152" t="n">
        <v>-2100</v>
      </c>
      <c r="M92" s="152" t="n">
        <v>-2100</v>
      </c>
      <c r="N92" s="152" t="n">
        <v>-2100</v>
      </c>
      <c r="O92" s="153" t="n">
        <f aca="false">SUM(C92:N92)</f>
        <v>-25200</v>
      </c>
    </row>
    <row r="93" customFormat="false" ht="15" hidden="false" customHeight="false" outlineLevel="0" collapsed="false">
      <c r="A93" s="151" t="s">
        <v>84</v>
      </c>
      <c r="B93" s="146" t="n">
        <v>284</v>
      </c>
      <c r="C93" s="152" t="n">
        <v>-66666.67</v>
      </c>
      <c r="D93" s="152" t="n">
        <v>-66666.67</v>
      </c>
      <c r="E93" s="152" t="n">
        <v>-66666.67</v>
      </c>
      <c r="F93" s="152" t="n">
        <v>-66666.67</v>
      </c>
      <c r="G93" s="152" t="n">
        <v>-66666.67</v>
      </c>
      <c r="H93" s="152" t="n">
        <v>-66666.67</v>
      </c>
      <c r="I93" s="152" t="n">
        <v>-66666.67</v>
      </c>
      <c r="J93" s="152" t="n">
        <v>-66666.67</v>
      </c>
      <c r="K93" s="152" t="n">
        <v>-66666.67</v>
      </c>
      <c r="L93" s="152" t="n">
        <v>-66666.67</v>
      </c>
      <c r="M93" s="152" t="n">
        <v>-66666.67</v>
      </c>
      <c r="N93" s="152" t="n">
        <v>-66666.67</v>
      </c>
      <c r="O93" s="153" t="n">
        <f aca="false">SUM(C93:N93)</f>
        <v>-800000.04</v>
      </c>
    </row>
    <row r="94" customFormat="false" ht="15" hidden="false" customHeight="false" outlineLevel="0" collapsed="false">
      <c r="A94" s="151" t="s">
        <v>92</v>
      </c>
      <c r="B94" s="146" t="n">
        <v>285</v>
      </c>
      <c r="C94" s="152" t="n">
        <v>-3333.33</v>
      </c>
      <c r="D94" s="152" t="n">
        <v>-3333.33</v>
      </c>
      <c r="E94" s="152" t="n">
        <v>-3333.33</v>
      </c>
      <c r="F94" s="152" t="n">
        <v>-3333.33</v>
      </c>
      <c r="G94" s="152" t="n">
        <v>-3333.33</v>
      </c>
      <c r="H94" s="152" t="n">
        <v>-3333.33</v>
      </c>
      <c r="I94" s="152" t="n">
        <v>-3333.33</v>
      </c>
      <c r="J94" s="152" t="n">
        <v>-3333.33</v>
      </c>
      <c r="K94" s="152" t="n">
        <v>-3333.33</v>
      </c>
      <c r="L94" s="152" t="n">
        <v>-3333.33</v>
      </c>
      <c r="M94" s="152" t="n">
        <v>-3333.33</v>
      </c>
      <c r="N94" s="152" t="n">
        <v>-3333.33</v>
      </c>
      <c r="O94" s="153" t="n">
        <f aca="false">SUM(C94:N94)</f>
        <v>-39999.96</v>
      </c>
    </row>
    <row r="95" customFormat="false" ht="15" hidden="false" customHeight="false" outlineLevel="0" collapsed="false">
      <c r="A95" s="151" t="s">
        <v>93</v>
      </c>
      <c r="B95" s="146" t="n">
        <v>286</v>
      </c>
      <c r="C95" s="152" t="n">
        <v>-446.63</v>
      </c>
      <c r="D95" s="152" t="n">
        <v>-446.63</v>
      </c>
      <c r="E95" s="152" t="n">
        <v>-446.63</v>
      </c>
      <c r="F95" s="152" t="n">
        <v>-446.63</v>
      </c>
      <c r="G95" s="152" t="n">
        <v>-446.63</v>
      </c>
      <c r="H95" s="152" t="n">
        <v>-446.63</v>
      </c>
      <c r="I95" s="152" t="n">
        <v>-446.63</v>
      </c>
      <c r="J95" s="152" t="n">
        <v>-446.63</v>
      </c>
      <c r="K95" s="152" t="n">
        <v>-446.63</v>
      </c>
      <c r="L95" s="152" t="n">
        <v>-446.63</v>
      </c>
      <c r="M95" s="152" t="n">
        <v>-446.63</v>
      </c>
      <c r="N95" s="152" t="n">
        <v>-446.63</v>
      </c>
      <c r="O95" s="153" t="n">
        <f aca="false">SUM(C95:N95)</f>
        <v>-5359.56</v>
      </c>
    </row>
    <row r="96" customFormat="false" ht="15" hidden="false" customHeight="false" outlineLevel="0" collapsed="false">
      <c r="A96" s="151" t="s">
        <v>134</v>
      </c>
      <c r="B96" s="146" t="n">
        <v>287</v>
      </c>
      <c r="C96" s="152" t="n">
        <v>0</v>
      </c>
      <c r="D96" s="152" t="n">
        <v>0</v>
      </c>
      <c r="E96" s="152" t="n">
        <v>0</v>
      </c>
      <c r="F96" s="152" t="n">
        <v>0</v>
      </c>
      <c r="G96" s="152" t="n">
        <v>0</v>
      </c>
      <c r="H96" s="152" t="n">
        <v>0</v>
      </c>
      <c r="I96" s="152" t="n">
        <v>0</v>
      </c>
      <c r="J96" s="152" t="n">
        <v>0</v>
      </c>
      <c r="K96" s="152" t="n">
        <v>0</v>
      </c>
      <c r="L96" s="152" t="n">
        <v>0</v>
      </c>
      <c r="M96" s="152" t="n">
        <v>0</v>
      </c>
      <c r="N96" s="152" t="n">
        <v>0</v>
      </c>
      <c r="O96" s="153" t="n">
        <f aca="false">SUM(C96:N96)</f>
        <v>0</v>
      </c>
    </row>
    <row r="97" customFormat="false" ht="15" hidden="false" customHeight="false" outlineLevel="0" collapsed="false">
      <c r="A97" s="151" t="s">
        <v>135</v>
      </c>
      <c r="B97" s="146" t="n">
        <v>288</v>
      </c>
      <c r="C97" s="152" t="n">
        <v>0</v>
      </c>
      <c r="D97" s="152" t="n">
        <v>0</v>
      </c>
      <c r="E97" s="152" t="n">
        <v>0</v>
      </c>
      <c r="F97" s="152" t="n">
        <v>0</v>
      </c>
      <c r="G97" s="152" t="n">
        <v>0</v>
      </c>
      <c r="H97" s="152" t="n">
        <v>0</v>
      </c>
      <c r="I97" s="152" t="n">
        <v>0</v>
      </c>
      <c r="J97" s="152" t="n">
        <v>0</v>
      </c>
      <c r="K97" s="152" t="n">
        <v>0</v>
      </c>
      <c r="L97" s="152" t="n">
        <v>0</v>
      </c>
      <c r="M97" s="152" t="n">
        <v>0</v>
      </c>
      <c r="N97" s="152" t="n">
        <v>0</v>
      </c>
      <c r="O97" s="153" t="n">
        <f aca="false">SUM(C97:N97)</f>
        <v>0</v>
      </c>
    </row>
    <row r="98" customFormat="false" ht="15" hidden="false" customHeight="false" outlineLevel="0" collapsed="false">
      <c r="A98" s="151" t="s">
        <v>136</v>
      </c>
      <c r="B98" s="146" t="n">
        <v>289</v>
      </c>
      <c r="C98" s="152" t="n">
        <v>0</v>
      </c>
      <c r="D98" s="152" t="n">
        <v>0</v>
      </c>
      <c r="E98" s="152" t="n">
        <v>0</v>
      </c>
      <c r="F98" s="152" t="n">
        <v>0</v>
      </c>
      <c r="G98" s="152" t="n">
        <v>0</v>
      </c>
      <c r="H98" s="152" t="n">
        <v>0</v>
      </c>
      <c r="I98" s="152" t="n">
        <v>0</v>
      </c>
      <c r="J98" s="152" t="n">
        <v>0</v>
      </c>
      <c r="K98" s="152" t="n">
        <v>0</v>
      </c>
      <c r="L98" s="152" t="n">
        <v>0</v>
      </c>
      <c r="M98" s="152" t="n">
        <v>0</v>
      </c>
      <c r="N98" s="152" t="n">
        <v>0</v>
      </c>
      <c r="O98" s="153" t="n">
        <f aca="false">SUM(C98:N98)</f>
        <v>0</v>
      </c>
    </row>
    <row r="99" customFormat="false" ht="15" hidden="false" customHeight="false" outlineLevel="0" collapsed="false">
      <c r="A99" s="151" t="s">
        <v>137</v>
      </c>
      <c r="B99" s="146" t="n">
        <v>290</v>
      </c>
      <c r="C99" s="152" t="n">
        <v>0</v>
      </c>
      <c r="D99" s="152" t="n">
        <v>0</v>
      </c>
      <c r="E99" s="152" t="n">
        <v>0</v>
      </c>
      <c r="F99" s="152" t="n">
        <v>0</v>
      </c>
      <c r="G99" s="152" t="n">
        <v>0</v>
      </c>
      <c r="H99" s="152" t="n">
        <v>0</v>
      </c>
      <c r="I99" s="152" t="n">
        <v>0</v>
      </c>
      <c r="J99" s="152" t="n">
        <v>0</v>
      </c>
      <c r="K99" s="152" t="n">
        <v>0</v>
      </c>
      <c r="L99" s="152" t="n">
        <v>0</v>
      </c>
      <c r="M99" s="152" t="n">
        <v>0</v>
      </c>
      <c r="N99" s="152" t="n">
        <v>0</v>
      </c>
      <c r="O99" s="153" t="n">
        <f aca="false">SUM(C99:N99)</f>
        <v>0</v>
      </c>
    </row>
    <row r="100" customFormat="false" ht="15" hidden="false" customHeight="false" outlineLevel="0" collapsed="false">
      <c r="A100" s="151" t="s">
        <v>138</v>
      </c>
      <c r="B100" s="146" t="n">
        <v>291</v>
      </c>
      <c r="C100" s="152" t="n">
        <v>0</v>
      </c>
      <c r="D100" s="152" t="n">
        <v>0</v>
      </c>
      <c r="E100" s="152" t="n">
        <v>0</v>
      </c>
      <c r="F100" s="152" t="n">
        <v>0</v>
      </c>
      <c r="G100" s="152" t="n">
        <v>0</v>
      </c>
      <c r="H100" s="152" t="n">
        <v>0</v>
      </c>
      <c r="I100" s="152" t="n">
        <v>0</v>
      </c>
      <c r="J100" s="152" t="n">
        <v>0</v>
      </c>
      <c r="K100" s="152" t="n">
        <v>0</v>
      </c>
      <c r="L100" s="152" t="n">
        <v>0</v>
      </c>
      <c r="M100" s="152" t="n">
        <v>0</v>
      </c>
      <c r="N100" s="152" t="n">
        <v>0</v>
      </c>
      <c r="O100" s="153" t="n">
        <f aca="false">SUM(C100:N100)</f>
        <v>0</v>
      </c>
    </row>
    <row r="101" customFormat="false" ht="15" hidden="false" customHeight="false" outlineLevel="0" collapsed="false">
      <c r="A101" s="154" t="s">
        <v>139</v>
      </c>
      <c r="B101" s="146" t="n">
        <v>292</v>
      </c>
      <c r="C101" s="155" t="n">
        <v>-199623.99</v>
      </c>
      <c r="D101" s="155" t="n">
        <v>-197873.99</v>
      </c>
      <c r="E101" s="155" t="n">
        <v>-197873.99</v>
      </c>
      <c r="F101" s="155" t="n">
        <v>-197873.99</v>
      </c>
      <c r="G101" s="155" t="n">
        <v>-196123.99</v>
      </c>
      <c r="H101" s="155" t="n">
        <v>-196123.99</v>
      </c>
      <c r="I101" s="155" t="n">
        <v>-196123.99</v>
      </c>
      <c r="J101" s="155" t="n">
        <v>-196123.99</v>
      </c>
      <c r="K101" s="155" t="n">
        <v>-196123.99</v>
      </c>
      <c r="L101" s="155" t="n">
        <v>-196123.99</v>
      </c>
      <c r="M101" s="155" t="n">
        <v>-196123.99</v>
      </c>
      <c r="N101" s="155" t="n">
        <v>-196123.99</v>
      </c>
      <c r="O101" s="155" t="n">
        <f aca="false">SUM(C101:N101)</f>
        <v>-2362237.88</v>
      </c>
    </row>
    <row r="102" customFormat="false" ht="15" hidden="false" customHeight="false" outlineLevel="0" collapsed="false">
      <c r="A102" s="154" t="s">
        <v>140</v>
      </c>
      <c r="B102" s="146" t="n">
        <v>293</v>
      </c>
      <c r="C102" s="155" t="n">
        <v>-163059.85</v>
      </c>
      <c r="D102" s="155" t="n">
        <v>-158151.96</v>
      </c>
      <c r="E102" s="155" t="n">
        <v>-158151.96</v>
      </c>
      <c r="F102" s="155" t="n">
        <v>-158151.96</v>
      </c>
      <c r="G102" s="155" t="n">
        <v>-156401.96</v>
      </c>
      <c r="H102" s="155" t="n">
        <v>-156401.96</v>
      </c>
      <c r="I102" s="155" t="n">
        <v>-180308.21</v>
      </c>
      <c r="J102" s="155" t="n">
        <v>-180308.21</v>
      </c>
      <c r="K102" s="155" t="n">
        <v>-180308.21</v>
      </c>
      <c r="L102" s="155" t="n">
        <v>-180308.21</v>
      </c>
      <c r="M102" s="155" t="n">
        <v>-180308.21</v>
      </c>
      <c r="N102" s="155" t="n">
        <v>-122933.21</v>
      </c>
      <c r="O102" s="155" t="n">
        <f aca="false">SUM(C102:N102)</f>
        <v>-1974793.91</v>
      </c>
    </row>
    <row r="103" customFormat="false" ht="15" hidden="false" customHeight="false" outlineLevel="0" collapsed="false">
      <c r="A103" s="149" t="s">
        <v>548</v>
      </c>
      <c r="B103" s="150"/>
      <c r="C103" s="150"/>
      <c r="D103" s="150"/>
      <c r="E103" s="150"/>
      <c r="F103" s="150"/>
      <c r="G103" s="150"/>
      <c r="H103" s="150"/>
      <c r="I103" s="150"/>
      <c r="J103" s="150"/>
      <c r="K103" s="150"/>
      <c r="L103" s="150"/>
      <c r="M103" s="150"/>
      <c r="N103" s="150"/>
      <c r="O103" s="150"/>
    </row>
    <row r="104" customFormat="false" ht="15" hidden="false" customHeight="false" outlineLevel="0" collapsed="false">
      <c r="A104" s="151" t="s">
        <v>144</v>
      </c>
      <c r="B104" s="146" t="n">
        <v>297</v>
      </c>
      <c r="C104" s="152" t="n">
        <v>0</v>
      </c>
      <c r="D104" s="152" t="n">
        <v>0</v>
      </c>
      <c r="E104" s="152" t="n">
        <v>800</v>
      </c>
      <c r="F104" s="152" t="n">
        <v>0</v>
      </c>
      <c r="G104" s="152" t="n">
        <v>0</v>
      </c>
      <c r="H104" s="152" t="n">
        <v>0</v>
      </c>
      <c r="I104" s="152" t="n">
        <v>0</v>
      </c>
      <c r="J104" s="152" t="n">
        <v>0</v>
      </c>
      <c r="K104" s="152" t="n">
        <v>0</v>
      </c>
      <c r="L104" s="152" t="n">
        <v>0</v>
      </c>
      <c r="M104" s="152" t="n">
        <v>0</v>
      </c>
      <c r="N104" s="152" t="n">
        <v>0</v>
      </c>
      <c r="O104" s="153" t="n">
        <f aca="false">SUM(C104:N104)</f>
        <v>800</v>
      </c>
    </row>
    <row r="105" customFormat="false" ht="15" hidden="false" customHeight="false" outlineLevel="0" collapsed="false">
      <c r="A105" s="154" t="s">
        <v>151</v>
      </c>
      <c r="B105" s="146" t="n">
        <v>308</v>
      </c>
      <c r="C105" s="155" t="n">
        <v>77411.22</v>
      </c>
      <c r="D105" s="155" t="n">
        <v>90611.38</v>
      </c>
      <c r="E105" s="155" t="n">
        <v>142761</v>
      </c>
      <c r="F105" s="155" t="n">
        <v>-123632.58</v>
      </c>
      <c r="G105" s="155" t="n">
        <v>26439.81</v>
      </c>
      <c r="H105" s="155" t="n">
        <v>-145823.89</v>
      </c>
      <c r="I105" s="155" t="n">
        <v>540193.84</v>
      </c>
      <c r="J105" s="155" t="n">
        <v>436491.78</v>
      </c>
      <c r="K105" s="155" t="n">
        <v>355964.16</v>
      </c>
      <c r="L105" s="155" t="n">
        <v>293736.57</v>
      </c>
      <c r="M105" s="155" t="n">
        <v>666727.97</v>
      </c>
      <c r="N105" s="155" t="n">
        <v>403141.88</v>
      </c>
      <c r="O105" s="155" t="n">
        <f aca="false">SUM(C105:N105)</f>
        <v>2764023.14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375" defaultRowHeight="15" customHeight="false" zeroHeight="false" outlineLevelRow="0" outlineLevelCol="0"/>
  <cols>
    <col collapsed="false" customWidth="true" hidden="false" outlineLevel="0" max="1" min="1" style="0" width="58"/>
    <col collapsed="false" customWidth="true" hidden="false" outlineLevel="0" max="5" min="2" style="0" width="14"/>
  </cols>
  <sheetData>
    <row r="1" customFormat="false" ht="17.35" hidden="false" customHeight="false" outlineLevel="0" collapsed="false">
      <c r="A1" s="145" t="s">
        <v>549</v>
      </c>
    </row>
    <row r="2" customFormat="false" ht="15" hidden="false" customHeight="false" outlineLevel="0" collapsed="false">
      <c r="A2" s="156" t="s">
        <v>550</v>
      </c>
      <c r="B2" s="157" t="n">
        <v>12</v>
      </c>
    </row>
    <row r="3" customFormat="false" ht="15" hidden="false" customHeight="false" outlineLevel="0" collapsed="false">
      <c r="A3" s="147" t="s">
        <v>551</v>
      </c>
    </row>
    <row r="5" customFormat="false" ht="15" hidden="false" customHeight="false" outlineLevel="0" collapsed="false">
      <c r="A5" s="148" t="s">
        <v>532</v>
      </c>
      <c r="B5" s="148" t="s">
        <v>405</v>
      </c>
      <c r="C5" s="148" t="s">
        <v>552</v>
      </c>
      <c r="D5" s="148" t="s">
        <v>553</v>
      </c>
      <c r="E5" s="148" t="s">
        <v>554</v>
      </c>
    </row>
    <row r="6" customFormat="false" ht="15" hidden="false" customHeight="false" outlineLevel="0" collapsed="false">
      <c r="A6" s="149" t="s">
        <v>384</v>
      </c>
      <c r="B6" s="150"/>
      <c r="C6" s="150"/>
      <c r="D6" s="150"/>
      <c r="E6" s="150"/>
    </row>
    <row r="7" customFormat="false" ht="15" hidden="false" customHeight="false" outlineLevel="0" collapsed="false">
      <c r="A7" s="151" t="str">
        <f aca="false">'Budget FY2027'!A7</f>
        <v>Other GC Income</v>
      </c>
      <c r="B7" s="152" t="n">
        <f aca="false">SUMPRODUCT(('Budget FY2027'!$C$4:$N$4&lt;=$B$2)*'Budget FY2027'!C7:N7)</f>
        <v>7402425.21</v>
      </c>
      <c r="C7" s="152" t="n">
        <f aca="false">SUMPRODUCT(('Budget FY2027'!$C$4:$N$4&lt;=$B$2)*Model!N10:Y10)</f>
        <v>7402425.19724927</v>
      </c>
      <c r="D7" s="152" t="n">
        <f aca="false">C7-B7</f>
        <v>-0.0127507336437702</v>
      </c>
      <c r="E7" s="158" t="n">
        <f aca="false">IF(ABS(B7)&lt;0.5,"",D7/ABS(B7))</f>
        <v>-1.72250759474681E-009</v>
      </c>
    </row>
    <row r="8" customFormat="false" ht="15" hidden="false" customHeight="false" outlineLevel="0" collapsed="false">
      <c r="A8" s="151" t="str">
        <f aca="false">'Budget FY2027'!A8</f>
        <v>GC Fee Income</v>
      </c>
      <c r="B8" s="152" t="n">
        <f aca="false">SUMPRODUCT(('Budget FY2027'!$C$4:$N$4&lt;=$B$2)*'Budget FY2027'!C8:N8)</f>
        <v>5616760.24</v>
      </c>
      <c r="C8" s="152" t="n">
        <f aca="false">SUMPRODUCT(('Budget FY2027'!$C$4:$N$4&lt;=$B$2)*Model!N11:Y11)</f>
        <v>5616760.23036432</v>
      </c>
      <c r="D8" s="152" t="n">
        <f aca="false">C8-B8</f>
        <v>-0.00963568408042193</v>
      </c>
      <c r="E8" s="158" t="n">
        <f aca="false">IF(ABS(B8)&lt;0.5,"",D8/ABS(B8))</f>
        <v>-1.7155234812768E-009</v>
      </c>
    </row>
    <row r="9" customFormat="false" ht="15" hidden="false" customHeight="false" outlineLevel="0" collapsed="false">
      <c r="A9" s="151" t="str">
        <f aca="false">'Budget FY2027'!A9</f>
        <v>Total Trades and Site Cost Billing</v>
      </c>
      <c r="B9" s="152" t="n">
        <f aca="false">SUMPRODUCT(('Budget FY2027'!$C$4:$N$4&lt;=$B$2)*'Budget FY2027'!C9:N9)</f>
        <v>94093053.04</v>
      </c>
      <c r="C9" s="152" t="n">
        <f aca="false">SUMPRODUCT(('Budget FY2027'!$C$4:$N$4&lt;=$B$2)*Model!N57:Y57)</f>
        <v>94093053.0377328</v>
      </c>
      <c r="D9" s="152" t="n">
        <f aca="false">C9-B9</f>
        <v>-0.00226719677448273</v>
      </c>
      <c r="E9" s="158" t="n">
        <f aca="false">IF(ABS(B9)&lt;0.5,"",D9/ABS(B9))</f>
        <v>-2.40952620967556E-011</v>
      </c>
    </row>
    <row r="10" customFormat="false" ht="15" hidden="false" customHeight="false" outlineLevel="0" collapsed="false">
      <c r="A10" s="151" t="str">
        <f aca="false">'Budget FY2027'!A10</f>
        <v>Total COGS - Trade and Site Costs</v>
      </c>
      <c r="B10" s="152" t="n">
        <f aca="false">SUMPRODUCT(('Budget FY2027'!$C$4:$N$4&lt;=$B$2)*'Budget FY2027'!C10:N10)</f>
        <v>-94600524.87</v>
      </c>
      <c r="C10" s="152" t="n">
        <f aca="false">SUMPRODUCT(('Budget FY2027'!$C$4:$N$4&lt;=$B$2)*Model!N104:Y104)</f>
        <v>-94600524.8677328</v>
      </c>
      <c r="D10" s="152" t="n">
        <f aca="false">C10-B10</f>
        <v>0.00226719677448273</v>
      </c>
      <c r="E10" s="158" t="n">
        <f aca="false">IF(ABS(B10)&lt;0.5,"",D10/ABS(B10))</f>
        <v>2.39660062943446E-011</v>
      </c>
    </row>
    <row r="11" customFormat="false" ht="15" hidden="false" customHeight="false" outlineLevel="0" collapsed="false">
      <c r="A11" s="151" t="str">
        <f aca="false">'Budget FY2027'!A11</f>
        <v>Bonding Program, net (Krueger cash fee; forecast bonds net of bond line less premium)</v>
      </c>
      <c r="B11" s="152" t="n">
        <f aca="false">SUMPRODUCT(('Budget FY2027'!$C$4:$N$4&lt;=$B$2)*'Budget FY2027'!C11:N11)</f>
        <v>-1615478.58</v>
      </c>
      <c r="C11" s="152" t="n">
        <f aca="false">SUMPRODUCT(('Budget FY2027'!$C$4:$N$4&lt;=$B$2)*Model!N196:Y196)</f>
        <v>-1615478.57912803</v>
      </c>
      <c r="D11" s="152" t="n">
        <f aca="false">C11-B11</f>
        <v>0.000871969619765878</v>
      </c>
      <c r="E11" s="158" t="n">
        <f aca="false">IF(ABS(B11)&lt;0.5,"",D11/ABS(B11))</f>
        <v>5.39759319969366E-010</v>
      </c>
    </row>
    <row r="12" customFormat="false" ht="15" hidden="false" customHeight="false" outlineLevel="0" collapsed="false">
      <c r="A12" s="151" t="str">
        <f aca="false">'Budget FY2027'!A12</f>
        <v>Trade Cost True-Up (LIHTC pass-through: margin from Oct-26 reversed as it arises; pre-Oct actual at completion)</v>
      </c>
      <c r="B12" s="152" t="n">
        <f aca="false">SUMPRODUCT(('Budget FY2027'!$C$4:$N$4&lt;=$B$2)*'Budget FY2027'!C12:N12)</f>
        <v>-7303.12</v>
      </c>
      <c r="C12" s="152" t="n">
        <f aca="false">SUMPRODUCT(('Budget FY2027'!$C$4:$N$4&lt;=$B$2)*Model!N197:Y197)</f>
        <v>-7303.12000000058</v>
      </c>
      <c r="D12" s="152" t="n">
        <f aca="false">C12-B12</f>
        <v>-5.77529135625809E-010</v>
      </c>
      <c r="E12" s="158" t="n">
        <f aca="false">IF(ABS(B12)&lt;0.5,"",D12/ABS(B12))</f>
        <v>-7.90797817406546E-014</v>
      </c>
    </row>
    <row r="13" customFormat="false" ht="15" hidden="false" customHeight="false" outlineLevel="0" collapsed="false">
      <c r="A13" s="151" t="str">
        <f aca="false">'Budget FY2027'!A13</f>
        <v>Buyout Savings - Client Share (paid at completion)</v>
      </c>
      <c r="B13" s="152" t="n">
        <f aca="false">SUMPRODUCT(('Budget FY2027'!$C$4:$N$4&lt;=$B$2)*'Budget FY2027'!C13:N13)</f>
        <v>0</v>
      </c>
      <c r="C13" s="152" t="n">
        <f aca="false">SUMPRODUCT(('Budget FY2027'!$C$4:$N$4&lt;=$B$2)*Model!N198:Y198)</f>
        <v>0</v>
      </c>
      <c r="D13" s="152" t="n">
        <f aca="false">C13-B13</f>
        <v>0</v>
      </c>
      <c r="E13" s="158" t="str">
        <f aca="false">IF(ABS(B13)&lt;0.5,"",D13/ABS(B13))</f>
        <v/>
      </c>
    </row>
    <row r="14" customFormat="false" ht="15" hidden="false" customHeight="false" outlineLevel="0" collapsed="false">
      <c r="A14" s="154" t="str">
        <f aca="false">'Budget FY2027'!A14</f>
        <v>Gross Profit</v>
      </c>
      <c r="B14" s="155" t="n">
        <f aca="false">SUMPRODUCT(('Budget FY2027'!$C$4:$N$4&lt;=$B$2)*'Budget FY2027'!C14:N14)</f>
        <v>10888931.9</v>
      </c>
      <c r="C14" s="155" t="n">
        <f aca="false">SUMPRODUCT(('Budget FY2027'!$C$4:$N$4&lt;=$B$2)*Model!N199:Y199)</f>
        <v>10888931.8984856</v>
      </c>
      <c r="D14" s="155" t="n">
        <f aca="false">C14-B14</f>
        <v>-0.00151444971561432</v>
      </c>
      <c r="E14" s="158" t="n">
        <f aca="false">IF(ABS(B14)&lt;0.5,"",D14/ABS(B14))</f>
        <v>-1.39081567367899E-010</v>
      </c>
    </row>
    <row r="15" customFormat="false" ht="15" hidden="false" customHeight="false" outlineLevel="0" collapsed="false">
      <c r="A15" s="151" t="str">
        <f aca="false">'Budget FY2027'!A15</f>
        <v>5000-1000 Payroll (incl. LV year-end bonus pool, Assumptions B151:B152)</v>
      </c>
      <c r="B15" s="152" t="n">
        <f aca="false">SUMPRODUCT(('Budget FY2027'!$C$4:$N$4&lt;=$B$2)*'Budget FY2027'!C15:N15)</f>
        <v>-4350572.01</v>
      </c>
      <c r="C15" s="152" t="n">
        <f aca="false">SUMPRODUCT(('Budget FY2027'!$C$4:$N$4&lt;=$B$2)*Model!N203:Y203)</f>
        <v>-4350572</v>
      </c>
      <c r="D15" s="152" t="n">
        <f aca="false">C15-B15</f>
        <v>0.00999999977648258</v>
      </c>
      <c r="E15" s="158" t="n">
        <f aca="false">IF(ABS(B15)&lt;0.5,"",D15/ABS(B15))</f>
        <v>2.29854827215757E-009</v>
      </c>
    </row>
    <row r="16" customFormat="false" ht="15" hidden="false" customHeight="false" outlineLevel="0" collapsed="false">
      <c r="A16" s="151" t="str">
        <f aca="false">'Budget FY2027'!A16</f>
        <v>5000-1001 Payroll Taxes</v>
      </c>
      <c r="B16" s="152" t="n">
        <f aca="false">SUMPRODUCT(('Budget FY2027'!$C$4:$N$4&lt;=$B$2)*'Budget FY2027'!C16:N16)</f>
        <v>-336565.03</v>
      </c>
      <c r="C16" s="152" t="n">
        <f aca="false">SUMPRODUCT(('Budget FY2027'!$C$4:$N$4&lt;=$B$2)*Model!N204:Y204)</f>
        <v>-336565.04</v>
      </c>
      <c r="D16" s="152" t="n">
        <f aca="false">C16-B16</f>
        <v>-0.0100000000675209</v>
      </c>
      <c r="E16" s="158" t="n">
        <f aca="false">IF(ABS(B16)&lt;0.5,"",D16/ABS(B16))</f>
        <v>-2.97119402675937E-008</v>
      </c>
    </row>
    <row r="17" customFormat="false" ht="15" hidden="false" customHeight="false" outlineLevel="0" collapsed="false">
      <c r="A17" s="151" t="str">
        <f aca="false">'Budget FY2027'!A17</f>
        <v>SP Allocated to LV</v>
      </c>
      <c r="B17" s="152" t="n">
        <f aca="false">SUMPRODUCT(('Budget FY2027'!$C$4:$N$4&lt;=$B$2)*'Budget FY2027'!C17:N17)</f>
        <v>0</v>
      </c>
      <c r="C17" s="152" t="n">
        <f aca="false">SUMPRODUCT(('Budget FY2027'!$C$4:$N$4&lt;=$B$2)*Model!N205:Y205)</f>
        <v>0</v>
      </c>
      <c r="D17" s="152" t="n">
        <f aca="false">C17-B17</f>
        <v>0</v>
      </c>
      <c r="E17" s="158" t="str">
        <f aca="false">IF(ABS(B17)&lt;0.5,"",D17/ABS(B17))</f>
        <v/>
      </c>
    </row>
    <row r="18" customFormat="false" ht="15" hidden="false" customHeight="false" outlineLevel="0" collapsed="false">
      <c r="A18" s="151" t="str">
        <f aca="false">'Budget FY2027'!A18</f>
        <v>5000-1002 Employee Benefits</v>
      </c>
      <c r="B18" s="152" t="n">
        <f aca="false">SUMPRODUCT(('Budget FY2027'!$C$4:$N$4&lt;=$B$2)*'Budget FY2027'!C18:N18)</f>
        <v>-168282.53</v>
      </c>
      <c r="C18" s="152" t="n">
        <f aca="false">SUMPRODUCT(('Budget FY2027'!$C$4:$N$4&lt;=$B$2)*Model!N206:Y206)</f>
        <v>-168282.52</v>
      </c>
      <c r="D18" s="152" t="n">
        <f aca="false">C18-B18</f>
        <v>0.0099999999802094</v>
      </c>
      <c r="E18" s="158" t="n">
        <f aca="false">IF(ABS(B18)&lt;0.5,"",D18/ABS(B18))</f>
        <v>5.94238747195529E-008</v>
      </c>
    </row>
    <row r="19" customFormat="false" ht="15" hidden="false" customHeight="false" outlineLevel="0" collapsed="false">
      <c r="A19" s="151" t="str">
        <f aca="false">'Budget FY2027'!A19</f>
        <v>5000-1003 Workers Comp</v>
      </c>
      <c r="B19" s="152" t="n">
        <f aca="false">SUMPRODUCT(('Budget FY2027'!$C$4:$N$4&lt;=$B$2)*'Budget FY2027'!C19:N19)</f>
        <v>-14424.24</v>
      </c>
      <c r="C19" s="152" t="n">
        <f aca="false">SUMPRODUCT(('Budget FY2027'!$C$4:$N$4&lt;=$B$2)*Model!N207:Y207)</f>
        <v>-14424.216</v>
      </c>
      <c r="D19" s="152" t="n">
        <f aca="false">C19-B19</f>
        <v>0.0239999999994325</v>
      </c>
      <c r="E19" s="158" t="n">
        <f aca="false">IF(ABS(B19)&lt;0.5,"",D19/ABS(B19))</f>
        <v>1.66386582582046E-006</v>
      </c>
    </row>
    <row r="20" customFormat="false" ht="15" hidden="false" customHeight="false" outlineLevel="0" collapsed="false">
      <c r="A20" s="151" t="str">
        <f aca="false">'Budget FY2027'!A20</f>
        <v>5000-1005 Payroll Servicing Fees</v>
      </c>
      <c r="B20" s="152" t="n">
        <f aca="false">SUMPRODUCT(('Budget FY2027'!$C$4:$N$4&lt;=$B$2)*'Budget FY2027'!C20:N20)</f>
        <v>-24040.37</v>
      </c>
      <c r="C20" s="152" t="n">
        <f aca="false">SUMPRODUCT(('Budget FY2027'!$C$4:$N$4&lt;=$B$2)*Model!N208:Y208)</f>
        <v>-24040.36</v>
      </c>
      <c r="D20" s="152" t="n">
        <f aca="false">C20-B20</f>
        <v>0.00999999999839929</v>
      </c>
      <c r="E20" s="158" t="n">
        <f aca="false">IF(ABS(B20)&lt;0.5,"",D20/ABS(B20))</f>
        <v>4.15966975483293E-007</v>
      </c>
    </row>
    <row r="21" customFormat="false" ht="15" hidden="false" customHeight="false" outlineLevel="0" collapsed="false">
      <c r="A21" s="151" t="str">
        <f aca="false">'Budget FY2027'!A21</f>
        <v>5000-1007 Payroll - Consultants</v>
      </c>
      <c r="B21" s="152" t="n">
        <f aca="false">SUMPRODUCT(('Budget FY2027'!$C$4:$N$4&lt;=$B$2)*'Budget FY2027'!C21:N21)</f>
        <v>-200000.04</v>
      </c>
      <c r="C21" s="152" t="n">
        <f aca="false">SUMPRODUCT(('Budget FY2027'!$C$4:$N$4&lt;=$B$2)*Model!N209:Y209)</f>
        <v>-200000</v>
      </c>
      <c r="D21" s="152" t="n">
        <f aca="false">C21-B21</f>
        <v>0.0399999999790452</v>
      </c>
      <c r="E21" s="158" t="n">
        <f aca="false">IF(ABS(B21)&lt;0.5,"",D21/ABS(B21))</f>
        <v>1.99999959895234E-007</v>
      </c>
    </row>
    <row r="22" customFormat="false" ht="15" hidden="false" customHeight="false" outlineLevel="0" collapsed="false">
      <c r="A22" s="151" t="str">
        <f aca="false">'Budget FY2027'!A22</f>
        <v>5000-1018 Payroll - Self Performed Trades</v>
      </c>
      <c r="B22" s="152" t="n">
        <f aca="false">SUMPRODUCT(('Budget FY2027'!$C$4:$N$4&lt;=$B$2)*'Budget FY2027'!C22:N22)</f>
        <v>0</v>
      </c>
      <c r="C22" s="152" t="n">
        <f aca="false">SUMPRODUCT(('Budget FY2027'!$C$4:$N$4&lt;=$B$2)*Model!N210:Y210)</f>
        <v>0</v>
      </c>
      <c r="D22" s="152" t="n">
        <f aca="false">C22-B22</f>
        <v>0</v>
      </c>
      <c r="E22" s="158" t="str">
        <f aca="false">IF(ABS(B22)&lt;0.5,"",D22/ABS(B22))</f>
        <v/>
      </c>
    </row>
    <row r="23" customFormat="false" ht="15" hidden="false" customHeight="false" outlineLevel="0" collapsed="false">
      <c r="A23" s="151" t="str">
        <f aca="false">'Budget FY2027'!A23</f>
        <v>5100-1000 Rent Expense</v>
      </c>
      <c r="B23" s="152" t="n">
        <f aca="false">SUMPRODUCT(('Budget FY2027'!$C$4:$N$4&lt;=$B$2)*'Budget FY2027'!C23:N23)</f>
        <v>-180000</v>
      </c>
      <c r="C23" s="152" t="n">
        <f aca="false">SUMPRODUCT(('Budget FY2027'!$C$4:$N$4&lt;=$B$2)*Model!N211:Y211)</f>
        <v>-180000</v>
      </c>
      <c r="D23" s="152" t="n">
        <f aca="false">C23-B23</f>
        <v>0</v>
      </c>
      <c r="E23" s="158" t="n">
        <f aca="false">IF(ABS(B23)&lt;0.5,"",D23/ABS(B23))</f>
        <v>0</v>
      </c>
    </row>
    <row r="24" customFormat="false" ht="15" hidden="false" customHeight="false" outlineLevel="0" collapsed="false">
      <c r="A24" s="151" t="str">
        <f aca="false">'Budget FY2027'!A24</f>
        <v>5200-1000 Office Supplies and Expenses</v>
      </c>
      <c r="B24" s="152" t="n">
        <f aca="false">SUMPRODUCT(('Budget FY2027'!$C$4:$N$4&lt;=$B$2)*'Budget FY2027'!C24:N24)</f>
        <v>-48295.68</v>
      </c>
      <c r="C24" s="152" t="n">
        <f aca="false">SUMPRODUCT(('Budget FY2027'!$C$4:$N$4&lt;=$B$2)*Model!N212:Y212)</f>
        <v>-48295.68</v>
      </c>
      <c r="D24" s="152" t="n">
        <f aca="false">C24-B24</f>
        <v>0</v>
      </c>
      <c r="E24" s="158" t="n">
        <f aca="false">IF(ABS(B24)&lt;0.5,"",D24/ABS(B24))</f>
        <v>0</v>
      </c>
    </row>
    <row r="25" customFormat="false" ht="15" hidden="false" customHeight="false" outlineLevel="0" collapsed="false">
      <c r="A25" s="151" t="str">
        <f aca="false">'Budget FY2027'!A25</f>
        <v>5200-1002 Printing and Reproduction</v>
      </c>
      <c r="B25" s="152" t="n">
        <f aca="false">SUMPRODUCT(('Budget FY2027'!$C$4:$N$4&lt;=$B$2)*'Budget FY2027'!C25:N25)</f>
        <v>-4309.56</v>
      </c>
      <c r="C25" s="152" t="n">
        <f aca="false">SUMPRODUCT(('Budget FY2027'!$C$4:$N$4&lt;=$B$2)*Model!N213:Y213)</f>
        <v>-4309.56</v>
      </c>
      <c r="D25" s="152" t="n">
        <f aca="false">C25-B25</f>
        <v>0</v>
      </c>
      <c r="E25" s="158" t="n">
        <f aca="false">IF(ABS(B25)&lt;0.5,"",D25/ABS(B25))</f>
        <v>0</v>
      </c>
    </row>
    <row r="26" customFormat="false" ht="15" hidden="false" customHeight="false" outlineLevel="0" collapsed="false">
      <c r="A26" s="151" t="str">
        <f aca="false">'Budget FY2027'!A26</f>
        <v>5200-1050 Computer and IT Expenses</v>
      </c>
      <c r="B26" s="152" t="n">
        <f aca="false">SUMPRODUCT(('Budget FY2027'!$C$4:$N$4&lt;=$B$2)*'Budget FY2027'!C26:N26)</f>
        <v>-315.96</v>
      </c>
      <c r="C26" s="152" t="n">
        <f aca="false">SUMPRODUCT(('Budget FY2027'!$C$4:$N$4&lt;=$B$2)*Model!N214:Y214)</f>
        <v>-315.96</v>
      </c>
      <c r="D26" s="152" t="n">
        <f aca="false">C26-B26</f>
        <v>0</v>
      </c>
      <c r="E26" s="158" t="n">
        <f aca="false">IF(ABS(B26)&lt;0.5,"",D26/ABS(B26))</f>
        <v>0</v>
      </c>
    </row>
    <row r="27" customFormat="false" ht="15" hidden="false" customHeight="false" outlineLevel="0" collapsed="false">
      <c r="A27" s="151" t="str">
        <f aca="false">'Budget FY2027'!A27</f>
        <v>5200-1053 IT Software and Subscriptions (incl. pay-app automation, Assumptions B153:B155)</v>
      </c>
      <c r="B27" s="152" t="n">
        <f aca="false">SUMPRODUCT(('Budget FY2027'!$C$4:$N$4&lt;=$B$2)*'Budget FY2027'!C27:N27)</f>
        <v>-158609.6</v>
      </c>
      <c r="C27" s="152" t="n">
        <f aca="false">SUMPRODUCT(('Budget FY2027'!$C$4:$N$4&lt;=$B$2)*Model!N215:Y215)</f>
        <v>-158609.6</v>
      </c>
      <c r="D27" s="152" t="n">
        <f aca="false">C27-B27</f>
        <v>0</v>
      </c>
      <c r="E27" s="158" t="n">
        <f aca="false">IF(ABS(B27)&lt;0.5,"",D27/ABS(B27))</f>
        <v>0</v>
      </c>
    </row>
    <row r="28" customFormat="false" ht="15" hidden="false" customHeight="false" outlineLevel="0" collapsed="false">
      <c r="A28" s="151" t="str">
        <f aca="false">'Budget FY2027'!A28</f>
        <v>5200-1054 Telephone Expenses</v>
      </c>
      <c r="B28" s="152" t="n">
        <f aca="false">SUMPRODUCT(('Budget FY2027'!$C$4:$N$4&lt;=$B$2)*'Budget FY2027'!C28:N28)</f>
        <v>-8832.36</v>
      </c>
      <c r="C28" s="152" t="n">
        <f aca="false">SUMPRODUCT(('Budget FY2027'!$C$4:$N$4&lt;=$B$2)*Model!N216:Y216)</f>
        <v>-8832.36</v>
      </c>
      <c r="D28" s="152" t="n">
        <f aca="false">C28-B28</f>
        <v>0</v>
      </c>
      <c r="E28" s="158" t="n">
        <f aca="false">IF(ABS(B28)&lt;0.5,"",D28/ABS(B28))</f>
        <v>0</v>
      </c>
    </row>
    <row r="29" customFormat="false" ht="15" hidden="false" customHeight="false" outlineLevel="0" collapsed="false">
      <c r="A29" s="151" t="str">
        <f aca="false">'Budget FY2027'!A29</f>
        <v>5300-1050 Meals and Entertainment</v>
      </c>
      <c r="B29" s="152" t="n">
        <f aca="false">SUMPRODUCT(('Budget FY2027'!$C$4:$N$4&lt;=$B$2)*'Budget FY2027'!C29:N29)</f>
        <v>-13615.44</v>
      </c>
      <c r="C29" s="152" t="n">
        <f aca="false">SUMPRODUCT(('Budget FY2027'!$C$4:$N$4&lt;=$B$2)*Model!N217:Y217)</f>
        <v>-13615.44</v>
      </c>
      <c r="D29" s="152" t="n">
        <f aca="false">C29-B29</f>
        <v>0</v>
      </c>
      <c r="E29" s="158" t="n">
        <f aca="false">IF(ABS(B29)&lt;0.5,"",D29/ABS(B29))</f>
        <v>0</v>
      </c>
    </row>
    <row r="30" customFormat="false" ht="15" hidden="false" customHeight="false" outlineLevel="0" collapsed="false">
      <c r="A30" s="151" t="str">
        <f aca="false">'Budget FY2027'!A30</f>
        <v>5500-1000 Legal and Professional Fees</v>
      </c>
      <c r="B30" s="152" t="n">
        <f aca="false">SUMPRODUCT(('Budget FY2027'!$C$4:$N$4&lt;=$B$2)*'Budget FY2027'!C30:N30)</f>
        <v>-15249.96</v>
      </c>
      <c r="C30" s="152" t="n">
        <f aca="false">SUMPRODUCT(('Budget FY2027'!$C$4:$N$4&lt;=$B$2)*Model!N218:Y218)</f>
        <v>-15249.96</v>
      </c>
      <c r="D30" s="152" t="n">
        <f aca="false">C30-B30</f>
        <v>0</v>
      </c>
      <c r="E30" s="158" t="n">
        <f aca="false">IF(ABS(B30)&lt;0.5,"",D30/ABS(B30))</f>
        <v>0</v>
      </c>
    </row>
    <row r="31" customFormat="false" ht="15" hidden="false" customHeight="false" outlineLevel="0" collapsed="false">
      <c r="A31" s="151" t="str">
        <f aca="false">'Budget FY2027'!A31</f>
        <v>5500-1002 Accounting Consulting and Overhead</v>
      </c>
      <c r="B31" s="152" t="n">
        <f aca="false">SUMPRODUCT(('Budget FY2027'!$C$4:$N$4&lt;=$B$2)*'Budget FY2027'!C31:N31)</f>
        <v>-70995.96</v>
      </c>
      <c r="C31" s="152" t="n">
        <f aca="false">SUMPRODUCT(('Budget FY2027'!$C$4:$N$4&lt;=$B$2)*Model!N219:Y219)</f>
        <v>-70995.96</v>
      </c>
      <c r="D31" s="152" t="n">
        <f aca="false">C31-B31</f>
        <v>0</v>
      </c>
      <c r="E31" s="158" t="n">
        <f aca="false">IF(ABS(B31)&lt;0.5,"",D31/ABS(B31))</f>
        <v>0</v>
      </c>
    </row>
    <row r="32" customFormat="false" ht="15" hidden="false" customHeight="false" outlineLevel="0" collapsed="false">
      <c r="A32" s="151" t="str">
        <f aca="false">'Budget FY2027'!A32</f>
        <v>5500-1004 Consultants and Other Professional Expenses</v>
      </c>
      <c r="B32" s="152" t="n">
        <f aca="false">SUMPRODUCT(('Budget FY2027'!$C$4:$N$4&lt;=$B$2)*'Budget FY2027'!C32:N32)</f>
        <v>-3001.56</v>
      </c>
      <c r="C32" s="152" t="n">
        <f aca="false">SUMPRODUCT(('Budget FY2027'!$C$4:$N$4&lt;=$B$2)*Model!N220:Y220)</f>
        <v>-3001.56</v>
      </c>
      <c r="D32" s="152" t="n">
        <f aca="false">C32-B32</f>
        <v>0</v>
      </c>
      <c r="E32" s="158" t="n">
        <f aca="false">IF(ABS(B32)&lt;0.5,"",D32/ABS(B32))</f>
        <v>0</v>
      </c>
    </row>
    <row r="33" customFormat="false" ht="15" hidden="false" customHeight="false" outlineLevel="0" collapsed="false">
      <c r="A33" s="151" t="str">
        <f aca="false">'Budget FY2027'!A33</f>
        <v>5500-1050 General Insurance</v>
      </c>
      <c r="B33" s="152" t="n">
        <f aca="false">SUMPRODUCT(('Budget FY2027'!$C$4:$N$4&lt;=$B$2)*'Budget FY2027'!C33:N33)</f>
        <v>-21010.92</v>
      </c>
      <c r="C33" s="152" t="n">
        <f aca="false">SUMPRODUCT(('Budget FY2027'!$C$4:$N$4&lt;=$B$2)*Model!N221:Y221)</f>
        <v>-21010.92</v>
      </c>
      <c r="D33" s="152" t="n">
        <f aca="false">C33-B33</f>
        <v>0</v>
      </c>
      <c r="E33" s="158" t="n">
        <f aca="false">IF(ABS(B33)&lt;0.5,"",D33/ABS(B33))</f>
        <v>0</v>
      </c>
    </row>
    <row r="34" customFormat="false" ht="15" hidden="false" customHeight="false" outlineLevel="0" collapsed="false">
      <c r="A34" s="151" t="str">
        <f aca="false">'Budget FY2027'!A34</f>
        <v>5700-1003 Other Utilities</v>
      </c>
      <c r="B34" s="152" t="n">
        <f aca="false">SUMPRODUCT(('Budget FY2027'!$C$4:$N$4&lt;=$B$2)*'Budget FY2027'!C34:N34)</f>
        <v>-23864.04</v>
      </c>
      <c r="C34" s="152" t="n">
        <f aca="false">SUMPRODUCT(('Budget FY2027'!$C$4:$N$4&lt;=$B$2)*Model!N222:Y222)</f>
        <v>-23864.04</v>
      </c>
      <c r="D34" s="152" t="n">
        <f aca="false">C34-B34</f>
        <v>0</v>
      </c>
      <c r="E34" s="158" t="n">
        <f aca="false">IF(ABS(B34)&lt;0.5,"",D34/ABS(B34))</f>
        <v>0</v>
      </c>
    </row>
    <row r="35" customFormat="false" ht="15" hidden="false" customHeight="false" outlineLevel="0" collapsed="false">
      <c r="A35" s="151" t="str">
        <f aca="false">'Budget FY2027'!A35</f>
        <v>5800-1003 Consulting Fee</v>
      </c>
      <c r="B35" s="152" t="n">
        <f aca="false">SUMPRODUCT(('Budget FY2027'!$C$4:$N$4&lt;=$B$2)*'Budget FY2027'!C35:N35)</f>
        <v>-127875</v>
      </c>
      <c r="C35" s="152" t="n">
        <f aca="false">SUMPRODUCT(('Budget FY2027'!$C$4:$N$4&lt;=$B$2)*Model!N223:Y223)</f>
        <v>-127875</v>
      </c>
      <c r="D35" s="152" t="n">
        <f aca="false">C35-B35</f>
        <v>0</v>
      </c>
      <c r="E35" s="158" t="n">
        <f aca="false">IF(ABS(B35)&lt;0.5,"",D35/ABS(B35))</f>
        <v>0</v>
      </c>
    </row>
    <row r="36" customFormat="false" ht="15" hidden="false" customHeight="false" outlineLevel="0" collapsed="false">
      <c r="A36" s="151" t="str">
        <f aca="false">'Budget FY2027'!A36</f>
        <v>5900-1000 Security Monitoring</v>
      </c>
      <c r="B36" s="152" t="n">
        <f aca="false">SUMPRODUCT(('Budget FY2027'!$C$4:$N$4&lt;=$B$2)*'Budget FY2027'!C36:N36)</f>
        <v>-660</v>
      </c>
      <c r="C36" s="152" t="n">
        <f aca="false">SUMPRODUCT(('Budget FY2027'!$C$4:$N$4&lt;=$B$2)*Model!N224:Y224)</f>
        <v>-660</v>
      </c>
      <c r="D36" s="152" t="n">
        <f aca="false">C36-B36</f>
        <v>0</v>
      </c>
      <c r="E36" s="158" t="n">
        <f aca="false">IF(ABS(B36)&lt;0.5,"",D36/ABS(B36))</f>
        <v>0</v>
      </c>
    </row>
    <row r="37" customFormat="false" ht="15" hidden="false" customHeight="false" outlineLevel="0" collapsed="false">
      <c r="A37" s="151" t="str">
        <f aca="false">'Budget FY2027'!A37</f>
        <v>5900-1002 Repairs and Maintenance</v>
      </c>
      <c r="B37" s="152" t="n">
        <f aca="false">SUMPRODUCT(('Budget FY2027'!$C$4:$N$4&lt;=$B$2)*'Budget FY2027'!C37:N37)</f>
        <v>0</v>
      </c>
      <c r="C37" s="152" t="n">
        <f aca="false">SUMPRODUCT(('Budget FY2027'!$C$4:$N$4&lt;=$B$2)*Model!N225:Y225)</f>
        <v>0</v>
      </c>
      <c r="D37" s="152" t="n">
        <f aca="false">C37-B37</f>
        <v>0</v>
      </c>
      <c r="E37" s="158" t="str">
        <f aca="false">IF(ABS(B37)&lt;0.5,"",D37/ABS(B37))</f>
        <v/>
      </c>
    </row>
    <row r="38" customFormat="false" ht="15" hidden="false" customHeight="false" outlineLevel="0" collapsed="false">
      <c r="A38" s="151" t="str">
        <f aca="false">'Budget FY2027'!A38</f>
        <v>5900-1003 Janitorial and Cleaning Expenses</v>
      </c>
      <c r="B38" s="152" t="n">
        <f aca="false">SUMPRODUCT(('Budget FY2027'!$C$4:$N$4&lt;=$B$2)*'Budget FY2027'!C38:N38)</f>
        <v>-6600</v>
      </c>
      <c r="C38" s="152" t="n">
        <f aca="false">SUMPRODUCT(('Budget FY2027'!$C$4:$N$4&lt;=$B$2)*Model!N226:Y226)</f>
        <v>-6600</v>
      </c>
      <c r="D38" s="152" t="n">
        <f aca="false">C38-B38</f>
        <v>0</v>
      </c>
      <c r="E38" s="158" t="n">
        <f aca="false">IF(ABS(B38)&lt;0.5,"",D38/ABS(B38))</f>
        <v>0</v>
      </c>
    </row>
    <row r="39" customFormat="false" ht="15" hidden="false" customHeight="false" outlineLevel="0" collapsed="false">
      <c r="A39" s="151" t="str">
        <f aca="false">'Budget FY2027'!A39</f>
        <v>5900-1005 Supplies and Other Job Site Overhead</v>
      </c>
      <c r="B39" s="152" t="n">
        <f aca="false">SUMPRODUCT(('Budget FY2027'!$C$4:$N$4&lt;=$B$2)*'Budget FY2027'!C39:N39)</f>
        <v>-211657.68</v>
      </c>
      <c r="C39" s="152" t="n">
        <f aca="false">SUMPRODUCT(('Budget FY2027'!$C$4:$N$4&lt;=$B$2)*Model!N227:Y227)</f>
        <v>-211657.68</v>
      </c>
      <c r="D39" s="152" t="n">
        <f aca="false">C39-B39</f>
        <v>0</v>
      </c>
      <c r="E39" s="158" t="n">
        <f aca="false">IF(ABS(B39)&lt;0.5,"",D39/ABS(B39))</f>
        <v>0</v>
      </c>
    </row>
    <row r="40" customFormat="false" ht="15" hidden="false" customHeight="false" outlineLevel="0" collapsed="false">
      <c r="A40" s="151" t="str">
        <f aca="false">'Budget FY2027'!A40</f>
        <v>5900-1006 Auto and Truck Expense</v>
      </c>
      <c r="B40" s="152" t="n">
        <f aca="false">SUMPRODUCT(('Budget FY2027'!$C$4:$N$4&lt;=$B$2)*'Budget FY2027'!C40:N40)</f>
        <v>-17067.96</v>
      </c>
      <c r="C40" s="152" t="n">
        <f aca="false">SUMPRODUCT(('Budget FY2027'!$C$4:$N$4&lt;=$B$2)*Model!N228:Y228)</f>
        <v>-17067.96</v>
      </c>
      <c r="D40" s="152" t="n">
        <f aca="false">C40-B40</f>
        <v>0</v>
      </c>
      <c r="E40" s="158" t="n">
        <f aca="false">IF(ABS(B40)&lt;0.5,"",D40/ABS(B40))</f>
        <v>0</v>
      </c>
    </row>
    <row r="41" customFormat="false" ht="15" hidden="false" customHeight="false" outlineLevel="0" collapsed="false">
      <c r="A41" s="151" t="str">
        <f aca="false">'Budget FY2027'!A41</f>
        <v>5900-1007 Landscaping</v>
      </c>
      <c r="B41" s="152" t="n">
        <f aca="false">SUMPRODUCT(('Budget FY2027'!$C$4:$N$4&lt;=$B$2)*'Budget FY2027'!C41:N41)</f>
        <v>-1920</v>
      </c>
      <c r="C41" s="152" t="n">
        <f aca="false">SUMPRODUCT(('Budget FY2027'!$C$4:$N$4&lt;=$B$2)*Model!N229:Y229)</f>
        <v>-1920</v>
      </c>
      <c r="D41" s="152" t="n">
        <f aca="false">C41-B41</f>
        <v>0</v>
      </c>
      <c r="E41" s="158" t="n">
        <f aca="false">IF(ABS(B41)&lt;0.5,"",D41/ABS(B41))</f>
        <v>0</v>
      </c>
    </row>
    <row r="42" customFormat="false" ht="15" hidden="false" customHeight="false" outlineLevel="0" collapsed="false">
      <c r="A42" s="151" t="str">
        <f aca="false">'Budget FY2027'!A42</f>
        <v>5900-1040 Warranty and Other Job Adjustments</v>
      </c>
      <c r="B42" s="152" t="n">
        <f aca="false">SUMPRODUCT(('Budget FY2027'!$C$4:$N$4&lt;=$B$2)*'Budget FY2027'!C42:N42)</f>
        <v>-60000</v>
      </c>
      <c r="C42" s="152" t="n">
        <f aca="false">SUMPRODUCT(('Budget FY2027'!$C$4:$N$4&lt;=$B$2)*Model!N230:Y230)</f>
        <v>-60000</v>
      </c>
      <c r="D42" s="152" t="n">
        <f aca="false">C42-B42</f>
        <v>0</v>
      </c>
      <c r="E42" s="158" t="n">
        <f aca="false">IF(ABS(B42)&lt;0.5,"",D42/ABS(B42))</f>
        <v>0</v>
      </c>
    </row>
    <row r="43" customFormat="false" ht="15" hidden="false" customHeight="false" outlineLevel="0" collapsed="false">
      <c r="A43" s="151" t="str">
        <f aca="false">'Budget FY2027'!A43</f>
        <v>5900-1075 Miscellaneous Expense</v>
      </c>
      <c r="B43" s="152" t="n">
        <f aca="false">SUMPRODUCT(('Budget FY2027'!$C$4:$N$4&lt;=$B$2)*'Budget FY2027'!C43:N43)</f>
        <v>-5011.2</v>
      </c>
      <c r="C43" s="152" t="n">
        <f aca="false">SUMPRODUCT(('Budget FY2027'!$C$4:$N$4&lt;=$B$2)*Model!N231:Y231)</f>
        <v>-5011.2</v>
      </c>
      <c r="D43" s="152" t="n">
        <f aca="false">C43-B43</f>
        <v>0</v>
      </c>
      <c r="E43" s="158" t="n">
        <f aca="false">IF(ABS(B43)&lt;0.5,"",D43/ABS(B43))</f>
        <v>0</v>
      </c>
    </row>
    <row r="44" customFormat="false" ht="15" hidden="false" customHeight="false" outlineLevel="0" collapsed="false">
      <c r="A44" s="151" t="str">
        <f aca="false">'Budget FY2027'!A44</f>
        <v>5900-1080 Bank Service Charges</v>
      </c>
      <c r="B44" s="152" t="n">
        <f aca="false">SUMPRODUCT(('Budget FY2027'!$C$4:$N$4&lt;=$B$2)*'Budget FY2027'!C44:N44)</f>
        <v>-320.04</v>
      </c>
      <c r="C44" s="152" t="n">
        <f aca="false">SUMPRODUCT(('Budget FY2027'!$C$4:$N$4&lt;=$B$2)*Model!N232:Y232)</f>
        <v>-320.04</v>
      </c>
      <c r="D44" s="152" t="n">
        <f aca="false">C44-B44</f>
        <v>0</v>
      </c>
      <c r="E44" s="158" t="n">
        <f aca="false">IF(ABS(B44)&lt;0.5,"",D44/ABS(B44))</f>
        <v>0</v>
      </c>
    </row>
    <row r="45" customFormat="false" ht="15" hidden="false" customHeight="false" outlineLevel="0" collapsed="false">
      <c r="A45" s="151" t="str">
        <f aca="false">'Budget FY2027'!A45</f>
        <v>5900-3000 Charitable Contribution</v>
      </c>
      <c r="B45" s="152" t="n">
        <f aca="false">SUMPRODUCT(('Budget FY2027'!$C$4:$N$4&lt;=$B$2)*'Budget FY2027'!C45:N45)</f>
        <v>-252</v>
      </c>
      <c r="C45" s="152" t="n">
        <f aca="false">SUMPRODUCT(('Budget FY2027'!$C$4:$N$4&lt;=$B$2)*Model!N233:Y233)</f>
        <v>-252</v>
      </c>
      <c r="D45" s="152" t="n">
        <f aca="false">C45-B45</f>
        <v>0</v>
      </c>
      <c r="E45" s="158" t="n">
        <f aca="false">IF(ABS(B45)&lt;0.5,"",D45/ABS(B45))</f>
        <v>0</v>
      </c>
    </row>
    <row r="46" customFormat="false" ht="15" hidden="false" customHeight="false" outlineLevel="0" collapsed="false">
      <c r="A46" s="151" t="str">
        <f aca="false">'Budget FY2027'!A46</f>
        <v>BD Commission</v>
      </c>
      <c r="B46" s="152" t="n">
        <f aca="false">SUMPRODUCT(('Budget FY2027'!$C$4:$N$4&lt;=$B$2)*'Budget FY2027'!C46:N46)</f>
        <v>-62565.83</v>
      </c>
      <c r="C46" s="152" t="n">
        <f aca="false">SUMPRODUCT(('Budget FY2027'!$C$4:$N$4&lt;=$B$2)*Model!N234:Y234)</f>
        <v>-62565.82645</v>
      </c>
      <c r="D46" s="152" t="n">
        <f aca="false">C46-B46</f>
        <v>0.00355000000854488</v>
      </c>
      <c r="E46" s="158" t="n">
        <f aca="false">IF(ABS(B46)&lt;0.5,"",D46/ABS(B46))</f>
        <v>5.67402367801224E-008</v>
      </c>
    </row>
    <row r="47" customFormat="false" ht="15" hidden="false" customHeight="false" outlineLevel="0" collapsed="false">
      <c r="A47" s="151" t="str">
        <f aca="false">'Budget FY2027'!A47</f>
        <v>8200-2000 State Tax and Fees</v>
      </c>
      <c r="B47" s="152" t="n">
        <f aca="false">SUMPRODUCT(('Budget FY2027'!$C$4:$N$4&lt;=$B$2)*'Budget FY2027'!C47:N47)</f>
        <v>-15000</v>
      </c>
      <c r="C47" s="152" t="n">
        <f aca="false">SUMPRODUCT(('Budget FY2027'!$C$4:$N$4&lt;=$B$2)*Model!N235:Y235)</f>
        <v>-15000</v>
      </c>
      <c r="D47" s="152" t="n">
        <f aca="false">C47-B47</f>
        <v>0</v>
      </c>
      <c r="E47" s="158" t="n">
        <f aca="false">IF(ABS(B47)&lt;0.5,"",D47/ABS(B47))</f>
        <v>0</v>
      </c>
    </row>
    <row r="48" customFormat="false" ht="15" hidden="false" customHeight="false" outlineLevel="0" collapsed="false">
      <c r="A48" s="154" t="str">
        <f aca="false">'Budget FY2027'!A48</f>
        <v>Total GC Costs</v>
      </c>
      <c r="B48" s="155" t="n">
        <f aca="false">SUMPRODUCT(('Budget FY2027'!$C$4:$N$4&lt;=$B$2)*'Budget FY2027'!C48:N48)</f>
        <v>-6150914.9</v>
      </c>
      <c r="C48" s="155" t="n">
        <f aca="false">SUMPRODUCT(('Budget FY2027'!$C$4:$N$4&lt;=$B$2)*Model!N236:Y236)</f>
        <v>-6150914.88245</v>
      </c>
      <c r="D48" s="155" t="n">
        <f aca="false">C48-B48</f>
        <v>0.0175500009208918</v>
      </c>
      <c r="E48" s="158" t="n">
        <f aca="false">IF(ABS(B48)&lt;0.5,"",D48/ABS(B48))</f>
        <v>2.85323422713778E-009</v>
      </c>
    </row>
    <row r="49" customFormat="false" ht="15" hidden="false" customHeight="false" outlineLevel="0" collapsed="false">
      <c r="A49" s="154" t="str">
        <f aca="false">'Budget FY2027'!A49</f>
        <v>GC Net Income</v>
      </c>
      <c r="B49" s="155" t="n">
        <f aca="false">SUMPRODUCT(('Budget FY2027'!$C$4:$N$4&lt;=$B$2)*'Budget FY2027'!C49:N49)</f>
        <v>4738017.04</v>
      </c>
      <c r="C49" s="155" t="n">
        <f aca="false">SUMPRODUCT(('Budget FY2027'!$C$4:$N$4&lt;=$B$2)*Model!N237:Y237)</f>
        <v>4738017.01603555</v>
      </c>
      <c r="D49" s="155" t="n">
        <f aca="false">C49-B49</f>
        <v>-0.023964449763298</v>
      </c>
      <c r="E49" s="158" t="n">
        <f aca="false">IF(ABS(B49)&lt;0.5,"",D49/ABS(B49))</f>
        <v>-5.05790704444111E-009</v>
      </c>
    </row>
    <row r="50" customFormat="false" ht="15" hidden="false" customHeight="false" outlineLevel="0" collapsed="false">
      <c r="A50" s="149" t="s">
        <v>547</v>
      </c>
      <c r="B50" s="150"/>
      <c r="C50" s="150"/>
      <c r="D50" s="150"/>
      <c r="E50" s="150"/>
    </row>
    <row r="51" customFormat="false" ht="15" hidden="false" customHeight="false" outlineLevel="0" collapsed="false">
      <c r="A51" s="151" t="str">
        <f aca="false">'Budget FY2027'!A51</f>
        <v>Edgemont Management Fee</v>
      </c>
      <c r="B51" s="152" t="n">
        <f aca="false">SUMPRODUCT(('Budget FY2027'!$C$4:$N$4&lt;=$B$2)*'Budget FY2027'!C51:N51)</f>
        <v>0</v>
      </c>
      <c r="C51" s="152" t="n">
        <f aca="false">SUMPRODUCT(('Budget FY2027'!$C$4:$N$4&lt;=$B$2)*Model!N241:Y241)</f>
        <v>0</v>
      </c>
      <c r="D51" s="152" t="n">
        <f aca="false">C51-B51</f>
        <v>0</v>
      </c>
      <c r="E51" s="158" t="str">
        <f aca="false">IF(ABS(B51)&lt;0.5,"",D51/ABS(B51))</f>
        <v/>
      </c>
    </row>
    <row r="52" customFormat="false" ht="15" hidden="false" customHeight="false" outlineLevel="0" collapsed="false">
      <c r="A52" s="151" t="str">
        <f aca="false">'Budget FY2027'!A52</f>
        <v>Ramsgate Dev Fee - Construction</v>
      </c>
      <c r="B52" s="152" t="n">
        <f aca="false">SUMPRODUCT(('Budget FY2027'!$C$4:$N$4&lt;=$B$2)*'Budget FY2027'!C52:N52)</f>
        <v>143437.5</v>
      </c>
      <c r="C52" s="152" t="n">
        <f aca="false">SUMPRODUCT(('Budget FY2027'!$C$4:$N$4&lt;=$B$2)*Model!N242:Y242)</f>
        <v>143437.5</v>
      </c>
      <c r="D52" s="152" t="n">
        <f aca="false">C52-B52</f>
        <v>0</v>
      </c>
      <c r="E52" s="158" t="n">
        <f aca="false">IF(ABS(B52)&lt;0.5,"",D52/ABS(B52))</f>
        <v>0</v>
      </c>
    </row>
    <row r="53" customFormat="false" ht="15" hidden="false" customHeight="false" outlineLevel="0" collapsed="false">
      <c r="A53" s="151" t="str">
        <f aca="false">'Budget FY2027'!A53</f>
        <v>Ramsgate Dev Fee - 20% Occ</v>
      </c>
      <c r="B53" s="152" t="n">
        <f aca="false">SUMPRODUCT(('Budget FY2027'!$C$4:$N$4&lt;=$B$2)*'Budget FY2027'!C53:N53)</f>
        <v>57375</v>
      </c>
      <c r="C53" s="152" t="n">
        <f aca="false">SUMPRODUCT(('Budget FY2027'!$C$4:$N$4&lt;=$B$2)*Model!N243:Y243)</f>
        <v>57375</v>
      </c>
      <c r="D53" s="152" t="n">
        <f aca="false">C53-B53</f>
        <v>0</v>
      </c>
      <c r="E53" s="158" t="n">
        <f aca="false">IF(ABS(B53)&lt;0.5,"",D53/ABS(B53))</f>
        <v>0</v>
      </c>
    </row>
    <row r="54" customFormat="false" ht="15" hidden="false" customHeight="false" outlineLevel="0" collapsed="false">
      <c r="A54" s="151" t="str">
        <f aca="false">'Budget FY2027'!A54</f>
        <v>Ramsgate Dev Fee - 50% Occ</v>
      </c>
      <c r="B54" s="152" t="n">
        <f aca="false">SUMPRODUCT(('Budget FY2027'!$C$4:$N$4&lt;=$B$2)*'Budget FY2027'!C54:N54)</f>
        <v>0</v>
      </c>
      <c r="C54" s="152" t="n">
        <f aca="false">SUMPRODUCT(('Budget FY2027'!$C$4:$N$4&lt;=$B$2)*Model!N244:Y244)</f>
        <v>0</v>
      </c>
      <c r="D54" s="152" t="n">
        <f aca="false">C54-B54</f>
        <v>0</v>
      </c>
      <c r="E54" s="158" t="str">
        <f aca="false">IF(ABS(B54)&lt;0.5,"",D54/ABS(B54))</f>
        <v/>
      </c>
    </row>
    <row r="55" customFormat="false" ht="15" hidden="false" customHeight="false" outlineLevel="0" collapsed="false">
      <c r="A55" s="151" t="str">
        <f aca="false">'Budget FY2027'!A55</f>
        <v>Ramsgate Dev Fee - 90% Occ</v>
      </c>
      <c r="B55" s="152" t="n">
        <f aca="false">SUMPRODUCT(('Budget FY2027'!$C$4:$N$4&lt;=$B$2)*'Budget FY2027'!C55:N55)</f>
        <v>0</v>
      </c>
      <c r="C55" s="152" t="n">
        <f aca="false">SUMPRODUCT(('Budget FY2027'!$C$4:$N$4&lt;=$B$2)*Model!N245:Y245)</f>
        <v>0</v>
      </c>
      <c r="D55" s="152" t="n">
        <f aca="false">C55-B55</f>
        <v>0</v>
      </c>
      <c r="E55" s="158" t="str">
        <f aca="false">IF(ABS(B55)&lt;0.5,"",D55/ABS(B55))</f>
        <v/>
      </c>
    </row>
    <row r="56" customFormat="false" ht="15" hidden="false" customHeight="false" outlineLevel="0" collapsed="false">
      <c r="A56" s="151" t="str">
        <f aca="false">'Budget FY2027'!A56</f>
        <v>Crenshaw Development Fee</v>
      </c>
      <c r="B56" s="152" t="n">
        <f aca="false">SUMPRODUCT(('Budget FY2027'!$C$4:$N$4&lt;=$B$2)*'Budget FY2027'!C56:N56)</f>
        <v>0</v>
      </c>
      <c r="C56" s="152" t="n">
        <f aca="false">SUMPRODUCT(('Budget FY2027'!$C$4:$N$4&lt;=$B$2)*Model!N246:Y246)</f>
        <v>0</v>
      </c>
      <c r="D56" s="152" t="n">
        <f aca="false">C56-B56</f>
        <v>0</v>
      </c>
      <c r="E56" s="158" t="str">
        <f aca="false">IF(ABS(B56)&lt;0.5,"",D56/ABS(B56))</f>
        <v/>
      </c>
    </row>
    <row r="57" customFormat="false" ht="15" hidden="false" customHeight="false" outlineLevel="0" collapsed="false">
      <c r="A57" s="151" t="str">
        <f aca="false">'Budget FY2027'!A57</f>
        <v>12th &amp; Fir Developer Fee</v>
      </c>
      <c r="B57" s="152" t="n">
        <f aca="false">SUMPRODUCT(('Budget FY2027'!$C$4:$N$4&lt;=$B$2)*'Budget FY2027'!C57:N57)</f>
        <v>114000</v>
      </c>
      <c r="C57" s="152" t="n">
        <f aca="false">SUMPRODUCT(('Budget FY2027'!$C$4:$N$4&lt;=$B$2)*Model!N247:Y247)</f>
        <v>114000</v>
      </c>
      <c r="D57" s="152" t="n">
        <f aca="false">C57-B57</f>
        <v>0</v>
      </c>
      <c r="E57" s="158" t="n">
        <f aca="false">IF(ABS(B57)&lt;0.5,"",D57/ABS(B57))</f>
        <v>0</v>
      </c>
    </row>
    <row r="58" customFormat="false" ht="15" hidden="false" customHeight="false" outlineLevel="0" collapsed="false">
      <c r="A58" s="151" t="str">
        <f aca="false">'Budget FY2027'!A58</f>
        <v>Klump Accounting Fee (retired 3 Oct 2026)</v>
      </c>
      <c r="B58" s="152" t="n">
        <f aca="false">SUMPRODUCT(('Budget FY2027'!$C$4:$N$4&lt;=$B$2)*'Budget FY2027'!C58:N58)</f>
        <v>0</v>
      </c>
      <c r="C58" s="152" t="n">
        <f aca="false">SUMPRODUCT(('Budget FY2027'!$C$4:$N$4&lt;=$B$2)*Model!N248:Y248)</f>
        <v>0</v>
      </c>
      <c r="D58" s="152" t="n">
        <f aca="false">C58-B58</f>
        <v>0</v>
      </c>
      <c r="E58" s="158" t="str">
        <f aca="false">IF(ABS(B58)&lt;0.5,"",D58/ABS(B58))</f>
        <v/>
      </c>
    </row>
    <row r="59" customFormat="false" ht="15" hidden="false" customHeight="false" outlineLevel="0" collapsed="false">
      <c r="A59" s="151" t="str">
        <f aca="false">'Budget FY2027'!A59</f>
        <v>Klump Developer Fee</v>
      </c>
      <c r="B59" s="152" t="n">
        <f aca="false">SUMPRODUCT(('Budget FY2027'!$C$4:$N$4&lt;=$B$2)*'Budget FY2027'!C59:N59)</f>
        <v>34736.79</v>
      </c>
      <c r="C59" s="152" t="n">
        <f aca="false">SUMPRODUCT(('Budget FY2027'!$C$4:$N$4&lt;=$B$2)*Model!N249:Y249)</f>
        <v>34736.8421052632</v>
      </c>
      <c r="D59" s="152" t="n">
        <f aca="false">C59-B59</f>
        <v>0.0521052631593193</v>
      </c>
      <c r="E59" s="158" t="n">
        <f aca="false">IF(ABS(B59)&lt;0.5,"",D59/ABS(B59))</f>
        <v>1.50000225004438E-006</v>
      </c>
    </row>
    <row r="60" customFormat="false" ht="15" hidden="false" customHeight="false" outlineLevel="0" collapsed="false">
      <c r="A60" s="151" t="str">
        <f aca="false">'Budget FY2027'!A60</f>
        <v>Klump Guarantee Fee (retired 3 Oct 2026)</v>
      </c>
      <c r="B60" s="152" t="n">
        <f aca="false">SUMPRODUCT(('Budget FY2027'!$C$4:$N$4&lt;=$B$2)*'Budget FY2027'!C60:N60)</f>
        <v>0</v>
      </c>
      <c r="C60" s="152" t="n">
        <f aca="false">SUMPRODUCT(('Budget FY2027'!$C$4:$N$4&lt;=$B$2)*Model!N250:Y250)</f>
        <v>0</v>
      </c>
      <c r="D60" s="152" t="n">
        <f aca="false">C60-B60</f>
        <v>0</v>
      </c>
      <c r="E60" s="158" t="str">
        <f aca="false">IF(ABS(B60)&lt;0.5,"",D60/ABS(B60))</f>
        <v/>
      </c>
    </row>
    <row r="61" customFormat="false" ht="15" hidden="false" customHeight="false" outlineLevel="0" collapsed="false">
      <c r="A61" s="151" t="str">
        <f aca="false">'Budget FY2027'!A61</f>
        <v>Scott Accounting Fee (retired 3 Oct 2026)</v>
      </c>
      <c r="B61" s="152" t="n">
        <f aca="false">SUMPRODUCT(('Budget FY2027'!$C$4:$N$4&lt;=$B$2)*'Budget FY2027'!C61:N61)</f>
        <v>0</v>
      </c>
      <c r="C61" s="152" t="n">
        <f aca="false">SUMPRODUCT(('Budget FY2027'!$C$4:$N$4&lt;=$B$2)*Model!N251:Y251)</f>
        <v>0</v>
      </c>
      <c r="D61" s="152" t="n">
        <f aca="false">C61-B61</f>
        <v>0</v>
      </c>
      <c r="E61" s="158" t="str">
        <f aca="false">IF(ABS(B61)&lt;0.5,"",D61/ABS(B61))</f>
        <v/>
      </c>
    </row>
    <row r="62" customFormat="false" ht="15" hidden="false" customHeight="false" outlineLevel="0" collapsed="false">
      <c r="A62" s="151" t="str">
        <f aca="false">'Budget FY2027'!A62</f>
        <v>Scott Developer Fee</v>
      </c>
      <c r="B62" s="152" t="n">
        <f aca="false">SUMPRODUCT(('Budget FY2027'!$C$4:$N$4&lt;=$B$2)*'Budget FY2027'!C62:N62)</f>
        <v>37894.68</v>
      </c>
      <c r="C62" s="152" t="n">
        <f aca="false">SUMPRODUCT(('Budget FY2027'!$C$4:$N$4&lt;=$B$2)*Model!N252:Y252)</f>
        <v>37894.7368421053</v>
      </c>
      <c r="D62" s="152" t="n">
        <f aca="false">C62-B62</f>
        <v>0.0568421052666963</v>
      </c>
      <c r="E62" s="158" t="n">
        <f aca="false">IF(ABS(B62)&lt;0.5,"",D62/ABS(B62))</f>
        <v>1.50000225009675E-006</v>
      </c>
    </row>
    <row r="63" customFormat="false" ht="15" hidden="false" customHeight="false" outlineLevel="0" collapsed="false">
      <c r="A63" s="151" t="str">
        <f aca="false">'Budget FY2027'!A63</f>
        <v>Scott Guarantee Fee (retired 3 Oct 2026)</v>
      </c>
      <c r="B63" s="152" t="n">
        <f aca="false">SUMPRODUCT(('Budget FY2027'!$C$4:$N$4&lt;=$B$2)*'Budget FY2027'!C63:N63)</f>
        <v>0</v>
      </c>
      <c r="C63" s="152" t="n">
        <f aca="false">SUMPRODUCT(('Budget FY2027'!$C$4:$N$4&lt;=$B$2)*Model!N253:Y253)</f>
        <v>0</v>
      </c>
      <c r="D63" s="152" t="n">
        <f aca="false">C63-B63</f>
        <v>0</v>
      </c>
      <c r="E63" s="158" t="str">
        <f aca="false">IF(ABS(B63)&lt;0.5,"",D63/ABS(B63))</f>
        <v/>
      </c>
    </row>
    <row r="64" customFormat="false" ht="15" hidden="false" customHeight="false" outlineLevel="0" collapsed="false">
      <c r="A64" s="151" t="str">
        <f aca="false">'Budget FY2027'!A64</f>
        <v>Francis LIHTC Revenue (SP Share)</v>
      </c>
      <c r="B64" s="152" t="n">
        <f aca="false">SUMPRODUCT(('Budget FY2027'!$C$4:$N$4&lt;=$B$2)*'Budget FY2027'!C64:N64)</f>
        <v>0</v>
      </c>
      <c r="C64" s="152" t="n">
        <f aca="false">SUMPRODUCT(('Budget FY2027'!$C$4:$N$4&lt;=$B$2)*Model!N254:Y254)</f>
        <v>0</v>
      </c>
      <c r="D64" s="152" t="n">
        <f aca="false">C64-B64</f>
        <v>0</v>
      </c>
      <c r="E64" s="158" t="str">
        <f aca="false">IF(ABS(B64)&lt;0.5,"",D64/ABS(B64))</f>
        <v/>
      </c>
    </row>
    <row r="65" customFormat="false" ht="15" hidden="false" customHeight="false" outlineLevel="0" collapsed="false">
      <c r="A65" s="151" t="str">
        <f aca="false">'Budget FY2027'!A65</f>
        <v>Reseda LIHTC Revenue (SP Share)</v>
      </c>
      <c r="B65" s="152" t="n">
        <f aca="false">SUMPRODUCT(('Budget FY2027'!$C$4:$N$4&lt;=$B$2)*'Budget FY2027'!C65:N65)</f>
        <v>0</v>
      </c>
      <c r="C65" s="152" t="n">
        <f aca="false">SUMPRODUCT(('Budget FY2027'!$C$4:$N$4&lt;=$B$2)*Model!N255:Y255)</f>
        <v>0</v>
      </c>
      <c r="D65" s="152" t="n">
        <f aca="false">C65-B65</f>
        <v>0</v>
      </c>
      <c r="E65" s="158" t="str">
        <f aca="false">IF(ABS(B65)&lt;0.5,"",D65/ABS(B65))</f>
        <v/>
      </c>
    </row>
    <row r="66" customFormat="false" ht="15" hidden="false" customHeight="false" outlineLevel="0" collapsed="false">
      <c r="A66" s="151" t="str">
        <f aca="false">'Budget FY2027'!A66</f>
        <v>3rd St LIHTC Revenue (SP Share)</v>
      </c>
      <c r="B66" s="152" t="n">
        <f aca="false">SUMPRODUCT(('Budget FY2027'!$C$4:$N$4&lt;=$B$2)*'Budget FY2027'!C66:N66)</f>
        <v>0</v>
      </c>
      <c r="C66" s="152" t="n">
        <f aca="false">SUMPRODUCT(('Budget FY2027'!$C$4:$N$4&lt;=$B$2)*Model!N256:Y256)</f>
        <v>0</v>
      </c>
      <c r="D66" s="152" t="n">
        <f aca="false">C66-B66</f>
        <v>0</v>
      </c>
      <c r="E66" s="158" t="str">
        <f aca="false">IF(ABS(B66)&lt;0.5,"",D66/ABS(B66))</f>
        <v/>
      </c>
    </row>
    <row r="67" customFormat="false" ht="15" hidden="false" customHeight="false" outlineLevel="0" collapsed="false">
      <c r="A67" s="151" t="str">
        <f aca="false">'Budget FY2027'!A67</f>
        <v>Uplifters (retired 13 Oct 2026: program dropped; actuals only)</v>
      </c>
      <c r="B67" s="152" t="n">
        <f aca="false">SUMPRODUCT(('Budget FY2027'!$C$4:$N$4&lt;=$B$2)*'Budget FY2027'!C67:N67)</f>
        <v>0</v>
      </c>
      <c r="C67" s="152" t="n">
        <f aca="false">SUMPRODUCT(('Budget FY2027'!$C$4:$N$4&lt;=$B$2)*Model!N257:Y257)</f>
        <v>0</v>
      </c>
      <c r="D67" s="152" t="n">
        <f aca="false">C67-B67</f>
        <v>0</v>
      </c>
      <c r="E67" s="158" t="str">
        <f aca="false">IF(ABS(B67)&lt;0.5,"",D67/ABS(B67))</f>
        <v/>
      </c>
    </row>
    <row r="68" customFormat="false" ht="15" hidden="false" customHeight="false" outlineLevel="0" collapsed="false">
      <c r="A68" s="151" t="str">
        <f aca="false">'Budget FY2027'!A68</f>
        <v>Non-Cash Revenue Items</v>
      </c>
      <c r="B68" s="152" t="n">
        <f aca="false">SUMPRODUCT(('Budget FY2027'!$C$4:$N$4&lt;=$B$2)*'Budget FY2027'!C68:N68)</f>
        <v>0</v>
      </c>
      <c r="C68" s="152" t="n">
        <f aca="false">SUMPRODUCT(('Budget FY2027'!$C$4:$N$4&lt;=$B$2)*Model!N258:Y258)</f>
        <v>0</v>
      </c>
      <c r="D68" s="152" t="n">
        <f aca="false">C68-B68</f>
        <v>0</v>
      </c>
      <c r="E68" s="158" t="str">
        <f aca="false">IF(ABS(B68)&lt;0.5,"",D68/ABS(B68))</f>
        <v/>
      </c>
    </row>
    <row r="69" customFormat="false" ht="15" hidden="false" customHeight="false" outlineLevel="0" collapsed="false">
      <c r="A69" s="151" t="str">
        <f aca="false">'Budget FY2027'!A69</f>
        <v>Less: Non-Cash Revenue Items (retired 16-Oct-26: non-cash revenue stays in net income; removed from cash in row 373)</v>
      </c>
      <c r="B69" s="152" t="n">
        <f aca="false">SUMPRODUCT(('Budget FY2027'!$C$4:$N$4&lt;=$B$2)*'Budget FY2027'!C69:N69)</f>
        <v>0</v>
      </c>
      <c r="C69" s="152" t="n">
        <f aca="false">SUMPRODUCT(('Budget FY2027'!$C$4:$N$4&lt;=$B$2)*Model!N259:Y259)</f>
        <v>0</v>
      </c>
      <c r="D69" s="152" t="n">
        <f aca="false">C69-B69</f>
        <v>0</v>
      </c>
      <c r="E69" s="158" t="str">
        <f aca="false">IF(ABS(B69)&lt;0.5,"",D69/ABS(B69))</f>
        <v/>
      </c>
    </row>
    <row r="70" customFormat="false" ht="15" hidden="false" customHeight="false" outlineLevel="0" collapsed="false">
      <c r="A70" s="151" t="str">
        <f aca="false">'Budget FY2027'!A70</f>
        <v>APA LLP (retired: APA Inc. in SUBSIDIARIES block, row 298)</v>
      </c>
      <c r="B70" s="152" t="n">
        <f aca="false">SUMPRODUCT(('Budget FY2027'!$C$4:$N$4&lt;=$B$2)*'Budget FY2027'!C70:N70)</f>
        <v>0</v>
      </c>
      <c r="C70" s="152" t="n">
        <f aca="false">SUMPRODUCT(('Budget FY2027'!$C$4:$N$4&lt;=$B$2)*Model!N260:Y260)</f>
        <v>0</v>
      </c>
      <c r="D70" s="152" t="n">
        <f aca="false">C70-B70</f>
        <v>0</v>
      </c>
      <c r="E70" s="158" t="str">
        <f aca="false">IF(ABS(B70)&lt;0.5,"",D70/ABS(B70))</f>
        <v/>
      </c>
    </row>
    <row r="71" customFormat="false" ht="15" hidden="false" customHeight="false" outlineLevel="0" collapsed="false">
      <c r="A71" s="154" t="str">
        <f aca="false">'Budget FY2027'!A71</f>
        <v>Total Six Peak Revenue</v>
      </c>
      <c r="B71" s="155" t="n">
        <f aca="false">SUMPRODUCT(('Budget FY2027'!$C$4:$N$4&lt;=$B$2)*'Budget FY2027'!C71:N71)</f>
        <v>387444.08</v>
      </c>
      <c r="C71" s="155" t="n">
        <f aca="false">SUMPRODUCT(('Budget FY2027'!$C$4:$N$4&lt;=$B$2)*Model!N261:Y261)</f>
        <v>387444.078947368</v>
      </c>
      <c r="D71" s="155" t="n">
        <f aca="false">C71-B71</f>
        <v>-0.00105263158911839</v>
      </c>
      <c r="E71" s="158" t="n">
        <f aca="false">IF(ABS(B71)&lt;0.5,"",D71/ABS(B71))</f>
        <v>-2.71686068636896E-009</v>
      </c>
    </row>
    <row r="72" customFormat="false" ht="15" hidden="false" customHeight="false" outlineLevel="0" collapsed="false">
      <c r="A72" s="151" t="str">
        <f aca="false">'Budget FY2027'!A72</f>
        <v>5000-1000 Payroll</v>
      </c>
      <c r="B72" s="152" t="n">
        <f aca="false">SUMPRODUCT(('Budget FY2027'!$C$4:$N$4&lt;=$B$2)*'Budget FY2027'!C72:N72)</f>
        <v>-657500.04</v>
      </c>
      <c r="C72" s="152" t="n">
        <f aca="false">SUMPRODUCT(('Budget FY2027'!$C$4:$N$4&lt;=$B$2)*Model!N263:Y263)</f>
        <v>-657500</v>
      </c>
      <c r="D72" s="152" t="n">
        <f aca="false">C72-B72</f>
        <v>0.0400000000372529</v>
      </c>
      <c r="E72" s="158" t="n">
        <f aca="false">IF(ABS(B72)&lt;0.5,"",D72/ABS(B72))</f>
        <v>6.08364982567194E-008</v>
      </c>
    </row>
    <row r="73" customFormat="false" ht="15" hidden="false" customHeight="false" outlineLevel="0" collapsed="false">
      <c r="A73" s="151" t="str">
        <f aca="false">'Budget FY2027'!A73</f>
        <v>5000-1001 Payroll Taxes</v>
      </c>
      <c r="B73" s="152" t="n">
        <f aca="false">SUMPRODUCT(('Budget FY2027'!$C$4:$N$4&lt;=$B$2)*'Budget FY2027'!C73:N73)</f>
        <v>-46025.04</v>
      </c>
      <c r="C73" s="152" t="n">
        <f aca="false">SUMPRODUCT(('Budget FY2027'!$C$4:$N$4&lt;=$B$2)*Model!N264:Y264)</f>
        <v>-46025</v>
      </c>
      <c r="D73" s="152" t="n">
        <f aca="false">C73-B73</f>
        <v>0.0400000000008731</v>
      </c>
      <c r="E73" s="158" t="n">
        <f aca="false">IF(ABS(B73)&lt;0.5,"",D73/ABS(B73))</f>
        <v>8.69092128999195E-007</v>
      </c>
    </row>
    <row r="74" customFormat="false" ht="15" hidden="false" customHeight="false" outlineLevel="0" collapsed="false">
      <c r="A74" s="151" t="str">
        <f aca="false">'Budget FY2027'!A74</f>
        <v>5000-1002 Employee Benefits</v>
      </c>
      <c r="B74" s="152" t="n">
        <f aca="false">SUMPRODUCT(('Budget FY2027'!$C$4:$N$4&lt;=$B$2)*'Budget FY2027'!C74:N74)</f>
        <v>-145656</v>
      </c>
      <c r="C74" s="152" t="n">
        <f aca="false">SUMPRODUCT(('Budget FY2027'!$C$4:$N$4&lt;=$B$2)*Model!N265:Y265)</f>
        <v>-145656</v>
      </c>
      <c r="D74" s="152" t="n">
        <f aca="false">C74-B74</f>
        <v>0</v>
      </c>
      <c r="E74" s="158" t="n">
        <f aca="false">IF(ABS(B74)&lt;0.5,"",D74/ABS(B74))</f>
        <v>0</v>
      </c>
    </row>
    <row r="75" customFormat="false" ht="15" hidden="false" customHeight="false" outlineLevel="0" collapsed="false">
      <c r="A75" s="151" t="str">
        <f aca="false">'Budget FY2027'!A75</f>
        <v>5000-1003 Workers Comp</v>
      </c>
      <c r="B75" s="152" t="n">
        <f aca="false">SUMPRODUCT(('Budget FY2027'!$C$4:$N$4&lt;=$B$2)*'Budget FY2027'!C75:N75)</f>
        <v>-13149.96</v>
      </c>
      <c r="C75" s="152" t="n">
        <f aca="false">SUMPRODUCT(('Budget FY2027'!$C$4:$N$4&lt;=$B$2)*Model!N266:Y266)</f>
        <v>-13150</v>
      </c>
      <c r="D75" s="152" t="n">
        <f aca="false">C75-B75</f>
        <v>-0.0400000000008731</v>
      </c>
      <c r="E75" s="158" t="n">
        <f aca="false">IF(ABS(B75)&lt;0.5,"",D75/ABS(B75))</f>
        <v>-3.04183434785149E-006</v>
      </c>
    </row>
    <row r="76" customFormat="false" ht="15" hidden="false" customHeight="false" outlineLevel="0" collapsed="false">
      <c r="A76" s="151" t="str">
        <f aca="false">'Budget FY2027'!A76</f>
        <v>5000-1005 Payroll Servicing Fees</v>
      </c>
      <c r="B76" s="152" t="n">
        <f aca="false">SUMPRODUCT(('Budget FY2027'!$C$4:$N$4&lt;=$B$2)*'Budget FY2027'!C76:N76)</f>
        <v>-3287.52</v>
      </c>
      <c r="C76" s="152" t="n">
        <f aca="false">SUMPRODUCT(('Budget FY2027'!$C$4:$N$4&lt;=$B$2)*Model!N267:Y267)</f>
        <v>-3287.5</v>
      </c>
      <c r="D76" s="152" t="n">
        <f aca="false">C76-B76</f>
        <v>0.0199999999995271</v>
      </c>
      <c r="E76" s="158" t="n">
        <f aca="false">IF(ABS(B76)&lt;0.5,"",D76/ABS(B76))</f>
        <v>6.08361317939574E-006</v>
      </c>
    </row>
    <row r="77" customFormat="false" ht="15" hidden="false" customHeight="false" outlineLevel="0" collapsed="false">
      <c r="A77" s="151" t="str">
        <f aca="false">'Budget FY2027'!A77</f>
        <v>5100-1000 Rent Expense</v>
      </c>
      <c r="B77" s="152" t="n">
        <f aca="false">SUMPRODUCT(('Budget FY2027'!$C$4:$N$4&lt;=$B$2)*'Budget FY2027'!C77:N77)</f>
        <v>-68750</v>
      </c>
      <c r="C77" s="152" t="n">
        <f aca="false">SUMPRODUCT(('Budget FY2027'!$C$4:$N$4&lt;=$B$2)*Model!N268:Y268)</f>
        <v>-68750</v>
      </c>
      <c r="D77" s="152" t="n">
        <f aca="false">C77-B77</f>
        <v>0</v>
      </c>
      <c r="E77" s="158" t="n">
        <f aca="false">IF(ABS(B77)&lt;0.5,"",D77/ABS(B77))</f>
        <v>0</v>
      </c>
    </row>
    <row r="78" customFormat="false" ht="15" hidden="false" customHeight="false" outlineLevel="0" collapsed="false">
      <c r="A78" s="151" t="str">
        <f aca="false">'Budget FY2027'!A78</f>
        <v>5200-1000 Office Supplies and Expenses</v>
      </c>
      <c r="B78" s="152" t="n">
        <f aca="false">SUMPRODUCT(('Budget FY2027'!$C$4:$N$4&lt;=$B$2)*'Budget FY2027'!C78:N78)</f>
        <v>-7005.6</v>
      </c>
      <c r="C78" s="152" t="n">
        <f aca="false">SUMPRODUCT(('Budget FY2027'!$C$4:$N$4&lt;=$B$2)*Model!N269:Y269)</f>
        <v>-7005.6</v>
      </c>
      <c r="D78" s="152" t="n">
        <f aca="false">C78-B78</f>
        <v>0</v>
      </c>
      <c r="E78" s="158" t="n">
        <f aca="false">IF(ABS(B78)&lt;0.5,"",D78/ABS(B78))</f>
        <v>0</v>
      </c>
    </row>
    <row r="79" customFormat="false" ht="15" hidden="false" customHeight="false" outlineLevel="0" collapsed="false">
      <c r="A79" s="151" t="str">
        <f aca="false">'Budget FY2027'!A79</f>
        <v>5200-1053 IT Software and Subscriptions</v>
      </c>
      <c r="B79" s="152" t="n">
        <f aca="false">SUMPRODUCT(('Budget FY2027'!$C$4:$N$4&lt;=$B$2)*'Budget FY2027'!C79:N79)</f>
        <v>-17974.32</v>
      </c>
      <c r="C79" s="152" t="n">
        <f aca="false">SUMPRODUCT(('Budget FY2027'!$C$4:$N$4&lt;=$B$2)*Model!N270:Y270)</f>
        <v>-17974.32</v>
      </c>
      <c r="D79" s="152" t="n">
        <f aca="false">C79-B79</f>
        <v>0</v>
      </c>
      <c r="E79" s="158" t="n">
        <f aca="false">IF(ABS(B79)&lt;0.5,"",D79/ABS(B79))</f>
        <v>0</v>
      </c>
    </row>
    <row r="80" customFormat="false" ht="15" hidden="false" customHeight="false" outlineLevel="0" collapsed="false">
      <c r="A80" s="151" t="str">
        <f aca="false">'Budget FY2027'!A80</f>
        <v>5200-1060 Website Design</v>
      </c>
      <c r="B80" s="152" t="n">
        <f aca="false">SUMPRODUCT(('Budget FY2027'!$C$4:$N$4&lt;=$B$2)*'Budget FY2027'!C80:N80)</f>
        <v>-3480</v>
      </c>
      <c r="C80" s="152" t="n">
        <f aca="false">SUMPRODUCT(('Budget FY2027'!$C$4:$N$4&lt;=$B$2)*Model!N271:Y271)</f>
        <v>-3480</v>
      </c>
      <c r="D80" s="152" t="n">
        <f aca="false">C80-B80</f>
        <v>0</v>
      </c>
      <c r="E80" s="158" t="n">
        <f aca="false">IF(ABS(B80)&lt;0.5,"",D80/ABS(B80))</f>
        <v>0</v>
      </c>
    </row>
    <row r="81" customFormat="false" ht="15" hidden="false" customHeight="false" outlineLevel="0" collapsed="false">
      <c r="A81" s="151" t="str">
        <f aca="false">'Budget FY2027'!A81</f>
        <v>5200-1061 Website Hosting</v>
      </c>
      <c r="B81" s="152" t="n">
        <f aca="false">SUMPRODUCT(('Budget FY2027'!$C$4:$N$4&lt;=$B$2)*'Budget FY2027'!C81:N81)</f>
        <v>-2940</v>
      </c>
      <c r="C81" s="152" t="n">
        <f aca="false">SUMPRODUCT(('Budget FY2027'!$C$4:$N$4&lt;=$B$2)*Model!N272:Y272)</f>
        <v>-2940</v>
      </c>
      <c r="D81" s="152" t="n">
        <f aca="false">C81-B81</f>
        <v>0</v>
      </c>
      <c r="E81" s="158" t="n">
        <f aca="false">IF(ABS(B81)&lt;0.5,"",D81/ABS(B81))</f>
        <v>0</v>
      </c>
    </row>
    <row r="82" customFormat="false" ht="15" hidden="false" customHeight="false" outlineLevel="0" collapsed="false">
      <c r="A82" s="151" t="str">
        <f aca="false">'Budget FY2027'!A82</f>
        <v>5300-1000 Travel and Lodging</v>
      </c>
      <c r="B82" s="152" t="n">
        <f aca="false">SUMPRODUCT(('Budget FY2027'!$C$4:$N$4&lt;=$B$2)*'Budget FY2027'!C82:N82)</f>
        <v>-14154</v>
      </c>
      <c r="C82" s="152" t="n">
        <f aca="false">SUMPRODUCT(('Budget FY2027'!$C$4:$N$4&lt;=$B$2)*Model!N273:Y273)</f>
        <v>-14154</v>
      </c>
      <c r="D82" s="152" t="n">
        <f aca="false">C82-B82</f>
        <v>0</v>
      </c>
      <c r="E82" s="158" t="n">
        <f aca="false">IF(ABS(B82)&lt;0.5,"",D82/ABS(B82))</f>
        <v>0</v>
      </c>
    </row>
    <row r="83" customFormat="false" ht="15" hidden="false" customHeight="false" outlineLevel="0" collapsed="false">
      <c r="A83" s="151" t="str">
        <f aca="false">'Budget FY2027'!A83</f>
        <v>5300-1001 Public Transportation</v>
      </c>
      <c r="B83" s="152" t="n">
        <f aca="false">SUMPRODUCT(('Budget FY2027'!$C$4:$N$4&lt;=$B$2)*'Budget FY2027'!C83:N83)</f>
        <v>-4395.6</v>
      </c>
      <c r="C83" s="152" t="n">
        <f aca="false">SUMPRODUCT(('Budget FY2027'!$C$4:$N$4&lt;=$B$2)*Model!N274:Y274)</f>
        <v>-4395.6</v>
      </c>
      <c r="D83" s="152" t="n">
        <f aca="false">C83-B83</f>
        <v>0</v>
      </c>
      <c r="E83" s="158" t="n">
        <f aca="false">IF(ABS(B83)&lt;0.5,"",D83/ABS(B83))</f>
        <v>0</v>
      </c>
    </row>
    <row r="84" customFormat="false" ht="15" hidden="false" customHeight="false" outlineLevel="0" collapsed="false">
      <c r="A84" s="151" t="str">
        <f aca="false">'Budget FY2027'!A84</f>
        <v>5300-1002 Parking</v>
      </c>
      <c r="B84" s="152" t="n">
        <f aca="false">SUMPRODUCT(('Budget FY2027'!$C$4:$N$4&lt;=$B$2)*'Budget FY2027'!C84:N84)</f>
        <v>-600.84</v>
      </c>
      <c r="C84" s="152" t="n">
        <f aca="false">SUMPRODUCT(('Budget FY2027'!$C$4:$N$4&lt;=$B$2)*Model!N275:Y275)</f>
        <v>-600.84</v>
      </c>
      <c r="D84" s="152" t="n">
        <f aca="false">C84-B84</f>
        <v>0</v>
      </c>
      <c r="E84" s="158" t="n">
        <f aca="false">IF(ABS(B84)&lt;0.5,"",D84/ABS(B84))</f>
        <v>0</v>
      </c>
    </row>
    <row r="85" customFormat="false" ht="15" hidden="false" customHeight="false" outlineLevel="0" collapsed="false">
      <c r="A85" s="151" t="str">
        <f aca="false">'Budget FY2027'!A85</f>
        <v>5300-1050 Meals and Entertainment</v>
      </c>
      <c r="B85" s="152" t="n">
        <f aca="false">SUMPRODUCT(('Budget FY2027'!$C$4:$N$4&lt;=$B$2)*'Budget FY2027'!C85:N85)</f>
        <v>-10757.16</v>
      </c>
      <c r="C85" s="152" t="n">
        <f aca="false">SUMPRODUCT(('Budget FY2027'!$C$4:$N$4&lt;=$B$2)*Model!N276:Y276)</f>
        <v>-10757.16</v>
      </c>
      <c r="D85" s="152" t="n">
        <f aca="false">C85-B85</f>
        <v>0</v>
      </c>
      <c r="E85" s="158" t="n">
        <f aca="false">IF(ABS(B85)&lt;0.5,"",D85/ABS(B85))</f>
        <v>0</v>
      </c>
    </row>
    <row r="86" customFormat="false" ht="15" hidden="false" customHeight="false" outlineLevel="0" collapsed="false">
      <c r="A86" s="151" t="str">
        <f aca="false">'Budget FY2027'!A86</f>
        <v>5500-1000 Legal and Professional Fees</v>
      </c>
      <c r="B86" s="152" t="n">
        <f aca="false">SUMPRODUCT(('Budget FY2027'!$C$4:$N$4&lt;=$B$2)*'Budget FY2027'!C86:N86)</f>
        <v>-45000</v>
      </c>
      <c r="C86" s="152" t="n">
        <f aca="false">SUMPRODUCT(('Budget FY2027'!$C$4:$N$4&lt;=$B$2)*Model!N277:Y277)</f>
        <v>-45000</v>
      </c>
      <c r="D86" s="152" t="n">
        <f aca="false">C86-B86</f>
        <v>0</v>
      </c>
      <c r="E86" s="158" t="n">
        <f aca="false">IF(ABS(B86)&lt;0.5,"",D86/ABS(B86))</f>
        <v>0</v>
      </c>
    </row>
    <row r="87" customFormat="false" ht="15" hidden="false" customHeight="false" outlineLevel="0" collapsed="false">
      <c r="A87" s="151" t="str">
        <f aca="false">'Budget FY2027'!A87</f>
        <v>5500-1002 Accounting Consulting and Overhead</v>
      </c>
      <c r="B87" s="152" t="n">
        <f aca="false">SUMPRODUCT(('Budget FY2027'!$C$4:$N$4&lt;=$B$2)*'Budget FY2027'!C87:N87)</f>
        <v>-32104.68</v>
      </c>
      <c r="C87" s="152" t="n">
        <f aca="false">SUMPRODUCT(('Budget FY2027'!$C$4:$N$4&lt;=$B$2)*Model!N278:Y278)</f>
        <v>-32104.68</v>
      </c>
      <c r="D87" s="152" t="n">
        <f aca="false">C87-B87</f>
        <v>0</v>
      </c>
      <c r="E87" s="158" t="n">
        <f aca="false">IF(ABS(B87)&lt;0.5,"",D87/ABS(B87))</f>
        <v>0</v>
      </c>
    </row>
    <row r="88" customFormat="false" ht="15" hidden="false" customHeight="false" outlineLevel="0" collapsed="false">
      <c r="A88" s="151" t="str">
        <f aca="false">'Budget FY2027'!A88</f>
        <v>5500-1004 Consultants and Other Professional Expenses</v>
      </c>
      <c r="B88" s="152" t="n">
        <f aca="false">SUMPRODUCT(('Budget FY2027'!$C$4:$N$4&lt;=$B$2)*'Budget FY2027'!C88:N88)</f>
        <v>-336999.96</v>
      </c>
      <c r="C88" s="152" t="n">
        <f aca="false">SUMPRODUCT(('Budget FY2027'!$C$4:$N$4&lt;=$B$2)*Model!N279:Y279)</f>
        <v>-337000</v>
      </c>
      <c r="D88" s="152" t="n">
        <f aca="false">C88-B88</f>
        <v>-0.0399999999790452</v>
      </c>
      <c r="E88" s="158" t="n">
        <f aca="false">IF(ABS(B88)&lt;0.5,"",D88/ABS(B88))</f>
        <v>-1.18694376043977E-007</v>
      </c>
    </row>
    <row r="89" customFormat="false" ht="15" hidden="false" customHeight="false" outlineLevel="0" collapsed="false">
      <c r="A89" s="151" t="str">
        <f aca="false">'Budget FY2027'!A89</f>
        <v>5500-1007 Dues and Subscriptions</v>
      </c>
      <c r="B89" s="152" t="n">
        <f aca="false">SUMPRODUCT(('Budget FY2027'!$C$4:$N$4&lt;=$B$2)*'Budget FY2027'!C89:N89)</f>
        <v>-19034.04</v>
      </c>
      <c r="C89" s="152" t="n">
        <f aca="false">SUMPRODUCT(('Budget FY2027'!$C$4:$N$4&lt;=$B$2)*Model!N280:Y280)</f>
        <v>-19034.04</v>
      </c>
      <c r="D89" s="152" t="n">
        <f aca="false">C89-B89</f>
        <v>0</v>
      </c>
      <c r="E89" s="158" t="n">
        <f aca="false">IF(ABS(B89)&lt;0.5,"",D89/ABS(B89))</f>
        <v>0</v>
      </c>
    </row>
    <row r="90" customFormat="false" ht="15" hidden="false" customHeight="false" outlineLevel="0" collapsed="false">
      <c r="A90" s="151" t="str">
        <f aca="false">'Budget FY2027'!A90</f>
        <v>5500-1009 Entity Filing and Formation Fees</v>
      </c>
      <c r="B90" s="152" t="n">
        <f aca="false">SUMPRODUCT(('Budget FY2027'!$C$4:$N$4&lt;=$B$2)*'Budget FY2027'!C90:N90)</f>
        <v>-39999.96</v>
      </c>
      <c r="C90" s="152" t="n">
        <f aca="false">SUMPRODUCT(('Budget FY2027'!$C$4:$N$4&lt;=$B$2)*Model!N281:Y281)</f>
        <v>-39999.96</v>
      </c>
      <c r="D90" s="152" t="n">
        <f aca="false">C90-B90</f>
        <v>0</v>
      </c>
      <c r="E90" s="158" t="n">
        <f aca="false">IF(ABS(B90)&lt;0.5,"",D90/ABS(B90))</f>
        <v>0</v>
      </c>
    </row>
    <row r="91" customFormat="false" ht="15" hidden="false" customHeight="false" outlineLevel="0" collapsed="false">
      <c r="A91" s="151" t="str">
        <f aca="false">'Budget FY2027'!A91</f>
        <v>5500-1010 Investment Management Software</v>
      </c>
      <c r="B91" s="152" t="n">
        <f aca="false">SUMPRODUCT(('Budget FY2027'!$C$4:$N$4&lt;=$B$2)*'Budget FY2027'!C91:N91)</f>
        <v>-22863.72</v>
      </c>
      <c r="C91" s="152" t="n">
        <f aca="false">SUMPRODUCT(('Budget FY2027'!$C$4:$N$4&lt;=$B$2)*Model!N282:Y282)</f>
        <v>-22863.72</v>
      </c>
      <c r="D91" s="152" t="n">
        <f aca="false">C91-B91</f>
        <v>0</v>
      </c>
      <c r="E91" s="158" t="n">
        <f aca="false">IF(ABS(B91)&lt;0.5,"",D91/ABS(B91))</f>
        <v>0</v>
      </c>
    </row>
    <row r="92" customFormat="false" ht="15" hidden="false" customHeight="false" outlineLevel="0" collapsed="false">
      <c r="A92" s="151" t="str">
        <f aca="false">'Budget FY2027'!A92</f>
        <v>5500-1053 E&amp;O/D&amp;O Insurance</v>
      </c>
      <c r="B92" s="152" t="n">
        <f aca="false">SUMPRODUCT(('Budget FY2027'!$C$4:$N$4&lt;=$B$2)*'Budget FY2027'!C92:N92)</f>
        <v>-25200</v>
      </c>
      <c r="C92" s="152" t="n">
        <f aca="false">SUMPRODUCT(('Budget FY2027'!$C$4:$N$4&lt;=$B$2)*Model!N283:Y283)</f>
        <v>-25200</v>
      </c>
      <c r="D92" s="152" t="n">
        <f aca="false">C92-B92</f>
        <v>0</v>
      </c>
      <c r="E92" s="158" t="n">
        <f aca="false">IF(ABS(B92)&lt;0.5,"",D92/ABS(B92))</f>
        <v>0</v>
      </c>
    </row>
    <row r="93" customFormat="false" ht="15" hidden="false" customHeight="false" outlineLevel="0" collapsed="false">
      <c r="A93" s="151" t="str">
        <f aca="false">'Budget FY2027'!A93</f>
        <v>5800-1003 Consulting Fee</v>
      </c>
      <c r="B93" s="152" t="n">
        <f aca="false">SUMPRODUCT(('Budget FY2027'!$C$4:$N$4&lt;=$B$2)*'Budget FY2027'!C93:N93)</f>
        <v>-800000.04</v>
      </c>
      <c r="C93" s="152" t="n">
        <f aca="false">SUMPRODUCT(('Budget FY2027'!$C$4:$N$4&lt;=$B$2)*Model!N284:Y284)</f>
        <v>-800000</v>
      </c>
      <c r="D93" s="152" t="n">
        <f aca="false">C93-B93</f>
        <v>0.0400000000372529</v>
      </c>
      <c r="E93" s="158" t="n">
        <f aca="false">IF(ABS(B93)&lt;0.5,"",D93/ABS(B93))</f>
        <v>4.99999975465663E-008</v>
      </c>
    </row>
    <row r="94" customFormat="false" ht="15" hidden="false" customHeight="false" outlineLevel="0" collapsed="false">
      <c r="A94" s="151" t="str">
        <f aca="false">'Budget FY2027'!A94</f>
        <v>5900-1075 Miscellaneous Expense</v>
      </c>
      <c r="B94" s="152" t="n">
        <f aca="false">SUMPRODUCT(('Budget FY2027'!$C$4:$N$4&lt;=$B$2)*'Budget FY2027'!C94:N94)</f>
        <v>-39999.96</v>
      </c>
      <c r="C94" s="152" t="n">
        <f aca="false">SUMPRODUCT(('Budget FY2027'!$C$4:$N$4&lt;=$B$2)*Model!N285:Y285)</f>
        <v>-39999.96</v>
      </c>
      <c r="D94" s="152" t="n">
        <f aca="false">C94-B94</f>
        <v>0</v>
      </c>
      <c r="E94" s="158" t="n">
        <f aca="false">IF(ABS(B94)&lt;0.5,"",D94/ABS(B94))</f>
        <v>0</v>
      </c>
    </row>
    <row r="95" customFormat="false" ht="15" hidden="false" customHeight="false" outlineLevel="0" collapsed="false">
      <c r="A95" s="151" t="str">
        <f aca="false">'Budget FY2027'!A95</f>
        <v>5900-1080 Bank Service Charges</v>
      </c>
      <c r="B95" s="152" t="n">
        <f aca="false">SUMPRODUCT(('Budget FY2027'!$C$4:$N$4&lt;=$B$2)*'Budget FY2027'!C95:N95)</f>
        <v>-5359.56</v>
      </c>
      <c r="C95" s="152" t="n">
        <f aca="false">SUMPRODUCT(('Budget FY2027'!$C$4:$N$4&lt;=$B$2)*Model!N286:Y286)</f>
        <v>-5359.56</v>
      </c>
      <c r="D95" s="152" t="n">
        <f aca="false">C95-B95</f>
        <v>0</v>
      </c>
      <c r="E95" s="158" t="n">
        <f aca="false">IF(ABS(B95)&lt;0.5,"",D95/ABS(B95))</f>
        <v>0</v>
      </c>
    </row>
    <row r="96" customFormat="false" ht="15" hidden="false" customHeight="false" outlineLevel="0" collapsed="false">
      <c r="A96" s="151" t="str">
        <f aca="false">'Budget FY2027'!A96</f>
        <v>Steyn Group Guaranty Fee</v>
      </c>
      <c r="B96" s="152" t="n">
        <f aca="false">SUMPRODUCT(('Budget FY2027'!$C$4:$N$4&lt;=$B$2)*'Budget FY2027'!C96:N96)</f>
        <v>0</v>
      </c>
      <c r="C96" s="152" t="n">
        <f aca="false">SUMPRODUCT(('Budget FY2027'!$C$4:$N$4&lt;=$B$2)*Model!N287:Y287)</f>
        <v>0</v>
      </c>
      <c r="D96" s="152" t="n">
        <f aca="false">C96-B96</f>
        <v>0</v>
      </c>
      <c r="E96" s="158" t="str">
        <f aca="false">IF(ABS(B96)&lt;0.5,"",D96/ABS(B96))</f>
        <v/>
      </c>
    </row>
    <row r="97" customFormat="false" ht="15" hidden="false" customHeight="false" outlineLevel="0" collapsed="false">
      <c r="A97" s="151" t="str">
        <f aca="false">'Budget FY2027'!A97</f>
        <v>Steyn Liquidity Guarantee Fee</v>
      </c>
      <c r="B97" s="152" t="n">
        <f aca="false">SUMPRODUCT(('Budget FY2027'!$C$4:$N$4&lt;=$B$2)*'Budget FY2027'!C97:N97)</f>
        <v>0</v>
      </c>
      <c r="C97" s="152" t="n">
        <f aca="false">SUMPRODUCT(('Budget FY2027'!$C$4:$N$4&lt;=$B$2)*Model!N288:Y288)</f>
        <v>0</v>
      </c>
      <c r="D97" s="152" t="n">
        <f aca="false">C97-B97</f>
        <v>0</v>
      </c>
      <c r="E97" s="158" t="str">
        <f aca="false">IF(ABS(B97)&lt;0.5,"",D97/ABS(B97))</f>
        <v/>
      </c>
    </row>
    <row r="98" customFormat="false" ht="15" hidden="false" customHeight="false" outlineLevel="0" collapsed="false">
      <c r="A98" s="151" t="str">
        <f aca="false">'Budget FY2027'!A98</f>
        <v>Francis Steyn Fee + PIK (from LIHTC Revenue)</v>
      </c>
      <c r="B98" s="152" t="n">
        <f aca="false">SUMPRODUCT(('Budget FY2027'!$C$4:$N$4&lt;=$B$2)*'Budget FY2027'!C98:N98)</f>
        <v>0</v>
      </c>
      <c r="C98" s="152" t="n">
        <f aca="false">SUMPRODUCT(('Budget FY2027'!$C$4:$N$4&lt;=$B$2)*Model!N289:Y289)</f>
        <v>0</v>
      </c>
      <c r="D98" s="152" t="n">
        <f aca="false">C98-B98</f>
        <v>0</v>
      </c>
      <c r="E98" s="158" t="str">
        <f aca="false">IF(ABS(B98)&lt;0.5,"",D98/ABS(B98))</f>
        <v/>
      </c>
    </row>
    <row r="99" customFormat="false" ht="15" hidden="false" customHeight="false" outlineLevel="0" collapsed="false">
      <c r="A99" s="151" t="str">
        <f aca="false">'Budget FY2027'!A99</f>
        <v>Reseda Steyn Fee + PIK (from LIHTC Revenue)</v>
      </c>
      <c r="B99" s="152" t="n">
        <f aca="false">SUMPRODUCT(('Budget FY2027'!$C$4:$N$4&lt;=$B$2)*'Budget FY2027'!C99:N99)</f>
        <v>0</v>
      </c>
      <c r="C99" s="152" t="n">
        <f aca="false">SUMPRODUCT(('Budget FY2027'!$C$4:$N$4&lt;=$B$2)*Model!N290:Y290)</f>
        <v>0</v>
      </c>
      <c r="D99" s="152" t="n">
        <f aca="false">C99-B99</f>
        <v>0</v>
      </c>
      <c r="E99" s="158" t="str">
        <f aca="false">IF(ABS(B99)&lt;0.5,"",D99/ABS(B99))</f>
        <v/>
      </c>
    </row>
    <row r="100" customFormat="false" ht="15" hidden="false" customHeight="false" outlineLevel="0" collapsed="false">
      <c r="A100" s="151" t="str">
        <f aca="false">'Budget FY2027'!A100</f>
        <v>3rd St Steyn Fee + PIK (from LIHTC Revenue)</v>
      </c>
      <c r="B100" s="152" t="n">
        <f aca="false">SUMPRODUCT(('Budget FY2027'!$C$4:$N$4&lt;=$B$2)*'Budget FY2027'!C100:N100)</f>
        <v>0</v>
      </c>
      <c r="C100" s="152" t="n">
        <f aca="false">SUMPRODUCT(('Budget FY2027'!$C$4:$N$4&lt;=$B$2)*Model!N291:Y291)</f>
        <v>0</v>
      </c>
      <c r="D100" s="152" t="n">
        <f aca="false">C100-B100</f>
        <v>0</v>
      </c>
      <c r="E100" s="158" t="str">
        <f aca="false">IF(ABS(B100)&lt;0.5,"",D100/ABS(B100))</f>
        <v/>
      </c>
    </row>
    <row r="101" customFormat="false" ht="15" hidden="false" customHeight="false" outlineLevel="0" collapsed="false">
      <c r="A101" s="154" t="str">
        <f aca="false">'Budget FY2027'!A101</f>
        <v>Total Six Peak Expenses</v>
      </c>
      <c r="B101" s="155" t="n">
        <f aca="false">SUMPRODUCT(('Budget FY2027'!$C$4:$N$4&lt;=$B$2)*'Budget FY2027'!C101:N101)</f>
        <v>-2362237.88</v>
      </c>
      <c r="C101" s="155" t="n">
        <f aca="false">SUMPRODUCT(('Budget FY2027'!$C$4:$N$4&lt;=$B$2)*Model!N292:Y292)</f>
        <v>-2362237.94</v>
      </c>
      <c r="D101" s="155" t="n">
        <f aca="false">C101-B101</f>
        <v>-0.0600000000558794</v>
      </c>
      <c r="E101" s="158" t="n">
        <f aca="false">IF(ABS(B101)&lt;0.5,"",D101/ABS(B101))</f>
        <v>-2.53996435176458E-008</v>
      </c>
    </row>
    <row r="102" customFormat="false" ht="15" hidden="false" customHeight="false" outlineLevel="0" collapsed="false">
      <c r="A102" s="154" t="str">
        <f aca="false">'Budget FY2027'!A102</f>
        <v>Six Peak Net Income</v>
      </c>
      <c r="B102" s="155" t="n">
        <f aca="false">SUMPRODUCT(('Budget FY2027'!$C$4:$N$4&lt;=$B$2)*'Budget FY2027'!C102:N102)</f>
        <v>-1974793.91</v>
      </c>
      <c r="C102" s="155" t="n">
        <f aca="false">SUMPRODUCT(('Budget FY2027'!$C$4:$N$4&lt;=$B$2)*Model!N293:Y293)</f>
        <v>-1974793.86105263</v>
      </c>
      <c r="D102" s="155" t="n">
        <f aca="false">C102-B102</f>
        <v>0.0489473685156554</v>
      </c>
      <c r="E102" s="158" t="n">
        <f aca="false">IF(ABS(B102)&lt;0.5,"",D102/ABS(B102))</f>
        <v>2.47860641395514E-008</v>
      </c>
    </row>
    <row r="103" customFormat="false" ht="15" hidden="false" customHeight="false" outlineLevel="0" collapsed="false">
      <c r="A103" s="149" t="s">
        <v>548</v>
      </c>
      <c r="B103" s="150"/>
      <c r="C103" s="150"/>
      <c r="D103" s="150"/>
      <c r="E103" s="150"/>
    </row>
    <row r="104" customFormat="false" ht="15" hidden="false" customHeight="false" outlineLevel="0" collapsed="false">
      <c r="A104" s="151" t="str">
        <f aca="false">'Budget FY2027'!A104</f>
        <v>APA Net Income (Six Peak share)</v>
      </c>
      <c r="B104" s="152" t="n">
        <f aca="false">SUMPRODUCT(('Budget FY2027'!$C$4:$N$4&lt;=$B$2)*'Budget FY2027'!C104:N104)</f>
        <v>800</v>
      </c>
      <c r="C104" s="152" t="n">
        <f aca="false">SUMPRODUCT(('Budget FY2027'!$C$4:$N$4&lt;=$B$2)*Model!N297:Y297)</f>
        <v>915.383032999997</v>
      </c>
      <c r="D104" s="152" t="n">
        <f aca="false">C104-B104</f>
        <v>115.383032999997</v>
      </c>
      <c r="E104" s="158" t="n">
        <f aca="false">IF(ABS(B104)&lt;0.5,"",D104/ABS(B104))</f>
        <v>0.144228791249996</v>
      </c>
    </row>
    <row r="105" customFormat="false" ht="15" hidden="false" customHeight="false" outlineLevel="0" collapsed="false">
      <c r="A105" s="154" t="str">
        <f aca="false">'Budget FY2027'!A105</f>
        <v>Consolidated Net Income</v>
      </c>
      <c r="B105" s="155" t="n">
        <f aca="false">SUMPRODUCT(('Budget FY2027'!$C$4:$N$4&lt;=$B$2)*'Budget FY2027'!C105:N105)</f>
        <v>2764023.14</v>
      </c>
      <c r="C105" s="155" t="n">
        <f aca="false">SUMPRODUCT(('Budget FY2027'!$C$4:$N$4&lt;=$B$2)*Model!N308:Y308)</f>
        <v>2764138.53801592</v>
      </c>
      <c r="D105" s="155" t="n">
        <f aca="false">C105-B105</f>
        <v>115.398015919141</v>
      </c>
      <c r="E105" s="158" t="n">
        <f aca="false">IF(ABS(B105)&lt;0.5,"",D105/ABS(B105))</f>
        <v>4.17500180259495E-005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555</v>
      </c>
    </row>
    <row r="2" customFormat="false" ht="15" hidden="false" customHeight="true" outlineLevel="0" collapsed="false">
      <c r="A2" s="72" t="s">
        <v>556</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59" t="s">
        <v>1</v>
      </c>
      <c r="C3" s="159" t="n">
        <v>-2</v>
      </c>
      <c r="D3" s="159" t="n">
        <v>-1</v>
      </c>
      <c r="E3" s="159" t="n">
        <v>0</v>
      </c>
      <c r="F3" s="159" t="n">
        <v>1</v>
      </c>
      <c r="G3" s="159" t="n">
        <v>2</v>
      </c>
      <c r="H3" s="159" t="n">
        <v>3</v>
      </c>
      <c r="I3" s="159" t="n">
        <v>4</v>
      </c>
      <c r="J3" s="159" t="n">
        <v>5</v>
      </c>
      <c r="K3" s="159" t="n">
        <v>6</v>
      </c>
      <c r="L3" s="159" t="n">
        <v>7</v>
      </c>
      <c r="M3" s="159" t="n">
        <v>8</v>
      </c>
      <c r="N3" s="159" t="n">
        <v>9</v>
      </c>
      <c r="O3" s="159" t="n">
        <v>10</v>
      </c>
      <c r="P3" s="159" t="n">
        <v>11</v>
      </c>
      <c r="Q3" s="159" t="n">
        <v>12</v>
      </c>
      <c r="R3" s="159" t="n">
        <v>13</v>
      </c>
      <c r="S3" s="159" t="n">
        <v>14</v>
      </c>
      <c r="T3" s="159" t="n">
        <v>15</v>
      </c>
      <c r="U3" s="159" t="n">
        <v>16</v>
      </c>
      <c r="V3" s="159" t="n">
        <v>17</v>
      </c>
      <c r="W3" s="159" t="n">
        <v>18</v>
      </c>
      <c r="X3" s="159" t="n">
        <v>19</v>
      </c>
      <c r="Y3" s="159" t="n">
        <v>20</v>
      </c>
      <c r="Z3" s="159" t="n">
        <v>21</v>
      </c>
      <c r="AA3" s="159" t="n">
        <v>22</v>
      </c>
      <c r="AB3" s="159" t="n">
        <v>23</v>
      </c>
      <c r="AC3" s="159" t="n">
        <v>24</v>
      </c>
      <c r="AD3" s="159" t="n">
        <v>25</v>
      </c>
      <c r="AE3" s="159" t="n">
        <v>26</v>
      </c>
      <c r="AF3" s="159" t="n">
        <v>27</v>
      </c>
      <c r="AG3" s="159" t="n">
        <v>28</v>
      </c>
      <c r="AH3" s="159" t="n">
        <v>29</v>
      </c>
      <c r="AI3" s="159" t="n">
        <v>30</v>
      </c>
      <c r="AJ3" s="159" t="n">
        <v>31</v>
      </c>
      <c r="AK3" s="159" t="n">
        <v>32</v>
      </c>
      <c r="AL3" s="159" t="n">
        <v>33</v>
      </c>
      <c r="AM3" s="159" t="n">
        <v>34</v>
      </c>
      <c r="AN3" s="159" t="n">
        <v>35</v>
      </c>
      <c r="AO3" s="159" t="n">
        <v>36</v>
      </c>
      <c r="AP3" s="159" t="n">
        <v>37</v>
      </c>
      <c r="AQ3" s="159" t="n">
        <v>38</v>
      </c>
      <c r="AR3" s="159" t="n">
        <v>39</v>
      </c>
      <c r="AS3" s="159" t="n">
        <v>40</v>
      </c>
      <c r="AT3" s="159" t="n">
        <v>41</v>
      </c>
      <c r="AU3" s="159" t="n">
        <v>42</v>
      </c>
      <c r="AV3" s="159" t="n">
        <v>43</v>
      </c>
      <c r="AW3" s="159" t="n">
        <v>44</v>
      </c>
      <c r="AX3" s="159" t="n">
        <v>45</v>
      </c>
      <c r="AY3" s="159" t="n">
        <v>46</v>
      </c>
      <c r="AZ3" s="159" t="n">
        <v>47</v>
      </c>
      <c r="BA3" s="159" t="n">
        <v>48</v>
      </c>
      <c r="BB3" s="159" t="n">
        <v>49</v>
      </c>
      <c r="BC3" s="159" t="n">
        <v>50</v>
      </c>
      <c r="BD3" s="159" t="n">
        <v>51</v>
      </c>
      <c r="BE3" s="159" t="n">
        <v>52</v>
      </c>
      <c r="BF3" s="159" t="n">
        <v>53</v>
      </c>
      <c r="BG3" s="159" t="n">
        <v>54</v>
      </c>
      <c r="BH3" s="159" t="n">
        <v>55</v>
      </c>
      <c r="BI3" s="159" t="n">
        <v>56</v>
      </c>
      <c r="BJ3" s="159" t="n">
        <v>57</v>
      </c>
      <c r="BK3" s="159" t="n">
        <v>58</v>
      </c>
      <c r="BL3" s="159" t="n">
        <v>59</v>
      </c>
      <c r="BM3" s="159" t="n">
        <v>60</v>
      </c>
      <c r="BN3" s="159" t="n">
        <v>61</v>
      </c>
      <c r="BO3" s="159" t="n">
        <v>62</v>
      </c>
      <c r="BP3" s="159" t="n">
        <v>63</v>
      </c>
      <c r="BQ3" s="159" t="n">
        <v>64</v>
      </c>
      <c r="BR3" s="159" t="n">
        <v>65</v>
      </c>
      <c r="BS3" s="159" t="n">
        <v>66</v>
      </c>
      <c r="BT3" s="159" t="n">
        <v>67</v>
      </c>
      <c r="BU3" s="159" t="n">
        <v>68</v>
      </c>
      <c r="BV3" s="159" t="n">
        <v>69</v>
      </c>
      <c r="BW3" s="159" t="n">
        <v>70</v>
      </c>
      <c r="BX3" s="159" t="n">
        <v>71</v>
      </c>
      <c r="BY3" s="159" t="n">
        <v>72</v>
      </c>
      <c r="BZ3" s="159" t="n">
        <v>73</v>
      </c>
      <c r="CA3" s="159" t="n">
        <v>74</v>
      </c>
      <c r="CB3" s="159" t="n">
        <v>75</v>
      </c>
      <c r="CC3" s="159" t="n">
        <v>76</v>
      </c>
      <c r="CD3" s="159" t="n">
        <v>77</v>
      </c>
      <c r="CE3" s="159" t="n">
        <v>78</v>
      </c>
      <c r="CF3" s="159" t="n">
        <v>79</v>
      </c>
      <c r="CG3" s="159" t="n">
        <v>80</v>
      </c>
      <c r="CH3" s="159" t="n">
        <v>81</v>
      </c>
      <c r="CI3" s="159" t="n">
        <v>82</v>
      </c>
      <c r="CJ3" s="159" t="n">
        <v>83</v>
      </c>
      <c r="CK3" s="159" t="n">
        <v>84</v>
      </c>
      <c r="CL3" s="159" t="n">
        <v>85</v>
      </c>
      <c r="CM3" s="159" t="n">
        <v>86</v>
      </c>
      <c r="CN3" s="159" t="n">
        <v>87</v>
      </c>
      <c r="CO3" s="159" t="n">
        <v>88</v>
      </c>
      <c r="CP3" s="159" t="n">
        <v>89</v>
      </c>
      <c r="CQ3" s="159" t="n">
        <v>90</v>
      </c>
      <c r="CR3" s="159" t="n">
        <v>91</v>
      </c>
      <c r="CS3" s="159" t="n">
        <v>92</v>
      </c>
      <c r="CT3" s="159" t="n">
        <v>93</v>
      </c>
      <c r="CU3" s="159" t="n">
        <v>94</v>
      </c>
      <c r="CV3" s="159" t="n">
        <v>95</v>
      </c>
      <c r="CW3" s="159" t="n">
        <v>96</v>
      </c>
      <c r="CX3" s="159" t="n">
        <v>97</v>
      </c>
      <c r="CY3" s="159" t="n">
        <v>98</v>
      </c>
      <c r="CZ3" s="159" t="n">
        <v>99</v>
      </c>
      <c r="DA3" s="159" t="n">
        <v>100</v>
      </c>
      <c r="DB3" s="159" t="n">
        <v>101</v>
      </c>
      <c r="DC3" s="159" t="n">
        <v>102</v>
      </c>
      <c r="DD3" s="159" t="n">
        <v>103</v>
      </c>
      <c r="DE3" s="159" t="n">
        <v>104</v>
      </c>
      <c r="DF3" s="159" t="n">
        <v>105</v>
      </c>
    </row>
    <row r="7" customFormat="false" ht="15" hidden="false" customHeight="true" outlineLevel="0" collapsed="false">
      <c r="A7" s="90"/>
      <c r="C7" s="104"/>
      <c r="D7" s="104"/>
      <c r="E7" s="104"/>
      <c r="F7" s="160"/>
      <c r="G7" s="160"/>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c r="AI7" s="160"/>
      <c r="AJ7" s="160"/>
      <c r="AK7" s="160"/>
      <c r="AL7" s="160"/>
      <c r="AM7" s="160"/>
      <c r="AN7" s="160"/>
      <c r="AO7" s="160"/>
      <c r="AP7" s="160"/>
      <c r="AQ7" s="160"/>
      <c r="AR7" s="160"/>
      <c r="AS7" s="160"/>
      <c r="AT7" s="160"/>
      <c r="AU7" s="160"/>
      <c r="AV7" s="160"/>
      <c r="AW7" s="160"/>
      <c r="AX7" s="160"/>
      <c r="AY7" s="160"/>
      <c r="AZ7" s="160"/>
      <c r="BA7" s="160"/>
      <c r="BB7" s="160"/>
      <c r="BC7" s="160"/>
      <c r="BD7" s="160"/>
      <c r="BE7" s="160"/>
      <c r="BF7" s="160"/>
      <c r="BG7" s="160"/>
      <c r="BH7" s="160"/>
      <c r="BI7" s="160"/>
      <c r="BJ7" s="160"/>
      <c r="BK7" s="160"/>
      <c r="BL7" s="160"/>
      <c r="BM7" s="160"/>
      <c r="BN7" s="160"/>
      <c r="BO7" s="160"/>
      <c r="BP7" s="160"/>
      <c r="BQ7" s="160"/>
      <c r="BR7" s="160"/>
      <c r="BS7" s="160"/>
      <c r="BT7" s="160"/>
      <c r="BU7" s="160"/>
      <c r="BV7" s="160"/>
      <c r="BW7" s="160"/>
      <c r="BX7" s="160"/>
      <c r="BY7" s="160"/>
      <c r="BZ7" s="160"/>
      <c r="CA7" s="160"/>
      <c r="CB7" s="160"/>
      <c r="CC7" s="160"/>
      <c r="CD7" s="160"/>
      <c r="CE7" s="160"/>
      <c r="CF7" s="160"/>
      <c r="CG7" s="160"/>
      <c r="CH7" s="160"/>
      <c r="CI7" s="160"/>
      <c r="CJ7" s="160"/>
      <c r="CK7" s="160"/>
      <c r="CL7" s="160"/>
      <c r="CM7" s="160"/>
      <c r="CN7" s="160"/>
      <c r="CO7" s="160"/>
      <c r="CP7" s="160"/>
      <c r="CQ7" s="160"/>
      <c r="CR7" s="160"/>
      <c r="CS7" s="160"/>
      <c r="CT7" s="160"/>
      <c r="CU7" s="160"/>
      <c r="CV7" s="160"/>
      <c r="CW7" s="160"/>
      <c r="CX7" s="160"/>
      <c r="CY7" s="160"/>
      <c r="CZ7" s="160"/>
      <c r="DA7" s="160"/>
      <c r="DB7" s="160"/>
      <c r="DC7" s="160"/>
      <c r="DD7" s="160"/>
      <c r="DE7" s="160"/>
      <c r="DF7" s="160"/>
    </row>
    <row r="8" customFormat="false" ht="15" hidden="false" customHeight="true" outlineLevel="0" collapsed="false">
      <c r="A8" s="99" t="s">
        <v>4</v>
      </c>
      <c r="C8" s="161" t="n">
        <v>116363.3</v>
      </c>
      <c r="D8" s="161" t="n">
        <v>138801.52</v>
      </c>
      <c r="E8" s="161" t="n">
        <v>219366.88</v>
      </c>
      <c r="F8" s="162" t="n">
        <v>267934.879957489</v>
      </c>
      <c r="G8" s="162" t="n">
        <v>267934.879957489</v>
      </c>
      <c r="H8" s="162" t="n">
        <v>267934.879957489</v>
      </c>
      <c r="I8" s="162" t="n">
        <v>361542.001995889</v>
      </c>
      <c r="J8" s="162" t="n">
        <v>361542.001995889</v>
      </c>
      <c r="K8" s="162" t="n">
        <v>361542.001995889</v>
      </c>
      <c r="L8" s="162" t="n">
        <v>442929.46088908</v>
      </c>
      <c r="M8" s="162" t="n">
        <v>525344.508604757</v>
      </c>
      <c r="N8" s="162" t="n">
        <v>442616.790480539</v>
      </c>
      <c r="O8" s="162" t="n">
        <v>442616.790480539</v>
      </c>
      <c r="P8" s="162" t="n">
        <v>442616.790480539</v>
      </c>
      <c r="Q8" s="162" t="n">
        <v>442616.790480539</v>
      </c>
      <c r="R8" s="162" t="n">
        <v>541230.826148622</v>
      </c>
      <c r="S8" s="162" t="n">
        <v>541230.826148622</v>
      </c>
      <c r="T8" s="162" t="n">
        <v>631894.944867622</v>
      </c>
      <c r="U8" s="162" t="n">
        <v>495791.549552305</v>
      </c>
      <c r="V8" s="162" t="n">
        <v>343974.804822852</v>
      </c>
      <c r="W8" s="162" t="n">
        <v>343974.804822852</v>
      </c>
      <c r="X8" s="162" t="n">
        <v>356437.861811602</v>
      </c>
      <c r="Y8" s="162" t="n">
        <v>331511.747834102</v>
      </c>
      <c r="Z8" s="162" t="n">
        <v>331511.747834102</v>
      </c>
      <c r="AA8" s="162" t="n">
        <v>331511.747834102</v>
      </c>
      <c r="AB8" s="162" t="n">
        <v>331511.747834102</v>
      </c>
      <c r="AC8" s="162" t="n">
        <v>331511.747834102</v>
      </c>
      <c r="AD8" s="162" t="n">
        <v>378380.997071102</v>
      </c>
      <c r="AE8" s="162" t="n">
        <v>284642.498597102</v>
      </c>
      <c r="AF8" s="162" t="n">
        <v>374733.909031035</v>
      </c>
      <c r="AG8" s="162" t="n">
        <v>374733.909031035</v>
      </c>
      <c r="AH8" s="162" t="n">
        <v>374733.909031035</v>
      </c>
      <c r="AI8" s="162" t="n">
        <v>374733.909031035</v>
      </c>
      <c r="AJ8" s="162" t="n">
        <v>447874.706379785</v>
      </c>
      <c r="AK8" s="162" t="n">
        <v>316830.777796608</v>
      </c>
      <c r="AL8" s="162" t="n">
        <v>464631.496804608</v>
      </c>
      <c r="AM8" s="162" t="n">
        <v>223223.655758208</v>
      </c>
      <c r="AN8" s="162" t="n">
        <v>223223.655758208</v>
      </c>
      <c r="AO8" s="162" t="n">
        <v>277726.092057458</v>
      </c>
      <c r="AP8" s="162" t="n">
        <v>188705.446102017</v>
      </c>
      <c r="AQ8" s="162" t="n">
        <v>188705.446102017</v>
      </c>
      <c r="AR8" s="162" t="n">
        <v>188705.446102017</v>
      </c>
      <c r="AS8" s="162" t="n">
        <v>188705.446102017</v>
      </c>
      <c r="AT8" s="162" t="n">
        <v>188705.446102017</v>
      </c>
      <c r="AU8" s="162" t="n">
        <v>344411.818209517</v>
      </c>
      <c r="AV8" s="162" t="n">
        <v>90091.4104339333</v>
      </c>
      <c r="AW8" s="162" t="n">
        <v>90091.4104339333</v>
      </c>
      <c r="AX8" s="162" t="n">
        <v>90091.4104339333</v>
      </c>
      <c r="AY8" s="162" t="n">
        <v>90091.4104339333</v>
      </c>
      <c r="AZ8" s="162" t="n">
        <v>90091.4104339333</v>
      </c>
      <c r="BA8" s="162" t="n">
        <v>90091.4104339333</v>
      </c>
      <c r="BB8" s="162" t="n">
        <v>90091.4104339333</v>
      </c>
      <c r="BC8" s="162" t="n">
        <v>90091.4104339333</v>
      </c>
      <c r="BD8" s="162" t="n">
        <v>90091.4104339333</v>
      </c>
      <c r="BE8" s="162" t="n">
        <v>90091.4104339333</v>
      </c>
      <c r="BF8" s="162" t="n">
        <v>90091.4104339333</v>
      </c>
      <c r="BG8" s="162" t="n">
        <v>90091.4104339333</v>
      </c>
      <c r="BH8" s="162" t="n">
        <v>90091.4104339333</v>
      </c>
      <c r="BI8" s="162" t="n">
        <v>232341.005855933</v>
      </c>
      <c r="BJ8" s="162" t="n">
        <v>0</v>
      </c>
      <c r="BK8" s="162" t="n">
        <v>0</v>
      </c>
      <c r="BL8" s="162" t="n">
        <v>0</v>
      </c>
      <c r="BM8" s="162" t="n">
        <v>0</v>
      </c>
      <c r="BN8" s="162" t="n">
        <v>0</v>
      </c>
      <c r="BO8" s="162" t="n">
        <v>0</v>
      </c>
      <c r="BP8" s="162" t="n">
        <v>0</v>
      </c>
      <c r="BQ8" s="162" t="n">
        <v>0</v>
      </c>
      <c r="BR8" s="162" t="n">
        <v>0</v>
      </c>
      <c r="BS8" s="162" t="n">
        <v>0</v>
      </c>
      <c r="BT8" s="162" t="n">
        <v>0</v>
      </c>
      <c r="BU8" s="162" t="n">
        <v>0</v>
      </c>
      <c r="BV8" s="162" t="n">
        <v>0</v>
      </c>
      <c r="BW8" s="162" t="n">
        <v>0</v>
      </c>
      <c r="BX8" s="162" t="n">
        <v>0</v>
      </c>
      <c r="BY8" s="162" t="n">
        <v>0</v>
      </c>
      <c r="BZ8" s="162" t="n">
        <v>0</v>
      </c>
      <c r="CA8" s="162" t="n">
        <v>0</v>
      </c>
      <c r="CB8" s="162" t="n">
        <v>0</v>
      </c>
      <c r="CC8" s="162" t="n">
        <v>0</v>
      </c>
      <c r="CD8" s="162" t="n">
        <v>0</v>
      </c>
      <c r="CE8" s="162" t="n">
        <v>0</v>
      </c>
      <c r="CF8" s="162" t="n">
        <v>0</v>
      </c>
      <c r="CG8" s="162" t="n">
        <v>0</v>
      </c>
      <c r="CH8" s="162" t="n">
        <v>0</v>
      </c>
      <c r="CI8" s="162" t="n">
        <v>0</v>
      </c>
      <c r="CJ8" s="162" t="n">
        <v>0</v>
      </c>
      <c r="CK8" s="162" t="n">
        <v>0</v>
      </c>
      <c r="CL8" s="162" t="n">
        <v>0</v>
      </c>
      <c r="CM8" s="162" t="n">
        <v>0</v>
      </c>
      <c r="CN8" s="162" t="n">
        <v>0</v>
      </c>
      <c r="CO8" s="162" t="n">
        <v>0</v>
      </c>
      <c r="CP8" s="162" t="n">
        <v>0</v>
      </c>
      <c r="CQ8" s="162" t="n">
        <v>0</v>
      </c>
      <c r="CR8" s="162" t="n">
        <v>0</v>
      </c>
      <c r="CS8" s="162" t="n">
        <v>0</v>
      </c>
      <c r="CT8" s="162" t="n">
        <v>0</v>
      </c>
      <c r="CU8" s="162" t="n">
        <v>0</v>
      </c>
      <c r="CV8" s="162" t="n">
        <v>0</v>
      </c>
      <c r="CW8" s="162" t="n">
        <v>0</v>
      </c>
      <c r="CX8" s="162" t="n">
        <v>0</v>
      </c>
      <c r="CY8" s="162" t="n">
        <v>0</v>
      </c>
      <c r="CZ8" s="162" t="n">
        <v>0</v>
      </c>
      <c r="DA8" s="162" t="n">
        <v>0</v>
      </c>
      <c r="DB8" s="162" t="n">
        <v>0</v>
      </c>
      <c r="DC8" s="162" t="n">
        <v>0</v>
      </c>
      <c r="DD8" s="162" t="n">
        <v>0</v>
      </c>
      <c r="DE8" s="162" t="n">
        <v>0</v>
      </c>
      <c r="DF8" s="162" t="n">
        <v>0</v>
      </c>
    </row>
    <row r="9" customFormat="false" ht="15" hidden="false" customHeight="true" outlineLevel="0" collapsed="false">
      <c r="A9" s="90" t="s">
        <v>354</v>
      </c>
      <c r="C9" s="104" t="n">
        <v>0</v>
      </c>
      <c r="D9" s="104" t="n">
        <v>0</v>
      </c>
      <c r="E9" s="104" t="n">
        <v>0</v>
      </c>
      <c r="F9" s="160" t="n">
        <v>0</v>
      </c>
      <c r="G9" s="160" t="n">
        <v>0</v>
      </c>
      <c r="H9" s="160" t="n">
        <v>0</v>
      </c>
      <c r="I9" s="160" t="n">
        <v>0</v>
      </c>
      <c r="J9" s="160" t="n">
        <v>0</v>
      </c>
      <c r="K9" s="160" t="n">
        <v>0</v>
      </c>
      <c r="L9" s="160" t="n">
        <v>0</v>
      </c>
      <c r="M9" s="160" t="n">
        <v>0</v>
      </c>
      <c r="N9" s="160" t="n">
        <v>0</v>
      </c>
      <c r="O9" s="160" t="n">
        <v>0</v>
      </c>
      <c r="P9" s="160" t="n">
        <v>0</v>
      </c>
      <c r="Q9" s="160" t="n">
        <v>0</v>
      </c>
      <c r="R9" s="160" t="n">
        <v>0</v>
      </c>
      <c r="S9" s="160" t="n">
        <v>0</v>
      </c>
      <c r="T9" s="160" t="n">
        <v>0</v>
      </c>
      <c r="U9" s="160" t="n">
        <v>0</v>
      </c>
      <c r="V9" s="160" t="n">
        <v>0</v>
      </c>
      <c r="W9" s="160" t="n">
        <v>0</v>
      </c>
      <c r="X9" s="160" t="n">
        <v>0</v>
      </c>
      <c r="Y9" s="160" t="n">
        <v>0</v>
      </c>
      <c r="Z9" s="160" t="n">
        <v>0</v>
      </c>
      <c r="AA9" s="160" t="n">
        <v>0</v>
      </c>
      <c r="AB9" s="160" t="n">
        <v>0</v>
      </c>
      <c r="AC9" s="160" t="n">
        <v>0</v>
      </c>
      <c r="AD9" s="160" t="n">
        <v>0</v>
      </c>
      <c r="AE9" s="160" t="n">
        <v>0</v>
      </c>
      <c r="AF9" s="160" t="n">
        <v>0</v>
      </c>
      <c r="AG9" s="160" t="n">
        <v>0</v>
      </c>
      <c r="AH9" s="160" t="n">
        <v>0</v>
      </c>
      <c r="AI9" s="160" t="n">
        <v>0</v>
      </c>
      <c r="AJ9" s="160" t="n">
        <v>0</v>
      </c>
      <c r="AK9" s="160" t="n">
        <v>0</v>
      </c>
      <c r="AL9" s="160" t="n">
        <v>0</v>
      </c>
      <c r="AM9" s="160" t="n">
        <v>0</v>
      </c>
      <c r="AN9" s="160" t="n">
        <v>0</v>
      </c>
      <c r="AO9" s="160" t="n">
        <v>0</v>
      </c>
      <c r="AP9" s="160" t="n">
        <v>0</v>
      </c>
      <c r="AQ9" s="160" t="n">
        <v>0</v>
      </c>
      <c r="AR9" s="160" t="n">
        <v>0</v>
      </c>
      <c r="AS9" s="160" t="n">
        <v>0</v>
      </c>
      <c r="AT9" s="160" t="n">
        <v>0</v>
      </c>
      <c r="AU9" s="160" t="n">
        <v>0</v>
      </c>
      <c r="AV9" s="160" t="n">
        <v>0</v>
      </c>
      <c r="AW9" s="160" t="n">
        <v>0</v>
      </c>
      <c r="AX9" s="160" t="n">
        <v>0</v>
      </c>
      <c r="AY9" s="160" t="n">
        <v>0</v>
      </c>
      <c r="AZ9" s="160" t="n">
        <v>0</v>
      </c>
      <c r="BA9" s="160" t="n">
        <v>0</v>
      </c>
      <c r="BB9" s="160" t="n">
        <v>0</v>
      </c>
      <c r="BC9" s="160" t="n">
        <v>0</v>
      </c>
      <c r="BD9" s="160" t="n">
        <v>0</v>
      </c>
      <c r="BE9" s="160" t="n">
        <v>0</v>
      </c>
      <c r="BF9" s="160" t="n">
        <v>0</v>
      </c>
      <c r="BG9" s="160" t="n">
        <v>0</v>
      </c>
      <c r="BH9" s="160" t="n">
        <v>0</v>
      </c>
      <c r="BI9" s="160" t="n">
        <v>0</v>
      </c>
      <c r="BJ9" s="160" t="n">
        <v>0</v>
      </c>
      <c r="BK9" s="160" t="n">
        <v>0</v>
      </c>
      <c r="BL9" s="160" t="n">
        <v>0</v>
      </c>
      <c r="BM9" s="160" t="n">
        <v>0</v>
      </c>
      <c r="BN9" s="160" t="n">
        <v>0</v>
      </c>
      <c r="BO9" s="160" t="n">
        <v>0</v>
      </c>
      <c r="BP9" s="160" t="n">
        <v>0</v>
      </c>
      <c r="BQ9" s="160" t="n">
        <v>0</v>
      </c>
      <c r="BR9" s="160" t="n">
        <v>0</v>
      </c>
      <c r="BS9" s="160" t="n">
        <v>0</v>
      </c>
      <c r="BT9" s="160" t="n">
        <v>0</v>
      </c>
      <c r="BU9" s="160" t="n">
        <v>0</v>
      </c>
      <c r="BV9" s="160" t="n">
        <v>0</v>
      </c>
      <c r="BW9" s="160" t="n">
        <v>0</v>
      </c>
      <c r="BX9" s="160" t="n">
        <v>0</v>
      </c>
      <c r="BY9" s="160" t="n">
        <v>0</v>
      </c>
      <c r="BZ9" s="160" t="n">
        <v>0</v>
      </c>
      <c r="CA9" s="160" t="n">
        <v>0</v>
      </c>
      <c r="CB9" s="160" t="n">
        <v>0</v>
      </c>
      <c r="CC9" s="160" t="n">
        <v>0</v>
      </c>
      <c r="CD9" s="160" t="n">
        <v>0</v>
      </c>
      <c r="CE9" s="160" t="n">
        <v>0</v>
      </c>
      <c r="CF9" s="160" t="n">
        <v>0</v>
      </c>
      <c r="CG9" s="160" t="n">
        <v>0</v>
      </c>
      <c r="CH9" s="160" t="n">
        <v>0</v>
      </c>
      <c r="CI9" s="160" t="n">
        <v>0</v>
      </c>
      <c r="CJ9" s="160" t="n">
        <v>0</v>
      </c>
      <c r="CK9" s="160" t="n">
        <v>0</v>
      </c>
      <c r="CL9" s="160" t="n">
        <v>0</v>
      </c>
      <c r="CM9" s="160" t="n">
        <v>0</v>
      </c>
      <c r="CN9" s="160" t="n">
        <v>0</v>
      </c>
      <c r="CO9" s="160" t="n">
        <v>0</v>
      </c>
      <c r="CP9" s="160" t="n">
        <v>0</v>
      </c>
      <c r="CQ9" s="160" t="n">
        <v>0</v>
      </c>
      <c r="CR9" s="160" t="n">
        <v>0</v>
      </c>
      <c r="CS9" s="160" t="n">
        <v>0</v>
      </c>
      <c r="CT9" s="160" t="n">
        <v>0</v>
      </c>
      <c r="CU9" s="160" t="n">
        <v>0</v>
      </c>
      <c r="CV9" s="160" t="n">
        <v>0</v>
      </c>
      <c r="CW9" s="160" t="n">
        <v>0</v>
      </c>
      <c r="CX9" s="160" t="n">
        <v>0</v>
      </c>
      <c r="CY9" s="160" t="n">
        <v>0</v>
      </c>
      <c r="CZ9" s="160" t="n">
        <v>0</v>
      </c>
      <c r="DA9" s="160" t="n">
        <v>0</v>
      </c>
      <c r="DB9" s="160" t="n">
        <v>0</v>
      </c>
      <c r="DC9" s="160" t="n">
        <v>0</v>
      </c>
      <c r="DD9" s="160" t="n">
        <v>0</v>
      </c>
      <c r="DE9" s="160" t="n">
        <v>0</v>
      </c>
      <c r="DF9" s="160" t="n">
        <v>0</v>
      </c>
    </row>
    <row r="10" customFormat="false" ht="15" hidden="false" customHeight="true" outlineLevel="0" collapsed="false">
      <c r="A10" s="90" t="s">
        <v>522</v>
      </c>
      <c r="C10" s="104" t="n">
        <v>95370.25</v>
      </c>
      <c r="D10" s="104" t="n">
        <v>173282.89</v>
      </c>
      <c r="E10" s="104" t="n">
        <v>50438.85</v>
      </c>
      <c r="F10" s="160" t="n">
        <v>200950.186296774</v>
      </c>
      <c r="G10" s="160" t="n">
        <v>200950.186296774</v>
      </c>
      <c r="H10" s="160" t="n">
        <v>200950.186296774</v>
      </c>
      <c r="I10" s="160" t="n">
        <v>271155.187658694</v>
      </c>
      <c r="J10" s="160" t="n">
        <v>271155.187658694</v>
      </c>
      <c r="K10" s="160" t="n">
        <v>271155.187658694</v>
      </c>
      <c r="L10" s="160" t="n">
        <v>332195.486067781</v>
      </c>
      <c r="M10" s="160" t="n">
        <v>394006.472359489</v>
      </c>
      <c r="N10" s="160" t="n">
        <v>331960.984397614</v>
      </c>
      <c r="O10" s="160" t="n">
        <v>331960.984397614</v>
      </c>
      <c r="P10" s="160" t="n">
        <v>331960.984397614</v>
      </c>
      <c r="Q10" s="160" t="n">
        <v>331960.984397614</v>
      </c>
      <c r="R10" s="160" t="n">
        <v>405921.152786748</v>
      </c>
      <c r="S10" s="160" t="n">
        <v>405921.152786748</v>
      </c>
      <c r="T10" s="160" t="n">
        <v>473918.912353948</v>
      </c>
      <c r="U10" s="160" t="n">
        <v>371841.860465161</v>
      </c>
      <c r="V10" s="160" t="n">
        <v>257979.853617848</v>
      </c>
      <c r="W10" s="160" t="n">
        <v>257979.853617848</v>
      </c>
      <c r="X10" s="160" t="n">
        <v>267327.101068848</v>
      </c>
      <c r="Y10" s="160" t="n">
        <v>248632.606166848</v>
      </c>
      <c r="Z10" s="160" t="n">
        <v>248632.606166848</v>
      </c>
      <c r="AA10" s="160" t="n">
        <v>248632.606166848</v>
      </c>
      <c r="AB10" s="160" t="n">
        <v>248632.606166848</v>
      </c>
      <c r="AC10" s="160" t="n">
        <v>248632.606166848</v>
      </c>
      <c r="AD10" s="160" t="n">
        <v>283784.372772448</v>
      </c>
      <c r="AE10" s="160" t="n">
        <v>213480.839561248</v>
      </c>
      <c r="AF10" s="160" t="n">
        <v>281049.069995862</v>
      </c>
      <c r="AG10" s="160" t="n">
        <v>281049.069995862</v>
      </c>
      <c r="AH10" s="160" t="n">
        <v>281049.069995862</v>
      </c>
      <c r="AI10" s="160" t="n">
        <v>281049.069995862</v>
      </c>
      <c r="AJ10" s="160" t="n">
        <v>335904.402214862</v>
      </c>
      <c r="AK10" s="160" t="n">
        <v>237621.931989153</v>
      </c>
      <c r="AL10" s="160" t="n">
        <v>348471.934139553</v>
      </c>
      <c r="AM10" s="160" t="n">
        <v>167416.930627233</v>
      </c>
      <c r="AN10" s="160" t="n">
        <v>167416.930627233</v>
      </c>
      <c r="AO10" s="160" t="n">
        <v>208293.559790633</v>
      </c>
      <c r="AP10" s="160" t="n">
        <v>141528.398823747</v>
      </c>
      <c r="AQ10" s="160" t="n">
        <v>141528.398823747</v>
      </c>
      <c r="AR10" s="160" t="n">
        <v>141528.398823747</v>
      </c>
      <c r="AS10" s="160" t="n">
        <v>141528.398823747</v>
      </c>
      <c r="AT10" s="160" t="n">
        <v>141528.398823747</v>
      </c>
      <c r="AU10" s="160" t="n">
        <v>258307.612069747</v>
      </c>
      <c r="AV10" s="160" t="n">
        <v>67568.2304346134</v>
      </c>
      <c r="AW10" s="160" t="n">
        <v>67568.2304346134</v>
      </c>
      <c r="AX10" s="160" t="n">
        <v>67568.2304346134</v>
      </c>
      <c r="AY10" s="160" t="n">
        <v>67568.2304346134</v>
      </c>
      <c r="AZ10" s="160" t="n">
        <v>67568.2304346134</v>
      </c>
      <c r="BA10" s="160" t="n">
        <v>67568.2304346134</v>
      </c>
      <c r="BB10" s="160" t="n">
        <v>67568.2304346134</v>
      </c>
      <c r="BC10" s="160" t="n">
        <v>67568.2304346134</v>
      </c>
      <c r="BD10" s="160" t="n">
        <v>67568.2304346134</v>
      </c>
      <c r="BE10" s="160" t="n">
        <v>67568.2304346134</v>
      </c>
      <c r="BF10" s="160" t="n">
        <v>67568.2304346134</v>
      </c>
      <c r="BG10" s="160" t="n">
        <v>67568.2304346134</v>
      </c>
      <c r="BH10" s="160" t="n">
        <v>67568.2304346134</v>
      </c>
      <c r="BI10" s="160" t="n">
        <v>174254.910068213</v>
      </c>
      <c r="BJ10" s="160" t="n">
        <v>0</v>
      </c>
      <c r="BK10" s="160" t="n">
        <v>0</v>
      </c>
      <c r="BL10" s="160" t="n">
        <v>0</v>
      </c>
      <c r="BM10" s="160" t="n">
        <v>0</v>
      </c>
      <c r="BN10" s="160" t="n">
        <v>0</v>
      </c>
      <c r="BO10" s="160" t="n">
        <v>0</v>
      </c>
      <c r="BP10" s="160" t="n">
        <v>0</v>
      </c>
      <c r="BQ10" s="160" t="n">
        <v>0</v>
      </c>
      <c r="BR10" s="160" t="n">
        <v>0</v>
      </c>
      <c r="BS10" s="160" t="n">
        <v>0</v>
      </c>
      <c r="BT10" s="160" t="n">
        <v>0</v>
      </c>
      <c r="BU10" s="160" t="n">
        <v>0</v>
      </c>
      <c r="BV10" s="160" t="n">
        <v>0</v>
      </c>
      <c r="BW10" s="160" t="n">
        <v>0</v>
      </c>
      <c r="BX10" s="160" t="n">
        <v>0</v>
      </c>
      <c r="BY10" s="160" t="n">
        <v>0</v>
      </c>
      <c r="BZ10" s="160" t="n">
        <v>0</v>
      </c>
      <c r="CA10" s="160" t="n">
        <v>0</v>
      </c>
      <c r="CB10" s="160" t="n">
        <v>0</v>
      </c>
      <c r="CC10" s="160" t="n">
        <v>0</v>
      </c>
      <c r="CD10" s="160" t="n">
        <v>0</v>
      </c>
      <c r="CE10" s="160" t="n">
        <v>0</v>
      </c>
      <c r="CF10" s="160" t="n">
        <v>0</v>
      </c>
      <c r="CG10" s="160" t="n">
        <v>0</v>
      </c>
      <c r="CH10" s="160" t="n">
        <v>0</v>
      </c>
      <c r="CI10" s="160" t="n">
        <v>0</v>
      </c>
      <c r="CJ10" s="160" t="n">
        <v>0</v>
      </c>
      <c r="CK10" s="160" t="n">
        <v>0</v>
      </c>
      <c r="CL10" s="160" t="n">
        <v>0</v>
      </c>
      <c r="CM10" s="160" t="n">
        <v>0</v>
      </c>
      <c r="CN10" s="160" t="n">
        <v>0</v>
      </c>
      <c r="CO10" s="160" t="n">
        <v>0</v>
      </c>
      <c r="CP10" s="160" t="n">
        <v>0</v>
      </c>
      <c r="CQ10" s="160" t="n">
        <v>0</v>
      </c>
      <c r="CR10" s="160" t="n">
        <v>0</v>
      </c>
      <c r="CS10" s="160" t="n">
        <v>0</v>
      </c>
      <c r="CT10" s="160" t="n">
        <v>0</v>
      </c>
      <c r="CU10" s="160" t="n">
        <v>0</v>
      </c>
      <c r="CV10" s="160" t="n">
        <v>0</v>
      </c>
      <c r="CW10" s="160" t="n">
        <v>0</v>
      </c>
      <c r="CX10" s="160" t="n">
        <v>0</v>
      </c>
      <c r="CY10" s="160" t="n">
        <v>0</v>
      </c>
      <c r="CZ10" s="160" t="n">
        <v>0</v>
      </c>
      <c r="DA10" s="160" t="n">
        <v>0</v>
      </c>
      <c r="DB10" s="160" t="n">
        <v>0</v>
      </c>
      <c r="DC10" s="160" t="n">
        <v>0</v>
      </c>
      <c r="DD10" s="160" t="n">
        <v>0</v>
      </c>
      <c r="DE10" s="160" t="n">
        <v>0</v>
      </c>
      <c r="DF10" s="160" t="n">
        <v>0</v>
      </c>
    </row>
    <row r="11" customFormat="false" ht="15" hidden="false" customHeight="true" outlineLevel="0" collapsed="false">
      <c r="A11" s="90" t="s">
        <v>355</v>
      </c>
      <c r="C11" s="163" t="n">
        <v>0</v>
      </c>
      <c r="D11" s="163" t="n">
        <v>0</v>
      </c>
      <c r="E11" s="163" t="n">
        <v>0</v>
      </c>
      <c r="F11" s="160" t="n">
        <v>0</v>
      </c>
      <c r="G11" s="160" t="n">
        <v>0</v>
      </c>
      <c r="H11" s="160" t="n">
        <v>0</v>
      </c>
      <c r="I11" s="160" t="n">
        <v>0</v>
      </c>
      <c r="J11" s="160" t="n">
        <v>0</v>
      </c>
      <c r="K11" s="160" t="n">
        <v>0</v>
      </c>
      <c r="L11" s="160" t="n">
        <v>0</v>
      </c>
      <c r="M11" s="160" t="n">
        <v>0</v>
      </c>
      <c r="N11" s="160" t="n">
        <v>0</v>
      </c>
      <c r="O11" s="160" t="n">
        <v>0</v>
      </c>
      <c r="P11" s="160" t="n">
        <v>0</v>
      </c>
      <c r="Q11" s="160" t="n">
        <v>0</v>
      </c>
      <c r="R11" s="160" t="n">
        <v>0</v>
      </c>
      <c r="S11" s="160" t="n">
        <v>0</v>
      </c>
      <c r="T11" s="160" t="n">
        <v>0</v>
      </c>
      <c r="U11" s="160" t="n">
        <v>0</v>
      </c>
      <c r="V11" s="160" t="n">
        <v>0</v>
      </c>
      <c r="W11" s="160" t="n">
        <v>0</v>
      </c>
      <c r="X11" s="160" t="n">
        <v>0</v>
      </c>
      <c r="Y11" s="160" t="n">
        <v>0</v>
      </c>
      <c r="Z11" s="160" t="n">
        <v>0</v>
      </c>
      <c r="AA11" s="160" t="n">
        <v>0</v>
      </c>
      <c r="AB11" s="160" t="n">
        <v>0</v>
      </c>
      <c r="AC11" s="160" t="n">
        <v>0</v>
      </c>
      <c r="AD11" s="160" t="n">
        <v>0</v>
      </c>
      <c r="AE11" s="160" t="n">
        <v>0</v>
      </c>
      <c r="AF11" s="160" t="n">
        <v>0</v>
      </c>
      <c r="AG11" s="160" t="n">
        <v>0</v>
      </c>
      <c r="AH11" s="160" t="n">
        <v>0</v>
      </c>
      <c r="AI11" s="160" t="n">
        <v>0</v>
      </c>
      <c r="AJ11" s="160" t="n">
        <v>0</v>
      </c>
      <c r="AK11" s="160" t="n">
        <v>0</v>
      </c>
      <c r="AL11" s="160" t="n">
        <v>0</v>
      </c>
      <c r="AM11" s="160" t="n">
        <v>0</v>
      </c>
      <c r="AN11" s="160" t="n">
        <v>0</v>
      </c>
      <c r="AO11" s="160" t="n">
        <v>0</v>
      </c>
      <c r="AP11" s="160" t="n">
        <v>0</v>
      </c>
      <c r="AQ11" s="160" t="n">
        <v>0</v>
      </c>
      <c r="AR11" s="160" t="n">
        <v>0</v>
      </c>
      <c r="AS11" s="160" t="n">
        <v>0</v>
      </c>
      <c r="AT11" s="160" t="n">
        <v>0</v>
      </c>
      <c r="AU11" s="160" t="n">
        <v>0</v>
      </c>
      <c r="AV11" s="160" t="n">
        <v>0</v>
      </c>
      <c r="AW11" s="160" t="n">
        <v>0</v>
      </c>
      <c r="AX11" s="160" t="n">
        <v>0</v>
      </c>
      <c r="AY11" s="160" t="n">
        <v>0</v>
      </c>
      <c r="AZ11" s="160" t="n">
        <v>0</v>
      </c>
      <c r="BA11" s="160" t="n">
        <v>0</v>
      </c>
      <c r="BB11" s="160" t="n">
        <v>0</v>
      </c>
      <c r="BC11" s="160" t="n">
        <v>0</v>
      </c>
      <c r="BD11" s="160" t="n">
        <v>0</v>
      </c>
      <c r="BE11" s="160" t="n">
        <v>0</v>
      </c>
      <c r="BF11" s="160" t="n">
        <v>0</v>
      </c>
      <c r="BG11" s="160" t="n">
        <v>0</v>
      </c>
      <c r="BH11" s="160" t="n">
        <v>0</v>
      </c>
      <c r="BI11" s="160" t="n">
        <v>0</v>
      </c>
      <c r="BJ11" s="160" t="n">
        <v>0</v>
      </c>
      <c r="BK11" s="160" t="n">
        <v>0</v>
      </c>
      <c r="BL11" s="160" t="n">
        <v>0</v>
      </c>
      <c r="BM11" s="160" t="n">
        <v>0</v>
      </c>
      <c r="BN11" s="160" t="n">
        <v>0</v>
      </c>
      <c r="BO11" s="160" t="n">
        <v>0</v>
      </c>
      <c r="BP11" s="160" t="n">
        <v>0</v>
      </c>
      <c r="BQ11" s="160" t="n">
        <v>0</v>
      </c>
      <c r="BR11" s="160" t="n">
        <v>0</v>
      </c>
      <c r="BS11" s="160" t="n">
        <v>0</v>
      </c>
      <c r="BT11" s="160" t="n">
        <v>0</v>
      </c>
      <c r="BU11" s="160" t="n">
        <v>0</v>
      </c>
      <c r="BV11" s="160" t="n">
        <v>0</v>
      </c>
      <c r="BW11" s="160" t="n">
        <v>0</v>
      </c>
      <c r="BX11" s="160" t="n">
        <v>0</v>
      </c>
      <c r="BY11" s="160" t="n">
        <v>0</v>
      </c>
      <c r="BZ11" s="160" t="n">
        <v>0</v>
      </c>
      <c r="CA11" s="160" t="n">
        <v>0</v>
      </c>
      <c r="CB11" s="160" t="n">
        <v>0</v>
      </c>
      <c r="CC11" s="160" t="n">
        <v>0</v>
      </c>
      <c r="CD11" s="160" t="n">
        <v>0</v>
      </c>
      <c r="CE11" s="160" t="n">
        <v>0</v>
      </c>
      <c r="CF11" s="160" t="n">
        <v>0</v>
      </c>
      <c r="CG11" s="160" t="n">
        <v>0</v>
      </c>
      <c r="CH11" s="160" t="n">
        <v>0</v>
      </c>
      <c r="CI11" s="160" t="n">
        <v>0</v>
      </c>
      <c r="CJ11" s="160" t="n">
        <v>0</v>
      </c>
      <c r="CK11" s="160" t="n">
        <v>0</v>
      </c>
      <c r="CL11" s="160" t="n">
        <v>0</v>
      </c>
      <c r="CM11" s="160" t="n">
        <v>0</v>
      </c>
      <c r="CN11" s="160" t="n">
        <v>0</v>
      </c>
      <c r="CO11" s="160" t="n">
        <v>0</v>
      </c>
      <c r="CP11" s="160" t="n">
        <v>0</v>
      </c>
      <c r="CQ11" s="160" t="n">
        <v>0</v>
      </c>
      <c r="CR11" s="160" t="n">
        <v>0</v>
      </c>
      <c r="CS11" s="160" t="n">
        <v>0</v>
      </c>
      <c r="CT11" s="160" t="n">
        <v>0</v>
      </c>
      <c r="CU11" s="160" t="n">
        <v>0</v>
      </c>
      <c r="CV11" s="160" t="n">
        <v>0</v>
      </c>
      <c r="CW11" s="160" t="n">
        <v>0</v>
      </c>
      <c r="CX11" s="160" t="n">
        <v>0</v>
      </c>
      <c r="CY11" s="160" t="n">
        <v>0</v>
      </c>
      <c r="CZ11" s="160" t="n">
        <v>0</v>
      </c>
      <c r="DA11" s="160" t="n">
        <v>0</v>
      </c>
      <c r="DB11" s="160" t="n">
        <v>0</v>
      </c>
      <c r="DC11" s="160" t="n">
        <v>0</v>
      </c>
      <c r="DD11" s="160" t="n">
        <v>0</v>
      </c>
      <c r="DE11" s="160" t="n">
        <v>0</v>
      </c>
      <c r="DF11" s="160" t="n">
        <v>0</v>
      </c>
    </row>
    <row r="12" customFormat="false" ht="15" hidden="false" customHeight="true" outlineLevel="0" collapsed="false">
      <c r="A12" s="99" t="s">
        <v>6</v>
      </c>
      <c r="C12" s="161" t="n">
        <v>1242053.19</v>
      </c>
      <c r="D12" s="161" t="n">
        <v>2710434.48</v>
      </c>
      <c r="E12" s="161" t="n">
        <v>2402410.43</v>
      </c>
      <c r="F12" s="161" t="n">
        <v>3985482.58</v>
      </c>
      <c r="G12" s="161" t="n">
        <v>4178441.93</v>
      </c>
      <c r="H12" s="161" t="n">
        <v>4314673.98</v>
      </c>
      <c r="I12" s="161" t="n">
        <v>5100719.4</v>
      </c>
      <c r="J12" s="161" t="n">
        <v>5260214.26</v>
      </c>
      <c r="K12" s="161" t="n">
        <v>5352854.32</v>
      </c>
      <c r="L12" s="161" t="n">
        <v>5849570.15</v>
      </c>
      <c r="M12" s="161" t="n">
        <v>6345476.13</v>
      </c>
      <c r="N12" s="161" t="n">
        <v>6208239.26</v>
      </c>
      <c r="O12" s="161" t="n">
        <v>6395725.66</v>
      </c>
      <c r="P12" s="161" t="n">
        <v>6526715.61</v>
      </c>
      <c r="Q12" s="161" t="n">
        <v>6598279.77</v>
      </c>
      <c r="R12" s="161" t="n">
        <v>7163160.25</v>
      </c>
      <c r="S12" s="161" t="n">
        <v>7214523.9</v>
      </c>
      <c r="T12" s="161" t="n">
        <v>7044289.83</v>
      </c>
      <c r="U12" s="161" t="n">
        <v>6558946.87</v>
      </c>
      <c r="V12" s="161" t="n">
        <v>6351724.99</v>
      </c>
      <c r="W12" s="161" t="n">
        <v>6350910.58</v>
      </c>
      <c r="X12" s="161" t="n">
        <v>6231956.53</v>
      </c>
      <c r="Y12" s="161" t="n">
        <v>6016281.88</v>
      </c>
      <c r="Z12" s="161" t="n">
        <v>5778039.55</v>
      </c>
      <c r="AA12" s="161" t="n">
        <v>5481055.51</v>
      </c>
      <c r="AB12" s="161" t="n">
        <v>5142476.89</v>
      </c>
      <c r="AC12" s="161" t="n">
        <v>4779056.04</v>
      </c>
      <c r="AD12" s="161" t="n">
        <v>4323487.76</v>
      </c>
      <c r="AE12" s="161" t="n">
        <v>3830756.31</v>
      </c>
      <c r="AF12" s="161" t="n">
        <v>3598719.36</v>
      </c>
      <c r="AG12" s="161" t="n">
        <v>2781458.46</v>
      </c>
      <c r="AH12" s="161" t="n">
        <v>2827130.02</v>
      </c>
      <c r="AI12" s="161" t="n">
        <v>2855162.63</v>
      </c>
      <c r="AJ12" s="161" t="n">
        <v>2738010.36</v>
      </c>
      <c r="AK12" s="161" t="n">
        <v>2961685.5</v>
      </c>
      <c r="AL12" s="161" t="n">
        <v>2681612.9</v>
      </c>
      <c r="AM12" s="161" t="n">
        <v>3067683.88</v>
      </c>
      <c r="AN12" s="161" t="n">
        <v>3017131.53</v>
      </c>
      <c r="AO12" s="161" t="n">
        <v>2857832.82</v>
      </c>
      <c r="AP12" s="161" t="n">
        <v>2717434.99</v>
      </c>
      <c r="AQ12" s="161" t="n">
        <v>2661368.69</v>
      </c>
      <c r="AR12" s="161" t="n">
        <v>2590847.28</v>
      </c>
      <c r="AS12" s="161" t="n">
        <v>2506479.9</v>
      </c>
      <c r="AT12" s="161" t="n">
        <v>2409088.63</v>
      </c>
      <c r="AU12" s="161" t="n">
        <v>2027193.27</v>
      </c>
      <c r="AV12" s="161" t="n">
        <v>1724513.73</v>
      </c>
      <c r="AW12" s="161" t="n">
        <v>1687294.56</v>
      </c>
      <c r="AX12" s="161" t="n">
        <v>1632789.15</v>
      </c>
      <c r="AY12" s="161" t="n">
        <v>1562651.7</v>
      </c>
      <c r="AZ12" s="161" t="n">
        <v>1478825.86</v>
      </c>
      <c r="BA12" s="161" t="n">
        <v>1383586.14</v>
      </c>
      <c r="BB12" s="161" t="n">
        <v>1279496.53</v>
      </c>
      <c r="BC12" s="161" t="n">
        <v>1169079.66</v>
      </c>
      <c r="BD12" s="161" t="n">
        <v>1054982.23</v>
      </c>
      <c r="BE12" s="161" t="n">
        <v>939685.52</v>
      </c>
      <c r="BF12" s="161" t="n">
        <v>825464.03</v>
      </c>
      <c r="BG12" s="161" t="n">
        <v>714385.48</v>
      </c>
      <c r="BH12" s="161" t="n">
        <v>608145.43</v>
      </c>
      <c r="BI12" s="161" t="n">
        <v>259255.01</v>
      </c>
      <c r="BJ12" s="161" t="n">
        <v>0</v>
      </c>
      <c r="BK12" s="161" t="n">
        <v>0</v>
      </c>
      <c r="BL12" s="161" t="n">
        <v>0</v>
      </c>
      <c r="BM12" s="161" t="n">
        <v>0</v>
      </c>
      <c r="BN12" s="161" t="n">
        <v>0</v>
      </c>
      <c r="BO12" s="161" t="n">
        <v>0</v>
      </c>
      <c r="BP12" s="161" t="n">
        <v>0</v>
      </c>
      <c r="BQ12" s="161" t="n">
        <v>0</v>
      </c>
      <c r="BR12" s="161" t="n">
        <v>0</v>
      </c>
      <c r="BS12" s="161" t="n">
        <v>0</v>
      </c>
      <c r="BT12" s="161" t="n">
        <v>0</v>
      </c>
      <c r="BU12" s="161" t="n">
        <v>0</v>
      </c>
      <c r="BV12" s="161" t="n">
        <v>0</v>
      </c>
      <c r="BW12" s="161" t="n">
        <v>0</v>
      </c>
      <c r="BX12" s="161" t="n">
        <v>0</v>
      </c>
      <c r="BY12" s="161" t="n">
        <v>0</v>
      </c>
      <c r="BZ12" s="161" t="n">
        <v>0</v>
      </c>
      <c r="CA12" s="161" t="n">
        <v>0</v>
      </c>
      <c r="CB12" s="161" t="n">
        <v>0</v>
      </c>
      <c r="CC12" s="161" t="n">
        <v>0</v>
      </c>
      <c r="CD12" s="161" t="n">
        <v>0</v>
      </c>
      <c r="CE12" s="161" t="n">
        <v>0</v>
      </c>
      <c r="CF12" s="161" t="n">
        <v>0</v>
      </c>
      <c r="CG12" s="161" t="n">
        <v>0</v>
      </c>
      <c r="CH12" s="161" t="n">
        <v>0</v>
      </c>
      <c r="CI12" s="161" t="n">
        <v>0</v>
      </c>
      <c r="CJ12" s="161" t="n">
        <v>0</v>
      </c>
      <c r="CK12" s="161" t="n">
        <v>0</v>
      </c>
      <c r="CL12" s="161" t="n">
        <v>0</v>
      </c>
      <c r="CM12" s="161" t="n">
        <v>0</v>
      </c>
      <c r="CN12" s="161" t="n">
        <v>0</v>
      </c>
      <c r="CO12" s="161" t="n">
        <v>0</v>
      </c>
      <c r="CP12" s="161" t="n">
        <v>0</v>
      </c>
      <c r="CQ12" s="161" t="n">
        <v>0</v>
      </c>
      <c r="CR12" s="161" t="n">
        <v>0</v>
      </c>
      <c r="CS12" s="161" t="n">
        <v>0</v>
      </c>
      <c r="CT12" s="161" t="n">
        <v>0</v>
      </c>
      <c r="CU12" s="161" t="n">
        <v>0</v>
      </c>
      <c r="CV12" s="161" t="n">
        <v>0</v>
      </c>
      <c r="CW12" s="161" t="n">
        <v>0</v>
      </c>
      <c r="CX12" s="161" t="n">
        <v>0</v>
      </c>
      <c r="CY12" s="161" t="n">
        <v>0</v>
      </c>
      <c r="CZ12" s="161" t="n">
        <v>0</v>
      </c>
      <c r="DA12" s="161" t="n">
        <v>0</v>
      </c>
      <c r="DB12" s="161" t="n">
        <v>0</v>
      </c>
      <c r="DC12" s="161" t="n">
        <v>0</v>
      </c>
      <c r="DD12" s="161" t="n">
        <v>0</v>
      </c>
      <c r="DE12" s="161" t="n">
        <v>0</v>
      </c>
      <c r="DF12" s="161" t="n">
        <v>0</v>
      </c>
    </row>
    <row r="13" customFormat="false" ht="15" hidden="false" customHeight="true" outlineLevel="0" collapsed="false">
      <c r="A13" s="94" t="s">
        <v>52</v>
      </c>
      <c r="C13" s="164" t="n">
        <f aca="false">C8+C10+C12</f>
        <v>1453786.74</v>
      </c>
      <c r="D13" s="164" t="n">
        <f aca="false">D8+D10+D12</f>
        <v>3022518.89</v>
      </c>
      <c r="E13" s="164" t="n">
        <f aca="false">E8+E10+E12</f>
        <v>2672216.16</v>
      </c>
      <c r="F13" s="164" t="n">
        <f aca="false">F8+F10+F12</f>
        <v>4454367.64625426</v>
      </c>
      <c r="G13" s="164" t="n">
        <f aca="false">G8+G10+G12</f>
        <v>4647326.99625426</v>
      </c>
      <c r="H13" s="164" t="n">
        <f aca="false">H8+H10+H12</f>
        <v>4783559.04625426</v>
      </c>
      <c r="I13" s="164" t="n">
        <f aca="false">I8+I10+I12</f>
        <v>5733416.58965458</v>
      </c>
      <c r="J13" s="164" t="n">
        <f aca="false">J8+J10+J12</f>
        <v>5892911.44965458</v>
      </c>
      <c r="K13" s="164" t="n">
        <f aca="false">K8+K10+K12</f>
        <v>5985551.50965458</v>
      </c>
      <c r="L13" s="164" t="n">
        <f aca="false">L8+L10+L12</f>
        <v>6624695.09695686</v>
      </c>
      <c r="M13" s="164" t="n">
        <f aca="false">M8+M10+M12</f>
        <v>7264827.11096425</v>
      </c>
      <c r="N13" s="164" t="n">
        <f aca="false">N8+N10+N12</f>
        <v>6982817.03487815</v>
      </c>
      <c r="O13" s="164" t="n">
        <f aca="false">O8+O10+O12</f>
        <v>7170303.43487815</v>
      </c>
      <c r="P13" s="164" t="n">
        <f aca="false">P8+P10+P12</f>
        <v>7301293.38487815</v>
      </c>
      <c r="Q13" s="164" t="n">
        <f aca="false">Q8+Q10+Q12</f>
        <v>7372857.54487815</v>
      </c>
      <c r="R13" s="164" t="n">
        <f aca="false">R8+R10+R12</f>
        <v>8110312.22893537</v>
      </c>
      <c r="S13" s="164" t="n">
        <f aca="false">S8+S10+S12</f>
        <v>8161675.87893537</v>
      </c>
      <c r="T13" s="164" t="n">
        <f aca="false">T8+T10+T12</f>
        <v>8150103.68722157</v>
      </c>
      <c r="U13" s="164" t="n">
        <f aca="false">U8+U10+U12</f>
        <v>7426580.28001747</v>
      </c>
      <c r="V13" s="164" t="n">
        <f aca="false">V8+V10+V12</f>
        <v>6953679.6484407</v>
      </c>
      <c r="W13" s="164" t="n">
        <f aca="false">W8+W10+W12</f>
        <v>6952865.2384407</v>
      </c>
      <c r="X13" s="164" t="n">
        <f aca="false">X8+X10+X12</f>
        <v>6855721.49288045</v>
      </c>
      <c r="Y13" s="164" t="n">
        <f aca="false">Y8+Y10+Y12</f>
        <v>6596426.23400095</v>
      </c>
      <c r="Z13" s="164" t="n">
        <f aca="false">Z8+Z10+Z12</f>
        <v>6358183.90400095</v>
      </c>
      <c r="AA13" s="164" t="n">
        <f aca="false">AA8+AA10+AA12</f>
        <v>6061199.86400095</v>
      </c>
      <c r="AB13" s="164" t="n">
        <f aca="false">AB8+AB10+AB12</f>
        <v>5722621.24400095</v>
      </c>
      <c r="AC13" s="164" t="n">
        <f aca="false">AC8+AC10+AC12</f>
        <v>5359200.39400095</v>
      </c>
      <c r="AD13" s="164" t="n">
        <f aca="false">AD8+AD10+AD12</f>
        <v>4985653.12984355</v>
      </c>
      <c r="AE13" s="164" t="n">
        <f aca="false">AE8+AE10+AE12</f>
        <v>4328879.64815835</v>
      </c>
      <c r="AF13" s="164" t="n">
        <f aca="false">AF8+AF10+AF12</f>
        <v>4254502.3390269</v>
      </c>
      <c r="AG13" s="164" t="n">
        <f aca="false">AG8+AG10+AG12</f>
        <v>3437241.4390269</v>
      </c>
      <c r="AH13" s="164" t="n">
        <f aca="false">AH8+AH10+AH12</f>
        <v>3482912.9990269</v>
      </c>
      <c r="AI13" s="164" t="n">
        <f aca="false">AI8+AI10+AI12</f>
        <v>3510945.6090269</v>
      </c>
      <c r="AJ13" s="164" t="n">
        <f aca="false">AJ8+AJ10+AJ12</f>
        <v>3521789.46859465</v>
      </c>
      <c r="AK13" s="164" t="n">
        <f aca="false">AK8+AK10+AK12</f>
        <v>3516138.20978576</v>
      </c>
      <c r="AL13" s="164" t="n">
        <f aca="false">AL8+AL10+AL12</f>
        <v>3494716.33094416</v>
      </c>
      <c r="AM13" s="164" t="n">
        <f aca="false">AM8+AM10+AM12</f>
        <v>3458324.46638544</v>
      </c>
      <c r="AN13" s="164" t="n">
        <f aca="false">AN8+AN10+AN12</f>
        <v>3407772.11638544</v>
      </c>
      <c r="AO13" s="164" t="n">
        <f aca="false">AO8+AO10+AO12</f>
        <v>3343852.47184809</v>
      </c>
      <c r="AP13" s="164" t="n">
        <f aca="false">AP8+AP10+AP12</f>
        <v>3047668.83492576</v>
      </c>
      <c r="AQ13" s="164" t="n">
        <f aca="false">AQ8+AQ10+AQ12</f>
        <v>2991602.53492576</v>
      </c>
      <c r="AR13" s="164" t="n">
        <f aca="false">AR8+AR10+AR12</f>
        <v>2921081.12492576</v>
      </c>
      <c r="AS13" s="164" t="n">
        <f aca="false">AS8+AS10+AS12</f>
        <v>2836713.74492576</v>
      </c>
      <c r="AT13" s="164" t="n">
        <f aca="false">AT8+AT10+AT12</f>
        <v>2739322.47492576</v>
      </c>
      <c r="AU13" s="164" t="n">
        <f aca="false">AU8+AU10+AU12</f>
        <v>2629912.70027926</v>
      </c>
      <c r="AV13" s="164" t="n">
        <f aca="false">AV8+AV10+AV12</f>
        <v>1882173.37086855</v>
      </c>
      <c r="AW13" s="164" t="n">
        <f aca="false">AW8+AW10+AW12</f>
        <v>1844954.20086855</v>
      </c>
      <c r="AX13" s="164" t="n">
        <f aca="false">AX8+AX10+AX12</f>
        <v>1790448.79086855</v>
      </c>
      <c r="AY13" s="164" t="n">
        <f aca="false">AY8+AY10+AY12</f>
        <v>1720311.34086855</v>
      </c>
      <c r="AZ13" s="164" t="n">
        <f aca="false">AZ8+AZ10+AZ12</f>
        <v>1636485.50086855</v>
      </c>
      <c r="BA13" s="164" t="n">
        <f aca="false">BA8+BA10+BA12</f>
        <v>1541245.78086855</v>
      </c>
      <c r="BB13" s="164" t="n">
        <f aca="false">BB8+BB10+BB12</f>
        <v>1437156.17086855</v>
      </c>
      <c r="BC13" s="164" t="n">
        <f aca="false">BC8+BC10+BC12</f>
        <v>1326739.30086855</v>
      </c>
      <c r="BD13" s="164" t="n">
        <f aca="false">BD8+BD10+BD12</f>
        <v>1212641.87086855</v>
      </c>
      <c r="BE13" s="164" t="n">
        <f aca="false">BE8+BE10+BE12</f>
        <v>1097345.16086855</v>
      </c>
      <c r="BF13" s="164" t="n">
        <f aca="false">BF8+BF10+BF12</f>
        <v>983123.670868547</v>
      </c>
      <c r="BG13" s="164" t="n">
        <f aca="false">BG8+BG10+BG12</f>
        <v>872045.120868547</v>
      </c>
      <c r="BH13" s="164" t="n">
        <f aca="false">BH8+BH10+BH12</f>
        <v>765805.070868547</v>
      </c>
      <c r="BI13" s="164" t="n">
        <f aca="false">BI8+BI10+BI12</f>
        <v>665850.925924146</v>
      </c>
      <c r="BJ13" s="164" t="n">
        <f aca="false">BJ8+BJ10+BJ12</f>
        <v>0</v>
      </c>
      <c r="BK13" s="164" t="n">
        <f aca="false">BK8+BK10+BK12</f>
        <v>0</v>
      </c>
      <c r="BL13" s="164" t="n">
        <f aca="false">BL8+BL10+BL12</f>
        <v>0</v>
      </c>
      <c r="BM13" s="164" t="n">
        <f aca="false">BM8+BM10+BM12</f>
        <v>0</v>
      </c>
      <c r="BN13" s="164" t="n">
        <f aca="false">BN8+BN10+BN12</f>
        <v>0</v>
      </c>
      <c r="BO13" s="164" t="n">
        <f aca="false">BO8+BO10+BO12</f>
        <v>0</v>
      </c>
      <c r="BP13" s="164" t="n">
        <f aca="false">BP8+BP10+BP12</f>
        <v>0</v>
      </c>
      <c r="BQ13" s="164" t="n">
        <f aca="false">BQ8+BQ10+BQ12</f>
        <v>0</v>
      </c>
      <c r="BR13" s="164" t="n">
        <f aca="false">BR8+BR10+BR12</f>
        <v>0</v>
      </c>
      <c r="BS13" s="164" t="n">
        <f aca="false">BS8+BS10+BS12</f>
        <v>0</v>
      </c>
      <c r="BT13" s="164" t="n">
        <f aca="false">BT8+BT10+BT12</f>
        <v>0</v>
      </c>
      <c r="BU13" s="164" t="n">
        <f aca="false">BU8+BU10+BU12</f>
        <v>0</v>
      </c>
      <c r="BV13" s="164" t="n">
        <f aca="false">BV8+BV10+BV12</f>
        <v>0</v>
      </c>
      <c r="BW13" s="164" t="n">
        <f aca="false">BW8+BW10+BW12</f>
        <v>0</v>
      </c>
      <c r="BX13" s="164" t="n">
        <f aca="false">BX8+BX10+BX12</f>
        <v>0</v>
      </c>
      <c r="BY13" s="164" t="n">
        <f aca="false">BY8+BY10+BY12</f>
        <v>0</v>
      </c>
      <c r="BZ13" s="164" t="n">
        <f aca="false">BZ8+BZ10+BZ12</f>
        <v>0</v>
      </c>
      <c r="CA13" s="164" t="n">
        <f aca="false">CA8+CA10+CA12</f>
        <v>0</v>
      </c>
      <c r="CB13" s="164" t="n">
        <f aca="false">CB8+CB10+CB12</f>
        <v>0</v>
      </c>
      <c r="CC13" s="164" t="n">
        <f aca="false">CC8+CC10+CC12</f>
        <v>0</v>
      </c>
      <c r="CD13" s="164" t="n">
        <f aca="false">CD8+CD10+CD12</f>
        <v>0</v>
      </c>
      <c r="CE13" s="164" t="n">
        <f aca="false">CE8+CE10+CE12</f>
        <v>0</v>
      </c>
      <c r="CF13" s="164" t="n">
        <f aca="false">CF8+CF10+CF12</f>
        <v>0</v>
      </c>
      <c r="CG13" s="164" t="n">
        <f aca="false">CG8+CG10+CG12</f>
        <v>0</v>
      </c>
      <c r="CH13" s="164" t="n">
        <f aca="false">CH8+CH10+CH12</f>
        <v>0</v>
      </c>
      <c r="CI13" s="164" t="n">
        <f aca="false">CI8+CI10+CI12</f>
        <v>0</v>
      </c>
      <c r="CJ13" s="164" t="n">
        <f aca="false">CJ8+CJ10+CJ12</f>
        <v>0</v>
      </c>
      <c r="CK13" s="164" t="n">
        <f aca="false">CK8+CK10+CK12</f>
        <v>0</v>
      </c>
      <c r="CL13" s="164" t="n">
        <f aca="false">CL8+CL10+CL12</f>
        <v>0</v>
      </c>
      <c r="CM13" s="164" t="n">
        <f aca="false">CM8+CM10+CM12</f>
        <v>0</v>
      </c>
      <c r="CN13" s="164" t="n">
        <f aca="false">CN8+CN10+CN12</f>
        <v>0</v>
      </c>
      <c r="CO13" s="164" t="n">
        <f aca="false">CO8+CO10+CO12</f>
        <v>0</v>
      </c>
      <c r="CP13" s="164" t="n">
        <f aca="false">CP8+CP10+CP12</f>
        <v>0</v>
      </c>
      <c r="CQ13" s="164" t="n">
        <f aca="false">CQ8+CQ10+CQ12</f>
        <v>0</v>
      </c>
      <c r="CR13" s="164" t="n">
        <f aca="false">CR8+CR10+CR12</f>
        <v>0</v>
      </c>
      <c r="CS13" s="164" t="n">
        <f aca="false">CS8+CS10+CS12</f>
        <v>0</v>
      </c>
      <c r="CT13" s="164" t="n">
        <f aca="false">CT8+CT10+CT12</f>
        <v>0</v>
      </c>
      <c r="CU13" s="164" t="n">
        <f aca="false">CU8+CU10+CU12</f>
        <v>0</v>
      </c>
      <c r="CV13" s="164" t="n">
        <f aca="false">CV8+CV10+CV12</f>
        <v>0</v>
      </c>
      <c r="CW13" s="164" t="n">
        <f aca="false">CW8+CW10+CW12</f>
        <v>0</v>
      </c>
      <c r="CX13" s="164" t="n">
        <f aca="false">CX8+CX10+CX12</f>
        <v>0</v>
      </c>
      <c r="CY13" s="164" t="n">
        <f aca="false">CY8+CY10+CY12</f>
        <v>0</v>
      </c>
      <c r="CZ13" s="164" t="n">
        <f aca="false">CZ8+CZ10+CZ12</f>
        <v>0</v>
      </c>
      <c r="DA13" s="164" t="n">
        <f aca="false">DA8+DA10+DA12</f>
        <v>0</v>
      </c>
      <c r="DB13" s="164" t="n">
        <f aca="false">DB8+DB10+DB12</f>
        <v>0</v>
      </c>
      <c r="DC13" s="164" t="n">
        <f aca="false">DC8+DC10+DC12</f>
        <v>0</v>
      </c>
      <c r="DD13" s="164" t="n">
        <f aca="false">DD8+DD10+DD12</f>
        <v>0</v>
      </c>
      <c r="DE13" s="164" t="n">
        <f aca="false">DE8+DE10+DE12</f>
        <v>0</v>
      </c>
      <c r="DF13" s="164" t="n">
        <f aca="false">DF8+DF10+DF12</f>
        <v>0</v>
      </c>
    </row>
    <row r="14" customFormat="false" ht="15" hidden="false" customHeight="true" outlineLevel="0" collapsed="false">
      <c r="A14" s="101" t="s">
        <v>356</v>
      </c>
      <c r="C14" s="163" t="n">
        <v>-1233067.43</v>
      </c>
      <c r="D14" s="163" t="n">
        <v>-3073522.36</v>
      </c>
      <c r="E14" s="163" t="n">
        <v>-2078031.64</v>
      </c>
      <c r="F14" s="165" t="n">
        <v>-3985482.58403402</v>
      </c>
      <c r="G14" s="165" t="n">
        <v>-4178441.93467641</v>
      </c>
      <c r="H14" s="165" t="n">
        <v>-4314673.98179329</v>
      </c>
      <c r="I14" s="165" t="n">
        <v>-5100719.40418529</v>
      </c>
      <c r="J14" s="165" t="n">
        <v>-5260214.25623971</v>
      </c>
      <c r="K14" s="165" t="n">
        <v>-5352854.31833945</v>
      </c>
      <c r="L14" s="165" t="n">
        <v>-5849570.14613038</v>
      </c>
      <c r="M14" s="165" t="n">
        <v>-6345476.13239193</v>
      </c>
      <c r="N14" s="165" t="n">
        <v>-6208239.26255321</v>
      </c>
      <c r="O14" s="165" t="n">
        <v>-6395725.66434017</v>
      </c>
      <c r="P14" s="165" t="n">
        <v>-6526715.60885338</v>
      </c>
      <c r="Q14" s="165" t="n">
        <v>-6598279.76517372</v>
      </c>
      <c r="R14" s="165" t="n">
        <v>-7163160.25198472</v>
      </c>
      <c r="S14" s="165" t="n">
        <v>-7214523.89541135</v>
      </c>
      <c r="T14" s="165" t="n">
        <v>-7044289.82829815</v>
      </c>
      <c r="U14" s="165" t="n">
        <v>-6558946.86638782</v>
      </c>
      <c r="V14" s="165" t="n">
        <v>-6351724.9937303</v>
      </c>
      <c r="W14" s="165" t="n">
        <v>-6350910.5797313</v>
      </c>
      <c r="X14" s="165" t="n">
        <v>-6231956.52523155</v>
      </c>
      <c r="Y14" s="165" t="n">
        <v>-6016281.88355905</v>
      </c>
      <c r="Z14" s="165" t="n">
        <v>-5778039.55108905</v>
      </c>
      <c r="AA14" s="165" t="n">
        <v>-5481055.51416705</v>
      </c>
      <c r="AB14" s="165" t="n">
        <v>-5142476.88514805</v>
      </c>
      <c r="AC14" s="165" t="n">
        <v>-4779056.03641005</v>
      </c>
      <c r="AD14" s="165" t="n">
        <v>-4323487.76034045</v>
      </c>
      <c r="AE14" s="165" t="n">
        <v>-3830756.31368165</v>
      </c>
      <c r="AF14" s="165" t="n">
        <v>-3598719.3564371</v>
      </c>
      <c r="AG14" s="165" t="n">
        <v>-2781458.4577761</v>
      </c>
      <c r="AH14" s="165" t="n">
        <v>-2827130.0229831</v>
      </c>
      <c r="AI14" s="165" t="n">
        <v>-2855162.6339251</v>
      </c>
      <c r="AJ14" s="165" t="n">
        <v>-2738010.36288435</v>
      </c>
      <c r="AK14" s="165" t="n">
        <v>-2961685.49998524</v>
      </c>
      <c r="AL14" s="165" t="n">
        <v>-2681612.89887884</v>
      </c>
      <c r="AM14" s="165" t="n">
        <v>-3067683.88382956</v>
      </c>
      <c r="AN14" s="165" t="n">
        <v>-3017131.52805656</v>
      </c>
      <c r="AO14" s="165" t="n">
        <v>-2857832.82197891</v>
      </c>
      <c r="AP14" s="165" t="n">
        <v>-2717434.98835224</v>
      </c>
      <c r="AQ14" s="165" t="n">
        <v>-2661368.68946424</v>
      </c>
      <c r="AR14" s="165" t="n">
        <v>-2590847.27570024</v>
      </c>
      <c r="AS14" s="165" t="n">
        <v>-2506479.90028024</v>
      </c>
      <c r="AT14" s="165" t="n">
        <v>-2409088.63497424</v>
      </c>
      <c r="AU14" s="165" t="n">
        <v>-2027193.26653074</v>
      </c>
      <c r="AV14" s="165" t="n">
        <v>-1724513.72534745</v>
      </c>
      <c r="AW14" s="165" t="n">
        <v>-1687294.55654745</v>
      </c>
      <c r="AX14" s="165" t="n">
        <v>-1632789.15157145</v>
      </c>
      <c r="AY14" s="165" t="n">
        <v>-1562651.69569945</v>
      </c>
      <c r="AZ14" s="165" t="n">
        <v>-1478825.85663545</v>
      </c>
      <c r="BA14" s="165" t="n">
        <v>-1383586.13913945</v>
      </c>
      <c r="BB14" s="165" t="n">
        <v>-1279496.53039545</v>
      </c>
      <c r="BC14" s="165" t="n">
        <v>-1169079.66295545</v>
      </c>
      <c r="BD14" s="165" t="n">
        <v>-1054982.23326745</v>
      </c>
      <c r="BE14" s="165" t="n">
        <v>-939685.519251453</v>
      </c>
      <c r="BF14" s="165" t="n">
        <v>-825464.025667453</v>
      </c>
      <c r="BG14" s="165" t="n">
        <v>-714385.484115453</v>
      </c>
      <c r="BH14" s="165" t="n">
        <v>-608145.434507453</v>
      </c>
      <c r="BI14" s="165" t="n">
        <v>-259255.013907853</v>
      </c>
      <c r="BJ14" s="165" t="n">
        <v>0</v>
      </c>
      <c r="BK14" s="165" t="n">
        <v>0</v>
      </c>
      <c r="BL14" s="165" t="n">
        <v>0</v>
      </c>
      <c r="BM14" s="165" t="n">
        <v>0</v>
      </c>
      <c r="BN14" s="165" t="n">
        <v>0</v>
      </c>
      <c r="BO14" s="165" t="n">
        <v>0</v>
      </c>
      <c r="BP14" s="165" t="n">
        <v>0</v>
      </c>
      <c r="BQ14" s="165" t="n">
        <v>0</v>
      </c>
      <c r="BR14" s="165" t="n">
        <v>0</v>
      </c>
      <c r="BS14" s="165" t="n">
        <v>0</v>
      </c>
      <c r="BT14" s="165" t="n">
        <v>0</v>
      </c>
      <c r="BU14" s="165" t="n">
        <v>0</v>
      </c>
      <c r="BV14" s="165" t="n">
        <v>0</v>
      </c>
      <c r="BW14" s="165" t="n">
        <v>0</v>
      </c>
      <c r="BX14" s="165" t="n">
        <v>0</v>
      </c>
      <c r="BY14" s="165" t="n">
        <v>0</v>
      </c>
      <c r="BZ14" s="165" t="n">
        <v>0</v>
      </c>
      <c r="CA14" s="165" t="n">
        <v>0</v>
      </c>
      <c r="CB14" s="165" t="n">
        <v>0</v>
      </c>
      <c r="CC14" s="165" t="n">
        <v>0</v>
      </c>
      <c r="CD14" s="165" t="n">
        <v>0</v>
      </c>
      <c r="CE14" s="165" t="n">
        <v>0</v>
      </c>
      <c r="CF14" s="165" t="n">
        <v>0</v>
      </c>
      <c r="CG14" s="165" t="n">
        <v>0</v>
      </c>
      <c r="CH14" s="165" t="n">
        <v>0</v>
      </c>
      <c r="CI14" s="165" t="n">
        <v>0</v>
      </c>
      <c r="CJ14" s="165" t="n">
        <v>0</v>
      </c>
      <c r="CK14" s="165" t="n">
        <v>0</v>
      </c>
      <c r="CL14" s="165" t="n">
        <v>0</v>
      </c>
      <c r="CM14" s="165" t="n">
        <v>0</v>
      </c>
      <c r="CN14" s="165" t="n">
        <v>0</v>
      </c>
      <c r="CO14" s="165" t="n">
        <v>0</v>
      </c>
      <c r="CP14" s="165" t="n">
        <v>0</v>
      </c>
      <c r="CQ14" s="165" t="n">
        <v>0</v>
      </c>
      <c r="CR14" s="165" t="n">
        <v>0</v>
      </c>
      <c r="CS14" s="165" t="n">
        <v>0</v>
      </c>
      <c r="CT14" s="165" t="n">
        <v>0</v>
      </c>
      <c r="CU14" s="165" t="n">
        <v>0</v>
      </c>
      <c r="CV14" s="165" t="n">
        <v>0</v>
      </c>
      <c r="CW14" s="165" t="n">
        <v>0</v>
      </c>
      <c r="CX14" s="165" t="n">
        <v>0</v>
      </c>
      <c r="CY14" s="165" t="n">
        <v>0</v>
      </c>
      <c r="CZ14" s="165" t="n">
        <v>0</v>
      </c>
      <c r="DA14" s="165" t="n">
        <v>0</v>
      </c>
      <c r="DB14" s="165" t="n">
        <v>0</v>
      </c>
      <c r="DC14" s="165" t="n">
        <v>0</v>
      </c>
      <c r="DD14" s="165" t="n">
        <v>0</v>
      </c>
      <c r="DE14" s="165" t="n">
        <v>0</v>
      </c>
      <c r="DF14" s="165" t="n">
        <v>0</v>
      </c>
    </row>
    <row r="15" customFormat="false" ht="15" hidden="false" customHeight="true" outlineLevel="0" collapsed="false">
      <c r="A15" s="90" t="s">
        <v>413</v>
      </c>
      <c r="C15" s="104" t="n">
        <v>0</v>
      </c>
      <c r="D15" s="104" t="n">
        <v>0</v>
      </c>
      <c r="E15" s="104" t="n">
        <v>0</v>
      </c>
      <c r="F15" s="160" t="n">
        <v>0</v>
      </c>
      <c r="G15" s="160" t="n">
        <v>0</v>
      </c>
      <c r="H15" s="160" t="n">
        <v>0</v>
      </c>
      <c r="I15" s="160" t="n">
        <v>644526.72</v>
      </c>
      <c r="J15" s="160" t="n">
        <v>0</v>
      </c>
      <c r="K15" s="160" t="n">
        <v>0</v>
      </c>
      <c r="L15" s="160" t="n">
        <v>442059.825</v>
      </c>
      <c r="M15" s="160" t="n">
        <v>318951.075</v>
      </c>
      <c r="N15" s="160" t="n">
        <v>0</v>
      </c>
      <c r="O15" s="160" t="n">
        <v>0</v>
      </c>
      <c r="P15" s="160" t="n">
        <v>0</v>
      </c>
      <c r="Q15" s="160" t="n">
        <v>0</v>
      </c>
      <c r="R15" s="160" t="n">
        <v>679001.55</v>
      </c>
      <c r="S15" s="160" t="n">
        <v>0</v>
      </c>
      <c r="T15" s="160" t="n">
        <v>0</v>
      </c>
      <c r="U15" s="160" t="n">
        <v>0</v>
      </c>
      <c r="V15" s="160" t="n">
        <v>0</v>
      </c>
      <c r="W15" s="160" t="n">
        <v>0</v>
      </c>
      <c r="X15" s="160" t="n">
        <v>0</v>
      </c>
      <c r="Y15" s="160" t="n">
        <v>0</v>
      </c>
      <c r="Z15" s="160" t="n">
        <v>0</v>
      </c>
      <c r="AA15" s="160" t="n">
        <v>0</v>
      </c>
      <c r="AB15" s="160" t="n">
        <v>0</v>
      </c>
      <c r="AC15" s="160" t="n">
        <v>0</v>
      </c>
      <c r="AD15" s="160" t="n">
        <v>0</v>
      </c>
      <c r="AE15" s="160" t="n">
        <v>0</v>
      </c>
      <c r="AF15" s="160" t="n">
        <v>620319.48</v>
      </c>
      <c r="AG15" s="160" t="n">
        <v>0</v>
      </c>
      <c r="AH15" s="160" t="n">
        <v>0</v>
      </c>
      <c r="AI15" s="160" t="n">
        <v>0</v>
      </c>
      <c r="AJ15" s="160" t="n">
        <v>0</v>
      </c>
      <c r="AK15" s="160" t="n">
        <v>0</v>
      </c>
      <c r="AL15" s="160" t="n">
        <v>0</v>
      </c>
      <c r="AM15" s="160" t="n">
        <v>0</v>
      </c>
      <c r="AN15" s="160" t="n">
        <v>0</v>
      </c>
      <c r="AO15" s="160" t="n">
        <v>0</v>
      </c>
      <c r="AP15" s="160" t="n">
        <v>0</v>
      </c>
      <c r="AQ15" s="160" t="n">
        <v>0</v>
      </c>
      <c r="AR15" s="160" t="n">
        <v>0</v>
      </c>
      <c r="AS15" s="160" t="n">
        <v>0</v>
      </c>
      <c r="AT15" s="160" t="n">
        <v>0</v>
      </c>
      <c r="AU15" s="160" t="n">
        <v>0</v>
      </c>
      <c r="AV15" s="160" t="n">
        <v>0</v>
      </c>
      <c r="AW15" s="160" t="n">
        <v>0</v>
      </c>
      <c r="AX15" s="160" t="n">
        <v>0</v>
      </c>
      <c r="AY15" s="160" t="n">
        <v>0</v>
      </c>
      <c r="AZ15" s="160" t="n">
        <v>0</v>
      </c>
      <c r="BA15" s="160" t="n">
        <v>0</v>
      </c>
      <c r="BB15" s="160" t="n">
        <v>0</v>
      </c>
      <c r="BC15" s="160" t="n">
        <v>0</v>
      </c>
      <c r="BD15" s="160" t="n">
        <v>0</v>
      </c>
      <c r="BE15" s="160" t="n">
        <v>0</v>
      </c>
      <c r="BF15" s="160" t="n">
        <v>0</v>
      </c>
      <c r="BG15" s="160" t="n">
        <v>0</v>
      </c>
      <c r="BH15" s="160" t="n">
        <v>0</v>
      </c>
      <c r="BI15" s="160" t="n">
        <v>0</v>
      </c>
      <c r="BJ15" s="160" t="n">
        <v>0</v>
      </c>
      <c r="BK15" s="160" t="n">
        <v>0</v>
      </c>
      <c r="BL15" s="160" t="n">
        <v>0</v>
      </c>
      <c r="BM15" s="160" t="n">
        <v>0</v>
      </c>
      <c r="BN15" s="160" t="n">
        <v>0</v>
      </c>
      <c r="BO15" s="160" t="n">
        <v>0</v>
      </c>
      <c r="BP15" s="160" t="n">
        <v>0</v>
      </c>
      <c r="BQ15" s="160" t="n">
        <v>0</v>
      </c>
      <c r="BR15" s="160" t="n">
        <v>0</v>
      </c>
      <c r="BS15" s="160" t="n">
        <v>0</v>
      </c>
      <c r="BT15" s="160" t="n">
        <v>0</v>
      </c>
      <c r="BU15" s="160" t="n">
        <v>0</v>
      </c>
      <c r="BV15" s="160" t="n">
        <v>0</v>
      </c>
      <c r="BW15" s="160" t="n">
        <v>0</v>
      </c>
      <c r="BX15" s="160" t="n">
        <v>0</v>
      </c>
      <c r="BY15" s="160" t="n">
        <v>0</v>
      </c>
      <c r="BZ15" s="160" t="n">
        <v>0</v>
      </c>
      <c r="CA15" s="160" t="n">
        <v>0</v>
      </c>
      <c r="CB15" s="160" t="n">
        <v>0</v>
      </c>
      <c r="CC15" s="160" t="n">
        <v>0</v>
      </c>
      <c r="CD15" s="160" t="n">
        <v>0</v>
      </c>
      <c r="CE15" s="160" t="n">
        <v>0</v>
      </c>
      <c r="CF15" s="160" t="n">
        <v>0</v>
      </c>
      <c r="CG15" s="160" t="n">
        <v>0</v>
      </c>
      <c r="CH15" s="160" t="n">
        <v>0</v>
      </c>
      <c r="CI15" s="160" t="n">
        <v>0</v>
      </c>
      <c r="CJ15" s="160" t="n">
        <v>0</v>
      </c>
      <c r="CK15" s="160" t="n">
        <v>0</v>
      </c>
      <c r="CL15" s="160" t="n">
        <v>0</v>
      </c>
      <c r="CM15" s="160" t="n">
        <v>0</v>
      </c>
      <c r="CN15" s="160" t="n">
        <v>0</v>
      </c>
      <c r="CO15" s="160" t="n">
        <v>0</v>
      </c>
      <c r="CP15" s="160" t="n">
        <v>0</v>
      </c>
      <c r="CQ15" s="160" t="n">
        <v>0</v>
      </c>
      <c r="CR15" s="160" t="n">
        <v>0</v>
      </c>
      <c r="CS15" s="160" t="n">
        <v>0</v>
      </c>
      <c r="CT15" s="160" t="n">
        <v>0</v>
      </c>
      <c r="CU15" s="160" t="n">
        <v>0</v>
      </c>
      <c r="CV15" s="160" t="n">
        <v>0</v>
      </c>
      <c r="CW15" s="160" t="n">
        <v>0</v>
      </c>
      <c r="CX15" s="160" t="n">
        <v>0</v>
      </c>
      <c r="CY15" s="160" t="n">
        <v>0</v>
      </c>
      <c r="CZ15" s="160" t="n">
        <v>0</v>
      </c>
      <c r="DA15" s="160" t="n">
        <v>0</v>
      </c>
      <c r="DB15" s="160" t="n">
        <v>0</v>
      </c>
      <c r="DC15" s="160" t="n">
        <v>0</v>
      </c>
      <c r="DD15" s="160" t="n">
        <v>0</v>
      </c>
      <c r="DE15" s="160" t="n">
        <v>0</v>
      </c>
      <c r="DF15" s="160" t="n">
        <v>0</v>
      </c>
    </row>
    <row r="16" customFormat="false" ht="15" hidden="false" customHeight="true" outlineLevel="0" collapsed="false">
      <c r="A16" s="90" t="s">
        <v>415</v>
      </c>
      <c r="C16" s="164" t="n">
        <v>-1966.5</v>
      </c>
      <c r="D16" s="164" t="n">
        <v>0</v>
      </c>
      <c r="E16" s="164" t="n">
        <v>0</v>
      </c>
      <c r="F16" s="160" t="n">
        <v>0</v>
      </c>
      <c r="G16" s="160" t="n">
        <v>0</v>
      </c>
      <c r="H16" s="160" t="n">
        <v>0</v>
      </c>
      <c r="I16" s="160" t="n">
        <v>-317966.5152</v>
      </c>
      <c r="J16" s="160" t="n">
        <v>0</v>
      </c>
      <c r="K16" s="160" t="n">
        <v>0</v>
      </c>
      <c r="L16" s="160" t="n">
        <v>-218082.847</v>
      </c>
      <c r="M16" s="160" t="n">
        <v>-157349.197</v>
      </c>
      <c r="N16" s="160" t="n">
        <v>0</v>
      </c>
      <c r="O16" s="160" t="n">
        <v>0</v>
      </c>
      <c r="P16" s="160" t="n">
        <v>0</v>
      </c>
      <c r="Q16" s="160" t="n">
        <v>0</v>
      </c>
      <c r="R16" s="160" t="n">
        <v>-1471170.025</v>
      </c>
      <c r="S16" s="160" t="n">
        <v>0</v>
      </c>
      <c r="T16" s="160" t="n">
        <v>0</v>
      </c>
      <c r="U16" s="160" t="n">
        <v>0</v>
      </c>
      <c r="V16" s="160" t="n">
        <v>0</v>
      </c>
      <c r="W16" s="160" t="n">
        <v>0</v>
      </c>
      <c r="X16" s="160" t="n">
        <v>0</v>
      </c>
      <c r="Y16" s="160" t="n">
        <v>0</v>
      </c>
      <c r="Z16" s="160" t="n">
        <v>0</v>
      </c>
      <c r="AA16" s="160" t="n">
        <v>0</v>
      </c>
      <c r="AB16" s="160" t="n">
        <v>0</v>
      </c>
      <c r="AC16" s="160" t="n">
        <v>0</v>
      </c>
      <c r="AD16" s="160" t="n">
        <v>0</v>
      </c>
      <c r="AE16" s="160" t="n">
        <v>0</v>
      </c>
      <c r="AF16" s="160" t="n">
        <v>-1344025.54</v>
      </c>
      <c r="AG16" s="160" t="n">
        <v>0</v>
      </c>
      <c r="AH16" s="160" t="n">
        <v>0</v>
      </c>
      <c r="AI16" s="160" t="n">
        <v>0</v>
      </c>
      <c r="AJ16" s="160" t="n">
        <v>0</v>
      </c>
      <c r="AK16" s="160" t="n">
        <v>0</v>
      </c>
      <c r="AL16" s="160" t="n">
        <v>0</v>
      </c>
      <c r="AM16" s="160" t="n">
        <v>0</v>
      </c>
      <c r="AN16" s="160" t="n">
        <v>0</v>
      </c>
      <c r="AO16" s="160" t="n">
        <v>0</v>
      </c>
      <c r="AP16" s="160" t="n">
        <v>0</v>
      </c>
      <c r="AQ16" s="160" t="n">
        <v>0</v>
      </c>
      <c r="AR16" s="160" t="n">
        <v>0</v>
      </c>
      <c r="AS16" s="160" t="n">
        <v>0</v>
      </c>
      <c r="AT16" s="160" t="n">
        <v>0</v>
      </c>
      <c r="AU16" s="160" t="n">
        <v>0</v>
      </c>
      <c r="AV16" s="160" t="n">
        <v>0</v>
      </c>
      <c r="AW16" s="160" t="n">
        <v>0</v>
      </c>
      <c r="AX16" s="160" t="n">
        <v>0</v>
      </c>
      <c r="AY16" s="160" t="n">
        <v>0</v>
      </c>
      <c r="AZ16" s="160" t="n">
        <v>0</v>
      </c>
      <c r="BA16" s="160" t="n">
        <v>0</v>
      </c>
      <c r="BB16" s="160" t="n">
        <v>0</v>
      </c>
      <c r="BC16" s="160" t="n">
        <v>0</v>
      </c>
      <c r="BD16" s="160" t="n">
        <v>0</v>
      </c>
      <c r="BE16" s="160" t="n">
        <v>0</v>
      </c>
      <c r="BF16" s="160" t="n">
        <v>0</v>
      </c>
      <c r="BG16" s="160" t="n">
        <v>0</v>
      </c>
      <c r="BH16" s="160" t="n">
        <v>0</v>
      </c>
      <c r="BI16" s="160" t="n">
        <v>0</v>
      </c>
      <c r="BJ16" s="160" t="n">
        <v>0</v>
      </c>
      <c r="BK16" s="160" t="n">
        <v>0</v>
      </c>
      <c r="BL16" s="160" t="n">
        <v>0</v>
      </c>
      <c r="BM16" s="160" t="n">
        <v>0</v>
      </c>
      <c r="BN16" s="160" t="n">
        <v>0</v>
      </c>
      <c r="BO16" s="160" t="n">
        <v>0</v>
      </c>
      <c r="BP16" s="160" t="n">
        <v>0</v>
      </c>
      <c r="BQ16" s="160" t="n">
        <v>0</v>
      </c>
      <c r="BR16" s="160" t="n">
        <v>0</v>
      </c>
      <c r="BS16" s="160" t="n">
        <v>0</v>
      </c>
      <c r="BT16" s="160" t="n">
        <v>0</v>
      </c>
      <c r="BU16" s="160" t="n">
        <v>0</v>
      </c>
      <c r="BV16" s="160" t="n">
        <v>0</v>
      </c>
      <c r="BW16" s="160" t="n">
        <v>0</v>
      </c>
      <c r="BX16" s="160" t="n">
        <v>0</v>
      </c>
      <c r="BY16" s="160" t="n">
        <v>0</v>
      </c>
      <c r="BZ16" s="160" t="n">
        <v>0</v>
      </c>
      <c r="CA16" s="160" t="n">
        <v>0</v>
      </c>
      <c r="CB16" s="160" t="n">
        <v>0</v>
      </c>
      <c r="CC16" s="160" t="n">
        <v>0</v>
      </c>
      <c r="CD16" s="160" t="n">
        <v>0</v>
      </c>
      <c r="CE16" s="160" t="n">
        <v>0</v>
      </c>
      <c r="CF16" s="160" t="n">
        <v>0</v>
      </c>
      <c r="CG16" s="160" t="n">
        <v>0</v>
      </c>
      <c r="CH16" s="160" t="n">
        <v>0</v>
      </c>
      <c r="CI16" s="160" t="n">
        <v>0</v>
      </c>
      <c r="CJ16" s="160" t="n">
        <v>0</v>
      </c>
      <c r="CK16" s="160" t="n">
        <v>0</v>
      </c>
      <c r="CL16" s="160" t="n">
        <v>0</v>
      </c>
      <c r="CM16" s="160" t="n">
        <v>0</v>
      </c>
      <c r="CN16" s="160" t="n">
        <v>0</v>
      </c>
      <c r="CO16" s="160" t="n">
        <v>0</v>
      </c>
      <c r="CP16" s="160" t="n">
        <v>0</v>
      </c>
      <c r="CQ16" s="160" t="n">
        <v>0</v>
      </c>
      <c r="CR16" s="160" t="n">
        <v>0</v>
      </c>
      <c r="CS16" s="160" t="n">
        <v>0</v>
      </c>
      <c r="CT16" s="160" t="n">
        <v>0</v>
      </c>
      <c r="CU16" s="160" t="n">
        <v>0</v>
      </c>
      <c r="CV16" s="160" t="n">
        <v>0</v>
      </c>
      <c r="CW16" s="160" t="n">
        <v>0</v>
      </c>
      <c r="CX16" s="160" t="n">
        <v>0</v>
      </c>
      <c r="CY16" s="160" t="n">
        <v>0</v>
      </c>
      <c r="CZ16" s="160" t="n">
        <v>0</v>
      </c>
      <c r="DA16" s="160" t="n">
        <v>0</v>
      </c>
      <c r="DB16" s="160" t="n">
        <v>0</v>
      </c>
      <c r="DC16" s="160" t="n">
        <v>0</v>
      </c>
      <c r="DD16" s="160" t="n">
        <v>0</v>
      </c>
      <c r="DE16" s="160" t="n">
        <v>0</v>
      </c>
      <c r="DF16" s="160" t="n">
        <v>0</v>
      </c>
    </row>
    <row r="17" customFormat="false" ht="15" hidden="false" customHeight="true" outlineLevel="0" collapsed="false">
      <c r="A17" s="94" t="s">
        <v>61</v>
      </c>
      <c r="C17" s="164" t="n">
        <f aca="false">C8+C9+C10+C11+C12+C14+C15+C16</f>
        <v>218752.81</v>
      </c>
      <c r="D17" s="164" t="n">
        <f aca="false">D8+D9+D10+D11+D12+D14+D15+D16</f>
        <v>-51003.4699999997</v>
      </c>
      <c r="E17" s="164" t="n">
        <f aca="false">E8+E9+E10+E11+E12+E14+E15+E16</f>
        <v>594184.52</v>
      </c>
      <c r="F17" s="166" t="n">
        <f aca="false">F8+F9+F10+F11+F12+F14+F15+F16</f>
        <v>468885.062220243</v>
      </c>
      <c r="G17" s="166" t="n">
        <f aca="false">G8+G9+G10+G11+G12+G14+G15+G16</f>
        <v>468885.061577853</v>
      </c>
      <c r="H17" s="166" t="n">
        <f aca="false">H8+H9+H10+H11+H12+H14+H15+H16</f>
        <v>468885.064460973</v>
      </c>
      <c r="I17" s="166" t="n">
        <f aca="false">I8+I9+I10+I11+I12+I14+I15+I16</f>
        <v>959257.390269293</v>
      </c>
      <c r="J17" s="166" t="n">
        <f aca="false">J8+J9+J10+J11+J12+J14+J15+J16</f>
        <v>632697.193414873</v>
      </c>
      <c r="K17" s="166" t="n">
        <f aca="false">K8+K9+K10+K11+K12+K14+K15+K16</f>
        <v>632697.191315133</v>
      </c>
      <c r="L17" s="166" t="n">
        <f aca="false">L8+L9+L10+L11+L12+L14+L15+L16</f>
        <v>999101.928826481</v>
      </c>
      <c r="M17" s="166" t="n">
        <f aca="false">M8+M9+M10+M11+M12+M14+M15+M16</f>
        <v>1080952.85657232</v>
      </c>
      <c r="N17" s="166" t="n">
        <f aca="false">N8+N9+N10+N11+N12+N14+N15+N16</f>
        <v>774577.772324943</v>
      </c>
      <c r="O17" s="166" t="n">
        <f aca="false">O8+O9+O10+O11+O12+O14+O15+O16</f>
        <v>774577.770537984</v>
      </c>
      <c r="P17" s="166" t="n">
        <f aca="false">P8+P9+P10+P11+P12+P14+P15+P16</f>
        <v>774577.776024773</v>
      </c>
      <c r="Q17" s="166" t="n">
        <f aca="false">Q8+Q9+Q10+Q11+Q12+Q14+Q15+Q16</f>
        <v>774577.779704433</v>
      </c>
      <c r="R17" s="166" t="n">
        <f aca="false">R8+R9+R10+R11+R12+R14+R15+R16</f>
        <v>154983.50195065</v>
      </c>
      <c r="S17" s="166" t="n">
        <f aca="false">S8+S9+S10+S11+S12+S14+S15+S16</f>
        <v>947151.983524021</v>
      </c>
      <c r="T17" s="166" t="n">
        <f aca="false">T8+T9+T10+T11+T12+T14+T15+T16</f>
        <v>1105813.85892342</v>
      </c>
      <c r="U17" s="166" t="n">
        <f aca="false">U8+U9+U10+U11+U12+U14+U15+U16</f>
        <v>867633.413629646</v>
      </c>
      <c r="V17" s="166" t="n">
        <f aca="false">V8+V9+V10+V11+V12+V14+V15+V16</f>
        <v>601954.6547104</v>
      </c>
      <c r="W17" s="166" t="n">
        <f aca="false">W8+W9+W10+W11+W12+W14+W15+W16</f>
        <v>601954.6587094</v>
      </c>
      <c r="X17" s="166" t="n">
        <f aca="false">X8+X9+X10+X11+X12+X14+X15+X16</f>
        <v>623764.9676489</v>
      </c>
      <c r="Y17" s="166" t="n">
        <f aca="false">Y8+Y9+Y10+Y11+Y12+Y14+Y15+Y16</f>
        <v>580144.3504419</v>
      </c>
      <c r="Z17" s="166" t="n">
        <f aca="false">Z8+Z9+Z10+Z11+Z12+Z14+Z15+Z16</f>
        <v>580144.3529119</v>
      </c>
      <c r="AA17" s="166" t="n">
        <f aca="false">AA8+AA9+AA10+AA11+AA12+AA14+AA15+AA16</f>
        <v>580144.3498339</v>
      </c>
      <c r="AB17" s="166" t="n">
        <f aca="false">AB8+AB9+AB10+AB11+AB12+AB14+AB15+AB16</f>
        <v>580144.3588529</v>
      </c>
      <c r="AC17" s="166" t="n">
        <f aca="false">AC8+AC9+AC10+AC11+AC12+AC14+AC15+AC16</f>
        <v>580144.357590901</v>
      </c>
      <c r="AD17" s="166" t="n">
        <f aca="false">AD8+AD9+AD10+AD11+AD12+AD14+AD15+AD16</f>
        <v>662165.3695031</v>
      </c>
      <c r="AE17" s="166" t="n">
        <f aca="false">AE8+AE9+AE10+AE11+AE12+AE14+AE15+AE16</f>
        <v>498123.3344767</v>
      </c>
      <c r="AF17" s="166" t="n">
        <f aca="false">AF8+AF9+AF10+AF11+AF12+AF14+AF15+AF16</f>
        <v>-67923.0774102029</v>
      </c>
      <c r="AG17" s="166" t="n">
        <f aca="false">AG8+AG9+AG10+AG11+AG12+AG14+AG15+AG16</f>
        <v>655782.981250797</v>
      </c>
      <c r="AH17" s="166" t="n">
        <f aca="false">AH8+AH9+AH10+AH11+AH12+AH14+AH15+AH16</f>
        <v>655782.976043797</v>
      </c>
      <c r="AI17" s="166" t="n">
        <f aca="false">AI8+AI9+AI10+AI11+AI12+AI14+AI15+AI16</f>
        <v>655782.975101797</v>
      </c>
      <c r="AJ17" s="166" t="n">
        <f aca="false">AJ8+AJ9+AJ10+AJ11+AJ12+AJ14+AJ15+AJ16</f>
        <v>783779.105710297</v>
      </c>
      <c r="AK17" s="166" t="n">
        <f aca="false">AK8+AK9+AK10+AK11+AK12+AK14+AK15+AK16</f>
        <v>554452.709800521</v>
      </c>
      <c r="AL17" s="166" t="n">
        <f aca="false">AL8+AL9+AL10+AL11+AL12+AL14+AL15+AL16</f>
        <v>813103.432065321</v>
      </c>
      <c r="AM17" s="166" t="n">
        <f aca="false">AM8+AM9+AM10+AM11+AM12+AM14+AM15+AM16</f>
        <v>390640.582555881</v>
      </c>
      <c r="AN17" s="166" t="n">
        <f aca="false">AN8+AN9+AN10+AN11+AN12+AN14+AN15+AN16</f>
        <v>390640.588328881</v>
      </c>
      <c r="AO17" s="166" t="n">
        <f aca="false">AO8+AO9+AO10+AO11+AO12+AO14+AO15+AO16</f>
        <v>486019.649869181</v>
      </c>
      <c r="AP17" s="166" t="n">
        <f aca="false">AP8+AP9+AP10+AP11+AP12+AP14+AP15+AP16</f>
        <v>330233.846573524</v>
      </c>
      <c r="AQ17" s="166" t="n">
        <f aca="false">AQ8+AQ9+AQ10+AQ11+AQ12+AQ14+AQ15+AQ16</f>
        <v>330233.845461524</v>
      </c>
      <c r="AR17" s="166" t="n">
        <f aca="false">AR8+AR9+AR10+AR11+AR12+AR14+AR15+AR16</f>
        <v>330233.849225524</v>
      </c>
      <c r="AS17" s="166" t="n">
        <f aca="false">AS8+AS9+AS10+AS11+AS12+AS14+AS15+AS16</f>
        <v>330233.844645524</v>
      </c>
      <c r="AT17" s="166" t="n">
        <f aca="false">AT8+AT9+AT10+AT11+AT12+AT14+AT15+AT16</f>
        <v>330233.839951524</v>
      </c>
      <c r="AU17" s="166" t="n">
        <f aca="false">AU8+AU9+AU10+AU11+AU12+AU14+AU15+AU16</f>
        <v>602719.433748524</v>
      </c>
      <c r="AV17" s="166" t="n">
        <f aca="false">AV8+AV9+AV10+AV11+AV12+AV14+AV15+AV16</f>
        <v>157659.645521097</v>
      </c>
      <c r="AW17" s="166" t="n">
        <f aca="false">AW8+AW9+AW10+AW11+AW12+AW14+AW15+AW16</f>
        <v>157659.644321097</v>
      </c>
      <c r="AX17" s="166" t="n">
        <f aca="false">AX8+AX9+AX10+AX11+AX12+AX14+AX15+AX16</f>
        <v>157659.639297097</v>
      </c>
      <c r="AY17" s="166" t="n">
        <f aca="false">AY8+AY9+AY10+AY11+AY12+AY14+AY15+AY16</f>
        <v>157659.645169097</v>
      </c>
      <c r="AZ17" s="166" t="n">
        <f aca="false">AZ8+AZ9+AZ10+AZ11+AZ12+AZ14+AZ15+AZ16</f>
        <v>157659.644233097</v>
      </c>
      <c r="BA17" s="166" t="n">
        <f aca="false">BA8+BA9+BA10+BA11+BA12+BA14+BA15+BA16</f>
        <v>157659.641729097</v>
      </c>
      <c r="BB17" s="166" t="n">
        <f aca="false">BB8+BB9+BB10+BB11+BB12+BB14+BB15+BB16</f>
        <v>157659.640473097</v>
      </c>
      <c r="BC17" s="166" t="n">
        <f aca="false">BC8+BC9+BC10+BC11+BC12+BC14+BC15+BC16</f>
        <v>157659.637913097</v>
      </c>
      <c r="BD17" s="166" t="n">
        <f aca="false">BD8+BD9+BD10+BD11+BD12+BD14+BD15+BD16</f>
        <v>157659.637601097</v>
      </c>
      <c r="BE17" s="166" t="n">
        <f aca="false">BE8+BE9+BE10+BE11+BE12+BE14+BE15+BE16</f>
        <v>157659.641617094</v>
      </c>
      <c r="BF17" s="166" t="n">
        <f aca="false">BF8+BF9+BF10+BF11+BF12+BF14+BF15+BF16</f>
        <v>157659.645201094</v>
      </c>
      <c r="BG17" s="166" t="n">
        <f aca="false">BG8+BG9+BG10+BG11+BG12+BG14+BG15+BG16</f>
        <v>157659.636753094</v>
      </c>
      <c r="BH17" s="166" t="n">
        <f aca="false">BH8+BH9+BH10+BH11+BH12+BH14+BH15+BH16</f>
        <v>157659.636361094</v>
      </c>
      <c r="BI17" s="166" t="n">
        <f aca="false">BI8+BI9+BI10+BI11+BI12+BI14+BI15+BI16</f>
        <v>406595.912016293</v>
      </c>
      <c r="BJ17" s="166" t="n">
        <f aca="false">BJ8+BJ9+BJ10+BJ11+BJ12+BJ14+BJ15+BJ16</f>
        <v>0</v>
      </c>
      <c r="BK17" s="166" t="n">
        <f aca="false">BK8+BK9+BK10+BK11+BK12+BK14+BK15+BK16</f>
        <v>0</v>
      </c>
      <c r="BL17" s="166" t="n">
        <f aca="false">BL8+BL9+BL10+BL11+BL12+BL14+BL15+BL16</f>
        <v>0</v>
      </c>
      <c r="BM17" s="166" t="n">
        <f aca="false">BM8+BM9+BM10+BM11+BM12+BM14+BM15+BM16</f>
        <v>0</v>
      </c>
      <c r="BN17" s="166" t="n">
        <f aca="false">BN8+BN9+BN10+BN11+BN12+BN14+BN15+BN16</f>
        <v>0</v>
      </c>
      <c r="BO17" s="166" t="n">
        <f aca="false">BO8+BO9+BO10+BO11+BO12+BO14+BO15+BO16</f>
        <v>0</v>
      </c>
      <c r="BP17" s="166" t="n">
        <f aca="false">BP8+BP9+BP10+BP11+BP12+BP14+BP15+BP16</f>
        <v>0</v>
      </c>
      <c r="BQ17" s="166" t="n">
        <f aca="false">BQ8+BQ9+BQ10+BQ11+BQ12+BQ14+BQ15+BQ16</f>
        <v>0</v>
      </c>
      <c r="BR17" s="166" t="n">
        <f aca="false">BR8+BR9+BR10+BR11+BR12+BR14+BR15+BR16</f>
        <v>0</v>
      </c>
      <c r="BS17" s="166" t="n">
        <f aca="false">BS8+BS9+BS10+BS11+BS12+BS14+BS15+BS16</f>
        <v>0</v>
      </c>
      <c r="BT17" s="166" t="n">
        <f aca="false">BT8+BT9+BT10+BT11+BT12+BT14+BT15+BT16</f>
        <v>0</v>
      </c>
      <c r="BU17" s="166" t="n">
        <f aca="false">BU8+BU9+BU10+BU11+BU12+BU14+BU15+BU16</f>
        <v>0</v>
      </c>
      <c r="BV17" s="166" t="n">
        <f aca="false">BV8+BV9+BV10+BV11+BV12+BV14+BV15+BV16</f>
        <v>0</v>
      </c>
      <c r="BW17" s="166" t="n">
        <f aca="false">BW8+BW9+BW10+BW11+BW12+BW14+BW15+BW16</f>
        <v>0</v>
      </c>
      <c r="BX17" s="166" t="n">
        <f aca="false">BX8+BX9+BX10+BX11+BX12+BX14+BX15+BX16</f>
        <v>0</v>
      </c>
      <c r="BY17" s="166" t="n">
        <f aca="false">BY8+BY9+BY10+BY11+BY12+BY14+BY15+BY16</f>
        <v>0</v>
      </c>
      <c r="BZ17" s="166" t="n">
        <f aca="false">BZ8+BZ9+BZ10+BZ11+BZ12+BZ14+BZ15+BZ16</f>
        <v>0</v>
      </c>
      <c r="CA17" s="166" t="n">
        <f aca="false">CA8+CA9+CA10+CA11+CA12+CA14+CA15+CA16</f>
        <v>0</v>
      </c>
      <c r="CB17" s="166" t="n">
        <f aca="false">CB8+CB9+CB10+CB11+CB12+CB14+CB15+CB16</f>
        <v>0</v>
      </c>
      <c r="CC17" s="166" t="n">
        <f aca="false">CC8+CC9+CC10+CC11+CC12+CC14+CC15+CC16</f>
        <v>0</v>
      </c>
      <c r="CD17" s="166" t="n">
        <f aca="false">CD8+CD9+CD10+CD11+CD12+CD14+CD15+CD16</f>
        <v>0</v>
      </c>
      <c r="CE17" s="166" t="n">
        <f aca="false">CE8+CE9+CE10+CE11+CE12+CE14+CE15+CE16</f>
        <v>0</v>
      </c>
      <c r="CF17" s="166" t="n">
        <f aca="false">CF8+CF9+CF10+CF11+CF12+CF14+CF15+CF16</f>
        <v>0</v>
      </c>
      <c r="CG17" s="166" t="n">
        <f aca="false">CG8+CG9+CG10+CG11+CG12+CG14+CG15+CG16</f>
        <v>0</v>
      </c>
      <c r="CH17" s="166" t="n">
        <f aca="false">CH8+CH9+CH10+CH11+CH12+CH14+CH15+CH16</f>
        <v>0</v>
      </c>
      <c r="CI17" s="166" t="n">
        <f aca="false">CI8+CI9+CI10+CI11+CI12+CI14+CI15+CI16</f>
        <v>0</v>
      </c>
      <c r="CJ17" s="166" t="n">
        <f aca="false">CJ8+CJ9+CJ10+CJ11+CJ12+CJ14+CJ15+CJ16</f>
        <v>0</v>
      </c>
      <c r="CK17" s="166" t="n">
        <f aca="false">CK8+CK9+CK10+CK11+CK12+CK14+CK15+CK16</f>
        <v>0</v>
      </c>
      <c r="CL17" s="166" t="n">
        <f aca="false">CL8+CL9+CL10+CL11+CL12+CL14+CL15+CL16</f>
        <v>0</v>
      </c>
      <c r="CM17" s="166" t="n">
        <f aca="false">CM8+CM9+CM10+CM11+CM12+CM14+CM15+CM16</f>
        <v>0</v>
      </c>
      <c r="CN17" s="166" t="n">
        <f aca="false">CN8+CN9+CN10+CN11+CN12+CN14+CN15+CN16</f>
        <v>0</v>
      </c>
      <c r="CO17" s="166" t="n">
        <f aca="false">CO8+CO9+CO10+CO11+CO12+CO14+CO15+CO16</f>
        <v>0</v>
      </c>
      <c r="CP17" s="166" t="n">
        <f aca="false">CP8+CP9+CP10+CP11+CP12+CP14+CP15+CP16</f>
        <v>0</v>
      </c>
      <c r="CQ17" s="166" t="n">
        <f aca="false">CQ8+CQ9+CQ10+CQ11+CQ12+CQ14+CQ15+CQ16</f>
        <v>0</v>
      </c>
      <c r="CR17" s="166" t="n">
        <f aca="false">CR8+CR9+CR10+CR11+CR12+CR14+CR15+CR16</f>
        <v>0</v>
      </c>
      <c r="CS17" s="166" t="n">
        <f aca="false">CS8+CS9+CS10+CS11+CS12+CS14+CS15+CS16</f>
        <v>0</v>
      </c>
      <c r="CT17" s="166" t="n">
        <f aca="false">CT8+CT9+CT10+CT11+CT12+CT14+CT15+CT16</f>
        <v>0</v>
      </c>
      <c r="CU17" s="166" t="n">
        <f aca="false">CU8+CU9+CU10+CU11+CU12+CU14+CU15+CU16</f>
        <v>0</v>
      </c>
      <c r="CV17" s="166" t="n">
        <f aca="false">CV8+CV9+CV10+CV11+CV12+CV14+CV15+CV16</f>
        <v>0</v>
      </c>
      <c r="CW17" s="166" t="n">
        <f aca="false">CW8+CW9+CW10+CW11+CW12+CW14+CW15+CW16</f>
        <v>0</v>
      </c>
      <c r="CX17" s="166" t="n">
        <f aca="false">CX8+CX9+CX10+CX11+CX12+CX14+CX15+CX16</f>
        <v>0</v>
      </c>
      <c r="CY17" s="166" t="n">
        <f aca="false">CY8+CY9+CY10+CY11+CY12+CY14+CY15+CY16</f>
        <v>0</v>
      </c>
      <c r="CZ17" s="166" t="n">
        <f aca="false">CZ8+CZ9+CZ10+CZ11+CZ12+CZ14+CZ15+CZ16</f>
        <v>0</v>
      </c>
      <c r="DA17" s="166" t="n">
        <f aca="false">DA8+DA9+DA10+DA11+DA12+DA14+DA15+DA16</f>
        <v>0</v>
      </c>
      <c r="DB17" s="166" t="n">
        <f aca="false">DB8+DB9+DB10+DB11+DB12+DB14+DB15+DB16</f>
        <v>0</v>
      </c>
      <c r="DC17" s="166" t="n">
        <f aca="false">DC8+DC9+DC10+DC11+DC12+DC14+DC15+DC16</f>
        <v>0</v>
      </c>
      <c r="DD17" s="166" t="n">
        <f aca="false">DD8+DD9+DD10+DD11+DD12+DD14+DD15+DD16</f>
        <v>0</v>
      </c>
      <c r="DE17" s="166" t="n">
        <f aca="false">DE8+DE9+DE10+DE11+DE12+DE14+DE15+DE16</f>
        <v>0</v>
      </c>
      <c r="DF17" s="166" t="n">
        <f aca="false">DF8+DF9+DF10+DF11+DF12+DF14+DF15+DF16</f>
        <v>0</v>
      </c>
    </row>
    <row r="18" customFormat="false" ht="15" hidden="false" customHeight="true" outlineLevel="0" collapsed="false">
      <c r="A18" s="99" t="s">
        <v>62</v>
      </c>
      <c r="C18" s="167" t="n">
        <f aca="false">IFERROR(C17/C13,0)</f>
        <v>0.150471045017236</v>
      </c>
      <c r="D18" s="167" t="n">
        <f aca="false">IFERROR(D17/D13,0)</f>
        <v>-0.0168744917256745</v>
      </c>
      <c r="E18" s="167" t="n">
        <f aca="false">IFERROR(E17/E13,0)</f>
        <v>0.222356457869786</v>
      </c>
      <c r="F18" s="167" t="n">
        <f aca="false">IFERROR(F17/F13,0)</f>
        <v>0.105264113664828</v>
      </c>
      <c r="G18" s="167" t="n">
        <f aca="false">IFERROR(G17/G13,0)</f>
        <v>0.100893494681087</v>
      </c>
      <c r="H18" s="167" t="n">
        <f aca="false">IFERROR(H17/H13,0)</f>
        <v>0.0980201268401047</v>
      </c>
      <c r="I18" s="167" t="n">
        <f aca="false">IFERROR(I17/I13,0)</f>
        <v>0.167309905929422</v>
      </c>
      <c r="J18" s="167" t="n">
        <f aca="false">IFERROR(J17/J13,0)</f>
        <v>0.107365807007325</v>
      </c>
      <c r="K18" s="167" t="n">
        <f aca="false">IFERROR(K17/K13,0)</f>
        <v>0.105704075939302</v>
      </c>
      <c r="L18" s="167" t="n">
        <f aca="false">IFERROR(L17/L13,0)</f>
        <v>0.150814779277228</v>
      </c>
      <c r="M18" s="167" t="n">
        <f aca="false">IFERROR(M17/M13,0)</f>
        <v>0.148792647101115</v>
      </c>
      <c r="N18" s="167" t="n">
        <f aca="false">IFERROR(N17/N13,0)</f>
        <v>0.110926259195399</v>
      </c>
      <c r="O18" s="167" t="n">
        <f aca="false">IFERROR(O17/O13,0)</f>
        <v>0.108025800800876</v>
      </c>
      <c r="P18" s="167" t="n">
        <f aca="false">IFERROR(P17/P13,0)</f>
        <v>0.106087748456871</v>
      </c>
      <c r="Q18" s="167" t="n">
        <f aca="false">IFERROR(Q17/Q13,0)</f>
        <v>0.105058015157573</v>
      </c>
      <c r="R18" s="167" t="n">
        <f aca="false">IFERROR(R17/R13,0)</f>
        <v>0.0191094371678703</v>
      </c>
      <c r="S18" s="167" t="n">
        <f aca="false">IFERROR(S17/S13,0)</f>
        <v>0.116048713226721</v>
      </c>
      <c r="T18" s="167" t="n">
        <f aca="false">IFERROR(T17/T13,0)</f>
        <v>0.135680955894734</v>
      </c>
      <c r="U18" s="167" t="n">
        <f aca="false">IFERROR(U17/U13,0)</f>
        <v>0.11682812020011</v>
      </c>
      <c r="V18" s="167" t="n">
        <f aca="false">IFERROR(V17/V13,0)</f>
        <v>0.0865663483426912</v>
      </c>
      <c r="W18" s="167" t="n">
        <f aca="false">IFERROR(W17/W13,0)</f>
        <v>0.0865764886943788</v>
      </c>
      <c r="X18" s="167" t="n">
        <f aca="false">IFERROR(X17/X13,0)</f>
        <v>0.0909845839415544</v>
      </c>
      <c r="Y18" s="167" t="n">
        <f aca="false">IFERROR(Y17/Y13,0)</f>
        <v>0.0879482813665944</v>
      </c>
      <c r="Z18" s="167" t="n">
        <f aca="false">IFERROR(Z17/Z13,0)</f>
        <v>0.0912437201677728</v>
      </c>
      <c r="AA18" s="167" t="n">
        <f aca="false">IFERROR(AA17/AA13,0)</f>
        <v>0.0957144398553047</v>
      </c>
      <c r="AB18" s="167" t="n">
        <f aca="false">IFERROR(AB17/AB13,0)</f>
        <v>0.101377381818003</v>
      </c>
      <c r="AC18" s="167" t="n">
        <f aca="false">IFERROR(AC17/AC13,0)</f>
        <v>0.10825203667329</v>
      </c>
      <c r="AD18" s="167" t="n">
        <f aca="false">IFERROR(AD17/AD13,0)</f>
        <v>0.132814167423613</v>
      </c>
      <c r="AE18" s="167" t="n">
        <f aca="false">IFERROR(AE17/AE13,0)</f>
        <v>0.115069804421248</v>
      </c>
      <c r="AF18" s="167" t="n">
        <f aca="false">IFERROR(AF17/AF13,0)</f>
        <v>-0.0159649876760295</v>
      </c>
      <c r="AG18" s="167" t="n">
        <f aca="false">IFERROR(AG17/AG13,0)</f>
        <v>0.190787581519573</v>
      </c>
      <c r="AH18" s="167" t="n">
        <f aca="false">IFERROR(AH17/AH13,0)</f>
        <v>0.188285775793716</v>
      </c>
      <c r="AI18" s="167" t="n">
        <f aca="false">IFERROR(AI17/AI13,0)</f>
        <v>0.186782436451232</v>
      </c>
      <c r="AJ18" s="167" t="n">
        <f aca="false">IFERROR(AJ17/AJ13,0)</f>
        <v>0.222551379831078</v>
      </c>
      <c r="AK18" s="167" t="n">
        <f aca="false">IFERROR(AK17/AK13,0)</f>
        <v>0.157687973771174</v>
      </c>
      <c r="AL18" s="167" t="n">
        <f aca="false">IFERROR(AL17/AL13,0)</f>
        <v>0.232666504249759</v>
      </c>
      <c r="AM18" s="167" t="n">
        <f aca="false">IFERROR(AM17/AM13,0)</f>
        <v>0.11295660264179</v>
      </c>
      <c r="AN18" s="167" t="n">
        <f aca="false">IFERROR(AN17/AN13,0)</f>
        <v>0.114632250921528</v>
      </c>
      <c r="AO18" s="167" t="n">
        <f aca="false">IFERROR(AO17/AO13,0)</f>
        <v>0.145347216709165</v>
      </c>
      <c r="AP18" s="167" t="n">
        <f aca="false">IFERROR(AP17/AP13,0)</f>
        <v>0.108356210750033</v>
      </c>
      <c r="AQ18" s="167" t="n">
        <f aca="false">IFERROR(AQ17/AQ13,0)</f>
        <v>0.110386938641138</v>
      </c>
      <c r="AR18" s="167" t="n">
        <f aca="false">IFERROR(AR17/AR13,0)</f>
        <v>0.113051926701939</v>
      </c>
      <c r="AS18" s="167" t="n">
        <f aca="false">IFERROR(AS17/AS13,0)</f>
        <v>0.116414229400565</v>
      </c>
      <c r="AT18" s="167" t="n">
        <f aca="false">IFERROR(AT17/AT13,0)</f>
        <v>0.12055310865161</v>
      </c>
      <c r="AU18" s="167" t="n">
        <f aca="false">IFERROR(AU17/AU13,0)</f>
        <v>0.229178494664299</v>
      </c>
      <c r="AV18" s="167" t="n">
        <f aca="false">IFERROR(AV17/AV13,0)</f>
        <v>0.0837646775590833</v>
      </c>
      <c r="AW18" s="167" t="n">
        <f aca="false">IFERROR(AW17/AW13,0)</f>
        <v>0.0854545030152378</v>
      </c>
      <c r="AX18" s="167" t="n">
        <f aca="false">IFERROR(AX17/AX13,0)</f>
        <v>0.0880559332951466</v>
      </c>
      <c r="AY18" s="167" t="n">
        <f aca="false">IFERROR(AY17/AY13,0)</f>
        <v>0.0916459953635472</v>
      </c>
      <c r="AZ18" s="167" t="n">
        <f aca="false">IFERROR(AZ17/AZ13,0)</f>
        <v>0.0963403856309272</v>
      </c>
      <c r="BA18" s="167" t="n">
        <f aca="false">IFERROR(BA17/BA13,0)</f>
        <v>0.102293640434331</v>
      </c>
      <c r="BB18" s="167" t="n">
        <f aca="false">IFERROR(BB17/BB13,0)</f>
        <v>0.109702510881483</v>
      </c>
      <c r="BC18" s="167" t="n">
        <f aca="false">IFERROR(BC17/BC13,0)</f>
        <v>0.118832417046729</v>
      </c>
      <c r="BD18" s="167" t="n">
        <f aca="false">IFERROR(BD17/BD13,0)</f>
        <v>0.130013354633857</v>
      </c>
      <c r="BE18" s="167" t="n">
        <f aca="false">IFERROR(BE17/BE13,0)</f>
        <v>0.143673701984803</v>
      </c>
      <c r="BF18" s="167" t="n">
        <f aca="false">IFERROR(BF17/BF13,0)</f>
        <v>0.160366035192509</v>
      </c>
      <c r="BG18" s="167" t="n">
        <f aca="false">IFERROR(BG17/BG13,0)</f>
        <v>0.180792980753182</v>
      </c>
      <c r="BH18" s="167" t="n">
        <f aca="false">IFERROR(BH17/BH13,0)</f>
        <v>0.205874369808341</v>
      </c>
      <c r="BI18" s="167" t="n">
        <f aca="false">IFERROR(BI17/BI13,0)</f>
        <v>0.610641055206121</v>
      </c>
      <c r="BJ18" s="167" t="n">
        <f aca="false">IFERROR(BJ17/BJ13,0)</f>
        <v>0</v>
      </c>
      <c r="BK18" s="167" t="n">
        <f aca="false">IFERROR(BK17/BK13,0)</f>
        <v>0</v>
      </c>
      <c r="BL18" s="167" t="n">
        <f aca="false">IFERROR(BL17/BL13,0)</f>
        <v>0</v>
      </c>
      <c r="BM18" s="167" t="n">
        <f aca="false">IFERROR(BM17/BM13,0)</f>
        <v>0</v>
      </c>
      <c r="BN18" s="167" t="n">
        <f aca="false">IFERROR(BN17/BN13,0)</f>
        <v>0</v>
      </c>
      <c r="BO18" s="167" t="n">
        <f aca="false">IFERROR(BO17/BO13,0)</f>
        <v>0</v>
      </c>
      <c r="BP18" s="167" t="n">
        <f aca="false">IFERROR(BP17/BP13,0)</f>
        <v>0</v>
      </c>
      <c r="BQ18" s="167" t="n">
        <f aca="false">IFERROR(BQ17/BQ13,0)</f>
        <v>0</v>
      </c>
      <c r="BR18" s="167" t="n">
        <f aca="false">IFERROR(BR17/BR13,0)</f>
        <v>0</v>
      </c>
      <c r="BS18" s="167" t="n">
        <f aca="false">IFERROR(BS17/BS13,0)</f>
        <v>0</v>
      </c>
      <c r="BT18" s="167" t="n">
        <f aca="false">IFERROR(BT17/BT13,0)</f>
        <v>0</v>
      </c>
      <c r="BU18" s="167" t="n">
        <f aca="false">IFERROR(BU17/BU13,0)</f>
        <v>0</v>
      </c>
      <c r="BV18" s="167" t="n">
        <f aca="false">IFERROR(BV17/BV13,0)</f>
        <v>0</v>
      </c>
      <c r="BW18" s="167" t="n">
        <f aca="false">IFERROR(BW17/BW13,0)</f>
        <v>0</v>
      </c>
      <c r="BX18" s="167" t="n">
        <f aca="false">IFERROR(BX17/BX13,0)</f>
        <v>0</v>
      </c>
      <c r="BY18" s="167" t="n">
        <f aca="false">IFERROR(BY17/BY13,0)</f>
        <v>0</v>
      </c>
      <c r="BZ18" s="167" t="n">
        <f aca="false">IFERROR(BZ17/BZ13,0)</f>
        <v>0</v>
      </c>
      <c r="CA18" s="167" t="n">
        <f aca="false">IFERROR(CA17/CA13,0)</f>
        <v>0</v>
      </c>
      <c r="CB18" s="167" t="n">
        <f aca="false">IFERROR(CB17/CB13,0)</f>
        <v>0</v>
      </c>
      <c r="CC18" s="167" t="n">
        <f aca="false">IFERROR(CC17/CC13,0)</f>
        <v>0</v>
      </c>
      <c r="CD18" s="167" t="n">
        <f aca="false">IFERROR(CD17/CD13,0)</f>
        <v>0</v>
      </c>
      <c r="CE18" s="167" t="n">
        <f aca="false">IFERROR(CE17/CE13,0)</f>
        <v>0</v>
      </c>
      <c r="CF18" s="167" t="n">
        <f aca="false">IFERROR(CF17/CF13,0)</f>
        <v>0</v>
      </c>
      <c r="CG18" s="167" t="n">
        <f aca="false">IFERROR(CG17/CG13,0)</f>
        <v>0</v>
      </c>
      <c r="CH18" s="167" t="n">
        <f aca="false">IFERROR(CH17/CH13,0)</f>
        <v>0</v>
      </c>
      <c r="CI18" s="167" t="n">
        <f aca="false">IFERROR(CI17/CI13,0)</f>
        <v>0</v>
      </c>
      <c r="CJ18" s="167" t="n">
        <f aca="false">IFERROR(CJ17/CJ13,0)</f>
        <v>0</v>
      </c>
      <c r="CK18" s="167" t="n">
        <f aca="false">IFERROR(CK17/CK13,0)</f>
        <v>0</v>
      </c>
      <c r="CL18" s="167" t="n">
        <f aca="false">IFERROR(CL17/CL13,0)</f>
        <v>0</v>
      </c>
      <c r="CM18" s="167" t="n">
        <f aca="false">IFERROR(CM17/CM13,0)</f>
        <v>0</v>
      </c>
      <c r="CN18" s="167" t="n">
        <f aca="false">IFERROR(CN17/CN13,0)</f>
        <v>0</v>
      </c>
      <c r="CO18" s="167" t="n">
        <f aca="false">IFERROR(CO17/CO13,0)</f>
        <v>0</v>
      </c>
      <c r="CP18" s="167" t="n">
        <f aca="false">IFERROR(CP17/CP13,0)</f>
        <v>0</v>
      </c>
      <c r="CQ18" s="167" t="n">
        <f aca="false">IFERROR(CQ17/CQ13,0)</f>
        <v>0</v>
      </c>
      <c r="CR18" s="167" t="n">
        <f aca="false">IFERROR(CR17/CR13,0)</f>
        <v>0</v>
      </c>
      <c r="CS18" s="167" t="n">
        <f aca="false">IFERROR(CS17/CS13,0)</f>
        <v>0</v>
      </c>
      <c r="CT18" s="167" t="n">
        <f aca="false">IFERROR(CT17/CT13,0)</f>
        <v>0</v>
      </c>
      <c r="CU18" s="167" t="n">
        <f aca="false">IFERROR(CU17/CU13,0)</f>
        <v>0</v>
      </c>
      <c r="CV18" s="167" t="n">
        <f aca="false">IFERROR(CV17/CV13,0)</f>
        <v>0</v>
      </c>
      <c r="CW18" s="167" t="n">
        <f aca="false">IFERROR(CW17/CW13,0)</f>
        <v>0</v>
      </c>
      <c r="CX18" s="167" t="n">
        <f aca="false">IFERROR(CX17/CX13,0)</f>
        <v>0</v>
      </c>
      <c r="CY18" s="167" t="n">
        <f aca="false">IFERROR(CY17/CY13,0)</f>
        <v>0</v>
      </c>
      <c r="CZ18" s="167" t="n">
        <f aca="false">IFERROR(CZ17/CZ13,0)</f>
        <v>0</v>
      </c>
      <c r="DA18" s="167" t="n">
        <f aca="false">IFERROR(DA17/DA13,0)</f>
        <v>0</v>
      </c>
      <c r="DB18" s="167" t="n">
        <f aca="false">IFERROR(DB17/DB13,0)</f>
        <v>0</v>
      </c>
      <c r="DC18" s="167" t="n">
        <f aca="false">IFERROR(DC17/DC13,0)</f>
        <v>0</v>
      </c>
      <c r="DD18" s="167" t="n">
        <f aca="false">IFERROR(DD17/DD13,0)</f>
        <v>0</v>
      </c>
      <c r="DE18" s="167" t="n">
        <f aca="false">IFERROR(DE17/DE13,0)</f>
        <v>0</v>
      </c>
      <c r="DF18" s="167" t="n">
        <f aca="false">IFERROR(DF17/DF13,0)</f>
        <v>0</v>
      </c>
    </row>
    <row r="19" customFormat="false" ht="15" hidden="false" customHeight="true" outlineLevel="0" collapsed="false">
      <c r="A19" s="90"/>
      <c r="C19" s="104"/>
      <c r="D19" s="104"/>
      <c r="E19" s="104"/>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K19" s="160"/>
      <c r="AL19" s="160"/>
      <c r="AM19" s="160"/>
      <c r="AN19" s="160"/>
      <c r="AO19" s="160"/>
      <c r="AP19" s="160"/>
      <c r="AQ19" s="160"/>
      <c r="AR19" s="160"/>
      <c r="AS19" s="160"/>
      <c r="AT19" s="160"/>
      <c r="AU19" s="160"/>
      <c r="AV19" s="160"/>
      <c r="AW19" s="160"/>
      <c r="AX19" s="160"/>
      <c r="AY19" s="160"/>
      <c r="AZ19" s="160"/>
      <c r="BA19" s="160"/>
      <c r="BB19" s="160"/>
      <c r="BC19" s="160"/>
      <c r="BD19" s="160"/>
      <c r="BE19" s="160"/>
      <c r="BF19" s="160"/>
      <c r="BG19" s="160"/>
      <c r="BH19" s="160"/>
      <c r="BI19" s="160"/>
      <c r="BJ19" s="160"/>
      <c r="BK19" s="160"/>
      <c r="BL19" s="160"/>
      <c r="BM19" s="160"/>
      <c r="BN19" s="160"/>
      <c r="BO19" s="160"/>
      <c r="BP19" s="160"/>
      <c r="BQ19" s="160"/>
      <c r="BR19" s="160"/>
      <c r="BS19" s="160"/>
      <c r="BT19" s="160"/>
      <c r="BU19" s="160"/>
      <c r="BV19" s="160"/>
      <c r="BW19" s="160"/>
      <c r="BX19" s="160"/>
      <c r="BY19" s="160"/>
      <c r="BZ19" s="160"/>
      <c r="CA19" s="160"/>
      <c r="CB19" s="160"/>
      <c r="CC19" s="160"/>
      <c r="CD19" s="160"/>
      <c r="CE19" s="160"/>
      <c r="CF19" s="160"/>
      <c r="CG19" s="160"/>
      <c r="CH19" s="160"/>
      <c r="CI19" s="160"/>
      <c r="CJ19" s="160"/>
      <c r="CK19" s="160"/>
      <c r="CL19" s="160"/>
      <c r="CM19" s="160"/>
      <c r="CN19" s="160"/>
      <c r="CO19" s="160"/>
      <c r="CP19" s="160"/>
      <c r="CQ19" s="160"/>
      <c r="CR19" s="160"/>
      <c r="CS19" s="160"/>
      <c r="CT19" s="160"/>
      <c r="CU19" s="160"/>
      <c r="CV19" s="160"/>
      <c r="CW19" s="160"/>
      <c r="CX19" s="160"/>
      <c r="CY19" s="160"/>
      <c r="CZ19" s="160"/>
      <c r="DA19" s="160"/>
      <c r="DB19" s="160"/>
      <c r="DC19" s="160"/>
      <c r="DD19" s="160"/>
      <c r="DE19" s="160"/>
      <c r="DF19" s="160"/>
    </row>
    <row r="20" customFormat="false" ht="15" hidden="false" customHeight="true" outlineLevel="0" collapsed="false">
      <c r="A20" s="90"/>
      <c r="C20" s="104"/>
      <c r="D20" s="104"/>
      <c r="E20" s="104"/>
      <c r="F20" s="160"/>
      <c r="G20" s="160"/>
      <c r="H20" s="160"/>
      <c r="I20" s="160"/>
      <c r="J20" s="160"/>
      <c r="K20" s="160"/>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160"/>
      <c r="AK20" s="160"/>
      <c r="AL20" s="160"/>
      <c r="AM20" s="160"/>
      <c r="AN20" s="160"/>
      <c r="AO20" s="160"/>
      <c r="AP20" s="160"/>
      <c r="AQ20" s="160"/>
      <c r="AR20" s="160"/>
      <c r="AS20" s="160"/>
      <c r="AT20" s="160"/>
      <c r="AU20" s="160"/>
      <c r="AV20" s="160"/>
      <c r="AW20" s="160"/>
      <c r="AX20" s="160"/>
      <c r="AY20" s="160"/>
      <c r="AZ20" s="160"/>
      <c r="BA20" s="160"/>
      <c r="BB20" s="160"/>
      <c r="BC20" s="160"/>
      <c r="BD20" s="160"/>
      <c r="BE20" s="160"/>
      <c r="BF20" s="160"/>
      <c r="BG20" s="160"/>
      <c r="BH20" s="160"/>
      <c r="BI20" s="160"/>
      <c r="BJ20" s="160"/>
      <c r="BK20" s="160"/>
      <c r="BL20" s="160"/>
      <c r="BM20" s="160"/>
      <c r="BN20" s="160"/>
      <c r="BO20" s="160"/>
      <c r="BP20" s="160"/>
      <c r="BQ20" s="160"/>
      <c r="BR20" s="160"/>
      <c r="BS20" s="160"/>
      <c r="BT20" s="160"/>
      <c r="BU20" s="160"/>
      <c r="BV20" s="160"/>
      <c r="BW20" s="160"/>
      <c r="BX20" s="160"/>
      <c r="BY20" s="160"/>
      <c r="BZ20" s="160"/>
      <c r="CA20" s="160"/>
      <c r="CB20" s="160"/>
      <c r="CC20" s="160"/>
      <c r="CD20" s="160"/>
      <c r="CE20" s="160"/>
      <c r="CF20" s="160"/>
      <c r="CG20" s="160"/>
      <c r="CH20" s="160"/>
      <c r="CI20" s="160"/>
      <c r="CJ20" s="160"/>
      <c r="CK20" s="160"/>
      <c r="CL20" s="160"/>
      <c r="CM20" s="160"/>
      <c r="CN20" s="160"/>
      <c r="CO20" s="160"/>
      <c r="CP20" s="160"/>
      <c r="CQ20" s="160"/>
      <c r="CR20" s="160"/>
      <c r="CS20" s="160"/>
      <c r="CT20" s="160"/>
      <c r="CU20" s="160"/>
      <c r="CV20" s="160"/>
      <c r="CW20" s="160"/>
      <c r="CX20" s="160"/>
      <c r="CY20" s="160"/>
      <c r="CZ20" s="160"/>
      <c r="DA20" s="160"/>
      <c r="DB20" s="160"/>
      <c r="DC20" s="160"/>
      <c r="DD20" s="160"/>
      <c r="DE20" s="160"/>
      <c r="DF20" s="160"/>
    </row>
    <row r="21" customFormat="false" ht="15" hidden="false" customHeight="true" outlineLevel="0" collapsed="false">
      <c r="A21" s="90" t="s">
        <v>123</v>
      </c>
      <c r="C21" s="104" t="n">
        <v>-144550.9</v>
      </c>
      <c r="D21" s="104" t="n">
        <v>-150672.84</v>
      </c>
      <c r="E21" s="104" t="n">
        <v>-178867.86</v>
      </c>
      <c r="F21" s="160" t="n">
        <v>-164791.666666667</v>
      </c>
      <c r="G21" s="160" t="n">
        <v>-189375</v>
      </c>
      <c r="H21" s="160" t="n">
        <v>-214375</v>
      </c>
      <c r="I21" s="160" t="n">
        <v>-225208.333333333</v>
      </c>
      <c r="J21" s="160" t="n">
        <v>-225208.333333333</v>
      </c>
      <c r="K21" s="160" t="n">
        <v>-225208.333333333</v>
      </c>
      <c r="L21" s="160" t="n">
        <v>-246041.666666667</v>
      </c>
      <c r="M21" s="160" t="n">
        <v>-276041.666666667</v>
      </c>
      <c r="N21" s="160" t="n">
        <v>-276041.666666667</v>
      </c>
      <c r="O21" s="160" t="n">
        <v>-276041.666666667</v>
      </c>
      <c r="P21" s="160" t="n">
        <v>-276041.666666667</v>
      </c>
      <c r="Q21" s="160" t="n">
        <v>-276041.666666667</v>
      </c>
      <c r="R21" s="160" t="n">
        <v>-295162.5</v>
      </c>
      <c r="S21" s="160" t="n">
        <v>-295162.5</v>
      </c>
      <c r="T21" s="160" t="n">
        <v>-295162.5</v>
      </c>
      <c r="U21" s="160" t="n">
        <v>-295162.5</v>
      </c>
      <c r="V21" s="160" t="n">
        <v>-295162.5</v>
      </c>
      <c r="W21" s="160" t="n">
        <v>-295162.5</v>
      </c>
      <c r="X21" s="160" t="n">
        <v>-295162.5</v>
      </c>
      <c r="Y21" s="160" t="n">
        <v>-295162.5</v>
      </c>
      <c r="Z21" s="160" t="n">
        <v>-295162.5</v>
      </c>
      <c r="AA21" s="160" t="n">
        <v>-295162.5</v>
      </c>
      <c r="AB21" s="160" t="n">
        <v>-295162.5</v>
      </c>
      <c r="AC21" s="160" t="n">
        <v>-295162.5</v>
      </c>
      <c r="AD21" s="160" t="n">
        <v>-301065.75</v>
      </c>
      <c r="AE21" s="160" t="n">
        <v>-301065.75</v>
      </c>
      <c r="AF21" s="160" t="n">
        <v>-301065.75</v>
      </c>
      <c r="AG21" s="160" t="n">
        <v>-301065.75</v>
      </c>
      <c r="AH21" s="160" t="n">
        <v>-301065.75</v>
      </c>
      <c r="AI21" s="160" t="n">
        <v>-301065.75</v>
      </c>
      <c r="AJ21" s="160" t="n">
        <v>-301065.75</v>
      </c>
      <c r="AK21" s="160" t="n">
        <v>-301065.75</v>
      </c>
      <c r="AL21" s="160" t="n">
        <v>-301065.75</v>
      </c>
      <c r="AM21" s="160" t="n">
        <v>-301065.75</v>
      </c>
      <c r="AN21" s="160" t="n">
        <v>-301065.75</v>
      </c>
      <c r="AO21" s="160" t="n">
        <v>-301065.75</v>
      </c>
      <c r="AP21" s="160" t="n">
        <v>-307087.065</v>
      </c>
      <c r="AQ21" s="160" t="n">
        <v>-307087.065</v>
      </c>
      <c r="AR21" s="160" t="n">
        <v>-307087.065</v>
      </c>
      <c r="AS21" s="160" t="n">
        <v>-307087.065</v>
      </c>
      <c r="AT21" s="160" t="n">
        <v>-307087.065</v>
      </c>
      <c r="AU21" s="160" t="n">
        <v>-307087.065</v>
      </c>
      <c r="AV21" s="160" t="n">
        <v>-307087.065</v>
      </c>
      <c r="AW21" s="160" t="n">
        <v>-307087.065</v>
      </c>
      <c r="AX21" s="160" t="n">
        <v>-307087.065</v>
      </c>
      <c r="AY21" s="160" t="n">
        <v>-307087.065</v>
      </c>
      <c r="AZ21" s="160" t="n">
        <v>-307087.065</v>
      </c>
      <c r="BA21" s="160" t="n">
        <v>-307087.065</v>
      </c>
      <c r="BB21" s="160" t="n">
        <v>-313228.8063</v>
      </c>
      <c r="BC21" s="160" t="n">
        <v>-313228.8063</v>
      </c>
      <c r="BD21" s="160" t="n">
        <v>-313228.8063</v>
      </c>
      <c r="BE21" s="160" t="n">
        <v>-313228.8063</v>
      </c>
      <c r="BF21" s="160" t="n">
        <v>-313228.8063</v>
      </c>
      <c r="BG21" s="160" t="n">
        <v>-313228.8063</v>
      </c>
      <c r="BH21" s="160" t="n">
        <v>-313228.8063</v>
      </c>
      <c r="BI21" s="160" t="n">
        <v>-313228.8063</v>
      </c>
      <c r="BJ21" s="160" t="n">
        <v>-313228.8063</v>
      </c>
      <c r="BK21" s="160" t="n">
        <v>-313228.8063</v>
      </c>
      <c r="BL21" s="160" t="n">
        <v>-313228.8063</v>
      </c>
      <c r="BM21" s="160" t="n">
        <v>-313228.8063</v>
      </c>
      <c r="BN21" s="160" t="n">
        <v>-319493.382426</v>
      </c>
      <c r="BO21" s="160" t="n">
        <v>-319493.382426</v>
      </c>
      <c r="BP21" s="160" t="n">
        <v>-319493.382426</v>
      </c>
      <c r="BQ21" s="160" t="n">
        <v>-319493.382426</v>
      </c>
      <c r="BR21" s="160" t="n">
        <v>-319493.382426</v>
      </c>
      <c r="BS21" s="160" t="n">
        <v>-319493.382426</v>
      </c>
      <c r="BT21" s="160" t="n">
        <v>-319493.382426</v>
      </c>
      <c r="BU21" s="160" t="n">
        <v>-319493.382426</v>
      </c>
      <c r="BV21" s="160" t="n">
        <v>-319493.382426</v>
      </c>
      <c r="BW21" s="160" t="n">
        <v>-319493.382426</v>
      </c>
      <c r="BX21" s="160" t="n">
        <v>-319493.382426</v>
      </c>
      <c r="BY21" s="160" t="n">
        <v>-319493.382426</v>
      </c>
      <c r="BZ21" s="160" t="n">
        <v>-325883.25007452</v>
      </c>
      <c r="CA21" s="160" t="n">
        <v>-325883.25007452</v>
      </c>
      <c r="CB21" s="160" t="n">
        <v>-325883.25007452</v>
      </c>
      <c r="CC21" s="160" t="n">
        <v>-325883.25007452</v>
      </c>
      <c r="CD21" s="160" t="n">
        <v>-325883.25007452</v>
      </c>
      <c r="CE21" s="160" t="n">
        <v>-325883.25007452</v>
      </c>
      <c r="CF21" s="160" t="n">
        <v>-325883.25007452</v>
      </c>
      <c r="CG21" s="160" t="n">
        <v>-325883.25007452</v>
      </c>
      <c r="CH21" s="160" t="n">
        <v>-325883.25007452</v>
      </c>
      <c r="CI21" s="160" t="n">
        <v>-325883.25007452</v>
      </c>
      <c r="CJ21" s="160" t="n">
        <v>-325883.25007452</v>
      </c>
      <c r="CK21" s="160" t="n">
        <v>-325883.25007452</v>
      </c>
      <c r="CL21" s="160" t="n">
        <v>-332400.91507601</v>
      </c>
      <c r="CM21" s="160" t="n">
        <v>-332400.91507601</v>
      </c>
      <c r="CN21" s="160" t="n">
        <v>-332400.91507601</v>
      </c>
      <c r="CO21" s="160" t="n">
        <v>-332400.91507601</v>
      </c>
      <c r="CP21" s="160" t="n">
        <v>-332400.91507601</v>
      </c>
      <c r="CQ21" s="160" t="n">
        <v>-332400.91507601</v>
      </c>
      <c r="CR21" s="160" t="n">
        <v>-332400.91507601</v>
      </c>
      <c r="CS21" s="160" t="n">
        <v>-332400.91507601</v>
      </c>
      <c r="CT21" s="160" t="n">
        <v>-332400.91507601</v>
      </c>
      <c r="CU21" s="160" t="n">
        <v>-332400.91507601</v>
      </c>
      <c r="CV21" s="160" t="n">
        <v>-332400.91507601</v>
      </c>
      <c r="CW21" s="160" t="n">
        <v>-332400.91507601</v>
      </c>
      <c r="CX21" s="160" t="n">
        <v>-339048.933377531</v>
      </c>
      <c r="CY21" s="160" t="n">
        <v>-339048.933377531</v>
      </c>
      <c r="CZ21" s="160" t="n">
        <v>-339048.933377531</v>
      </c>
      <c r="DA21" s="160" t="n">
        <v>-339048.933377531</v>
      </c>
      <c r="DB21" s="160" t="n">
        <v>-339048.933377531</v>
      </c>
      <c r="DC21" s="160" t="n">
        <v>-339048.933377531</v>
      </c>
      <c r="DD21" s="160" t="n">
        <v>-339048.933377531</v>
      </c>
      <c r="DE21" s="160" t="n">
        <v>-339048.933377531</v>
      </c>
      <c r="DF21" s="160" t="n">
        <v>-339048.933377531</v>
      </c>
    </row>
    <row r="22" customFormat="false" ht="15" hidden="false" customHeight="true" outlineLevel="0" collapsed="false">
      <c r="A22" s="90" t="s">
        <v>65</v>
      </c>
      <c r="C22" s="104" t="n">
        <v>-7450.37</v>
      </c>
      <c r="D22" s="104" t="n">
        <v>-10567.2</v>
      </c>
      <c r="E22" s="104" t="n">
        <v>-17033.3</v>
      </c>
      <c r="F22" s="160" t="n">
        <v>-15327.0833333333</v>
      </c>
      <c r="G22" s="160" t="n">
        <v>-17047.9166666667</v>
      </c>
      <c r="H22" s="160" t="n">
        <v>-18797.9166666667</v>
      </c>
      <c r="I22" s="160" t="n">
        <v>-19556.25</v>
      </c>
      <c r="J22" s="160" t="n">
        <v>-19556.25</v>
      </c>
      <c r="K22" s="160" t="n">
        <v>-19556.25</v>
      </c>
      <c r="L22" s="160" t="n">
        <v>-21014.5833333333</v>
      </c>
      <c r="M22" s="160" t="n">
        <v>-23114.5833333333</v>
      </c>
      <c r="N22" s="160" t="n">
        <v>-23114.5833333333</v>
      </c>
      <c r="O22" s="160" t="n">
        <v>-23114.5833333333</v>
      </c>
      <c r="P22" s="160" t="n">
        <v>-23114.5833333333</v>
      </c>
      <c r="Q22" s="160" t="n">
        <v>-23114.5833333333</v>
      </c>
      <c r="R22" s="160" t="n">
        <v>-24528.875</v>
      </c>
      <c r="S22" s="160" t="n">
        <v>-24528.875</v>
      </c>
      <c r="T22" s="160" t="n">
        <v>-24528.875</v>
      </c>
      <c r="U22" s="160" t="n">
        <v>-24528.875</v>
      </c>
      <c r="V22" s="160" t="n">
        <v>-24528.875</v>
      </c>
      <c r="W22" s="160" t="n">
        <v>-24528.875</v>
      </c>
      <c r="X22" s="160" t="n">
        <v>-24528.875</v>
      </c>
      <c r="Y22" s="160" t="n">
        <v>-24528.875</v>
      </c>
      <c r="Z22" s="160" t="n">
        <v>-24528.875</v>
      </c>
      <c r="AA22" s="160" t="n">
        <v>-24528.875</v>
      </c>
      <c r="AB22" s="160" t="n">
        <v>-24528.875</v>
      </c>
      <c r="AC22" s="160" t="n">
        <v>-24528.875</v>
      </c>
      <c r="AD22" s="160" t="n">
        <v>-25019.4525</v>
      </c>
      <c r="AE22" s="160" t="n">
        <v>-25019.4525</v>
      </c>
      <c r="AF22" s="160" t="n">
        <v>-25019.4525</v>
      </c>
      <c r="AG22" s="160" t="n">
        <v>-25019.4525</v>
      </c>
      <c r="AH22" s="160" t="n">
        <v>-25019.4525</v>
      </c>
      <c r="AI22" s="160" t="n">
        <v>-25019.4525</v>
      </c>
      <c r="AJ22" s="160" t="n">
        <v>-25019.4525</v>
      </c>
      <c r="AK22" s="160" t="n">
        <v>-25019.4525</v>
      </c>
      <c r="AL22" s="160" t="n">
        <v>-25019.4525</v>
      </c>
      <c r="AM22" s="160" t="n">
        <v>-25019.4525</v>
      </c>
      <c r="AN22" s="160" t="n">
        <v>-25019.4525</v>
      </c>
      <c r="AO22" s="160" t="n">
        <v>-25019.4525</v>
      </c>
      <c r="AP22" s="160" t="n">
        <v>-25519.84155</v>
      </c>
      <c r="AQ22" s="160" t="n">
        <v>-25519.84155</v>
      </c>
      <c r="AR22" s="160" t="n">
        <v>-25519.84155</v>
      </c>
      <c r="AS22" s="160" t="n">
        <v>-25519.84155</v>
      </c>
      <c r="AT22" s="160" t="n">
        <v>-25519.84155</v>
      </c>
      <c r="AU22" s="160" t="n">
        <v>-25519.84155</v>
      </c>
      <c r="AV22" s="160" t="n">
        <v>-25519.84155</v>
      </c>
      <c r="AW22" s="160" t="n">
        <v>-25519.84155</v>
      </c>
      <c r="AX22" s="160" t="n">
        <v>-25519.84155</v>
      </c>
      <c r="AY22" s="160" t="n">
        <v>-25519.84155</v>
      </c>
      <c r="AZ22" s="160" t="n">
        <v>-25519.84155</v>
      </c>
      <c r="BA22" s="160" t="n">
        <v>-25519.84155</v>
      </c>
      <c r="BB22" s="160" t="n">
        <v>-26030.238381</v>
      </c>
      <c r="BC22" s="160" t="n">
        <v>-26030.238381</v>
      </c>
      <c r="BD22" s="160" t="n">
        <v>-26030.238381</v>
      </c>
      <c r="BE22" s="160" t="n">
        <v>-26030.238381</v>
      </c>
      <c r="BF22" s="160" t="n">
        <v>-26030.238381</v>
      </c>
      <c r="BG22" s="160" t="n">
        <v>-26030.238381</v>
      </c>
      <c r="BH22" s="160" t="n">
        <v>-26030.238381</v>
      </c>
      <c r="BI22" s="160" t="n">
        <v>-26030.238381</v>
      </c>
      <c r="BJ22" s="160" t="n">
        <v>-26030.238381</v>
      </c>
      <c r="BK22" s="160" t="n">
        <v>-26030.238381</v>
      </c>
      <c r="BL22" s="160" t="n">
        <v>-26030.238381</v>
      </c>
      <c r="BM22" s="160" t="n">
        <v>-26030.238381</v>
      </c>
      <c r="BN22" s="160" t="n">
        <v>-26550.84314862</v>
      </c>
      <c r="BO22" s="160" t="n">
        <v>-26550.84314862</v>
      </c>
      <c r="BP22" s="160" t="n">
        <v>-26550.84314862</v>
      </c>
      <c r="BQ22" s="160" t="n">
        <v>-26550.84314862</v>
      </c>
      <c r="BR22" s="160" t="n">
        <v>-26550.84314862</v>
      </c>
      <c r="BS22" s="160" t="n">
        <v>-26550.84314862</v>
      </c>
      <c r="BT22" s="160" t="n">
        <v>-26550.84314862</v>
      </c>
      <c r="BU22" s="160" t="n">
        <v>-26550.84314862</v>
      </c>
      <c r="BV22" s="160" t="n">
        <v>-26550.84314862</v>
      </c>
      <c r="BW22" s="160" t="n">
        <v>-26550.84314862</v>
      </c>
      <c r="BX22" s="160" t="n">
        <v>-26550.84314862</v>
      </c>
      <c r="BY22" s="160" t="n">
        <v>-26550.84314862</v>
      </c>
      <c r="BZ22" s="160" t="n">
        <v>-27081.8600115924</v>
      </c>
      <c r="CA22" s="160" t="n">
        <v>-27081.8600115924</v>
      </c>
      <c r="CB22" s="160" t="n">
        <v>-27081.8600115924</v>
      </c>
      <c r="CC22" s="160" t="n">
        <v>-27081.8600115924</v>
      </c>
      <c r="CD22" s="160" t="n">
        <v>-27081.8600115924</v>
      </c>
      <c r="CE22" s="160" t="n">
        <v>-27081.8600115924</v>
      </c>
      <c r="CF22" s="160" t="n">
        <v>-27081.8600115924</v>
      </c>
      <c r="CG22" s="160" t="n">
        <v>-27081.8600115924</v>
      </c>
      <c r="CH22" s="160" t="n">
        <v>-27081.8600115924</v>
      </c>
      <c r="CI22" s="160" t="n">
        <v>-27081.8600115924</v>
      </c>
      <c r="CJ22" s="160" t="n">
        <v>-27081.8600115924</v>
      </c>
      <c r="CK22" s="160" t="n">
        <v>-27081.8600115924</v>
      </c>
      <c r="CL22" s="160" t="n">
        <v>-27623.4972118242</v>
      </c>
      <c r="CM22" s="160" t="n">
        <v>-27623.4972118242</v>
      </c>
      <c r="CN22" s="160" t="n">
        <v>-27623.4972118242</v>
      </c>
      <c r="CO22" s="160" t="n">
        <v>-27623.4972118242</v>
      </c>
      <c r="CP22" s="160" t="n">
        <v>-27623.4972118242</v>
      </c>
      <c r="CQ22" s="160" t="n">
        <v>-27623.4972118242</v>
      </c>
      <c r="CR22" s="160" t="n">
        <v>-27623.4972118242</v>
      </c>
      <c r="CS22" s="160" t="n">
        <v>-27623.4972118242</v>
      </c>
      <c r="CT22" s="160" t="n">
        <v>-27623.4972118242</v>
      </c>
      <c r="CU22" s="160" t="n">
        <v>0</v>
      </c>
      <c r="CV22" s="160" t="n">
        <v>0</v>
      </c>
      <c r="CW22" s="160" t="n">
        <v>0</v>
      </c>
      <c r="CX22" s="160" t="n">
        <v>0</v>
      </c>
      <c r="CY22" s="160" t="n">
        <v>0</v>
      </c>
      <c r="CZ22" s="160" t="n">
        <v>0</v>
      </c>
      <c r="DA22" s="160" t="n">
        <v>0</v>
      </c>
      <c r="DB22" s="160" t="n">
        <v>0</v>
      </c>
      <c r="DC22" s="160" t="n">
        <v>0</v>
      </c>
      <c r="DD22" s="160" t="n">
        <v>0</v>
      </c>
      <c r="DE22" s="160" t="n">
        <v>0</v>
      </c>
      <c r="DF22" s="160" t="n">
        <v>0</v>
      </c>
    </row>
    <row r="23" customFormat="false" ht="15" hidden="false" customHeight="true" outlineLevel="0" collapsed="false">
      <c r="A23" s="90" t="s">
        <v>66</v>
      </c>
      <c r="C23" s="104" t="n">
        <v>0</v>
      </c>
      <c r="D23" s="104" t="n">
        <v>0</v>
      </c>
      <c r="E23" s="104" t="n">
        <v>0</v>
      </c>
      <c r="F23" s="160" t="n">
        <v>-103833.333333333</v>
      </c>
      <c r="G23" s="160" t="n">
        <v>-103833.333333333</v>
      </c>
      <c r="H23" s="160" t="n">
        <v>-103833.333333333</v>
      </c>
      <c r="I23" s="160" t="n">
        <v>-103833.333333333</v>
      </c>
      <c r="J23" s="160" t="n">
        <v>-103833.333333333</v>
      </c>
      <c r="K23" s="160" t="n">
        <v>-103833.333333333</v>
      </c>
      <c r="L23" s="160" t="n">
        <v>-103833.333333333</v>
      </c>
      <c r="M23" s="160" t="n">
        <v>-103833.333333333</v>
      </c>
      <c r="N23" s="160" t="n">
        <v>-103833.333333333</v>
      </c>
      <c r="O23" s="160" t="n">
        <v>-103833.333333333</v>
      </c>
      <c r="P23" s="160" t="n">
        <v>-103833.333333333</v>
      </c>
      <c r="Q23" s="160" t="n">
        <v>-103833.333333333</v>
      </c>
      <c r="R23" s="160" t="n">
        <v>-103833.333333333</v>
      </c>
      <c r="S23" s="160" t="n">
        <v>-103833.333333333</v>
      </c>
      <c r="T23" s="160" t="n">
        <v>-103833.333333333</v>
      </c>
      <c r="U23" s="160" t="n">
        <v>-103833.333333333</v>
      </c>
      <c r="V23" s="160" t="n">
        <v>-103833.333333333</v>
      </c>
      <c r="W23" s="160" t="n">
        <v>-103833.333333333</v>
      </c>
      <c r="X23" s="160" t="n">
        <v>-103833.333333333</v>
      </c>
      <c r="Y23" s="160" t="n">
        <v>-103833.333333333</v>
      </c>
      <c r="Z23" s="160" t="n">
        <v>-103833.333333333</v>
      </c>
      <c r="AA23" s="160" t="n">
        <v>-103833.333333333</v>
      </c>
      <c r="AB23" s="160" t="n">
        <v>-103833.333333333</v>
      </c>
      <c r="AC23" s="160" t="n">
        <v>-103833.333333333</v>
      </c>
      <c r="AD23" s="160" t="n">
        <v>-103833.333333333</v>
      </c>
      <c r="AE23" s="160" t="n">
        <v>-103833.333333333</v>
      </c>
      <c r="AF23" s="160" t="n">
        <v>-103833.333333333</v>
      </c>
      <c r="AG23" s="160" t="n">
        <v>-103833.333333333</v>
      </c>
      <c r="AH23" s="160" t="n">
        <v>-103833.333333333</v>
      </c>
      <c r="AI23" s="160" t="n">
        <v>-103833.333333333</v>
      </c>
      <c r="AJ23" s="160" t="n">
        <v>-103833.333333333</v>
      </c>
      <c r="AK23" s="160" t="n">
        <v>-103833.333333333</v>
      </c>
      <c r="AL23" s="160" t="n">
        <v>-103833.333333333</v>
      </c>
      <c r="AM23" s="160" t="n">
        <v>-103833.333333333</v>
      </c>
      <c r="AN23" s="160" t="n">
        <v>-103833.333333333</v>
      </c>
      <c r="AO23" s="160" t="n">
        <v>-103833.333333333</v>
      </c>
      <c r="AP23" s="160" t="n">
        <v>-103833.333333333</v>
      </c>
      <c r="AQ23" s="160" t="n">
        <v>-103833.333333333</v>
      </c>
      <c r="AR23" s="160" t="n">
        <v>-103833.333333333</v>
      </c>
      <c r="AS23" s="160" t="n">
        <v>-103833.333333333</v>
      </c>
      <c r="AT23" s="160" t="n">
        <v>-103833.333333333</v>
      </c>
      <c r="AU23" s="160" t="n">
        <v>-103833.333333333</v>
      </c>
      <c r="AV23" s="160" t="n">
        <v>-103833.333333333</v>
      </c>
      <c r="AW23" s="160" t="n">
        <v>-103833.333333333</v>
      </c>
      <c r="AX23" s="160" t="n">
        <v>-103833.333333333</v>
      </c>
      <c r="AY23" s="160" t="n">
        <v>-103833.333333333</v>
      </c>
      <c r="AZ23" s="160" t="n">
        <v>-103833.333333333</v>
      </c>
      <c r="BA23" s="160" t="n">
        <v>-103833.333333333</v>
      </c>
      <c r="BB23" s="160" t="n">
        <v>-103833.333333333</v>
      </c>
      <c r="BC23" s="160" t="n">
        <v>-103833.333333333</v>
      </c>
      <c r="BD23" s="160" t="n">
        <v>-103833.333333333</v>
      </c>
      <c r="BE23" s="160" t="n">
        <v>-103833.333333333</v>
      </c>
      <c r="BF23" s="160" t="n">
        <v>-103833.333333333</v>
      </c>
      <c r="BG23" s="160" t="n">
        <v>-103833.333333333</v>
      </c>
      <c r="BH23" s="160" t="n">
        <v>-103833.333333333</v>
      </c>
      <c r="BI23" s="160" t="n">
        <v>-103833.333333333</v>
      </c>
      <c r="BJ23" s="160" t="n">
        <v>-103833.333333333</v>
      </c>
      <c r="BK23" s="160" t="n">
        <v>-103833.333333333</v>
      </c>
      <c r="BL23" s="160" t="n">
        <v>-103833.333333333</v>
      </c>
      <c r="BM23" s="160" t="n">
        <v>-103833.333333333</v>
      </c>
      <c r="BN23" s="160" t="n">
        <v>-103833.333333333</v>
      </c>
      <c r="BO23" s="160" t="n">
        <v>-103833.333333333</v>
      </c>
      <c r="BP23" s="160" t="n">
        <v>-103833.333333333</v>
      </c>
      <c r="BQ23" s="160" t="n">
        <v>-103833.333333333</v>
      </c>
      <c r="BR23" s="160" t="n">
        <v>-103833.333333333</v>
      </c>
      <c r="BS23" s="160" t="n">
        <v>-103833.333333333</v>
      </c>
      <c r="BT23" s="160" t="n">
        <v>-103833.333333333</v>
      </c>
      <c r="BU23" s="160" t="n">
        <v>-103833.333333333</v>
      </c>
      <c r="BV23" s="160" t="n">
        <v>-103833.333333333</v>
      </c>
      <c r="BW23" s="160" t="n">
        <v>-103833.333333333</v>
      </c>
      <c r="BX23" s="160" t="n">
        <v>-103833.333333333</v>
      </c>
      <c r="BY23" s="160" t="n">
        <v>-103833.333333333</v>
      </c>
      <c r="BZ23" s="160" t="n">
        <v>-103833.333333333</v>
      </c>
      <c r="CA23" s="160" t="n">
        <v>-103833.333333333</v>
      </c>
      <c r="CB23" s="160" t="n">
        <v>-103833.333333333</v>
      </c>
      <c r="CC23" s="160" t="n">
        <v>-103833.333333333</v>
      </c>
      <c r="CD23" s="160" t="n">
        <v>-103833.333333333</v>
      </c>
      <c r="CE23" s="160" t="n">
        <v>-103833.333333333</v>
      </c>
      <c r="CF23" s="160" t="n">
        <v>-103833.333333333</v>
      </c>
      <c r="CG23" s="160" t="n">
        <v>-103833.333333333</v>
      </c>
      <c r="CH23" s="160" t="n">
        <v>-103833.333333333</v>
      </c>
      <c r="CI23" s="160" t="n">
        <v>-103833.333333333</v>
      </c>
      <c r="CJ23" s="160" t="n">
        <v>-103833.333333333</v>
      </c>
      <c r="CK23" s="160" t="n">
        <v>-103833.333333333</v>
      </c>
      <c r="CL23" s="160" t="n">
        <v>-103833.333333333</v>
      </c>
      <c r="CM23" s="160" t="n">
        <v>-103833.333333333</v>
      </c>
      <c r="CN23" s="160" t="n">
        <v>-103833.333333333</v>
      </c>
      <c r="CO23" s="160" t="n">
        <v>-103833.333333333</v>
      </c>
      <c r="CP23" s="160" t="n">
        <v>-103833.333333333</v>
      </c>
      <c r="CQ23" s="160" t="n">
        <v>-103833.333333333</v>
      </c>
      <c r="CR23" s="160" t="n">
        <v>-103833.333333333</v>
      </c>
      <c r="CS23" s="160" t="n">
        <v>-103833.333333333</v>
      </c>
      <c r="CT23" s="160" t="n">
        <v>-103833.333333333</v>
      </c>
      <c r="CU23" s="160" t="n">
        <v>-103833.333333333</v>
      </c>
      <c r="CV23" s="160" t="n">
        <v>-103833.333333333</v>
      </c>
      <c r="CW23" s="160" t="n">
        <v>-103833.333333333</v>
      </c>
      <c r="CX23" s="160" t="n">
        <v>-103833.333333333</v>
      </c>
      <c r="CY23" s="160" t="n">
        <v>-103833.333333333</v>
      </c>
      <c r="CZ23" s="160" t="n">
        <v>-103833.333333333</v>
      </c>
      <c r="DA23" s="160" t="n">
        <v>-103833.333333333</v>
      </c>
      <c r="DB23" s="160" t="n">
        <v>-103833.333333333</v>
      </c>
      <c r="DC23" s="160" t="n">
        <v>-103833.333333333</v>
      </c>
      <c r="DD23" s="160" t="n">
        <v>-103833.333333333</v>
      </c>
      <c r="DE23" s="160" t="n">
        <v>-103833.333333333</v>
      </c>
      <c r="DF23" s="160" t="n">
        <v>-103833.333333333</v>
      </c>
    </row>
    <row r="24" customFormat="false" ht="15" hidden="false" customHeight="true" outlineLevel="0" collapsed="false">
      <c r="A24" s="90" t="s">
        <v>67</v>
      </c>
      <c r="C24" s="104" t="n">
        <v>-9482.97</v>
      </c>
      <c r="D24" s="104" t="n">
        <v>-10343.29</v>
      </c>
      <c r="E24" s="104" t="n">
        <v>-3729.48</v>
      </c>
      <c r="F24" s="160" t="n">
        <v>-10947.9166666667</v>
      </c>
      <c r="G24" s="160" t="n">
        <v>-12177.0833333333</v>
      </c>
      <c r="H24" s="160" t="n">
        <v>-13427.0833333333</v>
      </c>
      <c r="I24" s="160" t="n">
        <v>-13968.75</v>
      </c>
      <c r="J24" s="160" t="n">
        <v>-13968.75</v>
      </c>
      <c r="K24" s="160" t="n">
        <v>-13968.75</v>
      </c>
      <c r="L24" s="160" t="n">
        <v>-15010.4166666667</v>
      </c>
      <c r="M24" s="160" t="n">
        <v>-16510.4166666667</v>
      </c>
      <c r="N24" s="160" t="n">
        <v>-16510.4166666667</v>
      </c>
      <c r="O24" s="160" t="n">
        <v>-16510.4166666667</v>
      </c>
      <c r="P24" s="160" t="n">
        <v>-16510.4166666667</v>
      </c>
      <c r="Q24" s="160" t="n">
        <v>-16510.4166666667</v>
      </c>
      <c r="R24" s="160" t="n">
        <v>-17520.625</v>
      </c>
      <c r="S24" s="160" t="n">
        <v>-17520.625</v>
      </c>
      <c r="T24" s="160" t="n">
        <v>-17520.625</v>
      </c>
      <c r="U24" s="160" t="n">
        <v>-17520.625</v>
      </c>
      <c r="V24" s="160" t="n">
        <v>-17520.625</v>
      </c>
      <c r="W24" s="160" t="n">
        <v>-17520.625</v>
      </c>
      <c r="X24" s="160" t="n">
        <v>-17520.625</v>
      </c>
      <c r="Y24" s="160" t="n">
        <v>-17520.625</v>
      </c>
      <c r="Z24" s="160" t="n">
        <v>-17520.625</v>
      </c>
      <c r="AA24" s="160" t="n">
        <v>-17520.625</v>
      </c>
      <c r="AB24" s="160" t="n">
        <v>-17520.625</v>
      </c>
      <c r="AC24" s="160" t="n">
        <v>-17520.625</v>
      </c>
      <c r="AD24" s="160" t="n">
        <v>-17871.0375</v>
      </c>
      <c r="AE24" s="160" t="n">
        <v>-17871.0375</v>
      </c>
      <c r="AF24" s="160" t="n">
        <v>-17871.0375</v>
      </c>
      <c r="AG24" s="160" t="n">
        <v>-17871.0375</v>
      </c>
      <c r="AH24" s="160" t="n">
        <v>-17871.0375</v>
      </c>
      <c r="AI24" s="160" t="n">
        <v>-17871.0375</v>
      </c>
      <c r="AJ24" s="160" t="n">
        <v>-17871.0375</v>
      </c>
      <c r="AK24" s="160" t="n">
        <v>-17871.0375</v>
      </c>
      <c r="AL24" s="160" t="n">
        <v>-17871.0375</v>
      </c>
      <c r="AM24" s="160" t="n">
        <v>-17871.0375</v>
      </c>
      <c r="AN24" s="160" t="n">
        <v>-17871.0375</v>
      </c>
      <c r="AO24" s="160" t="n">
        <v>-17871.0375</v>
      </c>
      <c r="AP24" s="160" t="n">
        <v>-18228.45825</v>
      </c>
      <c r="AQ24" s="160" t="n">
        <v>-18228.45825</v>
      </c>
      <c r="AR24" s="160" t="n">
        <v>-18228.45825</v>
      </c>
      <c r="AS24" s="160" t="n">
        <v>-18228.45825</v>
      </c>
      <c r="AT24" s="160" t="n">
        <v>-18228.45825</v>
      </c>
      <c r="AU24" s="160" t="n">
        <v>-18228.45825</v>
      </c>
      <c r="AV24" s="160" t="n">
        <v>-18228.45825</v>
      </c>
      <c r="AW24" s="160" t="n">
        <v>-18228.45825</v>
      </c>
      <c r="AX24" s="160" t="n">
        <v>-18228.45825</v>
      </c>
      <c r="AY24" s="160" t="n">
        <v>-18228.45825</v>
      </c>
      <c r="AZ24" s="160" t="n">
        <v>-18228.45825</v>
      </c>
      <c r="BA24" s="160" t="n">
        <v>-18228.45825</v>
      </c>
      <c r="BB24" s="160" t="n">
        <v>-18593.027415</v>
      </c>
      <c r="BC24" s="160" t="n">
        <v>-18593.027415</v>
      </c>
      <c r="BD24" s="160" t="n">
        <v>-18593.027415</v>
      </c>
      <c r="BE24" s="160" t="n">
        <v>-18593.027415</v>
      </c>
      <c r="BF24" s="160" t="n">
        <v>-18593.027415</v>
      </c>
      <c r="BG24" s="160" t="n">
        <v>-18593.027415</v>
      </c>
      <c r="BH24" s="160" t="n">
        <v>-18593.027415</v>
      </c>
      <c r="BI24" s="160" t="n">
        <v>-18593.027415</v>
      </c>
      <c r="BJ24" s="160" t="n">
        <v>-18593.027415</v>
      </c>
      <c r="BK24" s="160" t="n">
        <v>-18593.027415</v>
      </c>
      <c r="BL24" s="160" t="n">
        <v>-18593.027415</v>
      </c>
      <c r="BM24" s="160" t="n">
        <v>-18593.027415</v>
      </c>
      <c r="BN24" s="160" t="n">
        <v>-18964.8879633</v>
      </c>
      <c r="BO24" s="160" t="n">
        <v>-18964.8879633</v>
      </c>
      <c r="BP24" s="160" t="n">
        <v>-18964.8879633</v>
      </c>
      <c r="BQ24" s="160" t="n">
        <v>-18964.8879633</v>
      </c>
      <c r="BR24" s="160" t="n">
        <v>-18964.8879633</v>
      </c>
      <c r="BS24" s="160" t="n">
        <v>-18964.8879633</v>
      </c>
      <c r="BT24" s="160" t="n">
        <v>-18964.8879633</v>
      </c>
      <c r="BU24" s="160" t="n">
        <v>-18964.8879633</v>
      </c>
      <c r="BV24" s="160" t="n">
        <v>-18964.8879633</v>
      </c>
      <c r="BW24" s="160" t="n">
        <v>-18964.8879633</v>
      </c>
      <c r="BX24" s="160" t="n">
        <v>-18964.8879633</v>
      </c>
      <c r="BY24" s="160" t="n">
        <v>-18964.8879633</v>
      </c>
      <c r="BZ24" s="160" t="n">
        <v>-19344.185722566</v>
      </c>
      <c r="CA24" s="160" t="n">
        <v>-19344.185722566</v>
      </c>
      <c r="CB24" s="160" t="n">
        <v>-19344.185722566</v>
      </c>
      <c r="CC24" s="160" t="n">
        <v>-19344.185722566</v>
      </c>
      <c r="CD24" s="160" t="n">
        <v>-19344.185722566</v>
      </c>
      <c r="CE24" s="160" t="n">
        <v>-19344.185722566</v>
      </c>
      <c r="CF24" s="160" t="n">
        <v>-19344.185722566</v>
      </c>
      <c r="CG24" s="160" t="n">
        <v>-19344.185722566</v>
      </c>
      <c r="CH24" s="160" t="n">
        <v>-19344.185722566</v>
      </c>
      <c r="CI24" s="160" t="n">
        <v>-19344.185722566</v>
      </c>
      <c r="CJ24" s="160" t="n">
        <v>-19344.185722566</v>
      </c>
      <c r="CK24" s="160" t="n">
        <v>-19344.185722566</v>
      </c>
      <c r="CL24" s="160" t="n">
        <v>-19731.0694370173</v>
      </c>
      <c r="CM24" s="160" t="n">
        <v>-19731.0694370173</v>
      </c>
      <c r="CN24" s="160" t="n">
        <v>-19731.0694370173</v>
      </c>
      <c r="CO24" s="160" t="n">
        <v>-19731.0694370173</v>
      </c>
      <c r="CP24" s="160" t="n">
        <v>-19731.0694370173</v>
      </c>
      <c r="CQ24" s="160" t="n">
        <v>-19731.0694370173</v>
      </c>
      <c r="CR24" s="160" t="n">
        <v>-19731.0694370173</v>
      </c>
      <c r="CS24" s="160" t="n">
        <v>-19731.0694370173</v>
      </c>
      <c r="CT24" s="160" t="n">
        <v>-19731.0694370173</v>
      </c>
      <c r="CU24" s="160" t="n">
        <v>0</v>
      </c>
      <c r="CV24" s="160" t="n">
        <v>0</v>
      </c>
      <c r="CW24" s="160" t="n">
        <v>0</v>
      </c>
      <c r="CX24" s="160" t="n">
        <v>0</v>
      </c>
      <c r="CY24" s="160" t="n">
        <v>0</v>
      </c>
      <c r="CZ24" s="160" t="n">
        <v>0</v>
      </c>
      <c r="DA24" s="160" t="n">
        <v>0</v>
      </c>
      <c r="DB24" s="160" t="n">
        <v>0</v>
      </c>
      <c r="DC24" s="160" t="n">
        <v>0</v>
      </c>
      <c r="DD24" s="160" t="n">
        <v>0</v>
      </c>
      <c r="DE24" s="160" t="n">
        <v>0</v>
      </c>
      <c r="DF24" s="160" t="n">
        <v>0</v>
      </c>
    </row>
    <row r="25" customFormat="false" ht="15" hidden="false" customHeight="true" outlineLevel="0" collapsed="false">
      <c r="A25" s="90" t="s">
        <v>68</v>
      </c>
      <c r="C25" s="104" t="n">
        <v>-2542.47</v>
      </c>
      <c r="D25" s="104" t="n">
        <v>-1618.75</v>
      </c>
      <c r="E25" s="104" t="n">
        <v>3406.77</v>
      </c>
      <c r="F25" s="160" t="n">
        <v>-4379.16666666667</v>
      </c>
      <c r="G25" s="160" t="n">
        <v>-4870.83333333333</v>
      </c>
      <c r="H25" s="160" t="n">
        <v>-5370.83333333333</v>
      </c>
      <c r="I25" s="160" t="n">
        <v>-5587.5</v>
      </c>
      <c r="J25" s="160" t="n">
        <v>-5587.5</v>
      </c>
      <c r="K25" s="160" t="n">
        <v>-5587.5</v>
      </c>
      <c r="L25" s="160" t="n">
        <v>-6004.16666666667</v>
      </c>
      <c r="M25" s="160" t="n">
        <v>-6604.16666666666</v>
      </c>
      <c r="N25" s="160" t="n">
        <v>-6604.16666666666</v>
      </c>
      <c r="O25" s="160" t="n">
        <v>-6604.16666666666</v>
      </c>
      <c r="P25" s="160" t="n">
        <v>-6604.16666666666</v>
      </c>
      <c r="Q25" s="160" t="n">
        <v>-6604.16666666666</v>
      </c>
      <c r="R25" s="160" t="n">
        <v>-7008.25</v>
      </c>
      <c r="S25" s="160" t="n">
        <v>-7008.25</v>
      </c>
      <c r="T25" s="160" t="n">
        <v>-7008.25</v>
      </c>
      <c r="U25" s="160" t="n">
        <v>-7008.25</v>
      </c>
      <c r="V25" s="160" t="n">
        <v>-7008.25</v>
      </c>
      <c r="W25" s="160" t="n">
        <v>-7008.25</v>
      </c>
      <c r="X25" s="160" t="n">
        <v>-7008.25</v>
      </c>
      <c r="Y25" s="160" t="n">
        <v>-7008.25</v>
      </c>
      <c r="Z25" s="160" t="n">
        <v>-7008.25</v>
      </c>
      <c r="AA25" s="160" t="n">
        <v>-7008.25</v>
      </c>
      <c r="AB25" s="160" t="n">
        <v>-7008.25</v>
      </c>
      <c r="AC25" s="160" t="n">
        <v>-7008.25</v>
      </c>
      <c r="AD25" s="160" t="n">
        <v>-7148.415</v>
      </c>
      <c r="AE25" s="160" t="n">
        <v>-7148.415</v>
      </c>
      <c r="AF25" s="160" t="n">
        <v>-7148.415</v>
      </c>
      <c r="AG25" s="160" t="n">
        <v>-7148.415</v>
      </c>
      <c r="AH25" s="160" t="n">
        <v>-7148.415</v>
      </c>
      <c r="AI25" s="160" t="n">
        <v>-7148.415</v>
      </c>
      <c r="AJ25" s="160" t="n">
        <v>-7148.415</v>
      </c>
      <c r="AK25" s="160" t="n">
        <v>-7148.415</v>
      </c>
      <c r="AL25" s="160" t="n">
        <v>-7148.415</v>
      </c>
      <c r="AM25" s="160" t="n">
        <v>-7148.415</v>
      </c>
      <c r="AN25" s="160" t="n">
        <v>-7148.415</v>
      </c>
      <c r="AO25" s="160" t="n">
        <v>-7148.415</v>
      </c>
      <c r="AP25" s="160" t="n">
        <v>-7291.3833</v>
      </c>
      <c r="AQ25" s="160" t="n">
        <v>-7291.3833</v>
      </c>
      <c r="AR25" s="160" t="n">
        <v>-7291.3833</v>
      </c>
      <c r="AS25" s="160" t="n">
        <v>-7291.3833</v>
      </c>
      <c r="AT25" s="160" t="n">
        <v>-7291.3833</v>
      </c>
      <c r="AU25" s="160" t="n">
        <v>-7291.3833</v>
      </c>
      <c r="AV25" s="160" t="n">
        <v>-7291.3833</v>
      </c>
      <c r="AW25" s="160" t="n">
        <v>-7291.3833</v>
      </c>
      <c r="AX25" s="160" t="n">
        <v>-7291.3833</v>
      </c>
      <c r="AY25" s="160" t="n">
        <v>-7291.3833</v>
      </c>
      <c r="AZ25" s="160" t="n">
        <v>-7291.3833</v>
      </c>
      <c r="BA25" s="160" t="n">
        <v>-7291.3833</v>
      </c>
      <c r="BB25" s="160" t="n">
        <v>-7437.210966</v>
      </c>
      <c r="BC25" s="160" t="n">
        <v>-7437.210966</v>
      </c>
      <c r="BD25" s="160" t="n">
        <v>-7437.210966</v>
      </c>
      <c r="BE25" s="160" t="n">
        <v>-7437.210966</v>
      </c>
      <c r="BF25" s="160" t="n">
        <v>-7437.210966</v>
      </c>
      <c r="BG25" s="160" t="n">
        <v>-7437.210966</v>
      </c>
      <c r="BH25" s="160" t="n">
        <v>-7437.210966</v>
      </c>
      <c r="BI25" s="160" t="n">
        <v>-7437.210966</v>
      </c>
      <c r="BJ25" s="160" t="n">
        <v>-7437.210966</v>
      </c>
      <c r="BK25" s="160" t="n">
        <v>-7437.210966</v>
      </c>
      <c r="BL25" s="160" t="n">
        <v>-7437.210966</v>
      </c>
      <c r="BM25" s="160" t="n">
        <v>-7437.210966</v>
      </c>
      <c r="BN25" s="160" t="n">
        <v>-7585.95518532</v>
      </c>
      <c r="BO25" s="160" t="n">
        <v>-7585.95518532</v>
      </c>
      <c r="BP25" s="160" t="n">
        <v>-7585.95518532</v>
      </c>
      <c r="BQ25" s="160" t="n">
        <v>-7585.95518532</v>
      </c>
      <c r="BR25" s="160" t="n">
        <v>-7585.95518532</v>
      </c>
      <c r="BS25" s="160" t="n">
        <v>-7585.95518532</v>
      </c>
      <c r="BT25" s="160" t="n">
        <v>-7585.95518532</v>
      </c>
      <c r="BU25" s="160" t="n">
        <v>-7585.95518532</v>
      </c>
      <c r="BV25" s="160" t="n">
        <v>-7585.95518532</v>
      </c>
      <c r="BW25" s="160" t="n">
        <v>-7585.95518532</v>
      </c>
      <c r="BX25" s="160" t="n">
        <v>-7585.95518532</v>
      </c>
      <c r="BY25" s="160" t="n">
        <v>-7585.95518532</v>
      </c>
      <c r="BZ25" s="160" t="n">
        <v>-7737.6742890264</v>
      </c>
      <c r="CA25" s="160" t="n">
        <v>-7737.6742890264</v>
      </c>
      <c r="CB25" s="160" t="n">
        <v>-7737.6742890264</v>
      </c>
      <c r="CC25" s="160" t="n">
        <v>-7737.6742890264</v>
      </c>
      <c r="CD25" s="160" t="n">
        <v>-7737.6742890264</v>
      </c>
      <c r="CE25" s="160" t="n">
        <v>-7737.6742890264</v>
      </c>
      <c r="CF25" s="160" t="n">
        <v>-7737.6742890264</v>
      </c>
      <c r="CG25" s="160" t="n">
        <v>-7737.6742890264</v>
      </c>
      <c r="CH25" s="160" t="n">
        <v>-7737.6742890264</v>
      </c>
      <c r="CI25" s="160" t="n">
        <v>-7737.6742890264</v>
      </c>
      <c r="CJ25" s="160" t="n">
        <v>-7737.6742890264</v>
      </c>
      <c r="CK25" s="160" t="n">
        <v>-7737.6742890264</v>
      </c>
      <c r="CL25" s="160" t="n">
        <v>-7892.42777480693</v>
      </c>
      <c r="CM25" s="160" t="n">
        <v>-7892.42777480693</v>
      </c>
      <c r="CN25" s="160" t="n">
        <v>-7892.42777480693</v>
      </c>
      <c r="CO25" s="160" t="n">
        <v>-7892.42777480693</v>
      </c>
      <c r="CP25" s="160" t="n">
        <v>-7892.42777480693</v>
      </c>
      <c r="CQ25" s="160" t="n">
        <v>-7892.42777480693</v>
      </c>
      <c r="CR25" s="160" t="n">
        <v>-7892.42777480693</v>
      </c>
      <c r="CS25" s="160" t="n">
        <v>-7892.42777480693</v>
      </c>
      <c r="CT25" s="160" t="n">
        <v>-7892.42777480693</v>
      </c>
      <c r="CU25" s="160" t="n">
        <v>0</v>
      </c>
      <c r="CV25" s="160" t="n">
        <v>0</v>
      </c>
      <c r="CW25" s="160" t="n">
        <v>0</v>
      </c>
      <c r="CX25" s="160" t="n">
        <v>0</v>
      </c>
      <c r="CY25" s="160" t="n">
        <v>0</v>
      </c>
      <c r="CZ25" s="160" t="n">
        <v>0</v>
      </c>
      <c r="DA25" s="160" t="n">
        <v>0</v>
      </c>
      <c r="DB25" s="160" t="n">
        <v>0</v>
      </c>
      <c r="DC25" s="160" t="n">
        <v>0</v>
      </c>
      <c r="DD25" s="160" t="n">
        <v>0</v>
      </c>
      <c r="DE25" s="160" t="n">
        <v>0</v>
      </c>
      <c r="DF25" s="160" t="n">
        <v>0</v>
      </c>
    </row>
    <row r="26" customFormat="false" ht="15" hidden="false" customHeight="true" outlineLevel="0" collapsed="false">
      <c r="A26" s="90" t="s">
        <v>69</v>
      </c>
      <c r="C26" s="104" t="n">
        <v>-195</v>
      </c>
      <c r="D26" s="104" t="n">
        <v>-200</v>
      </c>
      <c r="E26" s="104" t="n">
        <v>0</v>
      </c>
      <c r="F26" s="160" t="n">
        <v>-1094.79166666667</v>
      </c>
      <c r="G26" s="160" t="n">
        <v>-1217.70833333333</v>
      </c>
      <c r="H26" s="160" t="n">
        <v>-1342.70833333333</v>
      </c>
      <c r="I26" s="160" t="n">
        <v>-1396.875</v>
      </c>
      <c r="J26" s="160" t="n">
        <v>-1396.875</v>
      </c>
      <c r="K26" s="160" t="n">
        <v>-1396.875</v>
      </c>
      <c r="L26" s="160" t="n">
        <v>-1501.04166666667</v>
      </c>
      <c r="M26" s="160" t="n">
        <v>-1651.04166666667</v>
      </c>
      <c r="N26" s="160" t="n">
        <v>-1651.04166666667</v>
      </c>
      <c r="O26" s="160" t="n">
        <v>-1651.04166666667</v>
      </c>
      <c r="P26" s="160" t="n">
        <v>-1651.04166666667</v>
      </c>
      <c r="Q26" s="160" t="n">
        <v>-1651.04166666667</v>
      </c>
      <c r="R26" s="160" t="n">
        <v>-1752.0625</v>
      </c>
      <c r="S26" s="160" t="n">
        <v>-1752.0625</v>
      </c>
      <c r="T26" s="160" t="n">
        <v>-1752.0625</v>
      </c>
      <c r="U26" s="160" t="n">
        <v>-1752.0625</v>
      </c>
      <c r="V26" s="160" t="n">
        <v>-1752.0625</v>
      </c>
      <c r="W26" s="160" t="n">
        <v>-1752.0625</v>
      </c>
      <c r="X26" s="160" t="n">
        <v>-1752.0625</v>
      </c>
      <c r="Y26" s="160" t="n">
        <v>-1752.0625</v>
      </c>
      <c r="Z26" s="160" t="n">
        <v>-1752.0625</v>
      </c>
      <c r="AA26" s="160" t="n">
        <v>-1752.0625</v>
      </c>
      <c r="AB26" s="160" t="n">
        <v>-1752.0625</v>
      </c>
      <c r="AC26" s="160" t="n">
        <v>-1752.0625</v>
      </c>
      <c r="AD26" s="160" t="n">
        <v>-1787.10375</v>
      </c>
      <c r="AE26" s="160" t="n">
        <v>-1787.10375</v>
      </c>
      <c r="AF26" s="160" t="n">
        <v>-1787.10375</v>
      </c>
      <c r="AG26" s="160" t="n">
        <v>-1787.10375</v>
      </c>
      <c r="AH26" s="160" t="n">
        <v>-1787.10375</v>
      </c>
      <c r="AI26" s="160" t="n">
        <v>-1787.10375</v>
      </c>
      <c r="AJ26" s="160" t="n">
        <v>-1787.10375</v>
      </c>
      <c r="AK26" s="160" t="n">
        <v>-1787.10375</v>
      </c>
      <c r="AL26" s="160" t="n">
        <v>-1787.10375</v>
      </c>
      <c r="AM26" s="160" t="n">
        <v>-1787.10375</v>
      </c>
      <c r="AN26" s="160" t="n">
        <v>-1787.10375</v>
      </c>
      <c r="AO26" s="160" t="n">
        <v>-1787.10375</v>
      </c>
      <c r="AP26" s="160" t="n">
        <v>-1822.845825</v>
      </c>
      <c r="AQ26" s="160" t="n">
        <v>-1822.845825</v>
      </c>
      <c r="AR26" s="160" t="n">
        <v>-1822.845825</v>
      </c>
      <c r="AS26" s="160" t="n">
        <v>-1822.845825</v>
      </c>
      <c r="AT26" s="160" t="n">
        <v>-1822.845825</v>
      </c>
      <c r="AU26" s="160" t="n">
        <v>-1822.845825</v>
      </c>
      <c r="AV26" s="160" t="n">
        <v>-1822.845825</v>
      </c>
      <c r="AW26" s="160" t="n">
        <v>-1822.845825</v>
      </c>
      <c r="AX26" s="160" t="n">
        <v>-1822.845825</v>
      </c>
      <c r="AY26" s="160" t="n">
        <v>-1822.845825</v>
      </c>
      <c r="AZ26" s="160" t="n">
        <v>-1822.845825</v>
      </c>
      <c r="BA26" s="160" t="n">
        <v>-1822.845825</v>
      </c>
      <c r="BB26" s="160" t="n">
        <v>-1859.3027415</v>
      </c>
      <c r="BC26" s="160" t="n">
        <v>-1859.3027415</v>
      </c>
      <c r="BD26" s="160" t="n">
        <v>-1859.3027415</v>
      </c>
      <c r="BE26" s="160" t="n">
        <v>-1859.3027415</v>
      </c>
      <c r="BF26" s="160" t="n">
        <v>-1859.3027415</v>
      </c>
      <c r="BG26" s="160" t="n">
        <v>-1859.3027415</v>
      </c>
      <c r="BH26" s="160" t="n">
        <v>-1859.3027415</v>
      </c>
      <c r="BI26" s="160" t="n">
        <v>-1859.3027415</v>
      </c>
      <c r="BJ26" s="160" t="n">
        <v>-1859.3027415</v>
      </c>
      <c r="BK26" s="160" t="n">
        <v>-1859.3027415</v>
      </c>
      <c r="BL26" s="160" t="n">
        <v>-1859.3027415</v>
      </c>
      <c r="BM26" s="160" t="n">
        <v>-1859.3027415</v>
      </c>
      <c r="BN26" s="160" t="n">
        <v>-1896.48879633</v>
      </c>
      <c r="BO26" s="160" t="n">
        <v>-1896.48879633</v>
      </c>
      <c r="BP26" s="160" t="n">
        <v>-1896.48879633</v>
      </c>
      <c r="BQ26" s="160" t="n">
        <v>-1896.48879633</v>
      </c>
      <c r="BR26" s="160" t="n">
        <v>-1896.48879633</v>
      </c>
      <c r="BS26" s="160" t="n">
        <v>-1896.48879633</v>
      </c>
      <c r="BT26" s="160" t="n">
        <v>-1896.48879633</v>
      </c>
      <c r="BU26" s="160" t="n">
        <v>-1896.48879633</v>
      </c>
      <c r="BV26" s="160" t="n">
        <v>-1896.48879633</v>
      </c>
      <c r="BW26" s="160" t="n">
        <v>-1896.48879633</v>
      </c>
      <c r="BX26" s="160" t="n">
        <v>-1896.48879633</v>
      </c>
      <c r="BY26" s="160" t="n">
        <v>-1896.48879633</v>
      </c>
      <c r="BZ26" s="160" t="n">
        <v>-1934.4185722566</v>
      </c>
      <c r="CA26" s="160" t="n">
        <v>-1934.4185722566</v>
      </c>
      <c r="CB26" s="160" t="n">
        <v>-1934.4185722566</v>
      </c>
      <c r="CC26" s="160" t="n">
        <v>-1934.4185722566</v>
      </c>
      <c r="CD26" s="160" t="n">
        <v>-1934.4185722566</v>
      </c>
      <c r="CE26" s="160" t="n">
        <v>-1934.4185722566</v>
      </c>
      <c r="CF26" s="160" t="n">
        <v>-1934.4185722566</v>
      </c>
      <c r="CG26" s="160" t="n">
        <v>-1934.4185722566</v>
      </c>
      <c r="CH26" s="160" t="n">
        <v>-1934.4185722566</v>
      </c>
      <c r="CI26" s="160" t="n">
        <v>-1934.4185722566</v>
      </c>
      <c r="CJ26" s="160" t="n">
        <v>-1934.4185722566</v>
      </c>
      <c r="CK26" s="160" t="n">
        <v>-1934.4185722566</v>
      </c>
      <c r="CL26" s="160" t="n">
        <v>-1973.10694370173</v>
      </c>
      <c r="CM26" s="160" t="n">
        <v>-1973.10694370173</v>
      </c>
      <c r="CN26" s="160" t="n">
        <v>-1973.10694370173</v>
      </c>
      <c r="CO26" s="160" t="n">
        <v>-1973.10694370173</v>
      </c>
      <c r="CP26" s="160" t="n">
        <v>-1973.10694370173</v>
      </c>
      <c r="CQ26" s="160" t="n">
        <v>-1973.10694370173</v>
      </c>
      <c r="CR26" s="160" t="n">
        <v>-1973.10694370173</v>
      </c>
      <c r="CS26" s="160" t="n">
        <v>-1973.10694370173</v>
      </c>
      <c r="CT26" s="160" t="n">
        <v>-1973.10694370173</v>
      </c>
      <c r="CU26" s="160" t="n">
        <v>0</v>
      </c>
      <c r="CV26" s="160" t="n">
        <v>0</v>
      </c>
      <c r="CW26" s="160" t="n">
        <v>0</v>
      </c>
      <c r="CX26" s="160" t="n">
        <v>0</v>
      </c>
      <c r="CY26" s="160" t="n">
        <v>0</v>
      </c>
      <c r="CZ26" s="160" t="n">
        <v>0</v>
      </c>
      <c r="DA26" s="160" t="n">
        <v>0</v>
      </c>
      <c r="DB26" s="160" t="n">
        <v>0</v>
      </c>
      <c r="DC26" s="160" t="n">
        <v>0</v>
      </c>
      <c r="DD26" s="160" t="n">
        <v>0</v>
      </c>
      <c r="DE26" s="160" t="n">
        <v>0</v>
      </c>
      <c r="DF26" s="160" t="n">
        <v>0</v>
      </c>
    </row>
    <row r="27" customFormat="false" ht="15" hidden="false" customHeight="true" outlineLevel="0" collapsed="false">
      <c r="A27" s="90" t="s">
        <v>70</v>
      </c>
      <c r="C27" s="104" t="n">
        <v>-33002.28</v>
      </c>
      <c r="D27" s="104" t="n">
        <v>-29166.66</v>
      </c>
      <c r="E27" s="104" t="n">
        <v>-41666.66</v>
      </c>
      <c r="F27" s="160" t="n">
        <v>-29166.66</v>
      </c>
      <c r="G27" s="160" t="n">
        <v>-29166.66</v>
      </c>
      <c r="H27" s="160" t="n">
        <v>-29166.66</v>
      </c>
      <c r="I27" s="160" t="n">
        <v>-29166.66</v>
      </c>
      <c r="J27" s="160" t="n">
        <v>-29166.66</v>
      </c>
      <c r="K27" s="160" t="n">
        <v>-29166.66</v>
      </c>
      <c r="L27" s="160" t="n">
        <v>-29166.66</v>
      </c>
      <c r="M27" s="160" t="n">
        <v>-29166.66</v>
      </c>
      <c r="N27" s="160" t="n">
        <v>-29166.66</v>
      </c>
      <c r="O27" s="160" t="n">
        <v>-29166.66</v>
      </c>
      <c r="P27" s="160" t="n">
        <v>-29166.66</v>
      </c>
      <c r="Q27" s="160" t="n">
        <v>-29166.66</v>
      </c>
      <c r="R27" s="160" t="n">
        <v>-29749.9932</v>
      </c>
      <c r="S27" s="160" t="n">
        <v>-29749.9932</v>
      </c>
      <c r="T27" s="160" t="n">
        <v>-29749.9932</v>
      </c>
      <c r="U27" s="160" t="n">
        <v>-29749.9932</v>
      </c>
      <c r="V27" s="160" t="n">
        <v>-29749.9932</v>
      </c>
      <c r="W27" s="160" t="n">
        <v>-29749.9932</v>
      </c>
      <c r="X27" s="160" t="n">
        <v>-29749.9932</v>
      </c>
      <c r="Y27" s="160" t="n">
        <v>-29749.9932</v>
      </c>
      <c r="Z27" s="160" t="n">
        <v>-29749.9932</v>
      </c>
      <c r="AA27" s="160" t="n">
        <v>-29749.9932</v>
      </c>
      <c r="AB27" s="160" t="n">
        <v>-29749.9932</v>
      </c>
      <c r="AC27" s="160" t="n">
        <v>-29749.9932</v>
      </c>
      <c r="AD27" s="160" t="n">
        <v>-30344.993064</v>
      </c>
      <c r="AE27" s="160" t="n">
        <v>-30344.993064</v>
      </c>
      <c r="AF27" s="160" t="n">
        <v>-30344.993064</v>
      </c>
      <c r="AG27" s="160" t="n">
        <v>-30344.993064</v>
      </c>
      <c r="AH27" s="160" t="n">
        <v>-30344.993064</v>
      </c>
      <c r="AI27" s="160" t="n">
        <v>-30344.993064</v>
      </c>
      <c r="AJ27" s="160" t="n">
        <v>-30344.993064</v>
      </c>
      <c r="AK27" s="160" t="n">
        <v>-30344.993064</v>
      </c>
      <c r="AL27" s="160" t="n">
        <v>-30344.993064</v>
      </c>
      <c r="AM27" s="160" t="n">
        <v>-30344.993064</v>
      </c>
      <c r="AN27" s="160" t="n">
        <v>-30344.993064</v>
      </c>
      <c r="AO27" s="160" t="n">
        <v>-30344.993064</v>
      </c>
      <c r="AP27" s="160" t="n">
        <v>-30951.89292528</v>
      </c>
      <c r="AQ27" s="160" t="n">
        <v>-30951.89292528</v>
      </c>
      <c r="AR27" s="160" t="n">
        <v>-30951.89292528</v>
      </c>
      <c r="AS27" s="160" t="n">
        <v>-30951.89292528</v>
      </c>
      <c r="AT27" s="160" t="n">
        <v>-30951.89292528</v>
      </c>
      <c r="AU27" s="160" t="n">
        <v>-30951.89292528</v>
      </c>
      <c r="AV27" s="160" t="n">
        <v>-30951.89292528</v>
      </c>
      <c r="AW27" s="160" t="n">
        <v>-30951.89292528</v>
      </c>
      <c r="AX27" s="160" t="n">
        <v>-30951.89292528</v>
      </c>
      <c r="AY27" s="160" t="n">
        <v>-30951.89292528</v>
      </c>
      <c r="AZ27" s="160" t="n">
        <v>-30951.89292528</v>
      </c>
      <c r="BA27" s="160" t="n">
        <v>-30951.89292528</v>
      </c>
      <c r="BB27" s="160" t="n">
        <v>-31570.9307837856</v>
      </c>
      <c r="BC27" s="160" t="n">
        <v>-31570.9307837856</v>
      </c>
      <c r="BD27" s="160" t="n">
        <v>-31570.9307837856</v>
      </c>
      <c r="BE27" s="160" t="n">
        <v>-31570.9307837856</v>
      </c>
      <c r="BF27" s="160" t="n">
        <v>-31570.9307837856</v>
      </c>
      <c r="BG27" s="160" t="n">
        <v>-31570.9307837856</v>
      </c>
      <c r="BH27" s="160" t="n">
        <v>-31570.9307837856</v>
      </c>
      <c r="BI27" s="160" t="n">
        <v>-31570.9307837856</v>
      </c>
      <c r="BJ27" s="160" t="n">
        <v>-31570.9307837856</v>
      </c>
      <c r="BK27" s="160" t="n">
        <v>-31570.9307837856</v>
      </c>
      <c r="BL27" s="160" t="n">
        <v>-31570.9307837856</v>
      </c>
      <c r="BM27" s="160" t="n">
        <v>-31570.9307837856</v>
      </c>
      <c r="BN27" s="160" t="n">
        <v>-32202.3493994613</v>
      </c>
      <c r="BO27" s="160" t="n">
        <v>-32202.3493994613</v>
      </c>
      <c r="BP27" s="160" t="n">
        <v>-32202.3493994613</v>
      </c>
      <c r="BQ27" s="160" t="n">
        <v>-32202.3493994613</v>
      </c>
      <c r="BR27" s="160" t="n">
        <v>-32202.3493994613</v>
      </c>
      <c r="BS27" s="160" t="n">
        <v>-32202.3493994613</v>
      </c>
      <c r="BT27" s="160" t="n">
        <v>-32202.3493994613</v>
      </c>
      <c r="BU27" s="160" t="n">
        <v>-32202.3493994613</v>
      </c>
      <c r="BV27" s="160" t="n">
        <v>-32202.3493994613</v>
      </c>
      <c r="BW27" s="160" t="n">
        <v>-32202.3493994613</v>
      </c>
      <c r="BX27" s="160" t="n">
        <v>-32202.3493994613</v>
      </c>
      <c r="BY27" s="160" t="n">
        <v>-32202.3493994613</v>
      </c>
      <c r="BZ27" s="160" t="n">
        <v>-32846.3963874505</v>
      </c>
      <c r="CA27" s="160" t="n">
        <v>-32846.3963874505</v>
      </c>
      <c r="CB27" s="160" t="n">
        <v>-32846.3963874505</v>
      </c>
      <c r="CC27" s="160" t="n">
        <v>-32846.3963874505</v>
      </c>
      <c r="CD27" s="160" t="n">
        <v>-32846.3963874505</v>
      </c>
      <c r="CE27" s="160" t="n">
        <v>-32846.3963874505</v>
      </c>
      <c r="CF27" s="160" t="n">
        <v>-32846.3963874505</v>
      </c>
      <c r="CG27" s="160" t="n">
        <v>-32846.3963874505</v>
      </c>
      <c r="CH27" s="160" t="n">
        <v>-32846.3963874505</v>
      </c>
      <c r="CI27" s="160" t="n">
        <v>-32846.3963874505</v>
      </c>
      <c r="CJ27" s="160" t="n">
        <v>-32846.3963874505</v>
      </c>
      <c r="CK27" s="160" t="n">
        <v>-32846.3963874505</v>
      </c>
      <c r="CL27" s="160" t="n">
        <v>-33503.3243151996</v>
      </c>
      <c r="CM27" s="160" t="n">
        <v>-33503.3243151996</v>
      </c>
      <c r="CN27" s="160" t="n">
        <v>-33503.3243151996</v>
      </c>
      <c r="CO27" s="160" t="n">
        <v>-33503.3243151996</v>
      </c>
      <c r="CP27" s="160" t="n">
        <v>-33503.3243151996</v>
      </c>
      <c r="CQ27" s="160" t="n">
        <v>-33503.3243151996</v>
      </c>
      <c r="CR27" s="160" t="n">
        <v>-33503.3243151996</v>
      </c>
      <c r="CS27" s="160" t="n">
        <v>-33503.3243151996</v>
      </c>
      <c r="CT27" s="160" t="n">
        <v>-33503.3243151996</v>
      </c>
      <c r="CU27" s="160" t="n">
        <v>-33503.3243151996</v>
      </c>
      <c r="CV27" s="160" t="n">
        <v>-33503.3243151996</v>
      </c>
      <c r="CW27" s="160" t="n">
        <v>-33503.3243151996</v>
      </c>
      <c r="CX27" s="160" t="n">
        <v>-34173.3908015035</v>
      </c>
      <c r="CY27" s="160" t="n">
        <v>-34173.3908015035</v>
      </c>
      <c r="CZ27" s="160" t="n">
        <v>-34173.3908015035</v>
      </c>
      <c r="DA27" s="160" t="n">
        <v>-34173.3908015035</v>
      </c>
      <c r="DB27" s="160" t="n">
        <v>-34173.3908015035</v>
      </c>
      <c r="DC27" s="160" t="n">
        <v>-34173.3908015035</v>
      </c>
      <c r="DD27" s="160" t="n">
        <v>-34173.3908015035</v>
      </c>
      <c r="DE27" s="160" t="n">
        <v>-34173.3908015035</v>
      </c>
      <c r="DF27" s="160" t="n">
        <v>-34173.3908015035</v>
      </c>
    </row>
    <row r="28" customFormat="false" ht="15" hidden="false" customHeight="true" outlineLevel="0" collapsed="false">
      <c r="A28" s="90" t="s">
        <v>71</v>
      </c>
      <c r="C28" s="104" t="n">
        <v>0</v>
      </c>
      <c r="D28" s="104" t="n">
        <v>0</v>
      </c>
      <c r="E28" s="104" t="n">
        <v>0</v>
      </c>
      <c r="F28" s="160" t="n">
        <v>0</v>
      </c>
      <c r="G28" s="160" t="n">
        <v>0</v>
      </c>
      <c r="H28" s="160" t="n">
        <v>0</v>
      </c>
      <c r="I28" s="160" t="n">
        <v>0</v>
      </c>
      <c r="J28" s="160" t="n">
        <v>0</v>
      </c>
      <c r="K28" s="160" t="n">
        <v>0</v>
      </c>
      <c r="L28" s="160" t="n">
        <v>0</v>
      </c>
      <c r="M28" s="160" t="n">
        <v>0</v>
      </c>
      <c r="N28" s="160" t="n">
        <v>0</v>
      </c>
      <c r="O28" s="160" t="n">
        <v>0</v>
      </c>
      <c r="P28" s="160" t="n">
        <v>0</v>
      </c>
      <c r="Q28" s="160" t="n">
        <v>0</v>
      </c>
      <c r="R28" s="160" t="n">
        <v>0</v>
      </c>
      <c r="S28" s="160" t="n">
        <v>0</v>
      </c>
      <c r="T28" s="160" t="n">
        <v>0</v>
      </c>
      <c r="U28" s="160" t="n">
        <v>0</v>
      </c>
      <c r="V28" s="160" t="n">
        <v>0</v>
      </c>
      <c r="W28" s="160" t="n">
        <v>0</v>
      </c>
      <c r="X28" s="160" t="n">
        <v>0</v>
      </c>
      <c r="Y28" s="160" t="n">
        <v>0</v>
      </c>
      <c r="Z28" s="160" t="n">
        <v>0</v>
      </c>
      <c r="AA28" s="160" t="n">
        <v>0</v>
      </c>
      <c r="AB28" s="160" t="n">
        <v>0</v>
      </c>
      <c r="AC28" s="160" t="n">
        <v>0</v>
      </c>
      <c r="AD28" s="160" t="n">
        <v>0</v>
      </c>
      <c r="AE28" s="160" t="n">
        <v>0</v>
      </c>
      <c r="AF28" s="160" t="n">
        <v>0</v>
      </c>
      <c r="AG28" s="160" t="n">
        <v>0</v>
      </c>
      <c r="AH28" s="160" t="n">
        <v>0</v>
      </c>
      <c r="AI28" s="160" t="n">
        <v>0</v>
      </c>
      <c r="AJ28" s="160" t="n">
        <v>0</v>
      </c>
      <c r="AK28" s="160" t="n">
        <v>0</v>
      </c>
      <c r="AL28" s="160" t="n">
        <v>0</v>
      </c>
      <c r="AM28" s="160" t="n">
        <v>0</v>
      </c>
      <c r="AN28" s="160" t="n">
        <v>0</v>
      </c>
      <c r="AO28" s="160" t="n">
        <v>0</v>
      </c>
      <c r="AP28" s="160" t="n">
        <v>0</v>
      </c>
      <c r="AQ28" s="160" t="n">
        <v>0</v>
      </c>
      <c r="AR28" s="160" t="n">
        <v>0</v>
      </c>
      <c r="AS28" s="160" t="n">
        <v>0</v>
      </c>
      <c r="AT28" s="160" t="n">
        <v>0</v>
      </c>
      <c r="AU28" s="160" t="n">
        <v>0</v>
      </c>
      <c r="AV28" s="160" t="n">
        <v>0</v>
      </c>
      <c r="AW28" s="160" t="n">
        <v>0</v>
      </c>
      <c r="AX28" s="160" t="n">
        <v>0</v>
      </c>
      <c r="AY28" s="160" t="n">
        <v>0</v>
      </c>
      <c r="AZ28" s="160" t="n">
        <v>0</v>
      </c>
      <c r="BA28" s="160" t="n">
        <v>0</v>
      </c>
      <c r="BB28" s="160" t="n">
        <v>0</v>
      </c>
      <c r="BC28" s="160" t="n">
        <v>0</v>
      </c>
      <c r="BD28" s="160" t="n">
        <v>0</v>
      </c>
      <c r="BE28" s="160" t="n">
        <v>0</v>
      </c>
      <c r="BF28" s="160" t="n">
        <v>0</v>
      </c>
      <c r="BG28" s="160" t="n">
        <v>0</v>
      </c>
      <c r="BH28" s="160" t="n">
        <v>0</v>
      </c>
      <c r="BI28" s="160" t="n">
        <v>0</v>
      </c>
      <c r="BJ28" s="160" t="n">
        <v>0</v>
      </c>
      <c r="BK28" s="160" t="n">
        <v>0</v>
      </c>
      <c r="BL28" s="160" t="n">
        <v>0</v>
      </c>
      <c r="BM28" s="160" t="n">
        <v>0</v>
      </c>
      <c r="BN28" s="160" t="n">
        <v>0</v>
      </c>
      <c r="BO28" s="160" t="n">
        <v>0</v>
      </c>
      <c r="BP28" s="160" t="n">
        <v>0</v>
      </c>
      <c r="BQ28" s="160" t="n">
        <v>0</v>
      </c>
      <c r="BR28" s="160" t="n">
        <v>0</v>
      </c>
      <c r="BS28" s="160" t="n">
        <v>0</v>
      </c>
      <c r="BT28" s="160" t="n">
        <v>0</v>
      </c>
      <c r="BU28" s="160" t="n">
        <v>0</v>
      </c>
      <c r="BV28" s="160" t="n">
        <v>0</v>
      </c>
      <c r="BW28" s="160" t="n">
        <v>0</v>
      </c>
      <c r="BX28" s="160" t="n">
        <v>0</v>
      </c>
      <c r="BY28" s="160" t="n">
        <v>0</v>
      </c>
      <c r="BZ28" s="160" t="n">
        <v>0</v>
      </c>
      <c r="CA28" s="160" t="n">
        <v>0</v>
      </c>
      <c r="CB28" s="160" t="n">
        <v>0</v>
      </c>
      <c r="CC28" s="160" t="n">
        <v>0</v>
      </c>
      <c r="CD28" s="160" t="n">
        <v>0</v>
      </c>
      <c r="CE28" s="160" t="n">
        <v>0</v>
      </c>
      <c r="CF28" s="160" t="n">
        <v>0</v>
      </c>
      <c r="CG28" s="160" t="n">
        <v>0</v>
      </c>
      <c r="CH28" s="160" t="n">
        <v>0</v>
      </c>
      <c r="CI28" s="160" t="n">
        <v>0</v>
      </c>
      <c r="CJ28" s="160" t="n">
        <v>0</v>
      </c>
      <c r="CK28" s="160" t="n">
        <v>0</v>
      </c>
      <c r="CL28" s="160" t="n">
        <v>0</v>
      </c>
      <c r="CM28" s="160" t="n">
        <v>0</v>
      </c>
      <c r="CN28" s="160" t="n">
        <v>0</v>
      </c>
      <c r="CO28" s="160" t="n">
        <v>0</v>
      </c>
      <c r="CP28" s="160" t="n">
        <v>0</v>
      </c>
      <c r="CQ28" s="160" t="n">
        <v>0</v>
      </c>
      <c r="CR28" s="160" t="n">
        <v>0</v>
      </c>
      <c r="CS28" s="160" t="n">
        <v>0</v>
      </c>
      <c r="CT28" s="160" t="n">
        <v>0</v>
      </c>
      <c r="CU28" s="160" t="n">
        <v>0</v>
      </c>
      <c r="CV28" s="160" t="n">
        <v>0</v>
      </c>
      <c r="CW28" s="160" t="n">
        <v>0</v>
      </c>
      <c r="CX28" s="160" t="n">
        <v>0</v>
      </c>
      <c r="CY28" s="160" t="n">
        <v>0</v>
      </c>
      <c r="CZ28" s="160" t="n">
        <v>0</v>
      </c>
      <c r="DA28" s="160" t="n">
        <v>0</v>
      </c>
      <c r="DB28" s="160" t="n">
        <v>0</v>
      </c>
      <c r="DC28" s="160" t="n">
        <v>0</v>
      </c>
      <c r="DD28" s="160" t="n">
        <v>0</v>
      </c>
      <c r="DE28" s="160" t="n">
        <v>0</v>
      </c>
      <c r="DF28" s="160" t="n">
        <v>0</v>
      </c>
    </row>
    <row r="29" customFormat="false" ht="15" hidden="false" customHeight="true" outlineLevel="0" collapsed="false">
      <c r="A29" s="90" t="s">
        <v>72</v>
      </c>
      <c r="C29" s="104" t="n">
        <v>-10400</v>
      </c>
      <c r="D29" s="104" t="n">
        <v>-10400</v>
      </c>
      <c r="E29" s="104" t="n">
        <v>-400</v>
      </c>
      <c r="F29" s="160" t="n">
        <v>-10400</v>
      </c>
      <c r="G29" s="160" t="n">
        <v>-10400</v>
      </c>
      <c r="H29" s="160" t="n">
        <v>-10400</v>
      </c>
      <c r="I29" s="160" t="n">
        <v>-10400</v>
      </c>
      <c r="J29" s="160" t="n">
        <v>-10400</v>
      </c>
      <c r="K29" s="160" t="n">
        <v>-10400</v>
      </c>
      <c r="L29" s="160" t="n">
        <v>-10400</v>
      </c>
      <c r="M29" s="160" t="n">
        <v>-10400</v>
      </c>
      <c r="N29" s="160" t="n">
        <v>-10400</v>
      </c>
      <c r="O29" s="160" t="n">
        <v>-10400</v>
      </c>
      <c r="P29" s="160" t="n">
        <v>-10400</v>
      </c>
      <c r="Q29" s="160" t="n">
        <v>-10400</v>
      </c>
      <c r="R29" s="160" t="n">
        <v>-10608</v>
      </c>
      <c r="S29" s="160" t="n">
        <v>-10608</v>
      </c>
      <c r="T29" s="160" t="n">
        <v>-10608</v>
      </c>
      <c r="U29" s="160" t="n">
        <v>-10608</v>
      </c>
      <c r="V29" s="160" t="n">
        <v>-10608</v>
      </c>
      <c r="W29" s="160" t="n">
        <v>-10608</v>
      </c>
      <c r="X29" s="160" t="n">
        <v>-10608</v>
      </c>
      <c r="Y29" s="160" t="n">
        <v>-10608</v>
      </c>
      <c r="Z29" s="160" t="n">
        <v>-10608</v>
      </c>
      <c r="AA29" s="160" t="n">
        <v>-10608</v>
      </c>
      <c r="AB29" s="160" t="n">
        <v>-10608</v>
      </c>
      <c r="AC29" s="160" t="n">
        <v>-10608</v>
      </c>
      <c r="AD29" s="160" t="n">
        <v>-10820.16</v>
      </c>
      <c r="AE29" s="160" t="n">
        <v>-10820.16</v>
      </c>
      <c r="AF29" s="160" t="n">
        <v>-10820.16</v>
      </c>
      <c r="AG29" s="160" t="n">
        <v>-10820.16</v>
      </c>
      <c r="AH29" s="160" t="n">
        <v>-10820.16</v>
      </c>
      <c r="AI29" s="160" t="n">
        <v>-10820.16</v>
      </c>
      <c r="AJ29" s="160" t="n">
        <v>-10820.16</v>
      </c>
      <c r="AK29" s="160" t="n">
        <v>-10820.16</v>
      </c>
      <c r="AL29" s="160" t="n">
        <v>-10820.16</v>
      </c>
      <c r="AM29" s="160" t="n">
        <v>-10820.16</v>
      </c>
      <c r="AN29" s="160" t="n">
        <v>-10820.16</v>
      </c>
      <c r="AO29" s="160" t="n">
        <v>-10820.16</v>
      </c>
      <c r="AP29" s="160" t="n">
        <v>-11036.5632</v>
      </c>
      <c r="AQ29" s="160" t="n">
        <v>-11036.5632</v>
      </c>
      <c r="AR29" s="160" t="n">
        <v>-11036.5632</v>
      </c>
      <c r="AS29" s="160" t="n">
        <v>-11036.5632</v>
      </c>
      <c r="AT29" s="160" t="n">
        <v>-11036.5632</v>
      </c>
      <c r="AU29" s="160" t="n">
        <v>-11036.5632</v>
      </c>
      <c r="AV29" s="160" t="n">
        <v>-11036.5632</v>
      </c>
      <c r="AW29" s="160" t="n">
        <v>-11036.5632</v>
      </c>
      <c r="AX29" s="160" t="n">
        <v>-11036.5632</v>
      </c>
      <c r="AY29" s="160" t="n">
        <v>-11036.5632</v>
      </c>
      <c r="AZ29" s="160" t="n">
        <v>-11036.5632</v>
      </c>
      <c r="BA29" s="160" t="n">
        <v>-11036.5632</v>
      </c>
      <c r="BB29" s="160" t="n">
        <v>-11257.294464</v>
      </c>
      <c r="BC29" s="160" t="n">
        <v>-11257.294464</v>
      </c>
      <c r="BD29" s="160" t="n">
        <v>-11257.294464</v>
      </c>
      <c r="BE29" s="160" t="n">
        <v>-11257.294464</v>
      </c>
      <c r="BF29" s="160" t="n">
        <v>-11257.294464</v>
      </c>
      <c r="BG29" s="160" t="n">
        <v>-11257.294464</v>
      </c>
      <c r="BH29" s="160" t="n">
        <v>-11257.294464</v>
      </c>
      <c r="BI29" s="160" t="n">
        <v>-11257.294464</v>
      </c>
      <c r="BJ29" s="160" t="n">
        <v>-11257.294464</v>
      </c>
      <c r="BK29" s="160" t="n">
        <v>-11257.294464</v>
      </c>
      <c r="BL29" s="160" t="n">
        <v>-11257.294464</v>
      </c>
      <c r="BM29" s="160" t="n">
        <v>-11257.294464</v>
      </c>
      <c r="BN29" s="160" t="n">
        <v>-11482.44035328</v>
      </c>
      <c r="BO29" s="160" t="n">
        <v>-11482.44035328</v>
      </c>
      <c r="BP29" s="160" t="n">
        <v>-11482.44035328</v>
      </c>
      <c r="BQ29" s="160" t="n">
        <v>-11482.44035328</v>
      </c>
      <c r="BR29" s="160" t="n">
        <v>-11482.44035328</v>
      </c>
      <c r="BS29" s="160" t="n">
        <v>-11482.44035328</v>
      </c>
      <c r="BT29" s="160" t="n">
        <v>-11482.44035328</v>
      </c>
      <c r="BU29" s="160" t="n">
        <v>-11482.44035328</v>
      </c>
      <c r="BV29" s="160" t="n">
        <v>-11482.44035328</v>
      </c>
      <c r="BW29" s="160" t="n">
        <v>-11482.44035328</v>
      </c>
      <c r="BX29" s="160" t="n">
        <v>-11482.44035328</v>
      </c>
      <c r="BY29" s="160" t="n">
        <v>-11482.44035328</v>
      </c>
      <c r="BZ29" s="160" t="n">
        <v>-11712.0891603456</v>
      </c>
      <c r="CA29" s="160" t="n">
        <v>-11712.0891603456</v>
      </c>
      <c r="CB29" s="160" t="n">
        <v>-11712.0891603456</v>
      </c>
      <c r="CC29" s="160" t="n">
        <v>-11712.0891603456</v>
      </c>
      <c r="CD29" s="160" t="n">
        <v>-11712.0891603456</v>
      </c>
      <c r="CE29" s="160" t="n">
        <v>-11712.0891603456</v>
      </c>
      <c r="CF29" s="160" t="n">
        <v>-11712.0891603456</v>
      </c>
      <c r="CG29" s="160" t="n">
        <v>-11712.0891603456</v>
      </c>
      <c r="CH29" s="160" t="n">
        <v>-11712.0891603456</v>
      </c>
      <c r="CI29" s="160" t="n">
        <v>-11712.0891603456</v>
      </c>
      <c r="CJ29" s="160" t="n">
        <v>-11712.0891603456</v>
      </c>
      <c r="CK29" s="160" t="n">
        <v>-11712.0891603456</v>
      </c>
      <c r="CL29" s="160" t="n">
        <v>-11946.3309435525</v>
      </c>
      <c r="CM29" s="160" t="n">
        <v>-11946.3309435525</v>
      </c>
      <c r="CN29" s="160" t="n">
        <v>-11946.3309435525</v>
      </c>
      <c r="CO29" s="160" t="n">
        <v>-11946.3309435525</v>
      </c>
      <c r="CP29" s="160" t="n">
        <v>-11946.3309435525</v>
      </c>
      <c r="CQ29" s="160" t="n">
        <v>-11946.3309435525</v>
      </c>
      <c r="CR29" s="160" t="n">
        <v>-11946.3309435525</v>
      </c>
      <c r="CS29" s="160" t="n">
        <v>-11946.3309435525</v>
      </c>
      <c r="CT29" s="160" t="n">
        <v>-11946.3309435525</v>
      </c>
      <c r="CU29" s="160" t="n">
        <v>-11946.3309435525</v>
      </c>
      <c r="CV29" s="160" t="n">
        <v>-11946.3309435525</v>
      </c>
      <c r="CW29" s="160" t="n">
        <v>-11946.3309435525</v>
      </c>
      <c r="CX29" s="160" t="n">
        <v>-12185.2575624236</v>
      </c>
      <c r="CY29" s="160" t="n">
        <v>-12185.2575624236</v>
      </c>
      <c r="CZ29" s="160" t="n">
        <v>-12185.2575624236</v>
      </c>
      <c r="DA29" s="160" t="n">
        <v>-12185.2575624236</v>
      </c>
      <c r="DB29" s="160" t="n">
        <v>-12185.2575624236</v>
      </c>
      <c r="DC29" s="160" t="n">
        <v>-12185.2575624236</v>
      </c>
      <c r="DD29" s="160" t="n">
        <v>-12185.2575624236</v>
      </c>
      <c r="DE29" s="160" t="n">
        <v>-12185.2575624236</v>
      </c>
      <c r="DF29" s="160" t="n">
        <v>-12185.2575624236</v>
      </c>
    </row>
    <row r="30" customFormat="false" ht="15" hidden="false" customHeight="true" outlineLevel="0" collapsed="false">
      <c r="A30" s="90" t="s">
        <v>73</v>
      </c>
      <c r="C30" s="104" t="n">
        <v>-1988</v>
      </c>
      <c r="D30" s="104" t="n">
        <v>-955.32</v>
      </c>
      <c r="E30" s="104" t="n">
        <v>-9130.61</v>
      </c>
      <c r="F30" s="160" t="n">
        <v>-4024.64</v>
      </c>
      <c r="G30" s="160" t="n">
        <v>-4024.64</v>
      </c>
      <c r="H30" s="160" t="n">
        <v>-4024.64</v>
      </c>
      <c r="I30" s="160" t="n">
        <v>-4024.64</v>
      </c>
      <c r="J30" s="160" t="n">
        <v>-4024.64</v>
      </c>
      <c r="K30" s="160" t="n">
        <v>-4024.64</v>
      </c>
      <c r="L30" s="160" t="n">
        <v>-4024.64</v>
      </c>
      <c r="M30" s="160" t="n">
        <v>-4024.64</v>
      </c>
      <c r="N30" s="160" t="n">
        <v>-4024.64</v>
      </c>
      <c r="O30" s="160" t="n">
        <v>-4024.64</v>
      </c>
      <c r="P30" s="160" t="n">
        <v>-4024.64</v>
      </c>
      <c r="Q30" s="160" t="n">
        <v>-4024.64</v>
      </c>
      <c r="R30" s="160" t="n">
        <v>-4105.1328</v>
      </c>
      <c r="S30" s="160" t="n">
        <v>-4105.1328</v>
      </c>
      <c r="T30" s="160" t="n">
        <v>-4105.1328</v>
      </c>
      <c r="U30" s="160" t="n">
        <v>-4105.1328</v>
      </c>
      <c r="V30" s="160" t="n">
        <v>-4105.1328</v>
      </c>
      <c r="W30" s="160" t="n">
        <v>-4105.1328</v>
      </c>
      <c r="X30" s="160" t="n">
        <v>-4105.1328</v>
      </c>
      <c r="Y30" s="160" t="n">
        <v>-4105.1328</v>
      </c>
      <c r="Z30" s="160" t="n">
        <v>-4105.1328</v>
      </c>
      <c r="AA30" s="160" t="n">
        <v>-4105.1328</v>
      </c>
      <c r="AB30" s="160" t="n">
        <v>-4105.1328</v>
      </c>
      <c r="AC30" s="160" t="n">
        <v>-4105.1328</v>
      </c>
      <c r="AD30" s="160" t="n">
        <v>-4187.235456</v>
      </c>
      <c r="AE30" s="160" t="n">
        <v>-4187.235456</v>
      </c>
      <c r="AF30" s="160" t="n">
        <v>-4187.235456</v>
      </c>
      <c r="AG30" s="160" t="n">
        <v>-4187.235456</v>
      </c>
      <c r="AH30" s="160" t="n">
        <v>-4187.235456</v>
      </c>
      <c r="AI30" s="160" t="n">
        <v>-4187.235456</v>
      </c>
      <c r="AJ30" s="160" t="n">
        <v>-4187.235456</v>
      </c>
      <c r="AK30" s="160" t="n">
        <v>-4187.235456</v>
      </c>
      <c r="AL30" s="160" t="n">
        <v>-4187.235456</v>
      </c>
      <c r="AM30" s="160" t="n">
        <v>-4187.235456</v>
      </c>
      <c r="AN30" s="160" t="n">
        <v>-4187.235456</v>
      </c>
      <c r="AO30" s="160" t="n">
        <v>-4187.235456</v>
      </c>
      <c r="AP30" s="160" t="n">
        <v>-4270.98016512</v>
      </c>
      <c r="AQ30" s="160" t="n">
        <v>-4270.98016512</v>
      </c>
      <c r="AR30" s="160" t="n">
        <v>-4270.98016512</v>
      </c>
      <c r="AS30" s="160" t="n">
        <v>-4270.98016512</v>
      </c>
      <c r="AT30" s="160" t="n">
        <v>-4270.98016512</v>
      </c>
      <c r="AU30" s="160" t="n">
        <v>-4270.98016512</v>
      </c>
      <c r="AV30" s="160" t="n">
        <v>-4270.98016512</v>
      </c>
      <c r="AW30" s="160" t="n">
        <v>-4270.98016512</v>
      </c>
      <c r="AX30" s="160" t="n">
        <v>-4270.98016512</v>
      </c>
      <c r="AY30" s="160" t="n">
        <v>-4270.98016512</v>
      </c>
      <c r="AZ30" s="160" t="n">
        <v>-4270.98016512</v>
      </c>
      <c r="BA30" s="160" t="n">
        <v>-4270.98016512</v>
      </c>
      <c r="BB30" s="160" t="n">
        <v>-4356.3997684224</v>
      </c>
      <c r="BC30" s="160" t="n">
        <v>-4356.3997684224</v>
      </c>
      <c r="BD30" s="160" t="n">
        <v>-4356.3997684224</v>
      </c>
      <c r="BE30" s="160" t="n">
        <v>-4356.3997684224</v>
      </c>
      <c r="BF30" s="160" t="n">
        <v>-4356.3997684224</v>
      </c>
      <c r="BG30" s="160" t="n">
        <v>-4356.3997684224</v>
      </c>
      <c r="BH30" s="160" t="n">
        <v>-4356.3997684224</v>
      </c>
      <c r="BI30" s="160" t="n">
        <v>-4356.3997684224</v>
      </c>
      <c r="BJ30" s="160" t="n">
        <v>-4356.3997684224</v>
      </c>
      <c r="BK30" s="160" t="n">
        <v>-4356.3997684224</v>
      </c>
      <c r="BL30" s="160" t="n">
        <v>-4356.3997684224</v>
      </c>
      <c r="BM30" s="160" t="n">
        <v>-4356.3997684224</v>
      </c>
      <c r="BN30" s="160" t="n">
        <v>-4443.52776379085</v>
      </c>
      <c r="BO30" s="160" t="n">
        <v>-4443.52776379085</v>
      </c>
      <c r="BP30" s="160" t="n">
        <v>-4443.52776379085</v>
      </c>
      <c r="BQ30" s="160" t="n">
        <v>-4443.52776379085</v>
      </c>
      <c r="BR30" s="160" t="n">
        <v>-4443.52776379085</v>
      </c>
      <c r="BS30" s="160" t="n">
        <v>-4443.52776379085</v>
      </c>
      <c r="BT30" s="160" t="n">
        <v>-4443.52776379085</v>
      </c>
      <c r="BU30" s="160" t="n">
        <v>-4443.52776379085</v>
      </c>
      <c r="BV30" s="160" t="n">
        <v>-4443.52776379085</v>
      </c>
      <c r="BW30" s="160" t="n">
        <v>-4443.52776379085</v>
      </c>
      <c r="BX30" s="160" t="n">
        <v>-4443.52776379085</v>
      </c>
      <c r="BY30" s="160" t="n">
        <v>-4443.52776379085</v>
      </c>
      <c r="BZ30" s="160" t="n">
        <v>-4532.39831906667</v>
      </c>
      <c r="CA30" s="160" t="n">
        <v>-4532.39831906667</v>
      </c>
      <c r="CB30" s="160" t="n">
        <v>-4532.39831906667</v>
      </c>
      <c r="CC30" s="160" t="n">
        <v>-4532.39831906667</v>
      </c>
      <c r="CD30" s="160" t="n">
        <v>-4532.39831906667</v>
      </c>
      <c r="CE30" s="160" t="n">
        <v>-4532.39831906667</v>
      </c>
      <c r="CF30" s="160" t="n">
        <v>-4532.39831906667</v>
      </c>
      <c r="CG30" s="160" t="n">
        <v>-4532.39831906667</v>
      </c>
      <c r="CH30" s="160" t="n">
        <v>-4532.39831906667</v>
      </c>
      <c r="CI30" s="160" t="n">
        <v>-4532.39831906667</v>
      </c>
      <c r="CJ30" s="160" t="n">
        <v>-4532.39831906667</v>
      </c>
      <c r="CK30" s="160" t="n">
        <v>-4532.39831906667</v>
      </c>
      <c r="CL30" s="160" t="n">
        <v>-4623.046285448</v>
      </c>
      <c r="CM30" s="160" t="n">
        <v>-4623.046285448</v>
      </c>
      <c r="CN30" s="160" t="n">
        <v>-4623.046285448</v>
      </c>
      <c r="CO30" s="160" t="n">
        <v>-4623.046285448</v>
      </c>
      <c r="CP30" s="160" t="n">
        <v>-4623.046285448</v>
      </c>
      <c r="CQ30" s="160" t="n">
        <v>-4623.046285448</v>
      </c>
      <c r="CR30" s="160" t="n">
        <v>-4623.046285448</v>
      </c>
      <c r="CS30" s="160" t="n">
        <v>-4623.046285448</v>
      </c>
      <c r="CT30" s="160" t="n">
        <v>-4623.046285448</v>
      </c>
      <c r="CU30" s="160" t="n">
        <v>-4623.046285448</v>
      </c>
      <c r="CV30" s="160" t="n">
        <v>-4623.046285448</v>
      </c>
      <c r="CW30" s="160" t="n">
        <v>-4623.046285448</v>
      </c>
      <c r="CX30" s="160" t="n">
        <v>-4715.50721115696</v>
      </c>
      <c r="CY30" s="160" t="n">
        <v>-4715.50721115696</v>
      </c>
      <c r="CZ30" s="160" t="n">
        <v>-4715.50721115696</v>
      </c>
      <c r="DA30" s="160" t="n">
        <v>-4715.50721115696</v>
      </c>
      <c r="DB30" s="160" t="n">
        <v>-4715.50721115696</v>
      </c>
      <c r="DC30" s="160" t="n">
        <v>-4715.50721115696</v>
      </c>
      <c r="DD30" s="160" t="n">
        <v>-4715.50721115696</v>
      </c>
      <c r="DE30" s="160" t="n">
        <v>-4715.50721115696</v>
      </c>
      <c r="DF30" s="160" t="n">
        <v>-4715.50721115696</v>
      </c>
    </row>
    <row r="31" customFormat="false" ht="15" hidden="false" customHeight="true" outlineLevel="0" collapsed="false">
      <c r="A31" s="90" t="s">
        <v>74</v>
      </c>
      <c r="C31" s="104" t="n">
        <v>0</v>
      </c>
      <c r="D31" s="104" t="n">
        <v>0</v>
      </c>
      <c r="E31" s="104" t="n">
        <v>-1077.38</v>
      </c>
      <c r="F31" s="160" t="n">
        <v>-359.13</v>
      </c>
      <c r="G31" s="160" t="n">
        <v>-359.13</v>
      </c>
      <c r="H31" s="160" t="n">
        <v>-359.13</v>
      </c>
      <c r="I31" s="160" t="n">
        <v>-359.13</v>
      </c>
      <c r="J31" s="160" t="n">
        <v>-359.13</v>
      </c>
      <c r="K31" s="160" t="n">
        <v>-359.13</v>
      </c>
      <c r="L31" s="160" t="n">
        <v>-359.13</v>
      </c>
      <c r="M31" s="160" t="n">
        <v>-359.13</v>
      </c>
      <c r="N31" s="160" t="n">
        <v>-359.13</v>
      </c>
      <c r="O31" s="160" t="n">
        <v>-359.13</v>
      </c>
      <c r="P31" s="160" t="n">
        <v>-359.13</v>
      </c>
      <c r="Q31" s="160" t="n">
        <v>-359.13</v>
      </c>
      <c r="R31" s="160" t="n">
        <v>-366.3126</v>
      </c>
      <c r="S31" s="160" t="n">
        <v>-366.3126</v>
      </c>
      <c r="T31" s="160" t="n">
        <v>-366.3126</v>
      </c>
      <c r="U31" s="160" t="n">
        <v>-366.3126</v>
      </c>
      <c r="V31" s="160" t="n">
        <v>-366.3126</v>
      </c>
      <c r="W31" s="160" t="n">
        <v>-366.3126</v>
      </c>
      <c r="X31" s="160" t="n">
        <v>-366.3126</v>
      </c>
      <c r="Y31" s="160" t="n">
        <v>-366.3126</v>
      </c>
      <c r="Z31" s="160" t="n">
        <v>-366.3126</v>
      </c>
      <c r="AA31" s="160" t="n">
        <v>-366.3126</v>
      </c>
      <c r="AB31" s="160" t="n">
        <v>-366.3126</v>
      </c>
      <c r="AC31" s="160" t="n">
        <v>-366.3126</v>
      </c>
      <c r="AD31" s="160" t="n">
        <v>-373.638852</v>
      </c>
      <c r="AE31" s="160" t="n">
        <v>-373.638852</v>
      </c>
      <c r="AF31" s="160" t="n">
        <v>-373.638852</v>
      </c>
      <c r="AG31" s="160" t="n">
        <v>-373.638852</v>
      </c>
      <c r="AH31" s="160" t="n">
        <v>-373.638852</v>
      </c>
      <c r="AI31" s="160" t="n">
        <v>-373.638852</v>
      </c>
      <c r="AJ31" s="160" t="n">
        <v>-373.638852</v>
      </c>
      <c r="AK31" s="160" t="n">
        <v>-373.638852</v>
      </c>
      <c r="AL31" s="160" t="n">
        <v>-373.638852</v>
      </c>
      <c r="AM31" s="160" t="n">
        <v>-373.638852</v>
      </c>
      <c r="AN31" s="160" t="n">
        <v>-373.638852</v>
      </c>
      <c r="AO31" s="160" t="n">
        <v>-373.638852</v>
      </c>
      <c r="AP31" s="160" t="n">
        <v>-381.11162904</v>
      </c>
      <c r="AQ31" s="160" t="n">
        <v>-381.11162904</v>
      </c>
      <c r="AR31" s="160" t="n">
        <v>-381.11162904</v>
      </c>
      <c r="AS31" s="160" t="n">
        <v>-381.11162904</v>
      </c>
      <c r="AT31" s="160" t="n">
        <v>-381.11162904</v>
      </c>
      <c r="AU31" s="160" t="n">
        <v>-381.11162904</v>
      </c>
      <c r="AV31" s="160" t="n">
        <v>-381.11162904</v>
      </c>
      <c r="AW31" s="160" t="n">
        <v>-381.11162904</v>
      </c>
      <c r="AX31" s="160" t="n">
        <v>-381.11162904</v>
      </c>
      <c r="AY31" s="160" t="n">
        <v>-381.11162904</v>
      </c>
      <c r="AZ31" s="160" t="n">
        <v>-381.11162904</v>
      </c>
      <c r="BA31" s="160" t="n">
        <v>-381.11162904</v>
      </c>
      <c r="BB31" s="160" t="n">
        <v>-388.7338616208</v>
      </c>
      <c r="BC31" s="160" t="n">
        <v>-388.7338616208</v>
      </c>
      <c r="BD31" s="160" t="n">
        <v>-388.7338616208</v>
      </c>
      <c r="BE31" s="160" t="n">
        <v>-388.7338616208</v>
      </c>
      <c r="BF31" s="160" t="n">
        <v>-388.7338616208</v>
      </c>
      <c r="BG31" s="160" t="n">
        <v>-388.7338616208</v>
      </c>
      <c r="BH31" s="160" t="n">
        <v>-388.7338616208</v>
      </c>
      <c r="BI31" s="160" t="n">
        <v>-388.7338616208</v>
      </c>
      <c r="BJ31" s="160" t="n">
        <v>-388.7338616208</v>
      </c>
      <c r="BK31" s="160" t="n">
        <v>-388.7338616208</v>
      </c>
      <c r="BL31" s="160" t="n">
        <v>-388.7338616208</v>
      </c>
      <c r="BM31" s="160" t="n">
        <v>-388.7338616208</v>
      </c>
      <c r="BN31" s="160" t="n">
        <v>-396.508538853216</v>
      </c>
      <c r="BO31" s="160" t="n">
        <v>-396.508538853216</v>
      </c>
      <c r="BP31" s="160" t="n">
        <v>-396.508538853216</v>
      </c>
      <c r="BQ31" s="160" t="n">
        <v>-396.508538853216</v>
      </c>
      <c r="BR31" s="160" t="n">
        <v>-396.508538853216</v>
      </c>
      <c r="BS31" s="160" t="n">
        <v>-396.508538853216</v>
      </c>
      <c r="BT31" s="160" t="n">
        <v>-396.508538853216</v>
      </c>
      <c r="BU31" s="160" t="n">
        <v>-396.508538853216</v>
      </c>
      <c r="BV31" s="160" t="n">
        <v>-396.508538853216</v>
      </c>
      <c r="BW31" s="160" t="n">
        <v>-396.508538853216</v>
      </c>
      <c r="BX31" s="160" t="n">
        <v>-396.508538853216</v>
      </c>
      <c r="BY31" s="160" t="n">
        <v>-396.508538853216</v>
      </c>
      <c r="BZ31" s="160" t="n">
        <v>-404.43870963028</v>
      </c>
      <c r="CA31" s="160" t="n">
        <v>-404.43870963028</v>
      </c>
      <c r="CB31" s="160" t="n">
        <v>-404.43870963028</v>
      </c>
      <c r="CC31" s="160" t="n">
        <v>-404.43870963028</v>
      </c>
      <c r="CD31" s="160" t="n">
        <v>-404.43870963028</v>
      </c>
      <c r="CE31" s="160" t="n">
        <v>-404.43870963028</v>
      </c>
      <c r="CF31" s="160" t="n">
        <v>-404.43870963028</v>
      </c>
      <c r="CG31" s="160" t="n">
        <v>-404.43870963028</v>
      </c>
      <c r="CH31" s="160" t="n">
        <v>-404.43870963028</v>
      </c>
      <c r="CI31" s="160" t="n">
        <v>-404.43870963028</v>
      </c>
      <c r="CJ31" s="160" t="n">
        <v>-404.43870963028</v>
      </c>
      <c r="CK31" s="160" t="n">
        <v>-404.43870963028</v>
      </c>
      <c r="CL31" s="160" t="n">
        <v>-412.527483822886</v>
      </c>
      <c r="CM31" s="160" t="n">
        <v>-412.527483822886</v>
      </c>
      <c r="CN31" s="160" t="n">
        <v>-412.527483822886</v>
      </c>
      <c r="CO31" s="160" t="n">
        <v>-412.527483822886</v>
      </c>
      <c r="CP31" s="160" t="n">
        <v>-412.527483822886</v>
      </c>
      <c r="CQ31" s="160" t="n">
        <v>-412.527483822886</v>
      </c>
      <c r="CR31" s="160" t="n">
        <v>-412.527483822886</v>
      </c>
      <c r="CS31" s="160" t="n">
        <v>-412.527483822886</v>
      </c>
      <c r="CT31" s="160" t="n">
        <v>-412.527483822886</v>
      </c>
      <c r="CU31" s="160" t="n">
        <v>-412.527483822886</v>
      </c>
      <c r="CV31" s="160" t="n">
        <v>-412.527483822886</v>
      </c>
      <c r="CW31" s="160" t="n">
        <v>-412.527483822886</v>
      </c>
      <c r="CX31" s="160" t="n">
        <v>-420.778033499344</v>
      </c>
      <c r="CY31" s="160" t="n">
        <v>-420.778033499344</v>
      </c>
      <c r="CZ31" s="160" t="n">
        <v>-420.778033499344</v>
      </c>
      <c r="DA31" s="160" t="n">
        <v>-420.778033499344</v>
      </c>
      <c r="DB31" s="160" t="n">
        <v>-420.778033499344</v>
      </c>
      <c r="DC31" s="160" t="n">
        <v>-420.778033499344</v>
      </c>
      <c r="DD31" s="160" t="n">
        <v>-420.778033499344</v>
      </c>
      <c r="DE31" s="160" t="n">
        <v>-420.778033499344</v>
      </c>
      <c r="DF31" s="160" t="n">
        <v>-420.778033499344</v>
      </c>
    </row>
    <row r="32" customFormat="false" ht="15" hidden="false" customHeight="true" outlineLevel="0" collapsed="false">
      <c r="A32" s="99" t="s">
        <v>75</v>
      </c>
      <c r="C32" s="161" t="n">
        <v>-79</v>
      </c>
      <c r="D32" s="161" t="n">
        <v>0</v>
      </c>
      <c r="E32" s="161" t="n">
        <v>0</v>
      </c>
      <c r="F32" s="162" t="n">
        <v>-26.33</v>
      </c>
      <c r="G32" s="162" t="n">
        <v>-26.33</v>
      </c>
      <c r="H32" s="162" t="n">
        <v>-26.33</v>
      </c>
      <c r="I32" s="162" t="n">
        <v>-26.33</v>
      </c>
      <c r="J32" s="162" t="n">
        <v>-26.33</v>
      </c>
      <c r="K32" s="162" t="n">
        <v>-26.33</v>
      </c>
      <c r="L32" s="162" t="n">
        <v>-26.33</v>
      </c>
      <c r="M32" s="162" t="n">
        <v>-26.33</v>
      </c>
      <c r="N32" s="162" t="n">
        <v>-26.33</v>
      </c>
      <c r="O32" s="162" t="n">
        <v>-26.33</v>
      </c>
      <c r="P32" s="162" t="n">
        <v>-26.33</v>
      </c>
      <c r="Q32" s="162" t="n">
        <v>-26.33</v>
      </c>
      <c r="R32" s="162" t="n">
        <v>-26.8566</v>
      </c>
      <c r="S32" s="162" t="n">
        <v>-26.8566</v>
      </c>
      <c r="T32" s="162" t="n">
        <v>-26.8566</v>
      </c>
      <c r="U32" s="162" t="n">
        <v>-26.8566</v>
      </c>
      <c r="V32" s="162" t="n">
        <v>-26.8566</v>
      </c>
      <c r="W32" s="162" t="n">
        <v>-26.8566</v>
      </c>
      <c r="X32" s="162" t="n">
        <v>-26.8566</v>
      </c>
      <c r="Y32" s="162" t="n">
        <v>-26.8566</v>
      </c>
      <c r="Z32" s="162" t="n">
        <v>-26.8566</v>
      </c>
      <c r="AA32" s="162" t="n">
        <v>-26.8566</v>
      </c>
      <c r="AB32" s="162" t="n">
        <v>-26.8566</v>
      </c>
      <c r="AC32" s="162" t="n">
        <v>-26.8566</v>
      </c>
      <c r="AD32" s="162" t="n">
        <v>-27.393732</v>
      </c>
      <c r="AE32" s="162" t="n">
        <v>-27.393732</v>
      </c>
      <c r="AF32" s="162" t="n">
        <v>-27.393732</v>
      </c>
      <c r="AG32" s="162" t="n">
        <v>-27.393732</v>
      </c>
      <c r="AH32" s="162" t="n">
        <v>-27.393732</v>
      </c>
      <c r="AI32" s="162" t="n">
        <v>-27.393732</v>
      </c>
      <c r="AJ32" s="162" t="n">
        <v>-27.393732</v>
      </c>
      <c r="AK32" s="162" t="n">
        <v>-27.393732</v>
      </c>
      <c r="AL32" s="162" t="n">
        <v>-27.393732</v>
      </c>
      <c r="AM32" s="162" t="n">
        <v>-27.393732</v>
      </c>
      <c r="AN32" s="162" t="n">
        <v>-27.393732</v>
      </c>
      <c r="AO32" s="162" t="n">
        <v>-27.393732</v>
      </c>
      <c r="AP32" s="162" t="n">
        <v>-27.94160664</v>
      </c>
      <c r="AQ32" s="162" t="n">
        <v>-27.94160664</v>
      </c>
      <c r="AR32" s="162" t="n">
        <v>-27.94160664</v>
      </c>
      <c r="AS32" s="162" t="n">
        <v>-27.94160664</v>
      </c>
      <c r="AT32" s="162" t="n">
        <v>-27.94160664</v>
      </c>
      <c r="AU32" s="162" t="n">
        <v>-27.94160664</v>
      </c>
      <c r="AV32" s="162" t="n">
        <v>-27.94160664</v>
      </c>
      <c r="AW32" s="162" t="n">
        <v>-27.94160664</v>
      </c>
      <c r="AX32" s="162" t="n">
        <v>-27.94160664</v>
      </c>
      <c r="AY32" s="162" t="n">
        <v>-27.94160664</v>
      </c>
      <c r="AZ32" s="162" t="n">
        <v>-27.94160664</v>
      </c>
      <c r="BA32" s="162" t="n">
        <v>-27.94160664</v>
      </c>
      <c r="BB32" s="162" t="n">
        <v>-28.5004387728</v>
      </c>
      <c r="BC32" s="162" t="n">
        <v>-28.5004387728</v>
      </c>
      <c r="BD32" s="162" t="n">
        <v>-28.5004387728</v>
      </c>
      <c r="BE32" s="162" t="n">
        <v>-28.5004387728</v>
      </c>
      <c r="BF32" s="162" t="n">
        <v>-28.5004387728</v>
      </c>
      <c r="BG32" s="162" t="n">
        <v>-28.5004387728</v>
      </c>
      <c r="BH32" s="162" t="n">
        <v>-28.5004387728</v>
      </c>
      <c r="BI32" s="162" t="n">
        <v>-28.5004387728</v>
      </c>
      <c r="BJ32" s="162" t="n">
        <v>-28.5004387728</v>
      </c>
      <c r="BK32" s="162" t="n">
        <v>-28.5004387728</v>
      </c>
      <c r="BL32" s="162" t="n">
        <v>-28.5004387728</v>
      </c>
      <c r="BM32" s="162" t="n">
        <v>-28.5004387728</v>
      </c>
      <c r="BN32" s="162" t="n">
        <v>-29.070447548256</v>
      </c>
      <c r="BO32" s="162" t="n">
        <v>-29.070447548256</v>
      </c>
      <c r="BP32" s="162" t="n">
        <v>-29.070447548256</v>
      </c>
      <c r="BQ32" s="162" t="n">
        <v>-29.070447548256</v>
      </c>
      <c r="BR32" s="162" t="n">
        <v>-29.070447548256</v>
      </c>
      <c r="BS32" s="162" t="n">
        <v>-29.070447548256</v>
      </c>
      <c r="BT32" s="162" t="n">
        <v>-29.070447548256</v>
      </c>
      <c r="BU32" s="162" t="n">
        <v>-29.070447548256</v>
      </c>
      <c r="BV32" s="162" t="n">
        <v>-29.070447548256</v>
      </c>
      <c r="BW32" s="162" t="n">
        <v>-29.070447548256</v>
      </c>
      <c r="BX32" s="162" t="n">
        <v>-29.070447548256</v>
      </c>
      <c r="BY32" s="162" t="n">
        <v>-29.070447548256</v>
      </c>
      <c r="BZ32" s="162" t="n">
        <v>-29.6518564992211</v>
      </c>
      <c r="CA32" s="162" t="n">
        <v>-29.6518564992211</v>
      </c>
      <c r="CB32" s="162" t="n">
        <v>-29.6518564992211</v>
      </c>
      <c r="CC32" s="162" t="n">
        <v>-29.6518564992211</v>
      </c>
      <c r="CD32" s="162" t="n">
        <v>-29.6518564992211</v>
      </c>
      <c r="CE32" s="162" t="n">
        <v>-29.6518564992211</v>
      </c>
      <c r="CF32" s="162" t="n">
        <v>-29.6518564992211</v>
      </c>
      <c r="CG32" s="162" t="n">
        <v>-29.6518564992211</v>
      </c>
      <c r="CH32" s="162" t="n">
        <v>-29.6518564992211</v>
      </c>
      <c r="CI32" s="162" t="n">
        <v>-29.6518564992211</v>
      </c>
      <c r="CJ32" s="162" t="n">
        <v>-29.6518564992211</v>
      </c>
      <c r="CK32" s="162" t="n">
        <v>-29.6518564992211</v>
      </c>
      <c r="CL32" s="162" t="n">
        <v>-30.2448936292055</v>
      </c>
      <c r="CM32" s="162" t="n">
        <v>-30.2448936292055</v>
      </c>
      <c r="CN32" s="162" t="n">
        <v>-30.2448936292055</v>
      </c>
      <c r="CO32" s="162" t="n">
        <v>-30.2448936292055</v>
      </c>
      <c r="CP32" s="162" t="n">
        <v>-30.2448936292055</v>
      </c>
      <c r="CQ32" s="162" t="n">
        <v>-30.2448936292055</v>
      </c>
      <c r="CR32" s="162" t="n">
        <v>-30.2448936292055</v>
      </c>
      <c r="CS32" s="162" t="n">
        <v>-30.2448936292055</v>
      </c>
      <c r="CT32" s="162" t="n">
        <v>-30.2448936292055</v>
      </c>
      <c r="CU32" s="162" t="n">
        <v>-30.2448936292055</v>
      </c>
      <c r="CV32" s="162" t="n">
        <v>-30.2448936292055</v>
      </c>
      <c r="CW32" s="162" t="n">
        <v>-30.2448936292055</v>
      </c>
      <c r="CX32" s="162" t="n">
        <v>-30.8497915017897</v>
      </c>
      <c r="CY32" s="162" t="n">
        <v>-30.8497915017897</v>
      </c>
      <c r="CZ32" s="162" t="n">
        <v>-30.8497915017897</v>
      </c>
      <c r="DA32" s="162" t="n">
        <v>-30.8497915017897</v>
      </c>
      <c r="DB32" s="162" t="n">
        <v>-30.8497915017897</v>
      </c>
      <c r="DC32" s="162" t="n">
        <v>-30.8497915017897</v>
      </c>
      <c r="DD32" s="162" t="n">
        <v>-30.8497915017897</v>
      </c>
      <c r="DE32" s="162" t="n">
        <v>-30.8497915017897</v>
      </c>
      <c r="DF32" s="162" t="n">
        <v>-30.8497915017897</v>
      </c>
    </row>
    <row r="33" customFormat="false" ht="15" hidden="false" customHeight="true" outlineLevel="0" collapsed="false">
      <c r="A33" s="90" t="s">
        <v>124</v>
      </c>
      <c r="C33" s="104" t="n">
        <v>-3405.64</v>
      </c>
      <c r="D33" s="104" t="n">
        <v>-5015.38</v>
      </c>
      <c r="E33" s="104" t="n">
        <v>-7481.39</v>
      </c>
      <c r="F33" s="160" t="n">
        <v>-5300.8</v>
      </c>
      <c r="G33" s="160" t="n">
        <v>-5300.8</v>
      </c>
      <c r="H33" s="160" t="n">
        <v>-5300.8</v>
      </c>
      <c r="I33" s="160" t="n">
        <v>-5300.8</v>
      </c>
      <c r="J33" s="160" t="n">
        <v>-5300.8</v>
      </c>
      <c r="K33" s="160" t="n">
        <v>-5300.8</v>
      </c>
      <c r="L33" s="160" t="n">
        <v>-5300.8</v>
      </c>
      <c r="M33" s="160" t="n">
        <v>-5300.8</v>
      </c>
      <c r="N33" s="160" t="n">
        <v>-5300.8</v>
      </c>
      <c r="O33" s="160" t="n">
        <v>-5300.8</v>
      </c>
      <c r="P33" s="160" t="n">
        <v>-5300.8</v>
      </c>
      <c r="Q33" s="160" t="n">
        <v>-5300.8</v>
      </c>
      <c r="R33" s="160" t="n">
        <v>-5406.816</v>
      </c>
      <c r="S33" s="160" t="n">
        <v>-5406.816</v>
      </c>
      <c r="T33" s="160" t="n">
        <v>-5406.816</v>
      </c>
      <c r="U33" s="160" t="n">
        <v>-5406.816</v>
      </c>
      <c r="V33" s="160" t="n">
        <v>-5406.816</v>
      </c>
      <c r="W33" s="160" t="n">
        <v>-5406.816</v>
      </c>
      <c r="X33" s="160" t="n">
        <v>-5406.816</v>
      </c>
      <c r="Y33" s="160" t="n">
        <v>-5406.816</v>
      </c>
      <c r="Z33" s="160" t="n">
        <v>-5406.816</v>
      </c>
      <c r="AA33" s="160" t="n">
        <v>-5406.816</v>
      </c>
      <c r="AB33" s="160" t="n">
        <v>-5406.816</v>
      </c>
      <c r="AC33" s="160" t="n">
        <v>-5406.816</v>
      </c>
      <c r="AD33" s="160" t="n">
        <v>-5514.95232</v>
      </c>
      <c r="AE33" s="160" t="n">
        <v>-5514.95232</v>
      </c>
      <c r="AF33" s="160" t="n">
        <v>-5514.95232</v>
      </c>
      <c r="AG33" s="160" t="n">
        <v>-5514.95232</v>
      </c>
      <c r="AH33" s="160" t="n">
        <v>-5514.95232</v>
      </c>
      <c r="AI33" s="160" t="n">
        <v>-5514.95232</v>
      </c>
      <c r="AJ33" s="160" t="n">
        <v>-5514.95232</v>
      </c>
      <c r="AK33" s="160" t="n">
        <v>-5514.95232</v>
      </c>
      <c r="AL33" s="160" t="n">
        <v>-5514.95232</v>
      </c>
      <c r="AM33" s="160" t="n">
        <v>-5514.95232</v>
      </c>
      <c r="AN33" s="160" t="n">
        <v>-5514.95232</v>
      </c>
      <c r="AO33" s="160" t="n">
        <v>-5514.95232</v>
      </c>
      <c r="AP33" s="160" t="n">
        <v>-5625.2513664</v>
      </c>
      <c r="AQ33" s="160" t="n">
        <v>-5625.2513664</v>
      </c>
      <c r="AR33" s="160" t="n">
        <v>-5625.2513664</v>
      </c>
      <c r="AS33" s="160" t="n">
        <v>-5625.2513664</v>
      </c>
      <c r="AT33" s="160" t="n">
        <v>-5625.2513664</v>
      </c>
      <c r="AU33" s="160" t="n">
        <v>-5625.2513664</v>
      </c>
      <c r="AV33" s="160" t="n">
        <v>-5625.2513664</v>
      </c>
      <c r="AW33" s="160" t="n">
        <v>-5625.2513664</v>
      </c>
      <c r="AX33" s="160" t="n">
        <v>-5625.2513664</v>
      </c>
      <c r="AY33" s="160" t="n">
        <v>-5625.2513664</v>
      </c>
      <c r="AZ33" s="160" t="n">
        <v>-5625.2513664</v>
      </c>
      <c r="BA33" s="160" t="n">
        <v>-5625.2513664</v>
      </c>
      <c r="BB33" s="160" t="n">
        <v>-5737.756393728</v>
      </c>
      <c r="BC33" s="160" t="n">
        <v>-5737.756393728</v>
      </c>
      <c r="BD33" s="160" t="n">
        <v>-5737.756393728</v>
      </c>
      <c r="BE33" s="160" t="n">
        <v>-5737.756393728</v>
      </c>
      <c r="BF33" s="160" t="n">
        <v>-5737.756393728</v>
      </c>
      <c r="BG33" s="160" t="n">
        <v>-5737.756393728</v>
      </c>
      <c r="BH33" s="160" t="n">
        <v>-5737.756393728</v>
      </c>
      <c r="BI33" s="160" t="n">
        <v>-5737.756393728</v>
      </c>
      <c r="BJ33" s="160" t="n">
        <v>-5737.756393728</v>
      </c>
      <c r="BK33" s="160" t="n">
        <v>-5737.756393728</v>
      </c>
      <c r="BL33" s="160" t="n">
        <v>-5737.756393728</v>
      </c>
      <c r="BM33" s="160" t="n">
        <v>-5737.756393728</v>
      </c>
      <c r="BN33" s="160" t="n">
        <v>-5852.51152160256</v>
      </c>
      <c r="BO33" s="160" t="n">
        <v>-5852.51152160256</v>
      </c>
      <c r="BP33" s="160" t="n">
        <v>-5852.51152160256</v>
      </c>
      <c r="BQ33" s="160" t="n">
        <v>-5852.51152160256</v>
      </c>
      <c r="BR33" s="160" t="n">
        <v>-5852.51152160256</v>
      </c>
      <c r="BS33" s="160" t="n">
        <v>-5852.51152160256</v>
      </c>
      <c r="BT33" s="160" t="n">
        <v>-5852.51152160256</v>
      </c>
      <c r="BU33" s="160" t="n">
        <v>-5852.51152160256</v>
      </c>
      <c r="BV33" s="160" t="n">
        <v>-5852.51152160256</v>
      </c>
      <c r="BW33" s="160" t="n">
        <v>-5852.51152160256</v>
      </c>
      <c r="BX33" s="160" t="n">
        <v>-5852.51152160256</v>
      </c>
      <c r="BY33" s="160" t="n">
        <v>-5852.51152160256</v>
      </c>
      <c r="BZ33" s="160" t="n">
        <v>-5969.56175203461</v>
      </c>
      <c r="CA33" s="160" t="n">
        <v>-5969.56175203461</v>
      </c>
      <c r="CB33" s="160" t="n">
        <v>-5969.56175203461</v>
      </c>
      <c r="CC33" s="160" t="n">
        <v>-5969.56175203461</v>
      </c>
      <c r="CD33" s="160" t="n">
        <v>-5969.56175203461</v>
      </c>
      <c r="CE33" s="160" t="n">
        <v>-5969.56175203461</v>
      </c>
      <c r="CF33" s="160" t="n">
        <v>-5969.56175203461</v>
      </c>
      <c r="CG33" s="160" t="n">
        <v>-5969.56175203461</v>
      </c>
      <c r="CH33" s="160" t="n">
        <v>-5969.56175203461</v>
      </c>
      <c r="CI33" s="160" t="n">
        <v>-5969.56175203461</v>
      </c>
      <c r="CJ33" s="160" t="n">
        <v>-5969.56175203461</v>
      </c>
      <c r="CK33" s="160" t="n">
        <v>-5969.56175203461</v>
      </c>
      <c r="CL33" s="160" t="n">
        <v>-6088.9529870753</v>
      </c>
      <c r="CM33" s="160" t="n">
        <v>-6088.9529870753</v>
      </c>
      <c r="CN33" s="160" t="n">
        <v>-6088.9529870753</v>
      </c>
      <c r="CO33" s="160" t="n">
        <v>-6088.9529870753</v>
      </c>
      <c r="CP33" s="160" t="n">
        <v>-6088.9529870753</v>
      </c>
      <c r="CQ33" s="160" t="n">
        <v>-6088.9529870753</v>
      </c>
      <c r="CR33" s="160" t="n">
        <v>-6088.9529870753</v>
      </c>
      <c r="CS33" s="160" t="n">
        <v>-6088.9529870753</v>
      </c>
      <c r="CT33" s="160" t="n">
        <v>-6088.9529870753</v>
      </c>
      <c r="CU33" s="160" t="n">
        <v>-6088.9529870753</v>
      </c>
      <c r="CV33" s="160" t="n">
        <v>-6088.9529870753</v>
      </c>
      <c r="CW33" s="160" t="n">
        <v>-6088.9529870753</v>
      </c>
      <c r="CX33" s="160" t="n">
        <v>-6210.73204681681</v>
      </c>
      <c r="CY33" s="160" t="n">
        <v>-6210.73204681681</v>
      </c>
      <c r="CZ33" s="160" t="n">
        <v>-6210.73204681681</v>
      </c>
      <c r="DA33" s="160" t="n">
        <v>-6210.73204681681</v>
      </c>
      <c r="DB33" s="160" t="n">
        <v>-6210.73204681681</v>
      </c>
      <c r="DC33" s="160" t="n">
        <v>-6210.73204681681</v>
      </c>
      <c r="DD33" s="160" t="n">
        <v>-6210.73204681681</v>
      </c>
      <c r="DE33" s="160" t="n">
        <v>-6210.73204681681</v>
      </c>
      <c r="DF33" s="160" t="n">
        <v>-6210.73204681681</v>
      </c>
    </row>
    <row r="34" customFormat="false" ht="15" hidden="false" customHeight="true" outlineLevel="0" collapsed="false">
      <c r="A34" s="90" t="s">
        <v>77</v>
      </c>
      <c r="C34" s="104" t="n">
        <v>0</v>
      </c>
      <c r="D34" s="104" t="n">
        <v>-1766.48</v>
      </c>
      <c r="E34" s="104" t="n">
        <v>-441.62</v>
      </c>
      <c r="F34" s="160" t="n">
        <v>-736.03</v>
      </c>
      <c r="G34" s="160" t="n">
        <v>-736.03</v>
      </c>
      <c r="H34" s="160" t="n">
        <v>-736.03</v>
      </c>
      <c r="I34" s="160" t="n">
        <v>-736.03</v>
      </c>
      <c r="J34" s="160" t="n">
        <v>-736.03</v>
      </c>
      <c r="K34" s="160" t="n">
        <v>-736.03</v>
      </c>
      <c r="L34" s="160" t="n">
        <v>-736.03</v>
      </c>
      <c r="M34" s="160" t="n">
        <v>-736.03</v>
      </c>
      <c r="N34" s="160" t="n">
        <v>-736.03</v>
      </c>
      <c r="O34" s="160" t="n">
        <v>-736.03</v>
      </c>
      <c r="P34" s="160" t="n">
        <v>-736.03</v>
      </c>
      <c r="Q34" s="160" t="n">
        <v>-736.03</v>
      </c>
      <c r="R34" s="160" t="n">
        <v>-750.7506</v>
      </c>
      <c r="S34" s="160" t="n">
        <v>-750.7506</v>
      </c>
      <c r="T34" s="160" t="n">
        <v>-750.7506</v>
      </c>
      <c r="U34" s="160" t="n">
        <v>-750.7506</v>
      </c>
      <c r="V34" s="160" t="n">
        <v>-750.7506</v>
      </c>
      <c r="W34" s="160" t="n">
        <v>-750.7506</v>
      </c>
      <c r="X34" s="160" t="n">
        <v>-750.7506</v>
      </c>
      <c r="Y34" s="160" t="n">
        <v>-750.7506</v>
      </c>
      <c r="Z34" s="160" t="n">
        <v>-750.7506</v>
      </c>
      <c r="AA34" s="160" t="n">
        <v>-750.7506</v>
      </c>
      <c r="AB34" s="160" t="n">
        <v>-750.7506</v>
      </c>
      <c r="AC34" s="160" t="n">
        <v>-750.7506</v>
      </c>
      <c r="AD34" s="160" t="n">
        <v>-765.765612</v>
      </c>
      <c r="AE34" s="160" t="n">
        <v>-765.765612</v>
      </c>
      <c r="AF34" s="160" t="n">
        <v>-765.765612</v>
      </c>
      <c r="AG34" s="160" t="n">
        <v>-765.765612</v>
      </c>
      <c r="AH34" s="160" t="n">
        <v>-765.765612</v>
      </c>
      <c r="AI34" s="160" t="n">
        <v>-765.765612</v>
      </c>
      <c r="AJ34" s="160" t="n">
        <v>-765.765612</v>
      </c>
      <c r="AK34" s="160" t="n">
        <v>-765.765612</v>
      </c>
      <c r="AL34" s="160" t="n">
        <v>-765.765612</v>
      </c>
      <c r="AM34" s="160" t="n">
        <v>-765.765612</v>
      </c>
      <c r="AN34" s="160" t="n">
        <v>-765.765612</v>
      </c>
      <c r="AO34" s="160" t="n">
        <v>-765.765612</v>
      </c>
      <c r="AP34" s="160" t="n">
        <v>-781.08092424</v>
      </c>
      <c r="AQ34" s="160" t="n">
        <v>-781.08092424</v>
      </c>
      <c r="AR34" s="160" t="n">
        <v>-781.08092424</v>
      </c>
      <c r="AS34" s="160" t="n">
        <v>-781.08092424</v>
      </c>
      <c r="AT34" s="160" t="n">
        <v>-781.08092424</v>
      </c>
      <c r="AU34" s="160" t="n">
        <v>-781.08092424</v>
      </c>
      <c r="AV34" s="160" t="n">
        <v>-781.08092424</v>
      </c>
      <c r="AW34" s="160" t="n">
        <v>-781.08092424</v>
      </c>
      <c r="AX34" s="160" t="n">
        <v>-781.08092424</v>
      </c>
      <c r="AY34" s="160" t="n">
        <v>-781.08092424</v>
      </c>
      <c r="AZ34" s="160" t="n">
        <v>-781.08092424</v>
      </c>
      <c r="BA34" s="160" t="n">
        <v>-781.08092424</v>
      </c>
      <c r="BB34" s="160" t="n">
        <v>-796.7025427248</v>
      </c>
      <c r="BC34" s="160" t="n">
        <v>-796.7025427248</v>
      </c>
      <c r="BD34" s="160" t="n">
        <v>-796.7025427248</v>
      </c>
      <c r="BE34" s="160" t="n">
        <v>-796.7025427248</v>
      </c>
      <c r="BF34" s="160" t="n">
        <v>-796.7025427248</v>
      </c>
      <c r="BG34" s="160" t="n">
        <v>-796.7025427248</v>
      </c>
      <c r="BH34" s="160" t="n">
        <v>-796.7025427248</v>
      </c>
      <c r="BI34" s="160" t="n">
        <v>-796.7025427248</v>
      </c>
      <c r="BJ34" s="160" t="n">
        <v>-796.7025427248</v>
      </c>
      <c r="BK34" s="160" t="n">
        <v>-796.7025427248</v>
      </c>
      <c r="BL34" s="160" t="n">
        <v>-796.7025427248</v>
      </c>
      <c r="BM34" s="160" t="n">
        <v>-796.7025427248</v>
      </c>
      <c r="BN34" s="160" t="n">
        <v>-812.636593579296</v>
      </c>
      <c r="BO34" s="160" t="n">
        <v>-812.636593579296</v>
      </c>
      <c r="BP34" s="160" t="n">
        <v>-812.636593579296</v>
      </c>
      <c r="BQ34" s="160" t="n">
        <v>-812.636593579296</v>
      </c>
      <c r="BR34" s="160" t="n">
        <v>-812.636593579296</v>
      </c>
      <c r="BS34" s="160" t="n">
        <v>-812.636593579296</v>
      </c>
      <c r="BT34" s="160" t="n">
        <v>-812.636593579296</v>
      </c>
      <c r="BU34" s="160" t="n">
        <v>-812.636593579296</v>
      </c>
      <c r="BV34" s="160" t="n">
        <v>-812.636593579296</v>
      </c>
      <c r="BW34" s="160" t="n">
        <v>-812.636593579296</v>
      </c>
      <c r="BX34" s="160" t="n">
        <v>-812.636593579296</v>
      </c>
      <c r="BY34" s="160" t="n">
        <v>-812.636593579296</v>
      </c>
      <c r="BZ34" s="160" t="n">
        <v>-828.889325450882</v>
      </c>
      <c r="CA34" s="160" t="n">
        <v>-828.889325450882</v>
      </c>
      <c r="CB34" s="160" t="n">
        <v>-828.889325450882</v>
      </c>
      <c r="CC34" s="160" t="n">
        <v>-828.889325450882</v>
      </c>
      <c r="CD34" s="160" t="n">
        <v>-828.889325450882</v>
      </c>
      <c r="CE34" s="160" t="n">
        <v>-828.889325450882</v>
      </c>
      <c r="CF34" s="160" t="n">
        <v>-828.889325450882</v>
      </c>
      <c r="CG34" s="160" t="n">
        <v>-828.889325450882</v>
      </c>
      <c r="CH34" s="160" t="n">
        <v>-828.889325450882</v>
      </c>
      <c r="CI34" s="160" t="n">
        <v>-828.889325450882</v>
      </c>
      <c r="CJ34" s="160" t="n">
        <v>-828.889325450882</v>
      </c>
      <c r="CK34" s="160" t="n">
        <v>-828.889325450882</v>
      </c>
      <c r="CL34" s="160" t="n">
        <v>-845.4671119599</v>
      </c>
      <c r="CM34" s="160" t="n">
        <v>-845.4671119599</v>
      </c>
      <c r="CN34" s="160" t="n">
        <v>-845.4671119599</v>
      </c>
      <c r="CO34" s="160" t="n">
        <v>-845.4671119599</v>
      </c>
      <c r="CP34" s="160" t="n">
        <v>-845.4671119599</v>
      </c>
      <c r="CQ34" s="160" t="n">
        <v>-845.4671119599</v>
      </c>
      <c r="CR34" s="160" t="n">
        <v>-845.4671119599</v>
      </c>
      <c r="CS34" s="160" t="n">
        <v>-845.4671119599</v>
      </c>
      <c r="CT34" s="160" t="n">
        <v>-845.4671119599</v>
      </c>
      <c r="CU34" s="160" t="n">
        <v>-845.4671119599</v>
      </c>
      <c r="CV34" s="160" t="n">
        <v>-845.4671119599</v>
      </c>
      <c r="CW34" s="160" t="n">
        <v>-845.4671119599</v>
      </c>
      <c r="CX34" s="160" t="n">
        <v>-862.376454199098</v>
      </c>
      <c r="CY34" s="160" t="n">
        <v>-862.376454199098</v>
      </c>
      <c r="CZ34" s="160" t="n">
        <v>-862.376454199098</v>
      </c>
      <c r="DA34" s="160" t="n">
        <v>-862.376454199098</v>
      </c>
      <c r="DB34" s="160" t="n">
        <v>-862.376454199098</v>
      </c>
      <c r="DC34" s="160" t="n">
        <v>-862.376454199098</v>
      </c>
      <c r="DD34" s="160" t="n">
        <v>-862.376454199098</v>
      </c>
      <c r="DE34" s="160" t="n">
        <v>-862.376454199098</v>
      </c>
      <c r="DF34" s="160" t="n">
        <v>-862.376454199098</v>
      </c>
    </row>
    <row r="35" customFormat="false" ht="15" hidden="false" customHeight="true" outlineLevel="0" collapsed="false">
      <c r="A35" s="90" t="s">
        <v>78</v>
      </c>
      <c r="C35" s="104" t="n">
        <v>-681.77</v>
      </c>
      <c r="D35" s="104" t="n">
        <v>-600.14</v>
      </c>
      <c r="E35" s="104" t="n">
        <v>-2121.95</v>
      </c>
      <c r="F35" s="160" t="n">
        <v>-1134.62</v>
      </c>
      <c r="G35" s="160" t="n">
        <v>-1134.62</v>
      </c>
      <c r="H35" s="160" t="n">
        <v>-1134.62</v>
      </c>
      <c r="I35" s="160" t="n">
        <v>-1134.62</v>
      </c>
      <c r="J35" s="160" t="n">
        <v>-1134.62</v>
      </c>
      <c r="K35" s="160" t="n">
        <v>-1134.62</v>
      </c>
      <c r="L35" s="160" t="n">
        <v>-1134.62</v>
      </c>
      <c r="M35" s="160" t="n">
        <v>-1134.62</v>
      </c>
      <c r="N35" s="160" t="n">
        <v>-1134.62</v>
      </c>
      <c r="O35" s="160" t="n">
        <v>-1134.62</v>
      </c>
      <c r="P35" s="160" t="n">
        <v>-1134.62</v>
      </c>
      <c r="Q35" s="160" t="n">
        <v>-1134.62</v>
      </c>
      <c r="R35" s="160" t="n">
        <v>-1157.3124</v>
      </c>
      <c r="S35" s="160" t="n">
        <v>-1157.3124</v>
      </c>
      <c r="T35" s="160" t="n">
        <v>-1157.3124</v>
      </c>
      <c r="U35" s="160" t="n">
        <v>-1157.3124</v>
      </c>
      <c r="V35" s="160" t="n">
        <v>-1157.3124</v>
      </c>
      <c r="W35" s="160" t="n">
        <v>-1157.3124</v>
      </c>
      <c r="X35" s="160" t="n">
        <v>-1157.3124</v>
      </c>
      <c r="Y35" s="160" t="n">
        <v>-1157.3124</v>
      </c>
      <c r="Z35" s="160" t="n">
        <v>-1157.3124</v>
      </c>
      <c r="AA35" s="160" t="n">
        <v>-1157.3124</v>
      </c>
      <c r="AB35" s="160" t="n">
        <v>-1157.3124</v>
      </c>
      <c r="AC35" s="160" t="n">
        <v>-1157.3124</v>
      </c>
      <c r="AD35" s="160" t="n">
        <v>-1180.458648</v>
      </c>
      <c r="AE35" s="160" t="n">
        <v>-1180.458648</v>
      </c>
      <c r="AF35" s="160" t="n">
        <v>-1180.458648</v>
      </c>
      <c r="AG35" s="160" t="n">
        <v>-1180.458648</v>
      </c>
      <c r="AH35" s="160" t="n">
        <v>-1180.458648</v>
      </c>
      <c r="AI35" s="160" t="n">
        <v>-1180.458648</v>
      </c>
      <c r="AJ35" s="160" t="n">
        <v>-1180.458648</v>
      </c>
      <c r="AK35" s="160" t="n">
        <v>-1180.458648</v>
      </c>
      <c r="AL35" s="160" t="n">
        <v>-1180.458648</v>
      </c>
      <c r="AM35" s="160" t="n">
        <v>-1180.458648</v>
      </c>
      <c r="AN35" s="160" t="n">
        <v>-1180.458648</v>
      </c>
      <c r="AO35" s="160" t="n">
        <v>-1180.458648</v>
      </c>
      <c r="AP35" s="160" t="n">
        <v>-1204.06782096</v>
      </c>
      <c r="AQ35" s="160" t="n">
        <v>-1204.06782096</v>
      </c>
      <c r="AR35" s="160" t="n">
        <v>-1204.06782096</v>
      </c>
      <c r="AS35" s="160" t="n">
        <v>-1204.06782096</v>
      </c>
      <c r="AT35" s="160" t="n">
        <v>-1204.06782096</v>
      </c>
      <c r="AU35" s="160" t="n">
        <v>-1204.06782096</v>
      </c>
      <c r="AV35" s="160" t="n">
        <v>-1204.06782096</v>
      </c>
      <c r="AW35" s="160" t="n">
        <v>-1204.06782096</v>
      </c>
      <c r="AX35" s="160" t="n">
        <v>-1204.06782096</v>
      </c>
      <c r="AY35" s="160" t="n">
        <v>-1204.06782096</v>
      </c>
      <c r="AZ35" s="160" t="n">
        <v>-1204.06782096</v>
      </c>
      <c r="BA35" s="160" t="n">
        <v>-1204.06782096</v>
      </c>
      <c r="BB35" s="160" t="n">
        <v>-1228.1491773792</v>
      </c>
      <c r="BC35" s="160" t="n">
        <v>-1228.1491773792</v>
      </c>
      <c r="BD35" s="160" t="n">
        <v>-1228.1491773792</v>
      </c>
      <c r="BE35" s="160" t="n">
        <v>-1228.1491773792</v>
      </c>
      <c r="BF35" s="160" t="n">
        <v>-1228.1491773792</v>
      </c>
      <c r="BG35" s="160" t="n">
        <v>-1228.1491773792</v>
      </c>
      <c r="BH35" s="160" t="n">
        <v>-1228.1491773792</v>
      </c>
      <c r="BI35" s="160" t="n">
        <v>-1228.1491773792</v>
      </c>
      <c r="BJ35" s="160" t="n">
        <v>-1228.1491773792</v>
      </c>
      <c r="BK35" s="160" t="n">
        <v>-1228.1491773792</v>
      </c>
      <c r="BL35" s="160" t="n">
        <v>-1228.1491773792</v>
      </c>
      <c r="BM35" s="160" t="n">
        <v>-1228.1491773792</v>
      </c>
      <c r="BN35" s="160" t="n">
        <v>-1252.71216092678</v>
      </c>
      <c r="BO35" s="160" t="n">
        <v>-1252.71216092678</v>
      </c>
      <c r="BP35" s="160" t="n">
        <v>-1252.71216092678</v>
      </c>
      <c r="BQ35" s="160" t="n">
        <v>-1252.71216092678</v>
      </c>
      <c r="BR35" s="160" t="n">
        <v>-1252.71216092678</v>
      </c>
      <c r="BS35" s="160" t="n">
        <v>-1252.71216092678</v>
      </c>
      <c r="BT35" s="160" t="n">
        <v>-1252.71216092678</v>
      </c>
      <c r="BU35" s="160" t="n">
        <v>-1252.71216092678</v>
      </c>
      <c r="BV35" s="160" t="n">
        <v>-1252.71216092678</v>
      </c>
      <c r="BW35" s="160" t="n">
        <v>-1252.71216092678</v>
      </c>
      <c r="BX35" s="160" t="n">
        <v>-1252.71216092678</v>
      </c>
      <c r="BY35" s="160" t="n">
        <v>-1252.71216092678</v>
      </c>
      <c r="BZ35" s="160" t="n">
        <v>-1277.76640414532</v>
      </c>
      <c r="CA35" s="160" t="n">
        <v>-1277.76640414532</v>
      </c>
      <c r="CB35" s="160" t="n">
        <v>-1277.76640414532</v>
      </c>
      <c r="CC35" s="160" t="n">
        <v>-1277.76640414532</v>
      </c>
      <c r="CD35" s="160" t="n">
        <v>-1277.76640414532</v>
      </c>
      <c r="CE35" s="160" t="n">
        <v>-1277.76640414532</v>
      </c>
      <c r="CF35" s="160" t="n">
        <v>-1277.76640414532</v>
      </c>
      <c r="CG35" s="160" t="n">
        <v>-1277.76640414532</v>
      </c>
      <c r="CH35" s="160" t="n">
        <v>-1277.76640414532</v>
      </c>
      <c r="CI35" s="160" t="n">
        <v>-1277.76640414532</v>
      </c>
      <c r="CJ35" s="160" t="n">
        <v>-1277.76640414532</v>
      </c>
      <c r="CK35" s="160" t="n">
        <v>-1277.76640414532</v>
      </c>
      <c r="CL35" s="160" t="n">
        <v>-1303.32173222823</v>
      </c>
      <c r="CM35" s="160" t="n">
        <v>-1303.32173222823</v>
      </c>
      <c r="CN35" s="160" t="n">
        <v>-1303.32173222823</v>
      </c>
      <c r="CO35" s="160" t="n">
        <v>-1303.32173222823</v>
      </c>
      <c r="CP35" s="160" t="n">
        <v>-1303.32173222823</v>
      </c>
      <c r="CQ35" s="160" t="n">
        <v>-1303.32173222823</v>
      </c>
      <c r="CR35" s="160" t="n">
        <v>-1303.32173222823</v>
      </c>
      <c r="CS35" s="160" t="n">
        <v>-1303.32173222823</v>
      </c>
      <c r="CT35" s="160" t="n">
        <v>-1303.32173222823</v>
      </c>
      <c r="CU35" s="160" t="n">
        <v>-1303.32173222823</v>
      </c>
      <c r="CV35" s="160" t="n">
        <v>-1303.32173222823</v>
      </c>
      <c r="CW35" s="160" t="n">
        <v>-1303.32173222823</v>
      </c>
      <c r="CX35" s="160" t="n">
        <v>-1329.38816687279</v>
      </c>
      <c r="CY35" s="160" t="n">
        <v>-1329.38816687279</v>
      </c>
      <c r="CZ35" s="160" t="n">
        <v>-1329.38816687279</v>
      </c>
      <c r="DA35" s="160" t="n">
        <v>-1329.38816687279</v>
      </c>
      <c r="DB35" s="160" t="n">
        <v>-1329.38816687279</v>
      </c>
      <c r="DC35" s="160" t="n">
        <v>-1329.38816687279</v>
      </c>
      <c r="DD35" s="160" t="n">
        <v>-1329.38816687279</v>
      </c>
      <c r="DE35" s="160" t="n">
        <v>-1329.38816687279</v>
      </c>
      <c r="DF35" s="160" t="n">
        <v>-1329.38816687279</v>
      </c>
    </row>
    <row r="36" customFormat="false" ht="15" hidden="false" customHeight="true" outlineLevel="0" collapsed="false">
      <c r="A36" s="90" t="s">
        <v>79</v>
      </c>
      <c r="C36" s="104" t="n">
        <v>-2187.5</v>
      </c>
      <c r="D36" s="104" t="n">
        <v>0</v>
      </c>
      <c r="E36" s="104" t="n">
        <v>-1625</v>
      </c>
      <c r="F36" s="160" t="n">
        <v>-1270.83</v>
      </c>
      <c r="G36" s="160" t="n">
        <v>-1270.83</v>
      </c>
      <c r="H36" s="160" t="n">
        <v>-1270.83</v>
      </c>
      <c r="I36" s="160" t="n">
        <v>-1270.83</v>
      </c>
      <c r="J36" s="160" t="n">
        <v>-1270.83</v>
      </c>
      <c r="K36" s="160" t="n">
        <v>-1270.83</v>
      </c>
      <c r="L36" s="160" t="n">
        <v>-1270.83</v>
      </c>
      <c r="M36" s="160" t="n">
        <v>-1270.83</v>
      </c>
      <c r="N36" s="160" t="n">
        <v>-1270.83</v>
      </c>
      <c r="O36" s="160" t="n">
        <v>-1270.83</v>
      </c>
      <c r="P36" s="160" t="n">
        <v>-1270.83</v>
      </c>
      <c r="Q36" s="160" t="n">
        <v>-1270.83</v>
      </c>
      <c r="R36" s="160" t="n">
        <v>-1296.2466</v>
      </c>
      <c r="S36" s="160" t="n">
        <v>-1296.2466</v>
      </c>
      <c r="T36" s="160" t="n">
        <v>-1296.2466</v>
      </c>
      <c r="U36" s="160" t="n">
        <v>-1296.2466</v>
      </c>
      <c r="V36" s="160" t="n">
        <v>-1296.2466</v>
      </c>
      <c r="W36" s="160" t="n">
        <v>-1296.2466</v>
      </c>
      <c r="X36" s="160" t="n">
        <v>-1296.2466</v>
      </c>
      <c r="Y36" s="160" t="n">
        <v>-1296.2466</v>
      </c>
      <c r="Z36" s="160" t="n">
        <v>-1296.2466</v>
      </c>
      <c r="AA36" s="160" t="n">
        <v>-1296.2466</v>
      </c>
      <c r="AB36" s="160" t="n">
        <v>-1296.2466</v>
      </c>
      <c r="AC36" s="160" t="n">
        <v>-1296.2466</v>
      </c>
      <c r="AD36" s="160" t="n">
        <v>-1322.171532</v>
      </c>
      <c r="AE36" s="160" t="n">
        <v>-1322.171532</v>
      </c>
      <c r="AF36" s="160" t="n">
        <v>-1322.171532</v>
      </c>
      <c r="AG36" s="160" t="n">
        <v>-1322.171532</v>
      </c>
      <c r="AH36" s="160" t="n">
        <v>-1322.171532</v>
      </c>
      <c r="AI36" s="160" t="n">
        <v>-1322.171532</v>
      </c>
      <c r="AJ36" s="160" t="n">
        <v>-1322.171532</v>
      </c>
      <c r="AK36" s="160" t="n">
        <v>-1322.171532</v>
      </c>
      <c r="AL36" s="160" t="n">
        <v>-1322.171532</v>
      </c>
      <c r="AM36" s="160" t="n">
        <v>-1322.171532</v>
      </c>
      <c r="AN36" s="160" t="n">
        <v>-1322.171532</v>
      </c>
      <c r="AO36" s="160" t="n">
        <v>-1322.171532</v>
      </c>
      <c r="AP36" s="160" t="n">
        <v>-1348.61496264</v>
      </c>
      <c r="AQ36" s="160" t="n">
        <v>-1348.61496264</v>
      </c>
      <c r="AR36" s="160" t="n">
        <v>-1348.61496264</v>
      </c>
      <c r="AS36" s="160" t="n">
        <v>-1348.61496264</v>
      </c>
      <c r="AT36" s="160" t="n">
        <v>-1348.61496264</v>
      </c>
      <c r="AU36" s="160" t="n">
        <v>-1348.61496264</v>
      </c>
      <c r="AV36" s="160" t="n">
        <v>-1348.61496264</v>
      </c>
      <c r="AW36" s="160" t="n">
        <v>-1348.61496264</v>
      </c>
      <c r="AX36" s="160" t="n">
        <v>-1348.61496264</v>
      </c>
      <c r="AY36" s="160" t="n">
        <v>-1348.61496264</v>
      </c>
      <c r="AZ36" s="160" t="n">
        <v>-1348.61496264</v>
      </c>
      <c r="BA36" s="160" t="n">
        <v>-1348.61496264</v>
      </c>
      <c r="BB36" s="160" t="n">
        <v>-1375.5872618928</v>
      </c>
      <c r="BC36" s="160" t="n">
        <v>-1375.5872618928</v>
      </c>
      <c r="BD36" s="160" t="n">
        <v>-1375.5872618928</v>
      </c>
      <c r="BE36" s="160" t="n">
        <v>-1375.5872618928</v>
      </c>
      <c r="BF36" s="160" t="n">
        <v>-1375.5872618928</v>
      </c>
      <c r="BG36" s="160" t="n">
        <v>-1375.5872618928</v>
      </c>
      <c r="BH36" s="160" t="n">
        <v>-1375.5872618928</v>
      </c>
      <c r="BI36" s="160" t="n">
        <v>-1375.5872618928</v>
      </c>
      <c r="BJ36" s="160" t="n">
        <v>-1375.5872618928</v>
      </c>
      <c r="BK36" s="160" t="n">
        <v>-1375.5872618928</v>
      </c>
      <c r="BL36" s="160" t="n">
        <v>-1375.5872618928</v>
      </c>
      <c r="BM36" s="160" t="n">
        <v>-1375.5872618928</v>
      </c>
      <c r="BN36" s="160" t="n">
        <v>-1403.09900713066</v>
      </c>
      <c r="BO36" s="160" t="n">
        <v>-1403.09900713066</v>
      </c>
      <c r="BP36" s="160" t="n">
        <v>-1403.09900713066</v>
      </c>
      <c r="BQ36" s="160" t="n">
        <v>-1403.09900713066</v>
      </c>
      <c r="BR36" s="160" t="n">
        <v>-1403.09900713066</v>
      </c>
      <c r="BS36" s="160" t="n">
        <v>-1403.09900713066</v>
      </c>
      <c r="BT36" s="160" t="n">
        <v>-1403.09900713066</v>
      </c>
      <c r="BU36" s="160" t="n">
        <v>-1403.09900713066</v>
      </c>
      <c r="BV36" s="160" t="n">
        <v>-1403.09900713066</v>
      </c>
      <c r="BW36" s="160" t="n">
        <v>-1403.09900713066</v>
      </c>
      <c r="BX36" s="160" t="n">
        <v>-1403.09900713066</v>
      </c>
      <c r="BY36" s="160" t="n">
        <v>-1403.09900713066</v>
      </c>
      <c r="BZ36" s="160" t="n">
        <v>-1431.16098727327</v>
      </c>
      <c r="CA36" s="160" t="n">
        <v>-1431.16098727327</v>
      </c>
      <c r="CB36" s="160" t="n">
        <v>-1431.16098727327</v>
      </c>
      <c r="CC36" s="160" t="n">
        <v>-1431.16098727327</v>
      </c>
      <c r="CD36" s="160" t="n">
        <v>-1431.16098727327</v>
      </c>
      <c r="CE36" s="160" t="n">
        <v>-1431.16098727327</v>
      </c>
      <c r="CF36" s="160" t="n">
        <v>-1431.16098727327</v>
      </c>
      <c r="CG36" s="160" t="n">
        <v>-1431.16098727327</v>
      </c>
      <c r="CH36" s="160" t="n">
        <v>-1431.16098727327</v>
      </c>
      <c r="CI36" s="160" t="n">
        <v>-1431.16098727327</v>
      </c>
      <c r="CJ36" s="160" t="n">
        <v>-1431.16098727327</v>
      </c>
      <c r="CK36" s="160" t="n">
        <v>-1431.16098727327</v>
      </c>
      <c r="CL36" s="160" t="n">
        <v>-1459.78420701873</v>
      </c>
      <c r="CM36" s="160" t="n">
        <v>-1459.78420701873</v>
      </c>
      <c r="CN36" s="160" t="n">
        <v>-1459.78420701873</v>
      </c>
      <c r="CO36" s="160" t="n">
        <v>-1459.78420701873</v>
      </c>
      <c r="CP36" s="160" t="n">
        <v>-1459.78420701873</v>
      </c>
      <c r="CQ36" s="160" t="n">
        <v>-1459.78420701873</v>
      </c>
      <c r="CR36" s="160" t="n">
        <v>-1459.78420701873</v>
      </c>
      <c r="CS36" s="160" t="n">
        <v>-1459.78420701873</v>
      </c>
      <c r="CT36" s="160" t="n">
        <v>-1459.78420701873</v>
      </c>
      <c r="CU36" s="160" t="n">
        <v>-1459.78420701873</v>
      </c>
      <c r="CV36" s="160" t="n">
        <v>-1459.78420701873</v>
      </c>
      <c r="CW36" s="160" t="n">
        <v>-1459.78420701873</v>
      </c>
      <c r="CX36" s="160" t="n">
        <v>-1488.97989115911</v>
      </c>
      <c r="CY36" s="160" t="n">
        <v>-1488.97989115911</v>
      </c>
      <c r="CZ36" s="160" t="n">
        <v>-1488.97989115911</v>
      </c>
      <c r="DA36" s="160" t="n">
        <v>-1488.97989115911</v>
      </c>
      <c r="DB36" s="160" t="n">
        <v>-1488.97989115911</v>
      </c>
      <c r="DC36" s="160" t="n">
        <v>-1488.97989115911</v>
      </c>
      <c r="DD36" s="160" t="n">
        <v>-1488.97989115911</v>
      </c>
      <c r="DE36" s="160" t="n">
        <v>-1488.97989115911</v>
      </c>
      <c r="DF36" s="160" t="n">
        <v>-1488.97989115911</v>
      </c>
    </row>
    <row r="37" customFormat="false" ht="15" hidden="false" customHeight="true" outlineLevel="0" collapsed="false">
      <c r="A37" s="90" t="s">
        <v>80</v>
      </c>
      <c r="C37" s="104" t="n">
        <v>0</v>
      </c>
      <c r="D37" s="104" t="n">
        <v>-12349</v>
      </c>
      <c r="E37" s="104" t="n">
        <v>-5400</v>
      </c>
      <c r="F37" s="160" t="n">
        <v>-5916.33</v>
      </c>
      <c r="G37" s="160" t="n">
        <v>-5916.33</v>
      </c>
      <c r="H37" s="160" t="n">
        <v>-5916.33</v>
      </c>
      <c r="I37" s="160" t="n">
        <v>-5916.33</v>
      </c>
      <c r="J37" s="160" t="n">
        <v>-5916.33</v>
      </c>
      <c r="K37" s="160" t="n">
        <v>-5916.33</v>
      </c>
      <c r="L37" s="160" t="n">
        <v>-5916.33</v>
      </c>
      <c r="M37" s="160" t="n">
        <v>-5916.33</v>
      </c>
      <c r="N37" s="160" t="n">
        <v>-5916.33</v>
      </c>
      <c r="O37" s="160" t="n">
        <v>-5916.33</v>
      </c>
      <c r="P37" s="160" t="n">
        <v>-5916.33</v>
      </c>
      <c r="Q37" s="160" t="n">
        <v>-5916.33</v>
      </c>
      <c r="R37" s="160" t="n">
        <v>-6034.6566</v>
      </c>
      <c r="S37" s="160" t="n">
        <v>-6034.6566</v>
      </c>
      <c r="T37" s="160" t="n">
        <v>-6034.6566</v>
      </c>
      <c r="U37" s="160" t="n">
        <v>-6034.6566</v>
      </c>
      <c r="V37" s="160" t="n">
        <v>-6034.6566</v>
      </c>
      <c r="W37" s="160" t="n">
        <v>-6034.6566</v>
      </c>
      <c r="X37" s="160" t="n">
        <v>-6034.6566</v>
      </c>
      <c r="Y37" s="160" t="n">
        <v>-6034.6566</v>
      </c>
      <c r="Z37" s="160" t="n">
        <v>-6034.6566</v>
      </c>
      <c r="AA37" s="160" t="n">
        <v>-6034.6566</v>
      </c>
      <c r="AB37" s="160" t="n">
        <v>-6034.6566</v>
      </c>
      <c r="AC37" s="160" t="n">
        <v>-6034.6566</v>
      </c>
      <c r="AD37" s="160" t="n">
        <v>-6155.349732</v>
      </c>
      <c r="AE37" s="160" t="n">
        <v>-6155.349732</v>
      </c>
      <c r="AF37" s="160" t="n">
        <v>-6155.349732</v>
      </c>
      <c r="AG37" s="160" t="n">
        <v>-6155.349732</v>
      </c>
      <c r="AH37" s="160" t="n">
        <v>-6155.349732</v>
      </c>
      <c r="AI37" s="160" t="n">
        <v>-6155.349732</v>
      </c>
      <c r="AJ37" s="160" t="n">
        <v>-6155.349732</v>
      </c>
      <c r="AK37" s="160" t="n">
        <v>-6155.349732</v>
      </c>
      <c r="AL37" s="160" t="n">
        <v>-6155.349732</v>
      </c>
      <c r="AM37" s="160" t="n">
        <v>-6155.349732</v>
      </c>
      <c r="AN37" s="160" t="n">
        <v>-6155.349732</v>
      </c>
      <c r="AO37" s="160" t="n">
        <v>-6155.349732</v>
      </c>
      <c r="AP37" s="160" t="n">
        <v>-6278.45672664</v>
      </c>
      <c r="AQ37" s="160" t="n">
        <v>-6278.45672664</v>
      </c>
      <c r="AR37" s="160" t="n">
        <v>-6278.45672664</v>
      </c>
      <c r="AS37" s="160" t="n">
        <v>-6278.45672664</v>
      </c>
      <c r="AT37" s="160" t="n">
        <v>-6278.45672664</v>
      </c>
      <c r="AU37" s="160" t="n">
        <v>-6278.45672664</v>
      </c>
      <c r="AV37" s="160" t="n">
        <v>-6278.45672664</v>
      </c>
      <c r="AW37" s="160" t="n">
        <v>-6278.45672664</v>
      </c>
      <c r="AX37" s="160" t="n">
        <v>-6278.45672664</v>
      </c>
      <c r="AY37" s="160" t="n">
        <v>-6278.45672664</v>
      </c>
      <c r="AZ37" s="160" t="n">
        <v>-6278.45672664</v>
      </c>
      <c r="BA37" s="160" t="n">
        <v>-6278.45672664</v>
      </c>
      <c r="BB37" s="160" t="n">
        <v>-6404.0258611728</v>
      </c>
      <c r="BC37" s="160" t="n">
        <v>-6404.0258611728</v>
      </c>
      <c r="BD37" s="160" t="n">
        <v>-6404.0258611728</v>
      </c>
      <c r="BE37" s="160" t="n">
        <v>-6404.0258611728</v>
      </c>
      <c r="BF37" s="160" t="n">
        <v>-6404.0258611728</v>
      </c>
      <c r="BG37" s="160" t="n">
        <v>-6404.0258611728</v>
      </c>
      <c r="BH37" s="160" t="n">
        <v>-6404.0258611728</v>
      </c>
      <c r="BI37" s="160" t="n">
        <v>-6404.0258611728</v>
      </c>
      <c r="BJ37" s="160" t="n">
        <v>-6404.0258611728</v>
      </c>
      <c r="BK37" s="160" t="n">
        <v>-6404.0258611728</v>
      </c>
      <c r="BL37" s="160" t="n">
        <v>-6404.0258611728</v>
      </c>
      <c r="BM37" s="160" t="n">
        <v>-6404.0258611728</v>
      </c>
      <c r="BN37" s="160" t="n">
        <v>-6532.10637839626</v>
      </c>
      <c r="BO37" s="160" t="n">
        <v>-6532.10637839626</v>
      </c>
      <c r="BP37" s="160" t="n">
        <v>-6532.10637839626</v>
      </c>
      <c r="BQ37" s="160" t="n">
        <v>-6532.10637839626</v>
      </c>
      <c r="BR37" s="160" t="n">
        <v>-6532.10637839626</v>
      </c>
      <c r="BS37" s="160" t="n">
        <v>-6532.10637839626</v>
      </c>
      <c r="BT37" s="160" t="n">
        <v>-6532.10637839626</v>
      </c>
      <c r="BU37" s="160" t="n">
        <v>-6532.10637839626</v>
      </c>
      <c r="BV37" s="160" t="n">
        <v>-6532.10637839626</v>
      </c>
      <c r="BW37" s="160" t="n">
        <v>-6532.10637839626</v>
      </c>
      <c r="BX37" s="160" t="n">
        <v>-6532.10637839626</v>
      </c>
      <c r="BY37" s="160" t="n">
        <v>-6532.10637839626</v>
      </c>
      <c r="BZ37" s="160" t="n">
        <v>-6662.74850596418</v>
      </c>
      <c r="CA37" s="160" t="n">
        <v>-6662.74850596418</v>
      </c>
      <c r="CB37" s="160" t="n">
        <v>-6662.74850596418</v>
      </c>
      <c r="CC37" s="160" t="n">
        <v>-6662.74850596418</v>
      </c>
      <c r="CD37" s="160" t="n">
        <v>-6662.74850596418</v>
      </c>
      <c r="CE37" s="160" t="n">
        <v>-6662.74850596418</v>
      </c>
      <c r="CF37" s="160" t="n">
        <v>-6662.74850596418</v>
      </c>
      <c r="CG37" s="160" t="n">
        <v>-6662.74850596418</v>
      </c>
      <c r="CH37" s="160" t="n">
        <v>-6662.74850596418</v>
      </c>
      <c r="CI37" s="160" t="n">
        <v>-6662.74850596418</v>
      </c>
      <c r="CJ37" s="160" t="n">
        <v>-6662.74850596418</v>
      </c>
      <c r="CK37" s="160" t="n">
        <v>-6662.74850596418</v>
      </c>
      <c r="CL37" s="160" t="n">
        <v>-6796.00347608347</v>
      </c>
      <c r="CM37" s="160" t="n">
        <v>-6796.00347608347</v>
      </c>
      <c r="CN37" s="160" t="n">
        <v>-6796.00347608347</v>
      </c>
      <c r="CO37" s="160" t="n">
        <v>-6796.00347608347</v>
      </c>
      <c r="CP37" s="160" t="n">
        <v>-6796.00347608347</v>
      </c>
      <c r="CQ37" s="160" t="n">
        <v>-6796.00347608347</v>
      </c>
      <c r="CR37" s="160" t="n">
        <v>-6796.00347608347</v>
      </c>
      <c r="CS37" s="160" t="n">
        <v>-6796.00347608347</v>
      </c>
      <c r="CT37" s="160" t="n">
        <v>-6796.00347608347</v>
      </c>
      <c r="CU37" s="160" t="n">
        <v>-6796.00347608347</v>
      </c>
      <c r="CV37" s="160" t="n">
        <v>-6796.00347608347</v>
      </c>
      <c r="CW37" s="160" t="n">
        <v>-6796.00347608347</v>
      </c>
      <c r="CX37" s="160" t="n">
        <v>-6931.92354560514</v>
      </c>
      <c r="CY37" s="160" t="n">
        <v>-6931.92354560514</v>
      </c>
      <c r="CZ37" s="160" t="n">
        <v>-6931.92354560514</v>
      </c>
      <c r="DA37" s="160" t="n">
        <v>-6931.92354560514</v>
      </c>
      <c r="DB37" s="160" t="n">
        <v>-6931.92354560514</v>
      </c>
      <c r="DC37" s="160" t="n">
        <v>-6931.92354560514</v>
      </c>
      <c r="DD37" s="160" t="n">
        <v>-6931.92354560514</v>
      </c>
      <c r="DE37" s="160" t="n">
        <v>-6931.92354560514</v>
      </c>
      <c r="DF37" s="160" t="n">
        <v>-6931.92354560514</v>
      </c>
    </row>
    <row r="38" customFormat="false" ht="15" hidden="false" customHeight="true" outlineLevel="0" collapsed="false">
      <c r="A38" s="90" t="s">
        <v>81</v>
      </c>
      <c r="C38" s="104" t="n">
        <v>0</v>
      </c>
      <c r="D38" s="104" t="n">
        <v>0</v>
      </c>
      <c r="E38" s="104" t="n">
        <v>-750.4</v>
      </c>
      <c r="F38" s="160" t="n">
        <v>-250.13</v>
      </c>
      <c r="G38" s="160" t="n">
        <v>-250.13</v>
      </c>
      <c r="H38" s="160" t="n">
        <v>-250.13</v>
      </c>
      <c r="I38" s="160" t="n">
        <v>-250.13</v>
      </c>
      <c r="J38" s="160" t="n">
        <v>-250.13</v>
      </c>
      <c r="K38" s="160" t="n">
        <v>-250.13</v>
      </c>
      <c r="L38" s="160" t="n">
        <v>-250.13</v>
      </c>
      <c r="M38" s="160" t="n">
        <v>-250.13</v>
      </c>
      <c r="N38" s="160" t="n">
        <v>-250.13</v>
      </c>
      <c r="O38" s="160" t="n">
        <v>-250.13</v>
      </c>
      <c r="P38" s="160" t="n">
        <v>-250.13</v>
      </c>
      <c r="Q38" s="160" t="n">
        <v>-250.13</v>
      </c>
      <c r="R38" s="160" t="n">
        <v>-255.1326</v>
      </c>
      <c r="S38" s="160" t="n">
        <v>-255.1326</v>
      </c>
      <c r="T38" s="160" t="n">
        <v>-255.1326</v>
      </c>
      <c r="U38" s="160" t="n">
        <v>-255.1326</v>
      </c>
      <c r="V38" s="160" t="n">
        <v>-255.1326</v>
      </c>
      <c r="W38" s="160" t="n">
        <v>-255.1326</v>
      </c>
      <c r="X38" s="160" t="n">
        <v>-255.1326</v>
      </c>
      <c r="Y38" s="160" t="n">
        <v>-255.1326</v>
      </c>
      <c r="Z38" s="160" t="n">
        <v>-255.1326</v>
      </c>
      <c r="AA38" s="160" t="n">
        <v>-255.1326</v>
      </c>
      <c r="AB38" s="160" t="n">
        <v>-255.1326</v>
      </c>
      <c r="AC38" s="160" t="n">
        <v>-255.1326</v>
      </c>
      <c r="AD38" s="160" t="n">
        <v>-260.235252</v>
      </c>
      <c r="AE38" s="160" t="n">
        <v>-260.235252</v>
      </c>
      <c r="AF38" s="160" t="n">
        <v>-260.235252</v>
      </c>
      <c r="AG38" s="160" t="n">
        <v>-260.235252</v>
      </c>
      <c r="AH38" s="160" t="n">
        <v>-260.235252</v>
      </c>
      <c r="AI38" s="160" t="n">
        <v>-260.235252</v>
      </c>
      <c r="AJ38" s="160" t="n">
        <v>-260.235252</v>
      </c>
      <c r="AK38" s="160" t="n">
        <v>-260.235252</v>
      </c>
      <c r="AL38" s="160" t="n">
        <v>-260.235252</v>
      </c>
      <c r="AM38" s="160" t="n">
        <v>-260.235252</v>
      </c>
      <c r="AN38" s="160" t="n">
        <v>-260.235252</v>
      </c>
      <c r="AO38" s="160" t="n">
        <v>-260.235252</v>
      </c>
      <c r="AP38" s="160" t="n">
        <v>-265.43995704</v>
      </c>
      <c r="AQ38" s="160" t="n">
        <v>-265.43995704</v>
      </c>
      <c r="AR38" s="160" t="n">
        <v>-265.43995704</v>
      </c>
      <c r="AS38" s="160" t="n">
        <v>-265.43995704</v>
      </c>
      <c r="AT38" s="160" t="n">
        <v>-265.43995704</v>
      </c>
      <c r="AU38" s="160" t="n">
        <v>-265.43995704</v>
      </c>
      <c r="AV38" s="160" t="n">
        <v>-265.43995704</v>
      </c>
      <c r="AW38" s="160" t="n">
        <v>-265.43995704</v>
      </c>
      <c r="AX38" s="160" t="n">
        <v>-265.43995704</v>
      </c>
      <c r="AY38" s="160" t="n">
        <v>-265.43995704</v>
      </c>
      <c r="AZ38" s="160" t="n">
        <v>-265.43995704</v>
      </c>
      <c r="BA38" s="160" t="n">
        <v>-265.43995704</v>
      </c>
      <c r="BB38" s="160" t="n">
        <v>-270.7487561808</v>
      </c>
      <c r="BC38" s="160" t="n">
        <v>-270.7487561808</v>
      </c>
      <c r="BD38" s="160" t="n">
        <v>-270.7487561808</v>
      </c>
      <c r="BE38" s="160" t="n">
        <v>-270.7487561808</v>
      </c>
      <c r="BF38" s="160" t="n">
        <v>-270.7487561808</v>
      </c>
      <c r="BG38" s="160" t="n">
        <v>-270.7487561808</v>
      </c>
      <c r="BH38" s="160" t="n">
        <v>-270.7487561808</v>
      </c>
      <c r="BI38" s="160" t="n">
        <v>-270.7487561808</v>
      </c>
      <c r="BJ38" s="160" t="n">
        <v>-270.7487561808</v>
      </c>
      <c r="BK38" s="160" t="n">
        <v>-270.7487561808</v>
      </c>
      <c r="BL38" s="160" t="n">
        <v>-270.7487561808</v>
      </c>
      <c r="BM38" s="160" t="n">
        <v>-270.7487561808</v>
      </c>
      <c r="BN38" s="160" t="n">
        <v>-276.163731304416</v>
      </c>
      <c r="BO38" s="160" t="n">
        <v>-276.163731304416</v>
      </c>
      <c r="BP38" s="160" t="n">
        <v>-276.163731304416</v>
      </c>
      <c r="BQ38" s="160" t="n">
        <v>-276.163731304416</v>
      </c>
      <c r="BR38" s="160" t="n">
        <v>-276.163731304416</v>
      </c>
      <c r="BS38" s="160" t="n">
        <v>-276.163731304416</v>
      </c>
      <c r="BT38" s="160" t="n">
        <v>-276.163731304416</v>
      </c>
      <c r="BU38" s="160" t="n">
        <v>-276.163731304416</v>
      </c>
      <c r="BV38" s="160" t="n">
        <v>-276.163731304416</v>
      </c>
      <c r="BW38" s="160" t="n">
        <v>-276.163731304416</v>
      </c>
      <c r="BX38" s="160" t="n">
        <v>-276.163731304416</v>
      </c>
      <c r="BY38" s="160" t="n">
        <v>-276.163731304416</v>
      </c>
      <c r="BZ38" s="160" t="n">
        <v>-281.687005930504</v>
      </c>
      <c r="CA38" s="160" t="n">
        <v>-281.687005930504</v>
      </c>
      <c r="CB38" s="160" t="n">
        <v>-281.687005930504</v>
      </c>
      <c r="CC38" s="160" t="n">
        <v>-281.687005930504</v>
      </c>
      <c r="CD38" s="160" t="n">
        <v>-281.687005930504</v>
      </c>
      <c r="CE38" s="160" t="n">
        <v>-281.687005930504</v>
      </c>
      <c r="CF38" s="160" t="n">
        <v>-281.687005930504</v>
      </c>
      <c r="CG38" s="160" t="n">
        <v>-281.687005930504</v>
      </c>
      <c r="CH38" s="160" t="n">
        <v>-281.687005930504</v>
      </c>
      <c r="CI38" s="160" t="n">
        <v>-281.687005930504</v>
      </c>
      <c r="CJ38" s="160" t="n">
        <v>-281.687005930504</v>
      </c>
      <c r="CK38" s="160" t="n">
        <v>-281.687005930504</v>
      </c>
      <c r="CL38" s="160" t="n">
        <v>-287.320746049114</v>
      </c>
      <c r="CM38" s="160" t="n">
        <v>-287.320746049114</v>
      </c>
      <c r="CN38" s="160" t="n">
        <v>-287.320746049114</v>
      </c>
      <c r="CO38" s="160" t="n">
        <v>-287.320746049114</v>
      </c>
      <c r="CP38" s="160" t="n">
        <v>-287.320746049114</v>
      </c>
      <c r="CQ38" s="160" t="n">
        <v>-287.320746049114</v>
      </c>
      <c r="CR38" s="160" t="n">
        <v>-287.320746049114</v>
      </c>
      <c r="CS38" s="160" t="n">
        <v>-287.320746049114</v>
      </c>
      <c r="CT38" s="160" t="n">
        <v>-287.320746049114</v>
      </c>
      <c r="CU38" s="160" t="n">
        <v>-287.320746049114</v>
      </c>
      <c r="CV38" s="160" t="n">
        <v>-287.320746049114</v>
      </c>
      <c r="CW38" s="160" t="n">
        <v>-287.320746049114</v>
      </c>
      <c r="CX38" s="160" t="n">
        <v>-293.067160970097</v>
      </c>
      <c r="CY38" s="160" t="n">
        <v>-293.067160970097</v>
      </c>
      <c r="CZ38" s="160" t="n">
        <v>-293.067160970097</v>
      </c>
      <c r="DA38" s="160" t="n">
        <v>-293.067160970097</v>
      </c>
      <c r="DB38" s="160" t="n">
        <v>-293.067160970097</v>
      </c>
      <c r="DC38" s="160" t="n">
        <v>-293.067160970097</v>
      </c>
      <c r="DD38" s="160" t="n">
        <v>-293.067160970097</v>
      </c>
      <c r="DE38" s="160" t="n">
        <v>-293.067160970097</v>
      </c>
      <c r="DF38" s="160" t="n">
        <v>-293.067160970097</v>
      </c>
    </row>
    <row r="39" customFormat="false" ht="15" hidden="false" customHeight="true" outlineLevel="0" collapsed="false">
      <c r="A39" s="90" t="s">
        <v>82</v>
      </c>
      <c r="C39" s="104" t="n">
        <v>-1474.63</v>
      </c>
      <c r="D39" s="104" t="n">
        <v>-1449.33</v>
      </c>
      <c r="E39" s="104" t="n">
        <v>-2328.76</v>
      </c>
      <c r="F39" s="160" t="n">
        <v>-1750.91</v>
      </c>
      <c r="G39" s="160" t="n">
        <v>-1750.91</v>
      </c>
      <c r="H39" s="160" t="n">
        <v>-1750.91</v>
      </c>
      <c r="I39" s="160" t="n">
        <v>-1750.91</v>
      </c>
      <c r="J39" s="160" t="n">
        <v>-1750.91</v>
      </c>
      <c r="K39" s="160" t="n">
        <v>-1750.91</v>
      </c>
      <c r="L39" s="160" t="n">
        <v>-1750.91</v>
      </c>
      <c r="M39" s="160" t="n">
        <v>-1750.91</v>
      </c>
      <c r="N39" s="160" t="n">
        <v>-1750.91</v>
      </c>
      <c r="O39" s="160" t="n">
        <v>-1750.91</v>
      </c>
      <c r="P39" s="160" t="n">
        <v>-1750.91</v>
      </c>
      <c r="Q39" s="160" t="n">
        <v>-1750.91</v>
      </c>
      <c r="R39" s="160" t="n">
        <v>-1785.9282</v>
      </c>
      <c r="S39" s="160" t="n">
        <v>-1785.9282</v>
      </c>
      <c r="T39" s="160" t="n">
        <v>-1785.9282</v>
      </c>
      <c r="U39" s="160" t="n">
        <v>-1785.9282</v>
      </c>
      <c r="V39" s="160" t="n">
        <v>-1785.9282</v>
      </c>
      <c r="W39" s="160" t="n">
        <v>-1785.9282</v>
      </c>
      <c r="X39" s="160" t="n">
        <v>-1785.9282</v>
      </c>
      <c r="Y39" s="160" t="n">
        <v>-1785.9282</v>
      </c>
      <c r="Z39" s="160" t="n">
        <v>-1785.9282</v>
      </c>
      <c r="AA39" s="160" t="n">
        <v>-1785.9282</v>
      </c>
      <c r="AB39" s="160" t="n">
        <v>-1785.9282</v>
      </c>
      <c r="AC39" s="160" t="n">
        <v>-1785.9282</v>
      </c>
      <c r="AD39" s="160" t="n">
        <v>-1821.646764</v>
      </c>
      <c r="AE39" s="160" t="n">
        <v>-1821.646764</v>
      </c>
      <c r="AF39" s="160" t="n">
        <v>-1821.646764</v>
      </c>
      <c r="AG39" s="160" t="n">
        <v>-1821.646764</v>
      </c>
      <c r="AH39" s="160" t="n">
        <v>-1821.646764</v>
      </c>
      <c r="AI39" s="160" t="n">
        <v>-1821.646764</v>
      </c>
      <c r="AJ39" s="160" t="n">
        <v>-1821.646764</v>
      </c>
      <c r="AK39" s="160" t="n">
        <v>-1821.646764</v>
      </c>
      <c r="AL39" s="160" t="n">
        <v>-1821.646764</v>
      </c>
      <c r="AM39" s="160" t="n">
        <v>-1821.646764</v>
      </c>
      <c r="AN39" s="160" t="n">
        <v>-1821.646764</v>
      </c>
      <c r="AO39" s="160" t="n">
        <v>-1821.646764</v>
      </c>
      <c r="AP39" s="160" t="n">
        <v>-1858.07969928</v>
      </c>
      <c r="AQ39" s="160" t="n">
        <v>-1858.07969928</v>
      </c>
      <c r="AR39" s="160" t="n">
        <v>-1858.07969928</v>
      </c>
      <c r="AS39" s="160" t="n">
        <v>-1858.07969928</v>
      </c>
      <c r="AT39" s="160" t="n">
        <v>-1858.07969928</v>
      </c>
      <c r="AU39" s="160" t="n">
        <v>-1858.07969928</v>
      </c>
      <c r="AV39" s="160" t="n">
        <v>-1858.07969928</v>
      </c>
      <c r="AW39" s="160" t="n">
        <v>-1858.07969928</v>
      </c>
      <c r="AX39" s="160" t="n">
        <v>-1858.07969928</v>
      </c>
      <c r="AY39" s="160" t="n">
        <v>-1858.07969928</v>
      </c>
      <c r="AZ39" s="160" t="n">
        <v>-1858.07969928</v>
      </c>
      <c r="BA39" s="160" t="n">
        <v>-1858.07969928</v>
      </c>
      <c r="BB39" s="160" t="n">
        <v>-1895.2412932656</v>
      </c>
      <c r="BC39" s="160" t="n">
        <v>-1895.2412932656</v>
      </c>
      <c r="BD39" s="160" t="n">
        <v>-1895.2412932656</v>
      </c>
      <c r="BE39" s="160" t="n">
        <v>-1895.2412932656</v>
      </c>
      <c r="BF39" s="160" t="n">
        <v>-1895.2412932656</v>
      </c>
      <c r="BG39" s="160" t="n">
        <v>-1895.2412932656</v>
      </c>
      <c r="BH39" s="160" t="n">
        <v>-1895.2412932656</v>
      </c>
      <c r="BI39" s="160" t="n">
        <v>-1895.2412932656</v>
      </c>
      <c r="BJ39" s="160" t="n">
        <v>-1895.2412932656</v>
      </c>
      <c r="BK39" s="160" t="n">
        <v>-1895.2412932656</v>
      </c>
      <c r="BL39" s="160" t="n">
        <v>-1895.2412932656</v>
      </c>
      <c r="BM39" s="160" t="n">
        <v>-1895.2412932656</v>
      </c>
      <c r="BN39" s="160" t="n">
        <v>-1933.14611913091</v>
      </c>
      <c r="BO39" s="160" t="n">
        <v>-1933.14611913091</v>
      </c>
      <c r="BP39" s="160" t="n">
        <v>-1933.14611913091</v>
      </c>
      <c r="BQ39" s="160" t="n">
        <v>-1933.14611913091</v>
      </c>
      <c r="BR39" s="160" t="n">
        <v>-1933.14611913091</v>
      </c>
      <c r="BS39" s="160" t="n">
        <v>-1933.14611913091</v>
      </c>
      <c r="BT39" s="160" t="n">
        <v>-1933.14611913091</v>
      </c>
      <c r="BU39" s="160" t="n">
        <v>-1933.14611913091</v>
      </c>
      <c r="BV39" s="160" t="n">
        <v>-1933.14611913091</v>
      </c>
      <c r="BW39" s="160" t="n">
        <v>-1933.14611913091</v>
      </c>
      <c r="BX39" s="160" t="n">
        <v>-1933.14611913091</v>
      </c>
      <c r="BY39" s="160" t="n">
        <v>-1933.14611913091</v>
      </c>
      <c r="BZ39" s="160" t="n">
        <v>-1971.80904151353</v>
      </c>
      <c r="CA39" s="160" t="n">
        <v>-1971.80904151353</v>
      </c>
      <c r="CB39" s="160" t="n">
        <v>-1971.80904151353</v>
      </c>
      <c r="CC39" s="160" t="n">
        <v>-1971.80904151353</v>
      </c>
      <c r="CD39" s="160" t="n">
        <v>-1971.80904151353</v>
      </c>
      <c r="CE39" s="160" t="n">
        <v>-1971.80904151353</v>
      </c>
      <c r="CF39" s="160" t="n">
        <v>-1971.80904151353</v>
      </c>
      <c r="CG39" s="160" t="n">
        <v>-1971.80904151353</v>
      </c>
      <c r="CH39" s="160" t="n">
        <v>-1971.80904151353</v>
      </c>
      <c r="CI39" s="160" t="n">
        <v>-1971.80904151353</v>
      </c>
      <c r="CJ39" s="160" t="n">
        <v>-1971.80904151353</v>
      </c>
      <c r="CK39" s="160" t="n">
        <v>-1971.80904151353</v>
      </c>
      <c r="CL39" s="160" t="n">
        <v>-2011.2452223438</v>
      </c>
      <c r="CM39" s="160" t="n">
        <v>-2011.2452223438</v>
      </c>
      <c r="CN39" s="160" t="n">
        <v>-2011.2452223438</v>
      </c>
      <c r="CO39" s="160" t="n">
        <v>-2011.2452223438</v>
      </c>
      <c r="CP39" s="160" t="n">
        <v>-2011.2452223438</v>
      </c>
      <c r="CQ39" s="160" t="n">
        <v>-2011.2452223438</v>
      </c>
      <c r="CR39" s="160" t="n">
        <v>-2011.2452223438</v>
      </c>
      <c r="CS39" s="160" t="n">
        <v>-2011.2452223438</v>
      </c>
      <c r="CT39" s="160" t="n">
        <v>-2011.2452223438</v>
      </c>
      <c r="CU39" s="160" t="n">
        <v>-2011.2452223438</v>
      </c>
      <c r="CV39" s="160" t="n">
        <v>-2011.2452223438</v>
      </c>
      <c r="CW39" s="160" t="n">
        <v>-2011.2452223438</v>
      </c>
      <c r="CX39" s="160" t="n">
        <v>-2051.47012679068</v>
      </c>
      <c r="CY39" s="160" t="n">
        <v>-2051.47012679068</v>
      </c>
      <c r="CZ39" s="160" t="n">
        <v>-2051.47012679068</v>
      </c>
      <c r="DA39" s="160" t="n">
        <v>-2051.47012679068</v>
      </c>
      <c r="DB39" s="160" t="n">
        <v>-2051.47012679068</v>
      </c>
      <c r="DC39" s="160" t="n">
        <v>-2051.47012679068</v>
      </c>
      <c r="DD39" s="160" t="n">
        <v>-2051.47012679068</v>
      </c>
      <c r="DE39" s="160" t="n">
        <v>-2051.47012679068</v>
      </c>
      <c r="DF39" s="160" t="n">
        <v>-2051.47012679068</v>
      </c>
    </row>
    <row r="40" customFormat="false" ht="15" hidden="false" customHeight="true" outlineLevel="0" collapsed="false">
      <c r="A40" s="90" t="s">
        <v>83</v>
      </c>
      <c r="C40" s="104" t="n">
        <v>-1417.61</v>
      </c>
      <c r="D40" s="104" t="n">
        <v>-2730.36</v>
      </c>
      <c r="E40" s="104" t="n">
        <v>-1818.05</v>
      </c>
      <c r="F40" s="160" t="n">
        <v>-1988.67</v>
      </c>
      <c r="G40" s="160" t="n">
        <v>-1988.67</v>
      </c>
      <c r="H40" s="160" t="n">
        <v>-1988.67</v>
      </c>
      <c r="I40" s="160" t="n">
        <v>-1988.67</v>
      </c>
      <c r="J40" s="160" t="n">
        <v>-1988.67</v>
      </c>
      <c r="K40" s="160" t="n">
        <v>-1988.67</v>
      </c>
      <c r="L40" s="160" t="n">
        <v>-1988.67</v>
      </c>
      <c r="M40" s="160" t="n">
        <v>-1988.67</v>
      </c>
      <c r="N40" s="160" t="n">
        <v>-1988.67</v>
      </c>
      <c r="O40" s="160" t="n">
        <v>-1988.67</v>
      </c>
      <c r="P40" s="160" t="n">
        <v>-1988.67</v>
      </c>
      <c r="Q40" s="160" t="n">
        <v>-1988.67</v>
      </c>
      <c r="R40" s="160" t="n">
        <v>-2028.4434</v>
      </c>
      <c r="S40" s="160" t="n">
        <v>-2028.4434</v>
      </c>
      <c r="T40" s="160" t="n">
        <v>-2028.4434</v>
      </c>
      <c r="U40" s="160" t="n">
        <v>-2028.4434</v>
      </c>
      <c r="V40" s="160" t="n">
        <v>-2028.4434</v>
      </c>
      <c r="W40" s="160" t="n">
        <v>-2028.4434</v>
      </c>
      <c r="X40" s="160" t="n">
        <v>-2028.4434</v>
      </c>
      <c r="Y40" s="160" t="n">
        <v>-2028.4434</v>
      </c>
      <c r="Z40" s="160" t="n">
        <v>-2028.4434</v>
      </c>
      <c r="AA40" s="160" t="n">
        <v>-2028.4434</v>
      </c>
      <c r="AB40" s="160" t="n">
        <v>-2028.4434</v>
      </c>
      <c r="AC40" s="160" t="n">
        <v>-2028.4434</v>
      </c>
      <c r="AD40" s="160" t="n">
        <v>-2069.012268</v>
      </c>
      <c r="AE40" s="160" t="n">
        <v>-2069.012268</v>
      </c>
      <c r="AF40" s="160" t="n">
        <v>-2069.012268</v>
      </c>
      <c r="AG40" s="160" t="n">
        <v>-2069.012268</v>
      </c>
      <c r="AH40" s="160" t="n">
        <v>-2069.012268</v>
      </c>
      <c r="AI40" s="160" t="n">
        <v>-2069.012268</v>
      </c>
      <c r="AJ40" s="160" t="n">
        <v>-2069.012268</v>
      </c>
      <c r="AK40" s="160" t="n">
        <v>-2069.012268</v>
      </c>
      <c r="AL40" s="160" t="n">
        <v>-2069.012268</v>
      </c>
      <c r="AM40" s="160" t="n">
        <v>-2069.012268</v>
      </c>
      <c r="AN40" s="160" t="n">
        <v>-2069.012268</v>
      </c>
      <c r="AO40" s="160" t="n">
        <v>-2069.012268</v>
      </c>
      <c r="AP40" s="160" t="n">
        <v>-2110.39251336</v>
      </c>
      <c r="AQ40" s="160" t="n">
        <v>-2110.39251336</v>
      </c>
      <c r="AR40" s="160" t="n">
        <v>-2110.39251336</v>
      </c>
      <c r="AS40" s="160" t="n">
        <v>-2110.39251336</v>
      </c>
      <c r="AT40" s="160" t="n">
        <v>-2110.39251336</v>
      </c>
      <c r="AU40" s="160" t="n">
        <v>-2110.39251336</v>
      </c>
      <c r="AV40" s="160" t="n">
        <v>-2110.39251336</v>
      </c>
      <c r="AW40" s="160" t="n">
        <v>-2110.39251336</v>
      </c>
      <c r="AX40" s="160" t="n">
        <v>-2110.39251336</v>
      </c>
      <c r="AY40" s="160" t="n">
        <v>-2110.39251336</v>
      </c>
      <c r="AZ40" s="160" t="n">
        <v>-2110.39251336</v>
      </c>
      <c r="BA40" s="160" t="n">
        <v>-2110.39251336</v>
      </c>
      <c r="BB40" s="160" t="n">
        <v>-2152.6003636272</v>
      </c>
      <c r="BC40" s="160" t="n">
        <v>-2152.6003636272</v>
      </c>
      <c r="BD40" s="160" t="n">
        <v>-2152.6003636272</v>
      </c>
      <c r="BE40" s="160" t="n">
        <v>-2152.6003636272</v>
      </c>
      <c r="BF40" s="160" t="n">
        <v>-2152.6003636272</v>
      </c>
      <c r="BG40" s="160" t="n">
        <v>-2152.6003636272</v>
      </c>
      <c r="BH40" s="160" t="n">
        <v>-2152.6003636272</v>
      </c>
      <c r="BI40" s="160" t="n">
        <v>-2152.6003636272</v>
      </c>
      <c r="BJ40" s="160" t="n">
        <v>-2152.6003636272</v>
      </c>
      <c r="BK40" s="160" t="n">
        <v>-2152.6003636272</v>
      </c>
      <c r="BL40" s="160" t="n">
        <v>-2152.6003636272</v>
      </c>
      <c r="BM40" s="160" t="n">
        <v>-2152.6003636272</v>
      </c>
      <c r="BN40" s="160" t="n">
        <v>-2195.65237089974</v>
      </c>
      <c r="BO40" s="160" t="n">
        <v>-2195.65237089974</v>
      </c>
      <c r="BP40" s="160" t="n">
        <v>-2195.65237089974</v>
      </c>
      <c r="BQ40" s="160" t="n">
        <v>-2195.65237089974</v>
      </c>
      <c r="BR40" s="160" t="n">
        <v>-2195.65237089974</v>
      </c>
      <c r="BS40" s="160" t="n">
        <v>-2195.65237089974</v>
      </c>
      <c r="BT40" s="160" t="n">
        <v>-2195.65237089974</v>
      </c>
      <c r="BU40" s="160" t="n">
        <v>-2195.65237089974</v>
      </c>
      <c r="BV40" s="160" t="n">
        <v>-2195.65237089974</v>
      </c>
      <c r="BW40" s="160" t="n">
        <v>-2195.65237089974</v>
      </c>
      <c r="BX40" s="160" t="n">
        <v>-2195.65237089974</v>
      </c>
      <c r="BY40" s="160" t="n">
        <v>-2195.65237089974</v>
      </c>
      <c r="BZ40" s="160" t="n">
        <v>-2239.56541831774</v>
      </c>
      <c r="CA40" s="160" t="n">
        <v>-2239.56541831774</v>
      </c>
      <c r="CB40" s="160" t="n">
        <v>-2239.56541831774</v>
      </c>
      <c r="CC40" s="160" t="n">
        <v>-2239.56541831774</v>
      </c>
      <c r="CD40" s="160" t="n">
        <v>-2239.56541831774</v>
      </c>
      <c r="CE40" s="160" t="n">
        <v>-2239.56541831774</v>
      </c>
      <c r="CF40" s="160" t="n">
        <v>-2239.56541831774</v>
      </c>
      <c r="CG40" s="160" t="n">
        <v>-2239.56541831774</v>
      </c>
      <c r="CH40" s="160" t="n">
        <v>-2239.56541831774</v>
      </c>
      <c r="CI40" s="160" t="n">
        <v>-2239.56541831774</v>
      </c>
      <c r="CJ40" s="160" t="n">
        <v>-2239.56541831774</v>
      </c>
      <c r="CK40" s="160" t="n">
        <v>-2239.56541831774</v>
      </c>
      <c r="CL40" s="160" t="n">
        <v>-2284.35672668409</v>
      </c>
      <c r="CM40" s="160" t="n">
        <v>-2284.35672668409</v>
      </c>
      <c r="CN40" s="160" t="n">
        <v>-2284.35672668409</v>
      </c>
      <c r="CO40" s="160" t="n">
        <v>-2284.35672668409</v>
      </c>
      <c r="CP40" s="160" t="n">
        <v>-2284.35672668409</v>
      </c>
      <c r="CQ40" s="160" t="n">
        <v>-2284.35672668409</v>
      </c>
      <c r="CR40" s="160" t="n">
        <v>-2284.35672668409</v>
      </c>
      <c r="CS40" s="160" t="n">
        <v>-2284.35672668409</v>
      </c>
      <c r="CT40" s="160" t="n">
        <v>-2284.35672668409</v>
      </c>
      <c r="CU40" s="160" t="n">
        <v>-2284.35672668409</v>
      </c>
      <c r="CV40" s="160" t="n">
        <v>-2284.35672668409</v>
      </c>
      <c r="CW40" s="160" t="n">
        <v>-2284.35672668409</v>
      </c>
      <c r="CX40" s="160" t="n">
        <v>-2330.04386121778</v>
      </c>
      <c r="CY40" s="160" t="n">
        <v>-2330.04386121778</v>
      </c>
      <c r="CZ40" s="160" t="n">
        <v>-2330.04386121778</v>
      </c>
      <c r="DA40" s="160" t="n">
        <v>-2330.04386121778</v>
      </c>
      <c r="DB40" s="160" t="n">
        <v>-2330.04386121778</v>
      </c>
      <c r="DC40" s="160" t="n">
        <v>-2330.04386121778</v>
      </c>
      <c r="DD40" s="160" t="n">
        <v>-2330.04386121778</v>
      </c>
      <c r="DE40" s="160" t="n">
        <v>-2330.04386121778</v>
      </c>
      <c r="DF40" s="160" t="n">
        <v>-2330.04386121778</v>
      </c>
    </row>
    <row r="41" customFormat="false" ht="15" hidden="false" customHeight="true" outlineLevel="0" collapsed="false">
      <c r="A41" s="90" t="s">
        <v>84</v>
      </c>
      <c r="C41" s="104" t="n">
        <v>0</v>
      </c>
      <c r="D41" s="104" t="n">
        <v>0</v>
      </c>
      <c r="E41" s="104" t="n">
        <v>-41990</v>
      </c>
      <c r="F41" s="160" t="n">
        <v>0</v>
      </c>
      <c r="G41" s="160" t="n">
        <v>-44250</v>
      </c>
      <c r="H41" s="160" t="n">
        <v>-45000</v>
      </c>
      <c r="I41" s="160" t="n">
        <v>-19500</v>
      </c>
      <c r="J41" s="160" t="n">
        <v>0</v>
      </c>
      <c r="K41" s="160" t="n">
        <v>0</v>
      </c>
      <c r="L41" s="160" t="n">
        <v>-37500</v>
      </c>
      <c r="M41" s="160" t="n">
        <v>-54000</v>
      </c>
      <c r="N41" s="160" t="n">
        <v>0</v>
      </c>
      <c r="O41" s="160" t="n">
        <v>0</v>
      </c>
      <c r="P41" s="160" t="n">
        <v>0</v>
      </c>
      <c r="Q41" s="160" t="n">
        <v>0</v>
      </c>
      <c r="R41" s="160" t="n">
        <v>-24000</v>
      </c>
      <c r="S41" s="160" t="n">
        <v>0</v>
      </c>
      <c r="T41" s="160" t="n">
        <v>0</v>
      </c>
      <c r="U41" s="160" t="n">
        <v>0</v>
      </c>
      <c r="V41" s="160" t="n">
        <v>0</v>
      </c>
      <c r="W41" s="160" t="n">
        <v>0</v>
      </c>
      <c r="X41" s="160" t="n">
        <v>0</v>
      </c>
      <c r="Y41" s="160" t="n">
        <v>0</v>
      </c>
      <c r="Z41" s="160" t="n">
        <v>0</v>
      </c>
      <c r="AA41" s="160" t="n">
        <v>0</v>
      </c>
      <c r="AB41" s="160" t="n">
        <v>0</v>
      </c>
      <c r="AC41" s="160" t="n">
        <v>0</v>
      </c>
      <c r="AD41" s="160" t="n">
        <v>0</v>
      </c>
      <c r="AE41" s="160" t="n">
        <v>0</v>
      </c>
      <c r="AF41" s="160" t="n">
        <v>0</v>
      </c>
      <c r="AG41" s="160" t="n">
        <v>0</v>
      </c>
      <c r="AH41" s="160" t="n">
        <v>0</v>
      </c>
      <c r="AI41" s="160" t="n">
        <v>0</v>
      </c>
      <c r="AJ41" s="160" t="n">
        <v>0</v>
      </c>
      <c r="AK41" s="160" t="n">
        <v>0</v>
      </c>
      <c r="AL41" s="160" t="n">
        <v>0</v>
      </c>
      <c r="AM41" s="160" t="n">
        <v>0</v>
      </c>
      <c r="AN41" s="160" t="n">
        <v>0</v>
      </c>
      <c r="AO41" s="160" t="n">
        <v>0</v>
      </c>
      <c r="AP41" s="160" t="n">
        <v>0</v>
      </c>
      <c r="AQ41" s="160" t="n">
        <v>0</v>
      </c>
      <c r="AR41" s="160" t="n">
        <v>0</v>
      </c>
      <c r="AS41" s="160" t="n">
        <v>0</v>
      </c>
      <c r="AT41" s="160" t="n">
        <v>0</v>
      </c>
      <c r="AU41" s="160" t="n">
        <v>0</v>
      </c>
      <c r="AV41" s="160" t="n">
        <v>0</v>
      </c>
      <c r="AW41" s="160" t="n">
        <v>0</v>
      </c>
      <c r="AX41" s="160" t="n">
        <v>0</v>
      </c>
      <c r="AY41" s="160" t="n">
        <v>0</v>
      </c>
      <c r="AZ41" s="160" t="n">
        <v>0</v>
      </c>
      <c r="BA41" s="160" t="n">
        <v>0</v>
      </c>
      <c r="BB41" s="160" t="n">
        <v>0</v>
      </c>
      <c r="BC41" s="160" t="n">
        <v>0</v>
      </c>
      <c r="BD41" s="160" t="n">
        <v>0</v>
      </c>
      <c r="BE41" s="160" t="n">
        <v>0</v>
      </c>
      <c r="BF41" s="160" t="n">
        <v>0</v>
      </c>
      <c r="BG41" s="160" t="n">
        <v>0</v>
      </c>
      <c r="BH41" s="160" t="n">
        <v>0</v>
      </c>
      <c r="BI41" s="160" t="n">
        <v>0</v>
      </c>
      <c r="BJ41" s="160" t="n">
        <v>0</v>
      </c>
      <c r="BK41" s="160" t="n">
        <v>0</v>
      </c>
      <c r="BL41" s="160" t="n">
        <v>0</v>
      </c>
      <c r="BM41" s="160" t="n">
        <v>0</v>
      </c>
      <c r="BN41" s="160" t="n">
        <v>0</v>
      </c>
      <c r="BO41" s="160" t="n">
        <v>0</v>
      </c>
      <c r="BP41" s="160" t="n">
        <v>0</v>
      </c>
      <c r="BQ41" s="160" t="n">
        <v>0</v>
      </c>
      <c r="BR41" s="160" t="n">
        <v>0</v>
      </c>
      <c r="BS41" s="160" t="n">
        <v>0</v>
      </c>
      <c r="BT41" s="160" t="n">
        <v>0</v>
      </c>
      <c r="BU41" s="160" t="n">
        <v>0</v>
      </c>
      <c r="BV41" s="160" t="n">
        <v>0</v>
      </c>
      <c r="BW41" s="160" t="n">
        <v>0</v>
      </c>
      <c r="BX41" s="160" t="n">
        <v>0</v>
      </c>
      <c r="BY41" s="160" t="n">
        <v>0</v>
      </c>
      <c r="BZ41" s="160" t="n">
        <v>0</v>
      </c>
      <c r="CA41" s="160" t="n">
        <v>0</v>
      </c>
      <c r="CB41" s="160" t="n">
        <v>0</v>
      </c>
      <c r="CC41" s="160" t="n">
        <v>0</v>
      </c>
      <c r="CD41" s="160" t="n">
        <v>0</v>
      </c>
      <c r="CE41" s="160" t="n">
        <v>0</v>
      </c>
      <c r="CF41" s="160" t="n">
        <v>0</v>
      </c>
      <c r="CG41" s="160" t="n">
        <v>0</v>
      </c>
      <c r="CH41" s="160" t="n">
        <v>0</v>
      </c>
      <c r="CI41" s="160" t="n">
        <v>0</v>
      </c>
      <c r="CJ41" s="160" t="n">
        <v>0</v>
      </c>
      <c r="CK41" s="160" t="n">
        <v>0</v>
      </c>
      <c r="CL41" s="160" t="n">
        <v>0</v>
      </c>
      <c r="CM41" s="160" t="n">
        <v>0</v>
      </c>
      <c r="CN41" s="160" t="n">
        <v>0</v>
      </c>
      <c r="CO41" s="160" t="n">
        <v>0</v>
      </c>
      <c r="CP41" s="160" t="n">
        <v>0</v>
      </c>
      <c r="CQ41" s="160" t="n">
        <v>0</v>
      </c>
      <c r="CR41" s="160" t="n">
        <v>0</v>
      </c>
      <c r="CS41" s="160" t="n">
        <v>0</v>
      </c>
      <c r="CT41" s="160" t="n">
        <v>0</v>
      </c>
      <c r="CU41" s="160" t="n">
        <v>0</v>
      </c>
      <c r="CV41" s="160" t="n">
        <v>0</v>
      </c>
      <c r="CW41" s="160" t="n">
        <v>0</v>
      </c>
      <c r="CX41" s="160" t="n">
        <v>0</v>
      </c>
      <c r="CY41" s="160" t="n">
        <v>0</v>
      </c>
      <c r="CZ41" s="160" t="n">
        <v>0</v>
      </c>
      <c r="DA41" s="160" t="n">
        <v>0</v>
      </c>
      <c r="DB41" s="160" t="n">
        <v>0</v>
      </c>
      <c r="DC41" s="160" t="n">
        <v>0</v>
      </c>
      <c r="DD41" s="160" t="n">
        <v>0</v>
      </c>
      <c r="DE41" s="160" t="n">
        <v>0</v>
      </c>
      <c r="DF41" s="160" t="n">
        <v>0</v>
      </c>
    </row>
    <row r="42" customFormat="false" ht="15" hidden="false" customHeight="true" outlineLevel="0" collapsed="false">
      <c r="A42" s="90" t="s">
        <v>85</v>
      </c>
      <c r="C42" s="104" t="n">
        <v>-165</v>
      </c>
      <c r="D42" s="104" t="n">
        <v>0</v>
      </c>
      <c r="E42" s="104" t="n">
        <v>0</v>
      </c>
      <c r="F42" s="160" t="n">
        <v>-55</v>
      </c>
      <c r="G42" s="160" t="n">
        <v>-55</v>
      </c>
      <c r="H42" s="160" t="n">
        <v>-55</v>
      </c>
      <c r="I42" s="160" t="n">
        <v>-55</v>
      </c>
      <c r="J42" s="160" t="n">
        <v>-55</v>
      </c>
      <c r="K42" s="160" t="n">
        <v>-55</v>
      </c>
      <c r="L42" s="160" t="n">
        <v>-55</v>
      </c>
      <c r="M42" s="160" t="n">
        <v>-55</v>
      </c>
      <c r="N42" s="160" t="n">
        <v>-55</v>
      </c>
      <c r="O42" s="160" t="n">
        <v>-55</v>
      </c>
      <c r="P42" s="160" t="n">
        <v>-55</v>
      </c>
      <c r="Q42" s="160" t="n">
        <v>-55</v>
      </c>
      <c r="R42" s="160" t="n">
        <v>-56.1</v>
      </c>
      <c r="S42" s="160" t="n">
        <v>-56.1</v>
      </c>
      <c r="T42" s="160" t="n">
        <v>-56.1</v>
      </c>
      <c r="U42" s="160" t="n">
        <v>-56.1</v>
      </c>
      <c r="V42" s="160" t="n">
        <v>-56.1</v>
      </c>
      <c r="W42" s="160" t="n">
        <v>-56.1</v>
      </c>
      <c r="X42" s="160" t="n">
        <v>-56.1</v>
      </c>
      <c r="Y42" s="160" t="n">
        <v>-56.1</v>
      </c>
      <c r="Z42" s="160" t="n">
        <v>-56.1</v>
      </c>
      <c r="AA42" s="160" t="n">
        <v>-56.1</v>
      </c>
      <c r="AB42" s="160" t="n">
        <v>-56.1</v>
      </c>
      <c r="AC42" s="160" t="n">
        <v>-56.1</v>
      </c>
      <c r="AD42" s="160" t="n">
        <v>-57.222</v>
      </c>
      <c r="AE42" s="160" t="n">
        <v>-57.222</v>
      </c>
      <c r="AF42" s="160" t="n">
        <v>-57.222</v>
      </c>
      <c r="AG42" s="160" t="n">
        <v>-57.222</v>
      </c>
      <c r="AH42" s="160" t="n">
        <v>-57.222</v>
      </c>
      <c r="AI42" s="160" t="n">
        <v>-57.222</v>
      </c>
      <c r="AJ42" s="160" t="n">
        <v>-57.222</v>
      </c>
      <c r="AK42" s="160" t="n">
        <v>-57.222</v>
      </c>
      <c r="AL42" s="160" t="n">
        <v>-57.222</v>
      </c>
      <c r="AM42" s="160" t="n">
        <v>-57.222</v>
      </c>
      <c r="AN42" s="160" t="n">
        <v>-57.222</v>
      </c>
      <c r="AO42" s="160" t="n">
        <v>-57.222</v>
      </c>
      <c r="AP42" s="160" t="n">
        <v>-58.36644</v>
      </c>
      <c r="AQ42" s="160" t="n">
        <v>-58.36644</v>
      </c>
      <c r="AR42" s="160" t="n">
        <v>-58.36644</v>
      </c>
      <c r="AS42" s="160" t="n">
        <v>-58.36644</v>
      </c>
      <c r="AT42" s="160" t="n">
        <v>-58.36644</v>
      </c>
      <c r="AU42" s="160" t="n">
        <v>-58.36644</v>
      </c>
      <c r="AV42" s="160" t="n">
        <v>-58.36644</v>
      </c>
      <c r="AW42" s="160" t="n">
        <v>-58.36644</v>
      </c>
      <c r="AX42" s="160" t="n">
        <v>-58.36644</v>
      </c>
      <c r="AY42" s="160" t="n">
        <v>-58.36644</v>
      </c>
      <c r="AZ42" s="160" t="n">
        <v>-58.36644</v>
      </c>
      <c r="BA42" s="160" t="n">
        <v>-58.36644</v>
      </c>
      <c r="BB42" s="160" t="n">
        <v>-59.5337688</v>
      </c>
      <c r="BC42" s="160" t="n">
        <v>-59.5337688</v>
      </c>
      <c r="BD42" s="160" t="n">
        <v>-59.5337688</v>
      </c>
      <c r="BE42" s="160" t="n">
        <v>-59.5337688</v>
      </c>
      <c r="BF42" s="160" t="n">
        <v>-59.5337688</v>
      </c>
      <c r="BG42" s="160" t="n">
        <v>-59.5337688</v>
      </c>
      <c r="BH42" s="160" t="n">
        <v>-59.5337688</v>
      </c>
      <c r="BI42" s="160" t="n">
        <v>-59.5337688</v>
      </c>
      <c r="BJ42" s="160" t="n">
        <v>-59.5337688</v>
      </c>
      <c r="BK42" s="160" t="n">
        <v>-59.5337688</v>
      </c>
      <c r="BL42" s="160" t="n">
        <v>-59.5337688</v>
      </c>
      <c r="BM42" s="160" t="n">
        <v>-59.5337688</v>
      </c>
      <c r="BN42" s="160" t="n">
        <v>-60.724444176</v>
      </c>
      <c r="BO42" s="160" t="n">
        <v>-60.724444176</v>
      </c>
      <c r="BP42" s="160" t="n">
        <v>-60.724444176</v>
      </c>
      <c r="BQ42" s="160" t="n">
        <v>-60.724444176</v>
      </c>
      <c r="BR42" s="160" t="n">
        <v>-60.724444176</v>
      </c>
      <c r="BS42" s="160" t="n">
        <v>-60.724444176</v>
      </c>
      <c r="BT42" s="160" t="n">
        <v>-60.724444176</v>
      </c>
      <c r="BU42" s="160" t="n">
        <v>-60.724444176</v>
      </c>
      <c r="BV42" s="160" t="n">
        <v>-60.724444176</v>
      </c>
      <c r="BW42" s="160" t="n">
        <v>-60.724444176</v>
      </c>
      <c r="BX42" s="160" t="n">
        <v>-60.724444176</v>
      </c>
      <c r="BY42" s="160" t="n">
        <v>-60.724444176</v>
      </c>
      <c r="BZ42" s="160" t="n">
        <v>-61.93893305952</v>
      </c>
      <c r="CA42" s="160" t="n">
        <v>-61.93893305952</v>
      </c>
      <c r="CB42" s="160" t="n">
        <v>-61.93893305952</v>
      </c>
      <c r="CC42" s="160" t="n">
        <v>-61.93893305952</v>
      </c>
      <c r="CD42" s="160" t="n">
        <v>-61.93893305952</v>
      </c>
      <c r="CE42" s="160" t="n">
        <v>-61.93893305952</v>
      </c>
      <c r="CF42" s="160" t="n">
        <v>-61.93893305952</v>
      </c>
      <c r="CG42" s="160" t="n">
        <v>-61.93893305952</v>
      </c>
      <c r="CH42" s="160" t="n">
        <v>-61.93893305952</v>
      </c>
      <c r="CI42" s="160" t="n">
        <v>-61.93893305952</v>
      </c>
      <c r="CJ42" s="160" t="n">
        <v>-61.93893305952</v>
      </c>
      <c r="CK42" s="160" t="n">
        <v>-61.93893305952</v>
      </c>
      <c r="CL42" s="160" t="n">
        <v>-63.1777117207104</v>
      </c>
      <c r="CM42" s="160" t="n">
        <v>-63.1777117207104</v>
      </c>
      <c r="CN42" s="160" t="n">
        <v>-63.1777117207104</v>
      </c>
      <c r="CO42" s="160" t="n">
        <v>-63.1777117207104</v>
      </c>
      <c r="CP42" s="160" t="n">
        <v>-63.1777117207104</v>
      </c>
      <c r="CQ42" s="160" t="n">
        <v>-63.1777117207104</v>
      </c>
      <c r="CR42" s="160" t="n">
        <v>-63.1777117207104</v>
      </c>
      <c r="CS42" s="160" t="n">
        <v>-63.1777117207104</v>
      </c>
      <c r="CT42" s="160" t="n">
        <v>-63.1777117207104</v>
      </c>
      <c r="CU42" s="160" t="n">
        <v>-63.1777117207104</v>
      </c>
      <c r="CV42" s="160" t="n">
        <v>-63.1777117207104</v>
      </c>
      <c r="CW42" s="160" t="n">
        <v>-63.1777117207104</v>
      </c>
      <c r="CX42" s="160" t="n">
        <v>-64.4412659551246</v>
      </c>
      <c r="CY42" s="160" t="n">
        <v>-64.4412659551246</v>
      </c>
      <c r="CZ42" s="160" t="n">
        <v>-64.4412659551246</v>
      </c>
      <c r="DA42" s="160" t="n">
        <v>-64.4412659551246</v>
      </c>
      <c r="DB42" s="160" t="n">
        <v>-64.4412659551246</v>
      </c>
      <c r="DC42" s="160" t="n">
        <v>-64.4412659551246</v>
      </c>
      <c r="DD42" s="160" t="n">
        <v>-64.4412659551246</v>
      </c>
      <c r="DE42" s="160" t="n">
        <v>-64.4412659551246</v>
      </c>
      <c r="DF42" s="160" t="n">
        <v>-64.4412659551246</v>
      </c>
    </row>
    <row r="43" customFormat="false" ht="15" hidden="false" customHeight="true" outlineLevel="0" collapsed="false">
      <c r="A43" s="90" t="s">
        <v>86</v>
      </c>
      <c r="C43" s="164" t="n">
        <v>0</v>
      </c>
      <c r="D43" s="164" t="n">
        <v>0</v>
      </c>
      <c r="E43" s="164" t="n">
        <v>0</v>
      </c>
      <c r="F43" s="160" t="n">
        <v>0</v>
      </c>
      <c r="G43" s="160" t="n">
        <v>0</v>
      </c>
      <c r="H43" s="160" t="n">
        <v>0</v>
      </c>
      <c r="I43" s="160" t="n">
        <v>0</v>
      </c>
      <c r="J43" s="160" t="n">
        <v>0</v>
      </c>
      <c r="K43" s="160" t="n">
        <v>0</v>
      </c>
      <c r="L43" s="160" t="n">
        <v>0</v>
      </c>
      <c r="M43" s="160" t="n">
        <v>0</v>
      </c>
      <c r="N43" s="160" t="n">
        <v>0</v>
      </c>
      <c r="O43" s="160" t="n">
        <v>0</v>
      </c>
      <c r="P43" s="160" t="n">
        <v>0</v>
      </c>
      <c r="Q43" s="160" t="n">
        <v>0</v>
      </c>
      <c r="R43" s="160" t="n">
        <v>0</v>
      </c>
      <c r="S43" s="160" t="n">
        <v>0</v>
      </c>
      <c r="T43" s="160" t="n">
        <v>0</v>
      </c>
      <c r="U43" s="160" t="n">
        <v>0</v>
      </c>
      <c r="V43" s="160" t="n">
        <v>0</v>
      </c>
      <c r="W43" s="160" t="n">
        <v>0</v>
      </c>
      <c r="X43" s="160" t="n">
        <v>0</v>
      </c>
      <c r="Y43" s="160" t="n">
        <v>0</v>
      </c>
      <c r="Z43" s="160" t="n">
        <v>0</v>
      </c>
      <c r="AA43" s="160" t="n">
        <v>0</v>
      </c>
      <c r="AB43" s="160" t="n">
        <v>0</v>
      </c>
      <c r="AC43" s="160" t="n">
        <v>0</v>
      </c>
      <c r="AD43" s="160" t="n">
        <v>0</v>
      </c>
      <c r="AE43" s="160" t="n">
        <v>0</v>
      </c>
      <c r="AF43" s="160" t="n">
        <v>0</v>
      </c>
      <c r="AG43" s="160" t="n">
        <v>0</v>
      </c>
      <c r="AH43" s="160" t="n">
        <v>0</v>
      </c>
      <c r="AI43" s="160" t="n">
        <v>0</v>
      </c>
      <c r="AJ43" s="160" t="n">
        <v>0</v>
      </c>
      <c r="AK43" s="160" t="n">
        <v>0</v>
      </c>
      <c r="AL43" s="160" t="n">
        <v>0</v>
      </c>
      <c r="AM43" s="160" t="n">
        <v>0</v>
      </c>
      <c r="AN43" s="160" t="n">
        <v>0</v>
      </c>
      <c r="AO43" s="160" t="n">
        <v>0</v>
      </c>
      <c r="AP43" s="160" t="n">
        <v>0</v>
      </c>
      <c r="AQ43" s="160" t="n">
        <v>0</v>
      </c>
      <c r="AR43" s="160" t="n">
        <v>0</v>
      </c>
      <c r="AS43" s="160" t="n">
        <v>0</v>
      </c>
      <c r="AT43" s="160" t="n">
        <v>0</v>
      </c>
      <c r="AU43" s="160" t="n">
        <v>0</v>
      </c>
      <c r="AV43" s="160" t="n">
        <v>0</v>
      </c>
      <c r="AW43" s="160" t="n">
        <v>0</v>
      </c>
      <c r="AX43" s="160" t="n">
        <v>0</v>
      </c>
      <c r="AY43" s="160" t="n">
        <v>0</v>
      </c>
      <c r="AZ43" s="160" t="n">
        <v>0</v>
      </c>
      <c r="BA43" s="160" t="n">
        <v>0</v>
      </c>
      <c r="BB43" s="160" t="n">
        <v>0</v>
      </c>
      <c r="BC43" s="160" t="n">
        <v>0</v>
      </c>
      <c r="BD43" s="160" t="n">
        <v>0</v>
      </c>
      <c r="BE43" s="160" t="n">
        <v>0</v>
      </c>
      <c r="BF43" s="160" t="n">
        <v>0</v>
      </c>
      <c r="BG43" s="160" t="n">
        <v>0</v>
      </c>
      <c r="BH43" s="160" t="n">
        <v>0</v>
      </c>
      <c r="BI43" s="160" t="n">
        <v>0</v>
      </c>
      <c r="BJ43" s="160" t="n">
        <v>0</v>
      </c>
      <c r="BK43" s="160" t="n">
        <v>0</v>
      </c>
      <c r="BL43" s="160" t="n">
        <v>0</v>
      </c>
      <c r="BM43" s="160" t="n">
        <v>0</v>
      </c>
      <c r="BN43" s="160" t="n">
        <v>0</v>
      </c>
      <c r="BO43" s="160" t="n">
        <v>0</v>
      </c>
      <c r="BP43" s="160" t="n">
        <v>0</v>
      </c>
      <c r="BQ43" s="160" t="n">
        <v>0</v>
      </c>
      <c r="BR43" s="160" t="n">
        <v>0</v>
      </c>
      <c r="BS43" s="160" t="n">
        <v>0</v>
      </c>
      <c r="BT43" s="160" t="n">
        <v>0</v>
      </c>
      <c r="BU43" s="160" t="n">
        <v>0</v>
      </c>
      <c r="BV43" s="160" t="n">
        <v>0</v>
      </c>
      <c r="BW43" s="160" t="n">
        <v>0</v>
      </c>
      <c r="BX43" s="160" t="n">
        <v>0</v>
      </c>
      <c r="BY43" s="160" t="n">
        <v>0</v>
      </c>
      <c r="BZ43" s="160" t="n">
        <v>0</v>
      </c>
      <c r="CA43" s="160" t="n">
        <v>0</v>
      </c>
      <c r="CB43" s="160" t="n">
        <v>0</v>
      </c>
      <c r="CC43" s="160" t="n">
        <v>0</v>
      </c>
      <c r="CD43" s="160" t="n">
        <v>0</v>
      </c>
      <c r="CE43" s="160" t="n">
        <v>0</v>
      </c>
      <c r="CF43" s="160" t="n">
        <v>0</v>
      </c>
      <c r="CG43" s="160" t="n">
        <v>0</v>
      </c>
      <c r="CH43" s="160" t="n">
        <v>0</v>
      </c>
      <c r="CI43" s="160" t="n">
        <v>0</v>
      </c>
      <c r="CJ43" s="160" t="n">
        <v>0</v>
      </c>
      <c r="CK43" s="160" t="n">
        <v>0</v>
      </c>
      <c r="CL43" s="160" t="n">
        <v>0</v>
      </c>
      <c r="CM43" s="160" t="n">
        <v>0</v>
      </c>
      <c r="CN43" s="160" t="n">
        <v>0</v>
      </c>
      <c r="CO43" s="160" t="n">
        <v>0</v>
      </c>
      <c r="CP43" s="160" t="n">
        <v>0</v>
      </c>
      <c r="CQ43" s="160" t="n">
        <v>0</v>
      </c>
      <c r="CR43" s="160" t="n">
        <v>0</v>
      </c>
      <c r="CS43" s="160" t="n">
        <v>0</v>
      </c>
      <c r="CT43" s="160" t="n">
        <v>0</v>
      </c>
      <c r="CU43" s="160" t="n">
        <v>0</v>
      </c>
      <c r="CV43" s="160" t="n">
        <v>0</v>
      </c>
      <c r="CW43" s="160" t="n">
        <v>0</v>
      </c>
      <c r="CX43" s="160" t="n">
        <v>0</v>
      </c>
      <c r="CY43" s="160" t="n">
        <v>0</v>
      </c>
      <c r="CZ43" s="160" t="n">
        <v>0</v>
      </c>
      <c r="DA43" s="160" t="n">
        <v>0</v>
      </c>
      <c r="DB43" s="160" t="n">
        <v>0</v>
      </c>
      <c r="DC43" s="160" t="n">
        <v>0</v>
      </c>
      <c r="DD43" s="160" t="n">
        <v>0</v>
      </c>
      <c r="DE43" s="160" t="n">
        <v>0</v>
      </c>
      <c r="DF43" s="160" t="n">
        <v>0</v>
      </c>
    </row>
    <row r="44" customFormat="false" ht="15" hidden="false" customHeight="true" outlineLevel="0" collapsed="false">
      <c r="A44" s="90" t="s">
        <v>87</v>
      </c>
      <c r="C44" s="104" t="n">
        <v>-550</v>
      </c>
      <c r="D44" s="104" t="n">
        <v>-550</v>
      </c>
      <c r="E44" s="104" t="n">
        <v>-550</v>
      </c>
      <c r="F44" s="160" t="n">
        <v>-550</v>
      </c>
      <c r="G44" s="160" t="n">
        <v>-550</v>
      </c>
      <c r="H44" s="160" t="n">
        <v>-550</v>
      </c>
      <c r="I44" s="160" t="n">
        <v>-550</v>
      </c>
      <c r="J44" s="160" t="n">
        <v>-550</v>
      </c>
      <c r="K44" s="160" t="n">
        <v>-550</v>
      </c>
      <c r="L44" s="160" t="n">
        <v>-550</v>
      </c>
      <c r="M44" s="160" t="n">
        <v>-550</v>
      </c>
      <c r="N44" s="160" t="n">
        <v>-550</v>
      </c>
      <c r="O44" s="160" t="n">
        <v>-550</v>
      </c>
      <c r="P44" s="160" t="n">
        <v>-550</v>
      </c>
      <c r="Q44" s="160" t="n">
        <v>-550</v>
      </c>
      <c r="R44" s="160" t="n">
        <v>-561</v>
      </c>
      <c r="S44" s="160" t="n">
        <v>-561</v>
      </c>
      <c r="T44" s="160" t="n">
        <v>-561</v>
      </c>
      <c r="U44" s="160" t="n">
        <v>-561</v>
      </c>
      <c r="V44" s="160" t="n">
        <v>-561</v>
      </c>
      <c r="W44" s="160" t="n">
        <v>-561</v>
      </c>
      <c r="X44" s="160" t="n">
        <v>-561</v>
      </c>
      <c r="Y44" s="160" t="n">
        <v>-561</v>
      </c>
      <c r="Z44" s="160" t="n">
        <v>-561</v>
      </c>
      <c r="AA44" s="160" t="n">
        <v>-561</v>
      </c>
      <c r="AB44" s="160" t="n">
        <v>-561</v>
      </c>
      <c r="AC44" s="160" t="n">
        <v>-561</v>
      </c>
      <c r="AD44" s="160" t="n">
        <v>-572.22</v>
      </c>
      <c r="AE44" s="160" t="n">
        <v>-572.22</v>
      </c>
      <c r="AF44" s="160" t="n">
        <v>-572.22</v>
      </c>
      <c r="AG44" s="160" t="n">
        <v>-572.22</v>
      </c>
      <c r="AH44" s="160" t="n">
        <v>-572.22</v>
      </c>
      <c r="AI44" s="160" t="n">
        <v>-572.22</v>
      </c>
      <c r="AJ44" s="160" t="n">
        <v>-572.22</v>
      </c>
      <c r="AK44" s="160" t="n">
        <v>-572.22</v>
      </c>
      <c r="AL44" s="160" t="n">
        <v>-572.22</v>
      </c>
      <c r="AM44" s="160" t="n">
        <v>-572.22</v>
      </c>
      <c r="AN44" s="160" t="n">
        <v>-572.22</v>
      </c>
      <c r="AO44" s="160" t="n">
        <v>-572.22</v>
      </c>
      <c r="AP44" s="160" t="n">
        <v>-583.6644</v>
      </c>
      <c r="AQ44" s="160" t="n">
        <v>-583.6644</v>
      </c>
      <c r="AR44" s="160" t="n">
        <v>-583.6644</v>
      </c>
      <c r="AS44" s="160" t="n">
        <v>-583.6644</v>
      </c>
      <c r="AT44" s="160" t="n">
        <v>-583.6644</v>
      </c>
      <c r="AU44" s="160" t="n">
        <v>-583.6644</v>
      </c>
      <c r="AV44" s="160" t="n">
        <v>-583.6644</v>
      </c>
      <c r="AW44" s="160" t="n">
        <v>-583.6644</v>
      </c>
      <c r="AX44" s="160" t="n">
        <v>-583.6644</v>
      </c>
      <c r="AY44" s="160" t="n">
        <v>-583.6644</v>
      </c>
      <c r="AZ44" s="160" t="n">
        <v>-583.6644</v>
      </c>
      <c r="BA44" s="160" t="n">
        <v>-583.6644</v>
      </c>
      <c r="BB44" s="160" t="n">
        <v>-595.337688</v>
      </c>
      <c r="BC44" s="160" t="n">
        <v>-595.337688</v>
      </c>
      <c r="BD44" s="160" t="n">
        <v>-595.337688</v>
      </c>
      <c r="BE44" s="160" t="n">
        <v>-595.337688</v>
      </c>
      <c r="BF44" s="160" t="n">
        <v>-595.337688</v>
      </c>
      <c r="BG44" s="160" t="n">
        <v>-595.337688</v>
      </c>
      <c r="BH44" s="160" t="n">
        <v>-595.337688</v>
      </c>
      <c r="BI44" s="160" t="n">
        <v>-595.337688</v>
      </c>
      <c r="BJ44" s="160" t="n">
        <v>-595.337688</v>
      </c>
      <c r="BK44" s="160" t="n">
        <v>-595.337688</v>
      </c>
      <c r="BL44" s="160" t="n">
        <v>-595.337688</v>
      </c>
      <c r="BM44" s="160" t="n">
        <v>-595.337688</v>
      </c>
      <c r="BN44" s="160" t="n">
        <v>-607.24444176</v>
      </c>
      <c r="BO44" s="160" t="n">
        <v>-607.24444176</v>
      </c>
      <c r="BP44" s="160" t="n">
        <v>-607.24444176</v>
      </c>
      <c r="BQ44" s="160" t="n">
        <v>-607.24444176</v>
      </c>
      <c r="BR44" s="160" t="n">
        <v>-607.24444176</v>
      </c>
      <c r="BS44" s="160" t="n">
        <v>-607.24444176</v>
      </c>
      <c r="BT44" s="160" t="n">
        <v>-607.24444176</v>
      </c>
      <c r="BU44" s="160" t="n">
        <v>-607.24444176</v>
      </c>
      <c r="BV44" s="160" t="n">
        <v>-607.24444176</v>
      </c>
      <c r="BW44" s="160" t="n">
        <v>-607.24444176</v>
      </c>
      <c r="BX44" s="160" t="n">
        <v>-607.24444176</v>
      </c>
      <c r="BY44" s="160" t="n">
        <v>-607.24444176</v>
      </c>
      <c r="BZ44" s="160" t="n">
        <v>-619.3893305952</v>
      </c>
      <c r="CA44" s="160" t="n">
        <v>-619.3893305952</v>
      </c>
      <c r="CB44" s="160" t="n">
        <v>-619.3893305952</v>
      </c>
      <c r="CC44" s="160" t="n">
        <v>-619.3893305952</v>
      </c>
      <c r="CD44" s="160" t="n">
        <v>-619.3893305952</v>
      </c>
      <c r="CE44" s="160" t="n">
        <v>-619.3893305952</v>
      </c>
      <c r="CF44" s="160" t="n">
        <v>-619.3893305952</v>
      </c>
      <c r="CG44" s="160" t="n">
        <v>-619.3893305952</v>
      </c>
      <c r="CH44" s="160" t="n">
        <v>-619.3893305952</v>
      </c>
      <c r="CI44" s="160" t="n">
        <v>-619.3893305952</v>
      </c>
      <c r="CJ44" s="160" t="n">
        <v>-619.3893305952</v>
      </c>
      <c r="CK44" s="160" t="n">
        <v>-619.3893305952</v>
      </c>
      <c r="CL44" s="160" t="n">
        <v>-631.777117207104</v>
      </c>
      <c r="CM44" s="160" t="n">
        <v>-631.777117207104</v>
      </c>
      <c r="CN44" s="160" t="n">
        <v>-631.777117207104</v>
      </c>
      <c r="CO44" s="160" t="n">
        <v>-631.777117207104</v>
      </c>
      <c r="CP44" s="160" t="n">
        <v>-631.777117207104</v>
      </c>
      <c r="CQ44" s="160" t="n">
        <v>-631.777117207104</v>
      </c>
      <c r="CR44" s="160" t="n">
        <v>-631.777117207104</v>
      </c>
      <c r="CS44" s="160" t="n">
        <v>-631.777117207104</v>
      </c>
      <c r="CT44" s="160" t="n">
        <v>-631.777117207104</v>
      </c>
      <c r="CU44" s="160" t="n">
        <v>-631.777117207104</v>
      </c>
      <c r="CV44" s="160" t="n">
        <v>-631.777117207104</v>
      </c>
      <c r="CW44" s="160" t="n">
        <v>-631.777117207104</v>
      </c>
      <c r="CX44" s="160" t="n">
        <v>-644.412659551246</v>
      </c>
      <c r="CY44" s="160" t="n">
        <v>-644.412659551246</v>
      </c>
      <c r="CZ44" s="160" t="n">
        <v>-644.412659551246</v>
      </c>
      <c r="DA44" s="160" t="n">
        <v>-644.412659551246</v>
      </c>
      <c r="DB44" s="160" t="n">
        <v>-644.412659551246</v>
      </c>
      <c r="DC44" s="160" t="n">
        <v>-644.412659551246</v>
      </c>
      <c r="DD44" s="160" t="n">
        <v>-644.412659551246</v>
      </c>
      <c r="DE44" s="160" t="n">
        <v>-644.412659551246</v>
      </c>
      <c r="DF44" s="160" t="n">
        <v>-644.412659551246</v>
      </c>
    </row>
    <row r="45" customFormat="false" ht="15" hidden="false" customHeight="true" outlineLevel="0" collapsed="false">
      <c r="A45" s="99" t="s">
        <v>88</v>
      </c>
      <c r="C45" s="161" t="n">
        <v>-19223.75</v>
      </c>
      <c r="D45" s="161" t="n">
        <v>-13381.97</v>
      </c>
      <c r="E45" s="161" t="n">
        <v>-20308.69</v>
      </c>
      <c r="F45" s="161" t="n">
        <v>-17638.14</v>
      </c>
      <c r="G45" s="161" t="n">
        <v>-17638.14</v>
      </c>
      <c r="H45" s="161" t="n">
        <v>-17638.14</v>
      </c>
      <c r="I45" s="161" t="n">
        <v>-17638.14</v>
      </c>
      <c r="J45" s="161" t="n">
        <v>-17638.14</v>
      </c>
      <c r="K45" s="161" t="n">
        <v>-17638.14</v>
      </c>
      <c r="L45" s="161" t="n">
        <v>-17638.14</v>
      </c>
      <c r="M45" s="161" t="n">
        <v>-17638.14</v>
      </c>
      <c r="N45" s="161" t="n">
        <v>-17638.14</v>
      </c>
      <c r="O45" s="161" t="n">
        <v>-17638.14</v>
      </c>
      <c r="P45" s="161" t="n">
        <v>-17638.14</v>
      </c>
      <c r="Q45" s="161" t="n">
        <v>-17638.14</v>
      </c>
      <c r="R45" s="161" t="n">
        <v>-17990.9028</v>
      </c>
      <c r="S45" s="161" t="n">
        <v>-17990.9028</v>
      </c>
      <c r="T45" s="161" t="n">
        <v>-17990.9028</v>
      </c>
      <c r="U45" s="161" t="n">
        <v>-17990.9028</v>
      </c>
      <c r="V45" s="161" t="n">
        <v>-17990.9028</v>
      </c>
      <c r="W45" s="161" t="n">
        <v>-17990.9028</v>
      </c>
      <c r="X45" s="161" t="n">
        <v>-17990.9028</v>
      </c>
      <c r="Y45" s="161" t="n">
        <v>-17990.9028</v>
      </c>
      <c r="Z45" s="161" t="n">
        <v>-17990.9028</v>
      </c>
      <c r="AA45" s="161" t="n">
        <v>-17990.9028</v>
      </c>
      <c r="AB45" s="161" t="n">
        <v>-17990.9028</v>
      </c>
      <c r="AC45" s="161" t="n">
        <v>-17990.9028</v>
      </c>
      <c r="AD45" s="161" t="n">
        <v>-18350.720856</v>
      </c>
      <c r="AE45" s="161" t="n">
        <v>-18350.720856</v>
      </c>
      <c r="AF45" s="161" t="n">
        <v>-18350.720856</v>
      </c>
      <c r="AG45" s="161" t="n">
        <v>-18350.720856</v>
      </c>
      <c r="AH45" s="161" t="n">
        <v>-18350.720856</v>
      </c>
      <c r="AI45" s="161" t="n">
        <v>-18350.720856</v>
      </c>
      <c r="AJ45" s="161" t="n">
        <v>-18350.720856</v>
      </c>
      <c r="AK45" s="161" t="n">
        <v>-18350.720856</v>
      </c>
      <c r="AL45" s="161" t="n">
        <v>-18350.720856</v>
      </c>
      <c r="AM45" s="161" t="n">
        <v>-18350.720856</v>
      </c>
      <c r="AN45" s="161" t="n">
        <v>-18350.720856</v>
      </c>
      <c r="AO45" s="161" t="n">
        <v>-18350.720856</v>
      </c>
      <c r="AP45" s="161" t="n">
        <v>-18717.73527312</v>
      </c>
      <c r="AQ45" s="161" t="n">
        <v>-18717.73527312</v>
      </c>
      <c r="AR45" s="161" t="n">
        <v>-18717.73527312</v>
      </c>
      <c r="AS45" s="161" t="n">
        <v>-18717.73527312</v>
      </c>
      <c r="AT45" s="161" t="n">
        <v>-18717.73527312</v>
      </c>
      <c r="AU45" s="161" t="n">
        <v>-18717.73527312</v>
      </c>
      <c r="AV45" s="161" t="n">
        <v>-18717.73527312</v>
      </c>
      <c r="AW45" s="161" t="n">
        <v>-18717.73527312</v>
      </c>
      <c r="AX45" s="161" t="n">
        <v>-18717.73527312</v>
      </c>
      <c r="AY45" s="161" t="n">
        <v>-18717.73527312</v>
      </c>
      <c r="AZ45" s="161" t="n">
        <v>-18717.73527312</v>
      </c>
      <c r="BA45" s="161" t="n">
        <v>-18717.73527312</v>
      </c>
      <c r="BB45" s="161" t="n">
        <v>-19092.0899785824</v>
      </c>
      <c r="BC45" s="161" t="n">
        <v>-19092.0899785824</v>
      </c>
      <c r="BD45" s="161" t="n">
        <v>-19092.0899785824</v>
      </c>
      <c r="BE45" s="161" t="n">
        <v>-19092.0899785824</v>
      </c>
      <c r="BF45" s="161" t="n">
        <v>-19092.0899785824</v>
      </c>
      <c r="BG45" s="161" t="n">
        <v>-19092.0899785824</v>
      </c>
      <c r="BH45" s="161" t="n">
        <v>-19092.0899785824</v>
      </c>
      <c r="BI45" s="161" t="n">
        <v>-19092.0899785824</v>
      </c>
      <c r="BJ45" s="161" t="n">
        <v>-19092.0899785824</v>
      </c>
      <c r="BK45" s="161" t="n">
        <v>-19092.0899785824</v>
      </c>
      <c r="BL45" s="161" t="n">
        <v>-19092.0899785824</v>
      </c>
      <c r="BM45" s="161" t="n">
        <v>-19092.0899785824</v>
      </c>
      <c r="BN45" s="161" t="n">
        <v>-19473.9317781541</v>
      </c>
      <c r="BO45" s="161" t="n">
        <v>-19473.9317781541</v>
      </c>
      <c r="BP45" s="161" t="n">
        <v>-19473.9317781541</v>
      </c>
      <c r="BQ45" s="161" t="n">
        <v>-19473.9317781541</v>
      </c>
      <c r="BR45" s="161" t="n">
        <v>-19473.9317781541</v>
      </c>
      <c r="BS45" s="161" t="n">
        <v>-19473.9317781541</v>
      </c>
      <c r="BT45" s="161" t="n">
        <v>-19473.9317781541</v>
      </c>
      <c r="BU45" s="161" t="n">
        <v>-19473.9317781541</v>
      </c>
      <c r="BV45" s="161" t="n">
        <v>-19473.9317781541</v>
      </c>
      <c r="BW45" s="161" t="n">
        <v>-19473.9317781541</v>
      </c>
      <c r="BX45" s="161" t="n">
        <v>-19473.9317781541</v>
      </c>
      <c r="BY45" s="161" t="n">
        <v>-19473.9317781541</v>
      </c>
      <c r="BZ45" s="161" t="n">
        <v>-19863.4104137171</v>
      </c>
      <c r="CA45" s="161" t="n">
        <v>-19863.4104137171</v>
      </c>
      <c r="CB45" s="161" t="n">
        <v>-19863.4104137171</v>
      </c>
      <c r="CC45" s="161" t="n">
        <v>-19863.4104137171</v>
      </c>
      <c r="CD45" s="161" t="n">
        <v>-19863.4104137171</v>
      </c>
      <c r="CE45" s="161" t="n">
        <v>-19863.4104137171</v>
      </c>
      <c r="CF45" s="161" t="n">
        <v>-19863.4104137171</v>
      </c>
      <c r="CG45" s="161" t="n">
        <v>-19863.4104137171</v>
      </c>
      <c r="CH45" s="161" t="n">
        <v>-19863.4104137171</v>
      </c>
      <c r="CI45" s="161" t="n">
        <v>-19863.4104137171</v>
      </c>
      <c r="CJ45" s="161" t="n">
        <v>-19863.4104137171</v>
      </c>
      <c r="CK45" s="161" t="n">
        <v>-19863.4104137171</v>
      </c>
      <c r="CL45" s="161" t="n">
        <v>-20260.6786219915</v>
      </c>
      <c r="CM45" s="161" t="n">
        <v>-20260.6786219915</v>
      </c>
      <c r="CN45" s="161" t="n">
        <v>-20260.6786219915</v>
      </c>
      <c r="CO45" s="161" t="n">
        <v>-20260.6786219915</v>
      </c>
      <c r="CP45" s="161" t="n">
        <v>-20260.6786219915</v>
      </c>
      <c r="CQ45" s="161" t="n">
        <v>-20260.6786219915</v>
      </c>
      <c r="CR45" s="161" t="n">
        <v>-20260.6786219915</v>
      </c>
      <c r="CS45" s="161" t="n">
        <v>-20260.6786219915</v>
      </c>
      <c r="CT45" s="161" t="n">
        <v>-20260.6786219915</v>
      </c>
      <c r="CU45" s="161" t="n">
        <v>-20260.6786219915</v>
      </c>
      <c r="CV45" s="161" t="n">
        <v>-20260.6786219915</v>
      </c>
      <c r="CW45" s="161" t="n">
        <v>-20260.6786219915</v>
      </c>
      <c r="CX45" s="161" t="n">
        <v>-20665.8921944313</v>
      </c>
      <c r="CY45" s="161" t="n">
        <v>-20665.8921944313</v>
      </c>
      <c r="CZ45" s="161" t="n">
        <v>-20665.8921944313</v>
      </c>
      <c r="DA45" s="161" t="n">
        <v>-20665.8921944313</v>
      </c>
      <c r="DB45" s="161" t="n">
        <v>-20665.8921944313</v>
      </c>
      <c r="DC45" s="161" t="n">
        <v>-20665.8921944313</v>
      </c>
      <c r="DD45" s="161" t="n">
        <v>-20665.8921944313</v>
      </c>
      <c r="DE45" s="161" t="n">
        <v>-20665.8921944313</v>
      </c>
      <c r="DF45" s="161" t="n">
        <v>-20665.8921944313</v>
      </c>
    </row>
    <row r="46" customFormat="false" ht="15" hidden="false" customHeight="true" outlineLevel="0" collapsed="false">
      <c r="A46" s="99" t="s">
        <v>89</v>
      </c>
      <c r="C46" s="161" t="n">
        <v>-1909.98</v>
      </c>
      <c r="D46" s="161" t="n">
        <v>-190.1</v>
      </c>
      <c r="E46" s="161" t="n">
        <v>-2166.92</v>
      </c>
      <c r="F46" s="161" t="n">
        <v>-1422.33</v>
      </c>
      <c r="G46" s="161" t="n">
        <v>-1422.33</v>
      </c>
      <c r="H46" s="161" t="n">
        <v>-1422.33</v>
      </c>
      <c r="I46" s="161" t="n">
        <v>-1422.33</v>
      </c>
      <c r="J46" s="161" t="n">
        <v>-1422.33</v>
      </c>
      <c r="K46" s="161" t="n">
        <v>-1422.33</v>
      </c>
      <c r="L46" s="161" t="n">
        <v>-1422.33</v>
      </c>
      <c r="M46" s="161" t="n">
        <v>-1422.33</v>
      </c>
      <c r="N46" s="161" t="n">
        <v>-1422.33</v>
      </c>
      <c r="O46" s="161" t="n">
        <v>-1422.33</v>
      </c>
      <c r="P46" s="161" t="n">
        <v>-1422.33</v>
      </c>
      <c r="Q46" s="161" t="n">
        <v>-1422.33</v>
      </c>
      <c r="R46" s="161" t="n">
        <v>-1450.7766</v>
      </c>
      <c r="S46" s="161" t="n">
        <v>-1450.7766</v>
      </c>
      <c r="T46" s="161" t="n">
        <v>-1450.7766</v>
      </c>
      <c r="U46" s="161" t="n">
        <v>-1450.7766</v>
      </c>
      <c r="V46" s="161" t="n">
        <v>-1450.7766</v>
      </c>
      <c r="W46" s="161" t="n">
        <v>-1450.7766</v>
      </c>
      <c r="X46" s="161" t="n">
        <v>-1450.7766</v>
      </c>
      <c r="Y46" s="161" t="n">
        <v>-1450.7766</v>
      </c>
      <c r="Z46" s="161" t="n">
        <v>-1450.7766</v>
      </c>
      <c r="AA46" s="161" t="n">
        <v>-1450.7766</v>
      </c>
      <c r="AB46" s="161" t="n">
        <v>-1450.7766</v>
      </c>
      <c r="AC46" s="161" t="n">
        <v>-1450.7766</v>
      </c>
      <c r="AD46" s="161" t="n">
        <v>-1479.792132</v>
      </c>
      <c r="AE46" s="161" t="n">
        <v>-1479.792132</v>
      </c>
      <c r="AF46" s="161" t="n">
        <v>-1479.792132</v>
      </c>
      <c r="AG46" s="161" t="n">
        <v>-1479.792132</v>
      </c>
      <c r="AH46" s="161" t="n">
        <v>-1479.792132</v>
      </c>
      <c r="AI46" s="161" t="n">
        <v>-1479.792132</v>
      </c>
      <c r="AJ46" s="161" t="n">
        <v>-1479.792132</v>
      </c>
      <c r="AK46" s="161" t="n">
        <v>-1479.792132</v>
      </c>
      <c r="AL46" s="161" t="n">
        <v>-1479.792132</v>
      </c>
      <c r="AM46" s="161" t="n">
        <v>-1479.792132</v>
      </c>
      <c r="AN46" s="161" t="n">
        <v>-1479.792132</v>
      </c>
      <c r="AO46" s="161" t="n">
        <v>-1479.792132</v>
      </c>
      <c r="AP46" s="161" t="n">
        <v>-1509.38797464</v>
      </c>
      <c r="AQ46" s="161" t="n">
        <v>-1509.38797464</v>
      </c>
      <c r="AR46" s="161" t="n">
        <v>-1509.38797464</v>
      </c>
      <c r="AS46" s="161" t="n">
        <v>-1509.38797464</v>
      </c>
      <c r="AT46" s="161" t="n">
        <v>-1509.38797464</v>
      </c>
      <c r="AU46" s="161" t="n">
        <v>-1509.38797464</v>
      </c>
      <c r="AV46" s="161" t="n">
        <v>-1509.38797464</v>
      </c>
      <c r="AW46" s="161" t="n">
        <v>-1509.38797464</v>
      </c>
      <c r="AX46" s="161" t="n">
        <v>-1509.38797464</v>
      </c>
      <c r="AY46" s="161" t="n">
        <v>-1509.38797464</v>
      </c>
      <c r="AZ46" s="161" t="n">
        <v>-1509.38797464</v>
      </c>
      <c r="BA46" s="161" t="n">
        <v>-1509.38797464</v>
      </c>
      <c r="BB46" s="161" t="n">
        <v>-1539.5757341328</v>
      </c>
      <c r="BC46" s="161" t="n">
        <v>-1539.5757341328</v>
      </c>
      <c r="BD46" s="161" t="n">
        <v>-1539.5757341328</v>
      </c>
      <c r="BE46" s="161" t="n">
        <v>-1539.5757341328</v>
      </c>
      <c r="BF46" s="161" t="n">
        <v>-1539.5757341328</v>
      </c>
      <c r="BG46" s="161" t="n">
        <v>-1539.5757341328</v>
      </c>
      <c r="BH46" s="161" t="n">
        <v>-1539.5757341328</v>
      </c>
      <c r="BI46" s="161" t="n">
        <v>-1539.5757341328</v>
      </c>
      <c r="BJ46" s="161" t="n">
        <v>-1539.5757341328</v>
      </c>
      <c r="BK46" s="161" t="n">
        <v>-1539.5757341328</v>
      </c>
      <c r="BL46" s="161" t="n">
        <v>-1539.5757341328</v>
      </c>
      <c r="BM46" s="161" t="n">
        <v>-1539.5757341328</v>
      </c>
      <c r="BN46" s="161" t="n">
        <v>-1570.36724881546</v>
      </c>
      <c r="BO46" s="161" t="n">
        <v>-1570.36724881546</v>
      </c>
      <c r="BP46" s="161" t="n">
        <v>-1570.36724881546</v>
      </c>
      <c r="BQ46" s="161" t="n">
        <v>-1570.36724881546</v>
      </c>
      <c r="BR46" s="161" t="n">
        <v>-1570.36724881546</v>
      </c>
      <c r="BS46" s="161" t="n">
        <v>-1570.36724881546</v>
      </c>
      <c r="BT46" s="161" t="n">
        <v>-1570.36724881546</v>
      </c>
      <c r="BU46" s="161" t="n">
        <v>-1570.36724881546</v>
      </c>
      <c r="BV46" s="161" t="n">
        <v>-1570.36724881546</v>
      </c>
      <c r="BW46" s="161" t="n">
        <v>-1570.36724881546</v>
      </c>
      <c r="BX46" s="161" t="n">
        <v>-1570.36724881546</v>
      </c>
      <c r="BY46" s="161" t="n">
        <v>-1570.36724881546</v>
      </c>
      <c r="BZ46" s="161" t="n">
        <v>-1601.77459379177</v>
      </c>
      <c r="CA46" s="161" t="n">
        <v>-1601.77459379177</v>
      </c>
      <c r="CB46" s="161" t="n">
        <v>-1601.77459379177</v>
      </c>
      <c r="CC46" s="161" t="n">
        <v>-1601.77459379177</v>
      </c>
      <c r="CD46" s="161" t="n">
        <v>-1601.77459379177</v>
      </c>
      <c r="CE46" s="161" t="n">
        <v>-1601.77459379177</v>
      </c>
      <c r="CF46" s="161" t="n">
        <v>-1601.77459379177</v>
      </c>
      <c r="CG46" s="161" t="n">
        <v>-1601.77459379177</v>
      </c>
      <c r="CH46" s="161" t="n">
        <v>-1601.77459379177</v>
      </c>
      <c r="CI46" s="161" t="n">
        <v>-1601.77459379177</v>
      </c>
      <c r="CJ46" s="161" t="n">
        <v>-1601.77459379177</v>
      </c>
      <c r="CK46" s="161" t="n">
        <v>-1601.77459379177</v>
      </c>
      <c r="CL46" s="161" t="n">
        <v>-1633.8100856676</v>
      </c>
      <c r="CM46" s="161" t="n">
        <v>-1633.8100856676</v>
      </c>
      <c r="CN46" s="161" t="n">
        <v>-1633.8100856676</v>
      </c>
      <c r="CO46" s="161" t="n">
        <v>-1633.8100856676</v>
      </c>
      <c r="CP46" s="161" t="n">
        <v>-1633.8100856676</v>
      </c>
      <c r="CQ46" s="161" t="n">
        <v>-1633.8100856676</v>
      </c>
      <c r="CR46" s="161" t="n">
        <v>-1633.8100856676</v>
      </c>
      <c r="CS46" s="161" t="n">
        <v>-1633.8100856676</v>
      </c>
      <c r="CT46" s="161" t="n">
        <v>-1633.8100856676</v>
      </c>
      <c r="CU46" s="161" t="n">
        <v>-1633.8100856676</v>
      </c>
      <c r="CV46" s="161" t="n">
        <v>-1633.8100856676</v>
      </c>
      <c r="CW46" s="161" t="n">
        <v>-1633.8100856676</v>
      </c>
      <c r="CX46" s="161" t="n">
        <v>-1666.48628738095</v>
      </c>
      <c r="CY46" s="161" t="n">
        <v>-1666.48628738095</v>
      </c>
      <c r="CZ46" s="161" t="n">
        <v>-1666.48628738095</v>
      </c>
      <c r="DA46" s="161" t="n">
        <v>-1666.48628738095</v>
      </c>
      <c r="DB46" s="161" t="n">
        <v>-1666.48628738095</v>
      </c>
      <c r="DC46" s="161" t="n">
        <v>-1666.48628738095</v>
      </c>
      <c r="DD46" s="161" t="n">
        <v>-1666.48628738095</v>
      </c>
      <c r="DE46" s="161" t="n">
        <v>-1666.48628738095</v>
      </c>
      <c r="DF46" s="161" t="n">
        <v>-1666.48628738095</v>
      </c>
    </row>
    <row r="47" customFormat="false" ht="15" hidden="false" customHeight="true" outlineLevel="0" collapsed="false">
      <c r="A47" s="99" t="s">
        <v>90</v>
      </c>
      <c r="C47" s="161" t="n">
        <v>-320</v>
      </c>
      <c r="D47" s="161" t="n">
        <v>-160</v>
      </c>
      <c r="E47" s="161" t="n">
        <v>0</v>
      </c>
      <c r="F47" s="161" t="n">
        <v>-160</v>
      </c>
      <c r="G47" s="161" t="n">
        <v>-160</v>
      </c>
      <c r="H47" s="161" t="n">
        <v>-160</v>
      </c>
      <c r="I47" s="161" t="n">
        <v>-160</v>
      </c>
      <c r="J47" s="161" t="n">
        <v>-160</v>
      </c>
      <c r="K47" s="161" t="n">
        <v>-160</v>
      </c>
      <c r="L47" s="161" t="n">
        <v>-160</v>
      </c>
      <c r="M47" s="161" t="n">
        <v>-160</v>
      </c>
      <c r="N47" s="161" t="n">
        <v>-160</v>
      </c>
      <c r="O47" s="161" t="n">
        <v>-160</v>
      </c>
      <c r="P47" s="161" t="n">
        <v>-160</v>
      </c>
      <c r="Q47" s="161" t="n">
        <v>-160</v>
      </c>
      <c r="R47" s="161" t="n">
        <v>-163.2</v>
      </c>
      <c r="S47" s="161" t="n">
        <v>-163.2</v>
      </c>
      <c r="T47" s="161" t="n">
        <v>-163.2</v>
      </c>
      <c r="U47" s="161" t="n">
        <v>-163.2</v>
      </c>
      <c r="V47" s="161" t="n">
        <v>-163.2</v>
      </c>
      <c r="W47" s="161" t="n">
        <v>-163.2</v>
      </c>
      <c r="X47" s="161" t="n">
        <v>-163.2</v>
      </c>
      <c r="Y47" s="161" t="n">
        <v>-163.2</v>
      </c>
      <c r="Z47" s="161" t="n">
        <v>-163.2</v>
      </c>
      <c r="AA47" s="161" t="n">
        <v>-163.2</v>
      </c>
      <c r="AB47" s="161" t="n">
        <v>-163.2</v>
      </c>
      <c r="AC47" s="161" t="n">
        <v>-163.2</v>
      </c>
      <c r="AD47" s="161" t="n">
        <v>-166.464</v>
      </c>
      <c r="AE47" s="161" t="n">
        <v>-166.464</v>
      </c>
      <c r="AF47" s="161" t="n">
        <v>-166.464</v>
      </c>
      <c r="AG47" s="161" t="n">
        <v>-166.464</v>
      </c>
      <c r="AH47" s="161" t="n">
        <v>-166.464</v>
      </c>
      <c r="AI47" s="161" t="n">
        <v>-166.464</v>
      </c>
      <c r="AJ47" s="161" t="n">
        <v>-166.464</v>
      </c>
      <c r="AK47" s="161" t="n">
        <v>-166.464</v>
      </c>
      <c r="AL47" s="161" t="n">
        <v>-166.464</v>
      </c>
      <c r="AM47" s="161" t="n">
        <v>-166.464</v>
      </c>
      <c r="AN47" s="161" t="n">
        <v>-166.464</v>
      </c>
      <c r="AO47" s="161" t="n">
        <v>-166.464</v>
      </c>
      <c r="AP47" s="161" t="n">
        <v>-169.79328</v>
      </c>
      <c r="AQ47" s="161" t="n">
        <v>-169.79328</v>
      </c>
      <c r="AR47" s="161" t="n">
        <v>-169.79328</v>
      </c>
      <c r="AS47" s="161" t="n">
        <v>-169.79328</v>
      </c>
      <c r="AT47" s="161" t="n">
        <v>-169.79328</v>
      </c>
      <c r="AU47" s="161" t="n">
        <v>-169.79328</v>
      </c>
      <c r="AV47" s="161" t="n">
        <v>-169.79328</v>
      </c>
      <c r="AW47" s="161" t="n">
        <v>-169.79328</v>
      </c>
      <c r="AX47" s="161" t="n">
        <v>-169.79328</v>
      </c>
      <c r="AY47" s="161" t="n">
        <v>-169.79328</v>
      </c>
      <c r="AZ47" s="161" t="n">
        <v>-169.79328</v>
      </c>
      <c r="BA47" s="161" t="n">
        <v>-169.79328</v>
      </c>
      <c r="BB47" s="161" t="n">
        <v>-173.1891456</v>
      </c>
      <c r="BC47" s="161" t="n">
        <v>-173.1891456</v>
      </c>
      <c r="BD47" s="161" t="n">
        <v>-173.1891456</v>
      </c>
      <c r="BE47" s="161" t="n">
        <v>-173.1891456</v>
      </c>
      <c r="BF47" s="161" t="n">
        <v>-173.1891456</v>
      </c>
      <c r="BG47" s="161" t="n">
        <v>-173.1891456</v>
      </c>
      <c r="BH47" s="161" t="n">
        <v>-173.1891456</v>
      </c>
      <c r="BI47" s="161" t="n">
        <v>-173.1891456</v>
      </c>
      <c r="BJ47" s="161" t="n">
        <v>-173.1891456</v>
      </c>
      <c r="BK47" s="161" t="n">
        <v>-173.1891456</v>
      </c>
      <c r="BL47" s="161" t="n">
        <v>-173.1891456</v>
      </c>
      <c r="BM47" s="161" t="n">
        <v>-173.1891456</v>
      </c>
      <c r="BN47" s="161" t="n">
        <v>-176.652928512</v>
      </c>
      <c r="BO47" s="161" t="n">
        <v>-176.652928512</v>
      </c>
      <c r="BP47" s="161" t="n">
        <v>-176.652928512</v>
      </c>
      <c r="BQ47" s="161" t="n">
        <v>-176.652928512</v>
      </c>
      <c r="BR47" s="161" t="n">
        <v>-176.652928512</v>
      </c>
      <c r="BS47" s="161" t="n">
        <v>-176.652928512</v>
      </c>
      <c r="BT47" s="161" t="n">
        <v>-176.652928512</v>
      </c>
      <c r="BU47" s="161" t="n">
        <v>-176.652928512</v>
      </c>
      <c r="BV47" s="161" t="n">
        <v>-176.652928512</v>
      </c>
      <c r="BW47" s="161" t="n">
        <v>-176.652928512</v>
      </c>
      <c r="BX47" s="161" t="n">
        <v>-176.652928512</v>
      </c>
      <c r="BY47" s="161" t="n">
        <v>-176.652928512</v>
      </c>
      <c r="BZ47" s="161" t="n">
        <v>-180.18598708224</v>
      </c>
      <c r="CA47" s="161" t="n">
        <v>-180.18598708224</v>
      </c>
      <c r="CB47" s="161" t="n">
        <v>-180.18598708224</v>
      </c>
      <c r="CC47" s="161" t="n">
        <v>-180.18598708224</v>
      </c>
      <c r="CD47" s="161" t="n">
        <v>-180.18598708224</v>
      </c>
      <c r="CE47" s="161" t="n">
        <v>-180.18598708224</v>
      </c>
      <c r="CF47" s="161" t="n">
        <v>-180.18598708224</v>
      </c>
      <c r="CG47" s="161" t="n">
        <v>-180.18598708224</v>
      </c>
      <c r="CH47" s="161" t="n">
        <v>-180.18598708224</v>
      </c>
      <c r="CI47" s="161" t="n">
        <v>-180.18598708224</v>
      </c>
      <c r="CJ47" s="161" t="n">
        <v>-180.18598708224</v>
      </c>
      <c r="CK47" s="161" t="n">
        <v>-180.18598708224</v>
      </c>
      <c r="CL47" s="161" t="n">
        <v>-183.789706823885</v>
      </c>
      <c r="CM47" s="161" t="n">
        <v>-183.789706823885</v>
      </c>
      <c r="CN47" s="161" t="n">
        <v>-183.789706823885</v>
      </c>
      <c r="CO47" s="161" t="n">
        <v>-183.789706823885</v>
      </c>
      <c r="CP47" s="161" t="n">
        <v>-183.789706823885</v>
      </c>
      <c r="CQ47" s="161" t="n">
        <v>-183.789706823885</v>
      </c>
      <c r="CR47" s="161" t="n">
        <v>-183.789706823885</v>
      </c>
      <c r="CS47" s="161" t="n">
        <v>-183.789706823885</v>
      </c>
      <c r="CT47" s="161" t="n">
        <v>-183.789706823885</v>
      </c>
      <c r="CU47" s="161" t="n">
        <v>-183.789706823885</v>
      </c>
      <c r="CV47" s="161" t="n">
        <v>-183.789706823885</v>
      </c>
      <c r="CW47" s="161" t="n">
        <v>-183.789706823885</v>
      </c>
      <c r="CX47" s="161" t="n">
        <v>-187.465500960363</v>
      </c>
      <c r="CY47" s="161" t="n">
        <v>-187.465500960363</v>
      </c>
      <c r="CZ47" s="161" t="n">
        <v>-187.465500960363</v>
      </c>
      <c r="DA47" s="161" t="n">
        <v>-187.465500960363</v>
      </c>
      <c r="DB47" s="161" t="n">
        <v>-187.465500960363</v>
      </c>
      <c r="DC47" s="161" t="n">
        <v>-187.465500960363</v>
      </c>
      <c r="DD47" s="161" t="n">
        <v>-187.465500960363</v>
      </c>
      <c r="DE47" s="161" t="n">
        <v>-187.465500960363</v>
      </c>
      <c r="DF47" s="161" t="n">
        <v>-187.465500960363</v>
      </c>
    </row>
    <row r="48" customFormat="false" ht="15" hidden="false" customHeight="true" outlineLevel="0" collapsed="false">
      <c r="A48" s="99" t="s">
        <v>91</v>
      </c>
      <c r="C48" s="161" t="n">
        <v>-17660.72</v>
      </c>
      <c r="D48" s="161" t="n">
        <v>-5799</v>
      </c>
      <c r="E48" s="161" t="n">
        <v>-3432.18</v>
      </c>
      <c r="F48" s="161" t="n">
        <v>-5000</v>
      </c>
      <c r="G48" s="161" t="n">
        <v>-5000</v>
      </c>
      <c r="H48" s="161" t="n">
        <v>-5000</v>
      </c>
      <c r="I48" s="161" t="n">
        <v>-5000</v>
      </c>
      <c r="J48" s="161" t="n">
        <v>-5000</v>
      </c>
      <c r="K48" s="161" t="n">
        <v>-5000</v>
      </c>
      <c r="L48" s="161" t="n">
        <v>-5000</v>
      </c>
      <c r="M48" s="161" t="n">
        <v>-5000</v>
      </c>
      <c r="N48" s="161" t="n">
        <v>-5000</v>
      </c>
      <c r="O48" s="161" t="n">
        <v>-5000</v>
      </c>
      <c r="P48" s="161" t="n">
        <v>-5000</v>
      </c>
      <c r="Q48" s="161" t="n">
        <v>-5000</v>
      </c>
      <c r="R48" s="161" t="n">
        <v>-5100</v>
      </c>
      <c r="S48" s="161" t="n">
        <v>-5100</v>
      </c>
      <c r="T48" s="161" t="n">
        <v>-5100</v>
      </c>
      <c r="U48" s="161" t="n">
        <v>-5100</v>
      </c>
      <c r="V48" s="161" t="n">
        <v>-5100</v>
      </c>
      <c r="W48" s="161" t="n">
        <v>-5100</v>
      </c>
      <c r="X48" s="161" t="n">
        <v>-5100</v>
      </c>
      <c r="Y48" s="161" t="n">
        <v>-5100</v>
      </c>
      <c r="Z48" s="161" t="n">
        <v>-5100</v>
      </c>
      <c r="AA48" s="161" t="n">
        <v>-5100</v>
      </c>
      <c r="AB48" s="161" t="n">
        <v>-5100</v>
      </c>
      <c r="AC48" s="161" t="n">
        <v>-5100</v>
      </c>
      <c r="AD48" s="161" t="n">
        <v>-5202</v>
      </c>
      <c r="AE48" s="161" t="n">
        <v>-5202</v>
      </c>
      <c r="AF48" s="161" t="n">
        <v>-5202</v>
      </c>
      <c r="AG48" s="161" t="n">
        <v>-5202</v>
      </c>
      <c r="AH48" s="161" t="n">
        <v>-5202</v>
      </c>
      <c r="AI48" s="161" t="n">
        <v>-5202</v>
      </c>
      <c r="AJ48" s="161" t="n">
        <v>-5202</v>
      </c>
      <c r="AK48" s="161" t="n">
        <v>-5202</v>
      </c>
      <c r="AL48" s="161" t="n">
        <v>-5202</v>
      </c>
      <c r="AM48" s="161" t="n">
        <v>-5202</v>
      </c>
      <c r="AN48" s="161" t="n">
        <v>-5202</v>
      </c>
      <c r="AO48" s="161" t="n">
        <v>-5202</v>
      </c>
      <c r="AP48" s="161" t="n">
        <v>-5306.04</v>
      </c>
      <c r="AQ48" s="161" t="n">
        <v>-5306.04</v>
      </c>
      <c r="AR48" s="161" t="n">
        <v>-5306.04</v>
      </c>
      <c r="AS48" s="161" t="n">
        <v>-5306.04</v>
      </c>
      <c r="AT48" s="161" t="n">
        <v>-5306.04</v>
      </c>
      <c r="AU48" s="161" t="n">
        <v>-5306.04</v>
      </c>
      <c r="AV48" s="161" t="n">
        <v>-5306.04</v>
      </c>
      <c r="AW48" s="161" t="n">
        <v>-5306.04</v>
      </c>
      <c r="AX48" s="161" t="n">
        <v>-5306.04</v>
      </c>
      <c r="AY48" s="161" t="n">
        <v>-5306.04</v>
      </c>
      <c r="AZ48" s="161" t="n">
        <v>-5306.04</v>
      </c>
      <c r="BA48" s="161" t="n">
        <v>-5306.04</v>
      </c>
      <c r="BB48" s="161" t="n">
        <v>-5412.1608</v>
      </c>
      <c r="BC48" s="161" t="n">
        <v>-5412.1608</v>
      </c>
      <c r="BD48" s="161" t="n">
        <v>-5412.1608</v>
      </c>
      <c r="BE48" s="161" t="n">
        <v>-5412.1608</v>
      </c>
      <c r="BF48" s="161" t="n">
        <v>-5412.1608</v>
      </c>
      <c r="BG48" s="161" t="n">
        <v>-5412.1608</v>
      </c>
      <c r="BH48" s="161" t="n">
        <v>-5412.1608</v>
      </c>
      <c r="BI48" s="161" t="n">
        <v>-5412.1608</v>
      </c>
      <c r="BJ48" s="161" t="n">
        <v>-5412.1608</v>
      </c>
      <c r="BK48" s="161" t="n">
        <v>-5412.1608</v>
      </c>
      <c r="BL48" s="161" t="n">
        <v>-5412.1608</v>
      </c>
      <c r="BM48" s="161" t="n">
        <v>-5412.1608</v>
      </c>
      <c r="BN48" s="161" t="n">
        <v>-5520.404016</v>
      </c>
      <c r="BO48" s="161" t="n">
        <v>-5520.404016</v>
      </c>
      <c r="BP48" s="161" t="n">
        <v>-5520.404016</v>
      </c>
      <c r="BQ48" s="161" t="n">
        <v>-5520.404016</v>
      </c>
      <c r="BR48" s="161" t="n">
        <v>-5520.404016</v>
      </c>
      <c r="BS48" s="161" t="n">
        <v>-5520.404016</v>
      </c>
      <c r="BT48" s="161" t="n">
        <v>-5520.404016</v>
      </c>
      <c r="BU48" s="161" t="n">
        <v>-5520.404016</v>
      </c>
      <c r="BV48" s="161" t="n">
        <v>-5520.404016</v>
      </c>
      <c r="BW48" s="161" t="n">
        <v>-5520.404016</v>
      </c>
      <c r="BX48" s="161" t="n">
        <v>-5520.404016</v>
      </c>
      <c r="BY48" s="161" t="n">
        <v>-5520.404016</v>
      </c>
      <c r="BZ48" s="161" t="n">
        <v>-5630.81209632</v>
      </c>
      <c r="CA48" s="161" t="n">
        <v>-5630.81209632</v>
      </c>
      <c r="CB48" s="161" t="n">
        <v>-5630.81209632</v>
      </c>
      <c r="CC48" s="161" t="n">
        <v>-5630.81209632</v>
      </c>
      <c r="CD48" s="161" t="n">
        <v>-5630.81209632</v>
      </c>
      <c r="CE48" s="161" t="n">
        <v>-5630.81209632</v>
      </c>
      <c r="CF48" s="161" t="n">
        <v>-5630.81209632</v>
      </c>
      <c r="CG48" s="161" t="n">
        <v>-5630.81209632</v>
      </c>
      <c r="CH48" s="161" t="n">
        <v>-5630.81209632</v>
      </c>
      <c r="CI48" s="161" t="n">
        <v>-5630.81209632</v>
      </c>
      <c r="CJ48" s="161" t="n">
        <v>-5630.81209632</v>
      </c>
      <c r="CK48" s="161" t="n">
        <v>-5630.81209632</v>
      </c>
      <c r="CL48" s="161" t="n">
        <v>-5743.4283382464</v>
      </c>
      <c r="CM48" s="161" t="n">
        <v>-5743.4283382464</v>
      </c>
      <c r="CN48" s="161" t="n">
        <v>-5743.4283382464</v>
      </c>
      <c r="CO48" s="161" t="n">
        <v>-5743.4283382464</v>
      </c>
      <c r="CP48" s="161" t="n">
        <v>-5743.4283382464</v>
      </c>
      <c r="CQ48" s="161" t="n">
        <v>-5743.4283382464</v>
      </c>
      <c r="CR48" s="161" t="n">
        <v>-5743.4283382464</v>
      </c>
      <c r="CS48" s="161" t="n">
        <v>-5743.4283382464</v>
      </c>
      <c r="CT48" s="161" t="n">
        <v>-5743.4283382464</v>
      </c>
      <c r="CU48" s="161" t="n">
        <v>-5743.4283382464</v>
      </c>
      <c r="CV48" s="161" t="n">
        <v>-5743.4283382464</v>
      </c>
      <c r="CW48" s="161" t="n">
        <v>-5743.4283382464</v>
      </c>
      <c r="CX48" s="161" t="n">
        <v>-5858.29690501133</v>
      </c>
      <c r="CY48" s="161" t="n">
        <v>-5858.29690501133</v>
      </c>
      <c r="CZ48" s="161" t="n">
        <v>-5858.29690501133</v>
      </c>
      <c r="DA48" s="161" t="n">
        <v>-5858.29690501133</v>
      </c>
      <c r="DB48" s="161" t="n">
        <v>-5858.29690501133</v>
      </c>
      <c r="DC48" s="161" t="n">
        <v>-5858.29690501133</v>
      </c>
      <c r="DD48" s="161" t="n">
        <v>-5858.29690501133</v>
      </c>
      <c r="DE48" s="161" t="n">
        <v>-5858.29690501133</v>
      </c>
      <c r="DF48" s="161" t="n">
        <v>-5858.29690501133</v>
      </c>
    </row>
    <row r="49" customFormat="false" ht="15" hidden="false" customHeight="true" outlineLevel="0" collapsed="false">
      <c r="A49" s="99" t="s">
        <v>92</v>
      </c>
      <c r="C49" s="161" t="n">
        <v>-304</v>
      </c>
      <c r="D49" s="161" t="n">
        <v>-644.81</v>
      </c>
      <c r="E49" s="161" t="n">
        <v>-304</v>
      </c>
      <c r="F49" s="162" t="n">
        <v>-417.6</v>
      </c>
      <c r="G49" s="162" t="n">
        <v>-417.6</v>
      </c>
      <c r="H49" s="162" t="n">
        <v>-417.6</v>
      </c>
      <c r="I49" s="162" t="n">
        <v>-417.6</v>
      </c>
      <c r="J49" s="162" t="n">
        <v>-417.6</v>
      </c>
      <c r="K49" s="162" t="n">
        <v>-417.6</v>
      </c>
      <c r="L49" s="162" t="n">
        <v>-417.6</v>
      </c>
      <c r="M49" s="162" t="n">
        <v>-417.6</v>
      </c>
      <c r="N49" s="162" t="n">
        <v>-417.6</v>
      </c>
      <c r="O49" s="162" t="n">
        <v>-417.6</v>
      </c>
      <c r="P49" s="162" t="n">
        <v>-417.6</v>
      </c>
      <c r="Q49" s="162" t="n">
        <v>-417.6</v>
      </c>
      <c r="R49" s="162" t="n">
        <v>-425.952</v>
      </c>
      <c r="S49" s="162" t="n">
        <v>-425.952</v>
      </c>
      <c r="T49" s="162" t="n">
        <v>-425.952</v>
      </c>
      <c r="U49" s="162" t="n">
        <v>-425.952</v>
      </c>
      <c r="V49" s="162" t="n">
        <v>-425.952</v>
      </c>
      <c r="W49" s="162" t="n">
        <v>-425.952</v>
      </c>
      <c r="X49" s="162" t="n">
        <v>-425.952</v>
      </c>
      <c r="Y49" s="162" t="n">
        <v>-425.952</v>
      </c>
      <c r="Z49" s="162" t="n">
        <v>-425.952</v>
      </c>
      <c r="AA49" s="162" t="n">
        <v>-425.952</v>
      </c>
      <c r="AB49" s="162" t="n">
        <v>-425.952</v>
      </c>
      <c r="AC49" s="162" t="n">
        <v>-425.952</v>
      </c>
      <c r="AD49" s="162" t="n">
        <v>-434.47104</v>
      </c>
      <c r="AE49" s="162" t="n">
        <v>-434.47104</v>
      </c>
      <c r="AF49" s="162" t="n">
        <v>-434.47104</v>
      </c>
      <c r="AG49" s="162" t="n">
        <v>-434.47104</v>
      </c>
      <c r="AH49" s="162" t="n">
        <v>-434.47104</v>
      </c>
      <c r="AI49" s="162" t="n">
        <v>-434.47104</v>
      </c>
      <c r="AJ49" s="162" t="n">
        <v>-434.47104</v>
      </c>
      <c r="AK49" s="162" t="n">
        <v>-434.47104</v>
      </c>
      <c r="AL49" s="162" t="n">
        <v>-434.47104</v>
      </c>
      <c r="AM49" s="162" t="n">
        <v>-434.47104</v>
      </c>
      <c r="AN49" s="162" t="n">
        <v>-434.47104</v>
      </c>
      <c r="AO49" s="162" t="n">
        <v>-434.47104</v>
      </c>
      <c r="AP49" s="162" t="n">
        <v>-443.1604608</v>
      </c>
      <c r="AQ49" s="162" t="n">
        <v>-443.1604608</v>
      </c>
      <c r="AR49" s="162" t="n">
        <v>-443.1604608</v>
      </c>
      <c r="AS49" s="162" t="n">
        <v>-443.1604608</v>
      </c>
      <c r="AT49" s="162" t="n">
        <v>-443.1604608</v>
      </c>
      <c r="AU49" s="162" t="n">
        <v>-443.1604608</v>
      </c>
      <c r="AV49" s="162" t="n">
        <v>-443.1604608</v>
      </c>
      <c r="AW49" s="162" t="n">
        <v>-443.1604608</v>
      </c>
      <c r="AX49" s="162" t="n">
        <v>-443.1604608</v>
      </c>
      <c r="AY49" s="162" t="n">
        <v>-443.1604608</v>
      </c>
      <c r="AZ49" s="162" t="n">
        <v>-443.1604608</v>
      </c>
      <c r="BA49" s="162" t="n">
        <v>-443.1604608</v>
      </c>
      <c r="BB49" s="162" t="n">
        <v>-452.023670016</v>
      </c>
      <c r="BC49" s="162" t="n">
        <v>-452.023670016</v>
      </c>
      <c r="BD49" s="162" t="n">
        <v>-452.023670016</v>
      </c>
      <c r="BE49" s="162" t="n">
        <v>-452.023670016</v>
      </c>
      <c r="BF49" s="162" t="n">
        <v>-452.023670016</v>
      </c>
      <c r="BG49" s="162" t="n">
        <v>-452.023670016</v>
      </c>
      <c r="BH49" s="162" t="n">
        <v>-452.023670016</v>
      </c>
      <c r="BI49" s="162" t="n">
        <v>-452.023670016</v>
      </c>
      <c r="BJ49" s="162" t="n">
        <v>-452.023670016</v>
      </c>
      <c r="BK49" s="162" t="n">
        <v>-452.023670016</v>
      </c>
      <c r="BL49" s="162" t="n">
        <v>-452.023670016</v>
      </c>
      <c r="BM49" s="162" t="n">
        <v>-452.023670016</v>
      </c>
      <c r="BN49" s="162" t="n">
        <v>-461.06414341632</v>
      </c>
      <c r="BO49" s="162" t="n">
        <v>-461.06414341632</v>
      </c>
      <c r="BP49" s="162" t="n">
        <v>-461.06414341632</v>
      </c>
      <c r="BQ49" s="162" t="n">
        <v>-461.06414341632</v>
      </c>
      <c r="BR49" s="162" t="n">
        <v>-461.06414341632</v>
      </c>
      <c r="BS49" s="162" t="n">
        <v>-461.06414341632</v>
      </c>
      <c r="BT49" s="162" t="n">
        <v>-461.06414341632</v>
      </c>
      <c r="BU49" s="162" t="n">
        <v>-461.06414341632</v>
      </c>
      <c r="BV49" s="162" t="n">
        <v>-461.06414341632</v>
      </c>
      <c r="BW49" s="162" t="n">
        <v>-461.06414341632</v>
      </c>
      <c r="BX49" s="162" t="n">
        <v>-461.06414341632</v>
      </c>
      <c r="BY49" s="162" t="n">
        <v>-461.06414341632</v>
      </c>
      <c r="BZ49" s="162" t="n">
        <v>-470.285426284646</v>
      </c>
      <c r="CA49" s="162" t="n">
        <v>-470.285426284646</v>
      </c>
      <c r="CB49" s="162" t="n">
        <v>-470.285426284646</v>
      </c>
      <c r="CC49" s="162" t="n">
        <v>-470.285426284646</v>
      </c>
      <c r="CD49" s="162" t="n">
        <v>-470.285426284646</v>
      </c>
      <c r="CE49" s="162" t="n">
        <v>-470.285426284646</v>
      </c>
      <c r="CF49" s="162" t="n">
        <v>-470.285426284646</v>
      </c>
      <c r="CG49" s="162" t="n">
        <v>-470.285426284646</v>
      </c>
      <c r="CH49" s="162" t="n">
        <v>-470.285426284646</v>
      </c>
      <c r="CI49" s="162" t="n">
        <v>-470.285426284646</v>
      </c>
      <c r="CJ49" s="162" t="n">
        <v>-470.285426284646</v>
      </c>
      <c r="CK49" s="162" t="n">
        <v>-470.285426284646</v>
      </c>
      <c r="CL49" s="162" t="n">
        <v>-479.691134810339</v>
      </c>
      <c r="CM49" s="162" t="n">
        <v>-479.691134810339</v>
      </c>
      <c r="CN49" s="162" t="n">
        <v>-479.691134810339</v>
      </c>
      <c r="CO49" s="162" t="n">
        <v>-479.691134810339</v>
      </c>
      <c r="CP49" s="162" t="n">
        <v>-479.691134810339</v>
      </c>
      <c r="CQ49" s="162" t="n">
        <v>-479.691134810339</v>
      </c>
      <c r="CR49" s="162" t="n">
        <v>-479.691134810339</v>
      </c>
      <c r="CS49" s="162" t="n">
        <v>-479.691134810339</v>
      </c>
      <c r="CT49" s="162" t="n">
        <v>-479.691134810339</v>
      </c>
      <c r="CU49" s="162" t="n">
        <v>-479.691134810339</v>
      </c>
      <c r="CV49" s="162" t="n">
        <v>-479.691134810339</v>
      </c>
      <c r="CW49" s="162" t="n">
        <v>-479.691134810339</v>
      </c>
      <c r="CX49" s="162" t="n">
        <v>-489.284957506546</v>
      </c>
      <c r="CY49" s="162" t="n">
        <v>-489.284957506546</v>
      </c>
      <c r="CZ49" s="162" t="n">
        <v>-489.284957506546</v>
      </c>
      <c r="DA49" s="162" t="n">
        <v>-489.284957506546</v>
      </c>
      <c r="DB49" s="162" t="n">
        <v>-489.284957506546</v>
      </c>
      <c r="DC49" s="162" t="n">
        <v>-489.284957506546</v>
      </c>
      <c r="DD49" s="162" t="n">
        <v>-489.284957506546</v>
      </c>
      <c r="DE49" s="162" t="n">
        <v>-489.284957506546</v>
      </c>
      <c r="DF49" s="162" t="n">
        <v>-489.284957506546</v>
      </c>
    </row>
    <row r="50" customFormat="false" ht="15" hidden="false" customHeight="true" outlineLevel="0" collapsed="false">
      <c r="A50" s="99" t="s">
        <v>93</v>
      </c>
      <c r="C50" s="161" t="n">
        <v>0</v>
      </c>
      <c r="D50" s="161" t="n">
        <v>-75</v>
      </c>
      <c r="E50" s="161" t="n">
        <v>-5</v>
      </c>
      <c r="F50" s="162" t="n">
        <v>-26.67</v>
      </c>
      <c r="G50" s="162" t="n">
        <v>-26.67</v>
      </c>
      <c r="H50" s="162" t="n">
        <v>-26.67</v>
      </c>
      <c r="I50" s="162" t="n">
        <v>-26.67</v>
      </c>
      <c r="J50" s="162" t="n">
        <v>-26.67</v>
      </c>
      <c r="K50" s="162" t="n">
        <v>-26.67</v>
      </c>
      <c r="L50" s="162" t="n">
        <v>-26.67</v>
      </c>
      <c r="M50" s="162" t="n">
        <v>-26.67</v>
      </c>
      <c r="N50" s="162" t="n">
        <v>-26.67</v>
      </c>
      <c r="O50" s="162" t="n">
        <v>-26.67</v>
      </c>
      <c r="P50" s="162" t="n">
        <v>-26.67</v>
      </c>
      <c r="Q50" s="162" t="n">
        <v>-26.67</v>
      </c>
      <c r="R50" s="162" t="n">
        <v>-27.2034</v>
      </c>
      <c r="S50" s="162" t="n">
        <v>-27.2034</v>
      </c>
      <c r="T50" s="162" t="n">
        <v>-27.2034</v>
      </c>
      <c r="U50" s="162" t="n">
        <v>-27.2034</v>
      </c>
      <c r="V50" s="162" t="n">
        <v>-27.2034</v>
      </c>
      <c r="W50" s="162" t="n">
        <v>-27.2034</v>
      </c>
      <c r="X50" s="162" t="n">
        <v>-27.2034</v>
      </c>
      <c r="Y50" s="162" t="n">
        <v>-27.2034</v>
      </c>
      <c r="Z50" s="162" t="n">
        <v>-27.2034</v>
      </c>
      <c r="AA50" s="162" t="n">
        <v>-27.2034</v>
      </c>
      <c r="AB50" s="162" t="n">
        <v>-27.2034</v>
      </c>
      <c r="AC50" s="162" t="n">
        <v>-27.2034</v>
      </c>
      <c r="AD50" s="162" t="n">
        <v>-27.747468</v>
      </c>
      <c r="AE50" s="162" t="n">
        <v>-27.747468</v>
      </c>
      <c r="AF50" s="162" t="n">
        <v>-27.747468</v>
      </c>
      <c r="AG50" s="162" t="n">
        <v>-27.747468</v>
      </c>
      <c r="AH50" s="162" t="n">
        <v>-27.747468</v>
      </c>
      <c r="AI50" s="162" t="n">
        <v>-27.747468</v>
      </c>
      <c r="AJ50" s="162" t="n">
        <v>-27.747468</v>
      </c>
      <c r="AK50" s="162" t="n">
        <v>-27.747468</v>
      </c>
      <c r="AL50" s="162" t="n">
        <v>-27.747468</v>
      </c>
      <c r="AM50" s="162" t="n">
        <v>-27.747468</v>
      </c>
      <c r="AN50" s="162" t="n">
        <v>-27.747468</v>
      </c>
      <c r="AO50" s="162" t="n">
        <v>-27.747468</v>
      </c>
      <c r="AP50" s="162" t="n">
        <v>-28.30241736</v>
      </c>
      <c r="AQ50" s="162" t="n">
        <v>-28.30241736</v>
      </c>
      <c r="AR50" s="162" t="n">
        <v>-28.30241736</v>
      </c>
      <c r="AS50" s="162" t="n">
        <v>-28.30241736</v>
      </c>
      <c r="AT50" s="162" t="n">
        <v>-28.30241736</v>
      </c>
      <c r="AU50" s="162" t="n">
        <v>-28.30241736</v>
      </c>
      <c r="AV50" s="162" t="n">
        <v>-28.30241736</v>
      </c>
      <c r="AW50" s="162" t="n">
        <v>-28.30241736</v>
      </c>
      <c r="AX50" s="162" t="n">
        <v>-28.30241736</v>
      </c>
      <c r="AY50" s="162" t="n">
        <v>-28.30241736</v>
      </c>
      <c r="AZ50" s="162" t="n">
        <v>-28.30241736</v>
      </c>
      <c r="BA50" s="162" t="n">
        <v>-28.30241736</v>
      </c>
      <c r="BB50" s="162" t="n">
        <v>-28.8684657072</v>
      </c>
      <c r="BC50" s="162" t="n">
        <v>-28.8684657072</v>
      </c>
      <c r="BD50" s="162" t="n">
        <v>-28.8684657072</v>
      </c>
      <c r="BE50" s="162" t="n">
        <v>-28.8684657072</v>
      </c>
      <c r="BF50" s="162" t="n">
        <v>-28.8684657072</v>
      </c>
      <c r="BG50" s="162" t="n">
        <v>-28.8684657072</v>
      </c>
      <c r="BH50" s="162" t="n">
        <v>-28.8684657072</v>
      </c>
      <c r="BI50" s="162" t="n">
        <v>-28.8684657072</v>
      </c>
      <c r="BJ50" s="162" t="n">
        <v>-28.8684657072</v>
      </c>
      <c r="BK50" s="162" t="n">
        <v>-28.8684657072</v>
      </c>
      <c r="BL50" s="162" t="n">
        <v>-28.8684657072</v>
      </c>
      <c r="BM50" s="162" t="n">
        <v>-28.8684657072</v>
      </c>
      <c r="BN50" s="162" t="n">
        <v>-29.445835021344</v>
      </c>
      <c r="BO50" s="162" t="n">
        <v>-29.445835021344</v>
      </c>
      <c r="BP50" s="162" t="n">
        <v>-29.445835021344</v>
      </c>
      <c r="BQ50" s="162" t="n">
        <v>-29.445835021344</v>
      </c>
      <c r="BR50" s="162" t="n">
        <v>-29.445835021344</v>
      </c>
      <c r="BS50" s="162" t="n">
        <v>-29.445835021344</v>
      </c>
      <c r="BT50" s="162" t="n">
        <v>-29.445835021344</v>
      </c>
      <c r="BU50" s="162" t="n">
        <v>-29.445835021344</v>
      </c>
      <c r="BV50" s="162" t="n">
        <v>-29.445835021344</v>
      </c>
      <c r="BW50" s="162" t="n">
        <v>-29.445835021344</v>
      </c>
      <c r="BX50" s="162" t="n">
        <v>-29.445835021344</v>
      </c>
      <c r="BY50" s="162" t="n">
        <v>-29.445835021344</v>
      </c>
      <c r="BZ50" s="162" t="n">
        <v>-30.0347517217709</v>
      </c>
      <c r="CA50" s="162" t="n">
        <v>-30.0347517217709</v>
      </c>
      <c r="CB50" s="162" t="n">
        <v>-30.0347517217709</v>
      </c>
      <c r="CC50" s="162" t="n">
        <v>-30.0347517217709</v>
      </c>
      <c r="CD50" s="162" t="n">
        <v>-30.0347517217709</v>
      </c>
      <c r="CE50" s="162" t="n">
        <v>-30.0347517217709</v>
      </c>
      <c r="CF50" s="162" t="n">
        <v>-30.0347517217709</v>
      </c>
      <c r="CG50" s="162" t="n">
        <v>-30.0347517217709</v>
      </c>
      <c r="CH50" s="162" t="n">
        <v>-30.0347517217709</v>
      </c>
      <c r="CI50" s="162" t="n">
        <v>-30.0347517217709</v>
      </c>
      <c r="CJ50" s="162" t="n">
        <v>-30.0347517217709</v>
      </c>
      <c r="CK50" s="162" t="n">
        <v>-30.0347517217709</v>
      </c>
      <c r="CL50" s="162" t="n">
        <v>-30.6354467562063</v>
      </c>
      <c r="CM50" s="162" t="n">
        <v>-30.6354467562063</v>
      </c>
      <c r="CN50" s="162" t="n">
        <v>-30.6354467562063</v>
      </c>
      <c r="CO50" s="162" t="n">
        <v>-30.6354467562063</v>
      </c>
      <c r="CP50" s="162" t="n">
        <v>-30.6354467562063</v>
      </c>
      <c r="CQ50" s="162" t="n">
        <v>-30.6354467562063</v>
      </c>
      <c r="CR50" s="162" t="n">
        <v>-30.6354467562063</v>
      </c>
      <c r="CS50" s="162" t="n">
        <v>-30.6354467562063</v>
      </c>
      <c r="CT50" s="162" t="n">
        <v>-30.6354467562063</v>
      </c>
      <c r="CU50" s="162" t="n">
        <v>-30.6354467562063</v>
      </c>
      <c r="CV50" s="162" t="n">
        <v>-30.6354467562063</v>
      </c>
      <c r="CW50" s="162" t="n">
        <v>-30.6354467562063</v>
      </c>
      <c r="CX50" s="162" t="n">
        <v>-31.2481556913304</v>
      </c>
      <c r="CY50" s="162" t="n">
        <v>-31.2481556913304</v>
      </c>
      <c r="CZ50" s="162" t="n">
        <v>-31.2481556913304</v>
      </c>
      <c r="DA50" s="162" t="n">
        <v>-31.2481556913304</v>
      </c>
      <c r="DB50" s="162" t="n">
        <v>-31.2481556913304</v>
      </c>
      <c r="DC50" s="162" t="n">
        <v>-31.2481556913304</v>
      </c>
      <c r="DD50" s="162" t="n">
        <v>-31.2481556913304</v>
      </c>
      <c r="DE50" s="162" t="n">
        <v>-31.2481556913304</v>
      </c>
      <c r="DF50" s="162" t="n">
        <v>-31.2481556913304</v>
      </c>
    </row>
    <row r="51" customFormat="false" ht="15" hidden="false" customHeight="true" outlineLevel="0" collapsed="false">
      <c r="A51" s="99" t="s">
        <v>94</v>
      </c>
      <c r="C51" s="161" t="n">
        <v>0</v>
      </c>
      <c r="D51" s="161" t="n">
        <v>-63</v>
      </c>
      <c r="E51" s="161" t="n">
        <v>0</v>
      </c>
      <c r="F51" s="162" t="n">
        <v>-21</v>
      </c>
      <c r="G51" s="162" t="n">
        <v>-21</v>
      </c>
      <c r="H51" s="162" t="n">
        <v>-21</v>
      </c>
      <c r="I51" s="162" t="n">
        <v>-21</v>
      </c>
      <c r="J51" s="162" t="n">
        <v>-21</v>
      </c>
      <c r="K51" s="162" t="n">
        <v>-21</v>
      </c>
      <c r="L51" s="162" t="n">
        <v>-21</v>
      </c>
      <c r="M51" s="162" t="n">
        <v>-21</v>
      </c>
      <c r="N51" s="162" t="n">
        <v>-21</v>
      </c>
      <c r="O51" s="162" t="n">
        <v>-21</v>
      </c>
      <c r="P51" s="162" t="n">
        <v>-21</v>
      </c>
      <c r="Q51" s="162" t="n">
        <v>-21</v>
      </c>
      <c r="R51" s="162" t="n">
        <v>-21.42</v>
      </c>
      <c r="S51" s="162" t="n">
        <v>-21.42</v>
      </c>
      <c r="T51" s="162" t="n">
        <v>-21.42</v>
      </c>
      <c r="U51" s="162" t="n">
        <v>-21.42</v>
      </c>
      <c r="V51" s="162" t="n">
        <v>-21.42</v>
      </c>
      <c r="W51" s="162" t="n">
        <v>-21.42</v>
      </c>
      <c r="X51" s="162" t="n">
        <v>-21.42</v>
      </c>
      <c r="Y51" s="162" t="n">
        <v>-21.42</v>
      </c>
      <c r="Z51" s="162" t="n">
        <v>-21.42</v>
      </c>
      <c r="AA51" s="162" t="n">
        <v>-21.42</v>
      </c>
      <c r="AB51" s="162" t="n">
        <v>-21.42</v>
      </c>
      <c r="AC51" s="162" t="n">
        <v>-21.42</v>
      </c>
      <c r="AD51" s="162" t="n">
        <v>-21.8484</v>
      </c>
      <c r="AE51" s="162" t="n">
        <v>-21.8484</v>
      </c>
      <c r="AF51" s="162" t="n">
        <v>-21.8484</v>
      </c>
      <c r="AG51" s="162" t="n">
        <v>-21.8484</v>
      </c>
      <c r="AH51" s="162" t="n">
        <v>-21.8484</v>
      </c>
      <c r="AI51" s="162" t="n">
        <v>-21.8484</v>
      </c>
      <c r="AJ51" s="162" t="n">
        <v>-21.8484</v>
      </c>
      <c r="AK51" s="162" t="n">
        <v>-21.8484</v>
      </c>
      <c r="AL51" s="162" t="n">
        <v>-21.8484</v>
      </c>
      <c r="AM51" s="162" t="n">
        <v>-21.8484</v>
      </c>
      <c r="AN51" s="162" t="n">
        <v>-21.8484</v>
      </c>
      <c r="AO51" s="162" t="n">
        <v>-21.8484</v>
      </c>
      <c r="AP51" s="162" t="n">
        <v>-22.285368</v>
      </c>
      <c r="AQ51" s="162" t="n">
        <v>-22.285368</v>
      </c>
      <c r="AR51" s="162" t="n">
        <v>-22.285368</v>
      </c>
      <c r="AS51" s="162" t="n">
        <v>-22.285368</v>
      </c>
      <c r="AT51" s="162" t="n">
        <v>-22.285368</v>
      </c>
      <c r="AU51" s="162" t="n">
        <v>-22.285368</v>
      </c>
      <c r="AV51" s="162" t="n">
        <v>-22.285368</v>
      </c>
      <c r="AW51" s="162" t="n">
        <v>-22.285368</v>
      </c>
      <c r="AX51" s="162" t="n">
        <v>-22.285368</v>
      </c>
      <c r="AY51" s="162" t="n">
        <v>-22.285368</v>
      </c>
      <c r="AZ51" s="162" t="n">
        <v>-22.285368</v>
      </c>
      <c r="BA51" s="162" t="n">
        <v>-22.285368</v>
      </c>
      <c r="BB51" s="162" t="n">
        <v>-22.73107536</v>
      </c>
      <c r="BC51" s="162" t="n">
        <v>-22.73107536</v>
      </c>
      <c r="BD51" s="162" t="n">
        <v>-22.73107536</v>
      </c>
      <c r="BE51" s="162" t="n">
        <v>-22.73107536</v>
      </c>
      <c r="BF51" s="162" t="n">
        <v>-22.73107536</v>
      </c>
      <c r="BG51" s="162" t="n">
        <v>-22.73107536</v>
      </c>
      <c r="BH51" s="162" t="n">
        <v>-22.73107536</v>
      </c>
      <c r="BI51" s="162" t="n">
        <v>-22.73107536</v>
      </c>
      <c r="BJ51" s="162" t="n">
        <v>-22.73107536</v>
      </c>
      <c r="BK51" s="162" t="n">
        <v>-22.73107536</v>
      </c>
      <c r="BL51" s="162" t="n">
        <v>-22.73107536</v>
      </c>
      <c r="BM51" s="162" t="n">
        <v>-22.73107536</v>
      </c>
      <c r="BN51" s="162" t="n">
        <v>-23.1856968672</v>
      </c>
      <c r="BO51" s="162" t="n">
        <v>-23.1856968672</v>
      </c>
      <c r="BP51" s="162" t="n">
        <v>-23.1856968672</v>
      </c>
      <c r="BQ51" s="162" t="n">
        <v>-23.1856968672</v>
      </c>
      <c r="BR51" s="162" t="n">
        <v>-23.1856968672</v>
      </c>
      <c r="BS51" s="162" t="n">
        <v>-23.1856968672</v>
      </c>
      <c r="BT51" s="162" t="n">
        <v>-23.1856968672</v>
      </c>
      <c r="BU51" s="162" t="n">
        <v>-23.1856968672</v>
      </c>
      <c r="BV51" s="162" t="n">
        <v>-23.1856968672</v>
      </c>
      <c r="BW51" s="162" t="n">
        <v>-23.1856968672</v>
      </c>
      <c r="BX51" s="162" t="n">
        <v>-23.1856968672</v>
      </c>
      <c r="BY51" s="162" t="n">
        <v>-23.1856968672</v>
      </c>
      <c r="BZ51" s="162" t="n">
        <v>-23.649410804544</v>
      </c>
      <c r="CA51" s="162" t="n">
        <v>-23.649410804544</v>
      </c>
      <c r="CB51" s="162" t="n">
        <v>-23.649410804544</v>
      </c>
      <c r="CC51" s="162" t="n">
        <v>-23.649410804544</v>
      </c>
      <c r="CD51" s="162" t="n">
        <v>-23.649410804544</v>
      </c>
      <c r="CE51" s="162" t="n">
        <v>-23.649410804544</v>
      </c>
      <c r="CF51" s="162" t="n">
        <v>-23.649410804544</v>
      </c>
      <c r="CG51" s="162" t="n">
        <v>-23.649410804544</v>
      </c>
      <c r="CH51" s="162" t="n">
        <v>-23.649410804544</v>
      </c>
      <c r="CI51" s="162" t="n">
        <v>-23.649410804544</v>
      </c>
      <c r="CJ51" s="162" t="n">
        <v>-23.649410804544</v>
      </c>
      <c r="CK51" s="162" t="n">
        <v>-23.649410804544</v>
      </c>
      <c r="CL51" s="162" t="n">
        <v>-24.1223990206349</v>
      </c>
      <c r="CM51" s="162" t="n">
        <v>-24.1223990206349</v>
      </c>
      <c r="CN51" s="162" t="n">
        <v>-24.1223990206349</v>
      </c>
      <c r="CO51" s="162" t="n">
        <v>-24.1223990206349</v>
      </c>
      <c r="CP51" s="162" t="n">
        <v>-24.1223990206349</v>
      </c>
      <c r="CQ51" s="162" t="n">
        <v>-24.1223990206349</v>
      </c>
      <c r="CR51" s="162" t="n">
        <v>-24.1223990206349</v>
      </c>
      <c r="CS51" s="162" t="n">
        <v>-24.1223990206349</v>
      </c>
      <c r="CT51" s="162" t="n">
        <v>-24.1223990206349</v>
      </c>
      <c r="CU51" s="162" t="n">
        <v>-24.1223990206349</v>
      </c>
      <c r="CV51" s="162" t="n">
        <v>-24.1223990206349</v>
      </c>
      <c r="CW51" s="162" t="n">
        <v>-24.1223990206349</v>
      </c>
      <c r="CX51" s="162" t="n">
        <v>-24.6048470010476</v>
      </c>
      <c r="CY51" s="162" t="n">
        <v>-24.6048470010476</v>
      </c>
      <c r="CZ51" s="162" t="n">
        <v>-24.6048470010476</v>
      </c>
      <c r="DA51" s="162" t="n">
        <v>-24.6048470010476</v>
      </c>
      <c r="DB51" s="162" t="n">
        <v>-24.6048470010476</v>
      </c>
      <c r="DC51" s="162" t="n">
        <v>-24.6048470010476</v>
      </c>
      <c r="DD51" s="162" t="n">
        <v>-24.6048470010476</v>
      </c>
      <c r="DE51" s="162" t="n">
        <v>-24.6048470010476</v>
      </c>
      <c r="DF51" s="162" t="n">
        <v>-24.6048470010476</v>
      </c>
    </row>
    <row r="52" customFormat="false" ht="18" hidden="false" customHeight="true" outlineLevel="0" collapsed="false">
      <c r="A52" s="101" t="s">
        <v>95</v>
      </c>
      <c r="B52" s="104"/>
      <c r="C52" s="161" t="n">
        <v>0</v>
      </c>
      <c r="D52" s="161" t="n">
        <v>0</v>
      </c>
      <c r="E52" s="161" t="n">
        <v>0</v>
      </c>
      <c r="F52" s="162" t="n">
        <v>0</v>
      </c>
      <c r="G52" s="162" t="n">
        <v>0</v>
      </c>
      <c r="H52" s="162" t="n">
        <v>0</v>
      </c>
      <c r="I52" s="162" t="n">
        <v>0</v>
      </c>
      <c r="J52" s="162" t="n">
        <v>0</v>
      </c>
      <c r="K52" s="162" t="n">
        <v>0</v>
      </c>
      <c r="L52" s="162" t="n">
        <v>0</v>
      </c>
      <c r="M52" s="162" t="n">
        <v>0</v>
      </c>
      <c r="N52" s="162" t="n">
        <v>0</v>
      </c>
      <c r="O52" s="162" t="n">
        <v>0</v>
      </c>
      <c r="P52" s="162" t="n">
        <v>0</v>
      </c>
      <c r="Q52" s="162" t="n">
        <v>0</v>
      </c>
      <c r="R52" s="162" t="n">
        <v>0</v>
      </c>
      <c r="S52" s="162" t="n">
        <v>0</v>
      </c>
      <c r="T52" s="162" t="n">
        <v>0</v>
      </c>
      <c r="U52" s="162" t="n">
        <v>0</v>
      </c>
      <c r="V52" s="162" t="n">
        <v>0</v>
      </c>
      <c r="W52" s="162" t="n">
        <v>0</v>
      </c>
      <c r="X52" s="162" t="n">
        <v>0</v>
      </c>
      <c r="Y52" s="162" t="n">
        <v>0</v>
      </c>
      <c r="Z52" s="162" t="n">
        <v>0</v>
      </c>
      <c r="AA52" s="162" t="n">
        <v>0</v>
      </c>
      <c r="AB52" s="162" t="n">
        <v>0</v>
      </c>
      <c r="AC52" s="162" t="n">
        <v>0</v>
      </c>
      <c r="AD52" s="162" t="n">
        <v>0</v>
      </c>
      <c r="AE52" s="162" t="n">
        <v>0</v>
      </c>
      <c r="AF52" s="162" t="n">
        <v>0</v>
      </c>
      <c r="AG52" s="162" t="n">
        <v>0</v>
      </c>
      <c r="AH52" s="162" t="n">
        <v>0</v>
      </c>
      <c r="AI52" s="162" t="n">
        <v>0</v>
      </c>
      <c r="AJ52" s="162" t="n">
        <v>0</v>
      </c>
      <c r="AK52" s="162" t="n">
        <v>0</v>
      </c>
      <c r="AL52" s="162" t="n">
        <v>0</v>
      </c>
      <c r="AM52" s="162" t="n">
        <v>0</v>
      </c>
      <c r="AN52" s="162" t="n">
        <v>0</v>
      </c>
      <c r="AO52" s="162" t="n">
        <v>0</v>
      </c>
      <c r="AP52" s="162" t="n">
        <v>0</v>
      </c>
      <c r="AQ52" s="162" t="n">
        <v>0</v>
      </c>
      <c r="AR52" s="162" t="n">
        <v>0</v>
      </c>
      <c r="AS52" s="162" t="n">
        <v>0</v>
      </c>
      <c r="AT52" s="162" t="n">
        <v>0</v>
      </c>
      <c r="AU52" s="162" t="n">
        <v>0</v>
      </c>
      <c r="AV52" s="162" t="n">
        <v>0</v>
      </c>
      <c r="AW52" s="162" t="n">
        <v>0</v>
      </c>
      <c r="AX52" s="162" t="n">
        <v>0</v>
      </c>
      <c r="AY52" s="162" t="n">
        <v>0</v>
      </c>
      <c r="AZ52" s="162" t="n">
        <v>0</v>
      </c>
      <c r="BA52" s="162" t="n">
        <v>0</v>
      </c>
      <c r="BB52" s="162" t="n">
        <v>0</v>
      </c>
      <c r="BC52" s="162" t="n">
        <v>0</v>
      </c>
      <c r="BD52" s="162" t="n">
        <v>0</v>
      </c>
      <c r="BE52" s="162" t="n">
        <v>0</v>
      </c>
      <c r="BF52" s="162" t="n">
        <v>0</v>
      </c>
      <c r="BG52" s="162" t="n">
        <v>0</v>
      </c>
      <c r="BH52" s="162" t="n">
        <v>0</v>
      </c>
      <c r="BI52" s="162" t="n">
        <v>0</v>
      </c>
      <c r="BJ52" s="162" t="n">
        <v>0</v>
      </c>
      <c r="BK52" s="162" t="n">
        <v>0</v>
      </c>
      <c r="BL52" s="162" t="n">
        <v>0</v>
      </c>
      <c r="BM52" s="162" t="n">
        <v>0</v>
      </c>
      <c r="BN52" s="162" t="n">
        <v>0</v>
      </c>
      <c r="BO52" s="162" t="n">
        <v>0</v>
      </c>
      <c r="BP52" s="162" t="n">
        <v>0</v>
      </c>
      <c r="BQ52" s="162" t="n">
        <v>0</v>
      </c>
      <c r="BR52" s="162" t="n">
        <v>0</v>
      </c>
      <c r="BS52" s="162" t="n">
        <v>0</v>
      </c>
      <c r="BT52" s="162" t="n">
        <v>0</v>
      </c>
      <c r="BU52" s="162" t="n">
        <v>0</v>
      </c>
      <c r="BV52" s="162" t="n">
        <v>0</v>
      </c>
      <c r="BW52" s="162" t="n">
        <v>0</v>
      </c>
      <c r="BX52" s="162" t="n">
        <v>0</v>
      </c>
      <c r="BY52" s="162" t="n">
        <v>0</v>
      </c>
      <c r="BZ52" s="162" t="n">
        <v>0</v>
      </c>
      <c r="CA52" s="162" t="n">
        <v>0</v>
      </c>
      <c r="CB52" s="162" t="n">
        <v>0</v>
      </c>
      <c r="CC52" s="162" t="n">
        <v>0</v>
      </c>
      <c r="CD52" s="162" t="n">
        <v>0</v>
      </c>
      <c r="CE52" s="162" t="n">
        <v>0</v>
      </c>
      <c r="CF52" s="162" t="n">
        <v>0</v>
      </c>
      <c r="CG52" s="162" t="n">
        <v>0</v>
      </c>
      <c r="CH52" s="162" t="n">
        <v>0</v>
      </c>
      <c r="CI52" s="162" t="n">
        <v>0</v>
      </c>
      <c r="CJ52" s="162" t="n">
        <v>0</v>
      </c>
      <c r="CK52" s="162" t="n">
        <v>0</v>
      </c>
      <c r="CL52" s="162" t="n">
        <v>0</v>
      </c>
      <c r="CM52" s="162" t="n">
        <v>0</v>
      </c>
      <c r="CN52" s="162" t="n">
        <v>0</v>
      </c>
      <c r="CO52" s="162" t="n">
        <v>0</v>
      </c>
      <c r="CP52" s="162" t="n">
        <v>0</v>
      </c>
      <c r="CQ52" s="162" t="n">
        <v>0</v>
      </c>
      <c r="CR52" s="162" t="n">
        <v>0</v>
      </c>
      <c r="CS52" s="162" t="n">
        <v>0</v>
      </c>
      <c r="CT52" s="162" t="n">
        <v>0</v>
      </c>
      <c r="CU52" s="162" t="n">
        <v>0</v>
      </c>
      <c r="CV52" s="162" t="n">
        <v>0</v>
      </c>
      <c r="CW52" s="162" t="n">
        <v>0</v>
      </c>
      <c r="CX52" s="162" t="n">
        <v>0</v>
      </c>
      <c r="CY52" s="162" t="n">
        <v>0</v>
      </c>
      <c r="CZ52" s="162" t="n">
        <v>0</v>
      </c>
      <c r="DA52" s="162" t="n">
        <v>0</v>
      </c>
      <c r="DB52" s="162" t="n">
        <v>0</v>
      </c>
      <c r="DC52" s="162" t="n">
        <v>0</v>
      </c>
      <c r="DD52" s="162" t="n">
        <v>0</v>
      </c>
      <c r="DE52" s="162" t="n">
        <v>0</v>
      </c>
      <c r="DF52" s="162" t="n">
        <v>0</v>
      </c>
    </row>
    <row r="53" customFormat="false" ht="15" hidden="false" customHeight="true" outlineLevel="0" collapsed="false">
      <c r="A53" s="106" t="s">
        <v>96</v>
      </c>
      <c r="C53" s="161" t="n">
        <v>0</v>
      </c>
      <c r="D53" s="161" t="n">
        <v>0</v>
      </c>
      <c r="E53" s="161" t="n">
        <v>-11105.35</v>
      </c>
      <c r="F53" s="162" t="n">
        <v>-3701.78</v>
      </c>
      <c r="G53" s="162" t="n">
        <v>-3701.78</v>
      </c>
      <c r="H53" s="162" t="n">
        <v>-3701.78</v>
      </c>
      <c r="I53" s="162" t="n">
        <v>-3701.78</v>
      </c>
      <c r="J53" s="162" t="n">
        <v>-3701.78</v>
      </c>
      <c r="K53" s="162" t="n">
        <v>-3701.78</v>
      </c>
      <c r="L53" s="162" t="n">
        <v>-3701.78</v>
      </c>
      <c r="M53" s="162" t="n">
        <v>-3701.78</v>
      </c>
      <c r="N53" s="162" t="n">
        <v>-3701.78</v>
      </c>
      <c r="O53" s="162" t="n">
        <v>-3701.78</v>
      </c>
      <c r="P53" s="162" t="n">
        <v>-3701.78</v>
      </c>
      <c r="Q53" s="162" t="n">
        <v>-3701.78</v>
      </c>
      <c r="R53" s="162" t="n">
        <v>-3775.8156</v>
      </c>
      <c r="S53" s="162" t="n">
        <v>-3775.8156</v>
      </c>
      <c r="T53" s="162" t="n">
        <v>-3775.8156</v>
      </c>
      <c r="U53" s="162" t="n">
        <v>-3775.8156</v>
      </c>
      <c r="V53" s="162" t="n">
        <v>-3775.8156</v>
      </c>
      <c r="W53" s="162" t="n">
        <v>-3775.8156</v>
      </c>
      <c r="X53" s="162" t="n">
        <v>-3775.8156</v>
      </c>
      <c r="Y53" s="162" t="n">
        <v>-3775.8156</v>
      </c>
      <c r="Z53" s="162" t="n">
        <v>-3775.8156</v>
      </c>
      <c r="AA53" s="162" t="n">
        <v>-3775.8156</v>
      </c>
      <c r="AB53" s="162" t="n">
        <v>-3775.8156</v>
      </c>
      <c r="AC53" s="162" t="n">
        <v>-3775.8156</v>
      </c>
      <c r="AD53" s="162" t="n">
        <v>-3851.331912</v>
      </c>
      <c r="AE53" s="162" t="n">
        <v>-3851.331912</v>
      </c>
      <c r="AF53" s="162" t="n">
        <v>-3851.331912</v>
      </c>
      <c r="AG53" s="162" t="n">
        <v>-3851.331912</v>
      </c>
      <c r="AH53" s="162" t="n">
        <v>-3851.331912</v>
      </c>
      <c r="AI53" s="162" t="n">
        <v>-3851.331912</v>
      </c>
      <c r="AJ53" s="162" t="n">
        <v>-3851.331912</v>
      </c>
      <c r="AK53" s="162" t="n">
        <v>-3851.331912</v>
      </c>
      <c r="AL53" s="162" t="n">
        <v>-3851.331912</v>
      </c>
      <c r="AM53" s="162" t="n">
        <v>-3851.331912</v>
      </c>
      <c r="AN53" s="162" t="n">
        <v>-3851.331912</v>
      </c>
      <c r="AO53" s="162" t="n">
        <v>-3851.331912</v>
      </c>
      <c r="AP53" s="162" t="n">
        <v>-3928.35855024</v>
      </c>
      <c r="AQ53" s="162" t="n">
        <v>-3928.35855024</v>
      </c>
      <c r="AR53" s="162" t="n">
        <v>-3928.35855024</v>
      </c>
      <c r="AS53" s="162" t="n">
        <v>-3928.35855024</v>
      </c>
      <c r="AT53" s="162" t="n">
        <v>-3928.35855024</v>
      </c>
      <c r="AU53" s="162" t="n">
        <v>-3928.35855024</v>
      </c>
      <c r="AV53" s="162" t="n">
        <v>-3928.35855024</v>
      </c>
      <c r="AW53" s="162" t="n">
        <v>-3928.35855024</v>
      </c>
      <c r="AX53" s="162" t="n">
        <v>-3928.35855024</v>
      </c>
      <c r="AY53" s="162" t="n">
        <v>-3928.35855024</v>
      </c>
      <c r="AZ53" s="162" t="n">
        <v>-3928.35855024</v>
      </c>
      <c r="BA53" s="162" t="n">
        <v>-3928.35855024</v>
      </c>
      <c r="BB53" s="162" t="n">
        <v>-4006.9257212448</v>
      </c>
      <c r="BC53" s="162" t="n">
        <v>-4006.9257212448</v>
      </c>
      <c r="BD53" s="162" t="n">
        <v>-4006.9257212448</v>
      </c>
      <c r="BE53" s="162" t="n">
        <v>-4006.9257212448</v>
      </c>
      <c r="BF53" s="162" t="n">
        <v>-4006.9257212448</v>
      </c>
      <c r="BG53" s="162" t="n">
        <v>-4006.9257212448</v>
      </c>
      <c r="BH53" s="162" t="n">
        <v>-4006.9257212448</v>
      </c>
      <c r="BI53" s="162" t="n">
        <v>-4006.9257212448</v>
      </c>
      <c r="BJ53" s="162" t="n">
        <v>-4006.9257212448</v>
      </c>
      <c r="BK53" s="162" t="n">
        <v>-4006.9257212448</v>
      </c>
      <c r="BL53" s="162" t="n">
        <v>-4006.9257212448</v>
      </c>
      <c r="BM53" s="162" t="n">
        <v>-4006.9257212448</v>
      </c>
      <c r="BN53" s="162" t="n">
        <v>-4087.0642356697</v>
      </c>
      <c r="BO53" s="162" t="n">
        <v>-4087.0642356697</v>
      </c>
      <c r="BP53" s="162" t="n">
        <v>-4087.0642356697</v>
      </c>
      <c r="BQ53" s="162" t="n">
        <v>-4087.0642356697</v>
      </c>
      <c r="BR53" s="162" t="n">
        <v>-4087.0642356697</v>
      </c>
      <c r="BS53" s="162" t="n">
        <v>-4087.0642356697</v>
      </c>
      <c r="BT53" s="162" t="n">
        <v>-4087.0642356697</v>
      </c>
      <c r="BU53" s="162" t="n">
        <v>-4087.0642356697</v>
      </c>
      <c r="BV53" s="162" t="n">
        <v>-4087.0642356697</v>
      </c>
      <c r="BW53" s="162" t="n">
        <v>-4087.0642356697</v>
      </c>
      <c r="BX53" s="162" t="n">
        <v>-4087.0642356697</v>
      </c>
      <c r="BY53" s="162" t="n">
        <v>-4087.0642356697</v>
      </c>
      <c r="BZ53" s="162" t="n">
        <v>-4168.80552038309</v>
      </c>
      <c r="CA53" s="162" t="n">
        <v>-4168.80552038309</v>
      </c>
      <c r="CB53" s="162" t="n">
        <v>-4168.80552038309</v>
      </c>
      <c r="CC53" s="162" t="n">
        <v>-4168.80552038309</v>
      </c>
      <c r="CD53" s="162" t="n">
        <v>-4168.80552038309</v>
      </c>
      <c r="CE53" s="162" t="n">
        <v>-4168.80552038309</v>
      </c>
      <c r="CF53" s="162" t="n">
        <v>-4168.80552038309</v>
      </c>
      <c r="CG53" s="162" t="n">
        <v>-4168.80552038309</v>
      </c>
      <c r="CH53" s="162" t="n">
        <v>-4168.80552038309</v>
      </c>
      <c r="CI53" s="162" t="n">
        <v>-4168.80552038309</v>
      </c>
      <c r="CJ53" s="162" t="n">
        <v>-4168.80552038309</v>
      </c>
      <c r="CK53" s="162" t="n">
        <v>-4168.80552038309</v>
      </c>
      <c r="CL53" s="162" t="n">
        <v>-4252.18163079075</v>
      </c>
      <c r="CM53" s="162" t="n">
        <v>-4252.18163079075</v>
      </c>
      <c r="CN53" s="162" t="n">
        <v>-4252.18163079075</v>
      </c>
      <c r="CO53" s="162" t="n">
        <v>-4252.18163079075</v>
      </c>
      <c r="CP53" s="162" t="n">
        <v>-4252.18163079075</v>
      </c>
      <c r="CQ53" s="162" t="n">
        <v>-4252.18163079075</v>
      </c>
      <c r="CR53" s="162" t="n">
        <v>-4252.18163079075</v>
      </c>
      <c r="CS53" s="162" t="n">
        <v>-4252.18163079075</v>
      </c>
      <c r="CT53" s="162" t="n">
        <v>-4252.18163079075</v>
      </c>
      <c r="CU53" s="162" t="n">
        <v>-4252.18163079075</v>
      </c>
      <c r="CV53" s="162" t="n">
        <v>-4252.18163079075</v>
      </c>
      <c r="CW53" s="162" t="n">
        <v>-4252.18163079075</v>
      </c>
      <c r="CX53" s="162" t="n">
        <v>-4337.22526340657</v>
      </c>
      <c r="CY53" s="162" t="n">
        <v>-4337.22526340657</v>
      </c>
      <c r="CZ53" s="162" t="n">
        <v>-4337.22526340657</v>
      </c>
      <c r="DA53" s="162" t="n">
        <v>-4337.22526340657</v>
      </c>
      <c r="DB53" s="162" t="n">
        <v>-4337.22526340657</v>
      </c>
      <c r="DC53" s="162" t="n">
        <v>-4337.22526340657</v>
      </c>
      <c r="DD53" s="162" t="n">
        <v>-4337.22526340657</v>
      </c>
      <c r="DE53" s="162" t="n">
        <v>-4337.22526340657</v>
      </c>
      <c r="DF53" s="162" t="n">
        <v>-4337.22526340657</v>
      </c>
    </row>
    <row r="54" customFormat="false" ht="15" hidden="false" customHeight="true" outlineLevel="0" collapsed="false">
      <c r="A54" s="106" t="s">
        <v>517</v>
      </c>
      <c r="C54" s="161" t="n">
        <v>0</v>
      </c>
      <c r="D54" s="161" t="n">
        <v>0</v>
      </c>
      <c r="E54" s="161" t="n">
        <v>0</v>
      </c>
      <c r="F54" s="162" t="n">
        <v>0</v>
      </c>
      <c r="G54" s="162" t="n">
        <v>0</v>
      </c>
      <c r="H54" s="162" t="n">
        <v>0</v>
      </c>
      <c r="I54" s="162" t="n">
        <v>0</v>
      </c>
      <c r="J54" s="162" t="n">
        <v>0</v>
      </c>
      <c r="K54" s="162" t="n">
        <v>0</v>
      </c>
      <c r="L54" s="162" t="n">
        <v>0</v>
      </c>
      <c r="M54" s="162" t="n">
        <v>0</v>
      </c>
      <c r="N54" s="162" t="n">
        <v>0</v>
      </c>
      <c r="O54" s="162" t="n">
        <v>0</v>
      </c>
      <c r="P54" s="162" t="n">
        <v>0</v>
      </c>
      <c r="Q54" s="162" t="n">
        <v>0</v>
      </c>
      <c r="R54" s="162" t="n">
        <v>0</v>
      </c>
      <c r="S54" s="162" t="n">
        <v>0</v>
      </c>
      <c r="T54" s="162" t="n">
        <v>0</v>
      </c>
      <c r="U54" s="162" t="n">
        <v>0</v>
      </c>
      <c r="V54" s="162" t="n">
        <v>0</v>
      </c>
      <c r="W54" s="162" t="n">
        <v>0</v>
      </c>
      <c r="X54" s="162" t="n">
        <v>0</v>
      </c>
      <c r="Y54" s="162" t="n">
        <v>0</v>
      </c>
      <c r="Z54" s="162" t="n">
        <v>0</v>
      </c>
      <c r="AA54" s="162" t="n">
        <v>0</v>
      </c>
      <c r="AB54" s="162" t="n">
        <v>0</v>
      </c>
      <c r="AC54" s="162" t="n">
        <v>0</v>
      </c>
      <c r="AD54" s="162" t="n">
        <v>0</v>
      </c>
      <c r="AE54" s="162" t="n">
        <v>0</v>
      </c>
      <c r="AF54" s="162" t="n">
        <v>0</v>
      </c>
      <c r="AG54" s="162" t="n">
        <v>0</v>
      </c>
      <c r="AH54" s="162" t="n">
        <v>0</v>
      </c>
      <c r="AI54" s="162" t="n">
        <v>0</v>
      </c>
      <c r="AJ54" s="162" t="n">
        <v>0</v>
      </c>
      <c r="AK54" s="162" t="n">
        <v>0</v>
      </c>
      <c r="AL54" s="162" t="n">
        <v>0</v>
      </c>
      <c r="AM54" s="162" t="n">
        <v>0</v>
      </c>
      <c r="AN54" s="162" t="n">
        <v>0</v>
      </c>
      <c r="AO54" s="162" t="n">
        <v>0</v>
      </c>
      <c r="AP54" s="162" t="n">
        <v>0</v>
      </c>
      <c r="AQ54" s="162" t="n">
        <v>0</v>
      </c>
      <c r="AR54" s="162" t="n">
        <v>0</v>
      </c>
      <c r="AS54" s="162" t="n">
        <v>0</v>
      </c>
      <c r="AT54" s="162" t="n">
        <v>0</v>
      </c>
      <c r="AU54" s="162" t="n">
        <v>0</v>
      </c>
      <c r="AV54" s="162" t="n">
        <v>0</v>
      </c>
      <c r="AW54" s="162" t="n">
        <v>0</v>
      </c>
      <c r="AX54" s="162" t="n">
        <v>0</v>
      </c>
      <c r="AY54" s="162" t="n">
        <v>0</v>
      </c>
      <c r="AZ54" s="162" t="n">
        <v>0</v>
      </c>
      <c r="BA54" s="162" t="n">
        <v>0</v>
      </c>
      <c r="BB54" s="162" t="n">
        <v>0</v>
      </c>
      <c r="BC54" s="162" t="n">
        <v>0</v>
      </c>
      <c r="BD54" s="162" t="n">
        <v>0</v>
      </c>
      <c r="BE54" s="162" t="n">
        <v>0</v>
      </c>
      <c r="BF54" s="162" t="n">
        <v>0</v>
      </c>
      <c r="BG54" s="162" t="n">
        <v>0</v>
      </c>
      <c r="BH54" s="162" t="n">
        <v>0</v>
      </c>
      <c r="BI54" s="162" t="n">
        <v>0</v>
      </c>
      <c r="BJ54" s="162" t="n">
        <v>0</v>
      </c>
      <c r="BK54" s="162" t="n">
        <v>0</v>
      </c>
      <c r="BL54" s="162" t="n">
        <v>0</v>
      </c>
      <c r="BM54" s="162" t="n">
        <v>0</v>
      </c>
      <c r="BN54" s="162" t="n">
        <v>0</v>
      </c>
      <c r="BO54" s="162" t="n">
        <v>0</v>
      </c>
      <c r="BP54" s="162" t="n">
        <v>0</v>
      </c>
      <c r="BQ54" s="162" t="n">
        <v>0</v>
      </c>
      <c r="BR54" s="162" t="n">
        <v>0</v>
      </c>
      <c r="BS54" s="162" t="n">
        <v>0</v>
      </c>
      <c r="BT54" s="162" t="n">
        <v>0</v>
      </c>
      <c r="BU54" s="162" t="n">
        <v>0</v>
      </c>
      <c r="BV54" s="162" t="n">
        <v>0</v>
      </c>
      <c r="BW54" s="162" t="n">
        <v>0</v>
      </c>
      <c r="BX54" s="162" t="n">
        <v>0</v>
      </c>
      <c r="BY54" s="162" t="n">
        <v>0</v>
      </c>
      <c r="BZ54" s="162" t="n">
        <v>0</v>
      </c>
      <c r="CA54" s="162" t="n">
        <v>0</v>
      </c>
      <c r="CB54" s="162" t="n">
        <v>0</v>
      </c>
      <c r="CC54" s="162" t="n">
        <v>0</v>
      </c>
      <c r="CD54" s="162" t="n">
        <v>0</v>
      </c>
      <c r="CE54" s="162" t="n">
        <v>0</v>
      </c>
      <c r="CF54" s="162" t="n">
        <v>0</v>
      </c>
      <c r="CG54" s="162" t="n">
        <v>0</v>
      </c>
      <c r="CH54" s="162" t="n">
        <v>0</v>
      </c>
      <c r="CI54" s="162" t="n">
        <v>0</v>
      </c>
      <c r="CJ54" s="162" t="n">
        <v>0</v>
      </c>
      <c r="CK54" s="162" t="n">
        <v>0</v>
      </c>
      <c r="CL54" s="162" t="n">
        <v>0</v>
      </c>
      <c r="CM54" s="162" t="n">
        <v>0</v>
      </c>
      <c r="CN54" s="162" t="n">
        <v>0</v>
      </c>
      <c r="CO54" s="162" t="n">
        <v>0</v>
      </c>
      <c r="CP54" s="162" t="n">
        <v>0</v>
      </c>
      <c r="CQ54" s="162" t="n">
        <v>0</v>
      </c>
      <c r="CR54" s="162" t="n">
        <v>0</v>
      </c>
      <c r="CS54" s="162" t="n">
        <v>0</v>
      </c>
      <c r="CT54" s="162" t="n">
        <v>0</v>
      </c>
      <c r="CU54" s="162" t="n">
        <v>0</v>
      </c>
      <c r="CV54" s="162" t="n">
        <v>0</v>
      </c>
      <c r="CW54" s="162" t="n">
        <v>0</v>
      </c>
      <c r="CX54" s="162" t="n">
        <v>0</v>
      </c>
      <c r="CY54" s="162" t="n">
        <v>0</v>
      </c>
      <c r="CZ54" s="162" t="n">
        <v>0</v>
      </c>
      <c r="DA54" s="162" t="n">
        <v>0</v>
      </c>
      <c r="DB54" s="162" t="n">
        <v>0</v>
      </c>
      <c r="DC54" s="162" t="n">
        <v>0</v>
      </c>
      <c r="DD54" s="162" t="n">
        <v>0</v>
      </c>
      <c r="DE54" s="162" t="n">
        <v>0</v>
      </c>
      <c r="DF54" s="162" t="n">
        <v>0</v>
      </c>
    </row>
    <row r="55" customFormat="false" ht="15" hidden="false" customHeight="true" outlineLevel="0" collapsed="false">
      <c r="A55" s="94" t="s">
        <v>97</v>
      </c>
      <c r="C55" s="164" t="n">
        <v>-258991.59</v>
      </c>
      <c r="D55" s="164" t="n">
        <v>-258698.63</v>
      </c>
      <c r="E55" s="164" t="n">
        <v>-350327.83</v>
      </c>
      <c r="F55" s="164" t="n">
        <v>-391691.558333333</v>
      </c>
      <c r="G55" s="164" t="n">
        <v>-464089.475</v>
      </c>
      <c r="H55" s="164" t="n">
        <v>-493464.475</v>
      </c>
      <c r="I55" s="164" t="n">
        <v>-480368.641666666</v>
      </c>
      <c r="J55" s="164" t="n">
        <v>-460868.641666666</v>
      </c>
      <c r="K55" s="164" t="n">
        <v>-460868.641666666</v>
      </c>
      <c r="L55" s="164" t="n">
        <v>-522222.808333333</v>
      </c>
      <c r="M55" s="164" t="n">
        <v>-573072.808333333</v>
      </c>
      <c r="N55" s="164" t="n">
        <v>-519072.808333333</v>
      </c>
      <c r="O55" s="164" t="n">
        <v>-519072.808333333</v>
      </c>
      <c r="P55" s="164" t="n">
        <v>-519072.808333333</v>
      </c>
      <c r="Q55" s="164" t="n">
        <v>-519072.808333333</v>
      </c>
      <c r="R55" s="164" t="n">
        <v>-566949.597833333</v>
      </c>
      <c r="S55" s="164" t="n">
        <v>-542949.597833333</v>
      </c>
      <c r="T55" s="164" t="n">
        <v>-542949.597833333</v>
      </c>
      <c r="U55" s="164" t="n">
        <v>-542949.597833333</v>
      </c>
      <c r="V55" s="164" t="n">
        <v>-542949.597833333</v>
      </c>
      <c r="W55" s="164" t="n">
        <v>-542949.597833333</v>
      </c>
      <c r="X55" s="164" t="n">
        <v>-542949.597833333</v>
      </c>
      <c r="Y55" s="164" t="n">
        <v>-542949.597833333</v>
      </c>
      <c r="Z55" s="164" t="n">
        <v>-542949.597833333</v>
      </c>
      <c r="AA55" s="164" t="n">
        <v>-542949.597833333</v>
      </c>
      <c r="AB55" s="164" t="n">
        <v>-542949.597833333</v>
      </c>
      <c r="AC55" s="164" t="n">
        <v>-542949.597833333</v>
      </c>
      <c r="AD55" s="164" t="n">
        <v>-551731.923123333</v>
      </c>
      <c r="AE55" s="164" t="n">
        <v>-551731.923123333</v>
      </c>
      <c r="AF55" s="164" t="n">
        <v>-551731.923123333</v>
      </c>
      <c r="AG55" s="164" t="n">
        <v>-551731.923123333</v>
      </c>
      <c r="AH55" s="164" t="n">
        <v>-551731.923123333</v>
      </c>
      <c r="AI55" s="164" t="n">
        <v>-551731.923123333</v>
      </c>
      <c r="AJ55" s="164" t="n">
        <v>-551731.923123333</v>
      </c>
      <c r="AK55" s="164" t="n">
        <v>-551731.923123333</v>
      </c>
      <c r="AL55" s="164" t="n">
        <v>-551731.923123333</v>
      </c>
      <c r="AM55" s="164" t="n">
        <v>-551731.923123333</v>
      </c>
      <c r="AN55" s="164" t="n">
        <v>-551731.923123333</v>
      </c>
      <c r="AO55" s="164" t="n">
        <v>-551731.923123333</v>
      </c>
      <c r="AP55" s="164" t="n">
        <v>-560689.894919133</v>
      </c>
      <c r="AQ55" s="164" t="n">
        <v>-560689.894919133</v>
      </c>
      <c r="AR55" s="164" t="n">
        <v>-560689.894919133</v>
      </c>
      <c r="AS55" s="164" t="n">
        <v>-560689.894919133</v>
      </c>
      <c r="AT55" s="164" t="n">
        <v>-560689.894919133</v>
      </c>
      <c r="AU55" s="164" t="n">
        <v>-560689.894919133</v>
      </c>
      <c r="AV55" s="164" t="n">
        <v>-560689.894919133</v>
      </c>
      <c r="AW55" s="164" t="n">
        <v>-560689.894919133</v>
      </c>
      <c r="AX55" s="164" t="n">
        <v>-560689.894919133</v>
      </c>
      <c r="AY55" s="164" t="n">
        <v>-560689.894919133</v>
      </c>
      <c r="AZ55" s="164" t="n">
        <v>-560689.894919133</v>
      </c>
      <c r="BA55" s="164" t="n">
        <v>-560689.894919133</v>
      </c>
      <c r="BB55" s="164" t="n">
        <v>-569827.026150849</v>
      </c>
      <c r="BC55" s="164" t="n">
        <v>-569827.026150849</v>
      </c>
      <c r="BD55" s="164" t="n">
        <v>-569827.026150849</v>
      </c>
      <c r="BE55" s="164" t="n">
        <v>-569827.026150849</v>
      </c>
      <c r="BF55" s="164" t="n">
        <v>-569827.026150849</v>
      </c>
      <c r="BG55" s="164" t="n">
        <v>-569827.026150849</v>
      </c>
      <c r="BH55" s="164" t="n">
        <v>-569827.026150849</v>
      </c>
      <c r="BI55" s="164" t="n">
        <v>-569827.026150849</v>
      </c>
      <c r="BJ55" s="164" t="n">
        <v>-569827.026150849</v>
      </c>
      <c r="BK55" s="164" t="n">
        <v>-569827.026150849</v>
      </c>
      <c r="BL55" s="164" t="n">
        <v>-569827.026150849</v>
      </c>
      <c r="BM55" s="164" t="n">
        <v>-569827.026150849</v>
      </c>
      <c r="BN55" s="164" t="n">
        <v>-579146.900007199</v>
      </c>
      <c r="BO55" s="164" t="n">
        <v>-579146.900007199</v>
      </c>
      <c r="BP55" s="164" t="n">
        <v>-579146.900007199</v>
      </c>
      <c r="BQ55" s="164" t="n">
        <v>-579146.900007199</v>
      </c>
      <c r="BR55" s="164" t="n">
        <v>-579146.900007199</v>
      </c>
      <c r="BS55" s="164" t="n">
        <v>-579146.900007199</v>
      </c>
      <c r="BT55" s="164" t="n">
        <v>-579146.900007199</v>
      </c>
      <c r="BU55" s="164" t="n">
        <v>-579146.900007199</v>
      </c>
      <c r="BV55" s="164" t="n">
        <v>-579146.900007199</v>
      </c>
      <c r="BW55" s="164" t="n">
        <v>-579146.900007199</v>
      </c>
      <c r="BX55" s="164" t="n">
        <v>-579146.900007199</v>
      </c>
      <c r="BY55" s="164" t="n">
        <v>-579146.900007199</v>
      </c>
      <c r="BZ55" s="164" t="n">
        <v>-588653.171340677</v>
      </c>
      <c r="CA55" s="164" t="n">
        <v>-588653.171340677</v>
      </c>
      <c r="CB55" s="164" t="n">
        <v>-588653.171340677</v>
      </c>
      <c r="CC55" s="164" t="n">
        <v>-588653.171340677</v>
      </c>
      <c r="CD55" s="164" t="n">
        <v>-588653.171340677</v>
      </c>
      <c r="CE55" s="164" t="n">
        <v>-588653.171340677</v>
      </c>
      <c r="CF55" s="164" t="n">
        <v>-588653.171340677</v>
      </c>
      <c r="CG55" s="164" t="n">
        <v>-588653.171340677</v>
      </c>
      <c r="CH55" s="164" t="n">
        <v>-588653.171340677</v>
      </c>
      <c r="CI55" s="164" t="n">
        <v>-588653.171340677</v>
      </c>
      <c r="CJ55" s="164" t="n">
        <v>-588653.171340677</v>
      </c>
      <c r="CK55" s="164" t="n">
        <v>-588653.171340677</v>
      </c>
      <c r="CL55" s="164" t="n">
        <v>-598349.568100823</v>
      </c>
      <c r="CM55" s="164" t="n">
        <v>-598349.568100823</v>
      </c>
      <c r="CN55" s="164" t="n">
        <v>-598349.568100823</v>
      </c>
      <c r="CO55" s="164" t="n">
        <v>-598349.568100823</v>
      </c>
      <c r="CP55" s="164" t="n">
        <v>-598349.568100823</v>
      </c>
      <c r="CQ55" s="164" t="n">
        <v>-598349.568100823</v>
      </c>
      <c r="CR55" s="164" t="n">
        <v>-598349.568100823</v>
      </c>
      <c r="CS55" s="164" t="n">
        <v>-598349.568100823</v>
      </c>
      <c r="CT55" s="164" t="n">
        <v>-598349.568100823</v>
      </c>
      <c r="CU55" s="164" t="n">
        <v>-541129.466733473</v>
      </c>
      <c r="CV55" s="164" t="n">
        <v>-541129.466733473</v>
      </c>
      <c r="CW55" s="164" t="n">
        <v>-541129.466733473</v>
      </c>
      <c r="CX55" s="164" t="n">
        <v>-549875.389401476</v>
      </c>
      <c r="CY55" s="164" t="n">
        <v>-549875.389401476</v>
      </c>
      <c r="CZ55" s="164" t="n">
        <v>-549875.389401476</v>
      </c>
      <c r="DA55" s="164" t="n">
        <v>-549875.389401476</v>
      </c>
      <c r="DB55" s="164" t="n">
        <v>-549875.389401476</v>
      </c>
      <c r="DC55" s="164" t="n">
        <v>-549875.389401476</v>
      </c>
      <c r="DD55" s="164" t="n">
        <v>-549875.389401476</v>
      </c>
      <c r="DE55" s="164" t="n">
        <v>-549875.389401476</v>
      </c>
      <c r="DF55" s="164" t="n">
        <v>-549875.389401476</v>
      </c>
    </row>
    <row r="56" customFormat="false" ht="15" hidden="false" customHeight="true" outlineLevel="0" collapsed="false">
      <c r="A56" s="90"/>
      <c r="C56" s="104"/>
      <c r="D56" s="104"/>
      <c r="E56" s="104"/>
      <c r="F56" s="160"/>
      <c r="G56" s="160"/>
      <c r="H56" s="160"/>
      <c r="I56" s="160"/>
      <c r="J56" s="160"/>
      <c r="K56" s="160"/>
      <c r="L56" s="160"/>
      <c r="M56" s="160"/>
      <c r="N56" s="160"/>
      <c r="O56" s="160"/>
      <c r="P56" s="160"/>
      <c r="Q56" s="160"/>
      <c r="R56" s="160"/>
      <c r="S56" s="160"/>
      <c r="T56" s="160"/>
      <c r="U56" s="160"/>
      <c r="V56" s="160"/>
      <c r="W56" s="160"/>
      <c r="X56" s="160"/>
      <c r="Y56" s="160"/>
      <c r="Z56" s="160"/>
      <c r="AA56" s="160"/>
      <c r="AB56" s="160"/>
      <c r="AC56" s="160"/>
      <c r="AD56" s="160"/>
      <c r="AE56" s="160"/>
      <c r="AF56" s="160"/>
      <c r="AG56" s="160"/>
      <c r="AH56" s="160"/>
      <c r="AI56" s="160"/>
      <c r="AJ56" s="160"/>
      <c r="AK56" s="160"/>
      <c r="AL56" s="160"/>
      <c r="AM56" s="160"/>
      <c r="AN56" s="160"/>
      <c r="AO56" s="160"/>
      <c r="AP56" s="160"/>
      <c r="AQ56" s="160"/>
      <c r="AR56" s="160"/>
      <c r="AS56" s="160"/>
      <c r="AT56" s="160"/>
      <c r="AU56" s="160"/>
      <c r="AV56" s="160"/>
      <c r="AW56" s="160"/>
      <c r="AX56" s="160"/>
      <c r="AY56" s="160"/>
      <c r="AZ56" s="160"/>
      <c r="BA56" s="160"/>
      <c r="BB56" s="160"/>
      <c r="BC56" s="160"/>
      <c r="BD56" s="160"/>
      <c r="BE56" s="160"/>
      <c r="BF56" s="160"/>
      <c r="BG56" s="160"/>
      <c r="BH56" s="160"/>
      <c r="BI56" s="160"/>
      <c r="BJ56" s="160"/>
      <c r="BK56" s="160"/>
      <c r="BL56" s="160"/>
      <c r="BM56" s="160"/>
      <c r="BN56" s="160"/>
      <c r="BO56" s="160"/>
      <c r="BP56" s="160"/>
      <c r="BQ56" s="160"/>
      <c r="BR56" s="160"/>
      <c r="BS56" s="160"/>
      <c r="BT56" s="160"/>
      <c r="BU56" s="160"/>
      <c r="BV56" s="160"/>
      <c r="BW56" s="160"/>
      <c r="BX56" s="160"/>
      <c r="BY56" s="160"/>
      <c r="BZ56" s="160"/>
      <c r="CA56" s="160"/>
      <c r="CB56" s="160"/>
      <c r="CC56" s="160"/>
      <c r="CD56" s="160"/>
      <c r="CE56" s="160"/>
      <c r="CF56" s="160"/>
      <c r="CG56" s="160"/>
      <c r="CH56" s="160"/>
      <c r="CI56" s="160"/>
      <c r="CJ56" s="160"/>
      <c r="CK56" s="160"/>
      <c r="CL56" s="160"/>
      <c r="CM56" s="160"/>
      <c r="CN56" s="160"/>
      <c r="CO56" s="160"/>
      <c r="CP56" s="160"/>
      <c r="CQ56" s="160"/>
      <c r="CR56" s="160"/>
      <c r="CS56" s="160"/>
      <c r="CT56" s="160"/>
      <c r="CU56" s="160"/>
      <c r="CV56" s="160"/>
      <c r="CW56" s="160"/>
      <c r="CX56" s="160"/>
      <c r="CY56" s="160"/>
      <c r="CZ56" s="160"/>
      <c r="DA56" s="160"/>
      <c r="DB56" s="160"/>
      <c r="DC56" s="160"/>
      <c r="DD56" s="160"/>
      <c r="DE56" s="160"/>
      <c r="DF56" s="160"/>
    </row>
    <row r="57" customFormat="false" ht="15" hidden="false" customHeight="true" outlineLevel="0" collapsed="false">
      <c r="A57" s="94" t="s">
        <v>98</v>
      </c>
      <c r="C57" s="164" t="n">
        <v>-40238.7799999999</v>
      </c>
      <c r="D57" s="164" t="n">
        <v>-309702.1</v>
      </c>
      <c r="E57" s="164" t="n">
        <v>243856.69</v>
      </c>
      <c r="F57" s="164" t="n">
        <v>77193.5079209369</v>
      </c>
      <c r="G57" s="164" t="n">
        <v>4795.59125425993</v>
      </c>
      <c r="H57" s="164" t="n">
        <v>-24579.4087457396</v>
      </c>
      <c r="I57" s="164" t="n">
        <v>478888.752787913</v>
      </c>
      <c r="J57" s="164" t="n">
        <v>171828.547987913</v>
      </c>
      <c r="K57" s="164" t="n">
        <v>171828.547987913</v>
      </c>
      <c r="L57" s="164" t="n">
        <v>476879.116623526</v>
      </c>
      <c r="M57" s="164" t="n">
        <v>507880.050630907</v>
      </c>
      <c r="N57" s="164" t="n">
        <v>255504.966544817</v>
      </c>
      <c r="O57" s="164" t="n">
        <v>255504.966544827</v>
      </c>
      <c r="P57" s="164" t="n">
        <v>255504.966544827</v>
      </c>
      <c r="Q57" s="164" t="n">
        <v>255504.966544817</v>
      </c>
      <c r="R57" s="164" t="n">
        <v>-411966.093897963</v>
      </c>
      <c r="S57" s="164" t="n">
        <v>404202.381102027</v>
      </c>
      <c r="T57" s="164" t="n">
        <v>562864.259388238</v>
      </c>
      <c r="U57" s="164" t="n">
        <v>324683.812184128</v>
      </c>
      <c r="V57" s="164" t="n">
        <v>59005.0606073667</v>
      </c>
      <c r="W57" s="164" t="n">
        <v>59005.0606073677</v>
      </c>
      <c r="X57" s="164" t="n">
        <v>80815.3650471163</v>
      </c>
      <c r="Y57" s="164" t="n">
        <v>37194.7561676172</v>
      </c>
      <c r="Z57" s="164" t="n">
        <v>37194.7561676162</v>
      </c>
      <c r="AA57" s="164" t="n">
        <v>37194.7561676172</v>
      </c>
      <c r="AB57" s="164" t="n">
        <v>37194.7561676162</v>
      </c>
      <c r="AC57" s="164" t="n">
        <v>37194.7561676172</v>
      </c>
      <c r="AD57" s="164" t="n">
        <v>110433.446720217</v>
      </c>
      <c r="AE57" s="164" t="n">
        <v>-53608.5849649826</v>
      </c>
      <c r="AF57" s="164" t="n">
        <v>-619655.004096433</v>
      </c>
      <c r="AG57" s="164" t="n">
        <v>104051.055903567</v>
      </c>
      <c r="AH57" s="164" t="n">
        <v>104051.055903567</v>
      </c>
      <c r="AI57" s="164" t="n">
        <v>104051.055903567</v>
      </c>
      <c r="AJ57" s="164" t="n">
        <v>232047.185471317</v>
      </c>
      <c r="AK57" s="164" t="n">
        <v>2720.78666242689</v>
      </c>
      <c r="AL57" s="164" t="n">
        <v>261371.507820827</v>
      </c>
      <c r="AM57" s="164" t="n">
        <v>-161091.336737893</v>
      </c>
      <c r="AN57" s="164" t="n">
        <v>-161091.336737893</v>
      </c>
      <c r="AO57" s="164" t="n">
        <v>-65712.2712752431</v>
      </c>
      <c r="AP57" s="164" t="n">
        <v>-230456.049993373</v>
      </c>
      <c r="AQ57" s="164" t="n">
        <v>-230456.049993373</v>
      </c>
      <c r="AR57" s="164" t="n">
        <v>-230456.049993373</v>
      </c>
      <c r="AS57" s="164" t="n">
        <v>-230456.049993373</v>
      </c>
      <c r="AT57" s="164" t="n">
        <v>-230456.049993373</v>
      </c>
      <c r="AU57" s="164" t="n">
        <v>42029.5353601269</v>
      </c>
      <c r="AV57" s="164" t="n">
        <v>-403030.254050583</v>
      </c>
      <c r="AW57" s="164" t="n">
        <v>-403030.254050583</v>
      </c>
      <c r="AX57" s="164" t="n">
        <v>-403030.254050583</v>
      </c>
      <c r="AY57" s="164" t="n">
        <v>-403030.254050583</v>
      </c>
      <c r="AZ57" s="164" t="n">
        <v>-403030.254050583</v>
      </c>
      <c r="BA57" s="164" t="n">
        <v>-403030.254050583</v>
      </c>
      <c r="BB57" s="164" t="n">
        <v>-412167.385282299</v>
      </c>
      <c r="BC57" s="164" t="n">
        <v>-412167.385282299</v>
      </c>
      <c r="BD57" s="164" t="n">
        <v>-412167.385282299</v>
      </c>
      <c r="BE57" s="164" t="n">
        <v>-412167.385282302</v>
      </c>
      <c r="BF57" s="164" t="n">
        <v>-412167.385282302</v>
      </c>
      <c r="BG57" s="164" t="n">
        <v>-412167.385282302</v>
      </c>
      <c r="BH57" s="164" t="n">
        <v>-412167.385282302</v>
      </c>
      <c r="BI57" s="164" t="n">
        <v>-163231.110226702</v>
      </c>
      <c r="BJ57" s="164" t="n">
        <v>-569827.026150849</v>
      </c>
      <c r="BK57" s="164" t="n">
        <v>-569827.026150849</v>
      </c>
      <c r="BL57" s="164" t="n">
        <v>-569827.026150849</v>
      </c>
      <c r="BM57" s="164" t="n">
        <v>-569827.026150849</v>
      </c>
      <c r="BN57" s="164" t="n">
        <v>-579146.900007199</v>
      </c>
      <c r="BO57" s="164" t="n">
        <v>-579146.900007199</v>
      </c>
      <c r="BP57" s="164" t="n">
        <v>-579146.900007199</v>
      </c>
      <c r="BQ57" s="164" t="n">
        <v>-579146.900007199</v>
      </c>
      <c r="BR57" s="164" t="n">
        <v>-579146.900007199</v>
      </c>
      <c r="BS57" s="164" t="n">
        <v>-579146.900007199</v>
      </c>
      <c r="BT57" s="164" t="n">
        <v>-579146.900007199</v>
      </c>
      <c r="BU57" s="164" t="n">
        <v>-579146.900007199</v>
      </c>
      <c r="BV57" s="164" t="n">
        <v>-579146.900007199</v>
      </c>
      <c r="BW57" s="164" t="n">
        <v>-579146.900007199</v>
      </c>
      <c r="BX57" s="164" t="n">
        <v>-579146.900007199</v>
      </c>
      <c r="BY57" s="164" t="n">
        <v>-579146.900007199</v>
      </c>
      <c r="BZ57" s="164" t="n">
        <v>-588653.171340677</v>
      </c>
      <c r="CA57" s="164" t="n">
        <v>-588653.171340677</v>
      </c>
      <c r="CB57" s="164" t="n">
        <v>-588653.171340677</v>
      </c>
      <c r="CC57" s="164" t="n">
        <v>-588653.171340677</v>
      </c>
      <c r="CD57" s="164" t="n">
        <v>-588653.171340677</v>
      </c>
      <c r="CE57" s="164" t="n">
        <v>-588653.171340677</v>
      </c>
      <c r="CF57" s="164" t="n">
        <v>-588653.171340677</v>
      </c>
      <c r="CG57" s="164" t="n">
        <v>-588653.171340677</v>
      </c>
      <c r="CH57" s="164" t="n">
        <v>-588653.171340677</v>
      </c>
      <c r="CI57" s="164" t="n">
        <v>-588653.171340677</v>
      </c>
      <c r="CJ57" s="164" t="n">
        <v>-588653.171340677</v>
      </c>
      <c r="CK57" s="164" t="n">
        <v>-588653.171340677</v>
      </c>
      <c r="CL57" s="164" t="n">
        <v>-598349.568100823</v>
      </c>
      <c r="CM57" s="164" t="n">
        <v>-598349.568100823</v>
      </c>
      <c r="CN57" s="164" t="n">
        <v>-598349.568100823</v>
      </c>
      <c r="CO57" s="164" t="n">
        <v>-598349.568100823</v>
      </c>
      <c r="CP57" s="164" t="n">
        <v>-598349.568100823</v>
      </c>
      <c r="CQ57" s="164" t="n">
        <v>-598349.568100823</v>
      </c>
      <c r="CR57" s="164" t="n">
        <v>-598349.568100823</v>
      </c>
      <c r="CS57" s="164" t="n">
        <v>-598349.568100823</v>
      </c>
      <c r="CT57" s="164" t="n">
        <v>-598349.568100823</v>
      </c>
      <c r="CU57" s="164" t="n">
        <v>-541129.466733473</v>
      </c>
      <c r="CV57" s="164" t="n">
        <v>-541129.466733473</v>
      </c>
      <c r="CW57" s="164" t="n">
        <v>-541129.466733473</v>
      </c>
      <c r="CX57" s="164" t="n">
        <v>-549875.389401476</v>
      </c>
      <c r="CY57" s="164" t="n">
        <v>-549875.389401476</v>
      </c>
      <c r="CZ57" s="164" t="n">
        <v>-549875.389401476</v>
      </c>
      <c r="DA57" s="164" t="n">
        <v>-549875.389401476</v>
      </c>
      <c r="DB57" s="164" t="n">
        <v>-549875.389401476</v>
      </c>
      <c r="DC57" s="164" t="n">
        <v>-549875.389401476</v>
      </c>
      <c r="DD57" s="164" t="n">
        <v>-549875.389401476</v>
      </c>
      <c r="DE57" s="164" t="n">
        <v>-549875.389401476</v>
      </c>
      <c r="DF57" s="164" t="n">
        <v>-549875.389401476</v>
      </c>
    </row>
    <row r="58" customFormat="false" ht="15" hidden="false" customHeight="true" outlineLevel="0" collapsed="false">
      <c r="A58" s="99" t="s">
        <v>99</v>
      </c>
      <c r="C58" s="167" t="n">
        <f aca="false">IFERROR(C57/C13,0)</f>
        <v>-0.0276785988569409</v>
      </c>
      <c r="D58" s="167" t="n">
        <f aca="false">IFERROR(D57/D13,0)</f>
        <v>-0.102464901385612</v>
      </c>
      <c r="E58" s="167" t="n">
        <f aca="false">IFERROR(E57/E13,0)</f>
        <v>0.0912563488127398</v>
      </c>
      <c r="F58" s="167" t="n">
        <f aca="false">IFERROR(F57/F13,0)</f>
        <v>0.0173298465800976</v>
      </c>
      <c r="G58" s="167" t="n">
        <f aca="false">IFERROR(G57/G13,0)</f>
        <v>0.00103190312584528</v>
      </c>
      <c r="H58" s="167" t="n">
        <f aca="false">IFERROR(H57/H13,0)</f>
        <v>-0.00513830988769468</v>
      </c>
      <c r="I58" s="167" t="n">
        <f aca="false">IFERROR(I57/I13,0)</f>
        <v>0.0835258951271783</v>
      </c>
      <c r="J58" s="167" t="n">
        <f aca="false">IFERROR(J57/J13,0)</f>
        <v>0.0291585151848811</v>
      </c>
      <c r="K58" s="167" t="n">
        <f aca="false">IFERROR(K57/K13,0)</f>
        <v>0.0287072206647552</v>
      </c>
      <c r="L58" s="167" t="n">
        <f aca="false">IFERROR(L57/L13,0)</f>
        <v>0.0719850664285797</v>
      </c>
      <c r="M58" s="167" t="n">
        <f aca="false">IFERROR(M57/M13,0)</f>
        <v>0.0699094476542191</v>
      </c>
      <c r="N58" s="167" t="n">
        <f aca="false">IFERROR(N57/N13,0)</f>
        <v>0.0365905286174057</v>
      </c>
      <c r="O58" s="167" t="n">
        <f aca="false">IFERROR(O57/O13,0)</f>
        <v>0.035633773223876</v>
      </c>
      <c r="P58" s="167" t="n">
        <f aca="false">IFERROR(P57/P13,0)</f>
        <v>0.0349944801662139</v>
      </c>
      <c r="Q58" s="167" t="n">
        <f aca="false">IFERROR(Q57/Q13,0)</f>
        <v>0.0346548085310985</v>
      </c>
      <c r="R58" s="167" t="n">
        <f aca="false">IFERROR(R57/R13,0)</f>
        <v>-0.050795343294945</v>
      </c>
      <c r="S58" s="167" t="n">
        <f aca="false">IFERROR(S57/S13,0)</f>
        <v>0.0495244343315864</v>
      </c>
      <c r="T58" s="167" t="n">
        <f aca="false">IFERROR(T57/T13,0)</f>
        <v>0.0690622206771117</v>
      </c>
      <c r="U58" s="167" t="n">
        <f aca="false">IFERROR(U57/U13,0)</f>
        <v>0.0437191547040497</v>
      </c>
      <c r="V58" s="167" t="n">
        <f aca="false">IFERROR(V57/V13,0)</f>
        <v>0.00848544419508858</v>
      </c>
      <c r="W58" s="167" t="n">
        <f aca="false">IFERROR(W57/W13,0)</f>
        <v>0.00848643812066759</v>
      </c>
      <c r="X58" s="167" t="n">
        <f aca="false">IFERROR(X57/X13,0)</f>
        <v>0.0117880175166161</v>
      </c>
      <c r="Y58" s="167" t="n">
        <f aca="false">IFERROR(Y57/Y13,0)</f>
        <v>0.00563862231580771</v>
      </c>
      <c r="Z58" s="167" t="n">
        <f aca="false">IFERROR(Z57/Z13,0)</f>
        <v>0.00584990253965618</v>
      </c>
      <c r="AA58" s="167" t="n">
        <f aca="false">IFERROR(AA57/AA13,0)</f>
        <v>0.00613653352507423</v>
      </c>
      <c r="AB58" s="167" t="n">
        <f aca="false">IFERROR(AB57/AB13,0)</f>
        <v>0.00649960124595134</v>
      </c>
      <c r="AC58" s="167" t="n">
        <f aca="false">IFERROR(AC57/AC13,0)</f>
        <v>0.00694035554431828</v>
      </c>
      <c r="AD58" s="167" t="n">
        <f aca="false">IFERROR(AD57/AD13,0)</f>
        <v>0.0221502466866728</v>
      </c>
      <c r="AE58" s="167" t="n">
        <f aca="false">IFERROR(AE57/AE13,0)</f>
        <v>-0.012383939800172</v>
      </c>
      <c r="AF58" s="167" t="n">
        <f aca="false">IFERROR(AF57/AF13,0)</f>
        <v>-0.145646882929711</v>
      </c>
      <c r="AG58" s="167" t="n">
        <f aca="false">IFERROR(AG57/AG13,0)</f>
        <v>0.0302716750479491</v>
      </c>
      <c r="AH58" s="167" t="n">
        <f aca="false">IFERROR(AH57/AH13,0)</f>
        <v>0.0298747215140425</v>
      </c>
      <c r="AI58" s="167" t="n">
        <f aca="false">IFERROR(AI57/AI13,0)</f>
        <v>0.0296361913542734</v>
      </c>
      <c r="AJ58" s="167" t="n">
        <f aca="false">IFERROR(AJ57/AJ13,0)</f>
        <v>0.065888999765768</v>
      </c>
      <c r="AK58" s="167" t="n">
        <f aca="false">IFERROR(AK57/AK13,0)</f>
        <v>0.00077379969162039</v>
      </c>
      <c r="AL58" s="167" t="n">
        <f aca="false">IFERROR(AL57/AL13,0)</f>
        <v>0.0747904788455928</v>
      </c>
      <c r="AM58" s="167" t="n">
        <f aca="false">IFERROR(AM57/AM13,0)</f>
        <v>-0.0465807469205635</v>
      </c>
      <c r="AN58" s="167" t="n">
        <f aca="false">IFERROR(AN57/AN13,0)</f>
        <v>-0.0472717456555632</v>
      </c>
      <c r="AO58" s="167" t="n">
        <f aca="false">IFERROR(AO57/AO13,0)</f>
        <v>-0.019651665804181</v>
      </c>
      <c r="AP58" s="167" t="n">
        <f aca="false">IFERROR(AP57/AP13,0)</f>
        <v>-0.0756171560874285</v>
      </c>
      <c r="AQ58" s="167" t="n">
        <f aca="false">IFERROR(AQ57/AQ13,0)</f>
        <v>-0.0770343143191285</v>
      </c>
      <c r="AR58" s="167" t="n">
        <f aca="false">IFERROR(AR57/AR13,0)</f>
        <v>-0.0788940943909012</v>
      </c>
      <c r="AS58" s="167" t="n">
        <f aca="false">IFERROR(AS57/AS13,0)</f>
        <v>-0.0812405024671969</v>
      </c>
      <c r="AT58" s="167" t="n">
        <f aca="false">IFERROR(AT57/AT13,0)</f>
        <v>-0.0841288501455523</v>
      </c>
      <c r="AU58" s="167" t="n">
        <f aca="false">IFERROR(AU57/AU13,0)</f>
        <v>0.0159813424056486</v>
      </c>
      <c r="AV58" s="167" t="n">
        <f aca="false">IFERROR(AV57/AV13,0)</f>
        <v>-0.214130249789158</v>
      </c>
      <c r="AW58" s="167" t="n">
        <f aca="false">IFERROR(AW57/AW13,0)</f>
        <v>-0.218450004808168</v>
      </c>
      <c r="AX58" s="167" t="n">
        <f aca="false">IFERROR(AX57/AX13,0)</f>
        <v>-0.225100129144198</v>
      </c>
      <c r="AY58" s="167" t="n">
        <f aca="false">IFERROR(AY57/AY13,0)</f>
        <v>-0.234277508074266</v>
      </c>
      <c r="AZ58" s="167" t="n">
        <f aca="false">IFERROR(AZ57/AZ13,0)</f>
        <v>-0.24627792536914</v>
      </c>
      <c r="BA58" s="167" t="n">
        <f aca="false">IFERROR(BA57/BA13,0)</f>
        <v>-0.261496420008664</v>
      </c>
      <c r="BB58" s="167" t="n">
        <f aca="false">IFERROR(BB57/BB13,0)</f>
        <v>-0.286793734485519</v>
      </c>
      <c r="BC58" s="167" t="n">
        <f aca="false">IFERROR(BC57/BC13,0)</f>
        <v>-0.310661925076369</v>
      </c>
      <c r="BD58" s="167" t="n">
        <f aca="false">IFERROR(BD57/BD13,0)</f>
        <v>-0.339892094429402</v>
      </c>
      <c r="BE58" s="167" t="n">
        <f aca="false">IFERROR(BE57/BE13,0)</f>
        <v>-0.375604139864318</v>
      </c>
      <c r="BF58" s="167" t="n">
        <f aca="false">IFERROR(BF57/BF13,0)</f>
        <v>-0.419242662439579</v>
      </c>
      <c r="BG58" s="167" t="n">
        <f aca="false">IFERROR(BG57/BG13,0)</f>
        <v>-0.472644563244375</v>
      </c>
      <c r="BH58" s="167" t="n">
        <f aca="false">IFERROR(BH57/BH13,0)</f>
        <v>-0.538214489510807</v>
      </c>
      <c r="BI58" s="167" t="n">
        <f aca="false">IFERROR(BI57/BI13,0)</f>
        <v>-0.245146629480391</v>
      </c>
      <c r="BJ58" s="167" t="n">
        <f aca="false">IFERROR(BJ57/BJ13,0)</f>
        <v>0</v>
      </c>
      <c r="BK58" s="167" t="n">
        <f aca="false">IFERROR(BK57/BK13,0)</f>
        <v>0</v>
      </c>
      <c r="BL58" s="167" t="n">
        <f aca="false">IFERROR(BL57/BL13,0)</f>
        <v>0</v>
      </c>
      <c r="BM58" s="167" t="n">
        <f aca="false">IFERROR(BM57/BM13,0)</f>
        <v>0</v>
      </c>
      <c r="BN58" s="167" t="n">
        <f aca="false">IFERROR(BN57/BN13,0)</f>
        <v>0</v>
      </c>
      <c r="BO58" s="167" t="n">
        <f aca="false">IFERROR(BO57/BO13,0)</f>
        <v>0</v>
      </c>
      <c r="BP58" s="167" t="n">
        <f aca="false">IFERROR(BP57/BP13,0)</f>
        <v>0</v>
      </c>
      <c r="BQ58" s="167" t="n">
        <f aca="false">IFERROR(BQ57/BQ13,0)</f>
        <v>0</v>
      </c>
      <c r="BR58" s="167" t="n">
        <f aca="false">IFERROR(BR57/BR13,0)</f>
        <v>0</v>
      </c>
      <c r="BS58" s="167" t="n">
        <f aca="false">IFERROR(BS57/BS13,0)</f>
        <v>0</v>
      </c>
      <c r="BT58" s="167" t="n">
        <f aca="false">IFERROR(BT57/BT13,0)</f>
        <v>0</v>
      </c>
      <c r="BU58" s="167" t="n">
        <f aca="false">IFERROR(BU57/BU13,0)</f>
        <v>0</v>
      </c>
      <c r="BV58" s="167" t="n">
        <f aca="false">IFERROR(BV57/BV13,0)</f>
        <v>0</v>
      </c>
      <c r="BW58" s="167" t="n">
        <f aca="false">IFERROR(BW57/BW13,0)</f>
        <v>0</v>
      </c>
      <c r="BX58" s="167" t="n">
        <f aca="false">IFERROR(BX57/BX13,0)</f>
        <v>0</v>
      </c>
      <c r="BY58" s="167" t="n">
        <f aca="false">IFERROR(BY57/BY13,0)</f>
        <v>0</v>
      </c>
      <c r="BZ58" s="167" t="n">
        <f aca="false">IFERROR(BZ57/BZ13,0)</f>
        <v>0</v>
      </c>
      <c r="CA58" s="167" t="n">
        <f aca="false">IFERROR(CA57/CA13,0)</f>
        <v>0</v>
      </c>
      <c r="CB58" s="167" t="n">
        <f aca="false">IFERROR(CB57/CB13,0)</f>
        <v>0</v>
      </c>
      <c r="CC58" s="167" t="n">
        <f aca="false">IFERROR(CC57/CC13,0)</f>
        <v>0</v>
      </c>
      <c r="CD58" s="167" t="n">
        <f aca="false">IFERROR(CD57/CD13,0)</f>
        <v>0</v>
      </c>
      <c r="CE58" s="167" t="n">
        <f aca="false">IFERROR(CE57/CE13,0)</f>
        <v>0</v>
      </c>
      <c r="CF58" s="167" t="n">
        <f aca="false">IFERROR(CF57/CF13,0)</f>
        <v>0</v>
      </c>
      <c r="CG58" s="167" t="n">
        <f aca="false">IFERROR(CG57/CG13,0)</f>
        <v>0</v>
      </c>
      <c r="CH58" s="167" t="n">
        <f aca="false">IFERROR(CH57/CH13,0)</f>
        <v>0</v>
      </c>
      <c r="CI58" s="167" t="n">
        <f aca="false">IFERROR(CI57/CI13,0)</f>
        <v>0</v>
      </c>
      <c r="CJ58" s="167" t="n">
        <f aca="false">IFERROR(CJ57/CJ13,0)</f>
        <v>0</v>
      </c>
      <c r="CK58" s="167" t="n">
        <f aca="false">IFERROR(CK57/CK13,0)</f>
        <v>0</v>
      </c>
      <c r="CL58" s="167" t="n">
        <f aca="false">IFERROR(CL57/CL13,0)</f>
        <v>0</v>
      </c>
      <c r="CM58" s="167" t="n">
        <f aca="false">IFERROR(CM57/CM13,0)</f>
        <v>0</v>
      </c>
      <c r="CN58" s="167" t="n">
        <f aca="false">IFERROR(CN57/CN13,0)</f>
        <v>0</v>
      </c>
      <c r="CO58" s="167" t="n">
        <f aca="false">IFERROR(CO57/CO13,0)</f>
        <v>0</v>
      </c>
      <c r="CP58" s="167" t="n">
        <f aca="false">IFERROR(CP57/CP13,0)</f>
        <v>0</v>
      </c>
      <c r="CQ58" s="167" t="n">
        <f aca="false">IFERROR(CQ57/CQ13,0)</f>
        <v>0</v>
      </c>
      <c r="CR58" s="167" t="n">
        <f aca="false">IFERROR(CR57/CR13,0)</f>
        <v>0</v>
      </c>
      <c r="CS58" s="167" t="n">
        <f aca="false">IFERROR(CS57/CS13,0)</f>
        <v>0</v>
      </c>
      <c r="CT58" s="167" t="n">
        <f aca="false">IFERROR(CT57/CT13,0)</f>
        <v>0</v>
      </c>
      <c r="CU58" s="167" t="n">
        <f aca="false">IFERROR(CU57/CU13,0)</f>
        <v>0</v>
      </c>
      <c r="CV58" s="167" t="n">
        <f aca="false">IFERROR(CV57/CV13,0)</f>
        <v>0</v>
      </c>
      <c r="CW58" s="167" t="n">
        <f aca="false">IFERROR(CW57/CW13,0)</f>
        <v>0</v>
      </c>
      <c r="CX58" s="167" t="n">
        <f aca="false">IFERROR(CX57/CX13,0)</f>
        <v>0</v>
      </c>
      <c r="CY58" s="167" t="n">
        <f aca="false">IFERROR(CY57/CY13,0)</f>
        <v>0</v>
      </c>
      <c r="CZ58" s="167" t="n">
        <f aca="false">IFERROR(CZ57/CZ13,0)</f>
        <v>0</v>
      </c>
      <c r="DA58" s="167" t="n">
        <f aca="false">IFERROR(DA57/DA13,0)</f>
        <v>0</v>
      </c>
      <c r="DB58" s="167" t="n">
        <f aca="false">IFERROR(DB57/DB13,0)</f>
        <v>0</v>
      </c>
      <c r="DC58" s="167" t="n">
        <f aca="false">IFERROR(DC57/DC13,0)</f>
        <v>0</v>
      </c>
      <c r="DD58" s="167" t="n">
        <f aca="false">IFERROR(DD57/DD13,0)</f>
        <v>0</v>
      </c>
      <c r="DE58" s="167" t="n">
        <f aca="false">IFERROR(DE57/DE13,0)</f>
        <v>0</v>
      </c>
      <c r="DF58" s="167" t="n">
        <f aca="false">IFERROR(DF57/DF13,0)</f>
        <v>0</v>
      </c>
    </row>
    <row r="59" customFormat="false" ht="15" hidden="false" customHeight="true" outlineLevel="0" collapsed="false">
      <c r="A59" s="90"/>
      <c r="C59" s="104"/>
      <c r="D59" s="104"/>
      <c r="E59" s="104"/>
      <c r="F59" s="160"/>
      <c r="G59" s="160"/>
      <c r="H59" s="160"/>
      <c r="I59" s="160"/>
      <c r="J59" s="160"/>
      <c r="K59" s="160"/>
      <c r="L59" s="160"/>
      <c r="M59" s="160"/>
      <c r="N59" s="160"/>
      <c r="O59" s="160"/>
      <c r="P59" s="160"/>
      <c r="Q59" s="160"/>
      <c r="R59" s="160"/>
      <c r="S59" s="160"/>
      <c r="T59" s="160"/>
      <c r="U59" s="160"/>
      <c r="V59" s="160"/>
      <c r="W59" s="160"/>
      <c r="X59" s="160"/>
      <c r="Y59" s="160"/>
      <c r="Z59" s="160"/>
      <c r="AA59" s="160"/>
      <c r="AB59" s="160"/>
      <c r="AC59" s="160"/>
      <c r="AD59" s="160"/>
      <c r="AE59" s="160"/>
      <c r="AF59" s="160"/>
      <c r="AG59" s="160"/>
      <c r="AH59" s="160"/>
      <c r="AI59" s="160"/>
      <c r="AJ59" s="160"/>
      <c r="AK59" s="160"/>
      <c r="AL59" s="160"/>
      <c r="AM59" s="160"/>
      <c r="AN59" s="160"/>
      <c r="AO59" s="160"/>
      <c r="AP59" s="160"/>
      <c r="AQ59" s="160"/>
      <c r="AR59" s="160"/>
      <c r="AS59" s="160"/>
      <c r="AT59" s="160"/>
      <c r="AU59" s="160"/>
      <c r="AV59" s="160"/>
      <c r="AW59" s="160"/>
      <c r="AX59" s="160"/>
      <c r="AY59" s="160"/>
      <c r="AZ59" s="160"/>
      <c r="BA59" s="160"/>
      <c r="BB59" s="160"/>
      <c r="BC59" s="160"/>
      <c r="BD59" s="160"/>
      <c r="BE59" s="160"/>
      <c r="BF59" s="160"/>
      <c r="BG59" s="160"/>
      <c r="BH59" s="160"/>
      <c r="BI59" s="160"/>
      <c r="BJ59" s="160"/>
      <c r="BK59" s="160"/>
      <c r="BL59" s="160"/>
      <c r="BM59" s="160"/>
      <c r="BN59" s="160"/>
      <c r="BO59" s="160"/>
      <c r="BP59" s="160"/>
      <c r="BQ59" s="160"/>
      <c r="BR59" s="160"/>
      <c r="BS59" s="160"/>
      <c r="BT59" s="160"/>
      <c r="BU59" s="160"/>
      <c r="BV59" s="160"/>
      <c r="BW59" s="160"/>
      <c r="BX59" s="160"/>
      <c r="BY59" s="160"/>
      <c r="BZ59" s="160"/>
      <c r="CA59" s="160"/>
      <c r="CB59" s="160"/>
      <c r="CC59" s="160"/>
      <c r="CD59" s="160"/>
      <c r="CE59" s="160"/>
      <c r="CF59" s="160"/>
      <c r="CG59" s="160"/>
      <c r="CH59" s="160"/>
      <c r="CI59" s="160"/>
      <c r="CJ59" s="160"/>
      <c r="CK59" s="160"/>
      <c r="CL59" s="160"/>
      <c r="CM59" s="160"/>
      <c r="CN59" s="160"/>
      <c r="CO59" s="160"/>
      <c r="CP59" s="160"/>
      <c r="CQ59" s="160"/>
      <c r="CR59" s="160"/>
      <c r="CS59" s="160"/>
      <c r="CT59" s="160"/>
      <c r="CU59" s="160"/>
      <c r="CV59" s="160"/>
      <c r="CW59" s="160"/>
      <c r="CX59" s="160"/>
      <c r="CY59" s="160"/>
      <c r="CZ59" s="160"/>
      <c r="DA59" s="160"/>
      <c r="DB59" s="160"/>
      <c r="DC59" s="160"/>
      <c r="DD59" s="160"/>
      <c r="DE59" s="160"/>
      <c r="DF59" s="160"/>
    </row>
    <row r="60" customFormat="false" ht="15" hidden="false" customHeight="true" outlineLevel="0" collapsed="false">
      <c r="A60" s="90"/>
      <c r="C60" s="104"/>
      <c r="D60" s="104"/>
      <c r="E60" s="104"/>
      <c r="F60" s="160"/>
      <c r="G60" s="160"/>
      <c r="H60" s="160"/>
      <c r="I60" s="160"/>
      <c r="J60" s="160"/>
      <c r="K60" s="160"/>
      <c r="L60" s="160"/>
      <c r="M60" s="160"/>
      <c r="N60" s="160"/>
      <c r="O60" s="160"/>
      <c r="P60" s="160"/>
      <c r="Q60" s="160"/>
      <c r="R60" s="160"/>
      <c r="S60" s="160"/>
      <c r="T60" s="160"/>
      <c r="U60" s="160"/>
      <c r="V60" s="160"/>
      <c r="W60" s="160"/>
      <c r="X60" s="160"/>
      <c r="Y60" s="160"/>
      <c r="Z60" s="160"/>
      <c r="AA60" s="160"/>
      <c r="AB60" s="160"/>
      <c r="AC60" s="160"/>
      <c r="AD60" s="160"/>
      <c r="AE60" s="160"/>
      <c r="AF60" s="160"/>
      <c r="AG60" s="160"/>
      <c r="AH60" s="160"/>
      <c r="AI60" s="160"/>
      <c r="AJ60" s="160"/>
      <c r="AK60" s="160"/>
      <c r="AL60" s="160"/>
      <c r="AM60" s="160"/>
      <c r="AN60" s="160"/>
      <c r="AO60" s="160"/>
      <c r="AP60" s="160"/>
      <c r="AQ60" s="160"/>
      <c r="AR60" s="160"/>
      <c r="AS60" s="160"/>
      <c r="AT60" s="160"/>
      <c r="AU60" s="160"/>
      <c r="AV60" s="160"/>
      <c r="AW60" s="160"/>
      <c r="AX60" s="160"/>
      <c r="AY60" s="160"/>
      <c r="AZ60" s="160"/>
      <c r="BA60" s="160"/>
      <c r="BB60" s="160"/>
      <c r="BC60" s="160"/>
      <c r="BD60" s="160"/>
      <c r="BE60" s="160"/>
      <c r="BF60" s="160"/>
      <c r="BG60" s="160"/>
      <c r="BH60" s="160"/>
      <c r="BI60" s="160"/>
      <c r="BJ60" s="160"/>
      <c r="BK60" s="160"/>
      <c r="BL60" s="160"/>
      <c r="BM60" s="160"/>
      <c r="BN60" s="160"/>
      <c r="BO60" s="160"/>
      <c r="BP60" s="160"/>
      <c r="BQ60" s="160"/>
      <c r="BR60" s="160"/>
      <c r="BS60" s="160"/>
      <c r="BT60" s="160"/>
      <c r="BU60" s="160"/>
      <c r="BV60" s="160"/>
      <c r="BW60" s="160"/>
      <c r="BX60" s="160"/>
      <c r="BY60" s="160"/>
      <c r="BZ60" s="160"/>
      <c r="CA60" s="160"/>
      <c r="CB60" s="160"/>
      <c r="CC60" s="160"/>
      <c r="CD60" s="160"/>
      <c r="CE60" s="160"/>
      <c r="CF60" s="160"/>
      <c r="CG60" s="160"/>
      <c r="CH60" s="160"/>
      <c r="CI60" s="160"/>
      <c r="CJ60" s="160"/>
      <c r="CK60" s="160"/>
      <c r="CL60" s="160"/>
      <c r="CM60" s="160"/>
      <c r="CN60" s="160"/>
      <c r="CO60" s="160"/>
      <c r="CP60" s="160"/>
      <c r="CQ60" s="160"/>
      <c r="CR60" s="160"/>
      <c r="CS60" s="160"/>
      <c r="CT60" s="160"/>
      <c r="CU60" s="160"/>
      <c r="CV60" s="160"/>
      <c r="CW60" s="160"/>
      <c r="CX60" s="160"/>
      <c r="CY60" s="160"/>
      <c r="CZ60" s="160"/>
      <c r="DA60" s="160"/>
      <c r="DB60" s="160"/>
      <c r="DC60" s="160"/>
      <c r="DD60" s="160"/>
      <c r="DE60" s="160"/>
      <c r="DF60" s="160"/>
    </row>
    <row r="61" customFormat="false" ht="15" hidden="false" customHeight="true" outlineLevel="0" collapsed="false">
      <c r="A61" s="90"/>
      <c r="C61" s="104"/>
      <c r="D61" s="104"/>
      <c r="E61" s="104"/>
      <c r="F61" s="160"/>
      <c r="G61" s="160"/>
      <c r="H61" s="160"/>
      <c r="I61" s="160"/>
      <c r="J61" s="160"/>
      <c r="K61" s="160"/>
      <c r="L61" s="160"/>
      <c r="M61" s="160"/>
      <c r="N61" s="160"/>
      <c r="O61" s="160"/>
      <c r="P61" s="160"/>
      <c r="Q61" s="160"/>
      <c r="R61" s="160"/>
      <c r="S61" s="160"/>
      <c r="T61" s="160"/>
      <c r="U61" s="160"/>
      <c r="V61" s="160"/>
      <c r="W61" s="160"/>
      <c r="X61" s="160"/>
      <c r="Y61" s="160"/>
      <c r="Z61" s="160"/>
      <c r="AA61" s="160"/>
      <c r="AB61" s="160"/>
      <c r="AC61" s="160"/>
      <c r="AD61" s="160"/>
      <c r="AE61" s="160"/>
      <c r="AF61" s="160"/>
      <c r="AG61" s="160"/>
      <c r="AH61" s="160"/>
      <c r="AI61" s="160"/>
      <c r="AJ61" s="160"/>
      <c r="AK61" s="160"/>
      <c r="AL61" s="160"/>
      <c r="AM61" s="160"/>
      <c r="AN61" s="160"/>
      <c r="AO61" s="160"/>
      <c r="AP61" s="160"/>
      <c r="AQ61" s="160"/>
      <c r="AR61" s="160"/>
      <c r="AS61" s="160"/>
      <c r="AT61" s="160"/>
      <c r="AU61" s="160"/>
      <c r="AV61" s="160"/>
      <c r="AW61" s="160"/>
      <c r="AX61" s="160"/>
      <c r="AY61" s="160"/>
      <c r="AZ61" s="160"/>
      <c r="BA61" s="160"/>
      <c r="BB61" s="160"/>
      <c r="BC61" s="160"/>
      <c r="BD61" s="160"/>
      <c r="BE61" s="160"/>
      <c r="BF61" s="160"/>
      <c r="BG61" s="160"/>
      <c r="BH61" s="160"/>
      <c r="BI61" s="160"/>
      <c r="BJ61" s="160"/>
      <c r="BK61" s="160"/>
      <c r="BL61" s="160"/>
      <c r="BM61" s="160"/>
      <c r="BN61" s="160"/>
      <c r="BO61" s="160"/>
      <c r="BP61" s="160"/>
      <c r="BQ61" s="160"/>
      <c r="BR61" s="160"/>
      <c r="BS61" s="160"/>
      <c r="BT61" s="160"/>
      <c r="BU61" s="160"/>
      <c r="BV61" s="160"/>
      <c r="BW61" s="160"/>
      <c r="BX61" s="160"/>
      <c r="BY61" s="160"/>
      <c r="BZ61" s="160"/>
      <c r="CA61" s="160"/>
      <c r="CB61" s="160"/>
      <c r="CC61" s="160"/>
      <c r="CD61" s="160"/>
      <c r="CE61" s="160"/>
      <c r="CF61" s="160"/>
      <c r="CG61" s="160"/>
      <c r="CH61" s="160"/>
      <c r="CI61" s="160"/>
      <c r="CJ61" s="160"/>
      <c r="CK61" s="160"/>
      <c r="CL61" s="160"/>
      <c r="CM61" s="160"/>
      <c r="CN61" s="160"/>
      <c r="CO61" s="160"/>
      <c r="CP61" s="160"/>
      <c r="CQ61" s="160"/>
      <c r="CR61" s="160"/>
      <c r="CS61" s="160"/>
      <c r="CT61" s="160"/>
      <c r="CU61" s="160"/>
      <c r="CV61" s="160"/>
      <c r="CW61" s="160"/>
      <c r="CX61" s="160"/>
      <c r="CY61" s="160"/>
      <c r="CZ61" s="160"/>
      <c r="DA61" s="160"/>
      <c r="DB61" s="160"/>
      <c r="DC61" s="160"/>
      <c r="DD61" s="160"/>
      <c r="DE61" s="160"/>
      <c r="DF61" s="160"/>
    </row>
    <row r="62" customFormat="false" ht="15" hidden="false" customHeight="true" outlineLevel="0" collapsed="false">
      <c r="A62" s="90"/>
      <c r="C62" s="104"/>
      <c r="D62" s="104"/>
      <c r="E62" s="104"/>
      <c r="F62" s="160"/>
      <c r="G62" s="160"/>
      <c r="H62" s="160"/>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c r="AK62" s="160"/>
      <c r="AL62" s="160"/>
      <c r="AM62" s="160"/>
      <c r="AN62" s="160"/>
      <c r="AO62" s="160"/>
      <c r="AP62" s="160"/>
      <c r="AQ62" s="160"/>
      <c r="AR62" s="160"/>
      <c r="AS62" s="160"/>
      <c r="AT62" s="160"/>
      <c r="AU62" s="160"/>
      <c r="AV62" s="160"/>
      <c r="AW62" s="160"/>
      <c r="AX62" s="160"/>
      <c r="AY62" s="160"/>
      <c r="AZ62" s="160"/>
      <c r="BA62" s="160"/>
      <c r="BB62" s="160"/>
      <c r="BC62" s="160"/>
      <c r="BD62" s="160"/>
      <c r="BE62" s="160"/>
      <c r="BF62" s="160"/>
      <c r="BG62" s="160"/>
      <c r="BH62" s="160"/>
      <c r="BI62" s="160"/>
      <c r="BJ62" s="160"/>
      <c r="BK62" s="160"/>
      <c r="BL62" s="160"/>
      <c r="BM62" s="160"/>
      <c r="BN62" s="160"/>
      <c r="BO62" s="160"/>
      <c r="BP62" s="160"/>
      <c r="BQ62" s="160"/>
      <c r="BR62" s="160"/>
      <c r="BS62" s="160"/>
      <c r="BT62" s="160"/>
      <c r="BU62" s="160"/>
      <c r="BV62" s="160"/>
      <c r="BW62" s="160"/>
      <c r="BX62" s="160"/>
      <c r="BY62" s="160"/>
      <c r="BZ62" s="160"/>
      <c r="CA62" s="160"/>
      <c r="CB62" s="160"/>
      <c r="CC62" s="160"/>
      <c r="CD62" s="160"/>
      <c r="CE62" s="160"/>
      <c r="CF62" s="160"/>
      <c r="CG62" s="160"/>
      <c r="CH62" s="160"/>
      <c r="CI62" s="160"/>
      <c r="CJ62" s="160"/>
      <c r="CK62" s="160"/>
      <c r="CL62" s="160"/>
      <c r="CM62" s="160"/>
      <c r="CN62" s="160"/>
      <c r="CO62" s="160"/>
      <c r="CP62" s="160"/>
      <c r="CQ62" s="160"/>
      <c r="CR62" s="160"/>
      <c r="CS62" s="160"/>
      <c r="CT62" s="160"/>
      <c r="CU62" s="160"/>
      <c r="CV62" s="160"/>
      <c r="CW62" s="160"/>
      <c r="CX62" s="160"/>
      <c r="CY62" s="160"/>
      <c r="CZ62" s="160"/>
      <c r="DA62" s="160"/>
      <c r="DB62" s="160"/>
      <c r="DC62" s="160"/>
      <c r="DD62" s="160"/>
      <c r="DE62" s="160"/>
      <c r="DF62" s="160"/>
    </row>
    <row r="63" customFormat="false" ht="15" hidden="false" customHeight="true" outlineLevel="0" collapsed="false">
      <c r="A63" s="90" t="s">
        <v>118</v>
      </c>
      <c r="C63" s="104" t="n">
        <v>0</v>
      </c>
      <c r="D63" s="104" t="n">
        <v>0</v>
      </c>
      <c r="E63" s="104" t="n">
        <v>0</v>
      </c>
      <c r="F63" s="160" t="n">
        <v>0</v>
      </c>
      <c r="G63" s="160" t="n">
        <v>0</v>
      </c>
      <c r="H63" s="160" t="n">
        <v>0</v>
      </c>
      <c r="I63" s="160" t="n">
        <v>0</v>
      </c>
      <c r="J63" s="160" t="n">
        <v>0</v>
      </c>
      <c r="K63" s="160" t="n">
        <v>0</v>
      </c>
      <c r="L63" s="160" t="n">
        <v>0</v>
      </c>
      <c r="M63" s="160" t="n">
        <v>0</v>
      </c>
      <c r="N63" s="160" t="n">
        <v>0</v>
      </c>
      <c r="O63" s="160" t="n">
        <v>0</v>
      </c>
      <c r="P63" s="160" t="n">
        <v>0</v>
      </c>
      <c r="Q63" s="160" t="n">
        <v>0</v>
      </c>
      <c r="R63" s="160" t="n">
        <v>0</v>
      </c>
      <c r="S63" s="160" t="n">
        <v>0</v>
      </c>
      <c r="T63" s="160" t="n">
        <v>0</v>
      </c>
      <c r="U63" s="160" t="n">
        <v>0</v>
      </c>
      <c r="V63" s="160" t="n">
        <v>0</v>
      </c>
      <c r="W63" s="160" t="n">
        <v>0</v>
      </c>
      <c r="X63" s="160" t="n">
        <v>0</v>
      </c>
      <c r="Y63" s="160" t="n">
        <v>0</v>
      </c>
      <c r="Z63" s="160" t="n">
        <v>0</v>
      </c>
      <c r="AA63" s="160" t="n">
        <v>0</v>
      </c>
      <c r="AB63" s="160" t="n">
        <v>0</v>
      </c>
      <c r="AC63" s="160" t="n">
        <v>0</v>
      </c>
      <c r="AD63" s="160" t="n">
        <v>0</v>
      </c>
      <c r="AE63" s="160" t="n">
        <v>0</v>
      </c>
      <c r="AF63" s="160" t="n">
        <v>0</v>
      </c>
      <c r="AG63" s="160" t="n">
        <v>0</v>
      </c>
      <c r="AH63" s="160" t="n">
        <v>0</v>
      </c>
      <c r="AI63" s="160" t="n">
        <v>0</v>
      </c>
      <c r="AJ63" s="160" t="n">
        <v>0</v>
      </c>
      <c r="AK63" s="160" t="n">
        <v>0</v>
      </c>
      <c r="AL63" s="160" t="n">
        <v>0</v>
      </c>
      <c r="AM63" s="160" t="n">
        <v>0</v>
      </c>
      <c r="AN63" s="160" t="n">
        <v>0</v>
      </c>
      <c r="AO63" s="160" t="n">
        <v>0</v>
      </c>
      <c r="AP63" s="160" t="n">
        <v>0</v>
      </c>
      <c r="AQ63" s="160" t="n">
        <v>0</v>
      </c>
      <c r="AR63" s="160" t="n">
        <v>0</v>
      </c>
      <c r="AS63" s="160" t="n">
        <v>0</v>
      </c>
      <c r="AT63" s="160" t="n">
        <v>0</v>
      </c>
      <c r="AU63" s="160" t="n">
        <v>0</v>
      </c>
      <c r="AV63" s="160" t="n">
        <v>0</v>
      </c>
      <c r="AW63" s="160" t="n">
        <v>0</v>
      </c>
      <c r="AX63" s="160" t="n">
        <v>0</v>
      </c>
      <c r="AY63" s="160" t="n">
        <v>0</v>
      </c>
      <c r="AZ63" s="160" t="n">
        <v>0</v>
      </c>
      <c r="BA63" s="160" t="n">
        <v>0</v>
      </c>
      <c r="BB63" s="160" t="n">
        <v>0</v>
      </c>
      <c r="BC63" s="160" t="n">
        <v>0</v>
      </c>
      <c r="BD63" s="160" t="n">
        <v>0</v>
      </c>
      <c r="BE63" s="160" t="n">
        <v>0</v>
      </c>
      <c r="BF63" s="160" t="n">
        <v>0</v>
      </c>
      <c r="BG63" s="160" t="n">
        <v>0</v>
      </c>
      <c r="BH63" s="160" t="n">
        <v>0</v>
      </c>
      <c r="BI63" s="160" t="n">
        <v>0</v>
      </c>
      <c r="BJ63" s="160" t="n">
        <v>0</v>
      </c>
      <c r="BK63" s="160" t="n">
        <v>0</v>
      </c>
      <c r="BL63" s="160" t="n">
        <v>0</v>
      </c>
      <c r="BM63" s="160" t="n">
        <v>0</v>
      </c>
      <c r="BN63" s="160" t="n">
        <v>0</v>
      </c>
      <c r="BO63" s="160" t="n">
        <v>0</v>
      </c>
      <c r="BP63" s="160" t="n">
        <v>0</v>
      </c>
      <c r="BQ63" s="160" t="n">
        <v>0</v>
      </c>
      <c r="BR63" s="160" t="n">
        <v>0</v>
      </c>
      <c r="BS63" s="160" t="n">
        <v>0</v>
      </c>
      <c r="BT63" s="160" t="n">
        <v>0</v>
      </c>
      <c r="BU63" s="160" t="n">
        <v>0</v>
      </c>
      <c r="BV63" s="160" t="n">
        <v>0</v>
      </c>
      <c r="BW63" s="160" t="n">
        <v>0</v>
      </c>
      <c r="BX63" s="160" t="n">
        <v>0</v>
      </c>
      <c r="BY63" s="160" t="n">
        <v>0</v>
      </c>
      <c r="BZ63" s="160" t="n">
        <v>0</v>
      </c>
      <c r="CA63" s="160" t="n">
        <v>0</v>
      </c>
      <c r="CB63" s="160" t="n">
        <v>0</v>
      </c>
      <c r="CC63" s="160" t="n">
        <v>0</v>
      </c>
      <c r="CD63" s="160" t="n">
        <v>0</v>
      </c>
      <c r="CE63" s="160" t="n">
        <v>0</v>
      </c>
      <c r="CF63" s="160" t="n">
        <v>0</v>
      </c>
      <c r="CG63" s="160" t="n">
        <v>0</v>
      </c>
      <c r="CH63" s="160" t="n">
        <v>0</v>
      </c>
      <c r="CI63" s="160" t="n">
        <v>0</v>
      </c>
      <c r="CJ63" s="160" t="n">
        <v>0</v>
      </c>
      <c r="CK63" s="160" t="n">
        <v>0</v>
      </c>
      <c r="CL63" s="160" t="n">
        <v>0</v>
      </c>
      <c r="CM63" s="160" t="n">
        <v>0</v>
      </c>
      <c r="CN63" s="160" t="n">
        <v>0</v>
      </c>
      <c r="CO63" s="160" t="n">
        <v>0</v>
      </c>
      <c r="CP63" s="160" t="n">
        <v>0</v>
      </c>
      <c r="CQ63" s="160" t="n">
        <v>0</v>
      </c>
      <c r="CR63" s="160" t="n">
        <v>0</v>
      </c>
      <c r="CS63" s="160" t="n">
        <v>0</v>
      </c>
      <c r="CT63" s="160" t="n">
        <v>0</v>
      </c>
      <c r="CU63" s="160" t="n">
        <v>0</v>
      </c>
      <c r="CV63" s="160" t="n">
        <v>0</v>
      </c>
      <c r="CW63" s="160" t="n">
        <v>0</v>
      </c>
      <c r="CX63" s="160" t="n">
        <v>0</v>
      </c>
      <c r="CY63" s="160" t="n">
        <v>0</v>
      </c>
      <c r="CZ63" s="160" t="n">
        <v>0</v>
      </c>
      <c r="DA63" s="160" t="n">
        <v>0</v>
      </c>
      <c r="DB63" s="160" t="n">
        <v>0</v>
      </c>
      <c r="DC63" s="160" t="n">
        <v>0</v>
      </c>
      <c r="DD63" s="160" t="n">
        <v>0</v>
      </c>
      <c r="DE63" s="160" t="n">
        <v>0</v>
      </c>
      <c r="DF63" s="160" t="n">
        <v>0</v>
      </c>
    </row>
    <row r="64" customFormat="false" ht="15" hidden="false" customHeight="true" outlineLevel="0" collapsed="false">
      <c r="A64" s="90" t="s">
        <v>101</v>
      </c>
      <c r="C64" s="104" t="n">
        <v>833.33</v>
      </c>
      <c r="D64" s="104" t="n">
        <v>833.33</v>
      </c>
      <c r="E64" s="104" t="n">
        <v>833.33</v>
      </c>
      <c r="F64" s="160" t="n">
        <v>833.33</v>
      </c>
      <c r="G64" s="160" t="n">
        <v>833.33</v>
      </c>
      <c r="H64" s="160" t="n">
        <v>833.33</v>
      </c>
      <c r="I64" s="160" t="n">
        <v>833.33</v>
      </c>
      <c r="J64" s="160" t="n">
        <v>833.33</v>
      </c>
      <c r="K64" s="160" t="n">
        <v>0</v>
      </c>
      <c r="L64" s="160" t="n">
        <v>0</v>
      </c>
      <c r="M64" s="160" t="n">
        <v>0</v>
      </c>
      <c r="N64" s="160" t="n">
        <v>0</v>
      </c>
      <c r="O64" s="160" t="n">
        <v>0</v>
      </c>
      <c r="P64" s="160" t="n">
        <v>0</v>
      </c>
      <c r="Q64" s="160" t="n">
        <v>0</v>
      </c>
      <c r="R64" s="160" t="n">
        <v>0</v>
      </c>
      <c r="S64" s="160" t="n">
        <v>0</v>
      </c>
      <c r="T64" s="160" t="n">
        <v>0</v>
      </c>
      <c r="U64" s="160" t="n">
        <v>0</v>
      </c>
      <c r="V64" s="160" t="n">
        <v>0</v>
      </c>
      <c r="W64" s="160" t="n">
        <v>0</v>
      </c>
      <c r="X64" s="160" t="n">
        <v>0</v>
      </c>
      <c r="Y64" s="160" t="n">
        <v>0</v>
      </c>
      <c r="Z64" s="160" t="n">
        <v>0</v>
      </c>
      <c r="AA64" s="160" t="n">
        <v>0</v>
      </c>
      <c r="AB64" s="160" t="n">
        <v>0</v>
      </c>
      <c r="AC64" s="160" t="n">
        <v>0</v>
      </c>
      <c r="AD64" s="160" t="n">
        <v>0</v>
      </c>
      <c r="AE64" s="160" t="n">
        <v>0</v>
      </c>
      <c r="AF64" s="160" t="n">
        <v>0</v>
      </c>
      <c r="AG64" s="160" t="n">
        <v>0</v>
      </c>
      <c r="AH64" s="160" t="n">
        <v>0</v>
      </c>
      <c r="AI64" s="160" t="n">
        <v>0</v>
      </c>
      <c r="AJ64" s="160" t="n">
        <v>0</v>
      </c>
      <c r="AK64" s="160" t="n">
        <v>0</v>
      </c>
      <c r="AL64" s="160" t="n">
        <v>0</v>
      </c>
      <c r="AM64" s="160" t="n">
        <v>0</v>
      </c>
      <c r="AN64" s="160" t="n">
        <v>0</v>
      </c>
      <c r="AO64" s="160" t="n">
        <v>0</v>
      </c>
      <c r="AP64" s="160" t="n">
        <v>0</v>
      </c>
      <c r="AQ64" s="160" t="n">
        <v>0</v>
      </c>
      <c r="AR64" s="160" t="n">
        <v>0</v>
      </c>
      <c r="AS64" s="160" t="n">
        <v>0</v>
      </c>
      <c r="AT64" s="160" t="n">
        <v>0</v>
      </c>
      <c r="AU64" s="160" t="n">
        <v>0</v>
      </c>
      <c r="AV64" s="160" t="n">
        <v>0</v>
      </c>
      <c r="AW64" s="160" t="n">
        <v>0</v>
      </c>
      <c r="AX64" s="160" t="n">
        <v>0</v>
      </c>
      <c r="AY64" s="160" t="n">
        <v>0</v>
      </c>
      <c r="AZ64" s="160" t="n">
        <v>0</v>
      </c>
      <c r="BA64" s="160" t="n">
        <v>0</v>
      </c>
      <c r="BB64" s="160" t="n">
        <v>0</v>
      </c>
      <c r="BC64" s="160" t="n">
        <v>0</v>
      </c>
      <c r="BD64" s="160" t="n">
        <v>0</v>
      </c>
      <c r="BE64" s="160" t="n">
        <v>0</v>
      </c>
      <c r="BF64" s="160" t="n">
        <v>0</v>
      </c>
      <c r="BG64" s="160" t="n">
        <v>0</v>
      </c>
      <c r="BH64" s="160" t="n">
        <v>0</v>
      </c>
      <c r="BI64" s="160" t="n">
        <v>0</v>
      </c>
      <c r="BJ64" s="160" t="n">
        <v>0</v>
      </c>
      <c r="BK64" s="160" t="n">
        <v>0</v>
      </c>
      <c r="BL64" s="160" t="n">
        <v>0</v>
      </c>
      <c r="BM64" s="160" t="n">
        <v>0</v>
      </c>
      <c r="BN64" s="160" t="n">
        <v>0</v>
      </c>
      <c r="BO64" s="160" t="n">
        <v>0</v>
      </c>
      <c r="BP64" s="160" t="n">
        <v>0</v>
      </c>
      <c r="BQ64" s="160" t="n">
        <v>0</v>
      </c>
      <c r="BR64" s="160" t="n">
        <v>0</v>
      </c>
      <c r="BS64" s="160" t="n">
        <v>0</v>
      </c>
      <c r="BT64" s="160" t="n">
        <v>0</v>
      </c>
      <c r="BU64" s="160" t="n">
        <v>0</v>
      </c>
      <c r="BV64" s="160" t="n">
        <v>0</v>
      </c>
      <c r="BW64" s="160" t="n">
        <v>0</v>
      </c>
      <c r="BX64" s="160" t="n">
        <v>0</v>
      </c>
      <c r="BY64" s="160" t="n">
        <v>0</v>
      </c>
      <c r="BZ64" s="160" t="n">
        <v>0</v>
      </c>
      <c r="CA64" s="160" t="n">
        <v>0</v>
      </c>
      <c r="CB64" s="160" t="n">
        <v>0</v>
      </c>
      <c r="CC64" s="160" t="n">
        <v>0</v>
      </c>
      <c r="CD64" s="160" t="n">
        <v>0</v>
      </c>
      <c r="CE64" s="160" t="n">
        <v>0</v>
      </c>
      <c r="CF64" s="160" t="n">
        <v>0</v>
      </c>
      <c r="CG64" s="160" t="n">
        <v>0</v>
      </c>
      <c r="CH64" s="160" t="n">
        <v>0</v>
      </c>
      <c r="CI64" s="160" t="n">
        <v>0</v>
      </c>
      <c r="CJ64" s="160" t="n">
        <v>0</v>
      </c>
      <c r="CK64" s="160" t="n">
        <v>0</v>
      </c>
      <c r="CL64" s="160" t="n">
        <v>0</v>
      </c>
      <c r="CM64" s="160" t="n">
        <v>0</v>
      </c>
      <c r="CN64" s="160" t="n">
        <v>0</v>
      </c>
      <c r="CO64" s="160" t="n">
        <v>0</v>
      </c>
      <c r="CP64" s="160" t="n">
        <v>0</v>
      </c>
      <c r="CQ64" s="160" t="n">
        <v>0</v>
      </c>
      <c r="CR64" s="160" t="n">
        <v>0</v>
      </c>
      <c r="CS64" s="160" t="n">
        <v>0</v>
      </c>
      <c r="CT64" s="160" t="n">
        <v>0</v>
      </c>
      <c r="CU64" s="160" t="n">
        <v>0</v>
      </c>
      <c r="CV64" s="160" t="n">
        <v>0</v>
      </c>
      <c r="CW64" s="160" t="n">
        <v>0</v>
      </c>
      <c r="CX64" s="160" t="n">
        <v>0</v>
      </c>
      <c r="CY64" s="160" t="n">
        <v>0</v>
      </c>
      <c r="CZ64" s="160" t="n">
        <v>0</v>
      </c>
      <c r="DA64" s="160" t="n">
        <v>0</v>
      </c>
      <c r="DB64" s="160" t="n">
        <v>0</v>
      </c>
      <c r="DC64" s="160" t="n">
        <v>0</v>
      </c>
      <c r="DD64" s="160" t="n">
        <v>0</v>
      </c>
      <c r="DE64" s="160" t="n">
        <v>0</v>
      </c>
      <c r="DF64" s="160" t="n">
        <v>0</v>
      </c>
    </row>
    <row r="65" customFormat="false" ht="15" hidden="false" customHeight="true" outlineLevel="0" collapsed="false">
      <c r="A65" s="90" t="s">
        <v>102</v>
      </c>
      <c r="C65" s="104" t="n">
        <v>23906.25</v>
      </c>
      <c r="D65" s="104" t="n">
        <v>23906.25</v>
      </c>
      <c r="E65" s="104" t="n">
        <v>23906.25</v>
      </c>
      <c r="F65" s="160" t="n">
        <v>23906.25</v>
      </c>
      <c r="G65" s="160" t="n">
        <v>23906.25</v>
      </c>
      <c r="H65" s="160" t="n">
        <v>23906.25</v>
      </c>
      <c r="I65" s="160" t="n">
        <v>23906.25</v>
      </c>
      <c r="J65" s="160" t="n">
        <v>23906.25</v>
      </c>
      <c r="K65" s="160" t="n">
        <v>23906.25</v>
      </c>
      <c r="L65" s="160" t="n">
        <v>23906.25</v>
      </c>
      <c r="M65" s="160" t="n">
        <v>23906.25</v>
      </c>
      <c r="N65" s="160" t="n">
        <v>23906.25</v>
      </c>
      <c r="O65" s="160" t="n">
        <v>23906.25</v>
      </c>
      <c r="P65" s="160" t="n">
        <v>23906.25</v>
      </c>
      <c r="Q65" s="160" t="n">
        <v>23906.25</v>
      </c>
      <c r="R65" s="160" t="n">
        <v>23906.25</v>
      </c>
      <c r="S65" s="160" t="n">
        <v>23906.25</v>
      </c>
      <c r="T65" s="160" t="n">
        <v>23906.25</v>
      </c>
      <c r="U65" s="160" t="n">
        <v>0</v>
      </c>
      <c r="V65" s="160" t="n">
        <v>0</v>
      </c>
      <c r="W65" s="160" t="n">
        <v>0</v>
      </c>
      <c r="X65" s="160" t="n">
        <v>0</v>
      </c>
      <c r="Y65" s="160" t="n">
        <v>0</v>
      </c>
      <c r="Z65" s="160" t="n">
        <v>0</v>
      </c>
      <c r="AA65" s="160" t="n">
        <v>0</v>
      </c>
      <c r="AB65" s="160" t="n">
        <v>0</v>
      </c>
      <c r="AC65" s="160" t="n">
        <v>0</v>
      </c>
      <c r="AD65" s="160" t="n">
        <v>0</v>
      </c>
      <c r="AE65" s="160" t="n">
        <v>0</v>
      </c>
      <c r="AF65" s="160" t="n">
        <v>0</v>
      </c>
      <c r="AG65" s="160" t="n">
        <v>0</v>
      </c>
      <c r="AH65" s="160" t="n">
        <v>0</v>
      </c>
      <c r="AI65" s="160" t="n">
        <v>0</v>
      </c>
      <c r="AJ65" s="160" t="n">
        <v>0</v>
      </c>
      <c r="AK65" s="160" t="n">
        <v>0</v>
      </c>
      <c r="AL65" s="160" t="n">
        <v>0</v>
      </c>
      <c r="AM65" s="160" t="n">
        <v>0</v>
      </c>
      <c r="AN65" s="160" t="n">
        <v>0</v>
      </c>
      <c r="AO65" s="160" t="n">
        <v>0</v>
      </c>
      <c r="AP65" s="160" t="n">
        <v>0</v>
      </c>
      <c r="AQ65" s="160" t="n">
        <v>0</v>
      </c>
      <c r="AR65" s="160" t="n">
        <v>0</v>
      </c>
      <c r="AS65" s="160" t="n">
        <v>0</v>
      </c>
      <c r="AT65" s="160" t="n">
        <v>0</v>
      </c>
      <c r="AU65" s="160" t="n">
        <v>0</v>
      </c>
      <c r="AV65" s="160" t="n">
        <v>0</v>
      </c>
      <c r="AW65" s="160" t="n">
        <v>0</v>
      </c>
      <c r="AX65" s="160" t="n">
        <v>0</v>
      </c>
      <c r="AY65" s="160" t="n">
        <v>0</v>
      </c>
      <c r="AZ65" s="160" t="n">
        <v>0</v>
      </c>
      <c r="BA65" s="160" t="n">
        <v>0</v>
      </c>
      <c r="BB65" s="160" t="n">
        <v>0</v>
      </c>
      <c r="BC65" s="160" t="n">
        <v>0</v>
      </c>
      <c r="BD65" s="160" t="n">
        <v>0</v>
      </c>
      <c r="BE65" s="160" t="n">
        <v>0</v>
      </c>
      <c r="BF65" s="160" t="n">
        <v>0</v>
      </c>
      <c r="BG65" s="160" t="n">
        <v>0</v>
      </c>
      <c r="BH65" s="160" t="n">
        <v>0</v>
      </c>
      <c r="BI65" s="160" t="n">
        <v>0</v>
      </c>
      <c r="BJ65" s="160" t="n">
        <v>0</v>
      </c>
      <c r="BK65" s="160" t="n">
        <v>0</v>
      </c>
      <c r="BL65" s="160" t="n">
        <v>0</v>
      </c>
      <c r="BM65" s="160" t="n">
        <v>0</v>
      </c>
      <c r="BN65" s="160" t="n">
        <v>0</v>
      </c>
      <c r="BO65" s="160" t="n">
        <v>0</v>
      </c>
      <c r="BP65" s="160" t="n">
        <v>0</v>
      </c>
      <c r="BQ65" s="160" t="n">
        <v>0</v>
      </c>
      <c r="BR65" s="160" t="n">
        <v>0</v>
      </c>
      <c r="BS65" s="160" t="n">
        <v>0</v>
      </c>
      <c r="BT65" s="160" t="n">
        <v>0</v>
      </c>
      <c r="BU65" s="160" t="n">
        <v>0</v>
      </c>
      <c r="BV65" s="160" t="n">
        <v>0</v>
      </c>
      <c r="BW65" s="160" t="n">
        <v>0</v>
      </c>
      <c r="BX65" s="160" t="n">
        <v>0</v>
      </c>
      <c r="BY65" s="160" t="n">
        <v>0</v>
      </c>
      <c r="BZ65" s="160" t="n">
        <v>0</v>
      </c>
      <c r="CA65" s="160" t="n">
        <v>0</v>
      </c>
      <c r="CB65" s="160" t="n">
        <v>0</v>
      </c>
      <c r="CC65" s="160" t="n">
        <v>0</v>
      </c>
      <c r="CD65" s="160" t="n">
        <v>0</v>
      </c>
      <c r="CE65" s="160" t="n">
        <v>0</v>
      </c>
      <c r="CF65" s="160" t="n">
        <v>0</v>
      </c>
      <c r="CG65" s="160" t="n">
        <v>0</v>
      </c>
      <c r="CH65" s="160" t="n">
        <v>0</v>
      </c>
      <c r="CI65" s="160" t="n">
        <v>0</v>
      </c>
      <c r="CJ65" s="160" t="n">
        <v>0</v>
      </c>
      <c r="CK65" s="160" t="n">
        <v>0</v>
      </c>
      <c r="CL65" s="160" t="n">
        <v>0</v>
      </c>
      <c r="CM65" s="160" t="n">
        <v>0</v>
      </c>
      <c r="CN65" s="160" t="n">
        <v>0</v>
      </c>
      <c r="CO65" s="160" t="n">
        <v>0</v>
      </c>
      <c r="CP65" s="160" t="n">
        <v>0</v>
      </c>
      <c r="CQ65" s="160" t="n">
        <v>0</v>
      </c>
      <c r="CR65" s="160" t="n">
        <v>0</v>
      </c>
      <c r="CS65" s="160" t="n">
        <v>0</v>
      </c>
      <c r="CT65" s="160" t="n">
        <v>0</v>
      </c>
      <c r="CU65" s="160" t="n">
        <v>0</v>
      </c>
      <c r="CV65" s="160" t="n">
        <v>0</v>
      </c>
      <c r="CW65" s="160" t="n">
        <v>0</v>
      </c>
      <c r="CX65" s="160" t="n">
        <v>0</v>
      </c>
      <c r="CY65" s="160" t="n">
        <v>0</v>
      </c>
      <c r="CZ65" s="160" t="n">
        <v>0</v>
      </c>
      <c r="DA65" s="160" t="n">
        <v>0</v>
      </c>
      <c r="DB65" s="160" t="n">
        <v>0</v>
      </c>
      <c r="DC65" s="160" t="n">
        <v>0</v>
      </c>
      <c r="DD65" s="160" t="n">
        <v>0</v>
      </c>
      <c r="DE65" s="160" t="n">
        <v>0</v>
      </c>
      <c r="DF65" s="160" t="n">
        <v>0</v>
      </c>
    </row>
    <row r="66" customFormat="false" ht="15" hidden="false" customHeight="true" outlineLevel="0" collapsed="false">
      <c r="A66" s="90" t="s">
        <v>103</v>
      </c>
      <c r="C66" s="104" t="n">
        <v>0</v>
      </c>
      <c r="D66" s="104" t="n">
        <v>0</v>
      </c>
      <c r="E66" s="104" t="n">
        <v>0</v>
      </c>
      <c r="F66" s="160" t="n">
        <v>0</v>
      </c>
      <c r="G66" s="160" t="n">
        <v>0</v>
      </c>
      <c r="H66" s="160" t="n">
        <v>0</v>
      </c>
      <c r="I66" s="160" t="n">
        <v>0</v>
      </c>
      <c r="J66" s="160" t="n">
        <v>0</v>
      </c>
      <c r="K66" s="160" t="n">
        <v>0</v>
      </c>
      <c r="L66" s="160" t="n">
        <v>0</v>
      </c>
      <c r="M66" s="160" t="n">
        <v>0</v>
      </c>
      <c r="N66" s="160" t="n">
        <v>0</v>
      </c>
      <c r="O66" s="160" t="n">
        <v>0</v>
      </c>
      <c r="P66" s="160" t="n">
        <v>0</v>
      </c>
      <c r="Q66" s="160" t="n">
        <v>0</v>
      </c>
      <c r="R66" s="160" t="n">
        <v>0</v>
      </c>
      <c r="S66" s="160" t="n">
        <v>0</v>
      </c>
      <c r="T66" s="160" t="n">
        <v>0</v>
      </c>
      <c r="U66" s="160" t="n">
        <v>0</v>
      </c>
      <c r="V66" s="160" t="n">
        <v>0</v>
      </c>
      <c r="W66" s="160" t="n">
        <v>0</v>
      </c>
      <c r="X66" s="160" t="n">
        <v>0</v>
      </c>
      <c r="Y66" s="160" t="n">
        <v>0</v>
      </c>
      <c r="Z66" s="160" t="n">
        <v>57375</v>
      </c>
      <c r="AA66" s="160" t="n">
        <v>0</v>
      </c>
      <c r="AB66" s="160" t="n">
        <v>0</v>
      </c>
      <c r="AC66" s="160" t="n">
        <v>0</v>
      </c>
      <c r="AD66" s="160" t="n">
        <v>0</v>
      </c>
      <c r="AE66" s="160" t="n">
        <v>0</v>
      </c>
      <c r="AF66" s="160" t="n">
        <v>0</v>
      </c>
      <c r="AG66" s="160" t="n">
        <v>0</v>
      </c>
      <c r="AH66" s="160" t="n">
        <v>0</v>
      </c>
      <c r="AI66" s="160" t="n">
        <v>0</v>
      </c>
      <c r="AJ66" s="160" t="n">
        <v>0</v>
      </c>
      <c r="AK66" s="160" t="n">
        <v>0</v>
      </c>
      <c r="AL66" s="160" t="n">
        <v>0</v>
      </c>
      <c r="AM66" s="160" t="n">
        <v>0</v>
      </c>
      <c r="AN66" s="160" t="n">
        <v>0</v>
      </c>
      <c r="AO66" s="160" t="n">
        <v>0</v>
      </c>
      <c r="AP66" s="160" t="n">
        <v>0</v>
      </c>
      <c r="AQ66" s="160" t="n">
        <v>0</v>
      </c>
      <c r="AR66" s="160" t="n">
        <v>0</v>
      </c>
      <c r="AS66" s="160" t="n">
        <v>0</v>
      </c>
      <c r="AT66" s="160" t="n">
        <v>0</v>
      </c>
      <c r="AU66" s="160" t="n">
        <v>0</v>
      </c>
      <c r="AV66" s="160" t="n">
        <v>0</v>
      </c>
      <c r="AW66" s="160" t="n">
        <v>0</v>
      </c>
      <c r="AX66" s="160" t="n">
        <v>0</v>
      </c>
      <c r="AY66" s="160" t="n">
        <v>0</v>
      </c>
      <c r="AZ66" s="160" t="n">
        <v>0</v>
      </c>
      <c r="BA66" s="160" t="n">
        <v>0</v>
      </c>
      <c r="BB66" s="160" t="n">
        <v>0</v>
      </c>
      <c r="BC66" s="160" t="n">
        <v>0</v>
      </c>
      <c r="BD66" s="160" t="n">
        <v>0</v>
      </c>
      <c r="BE66" s="160" t="n">
        <v>0</v>
      </c>
      <c r="BF66" s="160" t="n">
        <v>0</v>
      </c>
      <c r="BG66" s="160" t="n">
        <v>0</v>
      </c>
      <c r="BH66" s="160" t="n">
        <v>0</v>
      </c>
      <c r="BI66" s="160" t="n">
        <v>0</v>
      </c>
      <c r="BJ66" s="160" t="n">
        <v>0</v>
      </c>
      <c r="BK66" s="160" t="n">
        <v>0</v>
      </c>
      <c r="BL66" s="160" t="n">
        <v>0</v>
      </c>
      <c r="BM66" s="160" t="n">
        <v>0</v>
      </c>
      <c r="BN66" s="160" t="n">
        <v>0</v>
      </c>
      <c r="BO66" s="160" t="n">
        <v>0</v>
      </c>
      <c r="BP66" s="160" t="n">
        <v>0</v>
      </c>
      <c r="BQ66" s="160" t="n">
        <v>0</v>
      </c>
      <c r="BR66" s="160" t="n">
        <v>0</v>
      </c>
      <c r="BS66" s="160" t="n">
        <v>0</v>
      </c>
      <c r="BT66" s="160" t="n">
        <v>0</v>
      </c>
      <c r="BU66" s="160" t="n">
        <v>0</v>
      </c>
      <c r="BV66" s="160" t="n">
        <v>0</v>
      </c>
      <c r="BW66" s="160" t="n">
        <v>0</v>
      </c>
      <c r="BX66" s="160" t="n">
        <v>0</v>
      </c>
      <c r="BY66" s="160" t="n">
        <v>0</v>
      </c>
      <c r="BZ66" s="160" t="n">
        <v>0</v>
      </c>
      <c r="CA66" s="160" t="n">
        <v>0</v>
      </c>
      <c r="CB66" s="160" t="n">
        <v>0</v>
      </c>
      <c r="CC66" s="160" t="n">
        <v>0</v>
      </c>
      <c r="CD66" s="160" t="n">
        <v>0</v>
      </c>
      <c r="CE66" s="160" t="n">
        <v>0</v>
      </c>
      <c r="CF66" s="160" t="n">
        <v>0</v>
      </c>
      <c r="CG66" s="160" t="n">
        <v>0</v>
      </c>
      <c r="CH66" s="160" t="n">
        <v>0</v>
      </c>
      <c r="CI66" s="160" t="n">
        <v>0</v>
      </c>
      <c r="CJ66" s="160" t="n">
        <v>0</v>
      </c>
      <c r="CK66" s="160" t="n">
        <v>0</v>
      </c>
      <c r="CL66" s="160" t="n">
        <v>0</v>
      </c>
      <c r="CM66" s="160" t="n">
        <v>0</v>
      </c>
      <c r="CN66" s="160" t="n">
        <v>0</v>
      </c>
      <c r="CO66" s="160" t="n">
        <v>0</v>
      </c>
      <c r="CP66" s="160" t="n">
        <v>0</v>
      </c>
      <c r="CQ66" s="160" t="n">
        <v>0</v>
      </c>
      <c r="CR66" s="160" t="n">
        <v>0</v>
      </c>
      <c r="CS66" s="160" t="n">
        <v>0</v>
      </c>
      <c r="CT66" s="160" t="n">
        <v>0</v>
      </c>
      <c r="CU66" s="160" t="n">
        <v>0</v>
      </c>
      <c r="CV66" s="160" t="n">
        <v>0</v>
      </c>
      <c r="CW66" s="160" t="n">
        <v>0</v>
      </c>
      <c r="CX66" s="160" t="n">
        <v>0</v>
      </c>
      <c r="CY66" s="160" t="n">
        <v>0</v>
      </c>
      <c r="CZ66" s="160" t="n">
        <v>0</v>
      </c>
      <c r="DA66" s="160" t="n">
        <v>0</v>
      </c>
      <c r="DB66" s="160" t="n">
        <v>0</v>
      </c>
      <c r="DC66" s="160" t="n">
        <v>0</v>
      </c>
      <c r="DD66" s="160" t="n">
        <v>0</v>
      </c>
      <c r="DE66" s="160" t="n">
        <v>0</v>
      </c>
      <c r="DF66" s="160" t="n">
        <v>0</v>
      </c>
    </row>
    <row r="67" customFormat="false" ht="15" hidden="false" customHeight="true" outlineLevel="0" collapsed="false">
      <c r="A67" s="90" t="s">
        <v>104</v>
      </c>
      <c r="C67" s="104" t="n">
        <v>0</v>
      </c>
      <c r="D67" s="104" t="n">
        <v>0</v>
      </c>
      <c r="E67" s="104" t="n">
        <v>0</v>
      </c>
      <c r="F67" s="160" t="n">
        <v>0</v>
      </c>
      <c r="G67" s="160" t="n">
        <v>0</v>
      </c>
      <c r="H67" s="160" t="n">
        <v>0</v>
      </c>
      <c r="I67" s="160" t="n">
        <v>0</v>
      </c>
      <c r="J67" s="160" t="n">
        <v>0</v>
      </c>
      <c r="K67" s="160" t="n">
        <v>0</v>
      </c>
      <c r="L67" s="160" t="n">
        <v>0</v>
      </c>
      <c r="M67" s="160" t="n">
        <v>0</v>
      </c>
      <c r="N67" s="160" t="n">
        <v>0</v>
      </c>
      <c r="O67" s="160" t="n">
        <v>0</v>
      </c>
      <c r="P67" s="160" t="n">
        <v>0</v>
      </c>
      <c r="Q67" s="160" t="n">
        <v>0</v>
      </c>
      <c r="R67" s="160" t="n">
        <v>0</v>
      </c>
      <c r="S67" s="160" t="n">
        <v>0</v>
      </c>
      <c r="T67" s="160" t="n">
        <v>0</v>
      </c>
      <c r="U67" s="160" t="n">
        <v>0</v>
      </c>
      <c r="V67" s="160" t="n">
        <v>0</v>
      </c>
      <c r="W67" s="160" t="n">
        <v>0</v>
      </c>
      <c r="X67" s="160" t="n">
        <v>0</v>
      </c>
      <c r="Y67" s="160" t="n">
        <v>0</v>
      </c>
      <c r="Z67" s="160" t="n">
        <v>0</v>
      </c>
      <c r="AA67" s="160" t="n">
        <v>0</v>
      </c>
      <c r="AB67" s="160" t="n">
        <v>0</v>
      </c>
      <c r="AC67" s="160" t="n">
        <v>57375</v>
      </c>
      <c r="AD67" s="160" t="n">
        <v>0</v>
      </c>
      <c r="AE67" s="160" t="n">
        <v>0</v>
      </c>
      <c r="AF67" s="160" t="n">
        <v>0</v>
      </c>
      <c r="AG67" s="160" t="n">
        <v>0</v>
      </c>
      <c r="AH67" s="160" t="n">
        <v>0</v>
      </c>
      <c r="AI67" s="160" t="n">
        <v>0</v>
      </c>
      <c r="AJ67" s="160" t="n">
        <v>0</v>
      </c>
      <c r="AK67" s="160" t="n">
        <v>0</v>
      </c>
      <c r="AL67" s="160" t="n">
        <v>0</v>
      </c>
      <c r="AM67" s="160" t="n">
        <v>0</v>
      </c>
      <c r="AN67" s="160" t="n">
        <v>0</v>
      </c>
      <c r="AO67" s="160" t="n">
        <v>0</v>
      </c>
      <c r="AP67" s="160" t="n">
        <v>0</v>
      </c>
      <c r="AQ67" s="160" t="n">
        <v>0</v>
      </c>
      <c r="AR67" s="160" t="n">
        <v>0</v>
      </c>
      <c r="AS67" s="160" t="n">
        <v>0</v>
      </c>
      <c r="AT67" s="160" t="n">
        <v>0</v>
      </c>
      <c r="AU67" s="160" t="n">
        <v>0</v>
      </c>
      <c r="AV67" s="160" t="n">
        <v>0</v>
      </c>
      <c r="AW67" s="160" t="n">
        <v>0</v>
      </c>
      <c r="AX67" s="160" t="n">
        <v>0</v>
      </c>
      <c r="AY67" s="160" t="n">
        <v>0</v>
      </c>
      <c r="AZ67" s="160" t="n">
        <v>0</v>
      </c>
      <c r="BA67" s="160" t="n">
        <v>0</v>
      </c>
      <c r="BB67" s="160" t="n">
        <v>0</v>
      </c>
      <c r="BC67" s="160" t="n">
        <v>0</v>
      </c>
      <c r="BD67" s="160" t="n">
        <v>0</v>
      </c>
      <c r="BE67" s="160" t="n">
        <v>0</v>
      </c>
      <c r="BF67" s="160" t="n">
        <v>0</v>
      </c>
      <c r="BG67" s="160" t="n">
        <v>0</v>
      </c>
      <c r="BH67" s="160" t="n">
        <v>0</v>
      </c>
      <c r="BI67" s="160" t="n">
        <v>0</v>
      </c>
      <c r="BJ67" s="160" t="n">
        <v>0</v>
      </c>
      <c r="BK67" s="160" t="n">
        <v>0</v>
      </c>
      <c r="BL67" s="160" t="n">
        <v>0</v>
      </c>
      <c r="BM67" s="160" t="n">
        <v>0</v>
      </c>
      <c r="BN67" s="160" t="n">
        <v>0</v>
      </c>
      <c r="BO67" s="160" t="n">
        <v>0</v>
      </c>
      <c r="BP67" s="160" t="n">
        <v>0</v>
      </c>
      <c r="BQ67" s="160" t="n">
        <v>0</v>
      </c>
      <c r="BR67" s="160" t="n">
        <v>0</v>
      </c>
      <c r="BS67" s="160" t="n">
        <v>0</v>
      </c>
      <c r="BT67" s="160" t="n">
        <v>0</v>
      </c>
      <c r="BU67" s="160" t="n">
        <v>0</v>
      </c>
      <c r="BV67" s="160" t="n">
        <v>0</v>
      </c>
      <c r="BW67" s="160" t="n">
        <v>0</v>
      </c>
      <c r="BX67" s="160" t="n">
        <v>0</v>
      </c>
      <c r="BY67" s="160" t="n">
        <v>0</v>
      </c>
      <c r="BZ67" s="160" t="n">
        <v>0</v>
      </c>
      <c r="CA67" s="160" t="n">
        <v>0</v>
      </c>
      <c r="CB67" s="160" t="n">
        <v>0</v>
      </c>
      <c r="CC67" s="160" t="n">
        <v>0</v>
      </c>
      <c r="CD67" s="160" t="n">
        <v>0</v>
      </c>
      <c r="CE67" s="160" t="n">
        <v>0</v>
      </c>
      <c r="CF67" s="160" t="n">
        <v>0</v>
      </c>
      <c r="CG67" s="160" t="n">
        <v>0</v>
      </c>
      <c r="CH67" s="160" t="n">
        <v>0</v>
      </c>
      <c r="CI67" s="160" t="n">
        <v>0</v>
      </c>
      <c r="CJ67" s="160" t="n">
        <v>0</v>
      </c>
      <c r="CK67" s="160" t="n">
        <v>0</v>
      </c>
      <c r="CL67" s="160" t="n">
        <v>0</v>
      </c>
      <c r="CM67" s="160" t="n">
        <v>0</v>
      </c>
      <c r="CN67" s="160" t="n">
        <v>0</v>
      </c>
      <c r="CO67" s="160" t="n">
        <v>0</v>
      </c>
      <c r="CP67" s="160" t="n">
        <v>0</v>
      </c>
      <c r="CQ67" s="160" t="n">
        <v>0</v>
      </c>
      <c r="CR67" s="160" t="n">
        <v>0</v>
      </c>
      <c r="CS67" s="160" t="n">
        <v>0</v>
      </c>
      <c r="CT67" s="160" t="n">
        <v>0</v>
      </c>
      <c r="CU67" s="160" t="n">
        <v>0</v>
      </c>
      <c r="CV67" s="160" t="n">
        <v>0</v>
      </c>
      <c r="CW67" s="160" t="n">
        <v>0</v>
      </c>
      <c r="CX67" s="160" t="n">
        <v>0</v>
      </c>
      <c r="CY67" s="160" t="n">
        <v>0</v>
      </c>
      <c r="CZ67" s="160" t="n">
        <v>0</v>
      </c>
      <c r="DA67" s="160" t="n">
        <v>0</v>
      </c>
      <c r="DB67" s="160" t="n">
        <v>0</v>
      </c>
      <c r="DC67" s="160" t="n">
        <v>0</v>
      </c>
      <c r="DD67" s="160" t="n">
        <v>0</v>
      </c>
      <c r="DE67" s="160" t="n">
        <v>0</v>
      </c>
      <c r="DF67" s="160" t="n">
        <v>0</v>
      </c>
    </row>
    <row r="68" customFormat="false" ht="15" hidden="false" customHeight="true" outlineLevel="0" collapsed="false">
      <c r="A68" s="90" t="s">
        <v>105</v>
      </c>
      <c r="C68" s="104" t="n">
        <v>0</v>
      </c>
      <c r="D68" s="104" t="n">
        <v>0</v>
      </c>
      <c r="E68" s="104" t="n">
        <v>0</v>
      </c>
      <c r="F68" s="160" t="n">
        <v>0</v>
      </c>
      <c r="G68" s="160" t="n">
        <v>0</v>
      </c>
      <c r="H68" s="160" t="n">
        <v>0</v>
      </c>
      <c r="I68" s="160" t="n">
        <v>0</v>
      </c>
      <c r="J68" s="160" t="n">
        <v>0</v>
      </c>
      <c r="K68" s="160" t="n">
        <v>0</v>
      </c>
      <c r="L68" s="160" t="n">
        <v>0</v>
      </c>
      <c r="M68" s="160" t="n">
        <v>0</v>
      </c>
      <c r="N68" s="160" t="n">
        <v>0</v>
      </c>
      <c r="O68" s="160" t="n">
        <v>0</v>
      </c>
      <c r="P68" s="160" t="n">
        <v>0</v>
      </c>
      <c r="Q68" s="160" t="n">
        <v>0</v>
      </c>
      <c r="R68" s="160" t="n">
        <v>0</v>
      </c>
      <c r="S68" s="160" t="n">
        <v>0</v>
      </c>
      <c r="T68" s="160" t="n">
        <v>0</v>
      </c>
      <c r="U68" s="160" t="n">
        <v>0</v>
      </c>
      <c r="V68" s="160" t="n">
        <v>0</v>
      </c>
      <c r="W68" s="160" t="n">
        <v>0</v>
      </c>
      <c r="X68" s="160" t="n">
        <v>0</v>
      </c>
      <c r="Y68" s="160" t="n">
        <v>0</v>
      </c>
      <c r="Z68" s="160" t="n">
        <v>0</v>
      </c>
      <c r="AA68" s="160" t="n">
        <v>0</v>
      </c>
      <c r="AB68" s="160" t="n">
        <v>0</v>
      </c>
      <c r="AC68" s="160" t="n">
        <v>0</v>
      </c>
      <c r="AD68" s="160" t="n">
        <v>0</v>
      </c>
      <c r="AE68" s="160" t="n">
        <v>0</v>
      </c>
      <c r="AF68" s="160" t="n">
        <v>57375</v>
      </c>
      <c r="AG68" s="160" t="n">
        <v>0</v>
      </c>
      <c r="AH68" s="160" t="n">
        <v>0</v>
      </c>
      <c r="AI68" s="160" t="n">
        <v>0</v>
      </c>
      <c r="AJ68" s="160" t="n">
        <v>0</v>
      </c>
      <c r="AK68" s="160" t="n">
        <v>0</v>
      </c>
      <c r="AL68" s="160" t="n">
        <v>0</v>
      </c>
      <c r="AM68" s="160" t="n">
        <v>0</v>
      </c>
      <c r="AN68" s="160" t="n">
        <v>0</v>
      </c>
      <c r="AO68" s="160" t="n">
        <v>0</v>
      </c>
      <c r="AP68" s="160" t="n">
        <v>0</v>
      </c>
      <c r="AQ68" s="160" t="n">
        <v>0</v>
      </c>
      <c r="AR68" s="160" t="n">
        <v>0</v>
      </c>
      <c r="AS68" s="160" t="n">
        <v>0</v>
      </c>
      <c r="AT68" s="160" t="n">
        <v>0</v>
      </c>
      <c r="AU68" s="160" t="n">
        <v>0</v>
      </c>
      <c r="AV68" s="160" t="n">
        <v>0</v>
      </c>
      <c r="AW68" s="160" t="n">
        <v>0</v>
      </c>
      <c r="AX68" s="160" t="n">
        <v>0</v>
      </c>
      <c r="AY68" s="160" t="n">
        <v>0</v>
      </c>
      <c r="AZ68" s="160" t="n">
        <v>0</v>
      </c>
      <c r="BA68" s="160" t="n">
        <v>0</v>
      </c>
      <c r="BB68" s="160" t="n">
        <v>0</v>
      </c>
      <c r="BC68" s="160" t="n">
        <v>0</v>
      </c>
      <c r="BD68" s="160" t="n">
        <v>0</v>
      </c>
      <c r="BE68" s="160" t="n">
        <v>0</v>
      </c>
      <c r="BF68" s="160" t="n">
        <v>0</v>
      </c>
      <c r="BG68" s="160" t="n">
        <v>0</v>
      </c>
      <c r="BH68" s="160" t="n">
        <v>0</v>
      </c>
      <c r="BI68" s="160" t="n">
        <v>0</v>
      </c>
      <c r="BJ68" s="160" t="n">
        <v>0</v>
      </c>
      <c r="BK68" s="160" t="n">
        <v>0</v>
      </c>
      <c r="BL68" s="160" t="n">
        <v>0</v>
      </c>
      <c r="BM68" s="160" t="n">
        <v>0</v>
      </c>
      <c r="BN68" s="160" t="n">
        <v>0</v>
      </c>
      <c r="BO68" s="160" t="n">
        <v>0</v>
      </c>
      <c r="BP68" s="160" t="n">
        <v>0</v>
      </c>
      <c r="BQ68" s="160" t="n">
        <v>0</v>
      </c>
      <c r="BR68" s="160" t="n">
        <v>0</v>
      </c>
      <c r="BS68" s="160" t="n">
        <v>0</v>
      </c>
      <c r="BT68" s="160" t="n">
        <v>0</v>
      </c>
      <c r="BU68" s="160" t="n">
        <v>0</v>
      </c>
      <c r="BV68" s="160" t="n">
        <v>0</v>
      </c>
      <c r="BW68" s="160" t="n">
        <v>0</v>
      </c>
      <c r="BX68" s="160" t="n">
        <v>0</v>
      </c>
      <c r="BY68" s="160" t="n">
        <v>0</v>
      </c>
      <c r="BZ68" s="160" t="n">
        <v>0</v>
      </c>
      <c r="CA68" s="160" t="n">
        <v>0</v>
      </c>
      <c r="CB68" s="160" t="n">
        <v>0</v>
      </c>
      <c r="CC68" s="160" t="n">
        <v>0</v>
      </c>
      <c r="CD68" s="160" t="n">
        <v>0</v>
      </c>
      <c r="CE68" s="160" t="n">
        <v>0</v>
      </c>
      <c r="CF68" s="160" t="n">
        <v>0</v>
      </c>
      <c r="CG68" s="160" t="n">
        <v>0</v>
      </c>
      <c r="CH68" s="160" t="n">
        <v>0</v>
      </c>
      <c r="CI68" s="160" t="n">
        <v>0</v>
      </c>
      <c r="CJ68" s="160" t="n">
        <v>0</v>
      </c>
      <c r="CK68" s="160" t="n">
        <v>0</v>
      </c>
      <c r="CL68" s="160" t="n">
        <v>0</v>
      </c>
      <c r="CM68" s="160" t="n">
        <v>0</v>
      </c>
      <c r="CN68" s="160" t="n">
        <v>0</v>
      </c>
      <c r="CO68" s="160" t="n">
        <v>0</v>
      </c>
      <c r="CP68" s="160" t="n">
        <v>0</v>
      </c>
      <c r="CQ68" s="160" t="n">
        <v>0</v>
      </c>
      <c r="CR68" s="160" t="n">
        <v>0</v>
      </c>
      <c r="CS68" s="160" t="n">
        <v>0</v>
      </c>
      <c r="CT68" s="160" t="n">
        <v>0</v>
      </c>
      <c r="CU68" s="160" t="n">
        <v>0</v>
      </c>
      <c r="CV68" s="160" t="n">
        <v>0</v>
      </c>
      <c r="CW68" s="160" t="n">
        <v>0</v>
      </c>
      <c r="CX68" s="160" t="n">
        <v>0</v>
      </c>
      <c r="CY68" s="160" t="n">
        <v>0</v>
      </c>
      <c r="CZ68" s="160" t="n">
        <v>0</v>
      </c>
      <c r="DA68" s="160" t="n">
        <v>0</v>
      </c>
      <c r="DB68" s="160" t="n">
        <v>0</v>
      </c>
      <c r="DC68" s="160" t="n">
        <v>0</v>
      </c>
      <c r="DD68" s="160" t="n">
        <v>0</v>
      </c>
      <c r="DE68" s="160" t="n">
        <v>0</v>
      </c>
      <c r="DF68" s="160" t="n">
        <v>0</v>
      </c>
    </row>
    <row r="69" customFormat="false" ht="15" hidden="false" customHeight="true" outlineLevel="0" collapsed="false">
      <c r="A69" s="90" t="s">
        <v>106</v>
      </c>
      <c r="C69" s="164" t="n">
        <v>9375</v>
      </c>
      <c r="D69" s="164" t="n">
        <v>9375</v>
      </c>
      <c r="E69" s="164" t="n">
        <v>9375</v>
      </c>
      <c r="F69" s="160" t="n">
        <v>9375</v>
      </c>
      <c r="G69" s="160" t="n">
        <v>9375</v>
      </c>
      <c r="H69" s="160" t="n">
        <v>9375</v>
      </c>
      <c r="I69" s="160" t="n">
        <v>9375</v>
      </c>
      <c r="J69" s="160" t="n">
        <v>9375</v>
      </c>
      <c r="K69" s="160" t="n">
        <v>9375</v>
      </c>
      <c r="L69" s="160" t="n">
        <v>9375</v>
      </c>
      <c r="M69" s="160" t="n">
        <v>0</v>
      </c>
      <c r="N69" s="160" t="n">
        <v>0</v>
      </c>
      <c r="O69" s="160" t="n">
        <v>0</v>
      </c>
      <c r="P69" s="160" t="n">
        <v>0</v>
      </c>
      <c r="Q69" s="160" t="n">
        <v>0</v>
      </c>
      <c r="R69" s="160" t="n">
        <v>0</v>
      </c>
      <c r="S69" s="160" t="n">
        <v>0</v>
      </c>
      <c r="T69" s="160" t="n">
        <v>0</v>
      </c>
      <c r="U69" s="160" t="n">
        <v>0</v>
      </c>
      <c r="V69" s="160" t="n">
        <v>0</v>
      </c>
      <c r="W69" s="160" t="n">
        <v>0</v>
      </c>
      <c r="X69" s="160" t="n">
        <v>0</v>
      </c>
      <c r="Y69" s="160" t="n">
        <v>0</v>
      </c>
      <c r="Z69" s="160" t="n">
        <v>0</v>
      </c>
      <c r="AA69" s="160" t="n">
        <v>0</v>
      </c>
      <c r="AB69" s="160" t="n">
        <v>0</v>
      </c>
      <c r="AC69" s="160" t="n">
        <v>0</v>
      </c>
      <c r="AD69" s="160" t="n">
        <v>0</v>
      </c>
      <c r="AE69" s="160" t="n">
        <v>0</v>
      </c>
      <c r="AF69" s="160" t="n">
        <v>0</v>
      </c>
      <c r="AG69" s="160" t="n">
        <v>0</v>
      </c>
      <c r="AH69" s="160" t="n">
        <v>0</v>
      </c>
      <c r="AI69" s="160" t="n">
        <v>0</v>
      </c>
      <c r="AJ69" s="160" t="n">
        <v>0</v>
      </c>
      <c r="AK69" s="160" t="n">
        <v>0</v>
      </c>
      <c r="AL69" s="160" t="n">
        <v>0</v>
      </c>
      <c r="AM69" s="160" t="n">
        <v>0</v>
      </c>
      <c r="AN69" s="160" t="n">
        <v>0</v>
      </c>
      <c r="AO69" s="160" t="n">
        <v>0</v>
      </c>
      <c r="AP69" s="160" t="n">
        <v>0</v>
      </c>
      <c r="AQ69" s="160" t="n">
        <v>0</v>
      </c>
      <c r="AR69" s="160" t="n">
        <v>0</v>
      </c>
      <c r="AS69" s="160" t="n">
        <v>0</v>
      </c>
      <c r="AT69" s="160" t="n">
        <v>0</v>
      </c>
      <c r="AU69" s="160" t="n">
        <v>0</v>
      </c>
      <c r="AV69" s="160" t="n">
        <v>0</v>
      </c>
      <c r="AW69" s="160" t="n">
        <v>0</v>
      </c>
      <c r="AX69" s="160" t="n">
        <v>0</v>
      </c>
      <c r="AY69" s="160" t="n">
        <v>0</v>
      </c>
      <c r="AZ69" s="160" t="n">
        <v>0</v>
      </c>
      <c r="BA69" s="160" t="n">
        <v>0</v>
      </c>
      <c r="BB69" s="160" t="n">
        <v>0</v>
      </c>
      <c r="BC69" s="160" t="n">
        <v>0</v>
      </c>
      <c r="BD69" s="160" t="n">
        <v>0</v>
      </c>
      <c r="BE69" s="160" t="n">
        <v>0</v>
      </c>
      <c r="BF69" s="160" t="n">
        <v>0</v>
      </c>
      <c r="BG69" s="160" t="n">
        <v>0</v>
      </c>
      <c r="BH69" s="160" t="n">
        <v>0</v>
      </c>
      <c r="BI69" s="160" t="n">
        <v>0</v>
      </c>
      <c r="BJ69" s="160" t="n">
        <v>0</v>
      </c>
      <c r="BK69" s="160" t="n">
        <v>0</v>
      </c>
      <c r="BL69" s="160" t="n">
        <v>0</v>
      </c>
      <c r="BM69" s="160" t="n">
        <v>0</v>
      </c>
      <c r="BN69" s="160" t="n">
        <v>0</v>
      </c>
      <c r="BO69" s="160" t="n">
        <v>0</v>
      </c>
      <c r="BP69" s="160" t="n">
        <v>0</v>
      </c>
      <c r="BQ69" s="160" t="n">
        <v>0</v>
      </c>
      <c r="BR69" s="160" t="n">
        <v>0</v>
      </c>
      <c r="BS69" s="160" t="n">
        <v>0</v>
      </c>
      <c r="BT69" s="160" t="n">
        <v>0</v>
      </c>
      <c r="BU69" s="160" t="n">
        <v>0</v>
      </c>
      <c r="BV69" s="160" t="n">
        <v>0</v>
      </c>
      <c r="BW69" s="160" t="n">
        <v>0</v>
      </c>
      <c r="BX69" s="160" t="n">
        <v>0</v>
      </c>
      <c r="BY69" s="160" t="n">
        <v>0</v>
      </c>
      <c r="BZ69" s="160" t="n">
        <v>0</v>
      </c>
      <c r="CA69" s="160" t="n">
        <v>0</v>
      </c>
      <c r="CB69" s="160" t="n">
        <v>0</v>
      </c>
      <c r="CC69" s="160" t="n">
        <v>0</v>
      </c>
      <c r="CD69" s="160" t="n">
        <v>0</v>
      </c>
      <c r="CE69" s="160" t="n">
        <v>0</v>
      </c>
      <c r="CF69" s="160" t="n">
        <v>0</v>
      </c>
      <c r="CG69" s="160" t="n">
        <v>0</v>
      </c>
      <c r="CH69" s="160" t="n">
        <v>0</v>
      </c>
      <c r="CI69" s="160" t="n">
        <v>0</v>
      </c>
      <c r="CJ69" s="160" t="n">
        <v>0</v>
      </c>
      <c r="CK69" s="160" t="n">
        <v>0</v>
      </c>
      <c r="CL69" s="160" t="n">
        <v>0</v>
      </c>
      <c r="CM69" s="160" t="n">
        <v>0</v>
      </c>
      <c r="CN69" s="160" t="n">
        <v>0</v>
      </c>
      <c r="CO69" s="160" t="n">
        <v>0</v>
      </c>
      <c r="CP69" s="160" t="n">
        <v>0</v>
      </c>
      <c r="CQ69" s="160" t="n">
        <v>0</v>
      </c>
      <c r="CR69" s="160" t="n">
        <v>0</v>
      </c>
      <c r="CS69" s="160" t="n">
        <v>0</v>
      </c>
      <c r="CT69" s="160" t="n">
        <v>0</v>
      </c>
      <c r="CU69" s="160" t="n">
        <v>0</v>
      </c>
      <c r="CV69" s="160" t="n">
        <v>0</v>
      </c>
      <c r="CW69" s="160" t="n">
        <v>0</v>
      </c>
      <c r="CX69" s="160" t="n">
        <v>0</v>
      </c>
      <c r="CY69" s="160" t="n">
        <v>0</v>
      </c>
      <c r="CZ69" s="160" t="n">
        <v>0</v>
      </c>
      <c r="DA69" s="160" t="n">
        <v>0</v>
      </c>
      <c r="DB69" s="160" t="n">
        <v>0</v>
      </c>
      <c r="DC69" s="160" t="n">
        <v>0</v>
      </c>
      <c r="DD69" s="160" t="n">
        <v>0</v>
      </c>
      <c r="DE69" s="160" t="n">
        <v>0</v>
      </c>
      <c r="DF69" s="160" t="n">
        <v>0</v>
      </c>
    </row>
    <row r="70" customFormat="false" ht="15" hidden="false" customHeight="true" outlineLevel="0" collapsed="false">
      <c r="A70" s="90" t="s">
        <v>107</v>
      </c>
      <c r="C70" s="104" t="n">
        <v>0</v>
      </c>
      <c r="D70" s="104" t="n">
        <v>0</v>
      </c>
      <c r="E70" s="104" t="n">
        <v>0</v>
      </c>
      <c r="F70" s="160" t="n">
        <v>9500</v>
      </c>
      <c r="G70" s="160" t="n">
        <v>9500</v>
      </c>
      <c r="H70" s="160" t="n">
        <v>9500</v>
      </c>
      <c r="I70" s="160" t="n">
        <v>9500</v>
      </c>
      <c r="J70" s="160" t="n">
        <v>9500</v>
      </c>
      <c r="K70" s="160" t="n">
        <v>9500</v>
      </c>
      <c r="L70" s="160" t="n">
        <v>9500</v>
      </c>
      <c r="M70" s="160" t="n">
        <v>9500</v>
      </c>
      <c r="N70" s="160" t="n">
        <v>9500</v>
      </c>
      <c r="O70" s="160" t="n">
        <v>9500</v>
      </c>
      <c r="P70" s="160" t="n">
        <v>9500</v>
      </c>
      <c r="Q70" s="160" t="n">
        <v>9500</v>
      </c>
      <c r="R70" s="160" t="n">
        <v>9500</v>
      </c>
      <c r="S70" s="160" t="n">
        <v>9500</v>
      </c>
      <c r="T70" s="160" t="n">
        <v>9500</v>
      </c>
      <c r="U70" s="160" t="n">
        <v>9500</v>
      </c>
      <c r="V70" s="160" t="n">
        <v>9500</v>
      </c>
      <c r="W70" s="160" t="n">
        <v>9500</v>
      </c>
      <c r="X70" s="160" t="n">
        <v>9500</v>
      </c>
      <c r="Y70" s="160" t="n">
        <v>9500</v>
      </c>
      <c r="Z70" s="160" t="n">
        <v>9500</v>
      </c>
      <c r="AA70" s="160" t="n">
        <v>9500</v>
      </c>
      <c r="AB70" s="160" t="n">
        <v>9500</v>
      </c>
      <c r="AC70" s="160" t="n">
        <v>9500</v>
      </c>
      <c r="AD70" s="160" t="n">
        <v>9500</v>
      </c>
      <c r="AE70" s="160" t="n">
        <v>9500</v>
      </c>
      <c r="AF70" s="160" t="n">
        <v>9500</v>
      </c>
      <c r="AG70" s="160" t="n">
        <v>9500</v>
      </c>
      <c r="AH70" s="160" t="n">
        <v>9500</v>
      </c>
      <c r="AI70" s="160" t="n">
        <v>9500</v>
      </c>
      <c r="AJ70" s="160" t="n">
        <v>0</v>
      </c>
      <c r="AK70" s="160" t="n">
        <v>0</v>
      </c>
      <c r="AL70" s="160" t="n">
        <v>0</v>
      </c>
      <c r="AM70" s="160" t="n">
        <v>0</v>
      </c>
      <c r="AN70" s="160" t="n">
        <v>0</v>
      </c>
      <c r="AO70" s="160" t="n">
        <v>0</v>
      </c>
      <c r="AP70" s="160" t="n">
        <v>0</v>
      </c>
      <c r="AQ70" s="160" t="n">
        <v>0</v>
      </c>
      <c r="AR70" s="160" t="n">
        <v>0</v>
      </c>
      <c r="AS70" s="160" t="n">
        <v>0</v>
      </c>
      <c r="AT70" s="160" t="n">
        <v>0</v>
      </c>
      <c r="AU70" s="160" t="n">
        <v>0</v>
      </c>
      <c r="AV70" s="160" t="n">
        <v>0</v>
      </c>
      <c r="AW70" s="160" t="n">
        <v>0</v>
      </c>
      <c r="AX70" s="160" t="n">
        <v>0</v>
      </c>
      <c r="AY70" s="160" t="n">
        <v>0</v>
      </c>
      <c r="AZ70" s="160" t="n">
        <v>0</v>
      </c>
      <c r="BA70" s="160" t="n">
        <v>0</v>
      </c>
      <c r="BB70" s="160" t="n">
        <v>0</v>
      </c>
      <c r="BC70" s="160" t="n">
        <v>0</v>
      </c>
      <c r="BD70" s="160" t="n">
        <v>0</v>
      </c>
      <c r="BE70" s="160" t="n">
        <v>0</v>
      </c>
      <c r="BF70" s="160" t="n">
        <v>0</v>
      </c>
      <c r="BG70" s="160" t="n">
        <v>0</v>
      </c>
      <c r="BH70" s="160" t="n">
        <v>0</v>
      </c>
      <c r="BI70" s="160" t="n">
        <v>0</v>
      </c>
      <c r="BJ70" s="160" t="n">
        <v>0</v>
      </c>
      <c r="BK70" s="160" t="n">
        <v>0</v>
      </c>
      <c r="BL70" s="160" t="n">
        <v>0</v>
      </c>
      <c r="BM70" s="160" t="n">
        <v>0</v>
      </c>
      <c r="BN70" s="160" t="n">
        <v>0</v>
      </c>
      <c r="BO70" s="160" t="n">
        <v>0</v>
      </c>
      <c r="BP70" s="160" t="n">
        <v>0</v>
      </c>
      <c r="BQ70" s="160" t="n">
        <v>0</v>
      </c>
      <c r="BR70" s="160" t="n">
        <v>0</v>
      </c>
      <c r="BS70" s="160" t="n">
        <v>0</v>
      </c>
      <c r="BT70" s="160" t="n">
        <v>0</v>
      </c>
      <c r="BU70" s="160" t="n">
        <v>0</v>
      </c>
      <c r="BV70" s="160" t="n">
        <v>0</v>
      </c>
      <c r="BW70" s="160" t="n">
        <v>0</v>
      </c>
      <c r="BX70" s="160" t="n">
        <v>0</v>
      </c>
      <c r="BY70" s="160" t="n">
        <v>0</v>
      </c>
      <c r="BZ70" s="160" t="n">
        <v>0</v>
      </c>
      <c r="CA70" s="160" t="n">
        <v>0</v>
      </c>
      <c r="CB70" s="160" t="n">
        <v>0</v>
      </c>
      <c r="CC70" s="160" t="n">
        <v>0</v>
      </c>
      <c r="CD70" s="160" t="n">
        <v>0</v>
      </c>
      <c r="CE70" s="160" t="n">
        <v>0</v>
      </c>
      <c r="CF70" s="160" t="n">
        <v>0</v>
      </c>
      <c r="CG70" s="160" t="n">
        <v>0</v>
      </c>
      <c r="CH70" s="160" t="n">
        <v>0</v>
      </c>
      <c r="CI70" s="160" t="n">
        <v>0</v>
      </c>
      <c r="CJ70" s="160" t="n">
        <v>0</v>
      </c>
      <c r="CK70" s="160" t="n">
        <v>0</v>
      </c>
      <c r="CL70" s="160" t="n">
        <v>0</v>
      </c>
      <c r="CM70" s="160" t="n">
        <v>0</v>
      </c>
      <c r="CN70" s="160" t="n">
        <v>0</v>
      </c>
      <c r="CO70" s="160" t="n">
        <v>0</v>
      </c>
      <c r="CP70" s="160" t="n">
        <v>0</v>
      </c>
      <c r="CQ70" s="160" t="n">
        <v>0</v>
      </c>
      <c r="CR70" s="160" t="n">
        <v>0</v>
      </c>
      <c r="CS70" s="160" t="n">
        <v>0</v>
      </c>
      <c r="CT70" s="160" t="n">
        <v>0</v>
      </c>
      <c r="CU70" s="160" t="n">
        <v>0</v>
      </c>
      <c r="CV70" s="160" t="n">
        <v>0</v>
      </c>
      <c r="CW70" s="160" t="n">
        <v>0</v>
      </c>
      <c r="CX70" s="160" t="n">
        <v>0</v>
      </c>
      <c r="CY70" s="160" t="n">
        <v>0</v>
      </c>
      <c r="CZ70" s="160" t="n">
        <v>0</v>
      </c>
      <c r="DA70" s="160" t="n">
        <v>0</v>
      </c>
      <c r="DB70" s="160" t="n">
        <v>0</v>
      </c>
      <c r="DC70" s="160" t="n">
        <v>0</v>
      </c>
      <c r="DD70" s="160" t="n">
        <v>0</v>
      </c>
      <c r="DE70" s="160" t="n">
        <v>0</v>
      </c>
      <c r="DF70" s="160" t="n">
        <v>0</v>
      </c>
    </row>
    <row r="71" customFormat="false" ht="15" hidden="false" customHeight="true" outlineLevel="0" collapsed="false">
      <c r="A71" s="90" t="s">
        <v>360</v>
      </c>
      <c r="C71" s="104" t="n">
        <v>0</v>
      </c>
      <c r="D71" s="104" t="n">
        <v>0</v>
      </c>
      <c r="E71" s="104" t="n">
        <v>0</v>
      </c>
      <c r="F71" s="160" t="n">
        <v>0</v>
      </c>
      <c r="G71" s="160" t="n">
        <v>0</v>
      </c>
      <c r="H71" s="160" t="n">
        <v>0</v>
      </c>
      <c r="I71" s="160" t="n">
        <v>0</v>
      </c>
      <c r="J71" s="160" t="n">
        <v>0</v>
      </c>
      <c r="K71" s="160" t="n">
        <v>0</v>
      </c>
      <c r="L71" s="160" t="n">
        <v>0</v>
      </c>
      <c r="M71" s="160" t="n">
        <v>0</v>
      </c>
      <c r="N71" s="160" t="n">
        <v>0</v>
      </c>
      <c r="O71" s="160" t="n">
        <v>0</v>
      </c>
      <c r="P71" s="160" t="n">
        <v>0</v>
      </c>
      <c r="Q71" s="160" t="n">
        <v>0</v>
      </c>
      <c r="R71" s="160" t="n">
        <v>0</v>
      </c>
      <c r="S71" s="160" t="n">
        <v>0</v>
      </c>
      <c r="T71" s="160" t="n">
        <v>0</v>
      </c>
      <c r="U71" s="160" t="n">
        <v>0</v>
      </c>
      <c r="V71" s="160" t="n">
        <v>0</v>
      </c>
      <c r="W71" s="160" t="n">
        <v>0</v>
      </c>
      <c r="X71" s="160" t="n">
        <v>0</v>
      </c>
      <c r="Y71" s="160" t="n">
        <v>0</v>
      </c>
      <c r="Z71" s="160" t="n">
        <v>0</v>
      </c>
      <c r="AA71" s="160" t="n">
        <v>0</v>
      </c>
      <c r="AB71" s="160" t="n">
        <v>0</v>
      </c>
      <c r="AC71" s="160" t="n">
        <v>0</v>
      </c>
      <c r="AD71" s="160" t="n">
        <v>0</v>
      </c>
      <c r="AE71" s="160" t="n">
        <v>0</v>
      </c>
      <c r="AF71" s="160" t="n">
        <v>0</v>
      </c>
      <c r="AG71" s="160" t="n">
        <v>0</v>
      </c>
      <c r="AH71" s="160" t="n">
        <v>0</v>
      </c>
      <c r="AI71" s="160" t="n">
        <v>0</v>
      </c>
      <c r="AJ71" s="160" t="n">
        <v>0</v>
      </c>
      <c r="AK71" s="160" t="n">
        <v>0</v>
      </c>
      <c r="AL71" s="160" t="n">
        <v>0</v>
      </c>
      <c r="AM71" s="160" t="n">
        <v>0</v>
      </c>
      <c r="AN71" s="160" t="n">
        <v>0</v>
      </c>
      <c r="AO71" s="160" t="n">
        <v>0</v>
      </c>
      <c r="AP71" s="160" t="n">
        <v>0</v>
      </c>
      <c r="AQ71" s="160" t="n">
        <v>0</v>
      </c>
      <c r="AR71" s="160" t="n">
        <v>0</v>
      </c>
      <c r="AS71" s="160" t="n">
        <v>0</v>
      </c>
      <c r="AT71" s="160" t="n">
        <v>0</v>
      </c>
      <c r="AU71" s="160" t="n">
        <v>0</v>
      </c>
      <c r="AV71" s="160" t="n">
        <v>0</v>
      </c>
      <c r="AW71" s="160" t="n">
        <v>0</v>
      </c>
      <c r="AX71" s="160" t="n">
        <v>0</v>
      </c>
      <c r="AY71" s="160" t="n">
        <v>0</v>
      </c>
      <c r="AZ71" s="160" t="n">
        <v>0</v>
      </c>
      <c r="BA71" s="160" t="n">
        <v>0</v>
      </c>
      <c r="BB71" s="160" t="n">
        <v>0</v>
      </c>
      <c r="BC71" s="160" t="n">
        <v>0</v>
      </c>
      <c r="BD71" s="160" t="n">
        <v>0</v>
      </c>
      <c r="BE71" s="160" t="n">
        <v>0</v>
      </c>
      <c r="BF71" s="160" t="n">
        <v>0</v>
      </c>
      <c r="BG71" s="160" t="n">
        <v>0</v>
      </c>
      <c r="BH71" s="160" t="n">
        <v>0</v>
      </c>
      <c r="BI71" s="160" t="n">
        <v>0</v>
      </c>
      <c r="BJ71" s="160" t="n">
        <v>0</v>
      </c>
      <c r="BK71" s="160" t="n">
        <v>0</v>
      </c>
      <c r="BL71" s="160" t="n">
        <v>0</v>
      </c>
      <c r="BM71" s="160" t="n">
        <v>0</v>
      </c>
      <c r="BN71" s="160" t="n">
        <v>0</v>
      </c>
      <c r="BO71" s="160" t="n">
        <v>0</v>
      </c>
      <c r="BP71" s="160" t="n">
        <v>0</v>
      </c>
      <c r="BQ71" s="160" t="n">
        <v>0</v>
      </c>
      <c r="BR71" s="160" t="n">
        <v>0</v>
      </c>
      <c r="BS71" s="160" t="n">
        <v>0</v>
      </c>
      <c r="BT71" s="160" t="n">
        <v>0</v>
      </c>
      <c r="BU71" s="160" t="n">
        <v>0</v>
      </c>
      <c r="BV71" s="160" t="n">
        <v>0</v>
      </c>
      <c r="BW71" s="160" t="n">
        <v>0</v>
      </c>
      <c r="BX71" s="160" t="n">
        <v>0</v>
      </c>
      <c r="BY71" s="160" t="n">
        <v>0</v>
      </c>
      <c r="BZ71" s="160" t="n">
        <v>0</v>
      </c>
      <c r="CA71" s="160" t="n">
        <v>0</v>
      </c>
      <c r="CB71" s="160" t="n">
        <v>0</v>
      </c>
      <c r="CC71" s="160" t="n">
        <v>0</v>
      </c>
      <c r="CD71" s="160" t="n">
        <v>0</v>
      </c>
      <c r="CE71" s="160" t="n">
        <v>0</v>
      </c>
      <c r="CF71" s="160" t="n">
        <v>0</v>
      </c>
      <c r="CG71" s="160" t="n">
        <v>0</v>
      </c>
      <c r="CH71" s="160" t="n">
        <v>0</v>
      </c>
      <c r="CI71" s="160" t="n">
        <v>0</v>
      </c>
      <c r="CJ71" s="160" t="n">
        <v>0</v>
      </c>
      <c r="CK71" s="160" t="n">
        <v>0</v>
      </c>
      <c r="CL71" s="160" t="n">
        <v>0</v>
      </c>
      <c r="CM71" s="160" t="n">
        <v>0</v>
      </c>
      <c r="CN71" s="160" t="n">
        <v>0</v>
      </c>
      <c r="CO71" s="160" t="n">
        <v>0</v>
      </c>
      <c r="CP71" s="160" t="n">
        <v>0</v>
      </c>
      <c r="CQ71" s="160" t="n">
        <v>0</v>
      </c>
      <c r="CR71" s="160" t="n">
        <v>0</v>
      </c>
      <c r="CS71" s="160" t="n">
        <v>0</v>
      </c>
      <c r="CT71" s="160" t="n">
        <v>0</v>
      </c>
      <c r="CU71" s="160" t="n">
        <v>0</v>
      </c>
      <c r="CV71" s="160" t="n">
        <v>0</v>
      </c>
      <c r="CW71" s="160" t="n">
        <v>0</v>
      </c>
      <c r="CX71" s="160" t="n">
        <v>0</v>
      </c>
      <c r="CY71" s="160" t="n">
        <v>0</v>
      </c>
      <c r="CZ71" s="160" t="n">
        <v>0</v>
      </c>
      <c r="DA71" s="160" t="n">
        <v>0</v>
      </c>
      <c r="DB71" s="160" t="n">
        <v>0</v>
      </c>
      <c r="DC71" s="160" t="n">
        <v>0</v>
      </c>
      <c r="DD71" s="160" t="n">
        <v>0</v>
      </c>
      <c r="DE71" s="160" t="n">
        <v>0</v>
      </c>
      <c r="DF71" s="160" t="n">
        <v>0</v>
      </c>
    </row>
    <row r="72" customFormat="false" ht="15" hidden="false" customHeight="true" outlineLevel="0" collapsed="false">
      <c r="A72" s="90" t="s">
        <v>109</v>
      </c>
      <c r="C72" s="104" t="n">
        <v>0</v>
      </c>
      <c r="D72" s="104" t="n">
        <v>0</v>
      </c>
      <c r="E72" s="104" t="n">
        <v>0</v>
      </c>
      <c r="F72" s="160" t="n">
        <v>0</v>
      </c>
      <c r="G72" s="160" t="n">
        <v>0</v>
      </c>
      <c r="H72" s="160" t="n">
        <v>0</v>
      </c>
      <c r="I72" s="160" t="n">
        <v>0</v>
      </c>
      <c r="J72" s="160" t="n">
        <v>0</v>
      </c>
      <c r="K72" s="160" t="n">
        <v>0</v>
      </c>
      <c r="L72" s="160" t="n">
        <v>0</v>
      </c>
      <c r="M72" s="160" t="n">
        <v>0</v>
      </c>
      <c r="N72" s="160" t="n">
        <v>0</v>
      </c>
      <c r="O72" s="160" t="n">
        <v>0</v>
      </c>
      <c r="P72" s="160" t="n">
        <v>0</v>
      </c>
      <c r="Q72" s="160" t="n">
        <v>0</v>
      </c>
      <c r="R72" s="160" t="n">
        <v>0</v>
      </c>
      <c r="S72" s="160" t="n">
        <v>0</v>
      </c>
      <c r="T72" s="160" t="n">
        <v>0</v>
      </c>
      <c r="U72" s="160" t="n">
        <v>0</v>
      </c>
      <c r="V72" s="160" t="n">
        <v>0</v>
      </c>
      <c r="W72" s="160" t="n">
        <v>0</v>
      </c>
      <c r="X72" s="160" t="n">
        <v>0</v>
      </c>
      <c r="Y72" s="160" t="n">
        <v>0</v>
      </c>
      <c r="Z72" s="160" t="n">
        <v>0</v>
      </c>
      <c r="AA72" s="160" t="n">
        <v>0</v>
      </c>
      <c r="AB72" s="160" t="n">
        <v>0</v>
      </c>
      <c r="AC72" s="160" t="n">
        <v>0</v>
      </c>
      <c r="AD72" s="160" t="n">
        <v>0</v>
      </c>
      <c r="AE72" s="160" t="n">
        <v>0</v>
      </c>
      <c r="AF72" s="160" t="n">
        <v>0</v>
      </c>
      <c r="AG72" s="160" t="n">
        <v>0</v>
      </c>
      <c r="AH72" s="160" t="n">
        <v>0</v>
      </c>
      <c r="AI72" s="160" t="n">
        <v>0</v>
      </c>
      <c r="AJ72" s="160" t="n">
        <v>0</v>
      </c>
      <c r="AK72" s="160" t="n">
        <v>0</v>
      </c>
      <c r="AL72" s="160" t="n">
        <v>0</v>
      </c>
      <c r="AM72" s="160" t="n">
        <v>0</v>
      </c>
      <c r="AN72" s="160" t="n">
        <v>0</v>
      </c>
      <c r="AO72" s="160" t="n">
        <v>0</v>
      </c>
      <c r="AP72" s="160" t="n">
        <v>0</v>
      </c>
      <c r="AQ72" s="160" t="n">
        <v>0</v>
      </c>
      <c r="AR72" s="160" t="n">
        <v>0</v>
      </c>
      <c r="AS72" s="160" t="n">
        <v>0</v>
      </c>
      <c r="AT72" s="160" t="n">
        <v>0</v>
      </c>
      <c r="AU72" s="160" t="n">
        <v>0</v>
      </c>
      <c r="AV72" s="160" t="n">
        <v>0</v>
      </c>
      <c r="AW72" s="160" t="n">
        <v>0</v>
      </c>
      <c r="AX72" s="160" t="n">
        <v>0</v>
      </c>
      <c r="AY72" s="160" t="n">
        <v>0</v>
      </c>
      <c r="AZ72" s="160" t="n">
        <v>0</v>
      </c>
      <c r="BA72" s="160" t="n">
        <v>0</v>
      </c>
      <c r="BB72" s="160" t="n">
        <v>0</v>
      </c>
      <c r="BC72" s="160" t="n">
        <v>0</v>
      </c>
      <c r="BD72" s="160" t="n">
        <v>0</v>
      </c>
      <c r="BE72" s="160" t="n">
        <v>0</v>
      </c>
      <c r="BF72" s="160" t="n">
        <v>0</v>
      </c>
      <c r="BG72" s="160" t="n">
        <v>0</v>
      </c>
      <c r="BH72" s="160" t="n">
        <v>0</v>
      </c>
      <c r="BI72" s="160" t="n">
        <v>0</v>
      </c>
      <c r="BJ72" s="160" t="n">
        <v>0</v>
      </c>
      <c r="BK72" s="160" t="n">
        <v>0</v>
      </c>
      <c r="BL72" s="160" t="n">
        <v>0</v>
      </c>
      <c r="BM72" s="160" t="n">
        <v>0</v>
      </c>
      <c r="BN72" s="160" t="n">
        <v>0</v>
      </c>
      <c r="BO72" s="160" t="n">
        <v>0</v>
      </c>
      <c r="BP72" s="160" t="n">
        <v>0</v>
      </c>
      <c r="BQ72" s="160" t="n">
        <v>0</v>
      </c>
      <c r="BR72" s="160" t="n">
        <v>0</v>
      </c>
      <c r="BS72" s="160" t="n">
        <v>0</v>
      </c>
      <c r="BT72" s="160" t="n">
        <v>0</v>
      </c>
      <c r="BU72" s="160" t="n">
        <v>0</v>
      </c>
      <c r="BV72" s="160" t="n">
        <v>0</v>
      </c>
      <c r="BW72" s="160" t="n">
        <v>0</v>
      </c>
      <c r="BX72" s="160" t="n">
        <v>0</v>
      </c>
      <c r="BY72" s="160" t="n">
        <v>0</v>
      </c>
      <c r="BZ72" s="160" t="n">
        <v>0</v>
      </c>
      <c r="CA72" s="160" t="n">
        <v>0</v>
      </c>
      <c r="CB72" s="160" t="n">
        <v>0</v>
      </c>
      <c r="CC72" s="160" t="n">
        <v>0</v>
      </c>
      <c r="CD72" s="160" t="n">
        <v>0</v>
      </c>
      <c r="CE72" s="160" t="n">
        <v>0</v>
      </c>
      <c r="CF72" s="160" t="n">
        <v>0</v>
      </c>
      <c r="CG72" s="160" t="n">
        <v>0</v>
      </c>
      <c r="CH72" s="160" t="n">
        <v>0</v>
      </c>
      <c r="CI72" s="160" t="n">
        <v>0</v>
      </c>
      <c r="CJ72" s="160" t="n">
        <v>0</v>
      </c>
      <c r="CK72" s="160" t="n">
        <v>0</v>
      </c>
      <c r="CL72" s="160" t="n">
        <v>0</v>
      </c>
      <c r="CM72" s="160" t="n">
        <v>0</v>
      </c>
      <c r="CN72" s="160" t="n">
        <v>0</v>
      </c>
      <c r="CO72" s="160" t="n">
        <v>0</v>
      </c>
      <c r="CP72" s="160" t="n">
        <v>0</v>
      </c>
      <c r="CQ72" s="160" t="n">
        <v>0</v>
      </c>
      <c r="CR72" s="160" t="n">
        <v>0</v>
      </c>
      <c r="CS72" s="160" t="n">
        <v>0</v>
      </c>
      <c r="CT72" s="160" t="n">
        <v>0</v>
      </c>
      <c r="CU72" s="160" t="n">
        <v>0</v>
      </c>
      <c r="CV72" s="160" t="n">
        <v>0</v>
      </c>
      <c r="CW72" s="160" t="n">
        <v>0</v>
      </c>
      <c r="CX72" s="160" t="n">
        <v>0</v>
      </c>
      <c r="CY72" s="160" t="n">
        <v>0</v>
      </c>
      <c r="CZ72" s="160" t="n">
        <v>0</v>
      </c>
      <c r="DA72" s="160" t="n">
        <v>0</v>
      </c>
      <c r="DB72" s="160" t="n">
        <v>0</v>
      </c>
      <c r="DC72" s="160" t="n">
        <v>0</v>
      </c>
      <c r="DD72" s="160" t="n">
        <v>0</v>
      </c>
      <c r="DE72" s="160" t="n">
        <v>0</v>
      </c>
      <c r="DF72" s="160" t="n">
        <v>0</v>
      </c>
    </row>
    <row r="73" customFormat="false" ht="15" hidden="false" customHeight="true" outlineLevel="0" collapsed="false">
      <c r="A73" s="90" t="s">
        <v>361</v>
      </c>
      <c r="C73" s="104" t="n">
        <v>0</v>
      </c>
      <c r="D73" s="104" t="n">
        <v>0</v>
      </c>
      <c r="E73" s="104" t="n">
        <v>0</v>
      </c>
      <c r="F73" s="160" t="n">
        <v>0</v>
      </c>
      <c r="G73" s="160" t="n">
        <v>0</v>
      </c>
      <c r="H73" s="160" t="n">
        <v>0</v>
      </c>
      <c r="I73" s="160" t="n">
        <v>0</v>
      </c>
      <c r="J73" s="160" t="n">
        <v>0</v>
      </c>
      <c r="K73" s="160" t="n">
        <v>0</v>
      </c>
      <c r="L73" s="160" t="n">
        <v>0</v>
      </c>
      <c r="M73" s="160" t="n">
        <v>0</v>
      </c>
      <c r="N73" s="160" t="n">
        <v>0</v>
      </c>
      <c r="O73" s="160" t="n">
        <v>0</v>
      </c>
      <c r="P73" s="160" t="n">
        <v>0</v>
      </c>
      <c r="Q73" s="160" t="n">
        <v>0</v>
      </c>
      <c r="R73" s="160" t="n">
        <v>0</v>
      </c>
      <c r="S73" s="160" t="n">
        <v>0</v>
      </c>
      <c r="T73" s="160" t="n">
        <v>0</v>
      </c>
      <c r="U73" s="160" t="n">
        <v>0</v>
      </c>
      <c r="V73" s="160" t="n">
        <v>0</v>
      </c>
      <c r="W73" s="160" t="n">
        <v>0</v>
      </c>
      <c r="X73" s="160" t="n">
        <v>0</v>
      </c>
      <c r="Y73" s="160" t="n">
        <v>0</v>
      </c>
      <c r="Z73" s="160" t="n">
        <v>0</v>
      </c>
      <c r="AA73" s="160" t="n">
        <v>0</v>
      </c>
      <c r="AB73" s="160" t="n">
        <v>0</v>
      </c>
      <c r="AC73" s="160" t="n">
        <v>0</v>
      </c>
      <c r="AD73" s="160" t="n">
        <v>0</v>
      </c>
      <c r="AE73" s="160" t="n">
        <v>0</v>
      </c>
      <c r="AF73" s="160" t="n">
        <v>0</v>
      </c>
      <c r="AG73" s="160" t="n">
        <v>0</v>
      </c>
      <c r="AH73" s="160" t="n">
        <v>0</v>
      </c>
      <c r="AI73" s="160" t="n">
        <v>0</v>
      </c>
      <c r="AJ73" s="160" t="n">
        <v>0</v>
      </c>
      <c r="AK73" s="160" t="n">
        <v>0</v>
      </c>
      <c r="AL73" s="160" t="n">
        <v>0</v>
      </c>
      <c r="AM73" s="160" t="n">
        <v>0</v>
      </c>
      <c r="AN73" s="160" t="n">
        <v>0</v>
      </c>
      <c r="AO73" s="160" t="n">
        <v>0</v>
      </c>
      <c r="AP73" s="160" t="n">
        <v>0</v>
      </c>
      <c r="AQ73" s="160" t="n">
        <v>0</v>
      </c>
      <c r="AR73" s="160" t="n">
        <v>0</v>
      </c>
      <c r="AS73" s="160" t="n">
        <v>0</v>
      </c>
      <c r="AT73" s="160" t="n">
        <v>0</v>
      </c>
      <c r="AU73" s="160" t="n">
        <v>0</v>
      </c>
      <c r="AV73" s="160" t="n">
        <v>0</v>
      </c>
      <c r="AW73" s="160" t="n">
        <v>0</v>
      </c>
      <c r="AX73" s="160" t="n">
        <v>0</v>
      </c>
      <c r="AY73" s="160" t="n">
        <v>0</v>
      </c>
      <c r="AZ73" s="160" t="n">
        <v>0</v>
      </c>
      <c r="BA73" s="160" t="n">
        <v>0</v>
      </c>
      <c r="BB73" s="160" t="n">
        <v>0</v>
      </c>
      <c r="BC73" s="160" t="n">
        <v>0</v>
      </c>
      <c r="BD73" s="160" t="n">
        <v>0</v>
      </c>
      <c r="BE73" s="160" t="n">
        <v>0</v>
      </c>
      <c r="BF73" s="160" t="n">
        <v>0</v>
      </c>
      <c r="BG73" s="160" t="n">
        <v>0</v>
      </c>
      <c r="BH73" s="160" t="n">
        <v>0</v>
      </c>
      <c r="BI73" s="160" t="n">
        <v>0</v>
      </c>
      <c r="BJ73" s="160" t="n">
        <v>0</v>
      </c>
      <c r="BK73" s="160" t="n">
        <v>0</v>
      </c>
      <c r="BL73" s="160" t="n">
        <v>0</v>
      </c>
      <c r="BM73" s="160" t="n">
        <v>0</v>
      </c>
      <c r="BN73" s="160" t="n">
        <v>0</v>
      </c>
      <c r="BO73" s="160" t="n">
        <v>0</v>
      </c>
      <c r="BP73" s="160" t="n">
        <v>0</v>
      </c>
      <c r="BQ73" s="160" t="n">
        <v>0</v>
      </c>
      <c r="BR73" s="160" t="n">
        <v>0</v>
      </c>
      <c r="BS73" s="160" t="n">
        <v>0</v>
      </c>
      <c r="BT73" s="160" t="n">
        <v>0</v>
      </c>
      <c r="BU73" s="160" t="n">
        <v>0</v>
      </c>
      <c r="BV73" s="160" t="n">
        <v>0</v>
      </c>
      <c r="BW73" s="160" t="n">
        <v>0</v>
      </c>
      <c r="BX73" s="160" t="n">
        <v>0</v>
      </c>
      <c r="BY73" s="160" t="n">
        <v>0</v>
      </c>
      <c r="BZ73" s="160" t="n">
        <v>0</v>
      </c>
      <c r="CA73" s="160" t="n">
        <v>0</v>
      </c>
      <c r="CB73" s="160" t="n">
        <v>0</v>
      </c>
      <c r="CC73" s="160" t="n">
        <v>0</v>
      </c>
      <c r="CD73" s="160" t="n">
        <v>0</v>
      </c>
      <c r="CE73" s="160" t="n">
        <v>0</v>
      </c>
      <c r="CF73" s="160" t="n">
        <v>0</v>
      </c>
      <c r="CG73" s="160" t="n">
        <v>0</v>
      </c>
      <c r="CH73" s="160" t="n">
        <v>0</v>
      </c>
      <c r="CI73" s="160" t="n">
        <v>0</v>
      </c>
      <c r="CJ73" s="160" t="n">
        <v>0</v>
      </c>
      <c r="CK73" s="160" t="n">
        <v>0</v>
      </c>
      <c r="CL73" s="160" t="n">
        <v>0</v>
      </c>
      <c r="CM73" s="160" t="n">
        <v>0</v>
      </c>
      <c r="CN73" s="160" t="n">
        <v>0</v>
      </c>
      <c r="CO73" s="160" t="n">
        <v>0</v>
      </c>
      <c r="CP73" s="160" t="n">
        <v>0</v>
      </c>
      <c r="CQ73" s="160" t="n">
        <v>0</v>
      </c>
      <c r="CR73" s="160" t="n">
        <v>0</v>
      </c>
      <c r="CS73" s="160" t="n">
        <v>0</v>
      </c>
      <c r="CT73" s="160" t="n">
        <v>0</v>
      </c>
      <c r="CU73" s="160" t="n">
        <v>0</v>
      </c>
      <c r="CV73" s="160" t="n">
        <v>0</v>
      </c>
      <c r="CW73" s="160" t="n">
        <v>0</v>
      </c>
      <c r="CX73" s="160" t="n">
        <v>0</v>
      </c>
      <c r="CY73" s="160" t="n">
        <v>0</v>
      </c>
      <c r="CZ73" s="160" t="n">
        <v>0</v>
      </c>
      <c r="DA73" s="160" t="n">
        <v>0</v>
      </c>
      <c r="DB73" s="160" t="n">
        <v>0</v>
      </c>
      <c r="DC73" s="160" t="n">
        <v>0</v>
      </c>
      <c r="DD73" s="160" t="n">
        <v>0</v>
      </c>
      <c r="DE73" s="160" t="n">
        <v>0</v>
      </c>
      <c r="DF73" s="160" t="n">
        <v>0</v>
      </c>
    </row>
    <row r="74" customFormat="false" ht="15" hidden="false" customHeight="true" outlineLevel="0" collapsed="false">
      <c r="A74" s="90" t="s">
        <v>362</v>
      </c>
      <c r="C74" s="104" t="n">
        <v>0</v>
      </c>
      <c r="D74" s="104" t="n">
        <v>0</v>
      </c>
      <c r="E74" s="104" t="n">
        <v>0</v>
      </c>
      <c r="F74" s="160" t="n">
        <v>0</v>
      </c>
      <c r="G74" s="160" t="n">
        <v>0</v>
      </c>
      <c r="H74" s="160" t="n">
        <v>0</v>
      </c>
      <c r="I74" s="160" t="n">
        <v>0</v>
      </c>
      <c r="J74" s="160" t="n">
        <v>0</v>
      </c>
      <c r="K74" s="160" t="n">
        <v>0</v>
      </c>
      <c r="L74" s="160" t="n">
        <v>0</v>
      </c>
      <c r="M74" s="160" t="n">
        <v>0</v>
      </c>
      <c r="N74" s="160" t="n">
        <v>0</v>
      </c>
      <c r="O74" s="160" t="n">
        <v>0</v>
      </c>
      <c r="P74" s="160" t="n">
        <v>0</v>
      </c>
      <c r="Q74" s="160" t="n">
        <v>0</v>
      </c>
      <c r="R74" s="160" t="n">
        <v>0</v>
      </c>
      <c r="S74" s="160" t="n">
        <v>0</v>
      </c>
      <c r="T74" s="160" t="n">
        <v>0</v>
      </c>
      <c r="U74" s="160" t="n">
        <v>0</v>
      </c>
      <c r="V74" s="160" t="n">
        <v>0</v>
      </c>
      <c r="W74" s="160" t="n">
        <v>0</v>
      </c>
      <c r="X74" s="160" t="n">
        <v>0</v>
      </c>
      <c r="Y74" s="160" t="n">
        <v>0</v>
      </c>
      <c r="Z74" s="160" t="n">
        <v>0</v>
      </c>
      <c r="AA74" s="160" t="n">
        <v>0</v>
      </c>
      <c r="AB74" s="160" t="n">
        <v>0</v>
      </c>
      <c r="AC74" s="160" t="n">
        <v>0</v>
      </c>
      <c r="AD74" s="160" t="n">
        <v>0</v>
      </c>
      <c r="AE74" s="160" t="n">
        <v>0</v>
      </c>
      <c r="AF74" s="160" t="n">
        <v>0</v>
      </c>
      <c r="AG74" s="160" t="n">
        <v>0</v>
      </c>
      <c r="AH74" s="160" t="n">
        <v>0</v>
      </c>
      <c r="AI74" s="160" t="n">
        <v>0</v>
      </c>
      <c r="AJ74" s="160" t="n">
        <v>0</v>
      </c>
      <c r="AK74" s="160" t="n">
        <v>0</v>
      </c>
      <c r="AL74" s="160" t="n">
        <v>0</v>
      </c>
      <c r="AM74" s="160" t="n">
        <v>0</v>
      </c>
      <c r="AN74" s="160" t="n">
        <v>0</v>
      </c>
      <c r="AO74" s="160" t="n">
        <v>0</v>
      </c>
      <c r="AP74" s="160" t="n">
        <v>0</v>
      </c>
      <c r="AQ74" s="160" t="n">
        <v>0</v>
      </c>
      <c r="AR74" s="160" t="n">
        <v>0</v>
      </c>
      <c r="AS74" s="160" t="n">
        <v>0</v>
      </c>
      <c r="AT74" s="160" t="n">
        <v>0</v>
      </c>
      <c r="AU74" s="160" t="n">
        <v>0</v>
      </c>
      <c r="AV74" s="160" t="n">
        <v>0</v>
      </c>
      <c r="AW74" s="160" t="n">
        <v>0</v>
      </c>
      <c r="AX74" s="160" t="n">
        <v>0</v>
      </c>
      <c r="AY74" s="160" t="n">
        <v>0</v>
      </c>
      <c r="AZ74" s="160" t="n">
        <v>0</v>
      </c>
      <c r="BA74" s="160" t="n">
        <v>0</v>
      </c>
      <c r="BB74" s="160" t="n">
        <v>0</v>
      </c>
      <c r="BC74" s="160" t="n">
        <v>0</v>
      </c>
      <c r="BD74" s="160" t="n">
        <v>0</v>
      </c>
      <c r="BE74" s="160" t="n">
        <v>0</v>
      </c>
      <c r="BF74" s="160" t="n">
        <v>0</v>
      </c>
      <c r="BG74" s="160" t="n">
        <v>0</v>
      </c>
      <c r="BH74" s="160" t="n">
        <v>0</v>
      </c>
      <c r="BI74" s="160" t="n">
        <v>0</v>
      </c>
      <c r="BJ74" s="160" t="n">
        <v>0</v>
      </c>
      <c r="BK74" s="160" t="n">
        <v>0</v>
      </c>
      <c r="BL74" s="160" t="n">
        <v>0</v>
      </c>
      <c r="BM74" s="160" t="n">
        <v>0</v>
      </c>
      <c r="BN74" s="160" t="n">
        <v>0</v>
      </c>
      <c r="BO74" s="160" t="n">
        <v>0</v>
      </c>
      <c r="BP74" s="160" t="n">
        <v>0</v>
      </c>
      <c r="BQ74" s="160" t="n">
        <v>0</v>
      </c>
      <c r="BR74" s="160" t="n">
        <v>0</v>
      </c>
      <c r="BS74" s="160" t="n">
        <v>0</v>
      </c>
      <c r="BT74" s="160" t="n">
        <v>0</v>
      </c>
      <c r="BU74" s="160" t="n">
        <v>0</v>
      </c>
      <c r="BV74" s="160" t="n">
        <v>0</v>
      </c>
      <c r="BW74" s="160" t="n">
        <v>0</v>
      </c>
      <c r="BX74" s="160" t="n">
        <v>0</v>
      </c>
      <c r="BY74" s="160" t="n">
        <v>0</v>
      </c>
      <c r="BZ74" s="160" t="n">
        <v>0</v>
      </c>
      <c r="CA74" s="160" t="n">
        <v>0</v>
      </c>
      <c r="CB74" s="160" t="n">
        <v>0</v>
      </c>
      <c r="CC74" s="160" t="n">
        <v>0</v>
      </c>
      <c r="CD74" s="160" t="n">
        <v>0</v>
      </c>
      <c r="CE74" s="160" t="n">
        <v>0</v>
      </c>
      <c r="CF74" s="160" t="n">
        <v>0</v>
      </c>
      <c r="CG74" s="160" t="n">
        <v>0</v>
      </c>
      <c r="CH74" s="160" t="n">
        <v>0</v>
      </c>
      <c r="CI74" s="160" t="n">
        <v>0</v>
      </c>
      <c r="CJ74" s="160" t="n">
        <v>0</v>
      </c>
      <c r="CK74" s="160" t="n">
        <v>0</v>
      </c>
      <c r="CL74" s="160" t="n">
        <v>0</v>
      </c>
      <c r="CM74" s="160" t="n">
        <v>0</v>
      </c>
      <c r="CN74" s="160" t="n">
        <v>0</v>
      </c>
      <c r="CO74" s="160" t="n">
        <v>0</v>
      </c>
      <c r="CP74" s="160" t="n">
        <v>0</v>
      </c>
      <c r="CQ74" s="160" t="n">
        <v>0</v>
      </c>
      <c r="CR74" s="160" t="n">
        <v>0</v>
      </c>
      <c r="CS74" s="160" t="n">
        <v>0</v>
      </c>
      <c r="CT74" s="160" t="n">
        <v>0</v>
      </c>
      <c r="CU74" s="160" t="n">
        <v>0</v>
      </c>
      <c r="CV74" s="160" t="n">
        <v>0</v>
      </c>
      <c r="CW74" s="160" t="n">
        <v>0</v>
      </c>
      <c r="CX74" s="160" t="n">
        <v>0</v>
      </c>
      <c r="CY74" s="160" t="n">
        <v>0</v>
      </c>
      <c r="CZ74" s="160" t="n">
        <v>0</v>
      </c>
      <c r="DA74" s="160" t="n">
        <v>0</v>
      </c>
      <c r="DB74" s="160" t="n">
        <v>0</v>
      </c>
      <c r="DC74" s="160" t="n">
        <v>0</v>
      </c>
      <c r="DD74" s="160" t="n">
        <v>0</v>
      </c>
      <c r="DE74" s="160" t="n">
        <v>0</v>
      </c>
      <c r="DF74" s="160" t="n">
        <v>0</v>
      </c>
    </row>
    <row r="75" customFormat="false" ht="15" hidden="false" customHeight="true" outlineLevel="0" collapsed="false">
      <c r="A75" s="90" t="s">
        <v>112</v>
      </c>
      <c r="C75" s="104" t="n">
        <v>0</v>
      </c>
      <c r="D75" s="104" t="n">
        <v>0</v>
      </c>
      <c r="E75" s="104" t="n">
        <v>0</v>
      </c>
      <c r="F75" s="160" t="n">
        <v>0</v>
      </c>
      <c r="G75" s="160" t="n">
        <v>0</v>
      </c>
      <c r="H75" s="160" t="n">
        <v>0</v>
      </c>
      <c r="I75" s="160" t="n">
        <v>0</v>
      </c>
      <c r="J75" s="160" t="n">
        <v>0</v>
      </c>
      <c r="K75" s="160" t="n">
        <v>0</v>
      </c>
      <c r="L75" s="160" t="n">
        <v>0</v>
      </c>
      <c r="M75" s="160" t="n">
        <v>0</v>
      </c>
      <c r="N75" s="160" t="n">
        <v>0</v>
      </c>
      <c r="O75" s="160" t="n">
        <v>0</v>
      </c>
      <c r="P75" s="160" t="n">
        <v>0</v>
      </c>
      <c r="Q75" s="160" t="n">
        <v>0</v>
      </c>
      <c r="R75" s="160" t="n">
        <v>0</v>
      </c>
      <c r="S75" s="160" t="n">
        <v>0</v>
      </c>
      <c r="T75" s="160" t="n">
        <v>0</v>
      </c>
      <c r="U75" s="160" t="n">
        <v>0</v>
      </c>
      <c r="V75" s="160" t="n">
        <v>0</v>
      </c>
      <c r="W75" s="160" t="n">
        <v>0</v>
      </c>
      <c r="X75" s="160" t="n">
        <v>0</v>
      </c>
      <c r="Y75" s="160" t="n">
        <v>0</v>
      </c>
      <c r="Z75" s="160" t="n">
        <v>0</v>
      </c>
      <c r="AA75" s="160" t="n">
        <v>0</v>
      </c>
      <c r="AB75" s="160" t="n">
        <v>0</v>
      </c>
      <c r="AC75" s="160" t="n">
        <v>0</v>
      </c>
      <c r="AD75" s="160" t="n">
        <v>0</v>
      </c>
      <c r="AE75" s="160" t="n">
        <v>0</v>
      </c>
      <c r="AF75" s="160" t="n">
        <v>0</v>
      </c>
      <c r="AG75" s="160" t="n">
        <v>0</v>
      </c>
      <c r="AH75" s="160" t="n">
        <v>0</v>
      </c>
      <c r="AI75" s="160" t="n">
        <v>0</v>
      </c>
      <c r="AJ75" s="160" t="n">
        <v>0</v>
      </c>
      <c r="AK75" s="160" t="n">
        <v>0</v>
      </c>
      <c r="AL75" s="160" t="n">
        <v>0</v>
      </c>
      <c r="AM75" s="160" t="n">
        <v>0</v>
      </c>
      <c r="AN75" s="160" t="n">
        <v>0</v>
      </c>
      <c r="AO75" s="160" t="n">
        <v>0</v>
      </c>
      <c r="AP75" s="160" t="n">
        <v>0</v>
      </c>
      <c r="AQ75" s="160" t="n">
        <v>0</v>
      </c>
      <c r="AR75" s="160" t="n">
        <v>0</v>
      </c>
      <c r="AS75" s="160" t="n">
        <v>0</v>
      </c>
      <c r="AT75" s="160" t="n">
        <v>0</v>
      </c>
      <c r="AU75" s="160" t="n">
        <v>0</v>
      </c>
      <c r="AV75" s="160" t="n">
        <v>0</v>
      </c>
      <c r="AW75" s="160" t="n">
        <v>0</v>
      </c>
      <c r="AX75" s="160" t="n">
        <v>0</v>
      </c>
      <c r="AY75" s="160" t="n">
        <v>0</v>
      </c>
      <c r="AZ75" s="160" t="n">
        <v>0</v>
      </c>
      <c r="BA75" s="160" t="n">
        <v>0</v>
      </c>
      <c r="BB75" s="160" t="n">
        <v>0</v>
      </c>
      <c r="BC75" s="160" t="n">
        <v>0</v>
      </c>
      <c r="BD75" s="160" t="n">
        <v>0</v>
      </c>
      <c r="BE75" s="160" t="n">
        <v>0</v>
      </c>
      <c r="BF75" s="160" t="n">
        <v>0</v>
      </c>
      <c r="BG75" s="160" t="n">
        <v>0</v>
      </c>
      <c r="BH75" s="160" t="n">
        <v>0</v>
      </c>
      <c r="BI75" s="160" t="n">
        <v>0</v>
      </c>
      <c r="BJ75" s="160" t="n">
        <v>0</v>
      </c>
      <c r="BK75" s="160" t="n">
        <v>0</v>
      </c>
      <c r="BL75" s="160" t="n">
        <v>0</v>
      </c>
      <c r="BM75" s="160" t="n">
        <v>0</v>
      </c>
      <c r="BN75" s="160" t="n">
        <v>0</v>
      </c>
      <c r="BO75" s="160" t="n">
        <v>0</v>
      </c>
      <c r="BP75" s="160" t="n">
        <v>0</v>
      </c>
      <c r="BQ75" s="160" t="n">
        <v>0</v>
      </c>
      <c r="BR75" s="160" t="n">
        <v>0</v>
      </c>
      <c r="BS75" s="160" t="n">
        <v>0</v>
      </c>
      <c r="BT75" s="160" t="n">
        <v>0</v>
      </c>
      <c r="BU75" s="160" t="n">
        <v>0</v>
      </c>
      <c r="BV75" s="160" t="n">
        <v>0</v>
      </c>
      <c r="BW75" s="160" t="n">
        <v>0</v>
      </c>
      <c r="BX75" s="160" t="n">
        <v>0</v>
      </c>
      <c r="BY75" s="160" t="n">
        <v>0</v>
      </c>
      <c r="BZ75" s="160" t="n">
        <v>0</v>
      </c>
      <c r="CA75" s="160" t="n">
        <v>0</v>
      </c>
      <c r="CB75" s="160" t="n">
        <v>0</v>
      </c>
      <c r="CC75" s="160" t="n">
        <v>0</v>
      </c>
      <c r="CD75" s="160" t="n">
        <v>0</v>
      </c>
      <c r="CE75" s="160" t="n">
        <v>0</v>
      </c>
      <c r="CF75" s="160" t="n">
        <v>0</v>
      </c>
      <c r="CG75" s="160" t="n">
        <v>0</v>
      </c>
      <c r="CH75" s="160" t="n">
        <v>0</v>
      </c>
      <c r="CI75" s="160" t="n">
        <v>0</v>
      </c>
      <c r="CJ75" s="160" t="n">
        <v>0</v>
      </c>
      <c r="CK75" s="160" t="n">
        <v>0</v>
      </c>
      <c r="CL75" s="160" t="n">
        <v>0</v>
      </c>
      <c r="CM75" s="160" t="n">
        <v>0</v>
      </c>
      <c r="CN75" s="160" t="n">
        <v>0</v>
      </c>
      <c r="CO75" s="160" t="n">
        <v>0</v>
      </c>
      <c r="CP75" s="160" t="n">
        <v>0</v>
      </c>
      <c r="CQ75" s="160" t="n">
        <v>0</v>
      </c>
      <c r="CR75" s="160" t="n">
        <v>0</v>
      </c>
      <c r="CS75" s="160" t="n">
        <v>0</v>
      </c>
      <c r="CT75" s="160" t="n">
        <v>0</v>
      </c>
      <c r="CU75" s="160" t="n">
        <v>0</v>
      </c>
      <c r="CV75" s="160" t="n">
        <v>0</v>
      </c>
      <c r="CW75" s="160" t="n">
        <v>0</v>
      </c>
      <c r="CX75" s="160" t="n">
        <v>0</v>
      </c>
      <c r="CY75" s="160" t="n">
        <v>0</v>
      </c>
      <c r="CZ75" s="160" t="n">
        <v>0</v>
      </c>
      <c r="DA75" s="160" t="n">
        <v>0</v>
      </c>
      <c r="DB75" s="160" t="n">
        <v>0</v>
      </c>
      <c r="DC75" s="160" t="n">
        <v>0</v>
      </c>
      <c r="DD75" s="160" t="n">
        <v>0</v>
      </c>
      <c r="DE75" s="160" t="n">
        <v>0</v>
      </c>
      <c r="DF75" s="160" t="n">
        <v>0</v>
      </c>
    </row>
    <row r="76" customFormat="false" ht="15" hidden="false" customHeight="true" outlineLevel="0" collapsed="false">
      <c r="A76" s="90" t="s">
        <v>363</v>
      </c>
      <c r="C76" s="104" t="n">
        <v>0</v>
      </c>
      <c r="D76" s="104" t="n">
        <v>0</v>
      </c>
      <c r="E76" s="104" t="n">
        <v>0</v>
      </c>
      <c r="F76" s="160" t="n">
        <v>0</v>
      </c>
      <c r="G76" s="160" t="n">
        <v>0</v>
      </c>
      <c r="H76" s="160" t="n">
        <v>0</v>
      </c>
      <c r="I76" s="160" t="n">
        <v>0</v>
      </c>
      <c r="J76" s="160" t="n">
        <v>0</v>
      </c>
      <c r="K76" s="160" t="n">
        <v>0</v>
      </c>
      <c r="L76" s="160" t="n">
        <v>0</v>
      </c>
      <c r="M76" s="160" t="n">
        <v>0</v>
      </c>
      <c r="N76" s="160" t="n">
        <v>0</v>
      </c>
      <c r="O76" s="160" t="n">
        <v>0</v>
      </c>
      <c r="P76" s="160" t="n">
        <v>0</v>
      </c>
      <c r="Q76" s="160" t="n">
        <v>0</v>
      </c>
      <c r="R76" s="160" t="n">
        <v>0</v>
      </c>
      <c r="S76" s="160" t="n">
        <v>0</v>
      </c>
      <c r="T76" s="160" t="n">
        <v>0</v>
      </c>
      <c r="U76" s="160" t="n">
        <v>0</v>
      </c>
      <c r="V76" s="160" t="n">
        <v>0</v>
      </c>
      <c r="W76" s="160" t="n">
        <v>0</v>
      </c>
      <c r="X76" s="160" t="n">
        <v>0</v>
      </c>
      <c r="Y76" s="160" t="n">
        <v>0</v>
      </c>
      <c r="Z76" s="160" t="n">
        <v>0</v>
      </c>
      <c r="AA76" s="160" t="n">
        <v>0</v>
      </c>
      <c r="AB76" s="160" t="n">
        <v>0</v>
      </c>
      <c r="AC76" s="160" t="n">
        <v>0</v>
      </c>
      <c r="AD76" s="160" t="n">
        <v>0</v>
      </c>
      <c r="AE76" s="160" t="n">
        <v>0</v>
      </c>
      <c r="AF76" s="160" t="n">
        <v>0</v>
      </c>
      <c r="AG76" s="160" t="n">
        <v>0</v>
      </c>
      <c r="AH76" s="160" t="n">
        <v>0</v>
      </c>
      <c r="AI76" s="160" t="n">
        <v>0</v>
      </c>
      <c r="AJ76" s="160" t="n">
        <v>0</v>
      </c>
      <c r="AK76" s="160" t="n">
        <v>0</v>
      </c>
      <c r="AL76" s="160" t="n">
        <v>0</v>
      </c>
      <c r="AM76" s="160" t="n">
        <v>0</v>
      </c>
      <c r="AN76" s="160" t="n">
        <v>0</v>
      </c>
      <c r="AO76" s="160" t="n">
        <v>0</v>
      </c>
      <c r="AP76" s="160" t="n">
        <v>0</v>
      </c>
      <c r="AQ76" s="160" t="n">
        <v>0</v>
      </c>
      <c r="AR76" s="160" t="n">
        <v>0</v>
      </c>
      <c r="AS76" s="160" t="n">
        <v>0</v>
      </c>
      <c r="AT76" s="160" t="n">
        <v>0</v>
      </c>
      <c r="AU76" s="160" t="n">
        <v>0</v>
      </c>
      <c r="AV76" s="160" t="n">
        <v>0</v>
      </c>
      <c r="AW76" s="160" t="n">
        <v>0</v>
      </c>
      <c r="AX76" s="160" t="n">
        <v>0</v>
      </c>
      <c r="AY76" s="160" t="n">
        <v>0</v>
      </c>
      <c r="AZ76" s="160" t="n">
        <v>0</v>
      </c>
      <c r="BA76" s="160" t="n">
        <v>0</v>
      </c>
      <c r="BB76" s="160" t="n">
        <v>0</v>
      </c>
      <c r="BC76" s="160" t="n">
        <v>0</v>
      </c>
      <c r="BD76" s="160" t="n">
        <v>0</v>
      </c>
      <c r="BE76" s="160" t="n">
        <v>0</v>
      </c>
      <c r="BF76" s="160" t="n">
        <v>0</v>
      </c>
      <c r="BG76" s="160" t="n">
        <v>0</v>
      </c>
      <c r="BH76" s="160" t="n">
        <v>0</v>
      </c>
      <c r="BI76" s="160" t="n">
        <v>0</v>
      </c>
      <c r="BJ76" s="160" t="n">
        <v>0</v>
      </c>
      <c r="BK76" s="160" t="n">
        <v>0</v>
      </c>
      <c r="BL76" s="160" t="n">
        <v>0</v>
      </c>
      <c r="BM76" s="160" t="n">
        <v>0</v>
      </c>
      <c r="BN76" s="160" t="n">
        <v>0</v>
      </c>
      <c r="BO76" s="160" t="n">
        <v>0</v>
      </c>
      <c r="BP76" s="160" t="n">
        <v>0</v>
      </c>
      <c r="BQ76" s="160" t="n">
        <v>0</v>
      </c>
      <c r="BR76" s="160" t="n">
        <v>0</v>
      </c>
      <c r="BS76" s="160" t="n">
        <v>0</v>
      </c>
      <c r="BT76" s="160" t="n">
        <v>0</v>
      </c>
      <c r="BU76" s="160" t="n">
        <v>0</v>
      </c>
      <c r="BV76" s="160" t="n">
        <v>0</v>
      </c>
      <c r="BW76" s="160" t="n">
        <v>0</v>
      </c>
      <c r="BX76" s="160" t="n">
        <v>0</v>
      </c>
      <c r="BY76" s="160" t="n">
        <v>0</v>
      </c>
      <c r="BZ76" s="160" t="n">
        <v>0</v>
      </c>
      <c r="CA76" s="160" t="n">
        <v>0</v>
      </c>
      <c r="CB76" s="160" t="n">
        <v>0</v>
      </c>
      <c r="CC76" s="160" t="n">
        <v>0</v>
      </c>
      <c r="CD76" s="160" t="n">
        <v>0</v>
      </c>
      <c r="CE76" s="160" t="n">
        <v>0</v>
      </c>
      <c r="CF76" s="160" t="n">
        <v>0</v>
      </c>
      <c r="CG76" s="160" t="n">
        <v>0</v>
      </c>
      <c r="CH76" s="160" t="n">
        <v>0</v>
      </c>
      <c r="CI76" s="160" t="n">
        <v>0</v>
      </c>
      <c r="CJ76" s="160" t="n">
        <v>0</v>
      </c>
      <c r="CK76" s="160" t="n">
        <v>0</v>
      </c>
      <c r="CL76" s="160" t="n">
        <v>0</v>
      </c>
      <c r="CM76" s="160" t="n">
        <v>0</v>
      </c>
      <c r="CN76" s="160" t="n">
        <v>0</v>
      </c>
      <c r="CO76" s="160" t="n">
        <v>0</v>
      </c>
      <c r="CP76" s="160" t="n">
        <v>0</v>
      </c>
      <c r="CQ76" s="160" t="n">
        <v>0</v>
      </c>
      <c r="CR76" s="160" t="n">
        <v>0</v>
      </c>
      <c r="CS76" s="160" t="n">
        <v>0</v>
      </c>
      <c r="CT76" s="160" t="n">
        <v>0</v>
      </c>
      <c r="CU76" s="160" t="n">
        <v>0</v>
      </c>
      <c r="CV76" s="160" t="n">
        <v>0</v>
      </c>
      <c r="CW76" s="160" t="n">
        <v>0</v>
      </c>
      <c r="CX76" s="160" t="n">
        <v>0</v>
      </c>
      <c r="CY76" s="160" t="n">
        <v>0</v>
      </c>
      <c r="CZ76" s="160" t="n">
        <v>0</v>
      </c>
      <c r="DA76" s="160" t="n">
        <v>0</v>
      </c>
      <c r="DB76" s="160" t="n">
        <v>0</v>
      </c>
      <c r="DC76" s="160" t="n">
        <v>0</v>
      </c>
      <c r="DD76" s="160" t="n">
        <v>0</v>
      </c>
      <c r="DE76" s="160" t="n">
        <v>0</v>
      </c>
      <c r="DF76" s="160" t="n">
        <v>0</v>
      </c>
    </row>
    <row r="77" customFormat="false" ht="15" hidden="false" customHeight="true" outlineLevel="0" collapsed="false">
      <c r="A77" s="90" t="s">
        <v>114</v>
      </c>
      <c r="C77" s="104" t="n">
        <v>0</v>
      </c>
      <c r="D77" s="104" t="n">
        <v>0</v>
      </c>
      <c r="E77" s="104" t="n">
        <v>0</v>
      </c>
      <c r="F77" s="160" t="n">
        <v>0</v>
      </c>
      <c r="G77" s="160" t="n">
        <v>0</v>
      </c>
      <c r="H77" s="160" t="n">
        <v>0</v>
      </c>
      <c r="I77" s="160" t="n">
        <v>0</v>
      </c>
      <c r="J77" s="160" t="n">
        <v>0</v>
      </c>
      <c r="K77" s="160" t="n">
        <v>0</v>
      </c>
      <c r="L77" s="160" t="n">
        <v>0</v>
      </c>
      <c r="M77" s="160" t="n">
        <v>0</v>
      </c>
      <c r="N77" s="160" t="n">
        <v>0</v>
      </c>
      <c r="O77" s="160" t="n">
        <v>0</v>
      </c>
      <c r="P77" s="160" t="n">
        <v>0</v>
      </c>
      <c r="Q77" s="160" t="n">
        <v>0</v>
      </c>
      <c r="R77" s="160" t="n">
        <v>0</v>
      </c>
      <c r="S77" s="160" t="n">
        <v>0</v>
      </c>
      <c r="T77" s="160" t="n">
        <v>0</v>
      </c>
      <c r="U77" s="160" t="n">
        <v>0</v>
      </c>
      <c r="V77" s="160" t="n">
        <v>0</v>
      </c>
      <c r="W77" s="160" t="n">
        <v>0</v>
      </c>
      <c r="X77" s="160" t="n">
        <v>0</v>
      </c>
      <c r="Y77" s="160" t="n">
        <v>0</v>
      </c>
      <c r="Z77" s="160" t="n">
        <v>0</v>
      </c>
      <c r="AA77" s="160" t="n">
        <v>0</v>
      </c>
      <c r="AB77" s="160" t="n">
        <v>0</v>
      </c>
      <c r="AC77" s="160" t="n">
        <v>0</v>
      </c>
      <c r="AD77" s="160" t="n">
        <v>0</v>
      </c>
      <c r="AE77" s="160" t="n">
        <v>0</v>
      </c>
      <c r="AF77" s="160" t="n">
        <v>0</v>
      </c>
      <c r="AG77" s="160" t="n">
        <v>0</v>
      </c>
      <c r="AH77" s="160" t="n">
        <v>0</v>
      </c>
      <c r="AI77" s="160" t="n">
        <v>0</v>
      </c>
      <c r="AJ77" s="160" t="n">
        <v>0</v>
      </c>
      <c r="AK77" s="160" t="n">
        <v>0</v>
      </c>
      <c r="AL77" s="160" t="n">
        <v>0</v>
      </c>
      <c r="AM77" s="160" t="n">
        <v>0</v>
      </c>
      <c r="AN77" s="160" t="n">
        <v>0</v>
      </c>
      <c r="AO77" s="160" t="n">
        <v>0</v>
      </c>
      <c r="AP77" s="160" t="n">
        <v>0</v>
      </c>
      <c r="AQ77" s="160" t="n">
        <v>0</v>
      </c>
      <c r="AR77" s="160" t="n">
        <v>0</v>
      </c>
      <c r="AS77" s="160" t="n">
        <v>0</v>
      </c>
      <c r="AT77" s="160" t="n">
        <v>0</v>
      </c>
      <c r="AU77" s="160" t="n">
        <v>81683</v>
      </c>
      <c r="AV77" s="160" t="n">
        <v>0</v>
      </c>
      <c r="AW77" s="160" t="n">
        <v>0</v>
      </c>
      <c r="AX77" s="160" t="n">
        <v>81682</v>
      </c>
      <c r="AY77" s="160" t="n">
        <v>0</v>
      </c>
      <c r="AZ77" s="160" t="n">
        <v>0</v>
      </c>
      <c r="BA77" s="160" t="n">
        <v>81682</v>
      </c>
      <c r="BB77" s="160" t="n">
        <v>0</v>
      </c>
      <c r="BC77" s="160" t="n">
        <v>0</v>
      </c>
      <c r="BD77" s="160" t="n">
        <v>81682</v>
      </c>
      <c r="BE77" s="160" t="n">
        <v>0</v>
      </c>
      <c r="BF77" s="160" t="n">
        <v>0</v>
      </c>
      <c r="BG77" s="160" t="n">
        <v>59178</v>
      </c>
      <c r="BH77" s="160" t="n">
        <v>0</v>
      </c>
      <c r="BI77" s="160" t="n">
        <v>0</v>
      </c>
      <c r="BJ77" s="160" t="n">
        <v>59176</v>
      </c>
      <c r="BK77" s="160" t="n">
        <v>0</v>
      </c>
      <c r="BL77" s="160" t="n">
        <v>0</v>
      </c>
      <c r="BM77" s="160" t="n">
        <v>59176</v>
      </c>
      <c r="BN77" s="160" t="n">
        <v>0</v>
      </c>
      <c r="BO77" s="160" t="n">
        <v>0</v>
      </c>
      <c r="BP77" s="160" t="n">
        <v>59176</v>
      </c>
      <c r="BQ77" s="160" t="n">
        <v>0</v>
      </c>
      <c r="BR77" s="160" t="n">
        <v>0</v>
      </c>
      <c r="BS77" s="160" t="n">
        <v>67763</v>
      </c>
      <c r="BT77" s="160" t="n">
        <v>0</v>
      </c>
      <c r="BU77" s="160" t="n">
        <v>0</v>
      </c>
      <c r="BV77" s="160" t="n">
        <v>67762</v>
      </c>
      <c r="BW77" s="160" t="n">
        <v>0</v>
      </c>
      <c r="BX77" s="160" t="n">
        <v>0</v>
      </c>
      <c r="BY77" s="160" t="n">
        <v>67762</v>
      </c>
      <c r="BZ77" s="160" t="n">
        <v>0</v>
      </c>
      <c r="CA77" s="160" t="n">
        <v>0</v>
      </c>
      <c r="CB77" s="160" t="n">
        <v>67762</v>
      </c>
      <c r="CC77" s="160" t="n">
        <v>0</v>
      </c>
      <c r="CD77" s="160" t="n">
        <v>0</v>
      </c>
      <c r="CE77" s="160" t="n">
        <v>76499</v>
      </c>
      <c r="CF77" s="160" t="n">
        <v>0</v>
      </c>
      <c r="CG77" s="160" t="n">
        <v>0</v>
      </c>
      <c r="CH77" s="160" t="n">
        <v>76499</v>
      </c>
      <c r="CI77" s="160" t="n">
        <v>0</v>
      </c>
      <c r="CJ77" s="160" t="n">
        <v>0</v>
      </c>
      <c r="CK77" s="160" t="n">
        <v>76499</v>
      </c>
      <c r="CL77" s="160" t="n">
        <v>76499</v>
      </c>
      <c r="CM77" s="160" t="n">
        <v>76499</v>
      </c>
      <c r="CN77" s="160" t="n">
        <v>76499</v>
      </c>
      <c r="CO77" s="160" t="n">
        <v>76499</v>
      </c>
      <c r="CP77" s="160" t="n">
        <v>76499</v>
      </c>
      <c r="CQ77" s="160" t="n">
        <v>76499</v>
      </c>
      <c r="CR77" s="160" t="n">
        <v>76499</v>
      </c>
      <c r="CS77" s="160" t="n">
        <v>76499</v>
      </c>
      <c r="CT77" s="160" t="n">
        <v>76499</v>
      </c>
      <c r="CU77" s="160" t="n">
        <v>76499</v>
      </c>
      <c r="CV77" s="160" t="n">
        <v>76499</v>
      </c>
      <c r="CW77" s="160" t="n">
        <v>76499</v>
      </c>
      <c r="CX77" s="160" t="n">
        <v>76499</v>
      </c>
      <c r="CY77" s="160" t="n">
        <v>76499</v>
      </c>
      <c r="CZ77" s="160" t="n">
        <v>76499</v>
      </c>
      <c r="DA77" s="160" t="n">
        <v>76499</v>
      </c>
      <c r="DB77" s="160" t="n">
        <v>76499</v>
      </c>
      <c r="DC77" s="160" t="n">
        <v>76499</v>
      </c>
      <c r="DD77" s="160" t="n">
        <v>76499</v>
      </c>
      <c r="DE77" s="160" t="n">
        <v>76499</v>
      </c>
      <c r="DF77" s="160" t="n">
        <v>76499</v>
      </c>
    </row>
    <row r="78" customFormat="false" ht="15" hidden="false" customHeight="true" outlineLevel="0" collapsed="false">
      <c r="A78" s="90" t="s">
        <v>115</v>
      </c>
      <c r="C78" s="104" t="n">
        <v>0</v>
      </c>
      <c r="D78" s="104" t="n">
        <v>0</v>
      </c>
      <c r="E78" s="104" t="n">
        <v>0</v>
      </c>
      <c r="F78" s="160" t="n">
        <v>0</v>
      </c>
      <c r="G78" s="160" t="n">
        <v>0</v>
      </c>
      <c r="H78" s="160" t="n">
        <v>0</v>
      </c>
      <c r="I78" s="160" t="n">
        <v>0</v>
      </c>
      <c r="J78" s="160" t="n">
        <v>0</v>
      </c>
      <c r="K78" s="160" t="n">
        <v>0</v>
      </c>
      <c r="L78" s="160" t="n">
        <v>0</v>
      </c>
      <c r="M78" s="160" t="n">
        <v>0</v>
      </c>
      <c r="N78" s="160" t="n">
        <v>0</v>
      </c>
      <c r="O78" s="160" t="n">
        <v>0</v>
      </c>
      <c r="P78" s="160" t="n">
        <v>0</v>
      </c>
      <c r="Q78" s="160" t="n">
        <v>0</v>
      </c>
      <c r="R78" s="160" t="n">
        <v>0</v>
      </c>
      <c r="S78" s="160" t="n">
        <v>0</v>
      </c>
      <c r="T78" s="160" t="n">
        <v>0</v>
      </c>
      <c r="U78" s="160" t="n">
        <v>0</v>
      </c>
      <c r="V78" s="160" t="n">
        <v>0</v>
      </c>
      <c r="W78" s="160" t="n">
        <v>0</v>
      </c>
      <c r="X78" s="160" t="n">
        <v>0</v>
      </c>
      <c r="Y78" s="160" t="n">
        <v>0</v>
      </c>
      <c r="Z78" s="160" t="n">
        <v>0</v>
      </c>
      <c r="AA78" s="160" t="n">
        <v>0</v>
      </c>
      <c r="AB78" s="160" t="n">
        <v>0</v>
      </c>
      <c r="AC78" s="160" t="n">
        <v>0</v>
      </c>
      <c r="AD78" s="160" t="n">
        <v>0</v>
      </c>
      <c r="AE78" s="160" t="n">
        <v>0</v>
      </c>
      <c r="AF78" s="160" t="n">
        <v>0</v>
      </c>
      <c r="AG78" s="160" t="n">
        <v>0</v>
      </c>
      <c r="AH78" s="160" t="n">
        <v>0</v>
      </c>
      <c r="AI78" s="160" t="n">
        <v>0</v>
      </c>
      <c r="AJ78" s="160" t="n">
        <v>0</v>
      </c>
      <c r="AK78" s="160" t="n">
        <v>0</v>
      </c>
      <c r="AL78" s="160" t="n">
        <v>0</v>
      </c>
      <c r="AM78" s="160" t="n">
        <v>0</v>
      </c>
      <c r="AN78" s="160" t="n">
        <v>0</v>
      </c>
      <c r="AO78" s="160" t="n">
        <v>0</v>
      </c>
      <c r="AP78" s="160" t="n">
        <v>0</v>
      </c>
      <c r="AQ78" s="160" t="n">
        <v>0</v>
      </c>
      <c r="AR78" s="160" t="n">
        <v>0</v>
      </c>
      <c r="AS78" s="160" t="n">
        <v>0</v>
      </c>
      <c r="AT78" s="160" t="n">
        <v>0</v>
      </c>
      <c r="AU78" s="160" t="n">
        <v>0</v>
      </c>
      <c r="AV78" s="160" t="n">
        <v>0</v>
      </c>
      <c r="AW78" s="160" t="n">
        <v>0</v>
      </c>
      <c r="AX78" s="160" t="n">
        <v>0</v>
      </c>
      <c r="AY78" s="160" t="n">
        <v>0</v>
      </c>
      <c r="AZ78" s="160" t="n">
        <v>0</v>
      </c>
      <c r="BA78" s="160" t="n">
        <v>0</v>
      </c>
      <c r="BB78" s="160" t="n">
        <v>0</v>
      </c>
      <c r="BC78" s="160" t="n">
        <v>0</v>
      </c>
      <c r="BD78" s="160" t="n">
        <v>851839</v>
      </c>
      <c r="BE78" s="160" t="n">
        <v>0</v>
      </c>
      <c r="BF78" s="160" t="n">
        <v>0</v>
      </c>
      <c r="BG78" s="160" t="n">
        <v>71700</v>
      </c>
      <c r="BH78" s="160" t="n">
        <v>0</v>
      </c>
      <c r="BI78" s="160" t="n">
        <v>0</v>
      </c>
      <c r="BJ78" s="160" t="n">
        <v>71700</v>
      </c>
      <c r="BK78" s="160" t="n">
        <v>0</v>
      </c>
      <c r="BL78" s="160" t="n">
        <v>0</v>
      </c>
      <c r="BM78" s="160" t="n">
        <v>71700</v>
      </c>
      <c r="BN78" s="160" t="n">
        <v>0</v>
      </c>
      <c r="BO78" s="160" t="n">
        <v>0</v>
      </c>
      <c r="BP78" s="160" t="n">
        <v>71700</v>
      </c>
      <c r="BQ78" s="160" t="n">
        <v>0</v>
      </c>
      <c r="BR78" s="160" t="n">
        <v>0</v>
      </c>
      <c r="BS78" s="160" t="n">
        <v>74643</v>
      </c>
      <c r="BT78" s="160" t="n">
        <v>0</v>
      </c>
      <c r="BU78" s="160" t="n">
        <v>0</v>
      </c>
      <c r="BV78" s="160" t="n">
        <v>74640</v>
      </c>
      <c r="BW78" s="160" t="n">
        <v>0</v>
      </c>
      <c r="BX78" s="160" t="n">
        <v>0</v>
      </c>
      <c r="BY78" s="160" t="n">
        <v>74640</v>
      </c>
      <c r="BZ78" s="160" t="n">
        <v>0</v>
      </c>
      <c r="CA78" s="160" t="n">
        <v>0</v>
      </c>
      <c r="CB78" s="160" t="n">
        <v>74640</v>
      </c>
      <c r="CC78" s="160" t="n">
        <v>0</v>
      </c>
      <c r="CD78" s="160" t="n">
        <v>0</v>
      </c>
      <c r="CE78" s="160" t="n">
        <v>81363</v>
      </c>
      <c r="CF78" s="160" t="n">
        <v>0</v>
      </c>
      <c r="CG78" s="160" t="n">
        <v>0</v>
      </c>
      <c r="CH78" s="160" t="n">
        <v>81362</v>
      </c>
      <c r="CI78" s="160" t="n">
        <v>0</v>
      </c>
      <c r="CJ78" s="160" t="n">
        <v>0</v>
      </c>
      <c r="CK78" s="160" t="n">
        <v>81362</v>
      </c>
      <c r="CL78" s="160" t="n">
        <v>81362</v>
      </c>
      <c r="CM78" s="160" t="n">
        <v>81362</v>
      </c>
      <c r="CN78" s="160" t="n">
        <v>81362</v>
      </c>
      <c r="CO78" s="160" t="n">
        <v>81362</v>
      </c>
      <c r="CP78" s="160" t="n">
        <v>81362</v>
      </c>
      <c r="CQ78" s="160" t="n">
        <v>81362</v>
      </c>
      <c r="CR78" s="160" t="n">
        <v>81362</v>
      </c>
      <c r="CS78" s="160" t="n">
        <v>81362</v>
      </c>
      <c r="CT78" s="160" t="n">
        <v>81362</v>
      </c>
      <c r="CU78" s="160" t="n">
        <v>81362</v>
      </c>
      <c r="CV78" s="160" t="n">
        <v>81362</v>
      </c>
      <c r="CW78" s="160" t="n">
        <v>81362</v>
      </c>
      <c r="CX78" s="160" t="n">
        <v>81362</v>
      </c>
      <c r="CY78" s="160" t="n">
        <v>81362</v>
      </c>
      <c r="CZ78" s="160" t="n">
        <v>81362</v>
      </c>
      <c r="DA78" s="160" t="n">
        <v>81362</v>
      </c>
      <c r="DB78" s="160" t="n">
        <v>81362</v>
      </c>
      <c r="DC78" s="160" t="n">
        <v>81362</v>
      </c>
      <c r="DD78" s="160" t="n">
        <v>81362</v>
      </c>
      <c r="DE78" s="160" t="n">
        <v>81362</v>
      </c>
      <c r="DF78" s="160" t="n">
        <v>81362</v>
      </c>
    </row>
    <row r="79" customFormat="false" ht="15" hidden="false" customHeight="true" outlineLevel="0" collapsed="false">
      <c r="A79" s="90" t="s">
        <v>116</v>
      </c>
      <c r="C79" s="104" t="n">
        <v>0</v>
      </c>
      <c r="D79" s="104" t="n">
        <v>0</v>
      </c>
      <c r="E79" s="104" t="n">
        <v>0</v>
      </c>
      <c r="F79" s="160" t="n">
        <v>0</v>
      </c>
      <c r="G79" s="160" t="n">
        <v>0</v>
      </c>
      <c r="H79" s="160" t="n">
        <v>0</v>
      </c>
      <c r="I79" s="160" t="n">
        <v>0</v>
      </c>
      <c r="J79" s="160" t="n">
        <v>0</v>
      </c>
      <c r="K79" s="160" t="n">
        <v>0</v>
      </c>
      <c r="L79" s="160" t="n">
        <v>0</v>
      </c>
      <c r="M79" s="160" t="n">
        <v>0</v>
      </c>
      <c r="N79" s="160" t="n">
        <v>0</v>
      </c>
      <c r="O79" s="160" t="n">
        <v>0</v>
      </c>
      <c r="P79" s="160" t="n">
        <v>0</v>
      </c>
      <c r="Q79" s="160" t="n">
        <v>0</v>
      </c>
      <c r="R79" s="160" t="n">
        <v>0</v>
      </c>
      <c r="S79" s="160" t="n">
        <v>0</v>
      </c>
      <c r="T79" s="160" t="n">
        <v>0</v>
      </c>
      <c r="U79" s="160" t="n">
        <v>0</v>
      </c>
      <c r="V79" s="160" t="n">
        <v>0</v>
      </c>
      <c r="W79" s="160" t="n">
        <v>0</v>
      </c>
      <c r="X79" s="160" t="n">
        <v>0</v>
      </c>
      <c r="Y79" s="160" t="n">
        <v>0</v>
      </c>
      <c r="Z79" s="160" t="n">
        <v>0</v>
      </c>
      <c r="AA79" s="160" t="n">
        <v>0</v>
      </c>
      <c r="AB79" s="160" t="n">
        <v>0</v>
      </c>
      <c r="AC79" s="160" t="n">
        <v>0</v>
      </c>
      <c r="AD79" s="160" t="n">
        <v>0</v>
      </c>
      <c r="AE79" s="160" t="n">
        <v>0</v>
      </c>
      <c r="AF79" s="160" t="n">
        <v>0</v>
      </c>
      <c r="AG79" s="160" t="n">
        <v>0</v>
      </c>
      <c r="AH79" s="160" t="n">
        <v>0</v>
      </c>
      <c r="AI79" s="160" t="n">
        <v>0</v>
      </c>
      <c r="AJ79" s="160" t="n">
        <v>0</v>
      </c>
      <c r="AK79" s="160" t="n">
        <v>0</v>
      </c>
      <c r="AL79" s="160" t="n">
        <v>0</v>
      </c>
      <c r="AM79" s="160" t="n">
        <v>0</v>
      </c>
      <c r="AN79" s="160" t="n">
        <v>0</v>
      </c>
      <c r="AO79" s="160" t="n">
        <v>0</v>
      </c>
      <c r="AP79" s="160" t="n">
        <v>0</v>
      </c>
      <c r="AQ79" s="160" t="n">
        <v>0</v>
      </c>
      <c r="AR79" s="160" t="n">
        <v>0</v>
      </c>
      <c r="AS79" s="160" t="n">
        <v>0</v>
      </c>
      <c r="AT79" s="160" t="n">
        <v>0</v>
      </c>
      <c r="AU79" s="160" t="n">
        <v>0</v>
      </c>
      <c r="AV79" s="160" t="n">
        <v>0</v>
      </c>
      <c r="AW79" s="160" t="n">
        <v>0</v>
      </c>
      <c r="AX79" s="160" t="n">
        <v>0</v>
      </c>
      <c r="AY79" s="160" t="n">
        <v>0</v>
      </c>
      <c r="AZ79" s="160" t="n">
        <v>0</v>
      </c>
      <c r="BA79" s="160" t="n">
        <v>0</v>
      </c>
      <c r="BB79" s="160" t="n">
        <v>0</v>
      </c>
      <c r="BC79" s="160" t="n">
        <v>0</v>
      </c>
      <c r="BD79" s="160" t="n">
        <v>0</v>
      </c>
      <c r="BE79" s="160" t="n">
        <v>0</v>
      </c>
      <c r="BF79" s="160" t="n">
        <v>0</v>
      </c>
      <c r="BG79" s="160" t="n">
        <v>0</v>
      </c>
      <c r="BH79" s="160" t="n">
        <v>0</v>
      </c>
      <c r="BI79" s="160" t="n">
        <v>0</v>
      </c>
      <c r="BJ79" s="160" t="n">
        <v>0</v>
      </c>
      <c r="BK79" s="160" t="n">
        <v>0</v>
      </c>
      <c r="BL79" s="160" t="n">
        <v>0</v>
      </c>
      <c r="BM79" s="160" t="n">
        <v>0</v>
      </c>
      <c r="BN79" s="160" t="n">
        <v>0</v>
      </c>
      <c r="BO79" s="160" t="n">
        <v>0</v>
      </c>
      <c r="BP79" s="160" t="n">
        <v>0</v>
      </c>
      <c r="BQ79" s="160" t="n">
        <v>0</v>
      </c>
      <c r="BR79" s="160" t="n">
        <v>0</v>
      </c>
      <c r="BS79" s="160" t="n">
        <v>0</v>
      </c>
      <c r="BT79" s="160" t="n">
        <v>0</v>
      </c>
      <c r="BU79" s="160" t="n">
        <v>0</v>
      </c>
      <c r="BV79" s="160" t="n">
        <v>0</v>
      </c>
      <c r="BW79" s="160" t="n">
        <v>0</v>
      </c>
      <c r="BX79" s="160" t="n">
        <v>0</v>
      </c>
      <c r="BY79" s="160" t="n">
        <v>0</v>
      </c>
      <c r="BZ79" s="160" t="n">
        <v>0</v>
      </c>
      <c r="CA79" s="160" t="n">
        <v>0</v>
      </c>
      <c r="CB79" s="160" t="n">
        <v>73156</v>
      </c>
      <c r="CC79" s="160" t="n">
        <v>0</v>
      </c>
      <c r="CD79" s="160" t="n">
        <v>0</v>
      </c>
      <c r="CE79" s="160" t="n">
        <v>73155</v>
      </c>
      <c r="CF79" s="160" t="n">
        <v>0</v>
      </c>
      <c r="CG79" s="160" t="n">
        <v>0</v>
      </c>
      <c r="CH79" s="160" t="n">
        <v>73155</v>
      </c>
      <c r="CI79" s="160" t="n">
        <v>0</v>
      </c>
      <c r="CJ79" s="160" t="n">
        <v>0</v>
      </c>
      <c r="CK79" s="160" t="n">
        <v>73155</v>
      </c>
      <c r="CL79" s="160" t="n">
        <v>73155</v>
      </c>
      <c r="CM79" s="160" t="n">
        <v>73155</v>
      </c>
      <c r="CN79" s="160" t="n">
        <v>73155</v>
      </c>
      <c r="CO79" s="160" t="n">
        <v>73155</v>
      </c>
      <c r="CP79" s="160" t="n">
        <v>73155</v>
      </c>
      <c r="CQ79" s="160" t="n">
        <v>73155</v>
      </c>
      <c r="CR79" s="160" t="n">
        <v>73155</v>
      </c>
      <c r="CS79" s="160" t="n">
        <v>73155</v>
      </c>
      <c r="CT79" s="160" t="n">
        <v>73155</v>
      </c>
      <c r="CU79" s="160" t="n">
        <v>73155</v>
      </c>
      <c r="CV79" s="160" t="n">
        <v>73155</v>
      </c>
      <c r="CW79" s="160" t="n">
        <v>73155</v>
      </c>
      <c r="CX79" s="160" t="n">
        <v>73155</v>
      </c>
      <c r="CY79" s="160" t="n">
        <v>73155</v>
      </c>
      <c r="CZ79" s="160" t="n">
        <v>73155</v>
      </c>
      <c r="DA79" s="160" t="n">
        <v>73155</v>
      </c>
      <c r="DB79" s="160" t="n">
        <v>73155</v>
      </c>
      <c r="DC79" s="160" t="n">
        <v>73155</v>
      </c>
      <c r="DD79" s="160" t="n">
        <v>73155</v>
      </c>
      <c r="DE79" s="160" t="n">
        <v>73155</v>
      </c>
      <c r="DF79" s="160" t="n">
        <v>73155</v>
      </c>
    </row>
    <row r="80" customFormat="false" ht="15" hidden="false" customHeight="true" outlineLevel="0" collapsed="false">
      <c r="A80" s="90" t="s">
        <v>364</v>
      </c>
      <c r="C80" s="104" t="n">
        <v>0</v>
      </c>
      <c r="D80" s="104" t="n">
        <v>0</v>
      </c>
      <c r="E80" s="104" t="n">
        <v>0</v>
      </c>
      <c r="F80" s="160" t="n">
        <v>0</v>
      </c>
      <c r="G80" s="160" t="n">
        <v>0</v>
      </c>
      <c r="H80" s="160" t="n">
        <v>0</v>
      </c>
      <c r="I80" s="160" t="n">
        <v>0</v>
      </c>
      <c r="J80" s="160" t="n">
        <v>0</v>
      </c>
      <c r="K80" s="160" t="n">
        <v>0</v>
      </c>
      <c r="L80" s="160" t="n">
        <v>0</v>
      </c>
      <c r="M80" s="160" t="n">
        <v>0</v>
      </c>
      <c r="N80" s="160" t="n">
        <v>0</v>
      </c>
      <c r="O80" s="160" t="n">
        <v>0</v>
      </c>
      <c r="P80" s="160" t="n">
        <v>0</v>
      </c>
      <c r="Q80" s="160" t="n">
        <v>0</v>
      </c>
      <c r="R80" s="160" t="n">
        <v>0</v>
      </c>
      <c r="S80" s="160" t="n">
        <v>0</v>
      </c>
      <c r="T80" s="160" t="n">
        <v>0</v>
      </c>
      <c r="U80" s="160" t="n">
        <v>0</v>
      </c>
      <c r="V80" s="160" t="n">
        <v>0</v>
      </c>
      <c r="W80" s="160" t="n">
        <v>0</v>
      </c>
      <c r="X80" s="160" t="n">
        <v>0</v>
      </c>
      <c r="Y80" s="160" t="n">
        <v>0</v>
      </c>
      <c r="Z80" s="160" t="n">
        <v>0</v>
      </c>
      <c r="AA80" s="160" t="n">
        <v>0</v>
      </c>
      <c r="AB80" s="160" t="n">
        <v>0</v>
      </c>
      <c r="AC80" s="160" t="n">
        <v>0</v>
      </c>
      <c r="AD80" s="160" t="n">
        <v>0</v>
      </c>
      <c r="AE80" s="160" t="n">
        <v>0</v>
      </c>
      <c r="AF80" s="160" t="n">
        <v>0</v>
      </c>
      <c r="AG80" s="160" t="n">
        <v>0</v>
      </c>
      <c r="AH80" s="160" t="n">
        <v>0</v>
      </c>
      <c r="AI80" s="160" t="n">
        <v>0</v>
      </c>
      <c r="AJ80" s="160" t="n">
        <v>0</v>
      </c>
      <c r="AK80" s="160" t="n">
        <v>0</v>
      </c>
      <c r="AL80" s="160" t="n">
        <v>0</v>
      </c>
      <c r="AM80" s="160" t="n">
        <v>0</v>
      </c>
      <c r="AN80" s="160" t="n">
        <v>0</v>
      </c>
      <c r="AO80" s="160" t="n">
        <v>0</v>
      </c>
      <c r="AP80" s="160" t="n">
        <v>0</v>
      </c>
      <c r="AQ80" s="160" t="n">
        <v>0</v>
      </c>
      <c r="AR80" s="160" t="n">
        <v>0</v>
      </c>
      <c r="AS80" s="160" t="n">
        <v>0</v>
      </c>
      <c r="AT80" s="160" t="n">
        <v>0</v>
      </c>
      <c r="AU80" s="160" t="n">
        <v>0</v>
      </c>
      <c r="AV80" s="160" t="n">
        <v>0</v>
      </c>
      <c r="AW80" s="160" t="n">
        <v>0</v>
      </c>
      <c r="AX80" s="160" t="n">
        <v>0</v>
      </c>
      <c r="AY80" s="160" t="n">
        <v>0</v>
      </c>
      <c r="AZ80" s="160" t="n">
        <v>0</v>
      </c>
      <c r="BA80" s="160" t="n">
        <v>0</v>
      </c>
      <c r="BB80" s="160" t="n">
        <v>0</v>
      </c>
      <c r="BC80" s="160" t="n">
        <v>0</v>
      </c>
      <c r="BD80" s="160" t="n">
        <v>0</v>
      </c>
      <c r="BE80" s="160" t="n">
        <v>0</v>
      </c>
      <c r="BF80" s="160" t="n">
        <v>0</v>
      </c>
      <c r="BG80" s="160" t="n">
        <v>0</v>
      </c>
      <c r="BH80" s="160" t="n">
        <v>0</v>
      </c>
      <c r="BI80" s="160" t="n">
        <v>0</v>
      </c>
      <c r="BJ80" s="160" t="n">
        <v>0</v>
      </c>
      <c r="BK80" s="160" t="n">
        <v>0</v>
      </c>
      <c r="BL80" s="160" t="n">
        <v>0</v>
      </c>
      <c r="BM80" s="160" t="n">
        <v>0</v>
      </c>
      <c r="BN80" s="160" t="n">
        <v>0</v>
      </c>
      <c r="BO80" s="160" t="n">
        <v>0</v>
      </c>
      <c r="BP80" s="160" t="n">
        <v>0</v>
      </c>
      <c r="BQ80" s="160" t="n">
        <v>0</v>
      </c>
      <c r="BR80" s="160" t="n">
        <v>0</v>
      </c>
      <c r="BS80" s="160" t="n">
        <v>0</v>
      </c>
      <c r="BT80" s="160" t="n">
        <v>0</v>
      </c>
      <c r="BU80" s="160" t="n">
        <v>0</v>
      </c>
      <c r="BV80" s="160" t="n">
        <v>0</v>
      </c>
      <c r="BW80" s="160" t="n">
        <v>0</v>
      </c>
      <c r="BX80" s="160" t="n">
        <v>0</v>
      </c>
      <c r="BY80" s="160" t="n">
        <v>0</v>
      </c>
      <c r="BZ80" s="160" t="n">
        <v>0</v>
      </c>
      <c r="CA80" s="160" t="n">
        <v>0</v>
      </c>
      <c r="CB80" s="160" t="n">
        <v>0</v>
      </c>
      <c r="CC80" s="160" t="n">
        <v>0</v>
      </c>
      <c r="CD80" s="160" t="n">
        <v>0</v>
      </c>
      <c r="CE80" s="160" t="n">
        <v>0</v>
      </c>
      <c r="CF80" s="160" t="n">
        <v>0</v>
      </c>
      <c r="CG80" s="160" t="n">
        <v>0</v>
      </c>
      <c r="CH80" s="160" t="n">
        <v>0</v>
      </c>
      <c r="CI80" s="160" t="n">
        <v>0</v>
      </c>
      <c r="CJ80" s="160" t="n">
        <v>0</v>
      </c>
      <c r="CK80" s="160" t="n">
        <v>0</v>
      </c>
      <c r="CL80" s="160" t="n">
        <v>0</v>
      </c>
      <c r="CM80" s="160" t="n">
        <v>0</v>
      </c>
      <c r="CN80" s="160" t="n">
        <v>0</v>
      </c>
      <c r="CO80" s="160" t="n">
        <v>0</v>
      </c>
      <c r="CP80" s="160" t="n">
        <v>0</v>
      </c>
      <c r="CQ80" s="160" t="n">
        <v>0</v>
      </c>
      <c r="CR80" s="160" t="n">
        <v>0</v>
      </c>
      <c r="CS80" s="160" t="n">
        <v>0</v>
      </c>
      <c r="CT80" s="160" t="n">
        <v>0</v>
      </c>
      <c r="CU80" s="160" t="n">
        <v>0</v>
      </c>
      <c r="CV80" s="160" t="n">
        <v>0</v>
      </c>
      <c r="CW80" s="160" t="n">
        <v>0</v>
      </c>
      <c r="CX80" s="160" t="n">
        <v>0</v>
      </c>
      <c r="CY80" s="160" t="n">
        <v>0</v>
      </c>
      <c r="CZ80" s="160" t="n">
        <v>0</v>
      </c>
      <c r="DA80" s="160" t="n">
        <v>0</v>
      </c>
      <c r="DB80" s="160" t="n">
        <v>0</v>
      </c>
      <c r="DC80" s="160" t="n">
        <v>0</v>
      </c>
      <c r="DD80" s="160" t="n">
        <v>0</v>
      </c>
      <c r="DE80" s="160" t="n">
        <v>0</v>
      </c>
      <c r="DF80" s="160" t="n">
        <v>0</v>
      </c>
    </row>
    <row r="81" customFormat="false" ht="15" hidden="false" customHeight="true" outlineLevel="0" collapsed="false">
      <c r="A81" s="94" t="s">
        <v>121</v>
      </c>
      <c r="C81" s="164" t="n">
        <v>34114.58</v>
      </c>
      <c r="D81" s="164" t="n">
        <v>34114.58</v>
      </c>
      <c r="E81" s="164" t="n">
        <v>34114.58</v>
      </c>
      <c r="F81" s="166" t="n">
        <v>43614.58</v>
      </c>
      <c r="G81" s="166" t="n">
        <v>43614.58</v>
      </c>
      <c r="H81" s="166" t="n">
        <v>43614.58</v>
      </c>
      <c r="I81" s="166" t="n">
        <v>43614.58</v>
      </c>
      <c r="J81" s="166" t="n">
        <v>43614.58</v>
      </c>
      <c r="K81" s="166" t="n">
        <v>42781.25</v>
      </c>
      <c r="L81" s="166" t="n">
        <v>42781.25</v>
      </c>
      <c r="M81" s="166" t="n">
        <v>33406.25</v>
      </c>
      <c r="N81" s="166" t="n">
        <v>33406.25</v>
      </c>
      <c r="O81" s="166" t="n">
        <v>33406.25</v>
      </c>
      <c r="P81" s="166" t="n">
        <v>33406.25</v>
      </c>
      <c r="Q81" s="166" t="n">
        <v>33406.25</v>
      </c>
      <c r="R81" s="166" t="n">
        <v>33406.25</v>
      </c>
      <c r="S81" s="166" t="n">
        <v>33406.25</v>
      </c>
      <c r="T81" s="166" t="n">
        <v>33406.25</v>
      </c>
      <c r="U81" s="166" t="n">
        <v>9500</v>
      </c>
      <c r="V81" s="166" t="n">
        <v>9500</v>
      </c>
      <c r="W81" s="166" t="n">
        <v>9500</v>
      </c>
      <c r="X81" s="166" t="n">
        <v>9500</v>
      </c>
      <c r="Y81" s="166" t="n">
        <v>9500</v>
      </c>
      <c r="Z81" s="166" t="n">
        <v>66875</v>
      </c>
      <c r="AA81" s="166" t="n">
        <v>9500</v>
      </c>
      <c r="AB81" s="166" t="n">
        <v>9500</v>
      </c>
      <c r="AC81" s="166" t="n">
        <v>66875</v>
      </c>
      <c r="AD81" s="166" t="n">
        <v>9500</v>
      </c>
      <c r="AE81" s="166" t="n">
        <v>9500</v>
      </c>
      <c r="AF81" s="166" t="n">
        <v>66875</v>
      </c>
      <c r="AG81" s="166" t="n">
        <v>9500</v>
      </c>
      <c r="AH81" s="166" t="n">
        <v>9500</v>
      </c>
      <c r="AI81" s="166" t="n">
        <v>9500</v>
      </c>
      <c r="AJ81" s="166" t="n">
        <v>0</v>
      </c>
      <c r="AK81" s="166" t="n">
        <v>0</v>
      </c>
      <c r="AL81" s="166" t="n">
        <v>0</v>
      </c>
      <c r="AM81" s="166" t="n">
        <v>0</v>
      </c>
      <c r="AN81" s="166" t="n">
        <v>0</v>
      </c>
      <c r="AO81" s="166" t="n">
        <v>0</v>
      </c>
      <c r="AP81" s="166" t="n">
        <v>0</v>
      </c>
      <c r="AQ81" s="166" t="n">
        <v>0</v>
      </c>
      <c r="AR81" s="166" t="n">
        <v>0</v>
      </c>
      <c r="AS81" s="166" t="n">
        <v>0</v>
      </c>
      <c r="AT81" s="166" t="n">
        <v>0</v>
      </c>
      <c r="AU81" s="166" t="n">
        <v>81683</v>
      </c>
      <c r="AV81" s="166" t="n">
        <v>0</v>
      </c>
      <c r="AW81" s="166" t="n">
        <v>0</v>
      </c>
      <c r="AX81" s="166" t="n">
        <v>81682</v>
      </c>
      <c r="AY81" s="166" t="n">
        <v>0</v>
      </c>
      <c r="AZ81" s="166" t="n">
        <v>0</v>
      </c>
      <c r="BA81" s="166" t="n">
        <v>81682</v>
      </c>
      <c r="BB81" s="166" t="n">
        <v>0</v>
      </c>
      <c r="BC81" s="166" t="n">
        <v>0</v>
      </c>
      <c r="BD81" s="166" t="n">
        <v>933521</v>
      </c>
      <c r="BE81" s="166" t="n">
        <v>0</v>
      </c>
      <c r="BF81" s="166" t="n">
        <v>0</v>
      </c>
      <c r="BG81" s="166" t="n">
        <v>130878</v>
      </c>
      <c r="BH81" s="166" t="n">
        <v>0</v>
      </c>
      <c r="BI81" s="166" t="n">
        <v>0</v>
      </c>
      <c r="BJ81" s="166" t="n">
        <v>130876</v>
      </c>
      <c r="BK81" s="166" t="n">
        <v>0</v>
      </c>
      <c r="BL81" s="166" t="n">
        <v>0</v>
      </c>
      <c r="BM81" s="166" t="n">
        <v>130876</v>
      </c>
      <c r="BN81" s="166" t="n">
        <v>0</v>
      </c>
      <c r="BO81" s="166" t="n">
        <v>0</v>
      </c>
      <c r="BP81" s="166" t="n">
        <v>130876</v>
      </c>
      <c r="BQ81" s="166" t="n">
        <v>0</v>
      </c>
      <c r="BR81" s="166" t="n">
        <v>0</v>
      </c>
      <c r="BS81" s="166" t="n">
        <v>142406</v>
      </c>
      <c r="BT81" s="166" t="n">
        <v>0</v>
      </c>
      <c r="BU81" s="166" t="n">
        <v>0</v>
      </c>
      <c r="BV81" s="166" t="n">
        <v>142402</v>
      </c>
      <c r="BW81" s="166" t="n">
        <v>0</v>
      </c>
      <c r="BX81" s="166" t="n">
        <v>0</v>
      </c>
      <c r="BY81" s="166" t="n">
        <v>142402</v>
      </c>
      <c r="BZ81" s="166" t="n">
        <v>0</v>
      </c>
      <c r="CA81" s="166" t="n">
        <v>0</v>
      </c>
      <c r="CB81" s="166" t="n">
        <v>215558</v>
      </c>
      <c r="CC81" s="166" t="n">
        <v>0</v>
      </c>
      <c r="CD81" s="166" t="n">
        <v>0</v>
      </c>
      <c r="CE81" s="166" t="n">
        <v>231017</v>
      </c>
      <c r="CF81" s="166" t="n">
        <v>0</v>
      </c>
      <c r="CG81" s="166" t="n">
        <v>0</v>
      </c>
      <c r="CH81" s="166" t="n">
        <v>231016</v>
      </c>
      <c r="CI81" s="166" t="n">
        <v>0</v>
      </c>
      <c r="CJ81" s="166" t="n">
        <v>0</v>
      </c>
      <c r="CK81" s="166" t="n">
        <v>231016</v>
      </c>
      <c r="CL81" s="166" t="n">
        <v>231016</v>
      </c>
      <c r="CM81" s="166" t="n">
        <v>231016</v>
      </c>
      <c r="CN81" s="166" t="n">
        <v>231016</v>
      </c>
      <c r="CO81" s="166" t="n">
        <v>231016</v>
      </c>
      <c r="CP81" s="166" t="n">
        <v>231016</v>
      </c>
      <c r="CQ81" s="166" t="n">
        <v>231016</v>
      </c>
      <c r="CR81" s="166" t="n">
        <v>231016</v>
      </c>
      <c r="CS81" s="166" t="n">
        <v>231016</v>
      </c>
      <c r="CT81" s="166" t="n">
        <v>231016</v>
      </c>
      <c r="CU81" s="166" t="n">
        <v>231016</v>
      </c>
      <c r="CV81" s="166" t="n">
        <v>231016</v>
      </c>
      <c r="CW81" s="166" t="n">
        <v>231016</v>
      </c>
      <c r="CX81" s="166" t="n">
        <v>231016</v>
      </c>
      <c r="CY81" s="166" t="n">
        <v>231016</v>
      </c>
      <c r="CZ81" s="166" t="n">
        <v>231016</v>
      </c>
      <c r="DA81" s="166" t="n">
        <v>231016</v>
      </c>
      <c r="DB81" s="166" t="n">
        <v>231016</v>
      </c>
      <c r="DC81" s="166" t="n">
        <v>231016</v>
      </c>
      <c r="DD81" s="166" t="n">
        <v>231016</v>
      </c>
      <c r="DE81" s="166" t="n">
        <v>231016</v>
      </c>
      <c r="DF81" s="166" t="n">
        <v>231016</v>
      </c>
    </row>
    <row r="82" customFormat="false" ht="15" hidden="false" customHeight="true" outlineLevel="0" collapsed="false">
      <c r="A82" s="90"/>
      <c r="C82" s="104" t="n">
        <v>0</v>
      </c>
      <c r="D82" s="104" t="n">
        <v>0</v>
      </c>
      <c r="E82" s="104" t="n">
        <v>0</v>
      </c>
      <c r="F82" s="160" t="n">
        <v>0</v>
      </c>
      <c r="G82" s="160" t="n">
        <v>0</v>
      </c>
      <c r="H82" s="160" t="n">
        <v>0</v>
      </c>
      <c r="I82" s="160" t="n">
        <v>0</v>
      </c>
      <c r="J82" s="160" t="n">
        <v>0</v>
      </c>
      <c r="K82" s="160" t="n">
        <v>0</v>
      </c>
      <c r="L82" s="160" t="n">
        <v>0</v>
      </c>
      <c r="M82" s="160" t="n">
        <v>0</v>
      </c>
      <c r="N82" s="160" t="n">
        <v>0</v>
      </c>
      <c r="O82" s="160" t="n">
        <v>0</v>
      </c>
      <c r="P82" s="160" t="n">
        <v>0</v>
      </c>
      <c r="Q82" s="160" t="n">
        <v>0</v>
      </c>
      <c r="R82" s="160" t="n">
        <v>0</v>
      </c>
      <c r="S82" s="160" t="n">
        <v>0</v>
      </c>
      <c r="T82" s="160" t="n">
        <v>0</v>
      </c>
      <c r="U82" s="160" t="n">
        <v>0</v>
      </c>
      <c r="V82" s="160" t="n">
        <v>0</v>
      </c>
      <c r="W82" s="160" t="n">
        <v>0</v>
      </c>
      <c r="X82" s="160" t="n">
        <v>0</v>
      </c>
      <c r="Y82" s="160" t="n">
        <v>0</v>
      </c>
      <c r="Z82" s="160" t="n">
        <v>0</v>
      </c>
      <c r="AA82" s="160" t="n">
        <v>0</v>
      </c>
      <c r="AB82" s="160" t="n">
        <v>0</v>
      </c>
      <c r="AC82" s="160" t="n">
        <v>0</v>
      </c>
      <c r="AD82" s="160" t="n">
        <v>0</v>
      </c>
      <c r="AE82" s="160" t="n">
        <v>0</v>
      </c>
      <c r="AF82" s="160" t="n">
        <v>0</v>
      </c>
      <c r="AG82" s="160" t="n">
        <v>0</v>
      </c>
      <c r="AH82" s="160" t="n">
        <v>0</v>
      </c>
      <c r="AI82" s="160" t="n">
        <v>0</v>
      </c>
      <c r="AJ82" s="160" t="n">
        <v>0</v>
      </c>
      <c r="AK82" s="160" t="n">
        <v>0</v>
      </c>
      <c r="AL82" s="160" t="n">
        <v>0</v>
      </c>
      <c r="AM82" s="160" t="n">
        <v>0</v>
      </c>
      <c r="AN82" s="160" t="n">
        <v>0</v>
      </c>
      <c r="AO82" s="160" t="n">
        <v>0</v>
      </c>
      <c r="AP82" s="160" t="n">
        <v>0</v>
      </c>
      <c r="AQ82" s="160" t="n">
        <v>0</v>
      </c>
      <c r="AR82" s="160" t="n">
        <v>0</v>
      </c>
      <c r="AS82" s="160" t="n">
        <v>0</v>
      </c>
      <c r="AT82" s="160" t="n">
        <v>0</v>
      </c>
      <c r="AU82" s="160" t="n">
        <v>0</v>
      </c>
      <c r="AV82" s="160" t="n">
        <v>0</v>
      </c>
      <c r="AW82" s="160" t="n">
        <v>0</v>
      </c>
      <c r="AX82" s="160" t="n">
        <v>0</v>
      </c>
      <c r="AY82" s="160" t="n">
        <v>0</v>
      </c>
      <c r="AZ82" s="160" t="n">
        <v>0</v>
      </c>
      <c r="BA82" s="160" t="n">
        <v>0</v>
      </c>
      <c r="BB82" s="160" t="n">
        <v>0</v>
      </c>
      <c r="BC82" s="160" t="n">
        <v>0</v>
      </c>
      <c r="BD82" s="160" t="n">
        <v>0</v>
      </c>
      <c r="BE82" s="160" t="n">
        <v>0</v>
      </c>
      <c r="BF82" s="160" t="n">
        <v>0</v>
      </c>
      <c r="BG82" s="160" t="n">
        <v>0</v>
      </c>
      <c r="BH82" s="160" t="n">
        <v>0</v>
      </c>
      <c r="BI82" s="160" t="n">
        <v>0</v>
      </c>
      <c r="BJ82" s="160" t="n">
        <v>0</v>
      </c>
      <c r="BK82" s="160" t="n">
        <v>0</v>
      </c>
      <c r="BL82" s="160" t="n">
        <v>0</v>
      </c>
      <c r="BM82" s="160" t="n">
        <v>0</v>
      </c>
      <c r="BN82" s="160" t="n">
        <v>0</v>
      </c>
      <c r="BO82" s="160" t="n">
        <v>0</v>
      </c>
      <c r="BP82" s="160" t="n">
        <v>0</v>
      </c>
      <c r="BQ82" s="160" t="n">
        <v>0</v>
      </c>
      <c r="BR82" s="160" t="n">
        <v>0</v>
      </c>
      <c r="BS82" s="160" t="n">
        <v>0</v>
      </c>
      <c r="BT82" s="160" t="n">
        <v>0</v>
      </c>
      <c r="BU82" s="160" t="n">
        <v>0</v>
      </c>
      <c r="BV82" s="160" t="n">
        <v>0</v>
      </c>
      <c r="BW82" s="160" t="n">
        <v>0</v>
      </c>
      <c r="BX82" s="160" t="n">
        <v>0</v>
      </c>
      <c r="BY82" s="160" t="n">
        <v>0</v>
      </c>
      <c r="BZ82" s="160" t="n">
        <v>0</v>
      </c>
      <c r="CA82" s="160" t="n">
        <v>0</v>
      </c>
      <c r="CB82" s="160" t="n">
        <v>0</v>
      </c>
      <c r="CC82" s="160" t="n">
        <v>0</v>
      </c>
      <c r="CD82" s="160" t="n">
        <v>0</v>
      </c>
      <c r="CE82" s="160" t="n">
        <v>0</v>
      </c>
      <c r="CF82" s="160" t="n">
        <v>0</v>
      </c>
      <c r="CG82" s="160" t="n">
        <v>0</v>
      </c>
      <c r="CH82" s="160" t="n">
        <v>0</v>
      </c>
      <c r="CI82" s="160" t="n">
        <v>0</v>
      </c>
      <c r="CJ82" s="160" t="n">
        <v>0</v>
      </c>
      <c r="CK82" s="160" t="n">
        <v>0</v>
      </c>
      <c r="CL82" s="160" t="n">
        <v>0</v>
      </c>
      <c r="CM82" s="160" t="n">
        <v>0</v>
      </c>
      <c r="CN82" s="160" t="n">
        <v>0</v>
      </c>
      <c r="CO82" s="160" t="n">
        <v>0</v>
      </c>
      <c r="CP82" s="160" t="n">
        <v>0</v>
      </c>
      <c r="CQ82" s="160" t="n">
        <v>0</v>
      </c>
      <c r="CR82" s="160" t="n">
        <v>0</v>
      </c>
      <c r="CS82" s="160" t="n">
        <v>0</v>
      </c>
      <c r="CT82" s="160" t="n">
        <v>0</v>
      </c>
      <c r="CU82" s="160" t="n">
        <v>0</v>
      </c>
      <c r="CV82" s="160" t="n">
        <v>0</v>
      </c>
      <c r="CW82" s="160" t="n">
        <v>0</v>
      </c>
      <c r="CX82" s="160" t="n">
        <v>0</v>
      </c>
      <c r="CY82" s="160" t="n">
        <v>0</v>
      </c>
      <c r="CZ82" s="160" t="n">
        <v>0</v>
      </c>
      <c r="DA82" s="160" t="n">
        <v>0</v>
      </c>
      <c r="DB82" s="160" t="n">
        <v>0</v>
      </c>
      <c r="DC82" s="160" t="n">
        <v>0</v>
      </c>
      <c r="DD82" s="160" t="n">
        <v>0</v>
      </c>
      <c r="DE82" s="160" t="n">
        <v>0</v>
      </c>
      <c r="DF82" s="160" t="n">
        <v>0</v>
      </c>
    </row>
    <row r="83" customFormat="false" ht="15" hidden="false" customHeight="true" outlineLevel="0" collapsed="false">
      <c r="A83" s="90" t="s">
        <v>123</v>
      </c>
      <c r="C83" s="104" t="n">
        <v>-54421</v>
      </c>
      <c r="D83" s="104" t="n">
        <v>-54166.68</v>
      </c>
      <c r="E83" s="104" t="n">
        <v>-54166.68</v>
      </c>
      <c r="F83" s="160" t="n">
        <v>-11458.3333333333</v>
      </c>
      <c r="G83" s="160" t="n">
        <v>-11458.3333333333</v>
      </c>
      <c r="H83" s="160" t="n">
        <v>-11458.3333333333</v>
      </c>
      <c r="I83" s="160" t="n">
        <v>-11458.3333333333</v>
      </c>
      <c r="J83" s="160" t="n">
        <v>-11458.3333333333</v>
      </c>
      <c r="K83" s="160" t="n">
        <v>-11458.3333333333</v>
      </c>
      <c r="L83" s="160" t="n">
        <v>-11458.3333333333</v>
      </c>
      <c r="M83" s="160" t="n">
        <v>-11458.3333333333</v>
      </c>
      <c r="N83" s="160" t="n">
        <v>-11458.3333333333</v>
      </c>
      <c r="O83" s="160" t="n">
        <v>-11458.3333333333</v>
      </c>
      <c r="P83" s="160" t="n">
        <v>-11458.3333333333</v>
      </c>
      <c r="Q83" s="160" t="n">
        <v>-11458.3333333333</v>
      </c>
      <c r="R83" s="160" t="n">
        <v>-11687.5</v>
      </c>
      <c r="S83" s="160" t="n">
        <v>-11687.5</v>
      </c>
      <c r="T83" s="160" t="n">
        <v>-11687.5</v>
      </c>
      <c r="U83" s="160" t="n">
        <v>-11687.5</v>
      </c>
      <c r="V83" s="160" t="n">
        <v>-11687.5</v>
      </c>
      <c r="W83" s="160" t="n">
        <v>-11687.5</v>
      </c>
      <c r="X83" s="160" t="n">
        <v>-11687.5</v>
      </c>
      <c r="Y83" s="160" t="n">
        <v>-11687.5</v>
      </c>
      <c r="Z83" s="160" t="n">
        <v>-11687.5</v>
      </c>
      <c r="AA83" s="160" t="n">
        <v>-11687.5</v>
      </c>
      <c r="AB83" s="160" t="n">
        <v>-11687.5</v>
      </c>
      <c r="AC83" s="160" t="n">
        <v>-11687.5</v>
      </c>
      <c r="AD83" s="160" t="n">
        <v>-11921.25</v>
      </c>
      <c r="AE83" s="160" t="n">
        <v>-11921.25</v>
      </c>
      <c r="AF83" s="160" t="n">
        <v>-11921.25</v>
      </c>
      <c r="AG83" s="160" t="n">
        <v>-11921.25</v>
      </c>
      <c r="AH83" s="160" t="n">
        <v>-11921.25</v>
      </c>
      <c r="AI83" s="160" t="n">
        <v>-11921.25</v>
      </c>
      <c r="AJ83" s="160" t="n">
        <v>-11921.25</v>
      </c>
      <c r="AK83" s="160" t="n">
        <v>-11921.25</v>
      </c>
      <c r="AL83" s="160" t="n">
        <v>-11921.25</v>
      </c>
      <c r="AM83" s="160" t="n">
        <v>-11921.25</v>
      </c>
      <c r="AN83" s="160" t="n">
        <v>-11921.25</v>
      </c>
      <c r="AO83" s="160" t="n">
        <v>-11921.25</v>
      </c>
      <c r="AP83" s="160" t="n">
        <v>-12159.675</v>
      </c>
      <c r="AQ83" s="160" t="n">
        <v>-12159.675</v>
      </c>
      <c r="AR83" s="160" t="n">
        <v>-12159.675</v>
      </c>
      <c r="AS83" s="160" t="n">
        <v>-12159.675</v>
      </c>
      <c r="AT83" s="160" t="n">
        <v>-12159.675</v>
      </c>
      <c r="AU83" s="160" t="n">
        <v>-12159.675</v>
      </c>
      <c r="AV83" s="160" t="n">
        <v>-12159.675</v>
      </c>
      <c r="AW83" s="160" t="n">
        <v>-12159.675</v>
      </c>
      <c r="AX83" s="160" t="n">
        <v>-12159.675</v>
      </c>
      <c r="AY83" s="160" t="n">
        <v>-12159.675</v>
      </c>
      <c r="AZ83" s="160" t="n">
        <v>-12159.675</v>
      </c>
      <c r="BA83" s="160" t="n">
        <v>-12159.675</v>
      </c>
      <c r="BB83" s="160" t="n">
        <v>-12402.8685</v>
      </c>
      <c r="BC83" s="160" t="n">
        <v>-12402.8685</v>
      </c>
      <c r="BD83" s="160" t="n">
        <v>-12402.8685</v>
      </c>
      <c r="BE83" s="160" t="n">
        <v>-12402.8685</v>
      </c>
      <c r="BF83" s="160" t="n">
        <v>-12402.8685</v>
      </c>
      <c r="BG83" s="160" t="n">
        <v>-12402.8685</v>
      </c>
      <c r="BH83" s="160" t="n">
        <v>-12402.8685</v>
      </c>
      <c r="BI83" s="160" t="n">
        <v>-12402.8685</v>
      </c>
      <c r="BJ83" s="160" t="n">
        <v>-12402.8685</v>
      </c>
      <c r="BK83" s="160" t="n">
        <v>-12402.8685</v>
      </c>
      <c r="BL83" s="160" t="n">
        <v>-12402.8685</v>
      </c>
      <c r="BM83" s="160" t="n">
        <v>-12402.8685</v>
      </c>
      <c r="BN83" s="160" t="n">
        <v>-12650.92587</v>
      </c>
      <c r="BO83" s="160" t="n">
        <v>-12650.92587</v>
      </c>
      <c r="BP83" s="160" t="n">
        <v>-12650.92587</v>
      </c>
      <c r="BQ83" s="160" t="n">
        <v>-12650.92587</v>
      </c>
      <c r="BR83" s="160" t="n">
        <v>-12650.92587</v>
      </c>
      <c r="BS83" s="160" t="n">
        <v>-12650.92587</v>
      </c>
      <c r="BT83" s="160" t="n">
        <v>-12650.92587</v>
      </c>
      <c r="BU83" s="160" t="n">
        <v>-12650.92587</v>
      </c>
      <c r="BV83" s="160" t="n">
        <v>-12650.92587</v>
      </c>
      <c r="BW83" s="160" t="n">
        <v>-12650.92587</v>
      </c>
      <c r="BX83" s="160" t="n">
        <v>-12650.92587</v>
      </c>
      <c r="BY83" s="160" t="n">
        <v>-12650.92587</v>
      </c>
      <c r="BZ83" s="160" t="n">
        <v>-12903.9443874</v>
      </c>
      <c r="CA83" s="160" t="n">
        <v>-12903.9443874</v>
      </c>
      <c r="CB83" s="160" t="n">
        <v>-12903.9443874</v>
      </c>
      <c r="CC83" s="160" t="n">
        <v>-12903.9443874</v>
      </c>
      <c r="CD83" s="160" t="n">
        <v>-12903.9443874</v>
      </c>
      <c r="CE83" s="160" t="n">
        <v>-12903.9443874</v>
      </c>
      <c r="CF83" s="160" t="n">
        <v>-12903.9443874</v>
      </c>
      <c r="CG83" s="160" t="n">
        <v>-12903.9443874</v>
      </c>
      <c r="CH83" s="160" t="n">
        <v>-12903.9443874</v>
      </c>
      <c r="CI83" s="160" t="n">
        <v>-12903.9443874</v>
      </c>
      <c r="CJ83" s="160" t="n">
        <v>-12903.9443874</v>
      </c>
      <c r="CK83" s="160" t="n">
        <v>-12903.9443874</v>
      </c>
      <c r="CL83" s="160" t="n">
        <v>-13162.023275148</v>
      </c>
      <c r="CM83" s="160" t="n">
        <v>-13162.023275148</v>
      </c>
      <c r="CN83" s="160" t="n">
        <v>-13162.023275148</v>
      </c>
      <c r="CO83" s="160" t="n">
        <v>-13162.023275148</v>
      </c>
      <c r="CP83" s="160" t="n">
        <v>-13162.023275148</v>
      </c>
      <c r="CQ83" s="160" t="n">
        <v>-13162.023275148</v>
      </c>
      <c r="CR83" s="160" t="n">
        <v>-13162.023275148</v>
      </c>
      <c r="CS83" s="160" t="n">
        <v>-13162.023275148</v>
      </c>
      <c r="CT83" s="160" t="n">
        <v>-13162.023275148</v>
      </c>
      <c r="CU83" s="160" t="n">
        <v>-13162.023275148</v>
      </c>
      <c r="CV83" s="160" t="n">
        <v>-13162.023275148</v>
      </c>
      <c r="CW83" s="160" t="n">
        <v>-13162.023275148</v>
      </c>
      <c r="CX83" s="160" t="n">
        <v>-13425.263740651</v>
      </c>
      <c r="CY83" s="160" t="n">
        <v>-13425.263740651</v>
      </c>
      <c r="CZ83" s="160" t="n">
        <v>-13425.263740651</v>
      </c>
      <c r="DA83" s="160" t="n">
        <v>-13425.263740651</v>
      </c>
      <c r="DB83" s="160" t="n">
        <v>-13425.263740651</v>
      </c>
      <c r="DC83" s="160" t="n">
        <v>-13425.263740651</v>
      </c>
      <c r="DD83" s="160" t="n">
        <v>-13425.263740651</v>
      </c>
      <c r="DE83" s="160" t="n">
        <v>-13425.263740651</v>
      </c>
      <c r="DF83" s="160" t="n">
        <v>-13425.263740651</v>
      </c>
    </row>
    <row r="84" customFormat="false" ht="15" hidden="false" customHeight="true" outlineLevel="0" collapsed="false">
      <c r="A84" s="90" t="s">
        <v>65</v>
      </c>
      <c r="C84" s="104" t="n">
        <v>-5302</v>
      </c>
      <c r="D84" s="104" t="n">
        <v>-4279.79</v>
      </c>
      <c r="E84" s="104" t="n">
        <v>-4145.97</v>
      </c>
      <c r="F84" s="160" t="n">
        <v>-802.083333333334</v>
      </c>
      <c r="G84" s="160" t="n">
        <v>-802.083333333334</v>
      </c>
      <c r="H84" s="160" t="n">
        <v>-802.083333333334</v>
      </c>
      <c r="I84" s="160" t="n">
        <v>-802.083333333334</v>
      </c>
      <c r="J84" s="160" t="n">
        <v>-802.083333333334</v>
      </c>
      <c r="K84" s="160" t="n">
        <v>-802.083333333334</v>
      </c>
      <c r="L84" s="160" t="n">
        <v>-802.083333333334</v>
      </c>
      <c r="M84" s="160" t="n">
        <v>-802.083333333334</v>
      </c>
      <c r="N84" s="160" t="n">
        <v>-802.083333333334</v>
      </c>
      <c r="O84" s="160" t="n">
        <v>-802.083333333334</v>
      </c>
      <c r="P84" s="160" t="n">
        <v>-802.083333333334</v>
      </c>
      <c r="Q84" s="160" t="n">
        <v>-802.083333333334</v>
      </c>
      <c r="R84" s="160" t="n">
        <v>-818.125</v>
      </c>
      <c r="S84" s="160" t="n">
        <v>-818.125</v>
      </c>
      <c r="T84" s="160" t="n">
        <v>-818.125</v>
      </c>
      <c r="U84" s="160" t="n">
        <v>-818.125</v>
      </c>
      <c r="V84" s="160" t="n">
        <v>-818.125</v>
      </c>
      <c r="W84" s="160" t="n">
        <v>-818.125</v>
      </c>
      <c r="X84" s="160" t="n">
        <v>-818.125</v>
      </c>
      <c r="Y84" s="160" t="n">
        <v>-818.125</v>
      </c>
      <c r="Z84" s="160" t="n">
        <v>-818.125</v>
      </c>
      <c r="AA84" s="160" t="n">
        <v>-818.125</v>
      </c>
      <c r="AB84" s="160" t="n">
        <v>-818.125</v>
      </c>
      <c r="AC84" s="160" t="n">
        <v>-818.125</v>
      </c>
      <c r="AD84" s="160" t="n">
        <v>-834.4875</v>
      </c>
      <c r="AE84" s="160" t="n">
        <v>-834.4875</v>
      </c>
      <c r="AF84" s="160" t="n">
        <v>-834.4875</v>
      </c>
      <c r="AG84" s="160" t="n">
        <v>-834.4875</v>
      </c>
      <c r="AH84" s="160" t="n">
        <v>-834.4875</v>
      </c>
      <c r="AI84" s="160" t="n">
        <v>-834.4875</v>
      </c>
      <c r="AJ84" s="160" t="n">
        <v>-834.4875</v>
      </c>
      <c r="AK84" s="160" t="n">
        <v>-834.4875</v>
      </c>
      <c r="AL84" s="160" t="n">
        <v>-834.4875</v>
      </c>
      <c r="AM84" s="160" t="n">
        <v>-834.4875</v>
      </c>
      <c r="AN84" s="160" t="n">
        <v>-834.4875</v>
      </c>
      <c r="AO84" s="160" t="n">
        <v>-834.4875</v>
      </c>
      <c r="AP84" s="160" t="n">
        <v>-851.17725</v>
      </c>
      <c r="AQ84" s="160" t="n">
        <v>-851.17725</v>
      </c>
      <c r="AR84" s="160" t="n">
        <v>-851.17725</v>
      </c>
      <c r="AS84" s="160" t="n">
        <v>-851.17725</v>
      </c>
      <c r="AT84" s="160" t="n">
        <v>-851.17725</v>
      </c>
      <c r="AU84" s="160" t="n">
        <v>-851.17725</v>
      </c>
      <c r="AV84" s="160" t="n">
        <v>-851.17725</v>
      </c>
      <c r="AW84" s="160" t="n">
        <v>-851.17725</v>
      </c>
      <c r="AX84" s="160" t="n">
        <v>-851.17725</v>
      </c>
      <c r="AY84" s="160" t="n">
        <v>-851.17725</v>
      </c>
      <c r="AZ84" s="160" t="n">
        <v>-851.17725</v>
      </c>
      <c r="BA84" s="160" t="n">
        <v>-851.17725</v>
      </c>
      <c r="BB84" s="160" t="n">
        <v>-868.200795</v>
      </c>
      <c r="BC84" s="160" t="n">
        <v>-868.200795</v>
      </c>
      <c r="BD84" s="160" t="n">
        <v>-868.200795</v>
      </c>
      <c r="BE84" s="160" t="n">
        <v>-868.200795</v>
      </c>
      <c r="BF84" s="160" t="n">
        <v>-868.200795</v>
      </c>
      <c r="BG84" s="160" t="n">
        <v>-868.200795</v>
      </c>
      <c r="BH84" s="160" t="n">
        <v>-868.200795</v>
      </c>
      <c r="BI84" s="160" t="n">
        <v>-868.200795</v>
      </c>
      <c r="BJ84" s="160" t="n">
        <v>-868.200795</v>
      </c>
      <c r="BK84" s="160" t="n">
        <v>-868.200795</v>
      </c>
      <c r="BL84" s="160" t="n">
        <v>-868.200795</v>
      </c>
      <c r="BM84" s="160" t="n">
        <v>-868.200795</v>
      </c>
      <c r="BN84" s="160" t="n">
        <v>-885.5648109</v>
      </c>
      <c r="BO84" s="160" t="n">
        <v>-885.5648109</v>
      </c>
      <c r="BP84" s="160" t="n">
        <v>-885.5648109</v>
      </c>
      <c r="BQ84" s="160" t="n">
        <v>-885.5648109</v>
      </c>
      <c r="BR84" s="160" t="n">
        <v>-885.5648109</v>
      </c>
      <c r="BS84" s="160" t="n">
        <v>-885.5648109</v>
      </c>
      <c r="BT84" s="160" t="n">
        <v>-885.5648109</v>
      </c>
      <c r="BU84" s="160" t="n">
        <v>-885.5648109</v>
      </c>
      <c r="BV84" s="160" t="n">
        <v>-885.5648109</v>
      </c>
      <c r="BW84" s="160" t="n">
        <v>-885.5648109</v>
      </c>
      <c r="BX84" s="160" t="n">
        <v>-885.5648109</v>
      </c>
      <c r="BY84" s="160" t="n">
        <v>-885.5648109</v>
      </c>
      <c r="BZ84" s="160" t="n">
        <v>-903.276107118</v>
      </c>
      <c r="CA84" s="160" t="n">
        <v>-903.276107118</v>
      </c>
      <c r="CB84" s="160" t="n">
        <v>-903.276107118</v>
      </c>
      <c r="CC84" s="160" t="n">
        <v>-903.276107118</v>
      </c>
      <c r="CD84" s="160" t="n">
        <v>-903.276107118</v>
      </c>
      <c r="CE84" s="160" t="n">
        <v>-903.276107118</v>
      </c>
      <c r="CF84" s="160" t="n">
        <v>-903.276107118</v>
      </c>
      <c r="CG84" s="160" t="n">
        <v>-903.276107118</v>
      </c>
      <c r="CH84" s="160" t="n">
        <v>-903.276107118</v>
      </c>
      <c r="CI84" s="160" t="n">
        <v>-903.276107118</v>
      </c>
      <c r="CJ84" s="160" t="n">
        <v>-903.276107118</v>
      </c>
      <c r="CK84" s="160" t="n">
        <v>-903.276107118</v>
      </c>
      <c r="CL84" s="160" t="n">
        <v>-921.34162926036</v>
      </c>
      <c r="CM84" s="160" t="n">
        <v>-921.34162926036</v>
      </c>
      <c r="CN84" s="160" t="n">
        <v>-921.34162926036</v>
      </c>
      <c r="CO84" s="160" t="n">
        <v>-921.34162926036</v>
      </c>
      <c r="CP84" s="160" t="n">
        <v>-921.34162926036</v>
      </c>
      <c r="CQ84" s="160" t="n">
        <v>-921.34162926036</v>
      </c>
      <c r="CR84" s="160" t="n">
        <v>-921.34162926036</v>
      </c>
      <c r="CS84" s="160" t="n">
        <v>-921.34162926036</v>
      </c>
      <c r="CT84" s="160" t="n">
        <v>-921.34162926036</v>
      </c>
      <c r="CU84" s="160" t="n">
        <v>0</v>
      </c>
      <c r="CV84" s="160" t="n">
        <v>0</v>
      </c>
      <c r="CW84" s="160" t="n">
        <v>0</v>
      </c>
      <c r="CX84" s="160" t="n">
        <v>0</v>
      </c>
      <c r="CY84" s="160" t="n">
        <v>0</v>
      </c>
      <c r="CZ84" s="160" t="n">
        <v>0</v>
      </c>
      <c r="DA84" s="160" t="n">
        <v>0</v>
      </c>
      <c r="DB84" s="160" t="n">
        <v>0</v>
      </c>
      <c r="DC84" s="160" t="n">
        <v>0</v>
      </c>
      <c r="DD84" s="160" t="n">
        <v>0</v>
      </c>
      <c r="DE84" s="160" t="n">
        <v>0</v>
      </c>
      <c r="DF84" s="160" t="n">
        <v>0</v>
      </c>
    </row>
    <row r="85" customFormat="false" ht="15" hidden="false" customHeight="true" outlineLevel="0" collapsed="false">
      <c r="A85" s="90" t="s">
        <v>67</v>
      </c>
      <c r="C85" s="104" t="n">
        <v>-12137.77</v>
      </c>
      <c r="D85" s="104" t="n">
        <v>-12137.78</v>
      </c>
      <c r="E85" s="104" t="n">
        <v>-12137.78</v>
      </c>
      <c r="F85" s="160" t="n">
        <v>-572.916666666667</v>
      </c>
      <c r="G85" s="160" t="n">
        <v>-572.916666666667</v>
      </c>
      <c r="H85" s="160" t="n">
        <v>-572.916666666667</v>
      </c>
      <c r="I85" s="160" t="n">
        <v>-572.916666666667</v>
      </c>
      <c r="J85" s="160" t="n">
        <v>-572.916666666667</v>
      </c>
      <c r="K85" s="160" t="n">
        <v>-572.916666666667</v>
      </c>
      <c r="L85" s="160" t="n">
        <v>-572.916666666667</v>
      </c>
      <c r="M85" s="160" t="n">
        <v>-572.916666666667</v>
      </c>
      <c r="N85" s="160" t="n">
        <v>-572.916666666667</v>
      </c>
      <c r="O85" s="160" t="n">
        <v>-572.916666666667</v>
      </c>
      <c r="P85" s="160" t="n">
        <v>-572.916666666667</v>
      </c>
      <c r="Q85" s="160" t="n">
        <v>-572.916666666667</v>
      </c>
      <c r="R85" s="160" t="n">
        <v>-584.375</v>
      </c>
      <c r="S85" s="160" t="n">
        <v>-584.375</v>
      </c>
      <c r="T85" s="160" t="n">
        <v>-584.375</v>
      </c>
      <c r="U85" s="160" t="n">
        <v>-584.375</v>
      </c>
      <c r="V85" s="160" t="n">
        <v>-584.375</v>
      </c>
      <c r="W85" s="160" t="n">
        <v>-584.375</v>
      </c>
      <c r="X85" s="160" t="n">
        <v>-584.375</v>
      </c>
      <c r="Y85" s="160" t="n">
        <v>-584.375</v>
      </c>
      <c r="Z85" s="160" t="n">
        <v>-584.375</v>
      </c>
      <c r="AA85" s="160" t="n">
        <v>-584.375</v>
      </c>
      <c r="AB85" s="160" t="n">
        <v>-584.375</v>
      </c>
      <c r="AC85" s="160" t="n">
        <v>-584.375</v>
      </c>
      <c r="AD85" s="160" t="n">
        <v>-596.0625</v>
      </c>
      <c r="AE85" s="160" t="n">
        <v>-596.0625</v>
      </c>
      <c r="AF85" s="160" t="n">
        <v>-596.0625</v>
      </c>
      <c r="AG85" s="160" t="n">
        <v>-596.0625</v>
      </c>
      <c r="AH85" s="160" t="n">
        <v>-596.0625</v>
      </c>
      <c r="AI85" s="160" t="n">
        <v>-596.0625</v>
      </c>
      <c r="AJ85" s="160" t="n">
        <v>-596.0625</v>
      </c>
      <c r="AK85" s="160" t="n">
        <v>-596.0625</v>
      </c>
      <c r="AL85" s="160" t="n">
        <v>-596.0625</v>
      </c>
      <c r="AM85" s="160" t="n">
        <v>-596.0625</v>
      </c>
      <c r="AN85" s="160" t="n">
        <v>-596.0625</v>
      </c>
      <c r="AO85" s="160" t="n">
        <v>-596.0625</v>
      </c>
      <c r="AP85" s="160" t="n">
        <v>-607.98375</v>
      </c>
      <c r="AQ85" s="160" t="n">
        <v>-607.98375</v>
      </c>
      <c r="AR85" s="160" t="n">
        <v>-607.98375</v>
      </c>
      <c r="AS85" s="160" t="n">
        <v>-607.98375</v>
      </c>
      <c r="AT85" s="160" t="n">
        <v>-607.98375</v>
      </c>
      <c r="AU85" s="160" t="n">
        <v>-607.98375</v>
      </c>
      <c r="AV85" s="160" t="n">
        <v>-607.98375</v>
      </c>
      <c r="AW85" s="160" t="n">
        <v>-607.98375</v>
      </c>
      <c r="AX85" s="160" t="n">
        <v>-607.98375</v>
      </c>
      <c r="AY85" s="160" t="n">
        <v>-607.98375</v>
      </c>
      <c r="AZ85" s="160" t="n">
        <v>-607.98375</v>
      </c>
      <c r="BA85" s="160" t="n">
        <v>-607.98375</v>
      </c>
      <c r="BB85" s="160" t="n">
        <v>-620.143425</v>
      </c>
      <c r="BC85" s="160" t="n">
        <v>-620.143425</v>
      </c>
      <c r="BD85" s="160" t="n">
        <v>-620.143425</v>
      </c>
      <c r="BE85" s="160" t="n">
        <v>-620.143425</v>
      </c>
      <c r="BF85" s="160" t="n">
        <v>-620.143425</v>
      </c>
      <c r="BG85" s="160" t="n">
        <v>-620.143425</v>
      </c>
      <c r="BH85" s="160" t="n">
        <v>-620.143425</v>
      </c>
      <c r="BI85" s="160" t="n">
        <v>-620.143425</v>
      </c>
      <c r="BJ85" s="160" t="n">
        <v>-620.143425</v>
      </c>
      <c r="BK85" s="160" t="n">
        <v>-620.143425</v>
      </c>
      <c r="BL85" s="160" t="n">
        <v>-620.143425</v>
      </c>
      <c r="BM85" s="160" t="n">
        <v>-620.143425</v>
      </c>
      <c r="BN85" s="160" t="n">
        <v>-632.5462935</v>
      </c>
      <c r="BO85" s="160" t="n">
        <v>-632.5462935</v>
      </c>
      <c r="BP85" s="160" t="n">
        <v>-632.5462935</v>
      </c>
      <c r="BQ85" s="160" t="n">
        <v>-632.5462935</v>
      </c>
      <c r="BR85" s="160" t="n">
        <v>-632.5462935</v>
      </c>
      <c r="BS85" s="160" t="n">
        <v>-632.5462935</v>
      </c>
      <c r="BT85" s="160" t="n">
        <v>-632.5462935</v>
      </c>
      <c r="BU85" s="160" t="n">
        <v>-632.5462935</v>
      </c>
      <c r="BV85" s="160" t="n">
        <v>-632.5462935</v>
      </c>
      <c r="BW85" s="160" t="n">
        <v>-632.5462935</v>
      </c>
      <c r="BX85" s="160" t="n">
        <v>-632.5462935</v>
      </c>
      <c r="BY85" s="160" t="n">
        <v>-632.5462935</v>
      </c>
      <c r="BZ85" s="160" t="n">
        <v>-645.19721937</v>
      </c>
      <c r="CA85" s="160" t="n">
        <v>-645.19721937</v>
      </c>
      <c r="CB85" s="160" t="n">
        <v>-645.19721937</v>
      </c>
      <c r="CC85" s="160" t="n">
        <v>-645.19721937</v>
      </c>
      <c r="CD85" s="160" t="n">
        <v>-645.19721937</v>
      </c>
      <c r="CE85" s="160" t="n">
        <v>-645.19721937</v>
      </c>
      <c r="CF85" s="160" t="n">
        <v>-645.19721937</v>
      </c>
      <c r="CG85" s="160" t="n">
        <v>-645.19721937</v>
      </c>
      <c r="CH85" s="160" t="n">
        <v>-645.19721937</v>
      </c>
      <c r="CI85" s="160" t="n">
        <v>-645.19721937</v>
      </c>
      <c r="CJ85" s="160" t="n">
        <v>-645.19721937</v>
      </c>
      <c r="CK85" s="160" t="n">
        <v>-645.19721937</v>
      </c>
      <c r="CL85" s="160" t="n">
        <v>-658.1011637574</v>
      </c>
      <c r="CM85" s="160" t="n">
        <v>-658.1011637574</v>
      </c>
      <c r="CN85" s="160" t="n">
        <v>-658.1011637574</v>
      </c>
      <c r="CO85" s="160" t="n">
        <v>-658.1011637574</v>
      </c>
      <c r="CP85" s="160" t="n">
        <v>-658.1011637574</v>
      </c>
      <c r="CQ85" s="160" t="n">
        <v>-658.1011637574</v>
      </c>
      <c r="CR85" s="160" t="n">
        <v>-658.1011637574</v>
      </c>
      <c r="CS85" s="160" t="n">
        <v>-658.1011637574</v>
      </c>
      <c r="CT85" s="160" t="n">
        <v>-658.1011637574</v>
      </c>
      <c r="CU85" s="160" t="n">
        <v>0</v>
      </c>
      <c r="CV85" s="160" t="n">
        <v>0</v>
      </c>
      <c r="CW85" s="160" t="n">
        <v>0</v>
      </c>
      <c r="CX85" s="160" t="n">
        <v>0</v>
      </c>
      <c r="CY85" s="160" t="n">
        <v>0</v>
      </c>
      <c r="CZ85" s="160" t="n">
        <v>0</v>
      </c>
      <c r="DA85" s="160" t="n">
        <v>0</v>
      </c>
      <c r="DB85" s="160" t="n">
        <v>0</v>
      </c>
      <c r="DC85" s="160" t="n">
        <v>0</v>
      </c>
      <c r="DD85" s="160" t="n">
        <v>0</v>
      </c>
      <c r="DE85" s="160" t="n">
        <v>0</v>
      </c>
      <c r="DF85" s="160" t="n">
        <v>0</v>
      </c>
    </row>
    <row r="86" customFormat="false" ht="15" hidden="false" customHeight="true" outlineLevel="0" collapsed="false">
      <c r="A86" s="90" t="s">
        <v>68</v>
      </c>
      <c r="C86" s="104" t="n">
        <v>-475.76</v>
      </c>
      <c r="D86" s="104" t="n">
        <v>-475.76</v>
      </c>
      <c r="E86" s="104" t="n">
        <v>-475.76</v>
      </c>
      <c r="F86" s="160" t="n">
        <v>-229.166666666667</v>
      </c>
      <c r="G86" s="160" t="n">
        <v>-229.166666666667</v>
      </c>
      <c r="H86" s="160" t="n">
        <v>-229.166666666667</v>
      </c>
      <c r="I86" s="160" t="n">
        <v>-229.166666666667</v>
      </c>
      <c r="J86" s="160" t="n">
        <v>-229.166666666667</v>
      </c>
      <c r="K86" s="160" t="n">
        <v>-229.166666666667</v>
      </c>
      <c r="L86" s="160" t="n">
        <v>-229.166666666667</v>
      </c>
      <c r="M86" s="160" t="n">
        <v>-229.166666666667</v>
      </c>
      <c r="N86" s="160" t="n">
        <v>-229.166666666667</v>
      </c>
      <c r="O86" s="160" t="n">
        <v>-229.166666666667</v>
      </c>
      <c r="P86" s="160" t="n">
        <v>-229.166666666667</v>
      </c>
      <c r="Q86" s="160" t="n">
        <v>-229.166666666667</v>
      </c>
      <c r="R86" s="160" t="n">
        <v>-233.75</v>
      </c>
      <c r="S86" s="160" t="n">
        <v>-233.75</v>
      </c>
      <c r="T86" s="160" t="n">
        <v>-233.75</v>
      </c>
      <c r="U86" s="160" t="n">
        <v>-233.75</v>
      </c>
      <c r="V86" s="160" t="n">
        <v>-233.75</v>
      </c>
      <c r="W86" s="160" t="n">
        <v>-233.75</v>
      </c>
      <c r="X86" s="160" t="n">
        <v>-233.75</v>
      </c>
      <c r="Y86" s="160" t="n">
        <v>-233.75</v>
      </c>
      <c r="Z86" s="160" t="n">
        <v>-233.75</v>
      </c>
      <c r="AA86" s="160" t="n">
        <v>-233.75</v>
      </c>
      <c r="AB86" s="160" t="n">
        <v>-233.75</v>
      </c>
      <c r="AC86" s="160" t="n">
        <v>-233.75</v>
      </c>
      <c r="AD86" s="160" t="n">
        <v>-238.425</v>
      </c>
      <c r="AE86" s="160" t="n">
        <v>-238.425</v>
      </c>
      <c r="AF86" s="160" t="n">
        <v>-238.425</v>
      </c>
      <c r="AG86" s="160" t="n">
        <v>-238.425</v>
      </c>
      <c r="AH86" s="160" t="n">
        <v>-238.425</v>
      </c>
      <c r="AI86" s="160" t="n">
        <v>-238.425</v>
      </c>
      <c r="AJ86" s="160" t="n">
        <v>-238.425</v>
      </c>
      <c r="AK86" s="160" t="n">
        <v>-238.425</v>
      </c>
      <c r="AL86" s="160" t="n">
        <v>-238.425</v>
      </c>
      <c r="AM86" s="160" t="n">
        <v>-238.425</v>
      </c>
      <c r="AN86" s="160" t="n">
        <v>-238.425</v>
      </c>
      <c r="AO86" s="160" t="n">
        <v>-238.425</v>
      </c>
      <c r="AP86" s="160" t="n">
        <v>-243.1935</v>
      </c>
      <c r="AQ86" s="160" t="n">
        <v>-243.1935</v>
      </c>
      <c r="AR86" s="160" t="n">
        <v>-243.1935</v>
      </c>
      <c r="AS86" s="160" t="n">
        <v>-243.1935</v>
      </c>
      <c r="AT86" s="160" t="n">
        <v>-243.1935</v>
      </c>
      <c r="AU86" s="160" t="n">
        <v>-243.1935</v>
      </c>
      <c r="AV86" s="160" t="n">
        <v>-243.1935</v>
      </c>
      <c r="AW86" s="160" t="n">
        <v>-243.1935</v>
      </c>
      <c r="AX86" s="160" t="n">
        <v>-243.1935</v>
      </c>
      <c r="AY86" s="160" t="n">
        <v>-243.1935</v>
      </c>
      <c r="AZ86" s="160" t="n">
        <v>-243.1935</v>
      </c>
      <c r="BA86" s="160" t="n">
        <v>-243.1935</v>
      </c>
      <c r="BB86" s="160" t="n">
        <v>-248.05737</v>
      </c>
      <c r="BC86" s="160" t="n">
        <v>-248.05737</v>
      </c>
      <c r="BD86" s="160" t="n">
        <v>-248.05737</v>
      </c>
      <c r="BE86" s="160" t="n">
        <v>-248.05737</v>
      </c>
      <c r="BF86" s="160" t="n">
        <v>-248.05737</v>
      </c>
      <c r="BG86" s="160" t="n">
        <v>-248.05737</v>
      </c>
      <c r="BH86" s="160" t="n">
        <v>-248.05737</v>
      </c>
      <c r="BI86" s="160" t="n">
        <v>-248.05737</v>
      </c>
      <c r="BJ86" s="160" t="n">
        <v>-248.05737</v>
      </c>
      <c r="BK86" s="160" t="n">
        <v>-248.05737</v>
      </c>
      <c r="BL86" s="160" t="n">
        <v>-248.05737</v>
      </c>
      <c r="BM86" s="160" t="n">
        <v>-248.05737</v>
      </c>
      <c r="BN86" s="160" t="n">
        <v>-253.0185174</v>
      </c>
      <c r="BO86" s="160" t="n">
        <v>-253.0185174</v>
      </c>
      <c r="BP86" s="160" t="n">
        <v>-253.0185174</v>
      </c>
      <c r="BQ86" s="160" t="n">
        <v>-253.0185174</v>
      </c>
      <c r="BR86" s="160" t="n">
        <v>-253.0185174</v>
      </c>
      <c r="BS86" s="160" t="n">
        <v>-253.0185174</v>
      </c>
      <c r="BT86" s="160" t="n">
        <v>-253.0185174</v>
      </c>
      <c r="BU86" s="160" t="n">
        <v>-253.0185174</v>
      </c>
      <c r="BV86" s="160" t="n">
        <v>-253.0185174</v>
      </c>
      <c r="BW86" s="160" t="n">
        <v>-253.0185174</v>
      </c>
      <c r="BX86" s="160" t="n">
        <v>-253.0185174</v>
      </c>
      <c r="BY86" s="160" t="n">
        <v>-253.0185174</v>
      </c>
      <c r="BZ86" s="160" t="n">
        <v>-258.078887748</v>
      </c>
      <c r="CA86" s="160" t="n">
        <v>-258.078887748</v>
      </c>
      <c r="CB86" s="160" t="n">
        <v>-258.078887748</v>
      </c>
      <c r="CC86" s="160" t="n">
        <v>-258.078887748</v>
      </c>
      <c r="CD86" s="160" t="n">
        <v>-258.078887748</v>
      </c>
      <c r="CE86" s="160" t="n">
        <v>-258.078887748</v>
      </c>
      <c r="CF86" s="160" t="n">
        <v>-258.078887748</v>
      </c>
      <c r="CG86" s="160" t="n">
        <v>-258.078887748</v>
      </c>
      <c r="CH86" s="160" t="n">
        <v>-258.078887748</v>
      </c>
      <c r="CI86" s="160" t="n">
        <v>-258.078887748</v>
      </c>
      <c r="CJ86" s="160" t="n">
        <v>-258.078887748</v>
      </c>
      <c r="CK86" s="160" t="n">
        <v>-258.078887748</v>
      </c>
      <c r="CL86" s="160" t="n">
        <v>-263.24046550296</v>
      </c>
      <c r="CM86" s="160" t="n">
        <v>-263.24046550296</v>
      </c>
      <c r="CN86" s="160" t="n">
        <v>-263.24046550296</v>
      </c>
      <c r="CO86" s="160" t="n">
        <v>-263.24046550296</v>
      </c>
      <c r="CP86" s="160" t="n">
        <v>-263.24046550296</v>
      </c>
      <c r="CQ86" s="160" t="n">
        <v>-263.24046550296</v>
      </c>
      <c r="CR86" s="160" t="n">
        <v>-263.24046550296</v>
      </c>
      <c r="CS86" s="160" t="n">
        <v>-263.24046550296</v>
      </c>
      <c r="CT86" s="160" t="n">
        <v>-263.24046550296</v>
      </c>
      <c r="CU86" s="160" t="n">
        <v>0</v>
      </c>
      <c r="CV86" s="160" t="n">
        <v>0</v>
      </c>
      <c r="CW86" s="160" t="n">
        <v>0</v>
      </c>
      <c r="CX86" s="160" t="n">
        <v>0</v>
      </c>
      <c r="CY86" s="160" t="n">
        <v>0</v>
      </c>
      <c r="CZ86" s="160" t="n">
        <v>0</v>
      </c>
      <c r="DA86" s="160" t="n">
        <v>0</v>
      </c>
      <c r="DB86" s="160" t="n">
        <v>0</v>
      </c>
      <c r="DC86" s="160" t="n">
        <v>0</v>
      </c>
      <c r="DD86" s="160" t="n">
        <v>0</v>
      </c>
      <c r="DE86" s="160" t="n">
        <v>0</v>
      </c>
      <c r="DF86" s="160" t="n">
        <v>0</v>
      </c>
    </row>
    <row r="87" customFormat="false" ht="15" hidden="false" customHeight="true" outlineLevel="0" collapsed="false">
      <c r="A87" s="90" t="s">
        <v>69</v>
      </c>
      <c r="C87" s="104" t="n">
        <v>-2200.12</v>
      </c>
      <c r="D87" s="104" t="n">
        <v>-2200.12</v>
      </c>
      <c r="E87" s="104" t="n">
        <v>-2200.12</v>
      </c>
      <c r="F87" s="160" t="n">
        <v>-57.2916666666667</v>
      </c>
      <c r="G87" s="160" t="n">
        <v>-57.2916666666667</v>
      </c>
      <c r="H87" s="160" t="n">
        <v>-57.2916666666667</v>
      </c>
      <c r="I87" s="160" t="n">
        <v>-57.2916666666667</v>
      </c>
      <c r="J87" s="160" t="n">
        <v>-57.2916666666667</v>
      </c>
      <c r="K87" s="160" t="n">
        <v>-57.2916666666667</v>
      </c>
      <c r="L87" s="160" t="n">
        <v>-57.2916666666667</v>
      </c>
      <c r="M87" s="160" t="n">
        <v>-57.2916666666667</v>
      </c>
      <c r="N87" s="160" t="n">
        <v>-57.2916666666667</v>
      </c>
      <c r="O87" s="160" t="n">
        <v>-57.2916666666667</v>
      </c>
      <c r="P87" s="160" t="n">
        <v>-57.2916666666667</v>
      </c>
      <c r="Q87" s="160" t="n">
        <v>-57.2916666666667</v>
      </c>
      <c r="R87" s="160" t="n">
        <v>-58.4375</v>
      </c>
      <c r="S87" s="160" t="n">
        <v>-58.4375</v>
      </c>
      <c r="T87" s="160" t="n">
        <v>-58.4375</v>
      </c>
      <c r="U87" s="160" t="n">
        <v>-58.4375</v>
      </c>
      <c r="V87" s="160" t="n">
        <v>-58.4375</v>
      </c>
      <c r="W87" s="160" t="n">
        <v>-58.4375</v>
      </c>
      <c r="X87" s="160" t="n">
        <v>-58.4375</v>
      </c>
      <c r="Y87" s="160" t="n">
        <v>-58.4375</v>
      </c>
      <c r="Z87" s="160" t="n">
        <v>-58.4375</v>
      </c>
      <c r="AA87" s="160" t="n">
        <v>-58.4375</v>
      </c>
      <c r="AB87" s="160" t="n">
        <v>-58.4375</v>
      </c>
      <c r="AC87" s="160" t="n">
        <v>-58.4375</v>
      </c>
      <c r="AD87" s="160" t="n">
        <v>-59.60625</v>
      </c>
      <c r="AE87" s="160" t="n">
        <v>-59.60625</v>
      </c>
      <c r="AF87" s="160" t="n">
        <v>-59.60625</v>
      </c>
      <c r="AG87" s="160" t="n">
        <v>-59.60625</v>
      </c>
      <c r="AH87" s="160" t="n">
        <v>-59.60625</v>
      </c>
      <c r="AI87" s="160" t="n">
        <v>-59.60625</v>
      </c>
      <c r="AJ87" s="160" t="n">
        <v>-59.60625</v>
      </c>
      <c r="AK87" s="160" t="n">
        <v>-59.60625</v>
      </c>
      <c r="AL87" s="160" t="n">
        <v>-59.60625</v>
      </c>
      <c r="AM87" s="160" t="n">
        <v>-59.60625</v>
      </c>
      <c r="AN87" s="160" t="n">
        <v>-59.60625</v>
      </c>
      <c r="AO87" s="160" t="n">
        <v>-59.60625</v>
      </c>
      <c r="AP87" s="160" t="n">
        <v>-60.798375</v>
      </c>
      <c r="AQ87" s="160" t="n">
        <v>-60.798375</v>
      </c>
      <c r="AR87" s="160" t="n">
        <v>-60.798375</v>
      </c>
      <c r="AS87" s="160" t="n">
        <v>-60.798375</v>
      </c>
      <c r="AT87" s="160" t="n">
        <v>-60.798375</v>
      </c>
      <c r="AU87" s="160" t="n">
        <v>-60.798375</v>
      </c>
      <c r="AV87" s="160" t="n">
        <v>-60.798375</v>
      </c>
      <c r="AW87" s="160" t="n">
        <v>-60.798375</v>
      </c>
      <c r="AX87" s="160" t="n">
        <v>-60.798375</v>
      </c>
      <c r="AY87" s="160" t="n">
        <v>-60.798375</v>
      </c>
      <c r="AZ87" s="160" t="n">
        <v>-60.798375</v>
      </c>
      <c r="BA87" s="160" t="n">
        <v>-60.798375</v>
      </c>
      <c r="BB87" s="160" t="n">
        <v>-62.0143425</v>
      </c>
      <c r="BC87" s="160" t="n">
        <v>-62.0143425</v>
      </c>
      <c r="BD87" s="160" t="n">
        <v>-62.0143425</v>
      </c>
      <c r="BE87" s="160" t="n">
        <v>-62.0143425</v>
      </c>
      <c r="BF87" s="160" t="n">
        <v>-62.0143425</v>
      </c>
      <c r="BG87" s="160" t="n">
        <v>-62.0143425</v>
      </c>
      <c r="BH87" s="160" t="n">
        <v>-62.0143425</v>
      </c>
      <c r="BI87" s="160" t="n">
        <v>-62.0143425</v>
      </c>
      <c r="BJ87" s="160" t="n">
        <v>-62.0143425</v>
      </c>
      <c r="BK87" s="160" t="n">
        <v>-62.0143425</v>
      </c>
      <c r="BL87" s="160" t="n">
        <v>-62.0143425</v>
      </c>
      <c r="BM87" s="160" t="n">
        <v>-62.0143425</v>
      </c>
      <c r="BN87" s="160" t="n">
        <v>-63.25462935</v>
      </c>
      <c r="BO87" s="160" t="n">
        <v>-63.25462935</v>
      </c>
      <c r="BP87" s="160" t="n">
        <v>-63.25462935</v>
      </c>
      <c r="BQ87" s="160" t="n">
        <v>-63.25462935</v>
      </c>
      <c r="BR87" s="160" t="n">
        <v>-63.25462935</v>
      </c>
      <c r="BS87" s="160" t="n">
        <v>-63.25462935</v>
      </c>
      <c r="BT87" s="160" t="n">
        <v>-63.25462935</v>
      </c>
      <c r="BU87" s="160" t="n">
        <v>-63.25462935</v>
      </c>
      <c r="BV87" s="160" t="n">
        <v>-63.25462935</v>
      </c>
      <c r="BW87" s="160" t="n">
        <v>-63.25462935</v>
      </c>
      <c r="BX87" s="160" t="n">
        <v>-63.25462935</v>
      </c>
      <c r="BY87" s="160" t="n">
        <v>-63.25462935</v>
      </c>
      <c r="BZ87" s="160" t="n">
        <v>-64.519721937</v>
      </c>
      <c r="CA87" s="160" t="n">
        <v>-64.519721937</v>
      </c>
      <c r="CB87" s="160" t="n">
        <v>-64.519721937</v>
      </c>
      <c r="CC87" s="160" t="n">
        <v>-64.519721937</v>
      </c>
      <c r="CD87" s="160" t="n">
        <v>-64.519721937</v>
      </c>
      <c r="CE87" s="160" t="n">
        <v>-64.519721937</v>
      </c>
      <c r="CF87" s="160" t="n">
        <v>-64.519721937</v>
      </c>
      <c r="CG87" s="160" t="n">
        <v>-64.519721937</v>
      </c>
      <c r="CH87" s="160" t="n">
        <v>-64.519721937</v>
      </c>
      <c r="CI87" s="160" t="n">
        <v>-64.519721937</v>
      </c>
      <c r="CJ87" s="160" t="n">
        <v>-64.519721937</v>
      </c>
      <c r="CK87" s="160" t="n">
        <v>-64.519721937</v>
      </c>
      <c r="CL87" s="160" t="n">
        <v>-65.81011637574</v>
      </c>
      <c r="CM87" s="160" t="n">
        <v>-65.81011637574</v>
      </c>
      <c r="CN87" s="160" t="n">
        <v>-65.81011637574</v>
      </c>
      <c r="CO87" s="160" t="n">
        <v>-65.81011637574</v>
      </c>
      <c r="CP87" s="160" t="n">
        <v>-65.81011637574</v>
      </c>
      <c r="CQ87" s="160" t="n">
        <v>-65.81011637574</v>
      </c>
      <c r="CR87" s="160" t="n">
        <v>-65.81011637574</v>
      </c>
      <c r="CS87" s="160" t="n">
        <v>-65.81011637574</v>
      </c>
      <c r="CT87" s="160" t="n">
        <v>-65.81011637574</v>
      </c>
      <c r="CU87" s="160" t="n">
        <v>0</v>
      </c>
      <c r="CV87" s="160" t="n">
        <v>0</v>
      </c>
      <c r="CW87" s="160" t="n">
        <v>0</v>
      </c>
      <c r="CX87" s="160" t="n">
        <v>0</v>
      </c>
      <c r="CY87" s="160" t="n">
        <v>0</v>
      </c>
      <c r="CZ87" s="160" t="n">
        <v>0</v>
      </c>
      <c r="DA87" s="160" t="n">
        <v>0</v>
      </c>
      <c r="DB87" s="160" t="n">
        <v>0</v>
      </c>
      <c r="DC87" s="160" t="n">
        <v>0</v>
      </c>
      <c r="DD87" s="160" t="n">
        <v>0</v>
      </c>
      <c r="DE87" s="160" t="n">
        <v>0</v>
      </c>
      <c r="DF87" s="160" t="n">
        <v>0</v>
      </c>
    </row>
    <row r="88" customFormat="false" ht="15" hidden="false" customHeight="true" outlineLevel="0" collapsed="false">
      <c r="A88" s="90" t="s">
        <v>72</v>
      </c>
      <c r="C88" s="104" t="n">
        <v>-8848.65</v>
      </c>
      <c r="D88" s="104" t="n">
        <v>-8817.63</v>
      </c>
      <c r="E88" s="104" t="n">
        <v>-3775.91</v>
      </c>
      <c r="F88" s="160" t="n">
        <v>-8500</v>
      </c>
      <c r="G88" s="160" t="n">
        <v>-8500</v>
      </c>
      <c r="H88" s="160" t="n">
        <v>-8500</v>
      </c>
      <c r="I88" s="160" t="n">
        <v>-8500</v>
      </c>
      <c r="J88" s="160" t="n">
        <v>-8500</v>
      </c>
      <c r="K88" s="160" t="n">
        <v>-8500</v>
      </c>
      <c r="L88" s="160" t="n">
        <v>-8500</v>
      </c>
      <c r="M88" s="160" t="n">
        <v>-8500</v>
      </c>
      <c r="N88" s="160" t="n">
        <v>-8500</v>
      </c>
      <c r="O88" s="160" t="n">
        <v>-8500</v>
      </c>
      <c r="P88" s="160" t="n">
        <v>-8500</v>
      </c>
      <c r="Q88" s="160" t="n">
        <v>-8500</v>
      </c>
      <c r="R88" s="160" t="n">
        <v>-8670</v>
      </c>
      <c r="S88" s="160" t="n">
        <v>-8670</v>
      </c>
      <c r="T88" s="160" t="n">
        <v>-8670</v>
      </c>
      <c r="U88" s="160" t="n">
        <v>-8670</v>
      </c>
      <c r="V88" s="160" t="n">
        <v>-8670</v>
      </c>
      <c r="W88" s="160" t="n">
        <v>-8670</v>
      </c>
      <c r="X88" s="160" t="n">
        <v>-8670</v>
      </c>
      <c r="Y88" s="160" t="n">
        <v>-8670</v>
      </c>
      <c r="Z88" s="160" t="n">
        <v>-8670</v>
      </c>
      <c r="AA88" s="160" t="n">
        <v>-8670</v>
      </c>
      <c r="AB88" s="160" t="n">
        <v>-8670</v>
      </c>
      <c r="AC88" s="160" t="n">
        <v>-8670</v>
      </c>
      <c r="AD88" s="160" t="n">
        <v>-8843.4</v>
      </c>
      <c r="AE88" s="160" t="n">
        <v>-8843.4</v>
      </c>
      <c r="AF88" s="160" t="n">
        <v>-8843.4</v>
      </c>
      <c r="AG88" s="160" t="n">
        <v>-8843.4</v>
      </c>
      <c r="AH88" s="160" t="n">
        <v>-8843.4</v>
      </c>
      <c r="AI88" s="160" t="n">
        <v>-8843.4</v>
      </c>
      <c r="AJ88" s="160" t="n">
        <v>-8843.4</v>
      </c>
      <c r="AK88" s="160" t="n">
        <v>-8843.4</v>
      </c>
      <c r="AL88" s="160" t="n">
        <v>-8843.4</v>
      </c>
      <c r="AM88" s="160" t="n">
        <v>-8843.4</v>
      </c>
      <c r="AN88" s="160" t="n">
        <v>-8843.4</v>
      </c>
      <c r="AO88" s="160" t="n">
        <v>-8843.4</v>
      </c>
      <c r="AP88" s="160" t="n">
        <v>-9020.268</v>
      </c>
      <c r="AQ88" s="160" t="n">
        <v>-9020.268</v>
      </c>
      <c r="AR88" s="160" t="n">
        <v>-9020.268</v>
      </c>
      <c r="AS88" s="160" t="n">
        <v>-9020.268</v>
      </c>
      <c r="AT88" s="160" t="n">
        <v>-9020.268</v>
      </c>
      <c r="AU88" s="160" t="n">
        <v>-9020.268</v>
      </c>
      <c r="AV88" s="160" t="n">
        <v>-9020.268</v>
      </c>
      <c r="AW88" s="160" t="n">
        <v>-9020.268</v>
      </c>
      <c r="AX88" s="160" t="n">
        <v>-9020.268</v>
      </c>
      <c r="AY88" s="160" t="n">
        <v>-9020.268</v>
      </c>
      <c r="AZ88" s="160" t="n">
        <v>-9020.268</v>
      </c>
      <c r="BA88" s="160" t="n">
        <v>-9020.268</v>
      </c>
      <c r="BB88" s="160" t="n">
        <v>-9200.67336</v>
      </c>
      <c r="BC88" s="160" t="n">
        <v>-9200.67336</v>
      </c>
      <c r="BD88" s="160" t="n">
        <v>-9200.67336</v>
      </c>
      <c r="BE88" s="160" t="n">
        <v>-9200.67336</v>
      </c>
      <c r="BF88" s="160" t="n">
        <v>-9200.67336</v>
      </c>
      <c r="BG88" s="160" t="n">
        <v>-9200.67336</v>
      </c>
      <c r="BH88" s="160" t="n">
        <v>-9200.67336</v>
      </c>
      <c r="BI88" s="160" t="n">
        <v>-9200.67336</v>
      </c>
      <c r="BJ88" s="160" t="n">
        <v>-9200.67336</v>
      </c>
      <c r="BK88" s="160" t="n">
        <v>-9200.67336</v>
      </c>
      <c r="BL88" s="160" t="n">
        <v>-9200.67336</v>
      </c>
      <c r="BM88" s="160" t="n">
        <v>-9200.67336</v>
      </c>
      <c r="BN88" s="160" t="n">
        <v>-9384.6868272</v>
      </c>
      <c r="BO88" s="160" t="n">
        <v>-9384.6868272</v>
      </c>
      <c r="BP88" s="160" t="n">
        <v>-9384.6868272</v>
      </c>
      <c r="BQ88" s="160" t="n">
        <v>-9384.6868272</v>
      </c>
      <c r="BR88" s="160" t="n">
        <v>-9384.6868272</v>
      </c>
      <c r="BS88" s="160" t="n">
        <v>-9384.6868272</v>
      </c>
      <c r="BT88" s="160" t="n">
        <v>-9384.6868272</v>
      </c>
      <c r="BU88" s="160" t="n">
        <v>-9384.6868272</v>
      </c>
      <c r="BV88" s="160" t="n">
        <v>-9384.6868272</v>
      </c>
      <c r="BW88" s="160" t="n">
        <v>-9384.6868272</v>
      </c>
      <c r="BX88" s="160" t="n">
        <v>-9384.6868272</v>
      </c>
      <c r="BY88" s="160" t="n">
        <v>-9384.6868272</v>
      </c>
      <c r="BZ88" s="160" t="n">
        <v>-9572.380563744</v>
      </c>
      <c r="CA88" s="160" t="n">
        <v>-9572.380563744</v>
      </c>
      <c r="CB88" s="160" t="n">
        <v>-9572.380563744</v>
      </c>
      <c r="CC88" s="160" t="n">
        <v>-9572.380563744</v>
      </c>
      <c r="CD88" s="160" t="n">
        <v>-9572.380563744</v>
      </c>
      <c r="CE88" s="160" t="n">
        <v>-9572.380563744</v>
      </c>
      <c r="CF88" s="160" t="n">
        <v>-9572.380563744</v>
      </c>
      <c r="CG88" s="160" t="n">
        <v>-9572.380563744</v>
      </c>
      <c r="CH88" s="160" t="n">
        <v>-9572.380563744</v>
      </c>
      <c r="CI88" s="160" t="n">
        <v>-9572.380563744</v>
      </c>
      <c r="CJ88" s="160" t="n">
        <v>-9572.380563744</v>
      </c>
      <c r="CK88" s="160" t="n">
        <v>-9572.380563744</v>
      </c>
      <c r="CL88" s="160" t="n">
        <v>-9763.82817501888</v>
      </c>
      <c r="CM88" s="160" t="n">
        <v>-9763.82817501888</v>
      </c>
      <c r="CN88" s="160" t="n">
        <v>-9763.82817501888</v>
      </c>
      <c r="CO88" s="160" t="n">
        <v>-9763.82817501888</v>
      </c>
      <c r="CP88" s="160" t="n">
        <v>-9763.82817501888</v>
      </c>
      <c r="CQ88" s="160" t="n">
        <v>-9763.82817501888</v>
      </c>
      <c r="CR88" s="160" t="n">
        <v>-9763.82817501888</v>
      </c>
      <c r="CS88" s="160" t="n">
        <v>-9763.82817501888</v>
      </c>
      <c r="CT88" s="160" t="n">
        <v>-9763.82817501888</v>
      </c>
      <c r="CU88" s="160" t="n">
        <v>-9763.82817501888</v>
      </c>
      <c r="CV88" s="160" t="n">
        <v>-9763.82817501888</v>
      </c>
      <c r="CW88" s="160" t="n">
        <v>-9763.82817501888</v>
      </c>
      <c r="CX88" s="160" t="n">
        <v>-9959.10473851926</v>
      </c>
      <c r="CY88" s="160" t="n">
        <v>-9959.10473851926</v>
      </c>
      <c r="CZ88" s="160" t="n">
        <v>-9959.10473851926</v>
      </c>
      <c r="DA88" s="160" t="n">
        <v>-9959.10473851926</v>
      </c>
      <c r="DB88" s="160" t="n">
        <v>-9959.10473851926</v>
      </c>
      <c r="DC88" s="160" t="n">
        <v>-9959.10473851926</v>
      </c>
      <c r="DD88" s="160" t="n">
        <v>-9959.10473851926</v>
      </c>
      <c r="DE88" s="160" t="n">
        <v>-9959.10473851926</v>
      </c>
      <c r="DF88" s="160" t="n">
        <v>-9959.10473851926</v>
      </c>
    </row>
    <row r="89" customFormat="false" ht="15" hidden="false" customHeight="true" outlineLevel="0" collapsed="false">
      <c r="A89" s="90" t="s">
        <v>73</v>
      </c>
      <c r="C89" s="104" t="n">
        <v>-1722.9</v>
      </c>
      <c r="D89" s="104" t="n">
        <v>0</v>
      </c>
      <c r="E89" s="104" t="n">
        <v>-28.51</v>
      </c>
      <c r="F89" s="160" t="n">
        <v>-583.8</v>
      </c>
      <c r="G89" s="160" t="n">
        <v>-583.8</v>
      </c>
      <c r="H89" s="160" t="n">
        <v>-583.8</v>
      </c>
      <c r="I89" s="160" t="n">
        <v>-583.8</v>
      </c>
      <c r="J89" s="160" t="n">
        <v>-583.8</v>
      </c>
      <c r="K89" s="160" t="n">
        <v>-583.8</v>
      </c>
      <c r="L89" s="160" t="n">
        <v>-583.8</v>
      </c>
      <c r="M89" s="160" t="n">
        <v>-583.8</v>
      </c>
      <c r="N89" s="160" t="n">
        <v>-583.8</v>
      </c>
      <c r="O89" s="160" t="n">
        <v>-583.8</v>
      </c>
      <c r="P89" s="160" t="n">
        <v>-583.8</v>
      </c>
      <c r="Q89" s="160" t="n">
        <v>-583.8</v>
      </c>
      <c r="R89" s="160" t="n">
        <v>-595.476</v>
      </c>
      <c r="S89" s="160" t="n">
        <v>-595.476</v>
      </c>
      <c r="T89" s="160" t="n">
        <v>-595.476</v>
      </c>
      <c r="U89" s="160" t="n">
        <v>-595.476</v>
      </c>
      <c r="V89" s="160" t="n">
        <v>-595.476</v>
      </c>
      <c r="W89" s="160" t="n">
        <v>-595.476</v>
      </c>
      <c r="X89" s="160" t="n">
        <v>-595.476</v>
      </c>
      <c r="Y89" s="160" t="n">
        <v>-595.476</v>
      </c>
      <c r="Z89" s="160" t="n">
        <v>-595.476</v>
      </c>
      <c r="AA89" s="160" t="n">
        <v>-595.476</v>
      </c>
      <c r="AB89" s="160" t="n">
        <v>-595.476</v>
      </c>
      <c r="AC89" s="160" t="n">
        <v>-595.476</v>
      </c>
      <c r="AD89" s="160" t="n">
        <v>-607.38552</v>
      </c>
      <c r="AE89" s="160" t="n">
        <v>-607.38552</v>
      </c>
      <c r="AF89" s="160" t="n">
        <v>-607.38552</v>
      </c>
      <c r="AG89" s="160" t="n">
        <v>-607.38552</v>
      </c>
      <c r="AH89" s="160" t="n">
        <v>-607.38552</v>
      </c>
      <c r="AI89" s="160" t="n">
        <v>-607.38552</v>
      </c>
      <c r="AJ89" s="160" t="n">
        <v>-607.38552</v>
      </c>
      <c r="AK89" s="160" t="n">
        <v>-607.38552</v>
      </c>
      <c r="AL89" s="160" t="n">
        <v>-607.38552</v>
      </c>
      <c r="AM89" s="160" t="n">
        <v>-607.38552</v>
      </c>
      <c r="AN89" s="160" t="n">
        <v>-607.38552</v>
      </c>
      <c r="AO89" s="160" t="n">
        <v>-607.38552</v>
      </c>
      <c r="AP89" s="160" t="n">
        <v>-619.5332304</v>
      </c>
      <c r="AQ89" s="160" t="n">
        <v>-619.5332304</v>
      </c>
      <c r="AR89" s="160" t="n">
        <v>-619.5332304</v>
      </c>
      <c r="AS89" s="160" t="n">
        <v>-619.5332304</v>
      </c>
      <c r="AT89" s="160" t="n">
        <v>-619.5332304</v>
      </c>
      <c r="AU89" s="160" t="n">
        <v>-619.5332304</v>
      </c>
      <c r="AV89" s="160" t="n">
        <v>-619.5332304</v>
      </c>
      <c r="AW89" s="160" t="n">
        <v>-619.5332304</v>
      </c>
      <c r="AX89" s="160" t="n">
        <v>-619.5332304</v>
      </c>
      <c r="AY89" s="160" t="n">
        <v>-619.5332304</v>
      </c>
      <c r="AZ89" s="160" t="n">
        <v>-619.5332304</v>
      </c>
      <c r="BA89" s="160" t="n">
        <v>-619.5332304</v>
      </c>
      <c r="BB89" s="160" t="n">
        <v>-631.923895008</v>
      </c>
      <c r="BC89" s="160" t="n">
        <v>-631.923895008</v>
      </c>
      <c r="BD89" s="160" t="n">
        <v>-631.923895008</v>
      </c>
      <c r="BE89" s="160" t="n">
        <v>-631.923895008</v>
      </c>
      <c r="BF89" s="160" t="n">
        <v>-631.923895008</v>
      </c>
      <c r="BG89" s="160" t="n">
        <v>-631.923895008</v>
      </c>
      <c r="BH89" s="160" t="n">
        <v>-631.923895008</v>
      </c>
      <c r="BI89" s="160" t="n">
        <v>-631.923895008</v>
      </c>
      <c r="BJ89" s="160" t="n">
        <v>-631.923895008</v>
      </c>
      <c r="BK89" s="160" t="n">
        <v>-631.923895008</v>
      </c>
      <c r="BL89" s="160" t="n">
        <v>-631.923895008</v>
      </c>
      <c r="BM89" s="160" t="n">
        <v>-631.923895008</v>
      </c>
      <c r="BN89" s="160" t="n">
        <v>-644.56237290816</v>
      </c>
      <c r="BO89" s="160" t="n">
        <v>-644.56237290816</v>
      </c>
      <c r="BP89" s="160" t="n">
        <v>-644.56237290816</v>
      </c>
      <c r="BQ89" s="160" t="n">
        <v>-644.56237290816</v>
      </c>
      <c r="BR89" s="160" t="n">
        <v>-644.56237290816</v>
      </c>
      <c r="BS89" s="160" t="n">
        <v>-644.56237290816</v>
      </c>
      <c r="BT89" s="160" t="n">
        <v>-644.56237290816</v>
      </c>
      <c r="BU89" s="160" t="n">
        <v>-644.56237290816</v>
      </c>
      <c r="BV89" s="160" t="n">
        <v>-644.56237290816</v>
      </c>
      <c r="BW89" s="160" t="n">
        <v>-644.56237290816</v>
      </c>
      <c r="BX89" s="160" t="n">
        <v>-644.56237290816</v>
      </c>
      <c r="BY89" s="160" t="n">
        <v>-644.56237290816</v>
      </c>
      <c r="BZ89" s="160" t="n">
        <v>-657.453620366323</v>
      </c>
      <c r="CA89" s="160" t="n">
        <v>-657.453620366323</v>
      </c>
      <c r="CB89" s="160" t="n">
        <v>-657.453620366323</v>
      </c>
      <c r="CC89" s="160" t="n">
        <v>-657.453620366323</v>
      </c>
      <c r="CD89" s="160" t="n">
        <v>-657.453620366323</v>
      </c>
      <c r="CE89" s="160" t="n">
        <v>-657.453620366323</v>
      </c>
      <c r="CF89" s="160" t="n">
        <v>-657.453620366323</v>
      </c>
      <c r="CG89" s="160" t="n">
        <v>-657.453620366323</v>
      </c>
      <c r="CH89" s="160" t="n">
        <v>-657.453620366323</v>
      </c>
      <c r="CI89" s="160" t="n">
        <v>-657.453620366323</v>
      </c>
      <c r="CJ89" s="160" t="n">
        <v>-657.453620366323</v>
      </c>
      <c r="CK89" s="160" t="n">
        <v>-657.453620366323</v>
      </c>
      <c r="CL89" s="160" t="n">
        <v>-670.60269277365</v>
      </c>
      <c r="CM89" s="160" t="n">
        <v>-670.60269277365</v>
      </c>
      <c r="CN89" s="160" t="n">
        <v>-670.60269277365</v>
      </c>
      <c r="CO89" s="160" t="n">
        <v>-670.60269277365</v>
      </c>
      <c r="CP89" s="160" t="n">
        <v>-670.60269277365</v>
      </c>
      <c r="CQ89" s="160" t="n">
        <v>-670.60269277365</v>
      </c>
      <c r="CR89" s="160" t="n">
        <v>-670.60269277365</v>
      </c>
      <c r="CS89" s="160" t="n">
        <v>-670.60269277365</v>
      </c>
      <c r="CT89" s="160" t="n">
        <v>-670.60269277365</v>
      </c>
      <c r="CU89" s="160" t="n">
        <v>-670.60269277365</v>
      </c>
      <c r="CV89" s="160" t="n">
        <v>-670.60269277365</v>
      </c>
      <c r="CW89" s="160" t="n">
        <v>-670.60269277365</v>
      </c>
      <c r="CX89" s="160" t="n">
        <v>-684.014746629123</v>
      </c>
      <c r="CY89" s="160" t="n">
        <v>-684.014746629123</v>
      </c>
      <c r="CZ89" s="160" t="n">
        <v>-684.014746629123</v>
      </c>
      <c r="DA89" s="160" t="n">
        <v>-684.014746629123</v>
      </c>
      <c r="DB89" s="160" t="n">
        <v>-684.014746629123</v>
      </c>
      <c r="DC89" s="160" t="n">
        <v>-684.014746629123</v>
      </c>
      <c r="DD89" s="160" t="n">
        <v>-684.014746629123</v>
      </c>
      <c r="DE89" s="160" t="n">
        <v>-684.014746629123</v>
      </c>
      <c r="DF89" s="160" t="n">
        <v>-684.014746629123</v>
      </c>
    </row>
    <row r="90" customFormat="false" ht="15" hidden="false" customHeight="true" outlineLevel="0" collapsed="false">
      <c r="A90" s="90" t="s">
        <v>124</v>
      </c>
      <c r="C90" s="164" t="n">
        <v>-246.85</v>
      </c>
      <c r="D90" s="164" t="n">
        <v>0</v>
      </c>
      <c r="E90" s="164" t="n">
        <v>-4246.73</v>
      </c>
      <c r="F90" s="160" t="n">
        <v>-1497.86</v>
      </c>
      <c r="G90" s="160" t="n">
        <v>-1497.86</v>
      </c>
      <c r="H90" s="160" t="n">
        <v>-1497.86</v>
      </c>
      <c r="I90" s="160" t="n">
        <v>-1497.86</v>
      </c>
      <c r="J90" s="160" t="n">
        <v>-1497.86</v>
      </c>
      <c r="K90" s="160" t="n">
        <v>-1497.86</v>
      </c>
      <c r="L90" s="160" t="n">
        <v>-1497.86</v>
      </c>
      <c r="M90" s="160" t="n">
        <v>-1497.86</v>
      </c>
      <c r="N90" s="160" t="n">
        <v>-1497.86</v>
      </c>
      <c r="O90" s="160" t="n">
        <v>-1497.86</v>
      </c>
      <c r="P90" s="160" t="n">
        <v>-1497.86</v>
      </c>
      <c r="Q90" s="160" t="n">
        <v>-1497.86</v>
      </c>
      <c r="R90" s="160" t="n">
        <v>-1527.8172</v>
      </c>
      <c r="S90" s="160" t="n">
        <v>-1527.8172</v>
      </c>
      <c r="T90" s="160" t="n">
        <v>-1527.8172</v>
      </c>
      <c r="U90" s="160" t="n">
        <v>-1527.8172</v>
      </c>
      <c r="V90" s="160" t="n">
        <v>-1527.8172</v>
      </c>
      <c r="W90" s="160" t="n">
        <v>-1527.8172</v>
      </c>
      <c r="X90" s="160" t="n">
        <v>-1527.8172</v>
      </c>
      <c r="Y90" s="160" t="n">
        <v>-1527.8172</v>
      </c>
      <c r="Z90" s="160" t="n">
        <v>-1527.8172</v>
      </c>
      <c r="AA90" s="160" t="n">
        <v>-1527.8172</v>
      </c>
      <c r="AB90" s="160" t="n">
        <v>-1527.8172</v>
      </c>
      <c r="AC90" s="160" t="n">
        <v>-1527.8172</v>
      </c>
      <c r="AD90" s="160" t="n">
        <v>-1558.373544</v>
      </c>
      <c r="AE90" s="160" t="n">
        <v>-1558.373544</v>
      </c>
      <c r="AF90" s="160" t="n">
        <v>-1558.373544</v>
      </c>
      <c r="AG90" s="160" t="n">
        <v>-1558.373544</v>
      </c>
      <c r="AH90" s="160" t="n">
        <v>-1558.373544</v>
      </c>
      <c r="AI90" s="160" t="n">
        <v>-1558.373544</v>
      </c>
      <c r="AJ90" s="160" t="n">
        <v>-1558.373544</v>
      </c>
      <c r="AK90" s="160" t="n">
        <v>-1558.373544</v>
      </c>
      <c r="AL90" s="160" t="n">
        <v>-1558.373544</v>
      </c>
      <c r="AM90" s="160" t="n">
        <v>-1558.373544</v>
      </c>
      <c r="AN90" s="160" t="n">
        <v>-1558.373544</v>
      </c>
      <c r="AO90" s="160" t="n">
        <v>-1558.373544</v>
      </c>
      <c r="AP90" s="160" t="n">
        <v>-1589.54101488</v>
      </c>
      <c r="AQ90" s="160" t="n">
        <v>-1589.54101488</v>
      </c>
      <c r="AR90" s="160" t="n">
        <v>-1589.54101488</v>
      </c>
      <c r="AS90" s="160" t="n">
        <v>-1589.54101488</v>
      </c>
      <c r="AT90" s="160" t="n">
        <v>-1589.54101488</v>
      </c>
      <c r="AU90" s="160" t="n">
        <v>-1589.54101488</v>
      </c>
      <c r="AV90" s="160" t="n">
        <v>-1589.54101488</v>
      </c>
      <c r="AW90" s="160" t="n">
        <v>-1589.54101488</v>
      </c>
      <c r="AX90" s="160" t="n">
        <v>-1589.54101488</v>
      </c>
      <c r="AY90" s="160" t="n">
        <v>-1589.54101488</v>
      </c>
      <c r="AZ90" s="160" t="n">
        <v>-1589.54101488</v>
      </c>
      <c r="BA90" s="160" t="n">
        <v>-1589.54101488</v>
      </c>
      <c r="BB90" s="160" t="n">
        <v>-1621.3318351776</v>
      </c>
      <c r="BC90" s="160" t="n">
        <v>-1621.3318351776</v>
      </c>
      <c r="BD90" s="160" t="n">
        <v>-1621.3318351776</v>
      </c>
      <c r="BE90" s="160" t="n">
        <v>-1621.3318351776</v>
      </c>
      <c r="BF90" s="160" t="n">
        <v>-1621.3318351776</v>
      </c>
      <c r="BG90" s="160" t="n">
        <v>-1621.3318351776</v>
      </c>
      <c r="BH90" s="160" t="n">
        <v>-1621.3318351776</v>
      </c>
      <c r="BI90" s="160" t="n">
        <v>-1621.3318351776</v>
      </c>
      <c r="BJ90" s="160" t="n">
        <v>-1621.3318351776</v>
      </c>
      <c r="BK90" s="160" t="n">
        <v>-1621.3318351776</v>
      </c>
      <c r="BL90" s="160" t="n">
        <v>-1621.3318351776</v>
      </c>
      <c r="BM90" s="160" t="n">
        <v>-1621.3318351776</v>
      </c>
      <c r="BN90" s="160" t="n">
        <v>-1653.75847188115</v>
      </c>
      <c r="BO90" s="160" t="n">
        <v>-1653.75847188115</v>
      </c>
      <c r="BP90" s="160" t="n">
        <v>-1653.75847188115</v>
      </c>
      <c r="BQ90" s="160" t="n">
        <v>-1653.75847188115</v>
      </c>
      <c r="BR90" s="160" t="n">
        <v>-1653.75847188115</v>
      </c>
      <c r="BS90" s="160" t="n">
        <v>-1653.75847188115</v>
      </c>
      <c r="BT90" s="160" t="n">
        <v>-1653.75847188115</v>
      </c>
      <c r="BU90" s="160" t="n">
        <v>-1653.75847188115</v>
      </c>
      <c r="BV90" s="160" t="n">
        <v>-1653.75847188115</v>
      </c>
      <c r="BW90" s="160" t="n">
        <v>-1653.75847188115</v>
      </c>
      <c r="BX90" s="160" t="n">
        <v>-1653.75847188115</v>
      </c>
      <c r="BY90" s="160" t="n">
        <v>-1653.75847188115</v>
      </c>
      <c r="BZ90" s="160" t="n">
        <v>-1686.83364131878</v>
      </c>
      <c r="CA90" s="160" t="n">
        <v>-1686.83364131878</v>
      </c>
      <c r="CB90" s="160" t="n">
        <v>-1686.83364131878</v>
      </c>
      <c r="CC90" s="160" t="n">
        <v>-1686.83364131878</v>
      </c>
      <c r="CD90" s="160" t="n">
        <v>-1686.83364131878</v>
      </c>
      <c r="CE90" s="160" t="n">
        <v>-1686.83364131878</v>
      </c>
      <c r="CF90" s="160" t="n">
        <v>-1686.83364131878</v>
      </c>
      <c r="CG90" s="160" t="n">
        <v>-1686.83364131878</v>
      </c>
      <c r="CH90" s="160" t="n">
        <v>-1686.83364131878</v>
      </c>
      <c r="CI90" s="160" t="n">
        <v>-1686.83364131878</v>
      </c>
      <c r="CJ90" s="160" t="n">
        <v>-1686.83364131878</v>
      </c>
      <c r="CK90" s="160" t="n">
        <v>-1686.83364131878</v>
      </c>
      <c r="CL90" s="160" t="n">
        <v>-1720.57031414515</v>
      </c>
      <c r="CM90" s="160" t="n">
        <v>-1720.57031414515</v>
      </c>
      <c r="CN90" s="160" t="n">
        <v>-1720.57031414515</v>
      </c>
      <c r="CO90" s="160" t="n">
        <v>-1720.57031414515</v>
      </c>
      <c r="CP90" s="160" t="n">
        <v>-1720.57031414515</v>
      </c>
      <c r="CQ90" s="160" t="n">
        <v>-1720.57031414515</v>
      </c>
      <c r="CR90" s="160" t="n">
        <v>-1720.57031414515</v>
      </c>
      <c r="CS90" s="160" t="n">
        <v>-1720.57031414515</v>
      </c>
      <c r="CT90" s="160" t="n">
        <v>-1720.57031414515</v>
      </c>
      <c r="CU90" s="160" t="n">
        <v>-1720.57031414515</v>
      </c>
      <c r="CV90" s="160" t="n">
        <v>-1720.57031414515</v>
      </c>
      <c r="CW90" s="160" t="n">
        <v>-1720.57031414515</v>
      </c>
      <c r="CX90" s="160" t="n">
        <v>-1754.98172042805</v>
      </c>
      <c r="CY90" s="160" t="n">
        <v>-1754.98172042805</v>
      </c>
      <c r="CZ90" s="160" t="n">
        <v>-1754.98172042805</v>
      </c>
      <c r="DA90" s="160" t="n">
        <v>-1754.98172042805</v>
      </c>
      <c r="DB90" s="160" t="n">
        <v>-1754.98172042805</v>
      </c>
      <c r="DC90" s="160" t="n">
        <v>-1754.98172042805</v>
      </c>
      <c r="DD90" s="160" t="n">
        <v>-1754.98172042805</v>
      </c>
      <c r="DE90" s="160" t="n">
        <v>-1754.98172042805</v>
      </c>
      <c r="DF90" s="160" t="n">
        <v>-1754.98172042805</v>
      </c>
    </row>
    <row r="91" customFormat="false" ht="15" hidden="false" customHeight="true" outlineLevel="0" collapsed="false">
      <c r="A91" s="90" t="s">
        <v>125</v>
      </c>
      <c r="C91" s="104" t="n">
        <v>0</v>
      </c>
      <c r="D91" s="104" t="n">
        <v>0</v>
      </c>
      <c r="E91" s="104" t="n">
        <v>-870</v>
      </c>
      <c r="F91" s="160" t="n">
        <v>-290</v>
      </c>
      <c r="G91" s="160" t="n">
        <v>-290</v>
      </c>
      <c r="H91" s="160" t="n">
        <v>-290</v>
      </c>
      <c r="I91" s="160" t="n">
        <v>-290</v>
      </c>
      <c r="J91" s="160" t="n">
        <v>-290</v>
      </c>
      <c r="K91" s="160" t="n">
        <v>-290</v>
      </c>
      <c r="L91" s="160" t="n">
        <v>-290</v>
      </c>
      <c r="M91" s="160" t="n">
        <v>-290</v>
      </c>
      <c r="N91" s="160" t="n">
        <v>-290</v>
      </c>
      <c r="O91" s="160" t="n">
        <v>-290</v>
      </c>
      <c r="P91" s="160" t="n">
        <v>-290</v>
      </c>
      <c r="Q91" s="160" t="n">
        <v>-290</v>
      </c>
      <c r="R91" s="160" t="n">
        <v>-295.8</v>
      </c>
      <c r="S91" s="160" t="n">
        <v>-295.8</v>
      </c>
      <c r="T91" s="160" t="n">
        <v>-295.8</v>
      </c>
      <c r="U91" s="160" t="n">
        <v>-295.8</v>
      </c>
      <c r="V91" s="160" t="n">
        <v>-295.8</v>
      </c>
      <c r="W91" s="160" t="n">
        <v>-295.8</v>
      </c>
      <c r="X91" s="160" t="n">
        <v>-295.8</v>
      </c>
      <c r="Y91" s="160" t="n">
        <v>-295.8</v>
      </c>
      <c r="Z91" s="160" t="n">
        <v>-295.8</v>
      </c>
      <c r="AA91" s="160" t="n">
        <v>-295.8</v>
      </c>
      <c r="AB91" s="160" t="n">
        <v>-295.8</v>
      </c>
      <c r="AC91" s="160" t="n">
        <v>-295.8</v>
      </c>
      <c r="AD91" s="160" t="n">
        <v>-301.716</v>
      </c>
      <c r="AE91" s="160" t="n">
        <v>-301.716</v>
      </c>
      <c r="AF91" s="160" t="n">
        <v>-301.716</v>
      </c>
      <c r="AG91" s="160" t="n">
        <v>-301.716</v>
      </c>
      <c r="AH91" s="160" t="n">
        <v>-301.716</v>
      </c>
      <c r="AI91" s="160" t="n">
        <v>-301.716</v>
      </c>
      <c r="AJ91" s="160" t="n">
        <v>-301.716</v>
      </c>
      <c r="AK91" s="160" t="n">
        <v>-301.716</v>
      </c>
      <c r="AL91" s="160" t="n">
        <v>-301.716</v>
      </c>
      <c r="AM91" s="160" t="n">
        <v>-301.716</v>
      </c>
      <c r="AN91" s="160" t="n">
        <v>-301.716</v>
      </c>
      <c r="AO91" s="160" t="n">
        <v>-301.716</v>
      </c>
      <c r="AP91" s="160" t="n">
        <v>-307.75032</v>
      </c>
      <c r="AQ91" s="160" t="n">
        <v>-307.75032</v>
      </c>
      <c r="AR91" s="160" t="n">
        <v>-307.75032</v>
      </c>
      <c r="AS91" s="160" t="n">
        <v>-307.75032</v>
      </c>
      <c r="AT91" s="160" t="n">
        <v>-307.75032</v>
      </c>
      <c r="AU91" s="160" t="n">
        <v>-307.75032</v>
      </c>
      <c r="AV91" s="160" t="n">
        <v>-307.75032</v>
      </c>
      <c r="AW91" s="160" t="n">
        <v>-307.75032</v>
      </c>
      <c r="AX91" s="160" t="n">
        <v>-307.75032</v>
      </c>
      <c r="AY91" s="160" t="n">
        <v>-307.75032</v>
      </c>
      <c r="AZ91" s="160" t="n">
        <v>-307.75032</v>
      </c>
      <c r="BA91" s="160" t="n">
        <v>-307.75032</v>
      </c>
      <c r="BB91" s="160" t="n">
        <v>-313.9053264</v>
      </c>
      <c r="BC91" s="160" t="n">
        <v>-313.9053264</v>
      </c>
      <c r="BD91" s="160" t="n">
        <v>-313.9053264</v>
      </c>
      <c r="BE91" s="160" t="n">
        <v>-313.9053264</v>
      </c>
      <c r="BF91" s="160" t="n">
        <v>-313.9053264</v>
      </c>
      <c r="BG91" s="160" t="n">
        <v>-313.9053264</v>
      </c>
      <c r="BH91" s="160" t="n">
        <v>-313.9053264</v>
      </c>
      <c r="BI91" s="160" t="n">
        <v>-313.9053264</v>
      </c>
      <c r="BJ91" s="160" t="n">
        <v>-313.9053264</v>
      </c>
      <c r="BK91" s="160" t="n">
        <v>-313.9053264</v>
      </c>
      <c r="BL91" s="160" t="n">
        <v>-313.9053264</v>
      </c>
      <c r="BM91" s="160" t="n">
        <v>-313.9053264</v>
      </c>
      <c r="BN91" s="160" t="n">
        <v>-320.183432928</v>
      </c>
      <c r="BO91" s="160" t="n">
        <v>-320.183432928</v>
      </c>
      <c r="BP91" s="160" t="n">
        <v>-320.183432928</v>
      </c>
      <c r="BQ91" s="160" t="n">
        <v>-320.183432928</v>
      </c>
      <c r="BR91" s="160" t="n">
        <v>-320.183432928</v>
      </c>
      <c r="BS91" s="160" t="n">
        <v>-320.183432928</v>
      </c>
      <c r="BT91" s="160" t="n">
        <v>-320.183432928</v>
      </c>
      <c r="BU91" s="160" t="n">
        <v>-320.183432928</v>
      </c>
      <c r="BV91" s="160" t="n">
        <v>-320.183432928</v>
      </c>
      <c r="BW91" s="160" t="n">
        <v>-320.183432928</v>
      </c>
      <c r="BX91" s="160" t="n">
        <v>-320.183432928</v>
      </c>
      <c r="BY91" s="160" t="n">
        <v>-320.183432928</v>
      </c>
      <c r="BZ91" s="160" t="n">
        <v>-326.58710158656</v>
      </c>
      <c r="CA91" s="160" t="n">
        <v>-326.58710158656</v>
      </c>
      <c r="CB91" s="160" t="n">
        <v>-326.58710158656</v>
      </c>
      <c r="CC91" s="160" t="n">
        <v>-326.58710158656</v>
      </c>
      <c r="CD91" s="160" t="n">
        <v>-326.58710158656</v>
      </c>
      <c r="CE91" s="160" t="n">
        <v>-326.58710158656</v>
      </c>
      <c r="CF91" s="160" t="n">
        <v>-326.58710158656</v>
      </c>
      <c r="CG91" s="160" t="n">
        <v>-326.58710158656</v>
      </c>
      <c r="CH91" s="160" t="n">
        <v>-326.58710158656</v>
      </c>
      <c r="CI91" s="160" t="n">
        <v>-326.58710158656</v>
      </c>
      <c r="CJ91" s="160" t="n">
        <v>-326.58710158656</v>
      </c>
      <c r="CK91" s="160" t="n">
        <v>-326.58710158656</v>
      </c>
      <c r="CL91" s="160" t="n">
        <v>-333.118843618291</v>
      </c>
      <c r="CM91" s="160" t="n">
        <v>-333.118843618291</v>
      </c>
      <c r="CN91" s="160" t="n">
        <v>-333.118843618291</v>
      </c>
      <c r="CO91" s="160" t="n">
        <v>-333.118843618291</v>
      </c>
      <c r="CP91" s="160" t="n">
        <v>-333.118843618291</v>
      </c>
      <c r="CQ91" s="160" t="n">
        <v>-333.118843618291</v>
      </c>
      <c r="CR91" s="160" t="n">
        <v>-333.118843618291</v>
      </c>
      <c r="CS91" s="160" t="n">
        <v>-333.118843618291</v>
      </c>
      <c r="CT91" s="160" t="n">
        <v>-333.118843618291</v>
      </c>
      <c r="CU91" s="160" t="n">
        <v>-333.118843618291</v>
      </c>
      <c r="CV91" s="160" t="n">
        <v>-333.118843618291</v>
      </c>
      <c r="CW91" s="160" t="n">
        <v>-333.118843618291</v>
      </c>
      <c r="CX91" s="160" t="n">
        <v>-339.781220490657</v>
      </c>
      <c r="CY91" s="160" t="n">
        <v>-339.781220490657</v>
      </c>
      <c r="CZ91" s="160" t="n">
        <v>-339.781220490657</v>
      </c>
      <c r="DA91" s="160" t="n">
        <v>-339.781220490657</v>
      </c>
      <c r="DB91" s="160" t="n">
        <v>-339.781220490657</v>
      </c>
      <c r="DC91" s="160" t="n">
        <v>-339.781220490657</v>
      </c>
      <c r="DD91" s="160" t="n">
        <v>-339.781220490657</v>
      </c>
      <c r="DE91" s="160" t="n">
        <v>-339.781220490657</v>
      </c>
      <c r="DF91" s="160" t="n">
        <v>-339.781220490657</v>
      </c>
    </row>
    <row r="92" customFormat="false" ht="15" hidden="false" customHeight="true" outlineLevel="0" collapsed="false">
      <c r="A92" s="99" t="s">
        <v>126</v>
      </c>
      <c r="C92" s="161" t="n">
        <v>-245</v>
      </c>
      <c r="D92" s="161" t="n">
        <v>-245</v>
      </c>
      <c r="E92" s="161" t="n">
        <v>-245</v>
      </c>
      <c r="F92" s="161" t="n">
        <v>-245</v>
      </c>
      <c r="G92" s="161" t="n">
        <v>-245</v>
      </c>
      <c r="H92" s="161" t="n">
        <v>-245</v>
      </c>
      <c r="I92" s="161" t="n">
        <v>-245</v>
      </c>
      <c r="J92" s="161" t="n">
        <v>-245</v>
      </c>
      <c r="K92" s="161" t="n">
        <v>-245</v>
      </c>
      <c r="L92" s="161" t="n">
        <v>-245</v>
      </c>
      <c r="M92" s="161" t="n">
        <v>-245</v>
      </c>
      <c r="N92" s="161" t="n">
        <v>-245</v>
      </c>
      <c r="O92" s="161" t="n">
        <v>-245</v>
      </c>
      <c r="P92" s="161" t="n">
        <v>-245</v>
      </c>
      <c r="Q92" s="161" t="n">
        <v>-245</v>
      </c>
      <c r="R92" s="161" t="n">
        <v>-249.9</v>
      </c>
      <c r="S92" s="161" t="n">
        <v>-249.9</v>
      </c>
      <c r="T92" s="161" t="n">
        <v>-249.9</v>
      </c>
      <c r="U92" s="161" t="n">
        <v>-249.9</v>
      </c>
      <c r="V92" s="161" t="n">
        <v>-249.9</v>
      </c>
      <c r="W92" s="161" t="n">
        <v>-249.9</v>
      </c>
      <c r="X92" s="161" t="n">
        <v>-249.9</v>
      </c>
      <c r="Y92" s="161" t="n">
        <v>-249.9</v>
      </c>
      <c r="Z92" s="161" t="n">
        <v>-249.9</v>
      </c>
      <c r="AA92" s="161" t="n">
        <v>-249.9</v>
      </c>
      <c r="AB92" s="161" t="n">
        <v>-249.9</v>
      </c>
      <c r="AC92" s="161" t="n">
        <v>-249.9</v>
      </c>
      <c r="AD92" s="161" t="n">
        <v>-254.898</v>
      </c>
      <c r="AE92" s="161" t="n">
        <v>-254.898</v>
      </c>
      <c r="AF92" s="161" t="n">
        <v>-254.898</v>
      </c>
      <c r="AG92" s="161" t="n">
        <v>-254.898</v>
      </c>
      <c r="AH92" s="161" t="n">
        <v>-254.898</v>
      </c>
      <c r="AI92" s="161" t="n">
        <v>-254.898</v>
      </c>
      <c r="AJ92" s="161" t="n">
        <v>-254.898</v>
      </c>
      <c r="AK92" s="161" t="n">
        <v>-254.898</v>
      </c>
      <c r="AL92" s="161" t="n">
        <v>-254.898</v>
      </c>
      <c r="AM92" s="161" t="n">
        <v>-254.898</v>
      </c>
      <c r="AN92" s="161" t="n">
        <v>-254.898</v>
      </c>
      <c r="AO92" s="161" t="n">
        <v>-254.898</v>
      </c>
      <c r="AP92" s="161" t="n">
        <v>-259.99596</v>
      </c>
      <c r="AQ92" s="161" t="n">
        <v>-259.99596</v>
      </c>
      <c r="AR92" s="161" t="n">
        <v>-259.99596</v>
      </c>
      <c r="AS92" s="161" t="n">
        <v>-259.99596</v>
      </c>
      <c r="AT92" s="161" t="n">
        <v>-259.99596</v>
      </c>
      <c r="AU92" s="161" t="n">
        <v>-259.99596</v>
      </c>
      <c r="AV92" s="161" t="n">
        <v>-259.99596</v>
      </c>
      <c r="AW92" s="161" t="n">
        <v>-259.99596</v>
      </c>
      <c r="AX92" s="161" t="n">
        <v>-259.99596</v>
      </c>
      <c r="AY92" s="161" t="n">
        <v>-259.99596</v>
      </c>
      <c r="AZ92" s="161" t="n">
        <v>-259.99596</v>
      </c>
      <c r="BA92" s="161" t="n">
        <v>-259.99596</v>
      </c>
      <c r="BB92" s="161" t="n">
        <v>-265.1958792</v>
      </c>
      <c r="BC92" s="161" t="n">
        <v>-265.1958792</v>
      </c>
      <c r="BD92" s="161" t="n">
        <v>-265.1958792</v>
      </c>
      <c r="BE92" s="161" t="n">
        <v>-265.1958792</v>
      </c>
      <c r="BF92" s="161" t="n">
        <v>-265.1958792</v>
      </c>
      <c r="BG92" s="161" t="n">
        <v>-265.1958792</v>
      </c>
      <c r="BH92" s="161" t="n">
        <v>-265.1958792</v>
      </c>
      <c r="BI92" s="161" t="n">
        <v>-265.1958792</v>
      </c>
      <c r="BJ92" s="161" t="n">
        <v>-265.1958792</v>
      </c>
      <c r="BK92" s="161" t="n">
        <v>-265.1958792</v>
      </c>
      <c r="BL92" s="161" t="n">
        <v>-265.1958792</v>
      </c>
      <c r="BM92" s="161" t="n">
        <v>-265.1958792</v>
      </c>
      <c r="BN92" s="161" t="n">
        <v>-270.499796784</v>
      </c>
      <c r="BO92" s="161" t="n">
        <v>-270.499796784</v>
      </c>
      <c r="BP92" s="161" t="n">
        <v>-270.499796784</v>
      </c>
      <c r="BQ92" s="161" t="n">
        <v>-270.499796784</v>
      </c>
      <c r="BR92" s="161" t="n">
        <v>-270.499796784</v>
      </c>
      <c r="BS92" s="161" t="n">
        <v>-270.499796784</v>
      </c>
      <c r="BT92" s="161" t="n">
        <v>-270.499796784</v>
      </c>
      <c r="BU92" s="161" t="n">
        <v>-270.499796784</v>
      </c>
      <c r="BV92" s="161" t="n">
        <v>-270.499796784</v>
      </c>
      <c r="BW92" s="161" t="n">
        <v>-270.499796784</v>
      </c>
      <c r="BX92" s="161" t="n">
        <v>-270.499796784</v>
      </c>
      <c r="BY92" s="161" t="n">
        <v>-270.499796784</v>
      </c>
      <c r="BZ92" s="161" t="n">
        <v>-275.90979271968</v>
      </c>
      <c r="CA92" s="161" t="n">
        <v>-275.90979271968</v>
      </c>
      <c r="CB92" s="161" t="n">
        <v>-275.90979271968</v>
      </c>
      <c r="CC92" s="161" t="n">
        <v>-275.90979271968</v>
      </c>
      <c r="CD92" s="161" t="n">
        <v>-275.90979271968</v>
      </c>
      <c r="CE92" s="161" t="n">
        <v>-275.90979271968</v>
      </c>
      <c r="CF92" s="161" t="n">
        <v>-275.90979271968</v>
      </c>
      <c r="CG92" s="161" t="n">
        <v>-275.90979271968</v>
      </c>
      <c r="CH92" s="161" t="n">
        <v>-275.90979271968</v>
      </c>
      <c r="CI92" s="161" t="n">
        <v>-275.90979271968</v>
      </c>
      <c r="CJ92" s="161" t="n">
        <v>-275.90979271968</v>
      </c>
      <c r="CK92" s="161" t="n">
        <v>-275.90979271968</v>
      </c>
      <c r="CL92" s="161" t="n">
        <v>-281.427988574074</v>
      </c>
      <c r="CM92" s="161" t="n">
        <v>-281.427988574074</v>
      </c>
      <c r="CN92" s="161" t="n">
        <v>-281.427988574074</v>
      </c>
      <c r="CO92" s="161" t="n">
        <v>-281.427988574074</v>
      </c>
      <c r="CP92" s="161" t="n">
        <v>-281.427988574074</v>
      </c>
      <c r="CQ92" s="161" t="n">
        <v>-281.427988574074</v>
      </c>
      <c r="CR92" s="161" t="n">
        <v>-281.427988574074</v>
      </c>
      <c r="CS92" s="161" t="n">
        <v>-281.427988574074</v>
      </c>
      <c r="CT92" s="161" t="n">
        <v>-281.427988574074</v>
      </c>
      <c r="CU92" s="161" t="n">
        <v>-281.427988574074</v>
      </c>
      <c r="CV92" s="161" t="n">
        <v>-281.427988574074</v>
      </c>
      <c r="CW92" s="161" t="n">
        <v>-281.427988574074</v>
      </c>
      <c r="CX92" s="161" t="n">
        <v>-287.056548345555</v>
      </c>
      <c r="CY92" s="161" t="n">
        <v>-287.056548345555</v>
      </c>
      <c r="CZ92" s="161" t="n">
        <v>-287.056548345555</v>
      </c>
      <c r="DA92" s="161" t="n">
        <v>-287.056548345555</v>
      </c>
      <c r="DB92" s="161" t="n">
        <v>-287.056548345555</v>
      </c>
      <c r="DC92" s="161" t="n">
        <v>-287.056548345555</v>
      </c>
      <c r="DD92" s="161" t="n">
        <v>-287.056548345555</v>
      </c>
      <c r="DE92" s="161" t="n">
        <v>-287.056548345555</v>
      </c>
      <c r="DF92" s="161" t="n">
        <v>-287.056548345555</v>
      </c>
    </row>
    <row r="93" customFormat="false" ht="15" hidden="false" customHeight="true" outlineLevel="0" collapsed="false">
      <c r="A93" s="99" t="s">
        <v>127</v>
      </c>
      <c r="C93" s="161" t="n">
        <v>-986.57</v>
      </c>
      <c r="D93" s="161" t="n">
        <v>-1254.61</v>
      </c>
      <c r="E93" s="161" t="n">
        <v>-1297.31</v>
      </c>
      <c r="F93" s="161" t="n">
        <v>-1179.5</v>
      </c>
      <c r="G93" s="161" t="n">
        <v>-1179.5</v>
      </c>
      <c r="H93" s="161" t="n">
        <v>-1179.5</v>
      </c>
      <c r="I93" s="161" t="n">
        <v>-1179.5</v>
      </c>
      <c r="J93" s="161" t="n">
        <v>-1179.5</v>
      </c>
      <c r="K93" s="161" t="n">
        <v>-1179.5</v>
      </c>
      <c r="L93" s="161" t="n">
        <v>-1179.5</v>
      </c>
      <c r="M93" s="161" t="n">
        <v>-1179.5</v>
      </c>
      <c r="N93" s="161" t="n">
        <v>-1179.5</v>
      </c>
      <c r="O93" s="161" t="n">
        <v>-1179.5</v>
      </c>
      <c r="P93" s="161" t="n">
        <v>-1179.5</v>
      </c>
      <c r="Q93" s="161" t="n">
        <v>-1179.5</v>
      </c>
      <c r="R93" s="161" t="n">
        <v>-1203.09</v>
      </c>
      <c r="S93" s="161" t="n">
        <v>-1203.09</v>
      </c>
      <c r="T93" s="161" t="n">
        <v>-1203.09</v>
      </c>
      <c r="U93" s="161" t="n">
        <v>-1203.09</v>
      </c>
      <c r="V93" s="161" t="n">
        <v>-1203.09</v>
      </c>
      <c r="W93" s="161" t="n">
        <v>-1203.09</v>
      </c>
      <c r="X93" s="161" t="n">
        <v>-1203.09</v>
      </c>
      <c r="Y93" s="161" t="n">
        <v>-1203.09</v>
      </c>
      <c r="Z93" s="161" t="n">
        <v>-1203.09</v>
      </c>
      <c r="AA93" s="161" t="n">
        <v>-1203.09</v>
      </c>
      <c r="AB93" s="161" t="n">
        <v>-1203.09</v>
      </c>
      <c r="AC93" s="161" t="n">
        <v>-1203.09</v>
      </c>
      <c r="AD93" s="161" t="n">
        <v>-1227.1518</v>
      </c>
      <c r="AE93" s="161" t="n">
        <v>-1227.1518</v>
      </c>
      <c r="AF93" s="161" t="n">
        <v>-1227.1518</v>
      </c>
      <c r="AG93" s="161" t="n">
        <v>-1227.1518</v>
      </c>
      <c r="AH93" s="161" t="n">
        <v>-1227.1518</v>
      </c>
      <c r="AI93" s="161" t="n">
        <v>-1227.1518</v>
      </c>
      <c r="AJ93" s="161" t="n">
        <v>-1227.1518</v>
      </c>
      <c r="AK93" s="161" t="n">
        <v>-1227.1518</v>
      </c>
      <c r="AL93" s="161" t="n">
        <v>-1227.1518</v>
      </c>
      <c r="AM93" s="161" t="n">
        <v>-1227.1518</v>
      </c>
      <c r="AN93" s="161" t="n">
        <v>-1227.1518</v>
      </c>
      <c r="AO93" s="161" t="n">
        <v>-1227.1518</v>
      </c>
      <c r="AP93" s="161" t="n">
        <v>-1251.694836</v>
      </c>
      <c r="AQ93" s="161" t="n">
        <v>-1251.694836</v>
      </c>
      <c r="AR93" s="161" t="n">
        <v>-1251.694836</v>
      </c>
      <c r="AS93" s="161" t="n">
        <v>-1251.694836</v>
      </c>
      <c r="AT93" s="161" t="n">
        <v>-1251.694836</v>
      </c>
      <c r="AU93" s="161" t="n">
        <v>-1251.694836</v>
      </c>
      <c r="AV93" s="161" t="n">
        <v>-1251.694836</v>
      </c>
      <c r="AW93" s="161" t="n">
        <v>-1251.694836</v>
      </c>
      <c r="AX93" s="161" t="n">
        <v>-1251.694836</v>
      </c>
      <c r="AY93" s="161" t="n">
        <v>-1251.694836</v>
      </c>
      <c r="AZ93" s="161" t="n">
        <v>-1251.694836</v>
      </c>
      <c r="BA93" s="161" t="n">
        <v>-1251.694836</v>
      </c>
      <c r="BB93" s="161" t="n">
        <v>-1276.72873272</v>
      </c>
      <c r="BC93" s="161" t="n">
        <v>-1276.72873272</v>
      </c>
      <c r="BD93" s="161" t="n">
        <v>-1276.72873272</v>
      </c>
      <c r="BE93" s="161" t="n">
        <v>-1276.72873272</v>
      </c>
      <c r="BF93" s="161" t="n">
        <v>-1276.72873272</v>
      </c>
      <c r="BG93" s="161" t="n">
        <v>-1276.72873272</v>
      </c>
      <c r="BH93" s="161" t="n">
        <v>-1276.72873272</v>
      </c>
      <c r="BI93" s="161" t="n">
        <v>-1276.72873272</v>
      </c>
      <c r="BJ93" s="161" t="n">
        <v>-1276.72873272</v>
      </c>
      <c r="BK93" s="161" t="n">
        <v>-1276.72873272</v>
      </c>
      <c r="BL93" s="161" t="n">
        <v>-1276.72873272</v>
      </c>
      <c r="BM93" s="161" t="n">
        <v>-1276.72873272</v>
      </c>
      <c r="BN93" s="161" t="n">
        <v>-1302.2633073744</v>
      </c>
      <c r="BO93" s="161" t="n">
        <v>-1302.2633073744</v>
      </c>
      <c r="BP93" s="161" t="n">
        <v>-1302.2633073744</v>
      </c>
      <c r="BQ93" s="161" t="n">
        <v>-1302.2633073744</v>
      </c>
      <c r="BR93" s="161" t="n">
        <v>-1302.2633073744</v>
      </c>
      <c r="BS93" s="161" t="n">
        <v>-1302.2633073744</v>
      </c>
      <c r="BT93" s="161" t="n">
        <v>-1302.2633073744</v>
      </c>
      <c r="BU93" s="161" t="n">
        <v>-1302.2633073744</v>
      </c>
      <c r="BV93" s="161" t="n">
        <v>-1302.2633073744</v>
      </c>
      <c r="BW93" s="161" t="n">
        <v>-1302.2633073744</v>
      </c>
      <c r="BX93" s="161" t="n">
        <v>-1302.2633073744</v>
      </c>
      <c r="BY93" s="161" t="n">
        <v>-1302.2633073744</v>
      </c>
      <c r="BZ93" s="161" t="n">
        <v>-1328.30857352189</v>
      </c>
      <c r="CA93" s="161" t="n">
        <v>-1328.30857352189</v>
      </c>
      <c r="CB93" s="161" t="n">
        <v>-1328.30857352189</v>
      </c>
      <c r="CC93" s="161" t="n">
        <v>-1328.30857352189</v>
      </c>
      <c r="CD93" s="161" t="n">
        <v>-1328.30857352189</v>
      </c>
      <c r="CE93" s="161" t="n">
        <v>-1328.30857352189</v>
      </c>
      <c r="CF93" s="161" t="n">
        <v>-1328.30857352189</v>
      </c>
      <c r="CG93" s="161" t="n">
        <v>-1328.30857352189</v>
      </c>
      <c r="CH93" s="161" t="n">
        <v>-1328.30857352189</v>
      </c>
      <c r="CI93" s="161" t="n">
        <v>-1328.30857352189</v>
      </c>
      <c r="CJ93" s="161" t="n">
        <v>-1328.30857352189</v>
      </c>
      <c r="CK93" s="161" t="n">
        <v>-1328.30857352189</v>
      </c>
      <c r="CL93" s="161" t="n">
        <v>-1354.87474499233</v>
      </c>
      <c r="CM93" s="161" t="n">
        <v>-1354.87474499233</v>
      </c>
      <c r="CN93" s="161" t="n">
        <v>-1354.87474499233</v>
      </c>
      <c r="CO93" s="161" t="n">
        <v>-1354.87474499233</v>
      </c>
      <c r="CP93" s="161" t="n">
        <v>-1354.87474499233</v>
      </c>
      <c r="CQ93" s="161" t="n">
        <v>-1354.87474499233</v>
      </c>
      <c r="CR93" s="161" t="n">
        <v>-1354.87474499233</v>
      </c>
      <c r="CS93" s="161" t="n">
        <v>-1354.87474499233</v>
      </c>
      <c r="CT93" s="161" t="n">
        <v>-1354.87474499233</v>
      </c>
      <c r="CU93" s="161" t="n">
        <v>-1354.87474499233</v>
      </c>
      <c r="CV93" s="161" t="n">
        <v>-1354.87474499233</v>
      </c>
      <c r="CW93" s="161" t="n">
        <v>-1354.87474499233</v>
      </c>
      <c r="CX93" s="161" t="n">
        <v>-1381.97223989217</v>
      </c>
      <c r="CY93" s="161" t="n">
        <v>-1381.97223989217</v>
      </c>
      <c r="CZ93" s="161" t="n">
        <v>-1381.97223989217</v>
      </c>
      <c r="DA93" s="161" t="n">
        <v>-1381.97223989217</v>
      </c>
      <c r="DB93" s="161" t="n">
        <v>-1381.97223989217</v>
      </c>
      <c r="DC93" s="161" t="n">
        <v>-1381.97223989217</v>
      </c>
      <c r="DD93" s="161" t="n">
        <v>-1381.97223989217</v>
      </c>
      <c r="DE93" s="161" t="n">
        <v>-1381.97223989217</v>
      </c>
      <c r="DF93" s="161" t="n">
        <v>-1381.97223989217</v>
      </c>
    </row>
    <row r="94" customFormat="false" ht="15" hidden="false" customHeight="true" outlineLevel="0" collapsed="false">
      <c r="A94" s="99" t="s">
        <v>128</v>
      </c>
      <c r="C94" s="161" t="n">
        <v>-588.66</v>
      </c>
      <c r="D94" s="161" t="n">
        <v>-22.94</v>
      </c>
      <c r="E94" s="161" t="n">
        <v>-487.3</v>
      </c>
      <c r="F94" s="161" t="n">
        <v>-366.3</v>
      </c>
      <c r="G94" s="161" t="n">
        <v>-366.3</v>
      </c>
      <c r="H94" s="161" t="n">
        <v>-366.3</v>
      </c>
      <c r="I94" s="161" t="n">
        <v>-366.3</v>
      </c>
      <c r="J94" s="161" t="n">
        <v>-366.3</v>
      </c>
      <c r="K94" s="161" t="n">
        <v>-366.3</v>
      </c>
      <c r="L94" s="161" t="n">
        <v>-366.3</v>
      </c>
      <c r="M94" s="161" t="n">
        <v>-366.3</v>
      </c>
      <c r="N94" s="161" t="n">
        <v>-366.3</v>
      </c>
      <c r="O94" s="161" t="n">
        <v>-366.3</v>
      </c>
      <c r="P94" s="161" t="n">
        <v>-366.3</v>
      </c>
      <c r="Q94" s="161" t="n">
        <v>-366.3</v>
      </c>
      <c r="R94" s="161" t="n">
        <v>-373.626</v>
      </c>
      <c r="S94" s="161" t="n">
        <v>-373.626</v>
      </c>
      <c r="T94" s="161" t="n">
        <v>-373.626</v>
      </c>
      <c r="U94" s="161" t="n">
        <v>-373.626</v>
      </c>
      <c r="V94" s="161" t="n">
        <v>-373.626</v>
      </c>
      <c r="W94" s="161" t="n">
        <v>-373.626</v>
      </c>
      <c r="X94" s="161" t="n">
        <v>-373.626</v>
      </c>
      <c r="Y94" s="161" t="n">
        <v>-373.626</v>
      </c>
      <c r="Z94" s="161" t="n">
        <v>-373.626</v>
      </c>
      <c r="AA94" s="161" t="n">
        <v>-373.626</v>
      </c>
      <c r="AB94" s="161" t="n">
        <v>-373.626</v>
      </c>
      <c r="AC94" s="161" t="n">
        <v>-373.626</v>
      </c>
      <c r="AD94" s="161" t="n">
        <v>-381.09852</v>
      </c>
      <c r="AE94" s="161" t="n">
        <v>-381.09852</v>
      </c>
      <c r="AF94" s="161" t="n">
        <v>-381.09852</v>
      </c>
      <c r="AG94" s="161" t="n">
        <v>-381.09852</v>
      </c>
      <c r="AH94" s="161" t="n">
        <v>-381.09852</v>
      </c>
      <c r="AI94" s="161" t="n">
        <v>-381.09852</v>
      </c>
      <c r="AJ94" s="161" t="n">
        <v>-381.09852</v>
      </c>
      <c r="AK94" s="161" t="n">
        <v>-381.09852</v>
      </c>
      <c r="AL94" s="161" t="n">
        <v>-381.09852</v>
      </c>
      <c r="AM94" s="161" t="n">
        <v>-381.09852</v>
      </c>
      <c r="AN94" s="161" t="n">
        <v>-381.09852</v>
      </c>
      <c r="AO94" s="161" t="n">
        <v>-381.09852</v>
      </c>
      <c r="AP94" s="161" t="n">
        <v>-388.7204904</v>
      </c>
      <c r="AQ94" s="161" t="n">
        <v>-388.7204904</v>
      </c>
      <c r="AR94" s="161" t="n">
        <v>-388.7204904</v>
      </c>
      <c r="AS94" s="161" t="n">
        <v>-388.7204904</v>
      </c>
      <c r="AT94" s="161" t="n">
        <v>-388.7204904</v>
      </c>
      <c r="AU94" s="161" t="n">
        <v>-388.7204904</v>
      </c>
      <c r="AV94" s="161" t="n">
        <v>-388.7204904</v>
      </c>
      <c r="AW94" s="161" t="n">
        <v>-388.7204904</v>
      </c>
      <c r="AX94" s="161" t="n">
        <v>-388.7204904</v>
      </c>
      <c r="AY94" s="161" t="n">
        <v>-388.7204904</v>
      </c>
      <c r="AZ94" s="161" t="n">
        <v>-388.7204904</v>
      </c>
      <c r="BA94" s="161" t="n">
        <v>-388.7204904</v>
      </c>
      <c r="BB94" s="161" t="n">
        <v>-396.494900208</v>
      </c>
      <c r="BC94" s="161" t="n">
        <v>-396.494900208</v>
      </c>
      <c r="BD94" s="161" t="n">
        <v>-396.494900208</v>
      </c>
      <c r="BE94" s="161" t="n">
        <v>-396.494900208</v>
      </c>
      <c r="BF94" s="161" t="n">
        <v>-396.494900208</v>
      </c>
      <c r="BG94" s="161" t="n">
        <v>-396.494900208</v>
      </c>
      <c r="BH94" s="161" t="n">
        <v>-396.494900208</v>
      </c>
      <c r="BI94" s="161" t="n">
        <v>-396.494900208</v>
      </c>
      <c r="BJ94" s="161" t="n">
        <v>-396.494900208</v>
      </c>
      <c r="BK94" s="161" t="n">
        <v>-396.494900208</v>
      </c>
      <c r="BL94" s="161" t="n">
        <v>-396.494900208</v>
      </c>
      <c r="BM94" s="161" t="n">
        <v>-396.494900208</v>
      </c>
      <c r="BN94" s="161" t="n">
        <v>-404.42479821216</v>
      </c>
      <c r="BO94" s="161" t="n">
        <v>-404.42479821216</v>
      </c>
      <c r="BP94" s="161" t="n">
        <v>-404.42479821216</v>
      </c>
      <c r="BQ94" s="161" t="n">
        <v>-404.42479821216</v>
      </c>
      <c r="BR94" s="161" t="n">
        <v>-404.42479821216</v>
      </c>
      <c r="BS94" s="161" t="n">
        <v>-404.42479821216</v>
      </c>
      <c r="BT94" s="161" t="n">
        <v>-404.42479821216</v>
      </c>
      <c r="BU94" s="161" t="n">
        <v>-404.42479821216</v>
      </c>
      <c r="BV94" s="161" t="n">
        <v>-404.42479821216</v>
      </c>
      <c r="BW94" s="161" t="n">
        <v>-404.42479821216</v>
      </c>
      <c r="BX94" s="161" t="n">
        <v>-404.42479821216</v>
      </c>
      <c r="BY94" s="161" t="n">
        <v>-404.42479821216</v>
      </c>
      <c r="BZ94" s="161" t="n">
        <v>-412.513294176403</v>
      </c>
      <c r="CA94" s="161" t="n">
        <v>-412.513294176403</v>
      </c>
      <c r="CB94" s="161" t="n">
        <v>-412.513294176403</v>
      </c>
      <c r="CC94" s="161" t="n">
        <v>-412.513294176403</v>
      </c>
      <c r="CD94" s="161" t="n">
        <v>-412.513294176403</v>
      </c>
      <c r="CE94" s="161" t="n">
        <v>-412.513294176403</v>
      </c>
      <c r="CF94" s="161" t="n">
        <v>-412.513294176403</v>
      </c>
      <c r="CG94" s="161" t="n">
        <v>-412.513294176403</v>
      </c>
      <c r="CH94" s="161" t="n">
        <v>-412.513294176403</v>
      </c>
      <c r="CI94" s="161" t="n">
        <v>-412.513294176403</v>
      </c>
      <c r="CJ94" s="161" t="n">
        <v>-412.513294176403</v>
      </c>
      <c r="CK94" s="161" t="n">
        <v>-412.513294176403</v>
      </c>
      <c r="CL94" s="161" t="n">
        <v>-420.763560059931</v>
      </c>
      <c r="CM94" s="161" t="n">
        <v>-420.763560059931</v>
      </c>
      <c r="CN94" s="161" t="n">
        <v>-420.763560059931</v>
      </c>
      <c r="CO94" s="161" t="n">
        <v>-420.763560059931</v>
      </c>
      <c r="CP94" s="161" t="n">
        <v>-420.763560059931</v>
      </c>
      <c r="CQ94" s="161" t="n">
        <v>-420.763560059931</v>
      </c>
      <c r="CR94" s="161" t="n">
        <v>-420.763560059931</v>
      </c>
      <c r="CS94" s="161" t="n">
        <v>-420.763560059931</v>
      </c>
      <c r="CT94" s="161" t="n">
        <v>-420.763560059931</v>
      </c>
      <c r="CU94" s="161" t="n">
        <v>-420.763560059931</v>
      </c>
      <c r="CV94" s="161" t="n">
        <v>-420.763560059931</v>
      </c>
      <c r="CW94" s="161" t="n">
        <v>-420.763560059931</v>
      </c>
      <c r="CX94" s="161" t="n">
        <v>-429.17883126113</v>
      </c>
      <c r="CY94" s="161" t="n">
        <v>-429.17883126113</v>
      </c>
      <c r="CZ94" s="161" t="n">
        <v>-429.17883126113</v>
      </c>
      <c r="DA94" s="161" t="n">
        <v>-429.17883126113</v>
      </c>
      <c r="DB94" s="161" t="n">
        <v>-429.17883126113</v>
      </c>
      <c r="DC94" s="161" t="n">
        <v>-429.17883126113</v>
      </c>
      <c r="DD94" s="161" t="n">
        <v>-429.17883126113</v>
      </c>
      <c r="DE94" s="161" t="n">
        <v>-429.17883126113</v>
      </c>
      <c r="DF94" s="161" t="n">
        <v>-429.17883126113</v>
      </c>
    </row>
    <row r="95" customFormat="false" ht="15" hidden="false" customHeight="true" outlineLevel="0" collapsed="false">
      <c r="A95" s="99" t="s">
        <v>129</v>
      </c>
      <c r="C95" s="161" t="n">
        <v>0</v>
      </c>
      <c r="D95" s="161" t="n">
        <v>-92.75</v>
      </c>
      <c r="E95" s="161" t="n">
        <v>-57.46</v>
      </c>
      <c r="F95" s="161" t="n">
        <v>-50.07</v>
      </c>
      <c r="G95" s="161" t="n">
        <v>-50.07</v>
      </c>
      <c r="H95" s="161" t="n">
        <v>-50.07</v>
      </c>
      <c r="I95" s="161" t="n">
        <v>-50.07</v>
      </c>
      <c r="J95" s="161" t="n">
        <v>-50.07</v>
      </c>
      <c r="K95" s="161" t="n">
        <v>-50.07</v>
      </c>
      <c r="L95" s="161" t="n">
        <v>-50.07</v>
      </c>
      <c r="M95" s="161" t="n">
        <v>-50.07</v>
      </c>
      <c r="N95" s="161" t="n">
        <v>-50.07</v>
      </c>
      <c r="O95" s="161" t="n">
        <v>-50.07</v>
      </c>
      <c r="P95" s="161" t="n">
        <v>-50.07</v>
      </c>
      <c r="Q95" s="161" t="n">
        <v>-50.07</v>
      </c>
      <c r="R95" s="161" t="n">
        <v>-51.0714</v>
      </c>
      <c r="S95" s="161" t="n">
        <v>-51.0714</v>
      </c>
      <c r="T95" s="161" t="n">
        <v>-51.0714</v>
      </c>
      <c r="U95" s="161" t="n">
        <v>-51.0714</v>
      </c>
      <c r="V95" s="161" t="n">
        <v>-51.0714</v>
      </c>
      <c r="W95" s="161" t="n">
        <v>-51.0714</v>
      </c>
      <c r="X95" s="161" t="n">
        <v>-51.0714</v>
      </c>
      <c r="Y95" s="161" t="n">
        <v>-51.0714</v>
      </c>
      <c r="Z95" s="161" t="n">
        <v>-51.0714</v>
      </c>
      <c r="AA95" s="161" t="n">
        <v>-51.0714</v>
      </c>
      <c r="AB95" s="161" t="n">
        <v>-51.0714</v>
      </c>
      <c r="AC95" s="161" t="n">
        <v>-51.0714</v>
      </c>
      <c r="AD95" s="161" t="n">
        <v>-52.092828</v>
      </c>
      <c r="AE95" s="161" t="n">
        <v>-52.092828</v>
      </c>
      <c r="AF95" s="161" t="n">
        <v>-52.092828</v>
      </c>
      <c r="AG95" s="161" t="n">
        <v>-52.092828</v>
      </c>
      <c r="AH95" s="161" t="n">
        <v>-52.092828</v>
      </c>
      <c r="AI95" s="161" t="n">
        <v>-52.092828</v>
      </c>
      <c r="AJ95" s="161" t="n">
        <v>-52.092828</v>
      </c>
      <c r="AK95" s="161" t="n">
        <v>-52.092828</v>
      </c>
      <c r="AL95" s="161" t="n">
        <v>-52.092828</v>
      </c>
      <c r="AM95" s="161" t="n">
        <v>-52.092828</v>
      </c>
      <c r="AN95" s="161" t="n">
        <v>-52.092828</v>
      </c>
      <c r="AO95" s="161" t="n">
        <v>-52.092828</v>
      </c>
      <c r="AP95" s="161" t="n">
        <v>-53.13468456</v>
      </c>
      <c r="AQ95" s="161" t="n">
        <v>-53.13468456</v>
      </c>
      <c r="AR95" s="161" t="n">
        <v>-53.13468456</v>
      </c>
      <c r="AS95" s="161" t="n">
        <v>-53.13468456</v>
      </c>
      <c r="AT95" s="161" t="n">
        <v>-53.13468456</v>
      </c>
      <c r="AU95" s="161" t="n">
        <v>-53.13468456</v>
      </c>
      <c r="AV95" s="161" t="n">
        <v>-53.13468456</v>
      </c>
      <c r="AW95" s="161" t="n">
        <v>-53.13468456</v>
      </c>
      <c r="AX95" s="161" t="n">
        <v>-53.13468456</v>
      </c>
      <c r="AY95" s="161" t="n">
        <v>-53.13468456</v>
      </c>
      <c r="AZ95" s="161" t="n">
        <v>-53.13468456</v>
      </c>
      <c r="BA95" s="161" t="n">
        <v>-53.13468456</v>
      </c>
      <c r="BB95" s="161" t="n">
        <v>-54.1973782512</v>
      </c>
      <c r="BC95" s="161" t="n">
        <v>-54.1973782512</v>
      </c>
      <c r="BD95" s="161" t="n">
        <v>-54.1973782512</v>
      </c>
      <c r="BE95" s="161" t="n">
        <v>-54.1973782512</v>
      </c>
      <c r="BF95" s="161" t="n">
        <v>-54.1973782512</v>
      </c>
      <c r="BG95" s="161" t="n">
        <v>-54.1973782512</v>
      </c>
      <c r="BH95" s="161" t="n">
        <v>-54.1973782512</v>
      </c>
      <c r="BI95" s="161" t="n">
        <v>-54.1973782512</v>
      </c>
      <c r="BJ95" s="161" t="n">
        <v>-54.1973782512</v>
      </c>
      <c r="BK95" s="161" t="n">
        <v>-54.1973782512</v>
      </c>
      <c r="BL95" s="161" t="n">
        <v>-54.1973782512</v>
      </c>
      <c r="BM95" s="161" t="n">
        <v>-54.1973782512</v>
      </c>
      <c r="BN95" s="161" t="n">
        <v>-55.281325816224</v>
      </c>
      <c r="BO95" s="161" t="n">
        <v>-55.281325816224</v>
      </c>
      <c r="BP95" s="161" t="n">
        <v>-55.281325816224</v>
      </c>
      <c r="BQ95" s="161" t="n">
        <v>-55.281325816224</v>
      </c>
      <c r="BR95" s="161" t="n">
        <v>-55.281325816224</v>
      </c>
      <c r="BS95" s="161" t="n">
        <v>-55.281325816224</v>
      </c>
      <c r="BT95" s="161" t="n">
        <v>-55.281325816224</v>
      </c>
      <c r="BU95" s="161" t="n">
        <v>-55.281325816224</v>
      </c>
      <c r="BV95" s="161" t="n">
        <v>-55.281325816224</v>
      </c>
      <c r="BW95" s="161" t="n">
        <v>-55.281325816224</v>
      </c>
      <c r="BX95" s="161" t="n">
        <v>-55.281325816224</v>
      </c>
      <c r="BY95" s="161" t="n">
        <v>-55.281325816224</v>
      </c>
      <c r="BZ95" s="161" t="n">
        <v>-56.3869523325485</v>
      </c>
      <c r="CA95" s="161" t="n">
        <v>-56.3869523325485</v>
      </c>
      <c r="CB95" s="161" t="n">
        <v>-56.3869523325485</v>
      </c>
      <c r="CC95" s="161" t="n">
        <v>-56.3869523325485</v>
      </c>
      <c r="CD95" s="161" t="n">
        <v>-56.3869523325485</v>
      </c>
      <c r="CE95" s="161" t="n">
        <v>-56.3869523325485</v>
      </c>
      <c r="CF95" s="161" t="n">
        <v>-56.3869523325485</v>
      </c>
      <c r="CG95" s="161" t="n">
        <v>-56.3869523325485</v>
      </c>
      <c r="CH95" s="161" t="n">
        <v>-56.3869523325485</v>
      </c>
      <c r="CI95" s="161" t="n">
        <v>-56.3869523325485</v>
      </c>
      <c r="CJ95" s="161" t="n">
        <v>-56.3869523325485</v>
      </c>
      <c r="CK95" s="161" t="n">
        <v>-56.3869523325485</v>
      </c>
      <c r="CL95" s="161" t="n">
        <v>-57.5146913791995</v>
      </c>
      <c r="CM95" s="161" t="n">
        <v>-57.5146913791995</v>
      </c>
      <c r="CN95" s="161" t="n">
        <v>-57.5146913791995</v>
      </c>
      <c r="CO95" s="161" t="n">
        <v>-57.5146913791995</v>
      </c>
      <c r="CP95" s="161" t="n">
        <v>-57.5146913791995</v>
      </c>
      <c r="CQ95" s="161" t="n">
        <v>-57.5146913791995</v>
      </c>
      <c r="CR95" s="161" t="n">
        <v>-57.5146913791995</v>
      </c>
      <c r="CS95" s="161" t="n">
        <v>-57.5146913791995</v>
      </c>
      <c r="CT95" s="161" t="n">
        <v>-57.5146913791995</v>
      </c>
      <c r="CU95" s="161" t="n">
        <v>-57.5146913791995</v>
      </c>
      <c r="CV95" s="161" t="n">
        <v>-57.5146913791995</v>
      </c>
      <c r="CW95" s="161" t="n">
        <v>-57.5146913791995</v>
      </c>
      <c r="CX95" s="161" t="n">
        <v>-58.6649852067835</v>
      </c>
      <c r="CY95" s="161" t="n">
        <v>-58.6649852067835</v>
      </c>
      <c r="CZ95" s="161" t="n">
        <v>-58.6649852067835</v>
      </c>
      <c r="DA95" s="161" t="n">
        <v>-58.6649852067835</v>
      </c>
      <c r="DB95" s="161" t="n">
        <v>-58.6649852067835</v>
      </c>
      <c r="DC95" s="161" t="n">
        <v>-58.6649852067835</v>
      </c>
      <c r="DD95" s="161" t="n">
        <v>-58.6649852067835</v>
      </c>
      <c r="DE95" s="161" t="n">
        <v>-58.6649852067835</v>
      </c>
      <c r="DF95" s="161" t="n">
        <v>-58.6649852067835</v>
      </c>
    </row>
    <row r="96" customFormat="false" ht="15" hidden="false" customHeight="true" outlineLevel="0" collapsed="false">
      <c r="A96" s="99" t="s">
        <v>78</v>
      </c>
      <c r="C96" s="161" t="n">
        <v>-640.88</v>
      </c>
      <c r="D96" s="161" t="n">
        <v>-872.64</v>
      </c>
      <c r="E96" s="161" t="n">
        <v>-1175.78</v>
      </c>
      <c r="F96" s="161" t="n">
        <v>-896.43</v>
      </c>
      <c r="G96" s="161" t="n">
        <v>-896.43</v>
      </c>
      <c r="H96" s="161" t="n">
        <v>-896.43</v>
      </c>
      <c r="I96" s="161" t="n">
        <v>-896.43</v>
      </c>
      <c r="J96" s="161" t="n">
        <v>-896.43</v>
      </c>
      <c r="K96" s="161" t="n">
        <v>-896.43</v>
      </c>
      <c r="L96" s="161" t="n">
        <v>-896.43</v>
      </c>
      <c r="M96" s="161" t="n">
        <v>-896.43</v>
      </c>
      <c r="N96" s="161" t="n">
        <v>-896.43</v>
      </c>
      <c r="O96" s="161" t="n">
        <v>-896.43</v>
      </c>
      <c r="P96" s="161" t="n">
        <v>-896.43</v>
      </c>
      <c r="Q96" s="161" t="n">
        <v>-896.43</v>
      </c>
      <c r="R96" s="161" t="n">
        <v>-914.3586</v>
      </c>
      <c r="S96" s="161" t="n">
        <v>-914.3586</v>
      </c>
      <c r="T96" s="161" t="n">
        <v>-914.3586</v>
      </c>
      <c r="U96" s="161" t="n">
        <v>-914.3586</v>
      </c>
      <c r="V96" s="161" t="n">
        <v>-914.3586</v>
      </c>
      <c r="W96" s="161" t="n">
        <v>-914.3586</v>
      </c>
      <c r="X96" s="161" t="n">
        <v>-914.3586</v>
      </c>
      <c r="Y96" s="161" t="n">
        <v>-914.3586</v>
      </c>
      <c r="Z96" s="161" t="n">
        <v>-914.3586</v>
      </c>
      <c r="AA96" s="161" t="n">
        <v>-914.3586</v>
      </c>
      <c r="AB96" s="161" t="n">
        <v>-914.3586</v>
      </c>
      <c r="AC96" s="161" t="n">
        <v>-914.3586</v>
      </c>
      <c r="AD96" s="161" t="n">
        <v>-932.645772</v>
      </c>
      <c r="AE96" s="161" t="n">
        <v>-932.645772</v>
      </c>
      <c r="AF96" s="161" t="n">
        <v>-932.645772</v>
      </c>
      <c r="AG96" s="161" t="n">
        <v>-932.645772</v>
      </c>
      <c r="AH96" s="161" t="n">
        <v>-932.645772</v>
      </c>
      <c r="AI96" s="161" t="n">
        <v>-932.645772</v>
      </c>
      <c r="AJ96" s="161" t="n">
        <v>-932.645772</v>
      </c>
      <c r="AK96" s="161" t="n">
        <v>-932.645772</v>
      </c>
      <c r="AL96" s="161" t="n">
        <v>-932.645772</v>
      </c>
      <c r="AM96" s="161" t="n">
        <v>-932.645772</v>
      </c>
      <c r="AN96" s="161" t="n">
        <v>-932.645772</v>
      </c>
      <c r="AO96" s="161" t="n">
        <v>-932.645772</v>
      </c>
      <c r="AP96" s="161" t="n">
        <v>-951.29868744</v>
      </c>
      <c r="AQ96" s="161" t="n">
        <v>-951.29868744</v>
      </c>
      <c r="AR96" s="161" t="n">
        <v>-951.29868744</v>
      </c>
      <c r="AS96" s="161" t="n">
        <v>-951.29868744</v>
      </c>
      <c r="AT96" s="161" t="n">
        <v>-951.29868744</v>
      </c>
      <c r="AU96" s="161" t="n">
        <v>-951.29868744</v>
      </c>
      <c r="AV96" s="161" t="n">
        <v>-951.29868744</v>
      </c>
      <c r="AW96" s="161" t="n">
        <v>-951.29868744</v>
      </c>
      <c r="AX96" s="161" t="n">
        <v>-951.29868744</v>
      </c>
      <c r="AY96" s="161" t="n">
        <v>-951.29868744</v>
      </c>
      <c r="AZ96" s="161" t="n">
        <v>-951.29868744</v>
      </c>
      <c r="BA96" s="161" t="n">
        <v>-951.29868744</v>
      </c>
      <c r="BB96" s="161" t="n">
        <v>-970.3246611888</v>
      </c>
      <c r="BC96" s="161" t="n">
        <v>-970.3246611888</v>
      </c>
      <c r="BD96" s="161" t="n">
        <v>-970.3246611888</v>
      </c>
      <c r="BE96" s="161" t="n">
        <v>-970.3246611888</v>
      </c>
      <c r="BF96" s="161" t="n">
        <v>-970.3246611888</v>
      </c>
      <c r="BG96" s="161" t="n">
        <v>-970.3246611888</v>
      </c>
      <c r="BH96" s="161" t="n">
        <v>-970.3246611888</v>
      </c>
      <c r="BI96" s="161" t="n">
        <v>-970.3246611888</v>
      </c>
      <c r="BJ96" s="161" t="n">
        <v>-970.3246611888</v>
      </c>
      <c r="BK96" s="161" t="n">
        <v>-970.3246611888</v>
      </c>
      <c r="BL96" s="161" t="n">
        <v>-970.3246611888</v>
      </c>
      <c r="BM96" s="161" t="n">
        <v>-970.3246611888</v>
      </c>
      <c r="BN96" s="161" t="n">
        <v>-989.731154412576</v>
      </c>
      <c r="BO96" s="161" t="n">
        <v>-989.731154412576</v>
      </c>
      <c r="BP96" s="161" t="n">
        <v>-989.731154412576</v>
      </c>
      <c r="BQ96" s="161" t="n">
        <v>-989.731154412576</v>
      </c>
      <c r="BR96" s="161" t="n">
        <v>-989.731154412576</v>
      </c>
      <c r="BS96" s="161" t="n">
        <v>-989.731154412576</v>
      </c>
      <c r="BT96" s="161" t="n">
        <v>-989.731154412576</v>
      </c>
      <c r="BU96" s="161" t="n">
        <v>-989.731154412576</v>
      </c>
      <c r="BV96" s="161" t="n">
        <v>-989.731154412576</v>
      </c>
      <c r="BW96" s="161" t="n">
        <v>-989.731154412576</v>
      </c>
      <c r="BX96" s="161" t="n">
        <v>-989.731154412576</v>
      </c>
      <c r="BY96" s="161" t="n">
        <v>-989.731154412576</v>
      </c>
      <c r="BZ96" s="161" t="n">
        <v>-1009.52577750083</v>
      </c>
      <c r="CA96" s="161" t="n">
        <v>-1009.52577750083</v>
      </c>
      <c r="CB96" s="161" t="n">
        <v>-1009.52577750083</v>
      </c>
      <c r="CC96" s="161" t="n">
        <v>-1009.52577750083</v>
      </c>
      <c r="CD96" s="161" t="n">
        <v>-1009.52577750083</v>
      </c>
      <c r="CE96" s="161" t="n">
        <v>-1009.52577750083</v>
      </c>
      <c r="CF96" s="161" t="n">
        <v>-1009.52577750083</v>
      </c>
      <c r="CG96" s="161" t="n">
        <v>-1009.52577750083</v>
      </c>
      <c r="CH96" s="161" t="n">
        <v>-1009.52577750083</v>
      </c>
      <c r="CI96" s="161" t="n">
        <v>-1009.52577750083</v>
      </c>
      <c r="CJ96" s="161" t="n">
        <v>-1009.52577750083</v>
      </c>
      <c r="CK96" s="161" t="n">
        <v>-1009.52577750083</v>
      </c>
      <c r="CL96" s="161" t="n">
        <v>-1029.71629305084</v>
      </c>
      <c r="CM96" s="161" t="n">
        <v>-1029.71629305084</v>
      </c>
      <c r="CN96" s="161" t="n">
        <v>-1029.71629305084</v>
      </c>
      <c r="CO96" s="161" t="n">
        <v>-1029.71629305084</v>
      </c>
      <c r="CP96" s="161" t="n">
        <v>-1029.71629305084</v>
      </c>
      <c r="CQ96" s="161" t="n">
        <v>-1029.71629305084</v>
      </c>
      <c r="CR96" s="161" t="n">
        <v>-1029.71629305084</v>
      </c>
      <c r="CS96" s="161" t="n">
        <v>-1029.71629305084</v>
      </c>
      <c r="CT96" s="161" t="n">
        <v>-1029.71629305084</v>
      </c>
      <c r="CU96" s="161" t="n">
        <v>-1029.71629305084</v>
      </c>
      <c r="CV96" s="161" t="n">
        <v>-1029.71629305084</v>
      </c>
      <c r="CW96" s="161" t="n">
        <v>-1029.71629305084</v>
      </c>
      <c r="CX96" s="161" t="n">
        <v>-1050.31061891186</v>
      </c>
      <c r="CY96" s="161" t="n">
        <v>-1050.31061891186</v>
      </c>
      <c r="CZ96" s="161" t="n">
        <v>-1050.31061891186</v>
      </c>
      <c r="DA96" s="161" t="n">
        <v>-1050.31061891186</v>
      </c>
      <c r="DB96" s="161" t="n">
        <v>-1050.31061891186</v>
      </c>
      <c r="DC96" s="161" t="n">
        <v>-1050.31061891186</v>
      </c>
      <c r="DD96" s="161" t="n">
        <v>-1050.31061891186</v>
      </c>
      <c r="DE96" s="161" t="n">
        <v>-1050.31061891186</v>
      </c>
      <c r="DF96" s="161" t="n">
        <v>-1050.31061891186</v>
      </c>
    </row>
    <row r="97" customFormat="false" ht="15" hidden="false" customHeight="true" outlineLevel="0" collapsed="false">
      <c r="A97" s="99" t="s">
        <v>79</v>
      </c>
      <c r="C97" s="161" t="n">
        <v>0</v>
      </c>
      <c r="D97" s="161" t="n">
        <v>0</v>
      </c>
      <c r="E97" s="161" t="n">
        <v>-38050.5</v>
      </c>
      <c r="F97" s="161" t="n">
        <v>-2000</v>
      </c>
      <c r="G97" s="161" t="n">
        <v>-2000</v>
      </c>
      <c r="H97" s="161" t="n">
        <v>-2000</v>
      </c>
      <c r="I97" s="161" t="n">
        <v>-2000</v>
      </c>
      <c r="J97" s="161" t="n">
        <v>-2000</v>
      </c>
      <c r="K97" s="161" t="n">
        <v>-2000</v>
      </c>
      <c r="L97" s="161" t="n">
        <v>-2000</v>
      </c>
      <c r="M97" s="161" t="n">
        <v>-2000</v>
      </c>
      <c r="N97" s="161" t="n">
        <v>-2000</v>
      </c>
      <c r="O97" s="161" t="n">
        <v>-2000</v>
      </c>
      <c r="P97" s="161" t="n">
        <v>-2000</v>
      </c>
      <c r="Q97" s="161" t="n">
        <v>-2000</v>
      </c>
      <c r="R97" s="161" t="n">
        <v>-2040</v>
      </c>
      <c r="S97" s="161" t="n">
        <v>-2040</v>
      </c>
      <c r="T97" s="161" t="n">
        <v>-2040</v>
      </c>
      <c r="U97" s="161" t="n">
        <v>-2040</v>
      </c>
      <c r="V97" s="161" t="n">
        <v>-2040</v>
      </c>
      <c r="W97" s="161" t="n">
        <v>-2040</v>
      </c>
      <c r="X97" s="161" t="n">
        <v>-2040</v>
      </c>
      <c r="Y97" s="161" t="n">
        <v>-2040</v>
      </c>
      <c r="Z97" s="161" t="n">
        <v>-2040</v>
      </c>
      <c r="AA97" s="161" t="n">
        <v>-2040</v>
      </c>
      <c r="AB97" s="161" t="n">
        <v>-2040</v>
      </c>
      <c r="AC97" s="161" t="n">
        <v>-2040</v>
      </c>
      <c r="AD97" s="161" t="n">
        <v>-2080.8</v>
      </c>
      <c r="AE97" s="161" t="n">
        <v>-2080.8</v>
      </c>
      <c r="AF97" s="161" t="n">
        <v>-2080.8</v>
      </c>
      <c r="AG97" s="161" t="n">
        <v>-2080.8</v>
      </c>
      <c r="AH97" s="161" t="n">
        <v>-2080.8</v>
      </c>
      <c r="AI97" s="161" t="n">
        <v>-2080.8</v>
      </c>
      <c r="AJ97" s="161" t="n">
        <v>-2080.8</v>
      </c>
      <c r="AK97" s="161" t="n">
        <v>-2080.8</v>
      </c>
      <c r="AL97" s="161" t="n">
        <v>-2080.8</v>
      </c>
      <c r="AM97" s="161" t="n">
        <v>-2080.8</v>
      </c>
      <c r="AN97" s="161" t="n">
        <v>-2080.8</v>
      </c>
      <c r="AO97" s="161" t="n">
        <v>-2080.8</v>
      </c>
      <c r="AP97" s="161" t="n">
        <v>-2122.416</v>
      </c>
      <c r="AQ97" s="161" t="n">
        <v>-2122.416</v>
      </c>
      <c r="AR97" s="161" t="n">
        <v>-2122.416</v>
      </c>
      <c r="AS97" s="161" t="n">
        <v>-2122.416</v>
      </c>
      <c r="AT97" s="161" t="n">
        <v>-2122.416</v>
      </c>
      <c r="AU97" s="161" t="n">
        <v>-2122.416</v>
      </c>
      <c r="AV97" s="161" t="n">
        <v>-2122.416</v>
      </c>
      <c r="AW97" s="161" t="n">
        <v>-2122.416</v>
      </c>
      <c r="AX97" s="161" t="n">
        <v>-2122.416</v>
      </c>
      <c r="AY97" s="161" t="n">
        <v>-2122.416</v>
      </c>
      <c r="AZ97" s="161" t="n">
        <v>-2122.416</v>
      </c>
      <c r="BA97" s="161" t="n">
        <v>-2122.416</v>
      </c>
      <c r="BB97" s="161" t="n">
        <v>-2164.86432</v>
      </c>
      <c r="BC97" s="161" t="n">
        <v>-2164.86432</v>
      </c>
      <c r="BD97" s="161" t="n">
        <v>-2164.86432</v>
      </c>
      <c r="BE97" s="161" t="n">
        <v>-2164.86432</v>
      </c>
      <c r="BF97" s="161" t="n">
        <v>-2164.86432</v>
      </c>
      <c r="BG97" s="161" t="n">
        <v>-2164.86432</v>
      </c>
      <c r="BH97" s="161" t="n">
        <v>-2164.86432</v>
      </c>
      <c r="BI97" s="161" t="n">
        <v>-2164.86432</v>
      </c>
      <c r="BJ97" s="161" t="n">
        <v>-2164.86432</v>
      </c>
      <c r="BK97" s="161" t="n">
        <v>-2164.86432</v>
      </c>
      <c r="BL97" s="161" t="n">
        <v>-2164.86432</v>
      </c>
      <c r="BM97" s="161" t="n">
        <v>-2164.86432</v>
      </c>
      <c r="BN97" s="161" t="n">
        <v>-2208.1616064</v>
      </c>
      <c r="BO97" s="161" t="n">
        <v>-2208.1616064</v>
      </c>
      <c r="BP97" s="161" t="n">
        <v>-2208.1616064</v>
      </c>
      <c r="BQ97" s="161" t="n">
        <v>-2208.1616064</v>
      </c>
      <c r="BR97" s="161" t="n">
        <v>-2208.1616064</v>
      </c>
      <c r="BS97" s="161" t="n">
        <v>-2208.1616064</v>
      </c>
      <c r="BT97" s="161" t="n">
        <v>-2208.1616064</v>
      </c>
      <c r="BU97" s="161" t="n">
        <v>-2208.1616064</v>
      </c>
      <c r="BV97" s="161" t="n">
        <v>-2208.1616064</v>
      </c>
      <c r="BW97" s="161" t="n">
        <v>-2208.1616064</v>
      </c>
      <c r="BX97" s="161" t="n">
        <v>-2208.1616064</v>
      </c>
      <c r="BY97" s="161" t="n">
        <v>-2208.1616064</v>
      </c>
      <c r="BZ97" s="161" t="n">
        <v>-2252.324838528</v>
      </c>
      <c r="CA97" s="161" t="n">
        <v>-2252.324838528</v>
      </c>
      <c r="CB97" s="161" t="n">
        <v>-2252.324838528</v>
      </c>
      <c r="CC97" s="161" t="n">
        <v>-2252.324838528</v>
      </c>
      <c r="CD97" s="161" t="n">
        <v>-2252.324838528</v>
      </c>
      <c r="CE97" s="161" t="n">
        <v>-2252.324838528</v>
      </c>
      <c r="CF97" s="161" t="n">
        <v>-2252.324838528</v>
      </c>
      <c r="CG97" s="161" t="n">
        <v>-2252.324838528</v>
      </c>
      <c r="CH97" s="161" t="n">
        <v>-2252.324838528</v>
      </c>
      <c r="CI97" s="161" t="n">
        <v>-2252.324838528</v>
      </c>
      <c r="CJ97" s="161" t="n">
        <v>-2252.324838528</v>
      </c>
      <c r="CK97" s="161" t="n">
        <v>-2252.324838528</v>
      </c>
      <c r="CL97" s="161" t="n">
        <v>-2297.37133529856</v>
      </c>
      <c r="CM97" s="161" t="n">
        <v>-2297.37133529856</v>
      </c>
      <c r="CN97" s="161" t="n">
        <v>-2297.37133529856</v>
      </c>
      <c r="CO97" s="161" t="n">
        <v>-2297.37133529856</v>
      </c>
      <c r="CP97" s="161" t="n">
        <v>-2297.37133529856</v>
      </c>
      <c r="CQ97" s="161" t="n">
        <v>-2297.37133529856</v>
      </c>
      <c r="CR97" s="161" t="n">
        <v>-2297.37133529856</v>
      </c>
      <c r="CS97" s="161" t="n">
        <v>-2297.37133529856</v>
      </c>
      <c r="CT97" s="161" t="n">
        <v>-2297.37133529856</v>
      </c>
      <c r="CU97" s="161" t="n">
        <v>-2297.37133529856</v>
      </c>
      <c r="CV97" s="161" t="n">
        <v>-2297.37133529856</v>
      </c>
      <c r="CW97" s="161" t="n">
        <v>-2297.37133529856</v>
      </c>
      <c r="CX97" s="161" t="n">
        <v>-2343.31876200453</v>
      </c>
      <c r="CY97" s="161" t="n">
        <v>-2343.31876200453</v>
      </c>
      <c r="CZ97" s="161" t="n">
        <v>-2343.31876200453</v>
      </c>
      <c r="DA97" s="161" t="n">
        <v>-2343.31876200453</v>
      </c>
      <c r="DB97" s="161" t="n">
        <v>-2343.31876200453</v>
      </c>
      <c r="DC97" s="161" t="n">
        <v>-2343.31876200453</v>
      </c>
      <c r="DD97" s="161" t="n">
        <v>-2343.31876200453</v>
      </c>
      <c r="DE97" s="161" t="n">
        <v>-2343.31876200453</v>
      </c>
      <c r="DF97" s="161" t="n">
        <v>-2343.31876200453</v>
      </c>
    </row>
    <row r="98" customFormat="false" ht="15" hidden="false" customHeight="true" outlineLevel="0" collapsed="false">
      <c r="A98" s="90" t="s">
        <v>80</v>
      </c>
      <c r="C98" s="104" t="n">
        <v>-4097.78</v>
      </c>
      <c r="D98" s="104" t="n">
        <v>-1950.2</v>
      </c>
      <c r="E98" s="104" t="n">
        <v>-1978.2</v>
      </c>
      <c r="F98" s="160" t="n">
        <v>-2675.39</v>
      </c>
      <c r="G98" s="160" t="n">
        <v>-2675.39</v>
      </c>
      <c r="H98" s="160" t="n">
        <v>-2675.39</v>
      </c>
      <c r="I98" s="160" t="n">
        <v>-2675.39</v>
      </c>
      <c r="J98" s="160" t="n">
        <v>-2675.39</v>
      </c>
      <c r="K98" s="160" t="n">
        <v>-2675.39</v>
      </c>
      <c r="L98" s="160" t="n">
        <v>-2675.39</v>
      </c>
      <c r="M98" s="160" t="n">
        <v>-2675.39</v>
      </c>
      <c r="N98" s="160" t="n">
        <v>-2675.39</v>
      </c>
      <c r="O98" s="160" t="n">
        <v>-2675.39</v>
      </c>
      <c r="P98" s="160" t="n">
        <v>-2675.39</v>
      </c>
      <c r="Q98" s="160" t="n">
        <v>-2675.39</v>
      </c>
      <c r="R98" s="160" t="n">
        <v>-2728.8978</v>
      </c>
      <c r="S98" s="160" t="n">
        <v>-2728.8978</v>
      </c>
      <c r="T98" s="160" t="n">
        <v>-2728.8978</v>
      </c>
      <c r="U98" s="160" t="n">
        <v>-2728.8978</v>
      </c>
      <c r="V98" s="160" t="n">
        <v>-2728.8978</v>
      </c>
      <c r="W98" s="160" t="n">
        <v>-2728.8978</v>
      </c>
      <c r="X98" s="160" t="n">
        <v>-2728.8978</v>
      </c>
      <c r="Y98" s="160" t="n">
        <v>-2728.8978</v>
      </c>
      <c r="Z98" s="160" t="n">
        <v>-2728.8978</v>
      </c>
      <c r="AA98" s="160" t="n">
        <v>-2728.8978</v>
      </c>
      <c r="AB98" s="160" t="n">
        <v>-2728.8978</v>
      </c>
      <c r="AC98" s="160" t="n">
        <v>-2728.8978</v>
      </c>
      <c r="AD98" s="160" t="n">
        <v>-2783.475756</v>
      </c>
      <c r="AE98" s="160" t="n">
        <v>-2783.475756</v>
      </c>
      <c r="AF98" s="160" t="n">
        <v>-2783.475756</v>
      </c>
      <c r="AG98" s="160" t="n">
        <v>-2783.475756</v>
      </c>
      <c r="AH98" s="160" t="n">
        <v>-2783.475756</v>
      </c>
      <c r="AI98" s="160" t="n">
        <v>-2783.475756</v>
      </c>
      <c r="AJ98" s="160" t="n">
        <v>-2783.475756</v>
      </c>
      <c r="AK98" s="160" t="n">
        <v>-2783.475756</v>
      </c>
      <c r="AL98" s="160" t="n">
        <v>-2783.475756</v>
      </c>
      <c r="AM98" s="160" t="n">
        <v>-2783.475756</v>
      </c>
      <c r="AN98" s="160" t="n">
        <v>-2783.475756</v>
      </c>
      <c r="AO98" s="160" t="n">
        <v>-2783.475756</v>
      </c>
      <c r="AP98" s="160" t="n">
        <v>-2839.14527112</v>
      </c>
      <c r="AQ98" s="160" t="n">
        <v>-2839.14527112</v>
      </c>
      <c r="AR98" s="160" t="n">
        <v>-2839.14527112</v>
      </c>
      <c r="AS98" s="160" t="n">
        <v>-2839.14527112</v>
      </c>
      <c r="AT98" s="160" t="n">
        <v>-2839.14527112</v>
      </c>
      <c r="AU98" s="160" t="n">
        <v>-2839.14527112</v>
      </c>
      <c r="AV98" s="160" t="n">
        <v>-2839.14527112</v>
      </c>
      <c r="AW98" s="160" t="n">
        <v>-2839.14527112</v>
      </c>
      <c r="AX98" s="160" t="n">
        <v>-2839.14527112</v>
      </c>
      <c r="AY98" s="160" t="n">
        <v>-2839.14527112</v>
      </c>
      <c r="AZ98" s="160" t="n">
        <v>-2839.14527112</v>
      </c>
      <c r="BA98" s="160" t="n">
        <v>-2839.14527112</v>
      </c>
      <c r="BB98" s="160" t="n">
        <v>-2895.9281765424</v>
      </c>
      <c r="BC98" s="160" t="n">
        <v>-2895.9281765424</v>
      </c>
      <c r="BD98" s="160" t="n">
        <v>-2895.9281765424</v>
      </c>
      <c r="BE98" s="160" t="n">
        <v>-2895.9281765424</v>
      </c>
      <c r="BF98" s="160" t="n">
        <v>-2895.9281765424</v>
      </c>
      <c r="BG98" s="160" t="n">
        <v>-2895.9281765424</v>
      </c>
      <c r="BH98" s="160" t="n">
        <v>-2895.9281765424</v>
      </c>
      <c r="BI98" s="160" t="n">
        <v>-2895.9281765424</v>
      </c>
      <c r="BJ98" s="160" t="n">
        <v>-2895.9281765424</v>
      </c>
      <c r="BK98" s="160" t="n">
        <v>-2895.9281765424</v>
      </c>
      <c r="BL98" s="160" t="n">
        <v>-2895.9281765424</v>
      </c>
      <c r="BM98" s="160" t="n">
        <v>-2895.9281765424</v>
      </c>
      <c r="BN98" s="160" t="n">
        <v>-2953.84674007325</v>
      </c>
      <c r="BO98" s="160" t="n">
        <v>-2953.84674007325</v>
      </c>
      <c r="BP98" s="160" t="n">
        <v>-2953.84674007325</v>
      </c>
      <c r="BQ98" s="160" t="n">
        <v>-2953.84674007325</v>
      </c>
      <c r="BR98" s="160" t="n">
        <v>-2953.84674007325</v>
      </c>
      <c r="BS98" s="160" t="n">
        <v>-2953.84674007325</v>
      </c>
      <c r="BT98" s="160" t="n">
        <v>-2953.84674007325</v>
      </c>
      <c r="BU98" s="160" t="n">
        <v>-2953.84674007325</v>
      </c>
      <c r="BV98" s="160" t="n">
        <v>-2953.84674007325</v>
      </c>
      <c r="BW98" s="160" t="n">
        <v>-2953.84674007325</v>
      </c>
      <c r="BX98" s="160" t="n">
        <v>-2953.84674007325</v>
      </c>
      <c r="BY98" s="160" t="n">
        <v>-2953.84674007325</v>
      </c>
      <c r="BZ98" s="160" t="n">
        <v>-3012.92367487471</v>
      </c>
      <c r="CA98" s="160" t="n">
        <v>-3012.92367487471</v>
      </c>
      <c r="CB98" s="160" t="n">
        <v>-3012.92367487471</v>
      </c>
      <c r="CC98" s="160" t="n">
        <v>-3012.92367487471</v>
      </c>
      <c r="CD98" s="160" t="n">
        <v>-3012.92367487471</v>
      </c>
      <c r="CE98" s="160" t="n">
        <v>-3012.92367487471</v>
      </c>
      <c r="CF98" s="160" t="n">
        <v>-3012.92367487471</v>
      </c>
      <c r="CG98" s="160" t="n">
        <v>-3012.92367487471</v>
      </c>
      <c r="CH98" s="160" t="n">
        <v>-3012.92367487471</v>
      </c>
      <c r="CI98" s="160" t="n">
        <v>-3012.92367487471</v>
      </c>
      <c r="CJ98" s="160" t="n">
        <v>-3012.92367487471</v>
      </c>
      <c r="CK98" s="160" t="n">
        <v>-3012.92367487471</v>
      </c>
      <c r="CL98" s="160" t="n">
        <v>-3073.18214837221</v>
      </c>
      <c r="CM98" s="160" t="n">
        <v>-3073.18214837221</v>
      </c>
      <c r="CN98" s="160" t="n">
        <v>-3073.18214837221</v>
      </c>
      <c r="CO98" s="160" t="n">
        <v>-3073.18214837221</v>
      </c>
      <c r="CP98" s="160" t="n">
        <v>-3073.18214837221</v>
      </c>
      <c r="CQ98" s="160" t="n">
        <v>-3073.18214837221</v>
      </c>
      <c r="CR98" s="160" t="n">
        <v>-3073.18214837221</v>
      </c>
      <c r="CS98" s="160" t="n">
        <v>-3073.18214837221</v>
      </c>
      <c r="CT98" s="160" t="n">
        <v>-3073.18214837221</v>
      </c>
      <c r="CU98" s="160" t="n">
        <v>-3073.18214837221</v>
      </c>
      <c r="CV98" s="160" t="n">
        <v>-3073.18214837221</v>
      </c>
      <c r="CW98" s="160" t="n">
        <v>-3073.18214837221</v>
      </c>
      <c r="CX98" s="160" t="n">
        <v>-3134.64579133965</v>
      </c>
      <c r="CY98" s="160" t="n">
        <v>-3134.64579133965</v>
      </c>
      <c r="CZ98" s="160" t="n">
        <v>-3134.64579133965</v>
      </c>
      <c r="DA98" s="160" t="n">
        <v>-3134.64579133965</v>
      </c>
      <c r="DB98" s="160" t="n">
        <v>-3134.64579133965</v>
      </c>
      <c r="DC98" s="160" t="n">
        <v>-3134.64579133965</v>
      </c>
      <c r="DD98" s="160" t="n">
        <v>-3134.64579133965</v>
      </c>
      <c r="DE98" s="160" t="n">
        <v>-3134.64579133965</v>
      </c>
      <c r="DF98" s="160" t="n">
        <v>-3134.64579133965</v>
      </c>
    </row>
    <row r="99" customFormat="false" ht="15" hidden="false" customHeight="true" outlineLevel="0" collapsed="false">
      <c r="A99" s="90" t="s">
        <v>81</v>
      </c>
      <c r="C99" s="104" t="n">
        <v>-28038</v>
      </c>
      <c r="D99" s="104" t="n">
        <v>-29387.5</v>
      </c>
      <c r="E99" s="104" t="n">
        <v>-28083</v>
      </c>
      <c r="F99" s="160" t="n">
        <v>-8625</v>
      </c>
      <c r="G99" s="160" t="n">
        <v>-8625</v>
      </c>
      <c r="H99" s="160" t="n">
        <v>-8625</v>
      </c>
      <c r="I99" s="160" t="n">
        <v>-8625</v>
      </c>
      <c r="J99" s="160" t="n">
        <v>-8625</v>
      </c>
      <c r="K99" s="160" t="n">
        <v>-8625</v>
      </c>
      <c r="L99" s="160" t="n">
        <v>-8625</v>
      </c>
      <c r="M99" s="160" t="n">
        <v>-8625</v>
      </c>
      <c r="N99" s="160" t="n">
        <v>-8625</v>
      </c>
      <c r="O99" s="160" t="n">
        <v>-8625</v>
      </c>
      <c r="P99" s="160" t="n">
        <v>-8625</v>
      </c>
      <c r="Q99" s="160" t="n">
        <v>-8625</v>
      </c>
      <c r="R99" s="160" t="n">
        <v>-8797.5</v>
      </c>
      <c r="S99" s="160" t="n">
        <v>-8797.5</v>
      </c>
      <c r="T99" s="160" t="n">
        <v>-8797.5</v>
      </c>
      <c r="U99" s="160" t="n">
        <v>-8797.5</v>
      </c>
      <c r="V99" s="160" t="n">
        <v>-8797.5</v>
      </c>
      <c r="W99" s="160" t="n">
        <v>-8797.5</v>
      </c>
      <c r="X99" s="160" t="n">
        <v>-8797.5</v>
      </c>
      <c r="Y99" s="160" t="n">
        <v>-8797.5</v>
      </c>
      <c r="Z99" s="160" t="n">
        <v>-8797.5</v>
      </c>
      <c r="AA99" s="160" t="n">
        <v>-8797.5</v>
      </c>
      <c r="AB99" s="160" t="n">
        <v>-8797.5</v>
      </c>
      <c r="AC99" s="160" t="n">
        <v>-8797.5</v>
      </c>
      <c r="AD99" s="160" t="n">
        <v>-8973.45</v>
      </c>
      <c r="AE99" s="160" t="n">
        <v>-8973.45</v>
      </c>
      <c r="AF99" s="160" t="n">
        <v>-8973.45</v>
      </c>
      <c r="AG99" s="160" t="n">
        <v>-8973.45</v>
      </c>
      <c r="AH99" s="160" t="n">
        <v>-8973.45</v>
      </c>
      <c r="AI99" s="160" t="n">
        <v>-8973.45</v>
      </c>
      <c r="AJ99" s="160" t="n">
        <v>-8973.45</v>
      </c>
      <c r="AK99" s="160" t="n">
        <v>-8973.45</v>
      </c>
      <c r="AL99" s="160" t="n">
        <v>-8973.45</v>
      </c>
      <c r="AM99" s="160" t="n">
        <v>-8973.45</v>
      </c>
      <c r="AN99" s="160" t="n">
        <v>-8973.45</v>
      </c>
      <c r="AO99" s="160" t="n">
        <v>-8973.45</v>
      </c>
      <c r="AP99" s="160" t="n">
        <v>-9152.919</v>
      </c>
      <c r="AQ99" s="160" t="n">
        <v>-9152.919</v>
      </c>
      <c r="AR99" s="160" t="n">
        <v>-9152.919</v>
      </c>
      <c r="AS99" s="160" t="n">
        <v>-9152.919</v>
      </c>
      <c r="AT99" s="160" t="n">
        <v>-9152.919</v>
      </c>
      <c r="AU99" s="160" t="n">
        <v>-9152.919</v>
      </c>
      <c r="AV99" s="160" t="n">
        <v>-9152.919</v>
      </c>
      <c r="AW99" s="160" t="n">
        <v>-9152.919</v>
      </c>
      <c r="AX99" s="160" t="n">
        <v>-9152.919</v>
      </c>
      <c r="AY99" s="160" t="n">
        <v>-9152.919</v>
      </c>
      <c r="AZ99" s="160" t="n">
        <v>-9152.919</v>
      </c>
      <c r="BA99" s="160" t="n">
        <v>-9152.919</v>
      </c>
      <c r="BB99" s="160" t="n">
        <v>-9335.97738</v>
      </c>
      <c r="BC99" s="160" t="n">
        <v>-9335.97738</v>
      </c>
      <c r="BD99" s="160" t="n">
        <v>-9335.97738</v>
      </c>
      <c r="BE99" s="160" t="n">
        <v>-9335.97738</v>
      </c>
      <c r="BF99" s="160" t="n">
        <v>-9335.97738</v>
      </c>
      <c r="BG99" s="160" t="n">
        <v>-9335.97738</v>
      </c>
      <c r="BH99" s="160" t="n">
        <v>-9335.97738</v>
      </c>
      <c r="BI99" s="160" t="n">
        <v>-9335.97738</v>
      </c>
      <c r="BJ99" s="160" t="n">
        <v>-9335.97738</v>
      </c>
      <c r="BK99" s="160" t="n">
        <v>-9335.97738</v>
      </c>
      <c r="BL99" s="160" t="n">
        <v>-9335.97738</v>
      </c>
      <c r="BM99" s="160" t="n">
        <v>-9335.97738</v>
      </c>
      <c r="BN99" s="160" t="n">
        <v>-9522.6969276</v>
      </c>
      <c r="BO99" s="160" t="n">
        <v>-9522.6969276</v>
      </c>
      <c r="BP99" s="160" t="n">
        <v>-9522.6969276</v>
      </c>
      <c r="BQ99" s="160" t="n">
        <v>-9522.6969276</v>
      </c>
      <c r="BR99" s="160" t="n">
        <v>-9522.6969276</v>
      </c>
      <c r="BS99" s="160" t="n">
        <v>-9522.6969276</v>
      </c>
      <c r="BT99" s="160" t="n">
        <v>-9522.6969276</v>
      </c>
      <c r="BU99" s="160" t="n">
        <v>-9522.6969276</v>
      </c>
      <c r="BV99" s="160" t="n">
        <v>-9522.6969276</v>
      </c>
      <c r="BW99" s="160" t="n">
        <v>-9522.6969276</v>
      </c>
      <c r="BX99" s="160" t="n">
        <v>-9522.6969276</v>
      </c>
      <c r="BY99" s="160" t="n">
        <v>-9522.6969276</v>
      </c>
      <c r="BZ99" s="160" t="n">
        <v>-9713.150866152</v>
      </c>
      <c r="CA99" s="160" t="n">
        <v>-9713.150866152</v>
      </c>
      <c r="CB99" s="160" t="n">
        <v>-9713.150866152</v>
      </c>
      <c r="CC99" s="160" t="n">
        <v>-9713.150866152</v>
      </c>
      <c r="CD99" s="160" t="n">
        <v>-9713.150866152</v>
      </c>
      <c r="CE99" s="160" t="n">
        <v>-9713.150866152</v>
      </c>
      <c r="CF99" s="160" t="n">
        <v>-9713.150866152</v>
      </c>
      <c r="CG99" s="160" t="n">
        <v>-9713.150866152</v>
      </c>
      <c r="CH99" s="160" t="n">
        <v>-9713.150866152</v>
      </c>
      <c r="CI99" s="160" t="n">
        <v>-9713.150866152</v>
      </c>
      <c r="CJ99" s="160" t="n">
        <v>-9713.150866152</v>
      </c>
      <c r="CK99" s="160" t="n">
        <v>-9713.150866152</v>
      </c>
      <c r="CL99" s="160" t="n">
        <v>-9907.41388347504</v>
      </c>
      <c r="CM99" s="160" t="n">
        <v>-9907.41388347504</v>
      </c>
      <c r="CN99" s="160" t="n">
        <v>-9907.41388347504</v>
      </c>
      <c r="CO99" s="160" t="n">
        <v>-9907.41388347504</v>
      </c>
      <c r="CP99" s="160" t="n">
        <v>-9907.41388347504</v>
      </c>
      <c r="CQ99" s="160" t="n">
        <v>-9907.41388347504</v>
      </c>
      <c r="CR99" s="160" t="n">
        <v>-9907.41388347504</v>
      </c>
      <c r="CS99" s="160" t="n">
        <v>-9907.41388347504</v>
      </c>
      <c r="CT99" s="160" t="n">
        <v>-9907.41388347504</v>
      </c>
      <c r="CU99" s="160" t="n">
        <v>-9907.41388347504</v>
      </c>
      <c r="CV99" s="160" t="n">
        <v>-9907.41388347504</v>
      </c>
      <c r="CW99" s="160" t="n">
        <v>-9907.41388347504</v>
      </c>
      <c r="CX99" s="160" t="n">
        <v>-10105.5621611445</v>
      </c>
      <c r="CY99" s="160" t="n">
        <v>-10105.5621611445</v>
      </c>
      <c r="CZ99" s="160" t="n">
        <v>-10105.5621611445</v>
      </c>
      <c r="DA99" s="160" t="n">
        <v>-10105.5621611445</v>
      </c>
      <c r="DB99" s="160" t="n">
        <v>-10105.5621611445</v>
      </c>
      <c r="DC99" s="160" t="n">
        <v>-10105.5621611445</v>
      </c>
      <c r="DD99" s="160" t="n">
        <v>-10105.5621611445</v>
      </c>
      <c r="DE99" s="160" t="n">
        <v>-10105.5621611445</v>
      </c>
      <c r="DF99" s="160" t="n">
        <v>-10105.5621611445</v>
      </c>
    </row>
    <row r="100" customFormat="false" ht="15" hidden="false" customHeight="true" outlineLevel="0" collapsed="false">
      <c r="A100" s="99" t="s">
        <v>130</v>
      </c>
      <c r="C100" s="161" t="n">
        <v>-268</v>
      </c>
      <c r="D100" s="161" t="n">
        <v>-2088.75</v>
      </c>
      <c r="E100" s="161" t="n">
        <v>-2401.75</v>
      </c>
      <c r="F100" s="161" t="n">
        <v>-1586.17</v>
      </c>
      <c r="G100" s="161" t="n">
        <v>-1586.17</v>
      </c>
      <c r="H100" s="161" t="n">
        <v>-1586.17</v>
      </c>
      <c r="I100" s="161" t="n">
        <v>-1586.17</v>
      </c>
      <c r="J100" s="161" t="n">
        <v>-1586.17</v>
      </c>
      <c r="K100" s="161" t="n">
        <v>-1586.17</v>
      </c>
      <c r="L100" s="161" t="n">
        <v>-1586.17</v>
      </c>
      <c r="M100" s="161" t="n">
        <v>-1586.17</v>
      </c>
      <c r="N100" s="161" t="n">
        <v>-1586.17</v>
      </c>
      <c r="O100" s="161" t="n">
        <v>-1586.17</v>
      </c>
      <c r="P100" s="161" t="n">
        <v>-1586.17</v>
      </c>
      <c r="Q100" s="161" t="n">
        <v>-1586.17</v>
      </c>
      <c r="R100" s="161" t="n">
        <v>-1617.8934</v>
      </c>
      <c r="S100" s="161" t="n">
        <v>-1617.8934</v>
      </c>
      <c r="T100" s="161" t="n">
        <v>-1617.8934</v>
      </c>
      <c r="U100" s="161" t="n">
        <v>-1617.8934</v>
      </c>
      <c r="V100" s="161" t="n">
        <v>-1617.8934</v>
      </c>
      <c r="W100" s="161" t="n">
        <v>-1617.8934</v>
      </c>
      <c r="X100" s="161" t="n">
        <v>-1617.8934</v>
      </c>
      <c r="Y100" s="161" t="n">
        <v>-1617.8934</v>
      </c>
      <c r="Z100" s="161" t="n">
        <v>-1617.8934</v>
      </c>
      <c r="AA100" s="161" t="n">
        <v>-1617.8934</v>
      </c>
      <c r="AB100" s="161" t="n">
        <v>-1617.8934</v>
      </c>
      <c r="AC100" s="161" t="n">
        <v>-1617.8934</v>
      </c>
      <c r="AD100" s="161" t="n">
        <v>-1650.251268</v>
      </c>
      <c r="AE100" s="161" t="n">
        <v>-1650.251268</v>
      </c>
      <c r="AF100" s="161" t="n">
        <v>-1650.251268</v>
      </c>
      <c r="AG100" s="161" t="n">
        <v>-1650.251268</v>
      </c>
      <c r="AH100" s="161" t="n">
        <v>-1650.251268</v>
      </c>
      <c r="AI100" s="161" t="n">
        <v>-1650.251268</v>
      </c>
      <c r="AJ100" s="161" t="n">
        <v>-1650.251268</v>
      </c>
      <c r="AK100" s="161" t="n">
        <v>-1650.251268</v>
      </c>
      <c r="AL100" s="161" t="n">
        <v>-1650.251268</v>
      </c>
      <c r="AM100" s="161" t="n">
        <v>-1650.251268</v>
      </c>
      <c r="AN100" s="161" t="n">
        <v>-1650.251268</v>
      </c>
      <c r="AO100" s="161" t="n">
        <v>-1650.251268</v>
      </c>
      <c r="AP100" s="161" t="n">
        <v>-1683.25629336</v>
      </c>
      <c r="AQ100" s="161" t="n">
        <v>-1683.25629336</v>
      </c>
      <c r="AR100" s="161" t="n">
        <v>-1683.25629336</v>
      </c>
      <c r="AS100" s="161" t="n">
        <v>-1683.25629336</v>
      </c>
      <c r="AT100" s="161" t="n">
        <v>-1683.25629336</v>
      </c>
      <c r="AU100" s="161" t="n">
        <v>-1683.25629336</v>
      </c>
      <c r="AV100" s="161" t="n">
        <v>-1683.25629336</v>
      </c>
      <c r="AW100" s="161" t="n">
        <v>-1683.25629336</v>
      </c>
      <c r="AX100" s="161" t="n">
        <v>-1683.25629336</v>
      </c>
      <c r="AY100" s="161" t="n">
        <v>-1683.25629336</v>
      </c>
      <c r="AZ100" s="161" t="n">
        <v>-1683.25629336</v>
      </c>
      <c r="BA100" s="161" t="n">
        <v>-1683.25629336</v>
      </c>
      <c r="BB100" s="161" t="n">
        <v>-1716.9214192272</v>
      </c>
      <c r="BC100" s="161" t="n">
        <v>-1716.9214192272</v>
      </c>
      <c r="BD100" s="161" t="n">
        <v>-1716.9214192272</v>
      </c>
      <c r="BE100" s="161" t="n">
        <v>-1716.9214192272</v>
      </c>
      <c r="BF100" s="161" t="n">
        <v>-1716.9214192272</v>
      </c>
      <c r="BG100" s="161" t="n">
        <v>-1716.9214192272</v>
      </c>
      <c r="BH100" s="161" t="n">
        <v>-1716.9214192272</v>
      </c>
      <c r="BI100" s="161" t="n">
        <v>-1716.9214192272</v>
      </c>
      <c r="BJ100" s="161" t="n">
        <v>-1716.9214192272</v>
      </c>
      <c r="BK100" s="161" t="n">
        <v>-1716.9214192272</v>
      </c>
      <c r="BL100" s="161" t="n">
        <v>-1716.9214192272</v>
      </c>
      <c r="BM100" s="161" t="n">
        <v>-1716.9214192272</v>
      </c>
      <c r="BN100" s="161" t="n">
        <v>-1751.25984761174</v>
      </c>
      <c r="BO100" s="161" t="n">
        <v>-1751.25984761174</v>
      </c>
      <c r="BP100" s="161" t="n">
        <v>-1751.25984761174</v>
      </c>
      <c r="BQ100" s="161" t="n">
        <v>-1751.25984761174</v>
      </c>
      <c r="BR100" s="161" t="n">
        <v>-1751.25984761174</v>
      </c>
      <c r="BS100" s="161" t="n">
        <v>-1751.25984761174</v>
      </c>
      <c r="BT100" s="161" t="n">
        <v>-1751.25984761174</v>
      </c>
      <c r="BU100" s="161" t="n">
        <v>-1751.25984761174</v>
      </c>
      <c r="BV100" s="161" t="n">
        <v>-1751.25984761174</v>
      </c>
      <c r="BW100" s="161" t="n">
        <v>-1751.25984761174</v>
      </c>
      <c r="BX100" s="161" t="n">
        <v>-1751.25984761174</v>
      </c>
      <c r="BY100" s="161" t="n">
        <v>-1751.25984761174</v>
      </c>
      <c r="BZ100" s="161" t="n">
        <v>-1786.28504456398</v>
      </c>
      <c r="CA100" s="161" t="n">
        <v>-1786.28504456398</v>
      </c>
      <c r="CB100" s="161" t="n">
        <v>-1786.28504456398</v>
      </c>
      <c r="CC100" s="161" t="n">
        <v>-1786.28504456398</v>
      </c>
      <c r="CD100" s="161" t="n">
        <v>-1786.28504456398</v>
      </c>
      <c r="CE100" s="161" t="n">
        <v>-1786.28504456398</v>
      </c>
      <c r="CF100" s="161" t="n">
        <v>-1786.28504456398</v>
      </c>
      <c r="CG100" s="161" t="n">
        <v>-1786.28504456398</v>
      </c>
      <c r="CH100" s="161" t="n">
        <v>-1786.28504456398</v>
      </c>
      <c r="CI100" s="161" t="n">
        <v>-1786.28504456398</v>
      </c>
      <c r="CJ100" s="161" t="n">
        <v>-1786.28504456398</v>
      </c>
      <c r="CK100" s="161" t="n">
        <v>-1786.28504456398</v>
      </c>
      <c r="CL100" s="161" t="n">
        <v>-1822.01074545526</v>
      </c>
      <c r="CM100" s="161" t="n">
        <v>-1822.01074545526</v>
      </c>
      <c r="CN100" s="161" t="n">
        <v>-1822.01074545526</v>
      </c>
      <c r="CO100" s="161" t="n">
        <v>-1822.01074545526</v>
      </c>
      <c r="CP100" s="161" t="n">
        <v>-1822.01074545526</v>
      </c>
      <c r="CQ100" s="161" t="n">
        <v>-1822.01074545526</v>
      </c>
      <c r="CR100" s="161" t="n">
        <v>-1822.01074545526</v>
      </c>
      <c r="CS100" s="161" t="n">
        <v>-1822.01074545526</v>
      </c>
      <c r="CT100" s="161" t="n">
        <v>-1822.01074545526</v>
      </c>
      <c r="CU100" s="161" t="n">
        <v>-1822.01074545526</v>
      </c>
      <c r="CV100" s="161" t="n">
        <v>-1822.01074545526</v>
      </c>
      <c r="CW100" s="161" t="n">
        <v>-1822.01074545526</v>
      </c>
      <c r="CX100" s="161" t="n">
        <v>-1858.45096036436</v>
      </c>
      <c r="CY100" s="161" t="n">
        <v>-1858.45096036436</v>
      </c>
      <c r="CZ100" s="161" t="n">
        <v>-1858.45096036436</v>
      </c>
      <c r="DA100" s="161" t="n">
        <v>-1858.45096036436</v>
      </c>
      <c r="DB100" s="161" t="n">
        <v>-1858.45096036436</v>
      </c>
      <c r="DC100" s="161" t="n">
        <v>-1858.45096036436</v>
      </c>
      <c r="DD100" s="161" t="n">
        <v>-1858.45096036436</v>
      </c>
      <c r="DE100" s="161" t="n">
        <v>-1858.45096036436</v>
      </c>
      <c r="DF100" s="161" t="n">
        <v>-1858.45096036436</v>
      </c>
    </row>
    <row r="101" customFormat="false" ht="15" hidden="false" customHeight="true" outlineLevel="0" collapsed="false">
      <c r="A101" s="99" t="s">
        <v>131</v>
      </c>
      <c r="C101" s="161" t="n">
        <v>-341.83</v>
      </c>
      <c r="D101" s="161" t="n">
        <v>-728</v>
      </c>
      <c r="E101" s="161" t="n">
        <v>-15256.75</v>
      </c>
      <c r="F101" s="161" t="n">
        <v>-5442.19</v>
      </c>
      <c r="G101" s="161" t="n">
        <v>-5442.19</v>
      </c>
      <c r="H101" s="161" t="n">
        <v>-5442.19</v>
      </c>
      <c r="I101" s="161" t="n">
        <v>-5442.19</v>
      </c>
      <c r="J101" s="161" t="n">
        <v>-5442.19</v>
      </c>
      <c r="K101" s="161" t="n">
        <v>-5442.19</v>
      </c>
      <c r="L101" s="161" t="n">
        <v>-5442.19</v>
      </c>
      <c r="M101" s="161" t="n">
        <v>-5442.19</v>
      </c>
      <c r="N101" s="161" t="n">
        <v>-5442.19</v>
      </c>
      <c r="O101" s="161" t="n">
        <v>-5442.19</v>
      </c>
      <c r="P101" s="161" t="n">
        <v>-5442.19</v>
      </c>
      <c r="Q101" s="161" t="n">
        <v>-5442.19</v>
      </c>
      <c r="R101" s="161" t="n">
        <v>-5551.0338</v>
      </c>
      <c r="S101" s="161" t="n">
        <v>-5551.0338</v>
      </c>
      <c r="T101" s="161" t="n">
        <v>-5551.0338</v>
      </c>
      <c r="U101" s="161" t="n">
        <v>-5551.0338</v>
      </c>
      <c r="V101" s="161" t="n">
        <v>-5551.0338</v>
      </c>
      <c r="W101" s="161" t="n">
        <v>-5551.0338</v>
      </c>
      <c r="X101" s="161" t="n">
        <v>-5551.0338</v>
      </c>
      <c r="Y101" s="161" t="n">
        <v>-5551.0338</v>
      </c>
      <c r="Z101" s="161" t="n">
        <v>-5551.0338</v>
      </c>
      <c r="AA101" s="161" t="n">
        <v>-5551.0338</v>
      </c>
      <c r="AB101" s="161" t="n">
        <v>-5551.0338</v>
      </c>
      <c r="AC101" s="161" t="n">
        <v>-5551.0338</v>
      </c>
      <c r="AD101" s="161" t="n">
        <v>-5662.054476</v>
      </c>
      <c r="AE101" s="161" t="n">
        <v>-5662.054476</v>
      </c>
      <c r="AF101" s="161" t="n">
        <v>-5662.054476</v>
      </c>
      <c r="AG101" s="161" t="n">
        <v>-5662.054476</v>
      </c>
      <c r="AH101" s="161" t="n">
        <v>-5662.054476</v>
      </c>
      <c r="AI101" s="161" t="n">
        <v>-5662.054476</v>
      </c>
      <c r="AJ101" s="161" t="n">
        <v>-5662.054476</v>
      </c>
      <c r="AK101" s="161" t="n">
        <v>-5662.054476</v>
      </c>
      <c r="AL101" s="161" t="n">
        <v>-5662.054476</v>
      </c>
      <c r="AM101" s="161" t="n">
        <v>-5662.054476</v>
      </c>
      <c r="AN101" s="161" t="n">
        <v>-5662.054476</v>
      </c>
      <c r="AO101" s="161" t="n">
        <v>-5662.054476</v>
      </c>
      <c r="AP101" s="161" t="n">
        <v>-5775.29556552</v>
      </c>
      <c r="AQ101" s="161" t="n">
        <v>-5775.29556552</v>
      </c>
      <c r="AR101" s="161" t="n">
        <v>-5775.29556552</v>
      </c>
      <c r="AS101" s="161" t="n">
        <v>-5775.29556552</v>
      </c>
      <c r="AT101" s="161" t="n">
        <v>-5775.29556552</v>
      </c>
      <c r="AU101" s="161" t="n">
        <v>-5775.29556552</v>
      </c>
      <c r="AV101" s="161" t="n">
        <v>-5775.29556552</v>
      </c>
      <c r="AW101" s="161" t="n">
        <v>-5775.29556552</v>
      </c>
      <c r="AX101" s="161" t="n">
        <v>-5775.29556552</v>
      </c>
      <c r="AY101" s="161" t="n">
        <v>-5775.29556552</v>
      </c>
      <c r="AZ101" s="161" t="n">
        <v>-5775.29556552</v>
      </c>
      <c r="BA101" s="161" t="n">
        <v>-5775.29556552</v>
      </c>
      <c r="BB101" s="161" t="n">
        <v>-5890.8014768304</v>
      </c>
      <c r="BC101" s="161" t="n">
        <v>-5890.8014768304</v>
      </c>
      <c r="BD101" s="161" t="n">
        <v>-5890.8014768304</v>
      </c>
      <c r="BE101" s="161" t="n">
        <v>-5890.8014768304</v>
      </c>
      <c r="BF101" s="161" t="n">
        <v>-5890.8014768304</v>
      </c>
      <c r="BG101" s="161" t="n">
        <v>-5890.8014768304</v>
      </c>
      <c r="BH101" s="161" t="n">
        <v>-5890.8014768304</v>
      </c>
      <c r="BI101" s="161" t="n">
        <v>-5890.8014768304</v>
      </c>
      <c r="BJ101" s="161" t="n">
        <v>-5890.8014768304</v>
      </c>
      <c r="BK101" s="161" t="n">
        <v>-5890.8014768304</v>
      </c>
      <c r="BL101" s="161" t="n">
        <v>-5890.8014768304</v>
      </c>
      <c r="BM101" s="161" t="n">
        <v>-5890.8014768304</v>
      </c>
      <c r="BN101" s="161" t="n">
        <v>-6008.61750636701</v>
      </c>
      <c r="BO101" s="161" t="n">
        <v>-6008.61750636701</v>
      </c>
      <c r="BP101" s="161" t="n">
        <v>-6008.61750636701</v>
      </c>
      <c r="BQ101" s="161" t="n">
        <v>-6008.61750636701</v>
      </c>
      <c r="BR101" s="161" t="n">
        <v>-6008.61750636701</v>
      </c>
      <c r="BS101" s="161" t="n">
        <v>-6008.61750636701</v>
      </c>
      <c r="BT101" s="161" t="n">
        <v>-6008.61750636701</v>
      </c>
      <c r="BU101" s="161" t="n">
        <v>-6008.61750636701</v>
      </c>
      <c r="BV101" s="161" t="n">
        <v>-6008.61750636701</v>
      </c>
      <c r="BW101" s="161" t="n">
        <v>-6008.61750636701</v>
      </c>
      <c r="BX101" s="161" t="n">
        <v>-6008.61750636701</v>
      </c>
      <c r="BY101" s="161" t="n">
        <v>-6008.61750636701</v>
      </c>
      <c r="BZ101" s="161" t="n">
        <v>-6128.78985649435</v>
      </c>
      <c r="CA101" s="161" t="n">
        <v>-6128.78985649435</v>
      </c>
      <c r="CB101" s="161" t="n">
        <v>-6128.78985649435</v>
      </c>
      <c r="CC101" s="161" t="n">
        <v>-6128.78985649435</v>
      </c>
      <c r="CD101" s="161" t="n">
        <v>-6128.78985649435</v>
      </c>
      <c r="CE101" s="161" t="n">
        <v>-6128.78985649435</v>
      </c>
      <c r="CF101" s="161" t="n">
        <v>-6128.78985649435</v>
      </c>
      <c r="CG101" s="161" t="n">
        <v>-6128.78985649435</v>
      </c>
      <c r="CH101" s="161" t="n">
        <v>-6128.78985649435</v>
      </c>
      <c r="CI101" s="161" t="n">
        <v>-6128.78985649435</v>
      </c>
      <c r="CJ101" s="161" t="n">
        <v>-6128.78985649435</v>
      </c>
      <c r="CK101" s="161" t="n">
        <v>-6128.78985649435</v>
      </c>
      <c r="CL101" s="161" t="n">
        <v>-6251.36565362424</v>
      </c>
      <c r="CM101" s="161" t="n">
        <v>-6251.36565362424</v>
      </c>
      <c r="CN101" s="161" t="n">
        <v>-6251.36565362424</v>
      </c>
      <c r="CO101" s="161" t="n">
        <v>-6251.36565362424</v>
      </c>
      <c r="CP101" s="161" t="n">
        <v>-6251.36565362424</v>
      </c>
      <c r="CQ101" s="161" t="n">
        <v>-6251.36565362424</v>
      </c>
      <c r="CR101" s="161" t="n">
        <v>-6251.36565362424</v>
      </c>
      <c r="CS101" s="161" t="n">
        <v>-6251.36565362424</v>
      </c>
      <c r="CT101" s="161" t="n">
        <v>-6251.36565362424</v>
      </c>
      <c r="CU101" s="161" t="n">
        <v>-6251.36565362424</v>
      </c>
      <c r="CV101" s="161" t="n">
        <v>-6251.36565362424</v>
      </c>
      <c r="CW101" s="161" t="n">
        <v>-6251.36565362424</v>
      </c>
      <c r="CX101" s="161" t="n">
        <v>-6376.39296669672</v>
      </c>
      <c r="CY101" s="161" t="n">
        <v>-6376.39296669672</v>
      </c>
      <c r="CZ101" s="161" t="n">
        <v>-6376.39296669672</v>
      </c>
      <c r="DA101" s="161" t="n">
        <v>-6376.39296669672</v>
      </c>
      <c r="DB101" s="161" t="n">
        <v>-6376.39296669672</v>
      </c>
      <c r="DC101" s="161" t="n">
        <v>-6376.39296669672</v>
      </c>
      <c r="DD101" s="161" t="n">
        <v>-6376.39296669672</v>
      </c>
      <c r="DE101" s="161" t="n">
        <v>-6376.39296669672</v>
      </c>
      <c r="DF101" s="161" t="n">
        <v>-6376.39296669672</v>
      </c>
    </row>
    <row r="102" customFormat="false" ht="15" hidden="false" customHeight="true" outlineLevel="0" collapsed="false">
      <c r="A102" s="106" t="s">
        <v>132</v>
      </c>
      <c r="C102" s="161" t="n">
        <v>-1905.31</v>
      </c>
      <c r="D102" s="161" t="n">
        <v>-1905.31</v>
      </c>
      <c r="E102" s="161" t="n">
        <v>-1905.31</v>
      </c>
      <c r="F102" s="161" t="n">
        <v>-1905.31</v>
      </c>
      <c r="G102" s="161" t="n">
        <v>-1905.31</v>
      </c>
      <c r="H102" s="161" t="n">
        <v>-1905.31</v>
      </c>
      <c r="I102" s="161" t="n">
        <v>-1905.31</v>
      </c>
      <c r="J102" s="161" t="n">
        <v>-1905.31</v>
      </c>
      <c r="K102" s="161" t="n">
        <v>-1905.31</v>
      </c>
      <c r="L102" s="161" t="n">
        <v>-1905.31</v>
      </c>
      <c r="M102" s="161" t="n">
        <v>-1905.31</v>
      </c>
      <c r="N102" s="161" t="n">
        <v>-1905.31</v>
      </c>
      <c r="O102" s="161" t="n">
        <v>-1905.31</v>
      </c>
      <c r="P102" s="161" t="n">
        <v>-1905.31</v>
      </c>
      <c r="Q102" s="161" t="n">
        <v>-1905.31</v>
      </c>
      <c r="R102" s="161" t="n">
        <v>-1943.4162</v>
      </c>
      <c r="S102" s="161" t="n">
        <v>-1943.4162</v>
      </c>
      <c r="T102" s="161" t="n">
        <v>-1943.4162</v>
      </c>
      <c r="U102" s="161" t="n">
        <v>-1943.4162</v>
      </c>
      <c r="V102" s="161" t="n">
        <v>-1943.4162</v>
      </c>
      <c r="W102" s="161" t="n">
        <v>-1943.4162</v>
      </c>
      <c r="X102" s="161" t="n">
        <v>-1943.4162</v>
      </c>
      <c r="Y102" s="161" t="n">
        <v>-1943.4162</v>
      </c>
      <c r="Z102" s="161" t="n">
        <v>-1943.4162</v>
      </c>
      <c r="AA102" s="161" t="n">
        <v>-1943.4162</v>
      </c>
      <c r="AB102" s="161" t="n">
        <v>-1943.4162</v>
      </c>
      <c r="AC102" s="161" t="n">
        <v>-1943.4162</v>
      </c>
      <c r="AD102" s="161" t="n">
        <v>-1982.284524</v>
      </c>
      <c r="AE102" s="161" t="n">
        <v>-1982.284524</v>
      </c>
      <c r="AF102" s="161" t="n">
        <v>-1982.284524</v>
      </c>
      <c r="AG102" s="161" t="n">
        <v>-1982.284524</v>
      </c>
      <c r="AH102" s="161" t="n">
        <v>-1982.284524</v>
      </c>
      <c r="AI102" s="161" t="n">
        <v>-1982.284524</v>
      </c>
      <c r="AJ102" s="161" t="n">
        <v>-1982.284524</v>
      </c>
      <c r="AK102" s="161" t="n">
        <v>-1982.284524</v>
      </c>
      <c r="AL102" s="161" t="n">
        <v>-1982.284524</v>
      </c>
      <c r="AM102" s="161" t="n">
        <v>-1982.284524</v>
      </c>
      <c r="AN102" s="161" t="n">
        <v>-1982.284524</v>
      </c>
      <c r="AO102" s="161" t="n">
        <v>-1982.284524</v>
      </c>
      <c r="AP102" s="161" t="n">
        <v>-2021.93021448</v>
      </c>
      <c r="AQ102" s="161" t="n">
        <v>-2021.93021448</v>
      </c>
      <c r="AR102" s="161" t="n">
        <v>-2021.93021448</v>
      </c>
      <c r="AS102" s="161" t="n">
        <v>-2021.93021448</v>
      </c>
      <c r="AT102" s="161" t="n">
        <v>-2021.93021448</v>
      </c>
      <c r="AU102" s="161" t="n">
        <v>-2021.93021448</v>
      </c>
      <c r="AV102" s="161" t="n">
        <v>-2021.93021448</v>
      </c>
      <c r="AW102" s="161" t="n">
        <v>-2021.93021448</v>
      </c>
      <c r="AX102" s="161" t="n">
        <v>-2021.93021448</v>
      </c>
      <c r="AY102" s="161" t="n">
        <v>-2021.93021448</v>
      </c>
      <c r="AZ102" s="161" t="n">
        <v>-2021.93021448</v>
      </c>
      <c r="BA102" s="161" t="n">
        <v>-2021.93021448</v>
      </c>
      <c r="BB102" s="161" t="n">
        <v>-2062.3688187696</v>
      </c>
      <c r="BC102" s="161" t="n">
        <v>-2062.3688187696</v>
      </c>
      <c r="BD102" s="161" t="n">
        <v>-2062.3688187696</v>
      </c>
      <c r="BE102" s="161" t="n">
        <v>-2062.3688187696</v>
      </c>
      <c r="BF102" s="161" t="n">
        <v>-2062.3688187696</v>
      </c>
      <c r="BG102" s="161" t="n">
        <v>-2062.3688187696</v>
      </c>
      <c r="BH102" s="161" t="n">
        <v>-2062.3688187696</v>
      </c>
      <c r="BI102" s="161" t="n">
        <v>-2062.3688187696</v>
      </c>
      <c r="BJ102" s="161" t="n">
        <v>-2062.3688187696</v>
      </c>
      <c r="BK102" s="161" t="n">
        <v>-2062.3688187696</v>
      </c>
      <c r="BL102" s="161" t="n">
        <v>-2062.3688187696</v>
      </c>
      <c r="BM102" s="161" t="n">
        <v>-2062.3688187696</v>
      </c>
      <c r="BN102" s="161" t="n">
        <v>-2103.61619514499</v>
      </c>
      <c r="BO102" s="161" t="n">
        <v>-2103.61619514499</v>
      </c>
      <c r="BP102" s="161" t="n">
        <v>-2103.61619514499</v>
      </c>
      <c r="BQ102" s="161" t="n">
        <v>-2103.61619514499</v>
      </c>
      <c r="BR102" s="161" t="n">
        <v>-2103.61619514499</v>
      </c>
      <c r="BS102" s="161" t="n">
        <v>-2103.61619514499</v>
      </c>
      <c r="BT102" s="161" t="n">
        <v>-2103.61619514499</v>
      </c>
      <c r="BU102" s="161" t="n">
        <v>-2103.61619514499</v>
      </c>
      <c r="BV102" s="161" t="n">
        <v>-2103.61619514499</v>
      </c>
      <c r="BW102" s="161" t="n">
        <v>-2103.61619514499</v>
      </c>
      <c r="BX102" s="161" t="n">
        <v>-2103.61619514499</v>
      </c>
      <c r="BY102" s="161" t="n">
        <v>-2103.61619514499</v>
      </c>
      <c r="BZ102" s="161" t="n">
        <v>-2145.68851904789</v>
      </c>
      <c r="CA102" s="161" t="n">
        <v>-2145.68851904789</v>
      </c>
      <c r="CB102" s="161" t="n">
        <v>-2145.68851904789</v>
      </c>
      <c r="CC102" s="161" t="n">
        <v>-2145.68851904789</v>
      </c>
      <c r="CD102" s="161" t="n">
        <v>-2145.68851904789</v>
      </c>
      <c r="CE102" s="161" t="n">
        <v>-2145.68851904789</v>
      </c>
      <c r="CF102" s="161" t="n">
        <v>-2145.68851904789</v>
      </c>
      <c r="CG102" s="161" t="n">
        <v>-2145.68851904789</v>
      </c>
      <c r="CH102" s="161" t="n">
        <v>-2145.68851904789</v>
      </c>
      <c r="CI102" s="161" t="n">
        <v>-2145.68851904789</v>
      </c>
      <c r="CJ102" s="161" t="n">
        <v>-2145.68851904789</v>
      </c>
      <c r="CK102" s="161" t="n">
        <v>-2145.68851904789</v>
      </c>
      <c r="CL102" s="161" t="n">
        <v>-2188.60228942885</v>
      </c>
      <c r="CM102" s="161" t="n">
        <v>-2188.60228942885</v>
      </c>
      <c r="CN102" s="161" t="n">
        <v>-2188.60228942885</v>
      </c>
      <c r="CO102" s="161" t="n">
        <v>-2188.60228942885</v>
      </c>
      <c r="CP102" s="161" t="n">
        <v>-2188.60228942885</v>
      </c>
      <c r="CQ102" s="161" t="n">
        <v>-2188.60228942885</v>
      </c>
      <c r="CR102" s="161" t="n">
        <v>-2188.60228942885</v>
      </c>
      <c r="CS102" s="161" t="n">
        <v>-2188.60228942885</v>
      </c>
      <c r="CT102" s="161" t="n">
        <v>-2188.60228942885</v>
      </c>
      <c r="CU102" s="161" t="n">
        <v>-2188.60228942885</v>
      </c>
      <c r="CV102" s="161" t="n">
        <v>-2188.60228942885</v>
      </c>
      <c r="CW102" s="161" t="n">
        <v>-2188.60228942885</v>
      </c>
      <c r="CX102" s="161" t="n">
        <v>-2232.37433521743</v>
      </c>
      <c r="CY102" s="161" t="n">
        <v>-2232.37433521743</v>
      </c>
      <c r="CZ102" s="161" t="n">
        <v>-2232.37433521743</v>
      </c>
      <c r="DA102" s="161" t="n">
        <v>-2232.37433521743</v>
      </c>
      <c r="DB102" s="161" t="n">
        <v>-2232.37433521743</v>
      </c>
      <c r="DC102" s="161" t="n">
        <v>-2232.37433521743</v>
      </c>
      <c r="DD102" s="161" t="n">
        <v>-2232.37433521743</v>
      </c>
      <c r="DE102" s="161" t="n">
        <v>-2232.37433521743</v>
      </c>
      <c r="DF102" s="161" t="n">
        <v>-2232.37433521743</v>
      </c>
    </row>
    <row r="103" customFormat="false" ht="15" hidden="false" customHeight="true" outlineLevel="0" collapsed="false">
      <c r="A103" s="106" t="s">
        <v>133</v>
      </c>
      <c r="C103" s="161" t="n">
        <v>-2100</v>
      </c>
      <c r="D103" s="161" t="n">
        <v>-2100</v>
      </c>
      <c r="E103" s="161" t="n">
        <v>-2100</v>
      </c>
      <c r="F103" s="161" t="n">
        <v>-2100</v>
      </c>
      <c r="G103" s="161" t="n">
        <v>-2100</v>
      </c>
      <c r="H103" s="161" t="n">
        <v>-2100</v>
      </c>
      <c r="I103" s="161" t="n">
        <v>-2100</v>
      </c>
      <c r="J103" s="161" t="n">
        <v>-2100</v>
      </c>
      <c r="K103" s="161" t="n">
        <v>-2100</v>
      </c>
      <c r="L103" s="161" t="n">
        <v>-2100</v>
      </c>
      <c r="M103" s="161" t="n">
        <v>-2100</v>
      </c>
      <c r="N103" s="161" t="n">
        <v>-2100</v>
      </c>
      <c r="O103" s="161" t="n">
        <v>-2100</v>
      </c>
      <c r="P103" s="161" t="n">
        <v>-2100</v>
      </c>
      <c r="Q103" s="161" t="n">
        <v>-2100</v>
      </c>
      <c r="R103" s="161" t="n">
        <v>-2142</v>
      </c>
      <c r="S103" s="161" t="n">
        <v>-2142</v>
      </c>
      <c r="T103" s="161" t="n">
        <v>-2142</v>
      </c>
      <c r="U103" s="161" t="n">
        <v>-2142</v>
      </c>
      <c r="V103" s="161" t="n">
        <v>-2142</v>
      </c>
      <c r="W103" s="161" t="n">
        <v>-2142</v>
      </c>
      <c r="X103" s="161" t="n">
        <v>-2142</v>
      </c>
      <c r="Y103" s="161" t="n">
        <v>-2142</v>
      </c>
      <c r="Z103" s="161" t="n">
        <v>-2142</v>
      </c>
      <c r="AA103" s="161" t="n">
        <v>-2142</v>
      </c>
      <c r="AB103" s="161" t="n">
        <v>-2142</v>
      </c>
      <c r="AC103" s="161" t="n">
        <v>-2142</v>
      </c>
      <c r="AD103" s="161" t="n">
        <v>-2184.84</v>
      </c>
      <c r="AE103" s="161" t="n">
        <v>-2184.84</v>
      </c>
      <c r="AF103" s="161" t="n">
        <v>-2184.84</v>
      </c>
      <c r="AG103" s="161" t="n">
        <v>-2184.84</v>
      </c>
      <c r="AH103" s="161" t="n">
        <v>-2184.84</v>
      </c>
      <c r="AI103" s="161" t="n">
        <v>-2184.84</v>
      </c>
      <c r="AJ103" s="161" t="n">
        <v>-2184.84</v>
      </c>
      <c r="AK103" s="161" t="n">
        <v>-2184.84</v>
      </c>
      <c r="AL103" s="161" t="n">
        <v>-2184.84</v>
      </c>
      <c r="AM103" s="161" t="n">
        <v>-2184.84</v>
      </c>
      <c r="AN103" s="161" t="n">
        <v>-2184.84</v>
      </c>
      <c r="AO103" s="161" t="n">
        <v>-2184.84</v>
      </c>
      <c r="AP103" s="161" t="n">
        <v>-2228.5368</v>
      </c>
      <c r="AQ103" s="161" t="n">
        <v>-2228.5368</v>
      </c>
      <c r="AR103" s="161" t="n">
        <v>-2228.5368</v>
      </c>
      <c r="AS103" s="161" t="n">
        <v>-2228.5368</v>
      </c>
      <c r="AT103" s="161" t="n">
        <v>-2228.5368</v>
      </c>
      <c r="AU103" s="161" t="n">
        <v>-2228.5368</v>
      </c>
      <c r="AV103" s="161" t="n">
        <v>-2228.5368</v>
      </c>
      <c r="AW103" s="161" t="n">
        <v>-2228.5368</v>
      </c>
      <c r="AX103" s="161" t="n">
        <v>-2228.5368</v>
      </c>
      <c r="AY103" s="161" t="n">
        <v>-2228.5368</v>
      </c>
      <c r="AZ103" s="161" t="n">
        <v>-2228.5368</v>
      </c>
      <c r="BA103" s="161" t="n">
        <v>-2228.5368</v>
      </c>
      <c r="BB103" s="161" t="n">
        <v>-2273.107536</v>
      </c>
      <c r="BC103" s="161" t="n">
        <v>-2273.107536</v>
      </c>
      <c r="BD103" s="161" t="n">
        <v>-2273.107536</v>
      </c>
      <c r="BE103" s="161" t="n">
        <v>-2273.107536</v>
      </c>
      <c r="BF103" s="161" t="n">
        <v>-2273.107536</v>
      </c>
      <c r="BG103" s="161" t="n">
        <v>-2273.107536</v>
      </c>
      <c r="BH103" s="161" t="n">
        <v>-2273.107536</v>
      </c>
      <c r="BI103" s="161" t="n">
        <v>-2273.107536</v>
      </c>
      <c r="BJ103" s="161" t="n">
        <v>-2273.107536</v>
      </c>
      <c r="BK103" s="161" t="n">
        <v>-2273.107536</v>
      </c>
      <c r="BL103" s="161" t="n">
        <v>-2273.107536</v>
      </c>
      <c r="BM103" s="161" t="n">
        <v>-2273.107536</v>
      </c>
      <c r="BN103" s="161" t="n">
        <v>-2318.56968672</v>
      </c>
      <c r="BO103" s="161" t="n">
        <v>-2318.56968672</v>
      </c>
      <c r="BP103" s="161" t="n">
        <v>-2318.56968672</v>
      </c>
      <c r="BQ103" s="161" t="n">
        <v>-2318.56968672</v>
      </c>
      <c r="BR103" s="161" t="n">
        <v>-2318.56968672</v>
      </c>
      <c r="BS103" s="161" t="n">
        <v>-2318.56968672</v>
      </c>
      <c r="BT103" s="161" t="n">
        <v>-2318.56968672</v>
      </c>
      <c r="BU103" s="161" t="n">
        <v>-2318.56968672</v>
      </c>
      <c r="BV103" s="161" t="n">
        <v>-2318.56968672</v>
      </c>
      <c r="BW103" s="161" t="n">
        <v>-2318.56968672</v>
      </c>
      <c r="BX103" s="161" t="n">
        <v>-2318.56968672</v>
      </c>
      <c r="BY103" s="161" t="n">
        <v>-2318.56968672</v>
      </c>
      <c r="BZ103" s="161" t="n">
        <v>-2364.9410804544</v>
      </c>
      <c r="CA103" s="161" t="n">
        <v>-2364.9410804544</v>
      </c>
      <c r="CB103" s="161" t="n">
        <v>-2364.9410804544</v>
      </c>
      <c r="CC103" s="161" t="n">
        <v>-2364.9410804544</v>
      </c>
      <c r="CD103" s="161" t="n">
        <v>-2364.9410804544</v>
      </c>
      <c r="CE103" s="161" t="n">
        <v>-2364.9410804544</v>
      </c>
      <c r="CF103" s="161" t="n">
        <v>-2364.9410804544</v>
      </c>
      <c r="CG103" s="161" t="n">
        <v>-2364.9410804544</v>
      </c>
      <c r="CH103" s="161" t="n">
        <v>-2364.9410804544</v>
      </c>
      <c r="CI103" s="161" t="n">
        <v>-2364.9410804544</v>
      </c>
      <c r="CJ103" s="161" t="n">
        <v>-2364.9410804544</v>
      </c>
      <c r="CK103" s="161" t="n">
        <v>-2364.9410804544</v>
      </c>
      <c r="CL103" s="161" t="n">
        <v>-2412.23990206349</v>
      </c>
      <c r="CM103" s="161" t="n">
        <v>-2412.23990206349</v>
      </c>
      <c r="CN103" s="161" t="n">
        <v>-2412.23990206349</v>
      </c>
      <c r="CO103" s="161" t="n">
        <v>-2412.23990206349</v>
      </c>
      <c r="CP103" s="161" t="n">
        <v>-2412.23990206349</v>
      </c>
      <c r="CQ103" s="161" t="n">
        <v>-2412.23990206349</v>
      </c>
      <c r="CR103" s="161" t="n">
        <v>-2412.23990206349</v>
      </c>
      <c r="CS103" s="161" t="n">
        <v>-2412.23990206349</v>
      </c>
      <c r="CT103" s="161" t="n">
        <v>-2412.23990206349</v>
      </c>
      <c r="CU103" s="161" t="n">
        <v>-2412.23990206349</v>
      </c>
      <c r="CV103" s="161" t="n">
        <v>-2412.23990206349</v>
      </c>
      <c r="CW103" s="161" t="n">
        <v>-2412.23990206349</v>
      </c>
      <c r="CX103" s="161" t="n">
        <v>-2460.48470010476</v>
      </c>
      <c r="CY103" s="161" t="n">
        <v>-2460.48470010476</v>
      </c>
      <c r="CZ103" s="161" t="n">
        <v>-2460.48470010476</v>
      </c>
      <c r="DA103" s="161" t="n">
        <v>-2460.48470010476</v>
      </c>
      <c r="DB103" s="161" t="n">
        <v>-2460.48470010476</v>
      </c>
      <c r="DC103" s="161" t="n">
        <v>-2460.48470010476</v>
      </c>
      <c r="DD103" s="161" t="n">
        <v>-2460.48470010476</v>
      </c>
      <c r="DE103" s="161" t="n">
        <v>-2460.48470010476</v>
      </c>
      <c r="DF103" s="161" t="n">
        <v>-2460.48470010476</v>
      </c>
    </row>
    <row r="104" customFormat="false" ht="15" hidden="false" customHeight="true" outlineLevel="0" collapsed="false">
      <c r="A104" s="106" t="s">
        <v>84</v>
      </c>
      <c r="C104" s="161" t="n">
        <v>-66666.66</v>
      </c>
      <c r="D104" s="161" t="n">
        <v>-66666.66</v>
      </c>
      <c r="E104" s="161" t="n">
        <v>-66666.66</v>
      </c>
      <c r="F104" s="161" t="n">
        <v>-25000</v>
      </c>
      <c r="G104" s="161" t="n">
        <v>-25000</v>
      </c>
      <c r="H104" s="161" t="n">
        <v>-25000</v>
      </c>
      <c r="I104" s="161" t="n">
        <v>-25000</v>
      </c>
      <c r="J104" s="161" t="n">
        <v>-25000</v>
      </c>
      <c r="K104" s="161" t="n">
        <v>-25000</v>
      </c>
      <c r="L104" s="161" t="n">
        <v>-25000</v>
      </c>
      <c r="M104" s="161" t="n">
        <v>-25000</v>
      </c>
      <c r="N104" s="161" t="n">
        <v>-25000</v>
      </c>
      <c r="O104" s="161" t="n">
        <v>-25000</v>
      </c>
      <c r="P104" s="161" t="n">
        <v>-25000</v>
      </c>
      <c r="Q104" s="161" t="n">
        <v>-25000</v>
      </c>
      <c r="R104" s="161" t="n">
        <v>-25500</v>
      </c>
      <c r="S104" s="161" t="n">
        <v>-25500</v>
      </c>
      <c r="T104" s="161" t="n">
        <v>-25500</v>
      </c>
      <c r="U104" s="161" t="n">
        <v>-25500</v>
      </c>
      <c r="V104" s="161" t="n">
        <v>-25500</v>
      </c>
      <c r="W104" s="161" t="n">
        <v>-25500</v>
      </c>
      <c r="X104" s="161" t="n">
        <v>-25500</v>
      </c>
      <c r="Y104" s="161" t="n">
        <v>-25500</v>
      </c>
      <c r="Z104" s="161" t="n">
        <v>-25500</v>
      </c>
      <c r="AA104" s="161" t="n">
        <v>-25500</v>
      </c>
      <c r="AB104" s="161" t="n">
        <v>-25500</v>
      </c>
      <c r="AC104" s="161" t="n">
        <v>-25500</v>
      </c>
      <c r="AD104" s="161" t="n">
        <v>-26010</v>
      </c>
      <c r="AE104" s="161" t="n">
        <v>-26010</v>
      </c>
      <c r="AF104" s="161" t="n">
        <v>-26010</v>
      </c>
      <c r="AG104" s="161" t="n">
        <v>-26010</v>
      </c>
      <c r="AH104" s="161" t="n">
        <v>-26010</v>
      </c>
      <c r="AI104" s="161" t="n">
        <v>-26010</v>
      </c>
      <c r="AJ104" s="161" t="n">
        <v>-26010</v>
      </c>
      <c r="AK104" s="161" t="n">
        <v>-26010</v>
      </c>
      <c r="AL104" s="161" t="n">
        <v>-26010</v>
      </c>
      <c r="AM104" s="161" t="n">
        <v>-26010</v>
      </c>
      <c r="AN104" s="161" t="n">
        <v>-26010</v>
      </c>
      <c r="AO104" s="161" t="n">
        <v>-26010</v>
      </c>
      <c r="AP104" s="161" t="n">
        <v>-26530.2</v>
      </c>
      <c r="AQ104" s="161" t="n">
        <v>-26530.2</v>
      </c>
      <c r="AR104" s="161" t="n">
        <v>-26530.2</v>
      </c>
      <c r="AS104" s="161" t="n">
        <v>-26530.2</v>
      </c>
      <c r="AT104" s="161" t="n">
        <v>-26530.2</v>
      </c>
      <c r="AU104" s="161" t="n">
        <v>-26530.2</v>
      </c>
      <c r="AV104" s="161" t="n">
        <v>-26530.2</v>
      </c>
      <c r="AW104" s="161" t="n">
        <v>-26530.2</v>
      </c>
      <c r="AX104" s="161" t="n">
        <v>-26530.2</v>
      </c>
      <c r="AY104" s="161" t="n">
        <v>-26530.2</v>
      </c>
      <c r="AZ104" s="161" t="n">
        <v>-26530.2</v>
      </c>
      <c r="BA104" s="161" t="n">
        <v>-26530.2</v>
      </c>
      <c r="BB104" s="161" t="n">
        <v>-27060.804</v>
      </c>
      <c r="BC104" s="161" t="n">
        <v>-27060.804</v>
      </c>
      <c r="BD104" s="161" t="n">
        <v>-27060.804</v>
      </c>
      <c r="BE104" s="161" t="n">
        <v>-27060.804</v>
      </c>
      <c r="BF104" s="161" t="n">
        <v>-27060.804</v>
      </c>
      <c r="BG104" s="161" t="n">
        <v>-27060.804</v>
      </c>
      <c r="BH104" s="161" t="n">
        <v>-27060.804</v>
      </c>
      <c r="BI104" s="161" t="n">
        <v>-27060.804</v>
      </c>
      <c r="BJ104" s="161" t="n">
        <v>-27060.804</v>
      </c>
      <c r="BK104" s="161" t="n">
        <v>-27060.804</v>
      </c>
      <c r="BL104" s="161" t="n">
        <v>-27060.804</v>
      </c>
      <c r="BM104" s="161" t="n">
        <v>-27060.804</v>
      </c>
      <c r="BN104" s="161" t="n">
        <v>-27602.02008</v>
      </c>
      <c r="BO104" s="161" t="n">
        <v>-27602.02008</v>
      </c>
      <c r="BP104" s="161" t="n">
        <v>-27602.02008</v>
      </c>
      <c r="BQ104" s="161" t="n">
        <v>-27602.02008</v>
      </c>
      <c r="BR104" s="161" t="n">
        <v>-27602.02008</v>
      </c>
      <c r="BS104" s="161" t="n">
        <v>-27602.02008</v>
      </c>
      <c r="BT104" s="161" t="n">
        <v>-27602.02008</v>
      </c>
      <c r="BU104" s="161" t="n">
        <v>-27602.02008</v>
      </c>
      <c r="BV104" s="161" t="n">
        <v>-27602.02008</v>
      </c>
      <c r="BW104" s="161" t="n">
        <v>-27602.02008</v>
      </c>
      <c r="BX104" s="161" t="n">
        <v>-27602.02008</v>
      </c>
      <c r="BY104" s="161" t="n">
        <v>-27602.02008</v>
      </c>
      <c r="BZ104" s="161" t="n">
        <v>-28154.0604816</v>
      </c>
      <c r="CA104" s="161" t="n">
        <v>-28154.0604816</v>
      </c>
      <c r="CB104" s="161" t="n">
        <v>-28154.0604816</v>
      </c>
      <c r="CC104" s="161" t="n">
        <v>-28154.0604816</v>
      </c>
      <c r="CD104" s="161" t="n">
        <v>-28154.0604816</v>
      </c>
      <c r="CE104" s="161" t="n">
        <v>-28154.0604816</v>
      </c>
      <c r="CF104" s="161" t="n">
        <v>-28154.0604816</v>
      </c>
      <c r="CG104" s="161" t="n">
        <v>-28154.0604816</v>
      </c>
      <c r="CH104" s="161" t="n">
        <v>-28154.0604816</v>
      </c>
      <c r="CI104" s="161" t="n">
        <v>-28154.0604816</v>
      </c>
      <c r="CJ104" s="161" t="n">
        <v>-28154.0604816</v>
      </c>
      <c r="CK104" s="161" t="n">
        <v>-28154.0604816</v>
      </c>
      <c r="CL104" s="161" t="n">
        <v>-28717.141691232</v>
      </c>
      <c r="CM104" s="161" t="n">
        <v>-28717.141691232</v>
      </c>
      <c r="CN104" s="161" t="n">
        <v>-28717.141691232</v>
      </c>
      <c r="CO104" s="161" t="n">
        <v>-28717.141691232</v>
      </c>
      <c r="CP104" s="161" t="n">
        <v>-28717.141691232</v>
      </c>
      <c r="CQ104" s="161" t="n">
        <v>-28717.141691232</v>
      </c>
      <c r="CR104" s="161" t="n">
        <v>-28717.141691232</v>
      </c>
      <c r="CS104" s="161" t="n">
        <v>-28717.141691232</v>
      </c>
      <c r="CT104" s="161" t="n">
        <v>-28717.141691232</v>
      </c>
      <c r="CU104" s="161" t="n">
        <v>-28717.141691232</v>
      </c>
      <c r="CV104" s="161" t="n">
        <v>-28717.141691232</v>
      </c>
      <c r="CW104" s="161" t="n">
        <v>-28717.141691232</v>
      </c>
      <c r="CX104" s="161" t="n">
        <v>-29291.4845250566</v>
      </c>
      <c r="CY104" s="161" t="n">
        <v>-29291.4845250566</v>
      </c>
      <c r="CZ104" s="161" t="n">
        <v>-29291.4845250566</v>
      </c>
      <c r="DA104" s="161" t="n">
        <v>-29291.4845250566</v>
      </c>
      <c r="DB104" s="161" t="n">
        <v>-29291.4845250566</v>
      </c>
      <c r="DC104" s="161" t="n">
        <v>-29291.4845250566</v>
      </c>
      <c r="DD104" s="161" t="n">
        <v>-29291.4845250566</v>
      </c>
      <c r="DE104" s="161" t="n">
        <v>-29291.4845250566</v>
      </c>
      <c r="DF104" s="161" t="n">
        <v>-29291.4845250566</v>
      </c>
    </row>
    <row r="105" customFormat="false" ht="15" hidden="false" customHeight="true" outlineLevel="0" collapsed="false">
      <c r="A105" s="90" t="s">
        <v>92</v>
      </c>
      <c r="C105" s="104" t="n">
        <v>-4731.96</v>
      </c>
      <c r="D105" s="104" t="n">
        <v>-5</v>
      </c>
      <c r="E105" s="104" t="n">
        <v>-5</v>
      </c>
      <c r="F105" s="160" t="n">
        <v>-1580.65</v>
      </c>
      <c r="G105" s="160" t="n">
        <v>-1580.65</v>
      </c>
      <c r="H105" s="160" t="n">
        <v>-1580.65</v>
      </c>
      <c r="I105" s="160" t="n">
        <v>-1580.65</v>
      </c>
      <c r="J105" s="160" t="n">
        <v>-1580.65</v>
      </c>
      <c r="K105" s="160" t="n">
        <v>-1580.65</v>
      </c>
      <c r="L105" s="160" t="n">
        <v>-1580.65</v>
      </c>
      <c r="M105" s="160" t="n">
        <v>-1580.65</v>
      </c>
      <c r="N105" s="160" t="n">
        <v>-1580.65</v>
      </c>
      <c r="O105" s="160" t="n">
        <v>-1580.65</v>
      </c>
      <c r="P105" s="160" t="n">
        <v>-1580.65</v>
      </c>
      <c r="Q105" s="160" t="n">
        <v>-1580.65</v>
      </c>
      <c r="R105" s="160" t="n">
        <v>-1612.263</v>
      </c>
      <c r="S105" s="160" t="n">
        <v>-1612.263</v>
      </c>
      <c r="T105" s="160" t="n">
        <v>-1612.263</v>
      </c>
      <c r="U105" s="160" t="n">
        <v>-1612.263</v>
      </c>
      <c r="V105" s="160" t="n">
        <v>-1612.263</v>
      </c>
      <c r="W105" s="160" t="n">
        <v>-1612.263</v>
      </c>
      <c r="X105" s="160" t="n">
        <v>-1612.263</v>
      </c>
      <c r="Y105" s="160" t="n">
        <v>-1612.263</v>
      </c>
      <c r="Z105" s="160" t="n">
        <v>-1612.263</v>
      </c>
      <c r="AA105" s="160" t="n">
        <v>-1612.263</v>
      </c>
      <c r="AB105" s="160" t="n">
        <v>-1612.263</v>
      </c>
      <c r="AC105" s="160" t="n">
        <v>-1612.263</v>
      </c>
      <c r="AD105" s="160" t="n">
        <v>-1644.50826</v>
      </c>
      <c r="AE105" s="160" t="n">
        <v>-1644.50826</v>
      </c>
      <c r="AF105" s="160" t="n">
        <v>-1644.50826</v>
      </c>
      <c r="AG105" s="160" t="n">
        <v>-1644.50826</v>
      </c>
      <c r="AH105" s="160" t="n">
        <v>-1644.50826</v>
      </c>
      <c r="AI105" s="160" t="n">
        <v>-1644.50826</v>
      </c>
      <c r="AJ105" s="160" t="n">
        <v>-1644.50826</v>
      </c>
      <c r="AK105" s="160" t="n">
        <v>-1644.50826</v>
      </c>
      <c r="AL105" s="160" t="n">
        <v>-1644.50826</v>
      </c>
      <c r="AM105" s="160" t="n">
        <v>-1644.50826</v>
      </c>
      <c r="AN105" s="160" t="n">
        <v>-1644.50826</v>
      </c>
      <c r="AO105" s="160" t="n">
        <v>-1644.50826</v>
      </c>
      <c r="AP105" s="160" t="n">
        <v>-1677.3984252</v>
      </c>
      <c r="AQ105" s="160" t="n">
        <v>-1677.3984252</v>
      </c>
      <c r="AR105" s="160" t="n">
        <v>-1677.3984252</v>
      </c>
      <c r="AS105" s="160" t="n">
        <v>-1677.3984252</v>
      </c>
      <c r="AT105" s="160" t="n">
        <v>-1677.3984252</v>
      </c>
      <c r="AU105" s="160" t="n">
        <v>-1677.3984252</v>
      </c>
      <c r="AV105" s="160" t="n">
        <v>-1677.3984252</v>
      </c>
      <c r="AW105" s="160" t="n">
        <v>-1677.3984252</v>
      </c>
      <c r="AX105" s="160" t="n">
        <v>-1677.3984252</v>
      </c>
      <c r="AY105" s="160" t="n">
        <v>-1677.3984252</v>
      </c>
      <c r="AZ105" s="160" t="n">
        <v>-1677.3984252</v>
      </c>
      <c r="BA105" s="160" t="n">
        <v>-1677.3984252</v>
      </c>
      <c r="BB105" s="160" t="n">
        <v>-1710.946393704</v>
      </c>
      <c r="BC105" s="160" t="n">
        <v>-1710.946393704</v>
      </c>
      <c r="BD105" s="160" t="n">
        <v>-1710.946393704</v>
      </c>
      <c r="BE105" s="160" t="n">
        <v>-1710.946393704</v>
      </c>
      <c r="BF105" s="160" t="n">
        <v>-1710.946393704</v>
      </c>
      <c r="BG105" s="160" t="n">
        <v>-1710.946393704</v>
      </c>
      <c r="BH105" s="160" t="n">
        <v>-1710.946393704</v>
      </c>
      <c r="BI105" s="160" t="n">
        <v>-1710.946393704</v>
      </c>
      <c r="BJ105" s="160" t="n">
        <v>-1710.946393704</v>
      </c>
      <c r="BK105" s="160" t="n">
        <v>-1710.946393704</v>
      </c>
      <c r="BL105" s="160" t="n">
        <v>-1710.946393704</v>
      </c>
      <c r="BM105" s="160" t="n">
        <v>-1710.946393704</v>
      </c>
      <c r="BN105" s="160" t="n">
        <v>-1745.16532157808</v>
      </c>
      <c r="BO105" s="160" t="n">
        <v>-1745.16532157808</v>
      </c>
      <c r="BP105" s="160" t="n">
        <v>-1745.16532157808</v>
      </c>
      <c r="BQ105" s="160" t="n">
        <v>-1745.16532157808</v>
      </c>
      <c r="BR105" s="160" t="n">
        <v>-1745.16532157808</v>
      </c>
      <c r="BS105" s="160" t="n">
        <v>-1745.16532157808</v>
      </c>
      <c r="BT105" s="160" t="n">
        <v>-1745.16532157808</v>
      </c>
      <c r="BU105" s="160" t="n">
        <v>-1745.16532157808</v>
      </c>
      <c r="BV105" s="160" t="n">
        <v>-1745.16532157808</v>
      </c>
      <c r="BW105" s="160" t="n">
        <v>-1745.16532157808</v>
      </c>
      <c r="BX105" s="160" t="n">
        <v>-1745.16532157808</v>
      </c>
      <c r="BY105" s="160" t="n">
        <v>-1745.16532157808</v>
      </c>
      <c r="BZ105" s="160" t="n">
        <v>-1780.06862800964</v>
      </c>
      <c r="CA105" s="160" t="n">
        <v>-1780.06862800964</v>
      </c>
      <c r="CB105" s="160" t="n">
        <v>-1780.06862800964</v>
      </c>
      <c r="CC105" s="160" t="n">
        <v>-1780.06862800964</v>
      </c>
      <c r="CD105" s="160" t="n">
        <v>-1780.06862800964</v>
      </c>
      <c r="CE105" s="160" t="n">
        <v>-1780.06862800964</v>
      </c>
      <c r="CF105" s="160" t="n">
        <v>-1780.06862800964</v>
      </c>
      <c r="CG105" s="160" t="n">
        <v>-1780.06862800964</v>
      </c>
      <c r="CH105" s="160" t="n">
        <v>-1780.06862800964</v>
      </c>
      <c r="CI105" s="160" t="n">
        <v>-1780.06862800964</v>
      </c>
      <c r="CJ105" s="160" t="n">
        <v>-1780.06862800964</v>
      </c>
      <c r="CK105" s="160" t="n">
        <v>-1780.06862800964</v>
      </c>
      <c r="CL105" s="160" t="n">
        <v>-1815.67000056983</v>
      </c>
      <c r="CM105" s="160" t="n">
        <v>-1815.67000056983</v>
      </c>
      <c r="CN105" s="160" t="n">
        <v>-1815.67000056983</v>
      </c>
      <c r="CO105" s="160" t="n">
        <v>-1815.67000056983</v>
      </c>
      <c r="CP105" s="160" t="n">
        <v>-1815.67000056983</v>
      </c>
      <c r="CQ105" s="160" t="n">
        <v>-1815.67000056983</v>
      </c>
      <c r="CR105" s="160" t="n">
        <v>-1815.67000056983</v>
      </c>
      <c r="CS105" s="160" t="n">
        <v>-1815.67000056983</v>
      </c>
      <c r="CT105" s="160" t="n">
        <v>-1815.67000056983</v>
      </c>
      <c r="CU105" s="160" t="n">
        <v>-1815.67000056983</v>
      </c>
      <c r="CV105" s="160" t="n">
        <v>-1815.67000056983</v>
      </c>
      <c r="CW105" s="160" t="n">
        <v>-1815.67000056983</v>
      </c>
      <c r="CX105" s="160" t="n">
        <v>-1851.98340058123</v>
      </c>
      <c r="CY105" s="160" t="n">
        <v>-1851.98340058123</v>
      </c>
      <c r="CZ105" s="160" t="n">
        <v>-1851.98340058123</v>
      </c>
      <c r="DA105" s="160" t="n">
        <v>-1851.98340058123</v>
      </c>
      <c r="DB105" s="160" t="n">
        <v>-1851.98340058123</v>
      </c>
      <c r="DC105" s="160" t="n">
        <v>-1851.98340058123</v>
      </c>
      <c r="DD105" s="160" t="n">
        <v>-1851.98340058123</v>
      </c>
      <c r="DE105" s="160" t="n">
        <v>-1851.98340058123</v>
      </c>
      <c r="DF105" s="160" t="n">
        <v>-1851.98340058123</v>
      </c>
    </row>
    <row r="106" customFormat="false" ht="15" hidden="false" customHeight="true" outlineLevel="0" collapsed="false">
      <c r="A106" s="90" t="s">
        <v>93</v>
      </c>
      <c r="C106" s="104" t="n">
        <v>-658.14</v>
      </c>
      <c r="D106" s="104" t="n">
        <v>-310</v>
      </c>
      <c r="E106" s="104" t="n">
        <v>-371.74</v>
      </c>
      <c r="F106" s="160" t="n">
        <v>-446.63</v>
      </c>
      <c r="G106" s="160" t="n">
        <v>-446.63</v>
      </c>
      <c r="H106" s="160" t="n">
        <v>-446.63</v>
      </c>
      <c r="I106" s="160" t="n">
        <v>-446.63</v>
      </c>
      <c r="J106" s="160" t="n">
        <v>-446.63</v>
      </c>
      <c r="K106" s="160" t="n">
        <v>-446.63</v>
      </c>
      <c r="L106" s="160" t="n">
        <v>-446.63</v>
      </c>
      <c r="M106" s="160" t="n">
        <v>-446.63</v>
      </c>
      <c r="N106" s="160" t="n">
        <v>-446.63</v>
      </c>
      <c r="O106" s="160" t="n">
        <v>-446.63</v>
      </c>
      <c r="P106" s="160" t="n">
        <v>-446.63</v>
      </c>
      <c r="Q106" s="160" t="n">
        <v>-446.63</v>
      </c>
      <c r="R106" s="160" t="n">
        <v>-455.5626</v>
      </c>
      <c r="S106" s="160" t="n">
        <v>-455.5626</v>
      </c>
      <c r="T106" s="160" t="n">
        <v>-455.5626</v>
      </c>
      <c r="U106" s="160" t="n">
        <v>-455.5626</v>
      </c>
      <c r="V106" s="160" t="n">
        <v>-455.5626</v>
      </c>
      <c r="W106" s="160" t="n">
        <v>-455.5626</v>
      </c>
      <c r="X106" s="160" t="n">
        <v>-455.5626</v>
      </c>
      <c r="Y106" s="160" t="n">
        <v>-455.5626</v>
      </c>
      <c r="Z106" s="160" t="n">
        <v>-455.5626</v>
      </c>
      <c r="AA106" s="160" t="n">
        <v>-455.5626</v>
      </c>
      <c r="AB106" s="160" t="n">
        <v>-455.5626</v>
      </c>
      <c r="AC106" s="160" t="n">
        <v>-455.5626</v>
      </c>
      <c r="AD106" s="160" t="n">
        <v>-464.673852</v>
      </c>
      <c r="AE106" s="160" t="n">
        <v>-464.673852</v>
      </c>
      <c r="AF106" s="160" t="n">
        <v>-464.673852</v>
      </c>
      <c r="AG106" s="160" t="n">
        <v>-464.673852</v>
      </c>
      <c r="AH106" s="160" t="n">
        <v>-464.673852</v>
      </c>
      <c r="AI106" s="160" t="n">
        <v>-464.673852</v>
      </c>
      <c r="AJ106" s="160" t="n">
        <v>-464.673852</v>
      </c>
      <c r="AK106" s="160" t="n">
        <v>-464.673852</v>
      </c>
      <c r="AL106" s="160" t="n">
        <v>-464.673852</v>
      </c>
      <c r="AM106" s="160" t="n">
        <v>-464.673852</v>
      </c>
      <c r="AN106" s="160" t="n">
        <v>-464.673852</v>
      </c>
      <c r="AO106" s="160" t="n">
        <v>-464.673852</v>
      </c>
      <c r="AP106" s="160" t="n">
        <v>-473.96732904</v>
      </c>
      <c r="AQ106" s="160" t="n">
        <v>-473.96732904</v>
      </c>
      <c r="AR106" s="160" t="n">
        <v>-473.96732904</v>
      </c>
      <c r="AS106" s="160" t="n">
        <v>-473.96732904</v>
      </c>
      <c r="AT106" s="160" t="n">
        <v>-473.96732904</v>
      </c>
      <c r="AU106" s="160" t="n">
        <v>-473.96732904</v>
      </c>
      <c r="AV106" s="160" t="n">
        <v>-473.96732904</v>
      </c>
      <c r="AW106" s="160" t="n">
        <v>-473.96732904</v>
      </c>
      <c r="AX106" s="160" t="n">
        <v>-473.96732904</v>
      </c>
      <c r="AY106" s="160" t="n">
        <v>-473.96732904</v>
      </c>
      <c r="AZ106" s="160" t="n">
        <v>-473.96732904</v>
      </c>
      <c r="BA106" s="160" t="n">
        <v>-473.96732904</v>
      </c>
      <c r="BB106" s="160" t="n">
        <v>-483.4466756208</v>
      </c>
      <c r="BC106" s="160" t="n">
        <v>-483.4466756208</v>
      </c>
      <c r="BD106" s="160" t="n">
        <v>-483.4466756208</v>
      </c>
      <c r="BE106" s="160" t="n">
        <v>-483.4466756208</v>
      </c>
      <c r="BF106" s="160" t="n">
        <v>-483.4466756208</v>
      </c>
      <c r="BG106" s="160" t="n">
        <v>-483.4466756208</v>
      </c>
      <c r="BH106" s="160" t="n">
        <v>-483.4466756208</v>
      </c>
      <c r="BI106" s="160" t="n">
        <v>-483.4466756208</v>
      </c>
      <c r="BJ106" s="160" t="n">
        <v>-483.4466756208</v>
      </c>
      <c r="BK106" s="160" t="n">
        <v>-483.4466756208</v>
      </c>
      <c r="BL106" s="160" t="n">
        <v>-483.4466756208</v>
      </c>
      <c r="BM106" s="160" t="n">
        <v>-483.4466756208</v>
      </c>
      <c r="BN106" s="160" t="n">
        <v>-493.115609133216</v>
      </c>
      <c r="BO106" s="160" t="n">
        <v>-493.115609133216</v>
      </c>
      <c r="BP106" s="160" t="n">
        <v>-493.115609133216</v>
      </c>
      <c r="BQ106" s="160" t="n">
        <v>-493.115609133216</v>
      </c>
      <c r="BR106" s="160" t="n">
        <v>-493.115609133216</v>
      </c>
      <c r="BS106" s="160" t="n">
        <v>-493.115609133216</v>
      </c>
      <c r="BT106" s="160" t="n">
        <v>-493.115609133216</v>
      </c>
      <c r="BU106" s="160" t="n">
        <v>-493.115609133216</v>
      </c>
      <c r="BV106" s="160" t="n">
        <v>-493.115609133216</v>
      </c>
      <c r="BW106" s="160" t="n">
        <v>-493.115609133216</v>
      </c>
      <c r="BX106" s="160" t="n">
        <v>-493.115609133216</v>
      </c>
      <c r="BY106" s="160" t="n">
        <v>-493.115609133216</v>
      </c>
      <c r="BZ106" s="160" t="n">
        <v>-502.97792131588</v>
      </c>
      <c r="CA106" s="160" t="n">
        <v>-502.97792131588</v>
      </c>
      <c r="CB106" s="160" t="n">
        <v>-502.97792131588</v>
      </c>
      <c r="CC106" s="160" t="n">
        <v>-502.97792131588</v>
      </c>
      <c r="CD106" s="160" t="n">
        <v>-502.97792131588</v>
      </c>
      <c r="CE106" s="160" t="n">
        <v>-502.97792131588</v>
      </c>
      <c r="CF106" s="160" t="n">
        <v>-502.97792131588</v>
      </c>
      <c r="CG106" s="160" t="n">
        <v>-502.97792131588</v>
      </c>
      <c r="CH106" s="160" t="n">
        <v>-502.97792131588</v>
      </c>
      <c r="CI106" s="160" t="n">
        <v>-502.97792131588</v>
      </c>
      <c r="CJ106" s="160" t="n">
        <v>-502.97792131588</v>
      </c>
      <c r="CK106" s="160" t="n">
        <v>-502.97792131588</v>
      </c>
      <c r="CL106" s="160" t="n">
        <v>-513.037479742198</v>
      </c>
      <c r="CM106" s="160" t="n">
        <v>-513.037479742198</v>
      </c>
      <c r="CN106" s="160" t="n">
        <v>-513.037479742198</v>
      </c>
      <c r="CO106" s="160" t="n">
        <v>-513.037479742198</v>
      </c>
      <c r="CP106" s="160" t="n">
        <v>-513.037479742198</v>
      </c>
      <c r="CQ106" s="160" t="n">
        <v>-513.037479742198</v>
      </c>
      <c r="CR106" s="160" t="n">
        <v>-513.037479742198</v>
      </c>
      <c r="CS106" s="160" t="n">
        <v>-513.037479742198</v>
      </c>
      <c r="CT106" s="160" t="n">
        <v>-513.037479742198</v>
      </c>
      <c r="CU106" s="160" t="n">
        <v>-513.037479742198</v>
      </c>
      <c r="CV106" s="160" t="n">
        <v>-513.037479742198</v>
      </c>
      <c r="CW106" s="160" t="n">
        <v>-513.037479742198</v>
      </c>
      <c r="CX106" s="160" t="n">
        <v>-523.298229337042</v>
      </c>
      <c r="CY106" s="160" t="n">
        <v>-523.298229337042</v>
      </c>
      <c r="CZ106" s="160" t="n">
        <v>-523.298229337042</v>
      </c>
      <c r="DA106" s="160" t="n">
        <v>-523.298229337042</v>
      </c>
      <c r="DB106" s="160" t="n">
        <v>-523.298229337042</v>
      </c>
      <c r="DC106" s="160" t="n">
        <v>-523.298229337042</v>
      </c>
      <c r="DD106" s="160" t="n">
        <v>-523.298229337042</v>
      </c>
      <c r="DE106" s="160" t="n">
        <v>-523.298229337042</v>
      </c>
      <c r="DF106" s="160" t="n">
        <v>-523.298229337042</v>
      </c>
    </row>
    <row r="107" customFormat="false" ht="15" hidden="false" customHeight="true" outlineLevel="0" collapsed="false">
      <c r="A107" s="90" t="s">
        <v>134</v>
      </c>
      <c r="C107" s="104" t="n">
        <v>0</v>
      </c>
      <c r="D107" s="104" t="n">
        <v>0</v>
      </c>
      <c r="E107" s="104" t="n">
        <v>0</v>
      </c>
      <c r="F107" s="160" t="n">
        <v>0</v>
      </c>
      <c r="G107" s="160" t="n">
        <v>0</v>
      </c>
      <c r="H107" s="160" t="n">
        <v>0</v>
      </c>
      <c r="I107" s="160" t="n">
        <v>0</v>
      </c>
      <c r="J107" s="160" t="n">
        <v>0</v>
      </c>
      <c r="K107" s="160" t="n">
        <v>0</v>
      </c>
      <c r="L107" s="160" t="n">
        <v>0</v>
      </c>
      <c r="M107" s="160" t="n">
        <v>0</v>
      </c>
      <c r="N107" s="160" t="n">
        <v>0</v>
      </c>
      <c r="O107" s="160" t="n">
        <v>0</v>
      </c>
      <c r="P107" s="160" t="n">
        <v>0</v>
      </c>
      <c r="Q107" s="160" t="n">
        <v>0</v>
      </c>
      <c r="R107" s="160" t="n">
        <v>0</v>
      </c>
      <c r="S107" s="160" t="n">
        <v>0</v>
      </c>
      <c r="T107" s="160" t="n">
        <v>0</v>
      </c>
      <c r="U107" s="160" t="n">
        <v>0</v>
      </c>
      <c r="V107" s="160" t="n">
        <v>0</v>
      </c>
      <c r="W107" s="160" t="n">
        <v>0</v>
      </c>
      <c r="X107" s="160" t="n">
        <v>0</v>
      </c>
      <c r="Y107" s="160" t="n">
        <v>0</v>
      </c>
      <c r="Z107" s="160" t="n">
        <v>0</v>
      </c>
      <c r="AA107" s="160" t="n">
        <v>0</v>
      </c>
      <c r="AB107" s="160" t="n">
        <v>0</v>
      </c>
      <c r="AC107" s="160" t="n">
        <v>0</v>
      </c>
      <c r="AD107" s="160" t="n">
        <v>0</v>
      </c>
      <c r="AE107" s="160" t="n">
        <v>0</v>
      </c>
      <c r="AF107" s="160" t="n">
        <v>0</v>
      </c>
      <c r="AG107" s="160" t="n">
        <v>0</v>
      </c>
      <c r="AH107" s="160" t="n">
        <v>0</v>
      </c>
      <c r="AI107" s="160" t="n">
        <v>0</v>
      </c>
      <c r="AJ107" s="160" t="n">
        <v>0</v>
      </c>
      <c r="AK107" s="160" t="n">
        <v>0</v>
      </c>
      <c r="AL107" s="160" t="n">
        <v>0</v>
      </c>
      <c r="AM107" s="160" t="n">
        <v>0</v>
      </c>
      <c r="AN107" s="160" t="n">
        <v>0</v>
      </c>
      <c r="AO107" s="160" t="n">
        <v>0</v>
      </c>
      <c r="AP107" s="160" t="n">
        <v>0</v>
      </c>
      <c r="AQ107" s="160" t="n">
        <v>0</v>
      </c>
      <c r="AR107" s="160" t="n">
        <v>0</v>
      </c>
      <c r="AS107" s="160" t="n">
        <v>0</v>
      </c>
      <c r="AT107" s="160" t="n">
        <v>0</v>
      </c>
      <c r="AU107" s="160" t="n">
        <v>0</v>
      </c>
      <c r="AV107" s="160" t="n">
        <v>0</v>
      </c>
      <c r="AW107" s="160" t="n">
        <v>0</v>
      </c>
      <c r="AX107" s="160" t="n">
        <v>0</v>
      </c>
      <c r="AY107" s="160" t="n">
        <v>0</v>
      </c>
      <c r="AZ107" s="160" t="n">
        <v>0</v>
      </c>
      <c r="BA107" s="160" t="n">
        <v>0</v>
      </c>
      <c r="BB107" s="160" t="n">
        <v>0</v>
      </c>
      <c r="BC107" s="160" t="n">
        <v>0</v>
      </c>
      <c r="BD107" s="160" t="n">
        <v>0</v>
      </c>
      <c r="BE107" s="160" t="n">
        <v>0</v>
      </c>
      <c r="BF107" s="160" t="n">
        <v>0</v>
      </c>
      <c r="BG107" s="160" t="n">
        <v>0</v>
      </c>
      <c r="BH107" s="160" t="n">
        <v>0</v>
      </c>
      <c r="BI107" s="160" t="n">
        <v>0</v>
      </c>
      <c r="BJ107" s="160" t="n">
        <v>0</v>
      </c>
      <c r="BK107" s="160" t="n">
        <v>0</v>
      </c>
      <c r="BL107" s="160" t="n">
        <v>0</v>
      </c>
      <c r="BM107" s="160" t="n">
        <v>0</v>
      </c>
      <c r="BN107" s="160" t="n">
        <v>0</v>
      </c>
      <c r="BO107" s="160" t="n">
        <v>0</v>
      </c>
      <c r="BP107" s="160" t="n">
        <v>0</v>
      </c>
      <c r="BQ107" s="160" t="n">
        <v>0</v>
      </c>
      <c r="BR107" s="160" t="n">
        <v>0</v>
      </c>
      <c r="BS107" s="160" t="n">
        <v>0</v>
      </c>
      <c r="BT107" s="160" t="n">
        <v>0</v>
      </c>
      <c r="BU107" s="160" t="n">
        <v>0</v>
      </c>
      <c r="BV107" s="160" t="n">
        <v>0</v>
      </c>
      <c r="BW107" s="160" t="n">
        <v>0</v>
      </c>
      <c r="BX107" s="160" t="n">
        <v>0</v>
      </c>
      <c r="BY107" s="160" t="n">
        <v>0</v>
      </c>
      <c r="BZ107" s="160" t="n">
        <v>0</v>
      </c>
      <c r="CA107" s="160" t="n">
        <v>0</v>
      </c>
      <c r="CB107" s="160" t="n">
        <v>0</v>
      </c>
      <c r="CC107" s="160" t="n">
        <v>0</v>
      </c>
      <c r="CD107" s="160" t="n">
        <v>0</v>
      </c>
      <c r="CE107" s="160" t="n">
        <v>0</v>
      </c>
      <c r="CF107" s="160" t="n">
        <v>0</v>
      </c>
      <c r="CG107" s="160" t="n">
        <v>0</v>
      </c>
      <c r="CH107" s="160" t="n">
        <v>0</v>
      </c>
      <c r="CI107" s="160" t="n">
        <v>0</v>
      </c>
      <c r="CJ107" s="160" t="n">
        <v>0</v>
      </c>
      <c r="CK107" s="160" t="n">
        <v>0</v>
      </c>
      <c r="CL107" s="160" t="n">
        <v>0</v>
      </c>
      <c r="CM107" s="160" t="n">
        <v>0</v>
      </c>
      <c r="CN107" s="160" t="n">
        <v>0</v>
      </c>
      <c r="CO107" s="160" t="n">
        <v>0</v>
      </c>
      <c r="CP107" s="160" t="n">
        <v>0</v>
      </c>
      <c r="CQ107" s="160" t="n">
        <v>0</v>
      </c>
      <c r="CR107" s="160" t="n">
        <v>0</v>
      </c>
      <c r="CS107" s="160" t="n">
        <v>0</v>
      </c>
      <c r="CT107" s="160" t="n">
        <v>0</v>
      </c>
      <c r="CU107" s="160" t="n">
        <v>0</v>
      </c>
      <c r="CV107" s="160" t="n">
        <v>0</v>
      </c>
      <c r="CW107" s="160" t="n">
        <v>0</v>
      </c>
      <c r="CX107" s="160" t="n">
        <v>0</v>
      </c>
      <c r="CY107" s="160" t="n">
        <v>0</v>
      </c>
      <c r="CZ107" s="160" t="n">
        <v>0</v>
      </c>
      <c r="DA107" s="160" t="n">
        <v>0</v>
      </c>
      <c r="DB107" s="160" t="n">
        <v>0</v>
      </c>
      <c r="DC107" s="160" t="n">
        <v>0</v>
      </c>
      <c r="DD107" s="160" t="n">
        <v>0</v>
      </c>
      <c r="DE107" s="160" t="n">
        <v>0</v>
      </c>
      <c r="DF107" s="160" t="n">
        <v>0</v>
      </c>
    </row>
    <row r="108" customFormat="false" ht="15" hidden="false" customHeight="true" outlineLevel="0" collapsed="false">
      <c r="A108" s="90" t="s">
        <v>135</v>
      </c>
      <c r="C108" s="104" t="n">
        <v>0</v>
      </c>
      <c r="D108" s="104" t="n">
        <v>0</v>
      </c>
      <c r="E108" s="104" t="n">
        <v>0</v>
      </c>
      <c r="F108" s="160" t="n">
        <v>0</v>
      </c>
      <c r="G108" s="160" t="n">
        <v>0</v>
      </c>
      <c r="H108" s="160" t="n">
        <v>0</v>
      </c>
      <c r="I108" s="160" t="n">
        <v>0</v>
      </c>
      <c r="J108" s="160" t="n">
        <v>0</v>
      </c>
      <c r="K108" s="160" t="n">
        <v>0</v>
      </c>
      <c r="L108" s="160" t="n">
        <v>0</v>
      </c>
      <c r="M108" s="160" t="n">
        <v>0</v>
      </c>
      <c r="N108" s="160" t="n">
        <v>0</v>
      </c>
      <c r="O108" s="160" t="n">
        <v>0</v>
      </c>
      <c r="P108" s="160" t="n">
        <v>0</v>
      </c>
      <c r="Q108" s="160" t="n">
        <v>0</v>
      </c>
      <c r="R108" s="160" t="n">
        <v>0</v>
      </c>
      <c r="S108" s="160" t="n">
        <v>0</v>
      </c>
      <c r="T108" s="160" t="n">
        <v>0</v>
      </c>
      <c r="U108" s="160" t="n">
        <v>0</v>
      </c>
      <c r="V108" s="160" t="n">
        <v>0</v>
      </c>
      <c r="W108" s="160" t="n">
        <v>0</v>
      </c>
      <c r="X108" s="160" t="n">
        <v>0</v>
      </c>
      <c r="Y108" s="160" t="n">
        <v>0</v>
      </c>
      <c r="Z108" s="160" t="n">
        <v>0</v>
      </c>
      <c r="AA108" s="160" t="n">
        <v>0</v>
      </c>
      <c r="AB108" s="160" t="n">
        <v>0</v>
      </c>
      <c r="AC108" s="160" t="n">
        <v>0</v>
      </c>
      <c r="AD108" s="160" t="n">
        <v>0</v>
      </c>
      <c r="AE108" s="160" t="n">
        <v>0</v>
      </c>
      <c r="AF108" s="160" t="n">
        <v>0</v>
      </c>
      <c r="AG108" s="160" t="n">
        <v>0</v>
      </c>
      <c r="AH108" s="160" t="n">
        <v>0</v>
      </c>
      <c r="AI108" s="160" t="n">
        <v>0</v>
      </c>
      <c r="AJ108" s="160" t="n">
        <v>0</v>
      </c>
      <c r="AK108" s="160" t="n">
        <v>0</v>
      </c>
      <c r="AL108" s="160" t="n">
        <v>0</v>
      </c>
      <c r="AM108" s="160" t="n">
        <v>0</v>
      </c>
      <c r="AN108" s="160" t="n">
        <v>0</v>
      </c>
      <c r="AO108" s="160" t="n">
        <v>0</v>
      </c>
      <c r="AP108" s="160" t="n">
        <v>0</v>
      </c>
      <c r="AQ108" s="160" t="n">
        <v>0</v>
      </c>
      <c r="AR108" s="160" t="n">
        <v>0</v>
      </c>
      <c r="AS108" s="160" t="n">
        <v>0</v>
      </c>
      <c r="AT108" s="160" t="n">
        <v>0</v>
      </c>
      <c r="AU108" s="160" t="n">
        <v>0</v>
      </c>
      <c r="AV108" s="160" t="n">
        <v>0</v>
      </c>
      <c r="AW108" s="160" t="n">
        <v>0</v>
      </c>
      <c r="AX108" s="160" t="n">
        <v>0</v>
      </c>
      <c r="AY108" s="160" t="n">
        <v>0</v>
      </c>
      <c r="AZ108" s="160" t="n">
        <v>0</v>
      </c>
      <c r="BA108" s="160" t="n">
        <v>0</v>
      </c>
      <c r="BB108" s="160" t="n">
        <v>0</v>
      </c>
      <c r="BC108" s="160" t="n">
        <v>0</v>
      </c>
      <c r="BD108" s="160" t="n">
        <v>0</v>
      </c>
      <c r="BE108" s="160" t="n">
        <v>0</v>
      </c>
      <c r="BF108" s="160" t="n">
        <v>0</v>
      </c>
      <c r="BG108" s="160" t="n">
        <v>0</v>
      </c>
      <c r="BH108" s="160" t="n">
        <v>0</v>
      </c>
      <c r="BI108" s="160" t="n">
        <v>0</v>
      </c>
      <c r="BJ108" s="160" t="n">
        <v>0</v>
      </c>
      <c r="BK108" s="160" t="n">
        <v>0</v>
      </c>
      <c r="BL108" s="160" t="n">
        <v>0</v>
      </c>
      <c r="BM108" s="160" t="n">
        <v>0</v>
      </c>
      <c r="BN108" s="160" t="n">
        <v>0</v>
      </c>
      <c r="BO108" s="160" t="n">
        <v>0</v>
      </c>
      <c r="BP108" s="160" t="n">
        <v>0</v>
      </c>
      <c r="BQ108" s="160" t="n">
        <v>0</v>
      </c>
      <c r="BR108" s="160" t="n">
        <v>0</v>
      </c>
      <c r="BS108" s="160" t="n">
        <v>0</v>
      </c>
      <c r="BT108" s="160" t="n">
        <v>0</v>
      </c>
      <c r="BU108" s="160" t="n">
        <v>0</v>
      </c>
      <c r="BV108" s="160" t="n">
        <v>0</v>
      </c>
      <c r="BW108" s="160" t="n">
        <v>0</v>
      </c>
      <c r="BX108" s="160" t="n">
        <v>0</v>
      </c>
      <c r="BY108" s="160" t="n">
        <v>0</v>
      </c>
      <c r="BZ108" s="160" t="n">
        <v>0</v>
      </c>
      <c r="CA108" s="160" t="n">
        <v>0</v>
      </c>
      <c r="CB108" s="160" t="n">
        <v>0</v>
      </c>
      <c r="CC108" s="160" t="n">
        <v>0</v>
      </c>
      <c r="CD108" s="160" t="n">
        <v>0</v>
      </c>
      <c r="CE108" s="160" t="n">
        <v>0</v>
      </c>
      <c r="CF108" s="160" t="n">
        <v>0</v>
      </c>
      <c r="CG108" s="160" t="n">
        <v>0</v>
      </c>
      <c r="CH108" s="160" t="n">
        <v>0</v>
      </c>
      <c r="CI108" s="160" t="n">
        <v>0</v>
      </c>
      <c r="CJ108" s="160" t="n">
        <v>0</v>
      </c>
      <c r="CK108" s="160" t="n">
        <v>0</v>
      </c>
      <c r="CL108" s="160" t="n">
        <v>0</v>
      </c>
      <c r="CM108" s="160" t="n">
        <v>0</v>
      </c>
      <c r="CN108" s="160" t="n">
        <v>0</v>
      </c>
      <c r="CO108" s="160" t="n">
        <v>0</v>
      </c>
      <c r="CP108" s="160" t="n">
        <v>0</v>
      </c>
      <c r="CQ108" s="160" t="n">
        <v>0</v>
      </c>
      <c r="CR108" s="160" t="n">
        <v>0</v>
      </c>
      <c r="CS108" s="160" t="n">
        <v>0</v>
      </c>
      <c r="CT108" s="160" t="n">
        <v>0</v>
      </c>
      <c r="CU108" s="160" t="n">
        <v>0</v>
      </c>
      <c r="CV108" s="160" t="n">
        <v>0</v>
      </c>
      <c r="CW108" s="160" t="n">
        <v>0</v>
      </c>
      <c r="CX108" s="160" t="n">
        <v>0</v>
      </c>
      <c r="CY108" s="160" t="n">
        <v>0</v>
      </c>
      <c r="CZ108" s="160" t="n">
        <v>0</v>
      </c>
      <c r="DA108" s="160" t="n">
        <v>0</v>
      </c>
      <c r="DB108" s="160" t="n">
        <v>0</v>
      </c>
      <c r="DC108" s="160" t="n">
        <v>0</v>
      </c>
      <c r="DD108" s="160" t="n">
        <v>0</v>
      </c>
      <c r="DE108" s="160" t="n">
        <v>0</v>
      </c>
      <c r="DF108" s="160" t="n">
        <v>0</v>
      </c>
    </row>
    <row r="109" customFormat="false" ht="15" hidden="false" customHeight="true" outlineLevel="0" collapsed="false">
      <c r="A109" s="90" t="s">
        <v>136</v>
      </c>
      <c r="C109" s="104" t="n">
        <v>0</v>
      </c>
      <c r="D109" s="104" t="n">
        <v>0</v>
      </c>
      <c r="E109" s="104" t="n">
        <v>0</v>
      </c>
      <c r="F109" s="160" t="n">
        <v>0</v>
      </c>
      <c r="G109" s="160" t="n">
        <v>0</v>
      </c>
      <c r="H109" s="160" t="n">
        <v>0</v>
      </c>
      <c r="I109" s="160" t="n">
        <v>0</v>
      </c>
      <c r="J109" s="160" t="n">
        <v>0</v>
      </c>
      <c r="K109" s="160" t="n">
        <v>0</v>
      </c>
      <c r="L109" s="160" t="n">
        <v>0</v>
      </c>
      <c r="M109" s="160" t="n">
        <v>0</v>
      </c>
      <c r="N109" s="160" t="n">
        <v>0</v>
      </c>
      <c r="O109" s="160" t="n">
        <v>0</v>
      </c>
      <c r="P109" s="160" t="n">
        <v>0</v>
      </c>
      <c r="Q109" s="160" t="n">
        <v>0</v>
      </c>
      <c r="R109" s="160" t="n">
        <v>0</v>
      </c>
      <c r="S109" s="160" t="n">
        <v>0</v>
      </c>
      <c r="T109" s="160" t="n">
        <v>0</v>
      </c>
      <c r="U109" s="160" t="n">
        <v>0</v>
      </c>
      <c r="V109" s="160" t="n">
        <v>0</v>
      </c>
      <c r="W109" s="160" t="n">
        <v>0</v>
      </c>
      <c r="X109" s="160" t="n">
        <v>0</v>
      </c>
      <c r="Y109" s="160" t="n">
        <v>0</v>
      </c>
      <c r="Z109" s="160" t="n">
        <v>0</v>
      </c>
      <c r="AA109" s="160" t="n">
        <v>0</v>
      </c>
      <c r="AB109" s="160" t="n">
        <v>0</v>
      </c>
      <c r="AC109" s="160" t="n">
        <v>0</v>
      </c>
      <c r="AD109" s="160" t="n">
        <v>0</v>
      </c>
      <c r="AE109" s="160" t="n">
        <v>0</v>
      </c>
      <c r="AF109" s="160" t="n">
        <v>0</v>
      </c>
      <c r="AG109" s="160" t="n">
        <v>0</v>
      </c>
      <c r="AH109" s="160" t="n">
        <v>0</v>
      </c>
      <c r="AI109" s="160" t="n">
        <v>0</v>
      </c>
      <c r="AJ109" s="160" t="n">
        <v>0</v>
      </c>
      <c r="AK109" s="160" t="n">
        <v>0</v>
      </c>
      <c r="AL109" s="160" t="n">
        <v>0</v>
      </c>
      <c r="AM109" s="160" t="n">
        <v>0</v>
      </c>
      <c r="AN109" s="160" t="n">
        <v>0</v>
      </c>
      <c r="AO109" s="160" t="n">
        <v>0</v>
      </c>
      <c r="AP109" s="160" t="n">
        <v>0</v>
      </c>
      <c r="AQ109" s="160" t="n">
        <v>0</v>
      </c>
      <c r="AR109" s="160" t="n">
        <v>0</v>
      </c>
      <c r="AS109" s="160" t="n">
        <v>0</v>
      </c>
      <c r="AT109" s="160" t="n">
        <v>0</v>
      </c>
      <c r="AU109" s="160" t="n">
        <v>-81683</v>
      </c>
      <c r="AV109" s="160" t="n">
        <v>0</v>
      </c>
      <c r="AW109" s="160" t="n">
        <v>0</v>
      </c>
      <c r="AX109" s="160" t="n">
        <v>-81682</v>
      </c>
      <c r="AY109" s="160" t="n">
        <v>0</v>
      </c>
      <c r="AZ109" s="160" t="n">
        <v>0</v>
      </c>
      <c r="BA109" s="160" t="n">
        <v>-81682</v>
      </c>
      <c r="BB109" s="160" t="n">
        <v>0</v>
      </c>
      <c r="BC109" s="160" t="n">
        <v>0</v>
      </c>
      <c r="BD109" s="160" t="n">
        <v>-81682</v>
      </c>
      <c r="BE109" s="160" t="n">
        <v>0</v>
      </c>
      <c r="BF109" s="160" t="n">
        <v>0</v>
      </c>
      <c r="BG109" s="160" t="n">
        <v>-59178</v>
      </c>
      <c r="BH109" s="160" t="n">
        <v>0</v>
      </c>
      <c r="BI109" s="160" t="n">
        <v>0</v>
      </c>
      <c r="BJ109" s="160" t="n">
        <v>-59176</v>
      </c>
      <c r="BK109" s="160" t="n">
        <v>0</v>
      </c>
      <c r="BL109" s="160" t="n">
        <v>0</v>
      </c>
      <c r="BM109" s="160" t="n">
        <v>-59176</v>
      </c>
      <c r="BN109" s="160" t="n">
        <v>0</v>
      </c>
      <c r="BO109" s="160" t="n">
        <v>0</v>
      </c>
      <c r="BP109" s="160" t="n">
        <v>-59176</v>
      </c>
      <c r="BQ109" s="160" t="n">
        <v>0</v>
      </c>
      <c r="BR109" s="160" t="n">
        <v>0</v>
      </c>
      <c r="BS109" s="160" t="n">
        <v>-16249.48</v>
      </c>
      <c r="BT109" s="160" t="n">
        <v>0</v>
      </c>
      <c r="BU109" s="160" t="n">
        <v>0</v>
      </c>
      <c r="BV109" s="160" t="n">
        <v>0</v>
      </c>
      <c r="BW109" s="160" t="n">
        <v>0</v>
      </c>
      <c r="BX109" s="160" t="n">
        <v>0</v>
      </c>
      <c r="BY109" s="160" t="n">
        <v>0</v>
      </c>
      <c r="BZ109" s="160" t="n">
        <v>0</v>
      </c>
      <c r="CA109" s="160" t="n">
        <v>0</v>
      </c>
      <c r="CB109" s="160" t="n">
        <v>0</v>
      </c>
      <c r="CC109" s="160" t="n">
        <v>0</v>
      </c>
      <c r="CD109" s="160" t="n">
        <v>0</v>
      </c>
      <c r="CE109" s="160" t="n">
        <v>0</v>
      </c>
      <c r="CF109" s="160" t="n">
        <v>0</v>
      </c>
      <c r="CG109" s="160" t="n">
        <v>0</v>
      </c>
      <c r="CH109" s="160" t="n">
        <v>0</v>
      </c>
      <c r="CI109" s="160" t="n">
        <v>0</v>
      </c>
      <c r="CJ109" s="160" t="n">
        <v>0</v>
      </c>
      <c r="CK109" s="160" t="n">
        <v>0</v>
      </c>
      <c r="CL109" s="160" t="n">
        <v>0</v>
      </c>
      <c r="CM109" s="160" t="n">
        <v>0</v>
      </c>
      <c r="CN109" s="160" t="n">
        <v>0</v>
      </c>
      <c r="CO109" s="160" t="n">
        <v>0</v>
      </c>
      <c r="CP109" s="160" t="n">
        <v>0</v>
      </c>
      <c r="CQ109" s="160" t="n">
        <v>0</v>
      </c>
      <c r="CR109" s="160" t="n">
        <v>0</v>
      </c>
      <c r="CS109" s="160" t="n">
        <v>0</v>
      </c>
      <c r="CT109" s="160" t="n">
        <v>0</v>
      </c>
      <c r="CU109" s="160" t="n">
        <v>0</v>
      </c>
      <c r="CV109" s="160" t="n">
        <v>0</v>
      </c>
      <c r="CW109" s="160" t="n">
        <v>0</v>
      </c>
      <c r="CX109" s="160" t="n">
        <v>0</v>
      </c>
      <c r="CY109" s="160" t="n">
        <v>0</v>
      </c>
      <c r="CZ109" s="160" t="n">
        <v>0</v>
      </c>
      <c r="DA109" s="160" t="n">
        <v>0</v>
      </c>
      <c r="DB109" s="160" t="n">
        <v>0</v>
      </c>
      <c r="DC109" s="160" t="n">
        <v>0</v>
      </c>
      <c r="DD109" s="160" t="n">
        <v>0</v>
      </c>
      <c r="DE109" s="160" t="n">
        <v>0</v>
      </c>
      <c r="DF109" s="160" t="n">
        <v>0</v>
      </c>
    </row>
    <row r="110" customFormat="false" ht="15" hidden="false" customHeight="true" outlineLevel="0" collapsed="false">
      <c r="A110" s="90" t="s">
        <v>137</v>
      </c>
      <c r="C110" s="104" t="n">
        <v>0</v>
      </c>
      <c r="D110" s="104" t="n">
        <v>0</v>
      </c>
      <c r="E110" s="104" t="n">
        <v>0</v>
      </c>
      <c r="F110" s="160" t="n">
        <v>0</v>
      </c>
      <c r="G110" s="160" t="n">
        <v>0</v>
      </c>
      <c r="H110" s="160" t="n">
        <v>0</v>
      </c>
      <c r="I110" s="160" t="n">
        <v>0</v>
      </c>
      <c r="J110" s="160" t="n">
        <v>0</v>
      </c>
      <c r="K110" s="160" t="n">
        <v>0</v>
      </c>
      <c r="L110" s="160" t="n">
        <v>0</v>
      </c>
      <c r="M110" s="160" t="n">
        <v>0</v>
      </c>
      <c r="N110" s="160" t="n">
        <v>0</v>
      </c>
      <c r="O110" s="160" t="n">
        <v>0</v>
      </c>
      <c r="P110" s="160" t="n">
        <v>0</v>
      </c>
      <c r="Q110" s="160" t="n">
        <v>0</v>
      </c>
      <c r="R110" s="160" t="n">
        <v>0</v>
      </c>
      <c r="S110" s="160" t="n">
        <v>0</v>
      </c>
      <c r="T110" s="160" t="n">
        <v>0</v>
      </c>
      <c r="U110" s="160" t="n">
        <v>0</v>
      </c>
      <c r="V110" s="160" t="n">
        <v>0</v>
      </c>
      <c r="W110" s="160" t="n">
        <v>0</v>
      </c>
      <c r="X110" s="160" t="n">
        <v>0</v>
      </c>
      <c r="Y110" s="160" t="n">
        <v>0</v>
      </c>
      <c r="Z110" s="160" t="n">
        <v>0</v>
      </c>
      <c r="AA110" s="160" t="n">
        <v>0</v>
      </c>
      <c r="AB110" s="160" t="n">
        <v>0</v>
      </c>
      <c r="AC110" s="160" t="n">
        <v>0</v>
      </c>
      <c r="AD110" s="160" t="n">
        <v>0</v>
      </c>
      <c r="AE110" s="160" t="n">
        <v>0</v>
      </c>
      <c r="AF110" s="160" t="n">
        <v>0</v>
      </c>
      <c r="AG110" s="160" t="n">
        <v>0</v>
      </c>
      <c r="AH110" s="160" t="n">
        <v>0</v>
      </c>
      <c r="AI110" s="160" t="n">
        <v>0</v>
      </c>
      <c r="AJ110" s="160" t="n">
        <v>0</v>
      </c>
      <c r="AK110" s="160" t="n">
        <v>0</v>
      </c>
      <c r="AL110" s="160" t="n">
        <v>0</v>
      </c>
      <c r="AM110" s="160" t="n">
        <v>0</v>
      </c>
      <c r="AN110" s="160" t="n">
        <v>0</v>
      </c>
      <c r="AO110" s="160" t="n">
        <v>0</v>
      </c>
      <c r="AP110" s="160" t="n">
        <v>0</v>
      </c>
      <c r="AQ110" s="160" t="n">
        <v>0</v>
      </c>
      <c r="AR110" s="160" t="n">
        <v>0</v>
      </c>
      <c r="AS110" s="160" t="n">
        <v>0</v>
      </c>
      <c r="AT110" s="160" t="n">
        <v>0</v>
      </c>
      <c r="AU110" s="160" t="n">
        <v>0</v>
      </c>
      <c r="AV110" s="160" t="n">
        <v>0</v>
      </c>
      <c r="AW110" s="160" t="n">
        <v>0</v>
      </c>
      <c r="AX110" s="160" t="n">
        <v>0</v>
      </c>
      <c r="AY110" s="160" t="n">
        <v>0</v>
      </c>
      <c r="AZ110" s="160" t="n">
        <v>0</v>
      </c>
      <c r="BA110" s="160" t="n">
        <v>0</v>
      </c>
      <c r="BB110" s="160" t="n">
        <v>0</v>
      </c>
      <c r="BC110" s="160" t="n">
        <v>0</v>
      </c>
      <c r="BD110" s="160" t="n">
        <v>-851839</v>
      </c>
      <c r="BE110" s="160" t="n">
        <v>0</v>
      </c>
      <c r="BF110" s="160" t="n">
        <v>0</v>
      </c>
      <c r="BG110" s="160" t="n">
        <v>-71700</v>
      </c>
      <c r="BH110" s="160" t="n">
        <v>0</v>
      </c>
      <c r="BI110" s="160" t="n">
        <v>0</v>
      </c>
      <c r="BJ110" s="160" t="n">
        <v>-71700</v>
      </c>
      <c r="BK110" s="160" t="n">
        <v>0</v>
      </c>
      <c r="BL110" s="160" t="n">
        <v>0</v>
      </c>
      <c r="BM110" s="160" t="n">
        <v>-71700</v>
      </c>
      <c r="BN110" s="160" t="n">
        <v>0</v>
      </c>
      <c r="BO110" s="160" t="n">
        <v>0</v>
      </c>
      <c r="BP110" s="160" t="n">
        <v>-71700</v>
      </c>
      <c r="BQ110" s="160" t="n">
        <v>0</v>
      </c>
      <c r="BR110" s="160" t="n">
        <v>0</v>
      </c>
      <c r="BS110" s="160" t="n">
        <v>-74643</v>
      </c>
      <c r="BT110" s="160" t="n">
        <v>0</v>
      </c>
      <c r="BU110" s="160" t="n">
        <v>0</v>
      </c>
      <c r="BV110" s="160" t="n">
        <v>-74640</v>
      </c>
      <c r="BW110" s="160" t="n">
        <v>0</v>
      </c>
      <c r="BX110" s="160" t="n">
        <v>0</v>
      </c>
      <c r="BY110" s="160" t="n">
        <v>-74640</v>
      </c>
      <c r="BZ110" s="160" t="n">
        <v>0</v>
      </c>
      <c r="CA110" s="160" t="n">
        <v>0</v>
      </c>
      <c r="CB110" s="160" t="n">
        <v>-74640</v>
      </c>
      <c r="CC110" s="160" t="n">
        <v>0</v>
      </c>
      <c r="CD110" s="160" t="n">
        <v>0</v>
      </c>
      <c r="CE110" s="160" t="n">
        <v>-81363</v>
      </c>
      <c r="CF110" s="160" t="n">
        <v>0</v>
      </c>
      <c r="CG110" s="160" t="n">
        <v>0</v>
      </c>
      <c r="CH110" s="160" t="n">
        <v>-81362</v>
      </c>
      <c r="CI110" s="160" t="n">
        <v>0</v>
      </c>
      <c r="CJ110" s="160" t="n">
        <v>0</v>
      </c>
      <c r="CK110" s="160" t="n">
        <v>-74753.9733935208</v>
      </c>
      <c r="CL110" s="160" t="n">
        <v>0</v>
      </c>
      <c r="CM110" s="160" t="n">
        <v>0</v>
      </c>
      <c r="CN110" s="160" t="n">
        <v>0</v>
      </c>
      <c r="CO110" s="160" t="n">
        <v>0</v>
      </c>
      <c r="CP110" s="160" t="n">
        <v>0</v>
      </c>
      <c r="CQ110" s="160" t="n">
        <v>0</v>
      </c>
      <c r="CR110" s="160" t="n">
        <v>0</v>
      </c>
      <c r="CS110" s="160" t="n">
        <v>0</v>
      </c>
      <c r="CT110" s="160" t="n">
        <v>0</v>
      </c>
      <c r="CU110" s="160" t="n">
        <v>0</v>
      </c>
      <c r="CV110" s="160" t="n">
        <v>0</v>
      </c>
      <c r="CW110" s="160" t="n">
        <v>0</v>
      </c>
      <c r="CX110" s="160" t="n">
        <v>0</v>
      </c>
      <c r="CY110" s="160" t="n">
        <v>0</v>
      </c>
      <c r="CZ110" s="160" t="n">
        <v>0</v>
      </c>
      <c r="DA110" s="160" t="n">
        <v>0</v>
      </c>
      <c r="DB110" s="160" t="n">
        <v>0</v>
      </c>
      <c r="DC110" s="160" t="n">
        <v>0</v>
      </c>
      <c r="DD110" s="160" t="n">
        <v>0</v>
      </c>
      <c r="DE110" s="160" t="n">
        <v>0</v>
      </c>
      <c r="DF110" s="160" t="n">
        <v>0</v>
      </c>
    </row>
    <row r="111" customFormat="false" ht="15" hidden="false" customHeight="true" outlineLevel="0" collapsed="false">
      <c r="A111" s="90" t="s">
        <v>138</v>
      </c>
      <c r="C111" s="104" t="n">
        <v>0</v>
      </c>
      <c r="D111" s="104" t="n">
        <v>0</v>
      </c>
      <c r="E111" s="104" t="n">
        <v>0</v>
      </c>
      <c r="F111" s="160" t="n">
        <v>0</v>
      </c>
      <c r="G111" s="160" t="n">
        <v>0</v>
      </c>
      <c r="H111" s="160" t="n">
        <v>0</v>
      </c>
      <c r="I111" s="160" t="n">
        <v>0</v>
      </c>
      <c r="J111" s="160" t="n">
        <v>0</v>
      </c>
      <c r="K111" s="160" t="n">
        <v>0</v>
      </c>
      <c r="L111" s="160" t="n">
        <v>0</v>
      </c>
      <c r="M111" s="160" t="n">
        <v>0</v>
      </c>
      <c r="N111" s="160" t="n">
        <v>0</v>
      </c>
      <c r="O111" s="160" t="n">
        <v>0</v>
      </c>
      <c r="P111" s="160" t="n">
        <v>0</v>
      </c>
      <c r="Q111" s="160" t="n">
        <v>0</v>
      </c>
      <c r="R111" s="160" t="n">
        <v>0</v>
      </c>
      <c r="S111" s="160" t="n">
        <v>0</v>
      </c>
      <c r="T111" s="160" t="n">
        <v>0</v>
      </c>
      <c r="U111" s="160" t="n">
        <v>0</v>
      </c>
      <c r="V111" s="160" t="n">
        <v>0</v>
      </c>
      <c r="W111" s="160" t="n">
        <v>0</v>
      </c>
      <c r="X111" s="160" t="n">
        <v>0</v>
      </c>
      <c r="Y111" s="160" t="n">
        <v>0</v>
      </c>
      <c r="Z111" s="160" t="n">
        <v>0</v>
      </c>
      <c r="AA111" s="160" t="n">
        <v>0</v>
      </c>
      <c r="AB111" s="160" t="n">
        <v>0</v>
      </c>
      <c r="AC111" s="160" t="n">
        <v>0</v>
      </c>
      <c r="AD111" s="160" t="n">
        <v>0</v>
      </c>
      <c r="AE111" s="160" t="n">
        <v>0</v>
      </c>
      <c r="AF111" s="160" t="n">
        <v>0</v>
      </c>
      <c r="AG111" s="160" t="n">
        <v>0</v>
      </c>
      <c r="AH111" s="160" t="n">
        <v>0</v>
      </c>
      <c r="AI111" s="160" t="n">
        <v>0</v>
      </c>
      <c r="AJ111" s="160" t="n">
        <v>0</v>
      </c>
      <c r="AK111" s="160" t="n">
        <v>0</v>
      </c>
      <c r="AL111" s="160" t="n">
        <v>0</v>
      </c>
      <c r="AM111" s="160" t="n">
        <v>0</v>
      </c>
      <c r="AN111" s="160" t="n">
        <v>0</v>
      </c>
      <c r="AO111" s="160" t="n">
        <v>0</v>
      </c>
      <c r="AP111" s="160" t="n">
        <v>0</v>
      </c>
      <c r="AQ111" s="160" t="n">
        <v>0</v>
      </c>
      <c r="AR111" s="160" t="n">
        <v>0</v>
      </c>
      <c r="AS111" s="160" t="n">
        <v>0</v>
      </c>
      <c r="AT111" s="160" t="n">
        <v>0</v>
      </c>
      <c r="AU111" s="160" t="n">
        <v>0</v>
      </c>
      <c r="AV111" s="160" t="n">
        <v>0</v>
      </c>
      <c r="AW111" s="160" t="n">
        <v>0</v>
      </c>
      <c r="AX111" s="160" t="n">
        <v>0</v>
      </c>
      <c r="AY111" s="160" t="n">
        <v>0</v>
      </c>
      <c r="AZ111" s="160" t="n">
        <v>0</v>
      </c>
      <c r="BA111" s="160" t="n">
        <v>0</v>
      </c>
      <c r="BB111" s="160" t="n">
        <v>0</v>
      </c>
      <c r="BC111" s="160" t="n">
        <v>0</v>
      </c>
      <c r="BD111" s="160" t="n">
        <v>0</v>
      </c>
      <c r="BE111" s="160" t="n">
        <v>0</v>
      </c>
      <c r="BF111" s="160" t="n">
        <v>0</v>
      </c>
      <c r="BG111" s="160" t="n">
        <v>0</v>
      </c>
      <c r="BH111" s="160" t="n">
        <v>0</v>
      </c>
      <c r="BI111" s="160" t="n">
        <v>0</v>
      </c>
      <c r="BJ111" s="160" t="n">
        <v>0</v>
      </c>
      <c r="BK111" s="160" t="n">
        <v>0</v>
      </c>
      <c r="BL111" s="160" t="n">
        <v>0</v>
      </c>
      <c r="BM111" s="160" t="n">
        <v>0</v>
      </c>
      <c r="BN111" s="160" t="n">
        <v>0</v>
      </c>
      <c r="BO111" s="160" t="n">
        <v>0</v>
      </c>
      <c r="BP111" s="160" t="n">
        <v>0</v>
      </c>
      <c r="BQ111" s="160" t="n">
        <v>0</v>
      </c>
      <c r="BR111" s="160" t="n">
        <v>0</v>
      </c>
      <c r="BS111" s="160" t="n">
        <v>0</v>
      </c>
      <c r="BT111" s="160" t="n">
        <v>0</v>
      </c>
      <c r="BU111" s="160" t="n">
        <v>0</v>
      </c>
      <c r="BV111" s="160" t="n">
        <v>0</v>
      </c>
      <c r="BW111" s="160" t="n">
        <v>0</v>
      </c>
      <c r="BX111" s="160" t="n">
        <v>0</v>
      </c>
      <c r="BY111" s="160" t="n">
        <v>0</v>
      </c>
      <c r="BZ111" s="160" t="n">
        <v>0</v>
      </c>
      <c r="CA111" s="160" t="n">
        <v>0</v>
      </c>
      <c r="CB111" s="160" t="n">
        <v>-73156</v>
      </c>
      <c r="CC111" s="160" t="n">
        <v>0</v>
      </c>
      <c r="CD111" s="160" t="n">
        <v>0</v>
      </c>
      <c r="CE111" s="160" t="n">
        <v>-73155</v>
      </c>
      <c r="CF111" s="160" t="n">
        <v>0</v>
      </c>
      <c r="CG111" s="160" t="n">
        <v>0</v>
      </c>
      <c r="CH111" s="160" t="n">
        <v>-73155</v>
      </c>
      <c r="CI111" s="160" t="n">
        <v>0</v>
      </c>
      <c r="CJ111" s="160" t="n">
        <v>0</v>
      </c>
      <c r="CK111" s="160" t="n">
        <v>-73155</v>
      </c>
      <c r="CL111" s="160" t="n">
        <v>-73155</v>
      </c>
      <c r="CM111" s="160" t="n">
        <v>-73155</v>
      </c>
      <c r="CN111" s="160" t="n">
        <v>-73155</v>
      </c>
      <c r="CO111" s="160" t="n">
        <v>-73155</v>
      </c>
      <c r="CP111" s="160" t="n">
        <v>-73155</v>
      </c>
      <c r="CQ111" s="160" t="n">
        <v>-73155</v>
      </c>
      <c r="CR111" s="160" t="n">
        <v>-73155</v>
      </c>
      <c r="CS111" s="160" t="n">
        <v>-73155</v>
      </c>
      <c r="CT111" s="160" t="n">
        <v>-73155</v>
      </c>
      <c r="CU111" s="160" t="n">
        <v>-73155</v>
      </c>
      <c r="CV111" s="160" t="n">
        <v>-73155</v>
      </c>
      <c r="CW111" s="160" t="n">
        <v>-73155</v>
      </c>
      <c r="CX111" s="160" t="n">
        <v>-17446.8489364072</v>
      </c>
      <c r="CY111" s="160" t="n">
        <v>0</v>
      </c>
      <c r="CZ111" s="160" t="n">
        <v>0</v>
      </c>
      <c r="DA111" s="160" t="n">
        <v>0</v>
      </c>
      <c r="DB111" s="160" t="n">
        <v>0</v>
      </c>
      <c r="DC111" s="160" t="n">
        <v>0</v>
      </c>
      <c r="DD111" s="160" t="n">
        <v>0</v>
      </c>
      <c r="DE111" s="160" t="n">
        <v>0</v>
      </c>
      <c r="DF111" s="160" t="n">
        <v>0</v>
      </c>
    </row>
    <row r="112" customFormat="false" ht="15" hidden="false" customHeight="true" outlineLevel="0" collapsed="false">
      <c r="A112" s="94" t="s">
        <v>139</v>
      </c>
      <c r="C112" s="164" t="n">
        <v>-196623.84</v>
      </c>
      <c r="D112" s="164" t="n">
        <v>-189707.12</v>
      </c>
      <c r="E112" s="164" t="n">
        <v>-242129.22</v>
      </c>
      <c r="F112" s="164" t="n">
        <v>-78090.0916666666</v>
      </c>
      <c r="G112" s="164" t="n">
        <v>-78090.0916666666</v>
      </c>
      <c r="H112" s="164" t="n">
        <v>-78090.0916666666</v>
      </c>
      <c r="I112" s="164" t="n">
        <v>-78090.0916666666</v>
      </c>
      <c r="J112" s="164" t="n">
        <v>-78090.0916666666</v>
      </c>
      <c r="K112" s="164" t="n">
        <v>-78090.0916666666</v>
      </c>
      <c r="L112" s="164" t="n">
        <v>-78090.0916666666</v>
      </c>
      <c r="M112" s="164" t="n">
        <v>-78090.0916666666</v>
      </c>
      <c r="N112" s="164" t="n">
        <v>-78090.0916666666</v>
      </c>
      <c r="O112" s="164" t="n">
        <v>-78090.0916666666</v>
      </c>
      <c r="P112" s="164" t="n">
        <v>-78090.0916666666</v>
      </c>
      <c r="Q112" s="164" t="n">
        <v>-78090.0916666666</v>
      </c>
      <c r="R112" s="164" t="n">
        <v>-79651.8935</v>
      </c>
      <c r="S112" s="164" t="n">
        <v>-79651.8935</v>
      </c>
      <c r="T112" s="164" t="n">
        <v>-79651.8935</v>
      </c>
      <c r="U112" s="164" t="n">
        <v>-79651.8935</v>
      </c>
      <c r="V112" s="164" t="n">
        <v>-79651.8935</v>
      </c>
      <c r="W112" s="164" t="n">
        <v>-79651.8935</v>
      </c>
      <c r="X112" s="164" t="n">
        <v>-79651.8935</v>
      </c>
      <c r="Y112" s="164" t="n">
        <v>-79651.8935</v>
      </c>
      <c r="Z112" s="164" t="n">
        <v>-79651.8935</v>
      </c>
      <c r="AA112" s="164" t="n">
        <v>-79651.8935</v>
      </c>
      <c r="AB112" s="164" t="n">
        <v>-79651.8935</v>
      </c>
      <c r="AC112" s="164" t="n">
        <v>-79651.8935</v>
      </c>
      <c r="AD112" s="164" t="n">
        <v>-81244.93137</v>
      </c>
      <c r="AE112" s="164" t="n">
        <v>-81244.93137</v>
      </c>
      <c r="AF112" s="164" t="n">
        <v>-81244.93137</v>
      </c>
      <c r="AG112" s="164" t="n">
        <v>-81244.93137</v>
      </c>
      <c r="AH112" s="164" t="n">
        <v>-81244.93137</v>
      </c>
      <c r="AI112" s="164" t="n">
        <v>-81244.93137</v>
      </c>
      <c r="AJ112" s="164" t="n">
        <v>-81244.93137</v>
      </c>
      <c r="AK112" s="164" t="n">
        <v>-81244.93137</v>
      </c>
      <c r="AL112" s="164" t="n">
        <v>-81244.93137</v>
      </c>
      <c r="AM112" s="164" t="n">
        <v>-81244.93137</v>
      </c>
      <c r="AN112" s="164" t="n">
        <v>-81244.93137</v>
      </c>
      <c r="AO112" s="164" t="n">
        <v>-81244.93137</v>
      </c>
      <c r="AP112" s="164" t="n">
        <v>-82869.8299974</v>
      </c>
      <c r="AQ112" s="164" t="n">
        <v>-82869.8299974</v>
      </c>
      <c r="AR112" s="164" t="n">
        <v>-82869.8299974</v>
      </c>
      <c r="AS112" s="164" t="n">
        <v>-82869.8299974</v>
      </c>
      <c r="AT112" s="164" t="n">
        <v>-82869.8299974</v>
      </c>
      <c r="AU112" s="164" t="n">
        <v>-164552.8299974</v>
      </c>
      <c r="AV112" s="164" t="n">
        <v>-82869.8299974</v>
      </c>
      <c r="AW112" s="164" t="n">
        <v>-82869.8299974</v>
      </c>
      <c r="AX112" s="164" t="n">
        <v>-164551.8299974</v>
      </c>
      <c r="AY112" s="164" t="n">
        <v>-82869.8299974</v>
      </c>
      <c r="AZ112" s="164" t="n">
        <v>-82869.8299974</v>
      </c>
      <c r="BA112" s="164" t="n">
        <v>-164551.8299974</v>
      </c>
      <c r="BB112" s="164" t="n">
        <v>-84527.226597348</v>
      </c>
      <c r="BC112" s="164" t="n">
        <v>-84527.226597348</v>
      </c>
      <c r="BD112" s="164" t="n">
        <v>-1018048.22659735</v>
      </c>
      <c r="BE112" s="164" t="n">
        <v>-84527.226597348</v>
      </c>
      <c r="BF112" s="164" t="n">
        <v>-84527.226597348</v>
      </c>
      <c r="BG112" s="164" t="n">
        <v>-215405.226597348</v>
      </c>
      <c r="BH112" s="164" t="n">
        <v>-84527.226597348</v>
      </c>
      <c r="BI112" s="164" t="n">
        <v>-84527.226597348</v>
      </c>
      <c r="BJ112" s="164" t="n">
        <v>-215403.226597348</v>
      </c>
      <c r="BK112" s="164" t="n">
        <v>-84527.226597348</v>
      </c>
      <c r="BL112" s="164" t="n">
        <v>-84527.226597348</v>
      </c>
      <c r="BM112" s="164" t="n">
        <v>-215403.226597348</v>
      </c>
      <c r="BN112" s="164" t="n">
        <v>-86217.771129295</v>
      </c>
      <c r="BO112" s="164" t="n">
        <v>-86217.771129295</v>
      </c>
      <c r="BP112" s="164" t="n">
        <v>-217093.771129295</v>
      </c>
      <c r="BQ112" s="164" t="n">
        <v>-86217.771129295</v>
      </c>
      <c r="BR112" s="164" t="n">
        <v>-86217.771129295</v>
      </c>
      <c r="BS112" s="164" t="n">
        <v>-177110.251129295</v>
      </c>
      <c r="BT112" s="164" t="n">
        <v>-86217.771129295</v>
      </c>
      <c r="BU112" s="164" t="n">
        <v>-86217.771129295</v>
      </c>
      <c r="BV112" s="164" t="n">
        <v>-160857.771129295</v>
      </c>
      <c r="BW112" s="164" t="n">
        <v>-86217.771129295</v>
      </c>
      <c r="BX112" s="164" t="n">
        <v>-86217.771129295</v>
      </c>
      <c r="BY112" s="164" t="n">
        <v>-160857.771129295</v>
      </c>
      <c r="BZ112" s="164" t="n">
        <v>-87942.1265518809</v>
      </c>
      <c r="CA112" s="164" t="n">
        <v>-87942.1265518809</v>
      </c>
      <c r="CB112" s="164" t="n">
        <v>-235738.126551881</v>
      </c>
      <c r="CC112" s="164" t="n">
        <v>-87942.1265518809</v>
      </c>
      <c r="CD112" s="164" t="n">
        <v>-87942.1265518809</v>
      </c>
      <c r="CE112" s="164" t="n">
        <v>-242460.126551881</v>
      </c>
      <c r="CF112" s="164" t="n">
        <v>-87942.1265518809</v>
      </c>
      <c r="CG112" s="164" t="n">
        <v>-87942.1265518809</v>
      </c>
      <c r="CH112" s="164" t="n">
        <v>-242459.126551881</v>
      </c>
      <c r="CI112" s="164" t="n">
        <v>-87942.1265518809</v>
      </c>
      <c r="CJ112" s="164" t="n">
        <v>-87942.1265518809</v>
      </c>
      <c r="CK112" s="164" t="n">
        <v>-235851.099945402</v>
      </c>
      <c r="CL112" s="164" t="n">
        <v>-162855.969082918</v>
      </c>
      <c r="CM112" s="164" t="n">
        <v>-162855.969082918</v>
      </c>
      <c r="CN112" s="164" t="n">
        <v>-162855.969082918</v>
      </c>
      <c r="CO112" s="164" t="n">
        <v>-162855.969082918</v>
      </c>
      <c r="CP112" s="164" t="n">
        <v>-162855.969082918</v>
      </c>
      <c r="CQ112" s="164" t="n">
        <v>-162855.969082918</v>
      </c>
      <c r="CR112" s="164" t="n">
        <v>-162855.969082918</v>
      </c>
      <c r="CS112" s="164" t="n">
        <v>-162855.969082918</v>
      </c>
      <c r="CT112" s="164" t="n">
        <v>-162855.969082918</v>
      </c>
      <c r="CU112" s="164" t="n">
        <v>-160947.475708022</v>
      </c>
      <c r="CV112" s="164" t="n">
        <v>-160947.475708022</v>
      </c>
      <c r="CW112" s="164" t="n">
        <v>-160947.475708022</v>
      </c>
      <c r="CX112" s="164" t="n">
        <v>-106995.17415859</v>
      </c>
      <c r="CY112" s="164" t="n">
        <v>-89548.3252221824</v>
      </c>
      <c r="CZ112" s="164" t="n">
        <v>-89548.3252221824</v>
      </c>
      <c r="DA112" s="164" t="n">
        <v>-89548.3252221824</v>
      </c>
      <c r="DB112" s="164" t="n">
        <v>-89548.3252221824</v>
      </c>
      <c r="DC112" s="164" t="n">
        <v>-89548.3252221824</v>
      </c>
      <c r="DD112" s="164" t="n">
        <v>-89548.3252221824</v>
      </c>
      <c r="DE112" s="164" t="n">
        <v>-89548.3252221824</v>
      </c>
      <c r="DF112" s="164" t="n">
        <v>-89548.3252221824</v>
      </c>
    </row>
    <row r="113" customFormat="false" ht="15" hidden="false" customHeight="true" outlineLevel="0" collapsed="false">
      <c r="A113" s="9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94" t="s">
        <v>140</v>
      </c>
      <c r="C114" s="164" t="n">
        <v>-162509.26</v>
      </c>
      <c r="D114" s="164" t="n">
        <v>-155592.54</v>
      </c>
      <c r="E114" s="164" t="n">
        <v>-208014.64</v>
      </c>
      <c r="F114" s="164" t="n">
        <v>-34475.5116666666</v>
      </c>
      <c r="G114" s="164" t="n">
        <v>-34475.5116666666</v>
      </c>
      <c r="H114" s="164" t="n">
        <v>-34475.5116666666</v>
      </c>
      <c r="I114" s="164" t="n">
        <v>-34475.5116666666</v>
      </c>
      <c r="J114" s="164" t="n">
        <v>-34475.5116666666</v>
      </c>
      <c r="K114" s="164" t="n">
        <v>-35308.8416666666</v>
      </c>
      <c r="L114" s="164" t="n">
        <v>-35308.8416666666</v>
      </c>
      <c r="M114" s="164" t="n">
        <v>-44683.8416666666</v>
      </c>
      <c r="N114" s="164" t="n">
        <v>-44683.8416666666</v>
      </c>
      <c r="O114" s="164" t="n">
        <v>-44683.8416666666</v>
      </c>
      <c r="P114" s="164" t="n">
        <v>-44683.8416666666</v>
      </c>
      <c r="Q114" s="164" t="n">
        <v>-44683.8416666666</v>
      </c>
      <c r="R114" s="164" t="n">
        <v>-46245.6435</v>
      </c>
      <c r="S114" s="164" t="n">
        <v>-46245.6435</v>
      </c>
      <c r="T114" s="164" t="n">
        <v>-46245.6435</v>
      </c>
      <c r="U114" s="164" t="n">
        <v>-70151.8935</v>
      </c>
      <c r="V114" s="164" t="n">
        <v>-70151.8935</v>
      </c>
      <c r="W114" s="164" t="n">
        <v>-70151.8935</v>
      </c>
      <c r="X114" s="164" t="n">
        <v>-70151.8935</v>
      </c>
      <c r="Y114" s="164" t="n">
        <v>-70151.8935</v>
      </c>
      <c r="Z114" s="164" t="n">
        <v>-12776.8935</v>
      </c>
      <c r="AA114" s="164" t="n">
        <v>-70151.8935</v>
      </c>
      <c r="AB114" s="164" t="n">
        <v>-70151.8935</v>
      </c>
      <c r="AC114" s="164" t="n">
        <v>-12776.8935</v>
      </c>
      <c r="AD114" s="164" t="n">
        <v>-71744.93137</v>
      </c>
      <c r="AE114" s="164" t="n">
        <v>-71744.93137</v>
      </c>
      <c r="AF114" s="164" t="n">
        <v>-14369.93137</v>
      </c>
      <c r="AG114" s="164" t="n">
        <v>-71744.93137</v>
      </c>
      <c r="AH114" s="164" t="n">
        <v>-71744.93137</v>
      </c>
      <c r="AI114" s="164" t="n">
        <v>-71744.93137</v>
      </c>
      <c r="AJ114" s="164" t="n">
        <v>-81244.93137</v>
      </c>
      <c r="AK114" s="164" t="n">
        <v>-81244.93137</v>
      </c>
      <c r="AL114" s="164" t="n">
        <v>-81244.93137</v>
      </c>
      <c r="AM114" s="164" t="n">
        <v>-81244.93137</v>
      </c>
      <c r="AN114" s="164" t="n">
        <v>-81244.93137</v>
      </c>
      <c r="AO114" s="164" t="n">
        <v>-81244.93137</v>
      </c>
      <c r="AP114" s="164" t="n">
        <v>-82869.8299974</v>
      </c>
      <c r="AQ114" s="164" t="n">
        <v>-82869.8299974</v>
      </c>
      <c r="AR114" s="164" t="n">
        <v>-82869.8299974</v>
      </c>
      <c r="AS114" s="164" t="n">
        <v>-82869.8299974</v>
      </c>
      <c r="AT114" s="164" t="n">
        <v>-82869.8299974</v>
      </c>
      <c r="AU114" s="164" t="n">
        <v>-82869.8299974</v>
      </c>
      <c r="AV114" s="164" t="n">
        <v>-82869.8299974</v>
      </c>
      <c r="AW114" s="164" t="n">
        <v>-82869.8299974</v>
      </c>
      <c r="AX114" s="164" t="n">
        <v>-82869.8299974</v>
      </c>
      <c r="AY114" s="164" t="n">
        <v>-82869.8299974</v>
      </c>
      <c r="AZ114" s="164" t="n">
        <v>-82869.8299974</v>
      </c>
      <c r="BA114" s="164" t="n">
        <v>-82869.8299974</v>
      </c>
      <c r="BB114" s="164" t="n">
        <v>-84527.226597348</v>
      </c>
      <c r="BC114" s="164" t="n">
        <v>-84527.226597348</v>
      </c>
      <c r="BD114" s="164" t="n">
        <v>-84527.226597348</v>
      </c>
      <c r="BE114" s="164" t="n">
        <v>-84527.226597348</v>
      </c>
      <c r="BF114" s="164" t="n">
        <v>-84527.226597348</v>
      </c>
      <c r="BG114" s="164" t="n">
        <v>-84527.226597348</v>
      </c>
      <c r="BH114" s="164" t="n">
        <v>-84527.226597348</v>
      </c>
      <c r="BI114" s="164" t="n">
        <v>-84527.226597348</v>
      </c>
      <c r="BJ114" s="164" t="n">
        <v>-84527.226597348</v>
      </c>
      <c r="BK114" s="164" t="n">
        <v>-84527.226597348</v>
      </c>
      <c r="BL114" s="164" t="n">
        <v>-84527.226597348</v>
      </c>
      <c r="BM114" s="164" t="n">
        <v>-84527.226597348</v>
      </c>
      <c r="BN114" s="164" t="n">
        <v>-86217.771129295</v>
      </c>
      <c r="BO114" s="164" t="n">
        <v>-86217.771129295</v>
      </c>
      <c r="BP114" s="164" t="n">
        <v>-86217.771129295</v>
      </c>
      <c r="BQ114" s="164" t="n">
        <v>-86217.771129295</v>
      </c>
      <c r="BR114" s="164" t="n">
        <v>-86217.771129295</v>
      </c>
      <c r="BS114" s="164" t="n">
        <v>-34704.251129295</v>
      </c>
      <c r="BT114" s="164" t="n">
        <v>-86217.771129295</v>
      </c>
      <c r="BU114" s="164" t="n">
        <v>-86217.771129295</v>
      </c>
      <c r="BV114" s="164" t="n">
        <v>-18455.771129295</v>
      </c>
      <c r="BW114" s="164" t="n">
        <v>-86217.771129295</v>
      </c>
      <c r="BX114" s="164" t="n">
        <v>-86217.771129295</v>
      </c>
      <c r="BY114" s="164" t="n">
        <v>-18455.771129295</v>
      </c>
      <c r="BZ114" s="164" t="n">
        <v>-87942.1265518809</v>
      </c>
      <c r="CA114" s="164" t="n">
        <v>-87942.1265518809</v>
      </c>
      <c r="CB114" s="164" t="n">
        <v>-20180.1265518809</v>
      </c>
      <c r="CC114" s="164" t="n">
        <v>-87942.1265518809</v>
      </c>
      <c r="CD114" s="164" t="n">
        <v>-87942.1265518809</v>
      </c>
      <c r="CE114" s="164" t="n">
        <v>-11443.1265518809</v>
      </c>
      <c r="CF114" s="164" t="n">
        <v>-87942.1265518809</v>
      </c>
      <c r="CG114" s="164" t="n">
        <v>-87942.1265518809</v>
      </c>
      <c r="CH114" s="164" t="n">
        <v>-11443.1265518809</v>
      </c>
      <c r="CI114" s="164" t="n">
        <v>-87942.1265518809</v>
      </c>
      <c r="CJ114" s="164" t="n">
        <v>-87942.1265518809</v>
      </c>
      <c r="CK114" s="164" t="n">
        <v>-4835.09994540163</v>
      </c>
      <c r="CL114" s="164" t="n">
        <v>68160.0309170815</v>
      </c>
      <c r="CM114" s="164" t="n">
        <v>68160.0309170815</v>
      </c>
      <c r="CN114" s="164" t="n">
        <v>68160.0309170815</v>
      </c>
      <c r="CO114" s="164" t="n">
        <v>68160.0309170815</v>
      </c>
      <c r="CP114" s="164" t="n">
        <v>68160.0309170815</v>
      </c>
      <c r="CQ114" s="164" t="n">
        <v>68160.0309170815</v>
      </c>
      <c r="CR114" s="164" t="n">
        <v>68160.0309170815</v>
      </c>
      <c r="CS114" s="164" t="n">
        <v>68160.0309170815</v>
      </c>
      <c r="CT114" s="164" t="n">
        <v>68160.0309170815</v>
      </c>
      <c r="CU114" s="164" t="n">
        <v>70068.524291978</v>
      </c>
      <c r="CV114" s="164" t="n">
        <v>70068.524291978</v>
      </c>
      <c r="CW114" s="164" t="n">
        <v>70068.524291978</v>
      </c>
      <c r="CX114" s="164" t="n">
        <v>124020.82584141</v>
      </c>
      <c r="CY114" s="164" t="n">
        <v>141467.674777818</v>
      </c>
      <c r="CZ114" s="164" t="n">
        <v>141467.674777818</v>
      </c>
      <c r="DA114" s="164" t="n">
        <v>141467.674777818</v>
      </c>
      <c r="DB114" s="164" t="n">
        <v>141467.674777818</v>
      </c>
      <c r="DC114" s="164" t="n">
        <v>141467.674777818</v>
      </c>
      <c r="DD114" s="164" t="n">
        <v>141467.674777818</v>
      </c>
      <c r="DE114" s="164" t="n">
        <v>141467.674777818</v>
      </c>
      <c r="DF114" s="164"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265625" defaultRowHeight="13.5" customHeight="false"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557</v>
      </c>
    </row>
    <row r="2" customFormat="false" ht="15" hidden="false" customHeight="true" outlineLevel="0" collapsed="false">
      <c r="A2" s="72" t="s">
        <v>558</v>
      </c>
    </row>
    <row r="4" customFormat="false" ht="31.5" hidden="false" customHeight="true" outlineLevel="0" collapsed="false">
      <c r="A4" s="110" t="s">
        <v>559</v>
      </c>
      <c r="B4" s="110" t="s">
        <v>560</v>
      </c>
      <c r="C4" s="110" t="s">
        <v>561</v>
      </c>
      <c r="D4" s="110" t="s">
        <v>562</v>
      </c>
      <c r="E4" s="110" t="s">
        <v>563</v>
      </c>
      <c r="F4" s="110" t="s">
        <v>564</v>
      </c>
      <c r="G4" s="110" t="s">
        <v>565</v>
      </c>
      <c r="H4" s="110" t="s">
        <v>566</v>
      </c>
      <c r="I4" s="168" t="s">
        <v>567</v>
      </c>
      <c r="J4" s="110" t="s">
        <v>568</v>
      </c>
      <c r="K4" s="110" t="s">
        <v>569</v>
      </c>
      <c r="L4" s="110" t="s">
        <v>570</v>
      </c>
      <c r="M4" s="168" t="s">
        <v>571</v>
      </c>
      <c r="N4" s="168" t="s">
        <v>572</v>
      </c>
      <c r="O4" s="168" t="s">
        <v>573</v>
      </c>
      <c r="P4" s="168" t="s">
        <v>574</v>
      </c>
      <c r="Q4" s="168" t="s">
        <v>575</v>
      </c>
      <c r="R4" s="168" t="s">
        <v>576</v>
      </c>
      <c r="S4" s="168" t="s">
        <v>577</v>
      </c>
    </row>
    <row r="5" customFormat="false" ht="15" hidden="false" customHeight="true" outlineLevel="0" collapsed="false">
      <c r="A5" s="169" t="s">
        <v>276</v>
      </c>
      <c r="B5" s="170" t="n">
        <f aca="false">SUM(Helpers!C96:N96)</f>
        <v>0</v>
      </c>
      <c r="C5" s="170" t="n">
        <f aca="false">(SUM(Helpers!C97:N97)-SUM(Helpers!C96:N96))*(Assumptions!$B$10+Assumptions!$B$12)/Assumptions!$B$9</f>
        <v>0</v>
      </c>
      <c r="D5" s="170" t="n">
        <f aca="false">(SUM(Helpers!C97:N97)-SUM(Helpers!C96:N96))*Assumptions!$B$11/Assumptions!$B$9</f>
        <v>0</v>
      </c>
      <c r="E5" s="170" t="n">
        <v>0</v>
      </c>
      <c r="F5" s="171" t="n">
        <f aca="false">SUM(Helpers!C97:N97)</f>
        <v>0</v>
      </c>
      <c r="G5" s="170" t="n">
        <f aca="false">SUM(Helpers!C99:N99)</f>
        <v>2388530.991</v>
      </c>
      <c r="H5" s="171" t="n">
        <f aca="false">SUM(Helpers!C100:N100)</f>
        <v>0</v>
      </c>
      <c r="I5" s="172" t="n">
        <f aca="false">-SUM(Model!B234:M234)</f>
        <v>-0</v>
      </c>
      <c r="J5" s="170" t="n">
        <f aca="false">Personnel!$C$46*9/12</f>
        <v>166500</v>
      </c>
      <c r="K5" s="173" t="n">
        <f aca="false">I5+J5</f>
        <v>166500</v>
      </c>
      <c r="L5" s="174" t="n">
        <f aca="false">IFERROR(I5/K5,0)</f>
        <v>-0</v>
      </c>
      <c r="M5" s="172" t="n">
        <f aca="false">SUM(Helpers!C101:N101)</f>
        <v>0</v>
      </c>
      <c r="N5" s="172" t="n">
        <f aca="false">B5-M5</f>
        <v>0</v>
      </c>
      <c r="O5" s="172" t="n">
        <f aca="false">IFERROR(H5*M5/B5,0)</f>
        <v>0</v>
      </c>
      <c r="P5" s="172" t="n">
        <f aca="false">H5-O5</f>
        <v>0</v>
      </c>
      <c r="Q5" s="175" t="n">
        <f aca="false">IF(N5&gt;=Assumptions!$B$86,Assumptions!$C$86,IF(N5&gt;=Assumptions!$B$85,Assumptions!$C$85,IF(N5&gt;=Assumptions!$B$84,Assumptions!$C$84,Assumptions!$C$83)))</f>
        <v>0.25</v>
      </c>
      <c r="R5" s="172" t="n">
        <f aca="false">O5*Q5*0.1</f>
        <v>0</v>
      </c>
      <c r="S5" s="172" t="n">
        <f aca="false">P5*0.1</f>
        <v>0</v>
      </c>
    </row>
    <row r="6" customFormat="false" ht="15" hidden="false" customHeight="true" outlineLevel="0" collapsed="false">
      <c r="A6" s="176" t="s">
        <v>277</v>
      </c>
      <c r="B6" s="177" t="n">
        <f aca="false">SUM(Helpers!O96:Z96)</f>
        <v>2471600.4080808</v>
      </c>
      <c r="C6" s="177" t="n">
        <f aca="false">(SUM(Helpers!O97:Z97)-SUM(Helpers!O96:Z96))*(Assumptions!$B$10+Assumptions!$B$12)/Assumptions!$B$9</f>
        <v>204450.261454818</v>
      </c>
      <c r="D6" s="177" t="n">
        <f aca="false">(SUM(Helpers!O97:Z97)-SUM(Helpers!O96:Z96))*Assumptions!$B$11/Assumptions!$B$9</f>
        <v>153336.953121924</v>
      </c>
      <c r="E6" s="177" t="n">
        <v>0</v>
      </c>
      <c r="F6" s="178" t="n">
        <f aca="false">SUM(Helpers!O97:Z97)</f>
        <v>2829387.62265754</v>
      </c>
      <c r="G6" s="177" t="n">
        <f aca="false">SUM(Helpers!O99:Z99)</f>
        <v>6416061.42161358</v>
      </c>
      <c r="H6" s="178" t="n">
        <f aca="false">SUM(Helpers!O100:Z100)</f>
        <v>188703.135248</v>
      </c>
      <c r="I6" s="179" t="n">
        <f aca="false">-SUM(Model!N234:Y234)</f>
        <v>62565.82645</v>
      </c>
      <c r="J6" s="177" t="n">
        <f aca="false">Personnel!$C$46</f>
        <v>222000</v>
      </c>
      <c r="K6" s="180" t="n">
        <f aca="false">I6+J6</f>
        <v>284565.82645</v>
      </c>
      <c r="L6" s="181" t="n">
        <f aca="false">IFERROR(I6/K6,0)</f>
        <v>0.219864160185774</v>
      </c>
      <c r="M6" s="172" t="n">
        <f aca="false">SUM(Helpers!O101:Z101)</f>
        <v>0</v>
      </c>
      <c r="N6" s="172" t="n">
        <f aca="false">B6-M6</f>
        <v>2471600.4080808</v>
      </c>
      <c r="O6" s="172" t="n">
        <f aca="false">IFERROR(H6*M6/B6,0)</f>
        <v>0</v>
      </c>
      <c r="P6" s="172" t="n">
        <f aca="false">H6-O6</f>
        <v>188703.135248</v>
      </c>
      <c r="Q6" s="175" t="n">
        <f aca="false">IF(N6&gt;=Assumptions!$B$86,Assumptions!$C$86,IF(N6&gt;=Assumptions!$B$85,Assumptions!$C$85,IF(N6&gt;=Assumptions!$B$84,Assumptions!$C$84,Assumptions!$C$83)))</f>
        <v>0.25</v>
      </c>
      <c r="R6" s="172" t="n">
        <f aca="false">O6*Q6*0.1</f>
        <v>0</v>
      </c>
      <c r="S6" s="172" t="n">
        <f aca="false">P6*0.1</f>
        <v>18870.3135248</v>
      </c>
    </row>
    <row r="7" customFormat="false" ht="15" hidden="false" customHeight="true" outlineLevel="0" collapsed="false">
      <c r="A7" s="169" t="s">
        <v>278</v>
      </c>
      <c r="B7" s="170" t="n">
        <f aca="false">SUM(Helpers!AA96:AL96)</f>
        <v>18921607.7089594</v>
      </c>
      <c r="C7" s="170" t="n">
        <f aca="false">(SUM(Helpers!AA97:AL97)-SUM(Helpers!AA96:AL96))*(Assumptions!$B$10+Assumptions!$B$12)/Assumptions!$B$9</f>
        <v>817801.045819272</v>
      </c>
      <c r="D7" s="170" t="n">
        <f aca="false">(SUM(Helpers!AA97:AL97)-SUM(Helpers!AA96:AL96))*Assumptions!$B$11/Assumptions!$B$9</f>
        <v>613347.812487698</v>
      </c>
      <c r="E7" s="170" t="n">
        <v>0</v>
      </c>
      <c r="F7" s="171" t="n">
        <f aca="false">SUM(Helpers!AA97:AL97)</f>
        <v>20352756.5672664</v>
      </c>
      <c r="G7" s="170" t="n">
        <f aca="false">SUM(Helpers!AA99:AL99)</f>
        <v>7602331.69702433</v>
      </c>
      <c r="H7" s="171" t="n">
        <f aca="false">SUM(Helpers!AA100:AL100)</f>
        <v>755624.721929929</v>
      </c>
      <c r="I7" s="172" t="n">
        <f aca="false">-SUM(Model!Z234:AK234)</f>
        <v>-0</v>
      </c>
      <c r="J7" s="170" t="n">
        <f aca="false">Personnel!$C$46</f>
        <v>222000</v>
      </c>
      <c r="K7" s="173" t="n">
        <f aca="false">I7+J7</f>
        <v>222000</v>
      </c>
      <c r="L7" s="174" t="n">
        <f aca="false">IFERROR(I7/K7,0)</f>
        <v>-0</v>
      </c>
      <c r="M7" s="172" t="n">
        <f aca="false">SUM(Helpers!AA101:AL101)</f>
        <v>0</v>
      </c>
      <c r="N7" s="172" t="n">
        <f aca="false">B7-M7</f>
        <v>18921607.7089594</v>
      </c>
      <c r="O7" s="172" t="n">
        <f aca="false">IFERROR(H7*M7/B7,0)</f>
        <v>0</v>
      </c>
      <c r="P7" s="172" t="n">
        <f aca="false">H7-O7</f>
        <v>755624.721929929</v>
      </c>
      <c r="Q7" s="175" t="n">
        <f aca="false">IF(N7&gt;=Assumptions!$B$86,Assumptions!$C$86,IF(N7&gt;=Assumptions!$B$85,Assumptions!$C$85,IF(N7&gt;=Assumptions!$B$84,Assumptions!$C$84,Assumptions!$C$83)))</f>
        <v>0.25</v>
      </c>
      <c r="R7" s="172" t="n">
        <f aca="false">O7*Q7*0.1</f>
        <v>0</v>
      </c>
      <c r="S7" s="172" t="n">
        <f aca="false">P7*0.1</f>
        <v>75562.4721929929</v>
      </c>
    </row>
    <row r="8" customFormat="false" ht="15" hidden="false" customHeight="true" outlineLevel="0" collapsed="false">
      <c r="A8" s="176" t="s">
        <v>279</v>
      </c>
      <c r="B8" s="177" t="n">
        <f aca="false">SUM(Helpers!AM96:AX96)</f>
        <v>3633122.46295976</v>
      </c>
      <c r="C8" s="177" t="n">
        <f aca="false">(SUM(Helpers!AM97:AX97)-SUM(Helpers!AM96:AX96))*(Assumptions!$B$10+Assumptions!$B$12)/Assumptions!$B$9</f>
        <v>699435.104977009</v>
      </c>
      <c r="D8" s="177" t="n">
        <f aca="false">(SUM(Helpers!AM97:AX97)-SUM(Helpers!AM96:AX96))*Assumptions!$B$11/Assumptions!$B$9</f>
        <v>524573.786996057</v>
      </c>
      <c r="E8" s="177" t="n">
        <v>0</v>
      </c>
      <c r="F8" s="178" t="n">
        <f aca="false">SUM(Helpers!AM97:AX97)</f>
        <v>4857131.35493283</v>
      </c>
      <c r="G8" s="177" t="n">
        <f aca="false">SUM(Helpers!AM99:AX99)</f>
        <v>1685869.8224393</v>
      </c>
      <c r="H8" s="178" t="n">
        <f aca="false">SUM(Helpers!AM100:AX100)</f>
        <v>369722.691265089</v>
      </c>
      <c r="I8" s="179" t="n">
        <f aca="false">-SUM(Model!AL234:AW234)</f>
        <v>53891.1325195699</v>
      </c>
      <c r="J8" s="177" t="n">
        <f aca="false">Personnel!$C$46</f>
        <v>222000</v>
      </c>
      <c r="K8" s="180" t="n">
        <f aca="false">I8+J8</f>
        <v>275891.13251957</v>
      </c>
      <c r="L8" s="181" t="n">
        <f aca="false">IFERROR(I8/K8,0)</f>
        <v>0.195334775813236</v>
      </c>
      <c r="M8" s="172" t="n">
        <f aca="false">SUM(Helpers!AM101:AX101)</f>
        <v>0</v>
      </c>
      <c r="N8" s="172" t="n">
        <f aca="false">B8-M8</f>
        <v>3633122.46295976</v>
      </c>
      <c r="O8" s="172" t="n">
        <f aca="false">IFERROR(H8*M8/B8,0)</f>
        <v>0</v>
      </c>
      <c r="P8" s="172" t="n">
        <f aca="false">H8-O8</f>
        <v>369722.691265089</v>
      </c>
      <c r="Q8" s="175" t="n">
        <f aca="false">IF(N8&gt;=Assumptions!$B$86,Assumptions!$C$86,IF(N8&gt;=Assumptions!$B$85,Assumptions!$C$85,IF(N8&gt;=Assumptions!$B$84,Assumptions!$C$84,Assumptions!$C$83)))</f>
        <v>0.25</v>
      </c>
      <c r="R8" s="172" t="n">
        <f aca="false">O8*Q8*0.1</f>
        <v>0</v>
      </c>
      <c r="S8" s="172" t="n">
        <f aca="false">P8*0.1</f>
        <v>36972.2691265089</v>
      </c>
    </row>
    <row r="9" customFormat="false" ht="15" hidden="false" customHeight="true" outlineLevel="0" collapsed="false">
      <c r="A9" s="169" t="s">
        <v>280</v>
      </c>
      <c r="B9" s="170" t="n">
        <f aca="false">SUM(Helpers!AY96:BJ96)</f>
        <v>0</v>
      </c>
      <c r="C9" s="170" t="n">
        <f aca="false">(SUM(Helpers!AY97:BJ97)-SUM(Helpers!AY96:BJ96))*(Assumptions!$B$10+Assumptions!$B$12)/Assumptions!$B$9</f>
        <v>0</v>
      </c>
      <c r="D9" s="170" t="n">
        <f aca="false">(SUM(Helpers!AY97:BJ97)-SUM(Helpers!AY96:BJ96))*Assumptions!$B$11/Assumptions!$B$9</f>
        <v>0</v>
      </c>
      <c r="E9" s="170" t="n">
        <v>0</v>
      </c>
      <c r="F9" s="171" t="n">
        <f aca="false">SUM(Helpers!AY97:BJ97)</f>
        <v>0</v>
      </c>
      <c r="G9" s="170" t="n">
        <f aca="false">SUM(Helpers!AY99:BJ99)</f>
        <v>-3032644.65317004</v>
      </c>
      <c r="H9" s="171" t="n">
        <f aca="false">SUM(Helpers!AY100:BJ100)</f>
        <v>0</v>
      </c>
      <c r="I9" s="172" t="n">
        <f aca="false">-SUM(Model!AX234:BI234)</f>
        <v>-0</v>
      </c>
      <c r="J9" s="170" t="n">
        <f aca="false">Personnel!$C$46</f>
        <v>222000</v>
      </c>
      <c r="K9" s="173" t="n">
        <f aca="false">I9+J9</f>
        <v>222000</v>
      </c>
      <c r="L9" s="174" t="n">
        <f aca="false">IFERROR(I9/K9,0)</f>
        <v>-0</v>
      </c>
      <c r="M9" s="172" t="n">
        <f aca="false">SUM(Helpers!AY101:BJ101)</f>
        <v>0</v>
      </c>
      <c r="N9" s="172" t="n">
        <f aca="false">B9-M9</f>
        <v>0</v>
      </c>
      <c r="O9" s="172" t="n">
        <f aca="false">IFERROR(H9*M9/B9,0)</f>
        <v>0</v>
      </c>
      <c r="P9" s="172" t="n">
        <f aca="false">H9-O9</f>
        <v>0</v>
      </c>
      <c r="Q9" s="175" t="n">
        <f aca="false">IF(N9&gt;=Assumptions!$B$86,Assumptions!$C$86,IF(N9&gt;=Assumptions!$B$85,Assumptions!$C$85,IF(N9&gt;=Assumptions!$B$84,Assumptions!$C$84,Assumptions!$C$83)))</f>
        <v>0.25</v>
      </c>
      <c r="R9" s="172" t="n">
        <f aca="false">O9*Q9*0.1</f>
        <v>0</v>
      </c>
      <c r="S9" s="172" t="n">
        <f aca="false">P9*0.1</f>
        <v>0</v>
      </c>
    </row>
    <row r="10" customFormat="false" ht="15" hidden="false" customHeight="true" outlineLevel="0" collapsed="false">
      <c r="A10" s="176" t="s">
        <v>281</v>
      </c>
      <c r="B10" s="177" t="n">
        <f aca="false">SUM(Helpers!BK96:BV96)</f>
        <v>0</v>
      </c>
      <c r="C10" s="177" t="n">
        <f aca="false">(SUM(Helpers!BK97:BV97)-SUM(Helpers!BK96:BV96))*(Assumptions!$B$10+Assumptions!$B$12)/Assumptions!$B$9</f>
        <v>0</v>
      </c>
      <c r="D10" s="177" t="n">
        <f aca="false">(SUM(Helpers!BK97:BV97)-SUM(Helpers!BK96:BV96))*Assumptions!$B$11/Assumptions!$B$9</f>
        <v>0</v>
      </c>
      <c r="E10" s="177" t="n">
        <v>0</v>
      </c>
      <c r="F10" s="178" t="n">
        <f aca="false">SUM(Helpers!BK97:BV97)</f>
        <v>0</v>
      </c>
      <c r="G10" s="177" t="n">
        <f aca="false">SUM(Helpers!BK99:BV99)</f>
        <v>-5107221.71733524</v>
      </c>
      <c r="H10" s="178" t="n">
        <f aca="false">SUM(Helpers!BK100:BV100)</f>
        <v>0</v>
      </c>
      <c r="I10" s="179" t="n">
        <f aca="false">-SUM(Model!BJ234:BU234)</f>
        <v>-0</v>
      </c>
      <c r="J10" s="177" t="n">
        <f aca="false">Personnel!$C$46</f>
        <v>222000</v>
      </c>
      <c r="K10" s="180" t="n">
        <f aca="false">I10+J10</f>
        <v>222000</v>
      </c>
      <c r="L10" s="181" t="n">
        <f aca="false">IFERROR(I10/K10,0)</f>
        <v>-0</v>
      </c>
      <c r="M10" s="172" t="n">
        <f aca="false">SUM(Helpers!BK101:BV101)</f>
        <v>0</v>
      </c>
      <c r="N10" s="172" t="n">
        <f aca="false">B10-M10</f>
        <v>0</v>
      </c>
      <c r="O10" s="172" t="n">
        <f aca="false">IFERROR(H10*M10/B10,0)</f>
        <v>0</v>
      </c>
      <c r="P10" s="172" t="n">
        <f aca="false">H10-O10</f>
        <v>0</v>
      </c>
      <c r="Q10" s="175" t="n">
        <f aca="false">IF(N10&gt;=Assumptions!$B$86,Assumptions!$C$86,IF(N10&gt;=Assumptions!$B$85,Assumptions!$C$85,IF(N10&gt;=Assumptions!$B$84,Assumptions!$C$84,Assumptions!$C$83)))</f>
        <v>0.25</v>
      </c>
      <c r="R10" s="172" t="n">
        <f aca="false">O10*Q10*0.1</f>
        <v>0</v>
      </c>
      <c r="S10" s="172" t="n">
        <f aca="false">P10*0.1</f>
        <v>0</v>
      </c>
    </row>
    <row r="11" customFormat="false" ht="15" hidden="false" customHeight="true" outlineLevel="0" collapsed="false">
      <c r="A11" s="169" t="s">
        <v>282</v>
      </c>
      <c r="B11" s="170" t="n">
        <f aca="false">SUM(Helpers!BW96:CH96)</f>
        <v>0</v>
      </c>
      <c r="C11" s="170" t="n">
        <f aca="false">(SUM(Helpers!BW97:CH97)-SUM(Helpers!BW96:CH96))*(Assumptions!$B$10+Assumptions!$B$12)/Assumptions!$B$9</f>
        <v>0</v>
      </c>
      <c r="D11" s="170" t="n">
        <f aca="false">(SUM(Helpers!BW97:CH97)-SUM(Helpers!BW96:CH96))*Assumptions!$B$11/Assumptions!$B$9</f>
        <v>0</v>
      </c>
      <c r="E11" s="170" t="n">
        <v>0</v>
      </c>
      <c r="F11" s="171" t="n">
        <f aca="false">SUM(Helpers!BW97:CH97)</f>
        <v>0</v>
      </c>
      <c r="G11" s="170" t="n">
        <f aca="false">SUM(Helpers!BW99:CH99)</f>
        <v>-5200434.15168195</v>
      </c>
      <c r="H11" s="171" t="n">
        <f aca="false">SUM(Helpers!BW100:CH100)</f>
        <v>0</v>
      </c>
      <c r="I11" s="172" t="n">
        <f aca="false">-SUM(Model!BV234:CG234)</f>
        <v>-0</v>
      </c>
      <c r="J11" s="170" t="n">
        <f aca="false">Personnel!$C$46</f>
        <v>222000</v>
      </c>
      <c r="K11" s="173" t="n">
        <f aca="false">I11+J11</f>
        <v>222000</v>
      </c>
      <c r="L11" s="174" t="n">
        <f aca="false">IFERROR(I11/K11,0)</f>
        <v>-0</v>
      </c>
      <c r="M11" s="172" t="n">
        <f aca="false">SUM(Helpers!BW101:CH101)</f>
        <v>0</v>
      </c>
      <c r="N11" s="172" t="n">
        <f aca="false">B11-M11</f>
        <v>0</v>
      </c>
      <c r="O11" s="172" t="n">
        <f aca="false">IFERROR(H11*M11/B11,0)</f>
        <v>0</v>
      </c>
      <c r="P11" s="172" t="n">
        <f aca="false">H11-O11</f>
        <v>0</v>
      </c>
      <c r="Q11" s="175" t="n">
        <f aca="false">IF(N11&gt;=Assumptions!$B$86,Assumptions!$C$86,IF(N11&gt;=Assumptions!$B$85,Assumptions!$C$85,IF(N11&gt;=Assumptions!$B$84,Assumptions!$C$84,Assumptions!$C$83)))</f>
        <v>0.25</v>
      </c>
      <c r="R11" s="172" t="n">
        <f aca="false">O11*Q11*0.1</f>
        <v>0</v>
      </c>
      <c r="S11" s="172" t="n">
        <f aca="false">P11*0.1</f>
        <v>0</v>
      </c>
    </row>
    <row r="12" customFormat="false" ht="15" hidden="false" customHeight="true" outlineLevel="0" collapsed="false">
      <c r="A12" s="176" t="s">
        <v>283</v>
      </c>
      <c r="B12" s="177" t="n">
        <f aca="false">SUM(Helpers!CI96:CT96)</f>
        <v>0</v>
      </c>
      <c r="C12" s="177" t="n">
        <f aca="false">(SUM(Helpers!CI97:CT97)-SUM(Helpers!CI96:CT96))*(Assumptions!$B$10+Assumptions!$B$12)/Assumptions!$B$9</f>
        <v>0</v>
      </c>
      <c r="D12" s="177" t="n">
        <f aca="false">(SUM(Helpers!CI97:CT97)-SUM(Helpers!CI96:CT96))*Assumptions!$B$11/Assumptions!$B$9</f>
        <v>0</v>
      </c>
      <c r="E12" s="177" t="n">
        <v>0</v>
      </c>
      <c r="F12" s="178" t="n">
        <f aca="false">SUM(Helpers!CI97:CT97)</f>
        <v>0</v>
      </c>
      <c r="G12" s="177" t="n">
        <f aca="false">SUM(Helpers!CI99:CT99)</f>
        <v>-5295510.83471559</v>
      </c>
      <c r="H12" s="178" t="n">
        <f aca="false">SUM(Helpers!CI100:CT100)</f>
        <v>0</v>
      </c>
      <c r="I12" s="179" t="n">
        <f aca="false">-SUM(Model!CH234:CS234)</f>
        <v>-0</v>
      </c>
      <c r="J12" s="177" t="n">
        <f aca="false">Personnel!$C$46</f>
        <v>222000</v>
      </c>
      <c r="K12" s="180" t="n">
        <f aca="false">I12+J12</f>
        <v>222000</v>
      </c>
      <c r="L12" s="181" t="n">
        <f aca="false">IFERROR(I12/K12,0)</f>
        <v>-0</v>
      </c>
      <c r="M12" s="172" t="n">
        <f aca="false">SUM(Helpers!CI101:CT101)</f>
        <v>0</v>
      </c>
      <c r="N12" s="172" t="n">
        <f aca="false">B12-M12</f>
        <v>0</v>
      </c>
      <c r="O12" s="172" t="n">
        <f aca="false">IFERROR(H12*M12/B12,0)</f>
        <v>0</v>
      </c>
      <c r="P12" s="172" t="n">
        <f aca="false">H12-O12</f>
        <v>0</v>
      </c>
      <c r="Q12" s="175" t="n">
        <f aca="false">IF(N12&gt;=Assumptions!$B$86,Assumptions!$C$86,IF(N12&gt;=Assumptions!$B$85,Assumptions!$C$85,IF(N12&gt;=Assumptions!$B$84,Assumptions!$C$84,Assumptions!$C$83)))</f>
        <v>0.25</v>
      </c>
      <c r="R12" s="172" t="n">
        <f aca="false">O12*Q12*0.1</f>
        <v>0</v>
      </c>
      <c r="S12" s="172" t="n">
        <f aca="false">P12*0.1</f>
        <v>0</v>
      </c>
    </row>
    <row r="13" customFormat="false" ht="15" hidden="false" customHeight="true" outlineLevel="0" collapsed="false">
      <c r="A13" s="135" t="s">
        <v>578</v>
      </c>
      <c r="B13" s="182" t="n">
        <f aca="false">SUM(B5:B12)</f>
        <v>25026330.58</v>
      </c>
      <c r="C13" s="182" t="n">
        <f aca="false">SUM(C5:C12)</f>
        <v>1721686.4122511</v>
      </c>
      <c r="D13" s="182" t="n">
        <f aca="false">SUM(D5:D12)</f>
        <v>1291258.55260568</v>
      </c>
      <c r="E13" s="182" t="n">
        <f aca="false">SUM(E5:E12)</f>
        <v>0</v>
      </c>
      <c r="F13" s="182" t="n">
        <f aca="false">SUM(F5:F12)</f>
        <v>28039275.5448568</v>
      </c>
      <c r="G13" s="182" t="n">
        <f aca="false">SUM(G5:G12)</f>
        <v>-543017.424825586</v>
      </c>
      <c r="H13" s="182" t="n">
        <f aca="false">SUM(H5:H12)</f>
        <v>1314050.54844302</v>
      </c>
      <c r="I13" s="183" t="n">
        <f aca="false">SUM(I5:I12)</f>
        <v>116456.95896957</v>
      </c>
      <c r="J13" s="182" t="n">
        <f aca="false">SUM(J5:J12)</f>
        <v>1720500</v>
      </c>
      <c r="K13" s="182" t="n">
        <f aca="false">SUM(K5:K12)</f>
        <v>1836956.95896957</v>
      </c>
      <c r="L13" s="184" t="n">
        <f aca="false">IFERROR(I13/K13,0)</f>
        <v>0.0633966726334708</v>
      </c>
      <c r="M13" s="183" t="n">
        <f aca="false">SUM(M5:M12)</f>
        <v>0</v>
      </c>
      <c r="N13" s="183" t="n">
        <f aca="false">SUM(N5:N12)</f>
        <v>25026330.58</v>
      </c>
      <c r="O13" s="183" t="n">
        <f aca="false">SUM(O5:O12)</f>
        <v>0</v>
      </c>
      <c r="P13" s="183" t="n">
        <f aca="false">SUM(P5:P12)</f>
        <v>1314050.54844302</v>
      </c>
      <c r="Q13" s="185" t="n">
        <f aca="false">IFERROR(R13/O13,0)</f>
        <v>0</v>
      </c>
      <c r="R13" s="183" t="n">
        <f aca="false">SUM(R5:R12)</f>
        <v>0</v>
      </c>
      <c r="S13" s="183" t="n">
        <f aca="false">SUM(S5:S12)</f>
        <v>131405.054844302</v>
      </c>
    </row>
    <row r="15" customFormat="false" ht="15" hidden="false" customHeight="true" outlineLevel="0" collapsed="false">
      <c r="A15" s="94" t="s">
        <v>208</v>
      </c>
    </row>
    <row r="16" customFormat="false" ht="15" hidden="false" customHeight="true" outlineLevel="0" collapsed="false">
      <c r="A16" s="186" t="s">
        <v>579</v>
      </c>
      <c r="B16" s="186"/>
      <c r="C16" s="186"/>
      <c r="D16" s="186"/>
      <c r="E16" s="186"/>
      <c r="F16" s="186"/>
      <c r="G16" s="186"/>
      <c r="H16" s="186"/>
    </row>
    <row r="17" customFormat="false" ht="15" hidden="false" customHeight="true" outlineLevel="0" collapsed="false">
      <c r="A17" s="186" t="s">
        <v>580</v>
      </c>
      <c r="B17" s="186"/>
      <c r="C17" s="186"/>
      <c r="D17" s="186"/>
      <c r="E17" s="186"/>
      <c r="F17" s="186"/>
      <c r="G17" s="186"/>
      <c r="H17" s="186"/>
    </row>
    <row r="18" customFormat="false" ht="15" hidden="false" customHeight="true" outlineLevel="0" collapsed="false">
      <c r="A18" s="186" t="s">
        <v>581</v>
      </c>
      <c r="B18" s="186"/>
      <c r="C18" s="186"/>
      <c r="D18" s="186"/>
      <c r="E18" s="186"/>
      <c r="F18" s="186"/>
      <c r="G18" s="186"/>
      <c r="H18" s="186"/>
    </row>
    <row r="19" customFormat="false" ht="15" hidden="false" customHeight="true" outlineLevel="0" collapsed="false">
      <c r="A19" s="186" t="s">
        <v>582</v>
      </c>
      <c r="B19" s="186"/>
      <c r="C19" s="186"/>
      <c r="D19" s="186"/>
      <c r="E19" s="186"/>
      <c r="F19" s="186"/>
      <c r="G19" s="186"/>
      <c r="H19" s="186"/>
    </row>
    <row r="20" customFormat="false" ht="15" hidden="false" customHeight="true" outlineLevel="0" collapsed="false">
      <c r="A20" s="186" t="s">
        <v>583</v>
      </c>
      <c r="B20" s="186"/>
      <c r="C20" s="186"/>
      <c r="D20" s="186"/>
      <c r="E20" s="186"/>
      <c r="F20" s="186"/>
      <c r="G20" s="186"/>
      <c r="H20" s="186"/>
    </row>
    <row r="21" customFormat="false" ht="15" hidden="false" customHeight="true" outlineLevel="0" collapsed="false">
      <c r="A21" s="72" t="s">
        <v>584</v>
      </c>
    </row>
    <row r="22" customFormat="false" ht="15" hidden="false" customHeight="true" outlineLevel="0" collapsed="false">
      <c r="A22" s="72" t="s">
        <v>585</v>
      </c>
    </row>
    <row r="23" customFormat="false" ht="15" hidden="false" customHeight="true" outlineLevel="0" collapsed="false">
      <c r="A23" s="72" t="s">
        <v>586</v>
      </c>
    </row>
    <row r="24" customFormat="false" ht="15" hidden="false" customHeight="true" outlineLevel="0" collapsed="false">
      <c r="A24" s="72" t="s">
        <v>587</v>
      </c>
    </row>
    <row r="25" customFormat="false" ht="15" hidden="false" customHeight="true" outlineLevel="0" collapsed="false">
      <c r="A25" s="72" t="s">
        <v>588</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X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B10" activeCellId="0" sqref="B10"/>
    </sheetView>
  </sheetViews>
  <sheetFormatPr defaultColWidth="8.7265625" defaultRowHeight="13.5" customHeight="false"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589</v>
      </c>
      <c r="B1" s="44" t="s">
        <v>590</v>
      </c>
      <c r="C1" s="44" t="s">
        <v>591</v>
      </c>
      <c r="D1" s="44" t="s">
        <v>592</v>
      </c>
      <c r="E1" s="44" t="s">
        <v>593</v>
      </c>
      <c r="F1" s="44" t="s">
        <v>594</v>
      </c>
      <c r="G1" s="44" t="s">
        <v>595</v>
      </c>
      <c r="H1" s="44" t="s">
        <v>596</v>
      </c>
      <c r="I1" s="44" t="s">
        <v>597</v>
      </c>
      <c r="J1" s="44" t="s">
        <v>598</v>
      </c>
      <c r="K1" s="44" t="s">
        <v>599</v>
      </c>
      <c r="L1" s="44" t="s">
        <v>600</v>
      </c>
      <c r="N1" s="44" t="s">
        <v>601</v>
      </c>
      <c r="O1" s="44" t="s">
        <v>602</v>
      </c>
      <c r="P1" s="44" t="s">
        <v>603</v>
      </c>
      <c r="Q1" s="44" t="s">
        <v>604</v>
      </c>
      <c r="R1" s="44" t="s">
        <v>605</v>
      </c>
      <c r="S1" s="44" t="s">
        <v>606</v>
      </c>
      <c r="T1" s="44" t="s">
        <v>607</v>
      </c>
      <c r="V1" s="1" t="s">
        <v>608</v>
      </c>
      <c r="W1" s="187" t="s">
        <v>609</v>
      </c>
      <c r="X1" s="188" t="s">
        <v>610</v>
      </c>
    </row>
    <row r="2" customFormat="false" ht="15" hidden="false" customHeight="true" outlineLevel="0" collapsed="false">
      <c r="A2" s="189" t="s">
        <v>7</v>
      </c>
      <c r="B2" s="190" t="n">
        <v>7126075</v>
      </c>
      <c r="C2" s="191" t="n">
        <v>1</v>
      </c>
      <c r="D2" s="191" t="n">
        <v>8</v>
      </c>
      <c r="E2" s="191" t="n">
        <v>2</v>
      </c>
      <c r="F2" s="191" t="s">
        <v>611</v>
      </c>
      <c r="G2" s="191" t="s">
        <v>612</v>
      </c>
      <c r="H2" s="191" t="n">
        <v>0</v>
      </c>
      <c r="I2" s="192" t="n">
        <f aca="false">IF(H2=1,Assumptions!$B$16,IF(H2=2,Assumptions!$B$17,0))</f>
        <v>0</v>
      </c>
      <c r="J2" s="191" t="s">
        <v>611</v>
      </c>
      <c r="K2" s="191" t="s">
        <v>611</v>
      </c>
      <c r="L2" s="191" t="s">
        <v>613</v>
      </c>
      <c r="N2" s="190" t="n">
        <v>194932</v>
      </c>
      <c r="O2" s="190" t="n">
        <f aca="false">B2*Assumptions!$B$11</f>
        <v>367676.9657</v>
      </c>
      <c r="P2" s="190" t="n">
        <v>46323</v>
      </c>
      <c r="Q2" s="190" t="n">
        <f aca="false">N2+O2+P2</f>
        <v>608931.9657</v>
      </c>
      <c r="R2" s="190" t="n">
        <f aca="false">Q2*0.05</f>
        <v>30446.598285</v>
      </c>
      <c r="S2" s="189" t="n">
        <f aca="false">C2+D2-1</f>
        <v>8</v>
      </c>
      <c r="T2" s="193"/>
      <c r="V2" s="1" t="s">
        <v>614</v>
      </c>
      <c r="W2" s="194" t="n">
        <f aca="false">C2+D2-1</f>
        <v>8</v>
      </c>
    </row>
    <row r="3" customFormat="false" ht="15" hidden="false" customHeight="true" outlineLevel="0" collapsed="false">
      <c r="A3" s="189" t="s">
        <v>8</v>
      </c>
      <c r="B3" s="190" t="n">
        <v>20176449</v>
      </c>
      <c r="C3" s="191" t="n">
        <v>1</v>
      </c>
      <c r="D3" s="191"/>
      <c r="E3" s="191"/>
      <c r="F3" s="191" t="s">
        <v>611</v>
      </c>
      <c r="G3" s="191" t="s">
        <v>612</v>
      </c>
      <c r="H3" s="191" t="n">
        <v>0</v>
      </c>
      <c r="I3" s="192" t="n">
        <f aca="false">IF(H3=1,Assumptions!$B$16,IF(H3=2,Assumptions!$B$17,0))</f>
        <v>0</v>
      </c>
      <c r="J3" s="191" t="s">
        <v>611</v>
      </c>
      <c r="K3" s="191" t="s">
        <v>611</v>
      </c>
      <c r="L3" s="191" t="s">
        <v>613</v>
      </c>
      <c r="N3" s="190" t="n">
        <v>888067</v>
      </c>
      <c r="O3" s="190" t="n">
        <f aca="false">B3*Assumptions!$B$11</f>
        <v>1041024.062604</v>
      </c>
      <c r="P3" s="190" t="n">
        <v>176626</v>
      </c>
      <c r="Q3" s="190" t="n">
        <f aca="false">N3+O3+P3</f>
        <v>2105717.062604</v>
      </c>
      <c r="R3" s="190" t="n">
        <f aca="false">Q3*0.05</f>
        <v>105285.8531302</v>
      </c>
      <c r="S3" s="189" t="n">
        <f aca="false">C3+D3-1</f>
        <v>0</v>
      </c>
      <c r="T3" s="193"/>
      <c r="V3" s="1" t="s">
        <v>615</v>
      </c>
      <c r="W3" s="194" t="n">
        <v>18</v>
      </c>
    </row>
    <row r="4" customFormat="false" ht="15" hidden="false" customHeight="true" outlineLevel="0" collapsed="false">
      <c r="A4" s="189" t="s">
        <v>9</v>
      </c>
      <c r="B4" s="190" t="n">
        <v>11929880</v>
      </c>
      <c r="C4" s="191" t="n">
        <v>1</v>
      </c>
      <c r="D4" s="191"/>
      <c r="E4" s="191"/>
      <c r="F4" s="191" t="s">
        <v>612</v>
      </c>
      <c r="G4" s="191" t="s">
        <v>612</v>
      </c>
      <c r="H4" s="191" t="n">
        <v>1</v>
      </c>
      <c r="I4" s="192" t="n">
        <f aca="false">IF(H4=1,Assumptions!$B$16,IF(H4=2,Assumptions!$B$17,0))</f>
        <v>0.0074</v>
      </c>
      <c r="J4" s="191" t="s">
        <v>611</v>
      </c>
      <c r="K4" s="191" t="s">
        <v>612</v>
      </c>
      <c r="L4" s="191" t="s">
        <v>616</v>
      </c>
      <c r="N4" s="190" t="n">
        <f aca="false">B4*Assumptions!$B$10</f>
        <v>615534.08848</v>
      </c>
      <c r="O4" s="190" t="n">
        <f aca="false">B4*Assumptions!$B$11</f>
        <v>615534.08848</v>
      </c>
      <c r="P4" s="190" t="n">
        <f aca="false">B4*Assumptions!$B$12</f>
        <v>205182.00612</v>
      </c>
      <c r="Q4" s="190" t="n">
        <f aca="false">N4+O4+P4</f>
        <v>1436250.18308</v>
      </c>
      <c r="R4" s="190" t="n">
        <f aca="false">Q4*0.05</f>
        <v>71812.509154</v>
      </c>
      <c r="S4" s="189" t="n">
        <f aca="false">C4+D4-1</f>
        <v>0</v>
      </c>
      <c r="T4" s="193"/>
      <c r="W4" s="194" t="n">
        <v>17</v>
      </c>
    </row>
    <row r="5" customFormat="false" ht="15" hidden="false" customHeight="true" outlineLevel="0" collapsed="false">
      <c r="A5" s="189" t="s">
        <v>10</v>
      </c>
      <c r="B5" s="190" t="n">
        <v>14427884</v>
      </c>
      <c r="C5" s="191" t="n">
        <v>1</v>
      </c>
      <c r="D5" s="191"/>
      <c r="E5" s="191"/>
      <c r="F5" s="191" t="s">
        <v>612</v>
      </c>
      <c r="G5" s="191" t="s">
        <v>612</v>
      </c>
      <c r="H5" s="191" t="n">
        <v>1</v>
      </c>
      <c r="I5" s="192" t="n">
        <f aca="false">IF(H5=1,Assumptions!$B$16,IF(H5=2,Assumptions!$B$17,0))</f>
        <v>0.0074</v>
      </c>
      <c r="J5" s="191" t="s">
        <v>611</v>
      </c>
      <c r="K5" s="191" t="s">
        <v>612</v>
      </c>
      <c r="L5" s="191" t="s">
        <v>616</v>
      </c>
      <c r="N5" s="190" t="n">
        <f aca="false">B5*Assumptions!$B$10</f>
        <v>744421.102864</v>
      </c>
      <c r="O5" s="190" t="n">
        <f aca="false">B5*Assumptions!$B$11</f>
        <v>744421.102864</v>
      </c>
      <c r="P5" s="190" t="n">
        <f aca="false">B5*Assumptions!$B$12</f>
        <v>248145.176916</v>
      </c>
      <c r="Q5" s="190" t="n">
        <f aca="false">N5+O5+P5</f>
        <v>1736987.382644</v>
      </c>
      <c r="R5" s="190" t="n">
        <f aca="false">Q5*0.05</f>
        <v>86849.3691322</v>
      </c>
      <c r="S5" s="189" t="n">
        <f aca="false">C5+D5-1</f>
        <v>0</v>
      </c>
      <c r="T5" s="193"/>
      <c r="W5" s="194" t="n">
        <v>19</v>
      </c>
    </row>
    <row r="6" customFormat="false" ht="15" hidden="false" customHeight="true" outlineLevel="0" collapsed="false">
      <c r="A6" s="189" t="s">
        <v>11</v>
      </c>
      <c r="B6" s="190" t="n">
        <v>3623245</v>
      </c>
      <c r="C6" s="191" t="n">
        <v>1</v>
      </c>
      <c r="D6" s="191"/>
      <c r="E6" s="191"/>
      <c r="F6" s="191" t="s">
        <v>611</v>
      </c>
      <c r="G6" s="191" t="s">
        <v>612</v>
      </c>
      <c r="H6" s="191" t="n">
        <v>0</v>
      </c>
      <c r="I6" s="192" t="n">
        <f aca="false">IF(H6=1,Assumptions!$B$16,IF(H6=2,Assumptions!$B$17,0))</f>
        <v>0</v>
      </c>
      <c r="J6" s="191" t="s">
        <v>611</v>
      </c>
      <c r="K6" s="191" t="s">
        <v>612</v>
      </c>
      <c r="L6" s="191" t="s">
        <v>616</v>
      </c>
      <c r="N6" s="190" t="n">
        <v>245000</v>
      </c>
      <c r="O6" s="190" t="n">
        <f aca="false">B6*Assumptions!$B$11</f>
        <v>186944.94902</v>
      </c>
      <c r="P6" s="190" t="n">
        <v>0</v>
      </c>
      <c r="Q6" s="190" t="n">
        <f aca="false">N6+O6+P6</f>
        <v>431944.94902</v>
      </c>
      <c r="R6" s="190" t="n">
        <f aca="false">Q6*0.05</f>
        <v>21597.247451</v>
      </c>
      <c r="S6" s="189" t="n">
        <f aca="false">C6+D6-1</f>
        <v>0</v>
      </c>
      <c r="T6" s="193" t="n">
        <f aca="false">Assumptions!$B$15</f>
        <v>0.015</v>
      </c>
      <c r="W6" s="194" t="n">
        <v>15</v>
      </c>
    </row>
    <row r="7" customFormat="false" ht="15" hidden="false" customHeight="true" outlineLevel="0" collapsed="false">
      <c r="A7" s="189" t="s">
        <v>12</v>
      </c>
      <c r="B7" s="190" t="n">
        <v>42794765</v>
      </c>
      <c r="C7" s="191" t="n">
        <v>5</v>
      </c>
      <c r="D7" s="191"/>
      <c r="E7" s="191"/>
      <c r="F7" s="191" t="s">
        <v>612</v>
      </c>
      <c r="G7" s="191" t="s">
        <v>612</v>
      </c>
      <c r="H7" s="191" t="n">
        <v>1</v>
      </c>
      <c r="I7" s="192" t="n">
        <f aca="false">Assumptions!$B$18</f>
        <v>0.00725158134079107</v>
      </c>
      <c r="J7" s="191" t="s">
        <v>612</v>
      </c>
      <c r="K7" s="191" t="s">
        <v>612</v>
      </c>
      <c r="L7" s="191" t="s">
        <v>613</v>
      </c>
      <c r="N7" s="190" t="n">
        <f aca="false">B7*Assumptions!$B$10</f>
        <v>2208038.69494</v>
      </c>
      <c r="O7" s="190" t="n">
        <f aca="false">B7*Assumptions!$B$11</f>
        <v>2208038.69494</v>
      </c>
      <c r="P7" s="190" t="n">
        <f aca="false">B7*Assumptions!$B$12</f>
        <v>736027.163235</v>
      </c>
      <c r="Q7" s="190" t="n">
        <f aca="false">N7+O7+P7</f>
        <v>5152104.553115</v>
      </c>
      <c r="R7" s="190" t="n">
        <f aca="false">Q7*0.05</f>
        <v>257605.22765575</v>
      </c>
      <c r="S7" s="189" t="n">
        <f aca="false">C7+D7-1</f>
        <v>4</v>
      </c>
      <c r="T7" s="193" t="n">
        <f aca="false">839113/B7</f>
        <v>0.0196078422208885</v>
      </c>
      <c r="W7" s="194" t="n">
        <v>36</v>
      </c>
    </row>
    <row r="8" customFormat="false" ht="15" hidden="false" customHeight="true" outlineLevel="0" collapsed="false">
      <c r="A8" s="189" t="s">
        <v>13</v>
      </c>
      <c r="B8" s="190" t="n">
        <v>12993776.05</v>
      </c>
      <c r="C8" s="191" t="n">
        <v>6</v>
      </c>
      <c r="D8" s="191" t="n">
        <v>19</v>
      </c>
      <c r="E8" s="191" t="n">
        <v>3</v>
      </c>
      <c r="F8" s="191" t="s">
        <v>612</v>
      </c>
      <c r="G8" s="191" t="s">
        <v>612</v>
      </c>
      <c r="H8" s="191" t="n">
        <v>1</v>
      </c>
      <c r="I8" s="192" t="n">
        <f aca="false">Assumptions!$B$18</f>
        <v>0.00725158134079107</v>
      </c>
      <c r="J8" s="191" t="s">
        <v>611</v>
      </c>
      <c r="K8" s="191" t="s">
        <v>612</v>
      </c>
      <c r="L8" s="191" t="s">
        <v>616</v>
      </c>
      <c r="N8" s="190" t="n">
        <f aca="false">B8*Assumptions!$B$10</f>
        <v>670426.8690758</v>
      </c>
      <c r="O8" s="190" t="n">
        <f aca="false">B8*Assumptions!$B$11</f>
        <v>670426.8690758</v>
      </c>
      <c r="P8" s="190" t="n">
        <f aca="false">B8*Assumptions!$B$12</f>
        <v>223479.95428395</v>
      </c>
      <c r="Q8" s="190" t="n">
        <f aca="false">N8+O8+P8</f>
        <v>1564333.69243555</v>
      </c>
      <c r="R8" s="190" t="n">
        <f aca="false">Q8*0.05</f>
        <v>78216.6846217775</v>
      </c>
      <c r="S8" s="189" t="n">
        <f aca="false">C8+D8-1</f>
        <v>24</v>
      </c>
      <c r="T8" s="193" t="n">
        <f aca="false">192026.25/B8</f>
        <v>0.0147783253506205</v>
      </c>
      <c r="W8" s="194" t="n">
        <f aca="false">C8+D8-1</f>
        <v>24</v>
      </c>
    </row>
    <row r="9" customFormat="false" ht="15" hidden="false" customHeight="true" outlineLevel="0" collapsed="false">
      <c r="A9" s="189" t="s">
        <v>14</v>
      </c>
      <c r="B9" s="190" t="n">
        <v>14337010.8</v>
      </c>
      <c r="C9" s="191" t="n">
        <v>5</v>
      </c>
      <c r="D9" s="191" t="n">
        <v>19</v>
      </c>
      <c r="E9" s="191" t="n">
        <v>3</v>
      </c>
      <c r="F9" s="191" t="s">
        <v>612</v>
      </c>
      <c r="G9" s="191" t="s">
        <v>612</v>
      </c>
      <c r="H9" s="191" t="n">
        <v>1</v>
      </c>
      <c r="I9" s="192" t="n">
        <v>0</v>
      </c>
      <c r="J9" s="191" t="s">
        <v>611</v>
      </c>
      <c r="K9" s="191" t="s">
        <v>612</v>
      </c>
      <c r="L9" s="191" t="s">
        <v>616</v>
      </c>
      <c r="N9" s="190" t="n">
        <f aca="false">B9*Assumptions!$B$10</f>
        <v>739732.4092368</v>
      </c>
      <c r="O9" s="190" t="n">
        <f aca="false">B9*Assumptions!$B$11</f>
        <v>739732.4092368</v>
      </c>
      <c r="P9" s="190" t="n">
        <f aca="false">B9*Assumptions!$B$12</f>
        <v>246582.2487492</v>
      </c>
      <c r="Q9" s="190" t="n">
        <f aca="false">N9+O9+P9</f>
        <v>1726047.0672228</v>
      </c>
      <c r="R9" s="190" t="n">
        <f aca="false">Q9*0.05</f>
        <v>86302.35336114</v>
      </c>
      <c r="S9" s="189" t="n">
        <f aca="false">C9+D9-1</f>
        <v>23</v>
      </c>
      <c r="T9" s="193" t="n">
        <f aca="false">211877.01/B9</f>
        <v>0.0147783253396168</v>
      </c>
      <c r="W9" s="194" t="n">
        <f aca="false">C9+D9-1</f>
        <v>23</v>
      </c>
    </row>
    <row r="10" customFormat="false" ht="15" hidden="false" customHeight="true" outlineLevel="0" collapsed="false">
      <c r="A10" s="189" t="s">
        <v>15</v>
      </c>
      <c r="B10" s="190" t="n">
        <v>21263405</v>
      </c>
      <c r="C10" s="191" t="n">
        <v>15</v>
      </c>
      <c r="D10" s="191" t="n">
        <v>24</v>
      </c>
      <c r="E10" s="191" t="n">
        <v>2</v>
      </c>
      <c r="F10" s="191" t="s">
        <v>612</v>
      </c>
      <c r="G10" s="191" t="s">
        <v>612</v>
      </c>
      <c r="H10" s="191" t="n">
        <v>2</v>
      </c>
      <c r="I10" s="192" t="n">
        <f aca="false">IF(H10=1,Assumptions!$B$16,IF(H10=2,Assumptions!$B$17,0))</f>
        <v>0.0325</v>
      </c>
      <c r="J10" s="191" t="s">
        <v>611</v>
      </c>
      <c r="K10" s="191" t="s">
        <v>612</v>
      </c>
      <c r="L10" s="191" t="s">
        <v>616</v>
      </c>
      <c r="N10" s="190" t="n">
        <f aca="false">B10*Assumptions!$B$10</f>
        <v>1097106.64438</v>
      </c>
      <c r="O10" s="190" t="n">
        <f aca="false">B10*Assumptions!$B$11</f>
        <v>1097106.64438</v>
      </c>
      <c r="P10" s="190" t="n">
        <f aca="false">B10*Assumptions!$B$12</f>
        <v>365709.302595</v>
      </c>
      <c r="Q10" s="190" t="n">
        <f aca="false">N10+O10+P10</f>
        <v>2559922.591355</v>
      </c>
      <c r="R10" s="190" t="n">
        <f aca="false">Q10*0.05</f>
        <v>127996.12956775</v>
      </c>
      <c r="S10" s="189" t="n">
        <f aca="false">C10+D10-1</f>
        <v>38</v>
      </c>
      <c r="T10" s="193" t="n">
        <f aca="false">Assumptions!$B$15</f>
        <v>0.015</v>
      </c>
      <c r="W10" s="194" t="n">
        <f aca="false">C10+D10-1</f>
        <v>38</v>
      </c>
    </row>
    <row r="11" customFormat="false" ht="15" hidden="false" customHeight="true" outlineLevel="0" collapsed="false">
      <c r="A11" s="189" t="s">
        <v>16</v>
      </c>
      <c r="B11" s="190" t="n">
        <v>9577109</v>
      </c>
      <c r="C11" s="191" t="n">
        <v>11</v>
      </c>
      <c r="D11" s="191" t="n">
        <v>19</v>
      </c>
      <c r="E11" s="191" t="n">
        <v>3</v>
      </c>
      <c r="F11" s="191" t="s">
        <v>611</v>
      </c>
      <c r="G11" s="191" t="s">
        <v>612</v>
      </c>
      <c r="H11" s="191" t="n">
        <v>0</v>
      </c>
      <c r="I11" s="192" t="n">
        <f aca="false">IF(H11=1,Assumptions!$B$16,IF(H11=2,Assumptions!$B$17,0))</f>
        <v>0</v>
      </c>
      <c r="J11" s="191" t="s">
        <v>611</v>
      </c>
      <c r="K11" s="191" t="s">
        <v>611</v>
      </c>
      <c r="L11" s="191" t="s">
        <v>613</v>
      </c>
      <c r="N11" s="190" t="n">
        <f aca="false">B11*Assumptions!$B$10</f>
        <v>494140.515964</v>
      </c>
      <c r="O11" s="190" t="n">
        <f aca="false">B11*Assumptions!$B$11</f>
        <v>494140.515964</v>
      </c>
      <c r="P11" s="190" t="n">
        <f aca="false">B11*Assumptions!$B$12</f>
        <v>164716.697691</v>
      </c>
      <c r="Q11" s="190" t="n">
        <f aca="false">N11+O11+P11</f>
        <v>1152997.729619</v>
      </c>
      <c r="R11" s="190" t="n">
        <f aca="false">Q11*0.05</f>
        <v>57649.88648095</v>
      </c>
      <c r="S11" s="189" t="n">
        <f aca="false">C11+D11-1</f>
        <v>29</v>
      </c>
      <c r="T11" s="193" t="n">
        <f aca="false">Assumptions!$B$15</f>
        <v>0.015</v>
      </c>
      <c r="W11" s="194" t="n">
        <f aca="false">C11+D11-1</f>
        <v>29</v>
      </c>
    </row>
    <row r="12" customFormat="false" ht="15" hidden="false" customHeight="true" outlineLevel="0" collapsed="false">
      <c r="A12" s="189" t="s">
        <v>17</v>
      </c>
      <c r="B12" s="190" t="n">
        <v>7545203</v>
      </c>
      <c r="C12" s="191" t="n">
        <v>10</v>
      </c>
      <c r="D12" s="191" t="n">
        <v>19</v>
      </c>
      <c r="E12" s="191" t="n">
        <v>3</v>
      </c>
      <c r="F12" s="191" t="s">
        <v>611</v>
      </c>
      <c r="G12" s="191" t="s">
        <v>612</v>
      </c>
      <c r="H12" s="191" t="n">
        <v>0</v>
      </c>
      <c r="I12" s="192" t="n">
        <f aca="false">IF(H12=1,Assumptions!$B$16,IF(H12=2,Assumptions!$B$17,0))</f>
        <v>0</v>
      </c>
      <c r="J12" s="191" t="s">
        <v>611</v>
      </c>
      <c r="K12" s="191" t="s">
        <v>611</v>
      </c>
      <c r="L12" s="191" t="s">
        <v>613</v>
      </c>
      <c r="N12" s="190" t="n">
        <f aca="false">B12*Assumptions!$B$10</f>
        <v>389302.293988</v>
      </c>
      <c r="O12" s="190" t="n">
        <f aca="false">B12*Assumptions!$B$11</f>
        <v>389302.293988</v>
      </c>
      <c r="P12" s="190" t="n">
        <f aca="false">B12*Assumptions!$B$12</f>
        <v>129769.946397</v>
      </c>
      <c r="Q12" s="190" t="n">
        <f aca="false">N12+O12+P12</f>
        <v>908374.534373</v>
      </c>
      <c r="R12" s="190" t="n">
        <f aca="false">Q12*0.05</f>
        <v>45418.72671865</v>
      </c>
      <c r="S12" s="189" t="n">
        <f aca="false">C12+D12-1</f>
        <v>28</v>
      </c>
      <c r="T12" s="193" t="n">
        <f aca="false">Assumptions!$B$15</f>
        <v>0.015</v>
      </c>
      <c r="W12" s="194" t="n">
        <f aca="false">C12+D12-1</f>
        <v>28</v>
      </c>
    </row>
    <row r="13" customFormat="false" ht="15" hidden="false" customHeight="true" outlineLevel="0" collapsed="false">
      <c r="A13" s="189" t="s">
        <v>18</v>
      </c>
      <c r="B13" s="190" t="n">
        <v>45266770</v>
      </c>
      <c r="C13" s="191" t="n">
        <v>15</v>
      </c>
      <c r="D13" s="191" t="n">
        <v>30</v>
      </c>
      <c r="E13" s="191" t="n">
        <v>1</v>
      </c>
      <c r="F13" s="191" t="s">
        <v>612</v>
      </c>
      <c r="G13" s="191" t="s">
        <v>612</v>
      </c>
      <c r="H13" s="191" t="n">
        <v>2</v>
      </c>
      <c r="I13" s="192" t="n">
        <f aca="false">IF(H13=1,Assumptions!$B$16,IF(H13=2,Assumptions!$B$17,0))</f>
        <v>0.0325</v>
      </c>
      <c r="J13" s="191" t="s">
        <v>612</v>
      </c>
      <c r="K13" s="191" t="s">
        <v>612</v>
      </c>
      <c r="L13" s="191" t="s">
        <v>613</v>
      </c>
      <c r="N13" s="190" t="n">
        <f aca="false">B13*Assumptions!$B$10</f>
        <v>2335584.26492</v>
      </c>
      <c r="O13" s="190" t="n">
        <f aca="false">B13*Assumptions!$B$11</f>
        <v>2335584.26492</v>
      </c>
      <c r="P13" s="190" t="n">
        <f aca="false">B13*Assumptions!$B$12</f>
        <v>778543.17723</v>
      </c>
      <c r="Q13" s="190" t="n">
        <f aca="false">N13+O13+P13</f>
        <v>5449711.70707</v>
      </c>
      <c r="R13" s="190" t="n">
        <f aca="false">Q13*0.05</f>
        <v>272485.5853535</v>
      </c>
      <c r="S13" s="189" t="n">
        <f aca="false">C13+D13-1</f>
        <v>44</v>
      </c>
      <c r="T13" s="193" t="n">
        <f aca="false">Assumptions!$B$15</f>
        <v>0.015</v>
      </c>
      <c r="W13" s="194" t="n">
        <f aca="false">C13+D13-1</f>
        <v>44</v>
      </c>
    </row>
    <row r="14" customFormat="false" ht="15" hidden="false" customHeight="true" outlineLevel="0" collapsed="false">
      <c r="A14" s="189" t="s">
        <v>19</v>
      </c>
      <c r="B14" s="190" t="n">
        <v>41354632</v>
      </c>
      <c r="C14" s="191" t="n">
        <v>27</v>
      </c>
      <c r="D14" s="191" t="n">
        <v>30</v>
      </c>
      <c r="E14" s="191" t="n">
        <v>1</v>
      </c>
      <c r="F14" s="191" t="s">
        <v>612</v>
      </c>
      <c r="G14" s="191" t="s">
        <v>612</v>
      </c>
      <c r="H14" s="191" t="n">
        <v>2</v>
      </c>
      <c r="I14" s="192" t="n">
        <f aca="false">IF(H14=1,Assumptions!$B$16,IF(H14=2,Assumptions!$B$17,0))</f>
        <v>0.0325</v>
      </c>
      <c r="J14" s="191" t="s">
        <v>612</v>
      </c>
      <c r="K14" s="191" t="s">
        <v>612</v>
      </c>
      <c r="L14" s="191" t="s">
        <v>613</v>
      </c>
      <c r="N14" s="190" t="n">
        <f aca="false">B14*Assumptions!$B$10</f>
        <v>2133733.592672</v>
      </c>
      <c r="O14" s="190" t="n">
        <f aca="false">B14*Assumptions!$B$11</f>
        <v>2133733.592672</v>
      </c>
      <c r="P14" s="190" t="n">
        <f aca="false">B14*Assumptions!$B$12</f>
        <v>711258.315768</v>
      </c>
      <c r="Q14" s="190" t="n">
        <f aca="false">N14+O14+P14</f>
        <v>4978725.501112</v>
      </c>
      <c r="R14" s="190" t="n">
        <f aca="false">Q14*0.05</f>
        <v>248936.2750556</v>
      </c>
      <c r="S14" s="189" t="n">
        <f aca="false">C14+D14-1</f>
        <v>56</v>
      </c>
      <c r="T14" s="193" t="n">
        <f aca="false">Assumptions!$B$15</f>
        <v>0.015</v>
      </c>
      <c r="W14" s="194"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93"/>
    </row>
    <row r="16" customFormat="false" ht="15" hidden="false" customHeight="true" outlineLevel="0" collapsed="false">
      <c r="A16" s="90"/>
      <c r="B16" s="90"/>
      <c r="C16" s="90"/>
      <c r="D16" s="90"/>
      <c r="E16" s="90"/>
      <c r="F16" s="90"/>
      <c r="G16" s="90"/>
      <c r="H16" s="90"/>
      <c r="I16" s="90"/>
      <c r="J16" s="90"/>
      <c r="K16" s="90"/>
      <c r="L16" s="90"/>
      <c r="M16" s="195" t="s">
        <v>617</v>
      </c>
      <c r="N16" s="90"/>
      <c r="O16" s="90"/>
      <c r="P16" s="90"/>
      <c r="Q16" s="90"/>
      <c r="R16" s="90"/>
      <c r="S16" s="90"/>
      <c r="T16" s="193"/>
    </row>
    <row r="17" customFormat="false" ht="15" hidden="false" customHeight="true" outlineLevel="0" collapsed="false">
      <c r="A17" s="189" t="s">
        <v>20</v>
      </c>
      <c r="B17" s="190" t="n">
        <v>14219545</v>
      </c>
      <c r="C17" s="191" t="n">
        <v>18</v>
      </c>
      <c r="D17" s="191" t="n">
        <v>19</v>
      </c>
      <c r="E17" s="191" t="n">
        <v>3</v>
      </c>
      <c r="F17" s="191" t="s">
        <v>612</v>
      </c>
      <c r="G17" s="191" t="s">
        <v>612</v>
      </c>
      <c r="H17" s="191" t="n">
        <v>2</v>
      </c>
      <c r="I17" s="192" t="n">
        <f aca="false">IF(H17=1,Assumptions!$B$16,IF(H17=2,Assumptions!$B$17,0))</f>
        <v>0.0325</v>
      </c>
      <c r="J17" s="191" t="s">
        <v>611</v>
      </c>
      <c r="K17" s="191" t="s">
        <v>611</v>
      </c>
      <c r="L17" s="191" t="s">
        <v>613</v>
      </c>
      <c r="M17" s="196" t="s">
        <v>612</v>
      </c>
      <c r="N17" s="190" t="n">
        <f aca="false">B17*Assumptions!$B$10</f>
        <v>733671.64382</v>
      </c>
      <c r="O17" s="190" t="n">
        <f aca="false">B17*Assumptions!$B$11</f>
        <v>733671.64382</v>
      </c>
      <c r="P17" s="190" t="n">
        <f aca="false">B17*Assumptions!$B$12</f>
        <v>244561.954455</v>
      </c>
      <c r="Q17" s="190" t="n">
        <f aca="false">N17+O17+P17</f>
        <v>1711905.242095</v>
      </c>
      <c r="R17" s="190" t="n">
        <f aca="false">Q17*0.05</f>
        <v>85595.26210475</v>
      </c>
      <c r="S17" s="189" t="n">
        <f aca="false">C17+D17-1</f>
        <v>36</v>
      </c>
      <c r="T17" s="193" t="n">
        <f aca="false">Assumptions!$B$15</f>
        <v>0.015</v>
      </c>
      <c r="W17" s="194" t="n">
        <f aca="false">C17+D17-1</f>
        <v>36</v>
      </c>
      <c r="X17" s="1" t="s">
        <v>611</v>
      </c>
    </row>
    <row r="18" customFormat="false" ht="15" hidden="false" customHeight="true" outlineLevel="0" collapsed="false">
      <c r="A18" s="189" t="s">
        <v>21</v>
      </c>
      <c r="B18" s="190" t="n">
        <v>11537565</v>
      </c>
      <c r="C18" s="191" t="n">
        <v>14</v>
      </c>
      <c r="D18" s="191" t="n">
        <v>19</v>
      </c>
      <c r="E18" s="191" t="n">
        <v>3</v>
      </c>
      <c r="F18" s="191" t="s">
        <v>612</v>
      </c>
      <c r="G18" s="191" t="s">
        <v>612</v>
      </c>
      <c r="H18" s="191" t="n">
        <v>2</v>
      </c>
      <c r="I18" s="192" t="n">
        <f aca="false">IF(H18=1,Assumptions!$B$16,IF(H18=2,Assumptions!$B$17,0))</f>
        <v>0.0325</v>
      </c>
      <c r="J18" s="191" t="s">
        <v>611</v>
      </c>
      <c r="K18" s="191" t="s">
        <v>611</v>
      </c>
      <c r="L18" s="191" t="s">
        <v>613</v>
      </c>
      <c r="M18" s="196" t="s">
        <v>612</v>
      </c>
      <c r="N18" s="190" t="n">
        <f aca="false">B18*Assumptions!$B$10</f>
        <v>595292.20374</v>
      </c>
      <c r="O18" s="190" t="n">
        <f aca="false">B18*Assumptions!$B$11</f>
        <v>595292.20374</v>
      </c>
      <c r="P18" s="190" t="n">
        <f aca="false">B18*Assumptions!$B$12</f>
        <v>198434.580435</v>
      </c>
      <c r="Q18" s="190" t="n">
        <f aca="false">N18+O18+P18</f>
        <v>1389018.987915</v>
      </c>
      <c r="R18" s="190" t="n">
        <f aca="false">Q18*0.05</f>
        <v>69450.94939575</v>
      </c>
      <c r="S18" s="189" t="n">
        <f aca="false">C18+D18-1</f>
        <v>32</v>
      </c>
      <c r="T18" s="193" t="n">
        <f aca="false">Assumptions!$B$15</f>
        <v>0.015</v>
      </c>
      <c r="W18" s="194" t="n">
        <f aca="false">C18+D18-1</f>
        <v>32</v>
      </c>
      <c r="X18" s="1" t="s">
        <v>611</v>
      </c>
    </row>
    <row r="19" customFormat="false" ht="15" hidden="false" customHeight="true" outlineLevel="0" collapsed="false">
      <c r="A19" s="189" t="s">
        <v>22</v>
      </c>
      <c r="B19" s="190" t="n">
        <v>18764585</v>
      </c>
      <c r="C19" s="191" t="n">
        <v>13</v>
      </c>
      <c r="D19" s="191" t="n">
        <v>18</v>
      </c>
      <c r="E19" s="191" t="n">
        <v>3</v>
      </c>
      <c r="F19" s="191" t="s">
        <v>612</v>
      </c>
      <c r="G19" s="191" t="s">
        <v>612</v>
      </c>
      <c r="H19" s="191" t="n">
        <v>2</v>
      </c>
      <c r="I19" s="192" t="n">
        <f aca="false">IF(H19=1,Assumptions!$B$16,IF(H19=2,Assumptions!$B$17,0))</f>
        <v>0.0325</v>
      </c>
      <c r="J19" s="191" t="s">
        <v>611</v>
      </c>
      <c r="K19" s="191" t="s">
        <v>611</v>
      </c>
      <c r="L19" s="191" t="s">
        <v>613</v>
      </c>
      <c r="M19" s="196" t="s">
        <v>612</v>
      </c>
      <c r="N19" s="190" t="n">
        <f aca="false">B19*Assumptions!$B$10</f>
        <v>968177.52766</v>
      </c>
      <c r="O19" s="190" t="n">
        <f aca="false">B19*Assumptions!$B$11</f>
        <v>968177.52766</v>
      </c>
      <c r="P19" s="190" t="n">
        <f aca="false">B19*Assumptions!$B$12</f>
        <v>322732.097415</v>
      </c>
      <c r="Q19" s="190" t="n">
        <f aca="false">N19+O19+P19</f>
        <v>2259087.152735</v>
      </c>
      <c r="R19" s="190" t="n">
        <f aca="false">Q19*0.05</f>
        <v>112954.35763675</v>
      </c>
      <c r="S19" s="189" t="n">
        <f aca="false">C19+D19-1</f>
        <v>30</v>
      </c>
      <c r="T19" s="193" t="n">
        <f aca="false">Assumptions!$B$15</f>
        <v>0.015</v>
      </c>
      <c r="W19" s="194" t="n">
        <f aca="false">C19+D19-1</f>
        <v>30</v>
      </c>
      <c r="X19" s="1" t="s">
        <v>611</v>
      </c>
    </row>
    <row r="20" customFormat="false" ht="15" hidden="false" customHeight="true" outlineLevel="0" collapsed="false">
      <c r="A20" s="189" t="s">
        <v>23</v>
      </c>
      <c r="B20" s="190" t="n">
        <v>25026330.58</v>
      </c>
      <c r="C20" s="191" t="n">
        <v>19</v>
      </c>
      <c r="D20" s="191" t="n">
        <v>24</v>
      </c>
      <c r="E20" s="191" t="n">
        <v>2</v>
      </c>
      <c r="F20" s="191" t="s">
        <v>611</v>
      </c>
      <c r="G20" s="191" t="s">
        <v>612</v>
      </c>
      <c r="H20" s="191" t="n">
        <v>0</v>
      </c>
      <c r="I20" s="192" t="n">
        <f aca="false">IF(H20=1,Assumptions!$B$16,IF(H20=2,Assumptions!$B$17,0))</f>
        <v>0</v>
      </c>
      <c r="J20" s="191" t="s">
        <v>611</v>
      </c>
      <c r="K20" s="191" t="s">
        <v>611</v>
      </c>
      <c r="L20" s="191" t="s">
        <v>616</v>
      </c>
      <c r="M20" s="196" t="s">
        <v>611</v>
      </c>
      <c r="N20" s="190" t="n">
        <f aca="false">B20*Assumptions!$B$10</f>
        <v>1291258.55260568</v>
      </c>
      <c r="O20" s="190" t="n">
        <f aca="false">B20*Assumptions!$B$11</f>
        <v>1291258.55260568</v>
      </c>
      <c r="P20" s="190" t="n">
        <f aca="false">B20*Assumptions!$B$12</f>
        <v>430427.85964542</v>
      </c>
      <c r="Q20" s="190" t="n">
        <f aca="false">N20+O20+P20</f>
        <v>3012944.96485678</v>
      </c>
      <c r="R20" s="190" t="n">
        <f aca="false">Q20*0.05</f>
        <v>150647.248242839</v>
      </c>
      <c r="S20" s="189" t="n">
        <f aca="false">C20+D20-1</f>
        <v>42</v>
      </c>
      <c r="T20" s="193"/>
      <c r="W20" s="194" t="n">
        <f aca="false">C20+D20-1</f>
        <v>42</v>
      </c>
      <c r="X20" s="1" t="s">
        <v>612</v>
      </c>
    </row>
    <row r="21" customFormat="false" ht="15" hidden="false" customHeight="true" outlineLevel="0" collapsed="false">
      <c r="A21" s="189" t="s">
        <v>618</v>
      </c>
      <c r="B21" s="190" t="n">
        <v>14935493</v>
      </c>
      <c r="C21" s="191" t="n">
        <v>9</v>
      </c>
      <c r="D21" s="191" t="n">
        <v>20</v>
      </c>
      <c r="E21" s="191" t="n">
        <v>3</v>
      </c>
      <c r="F21" s="191" t="s">
        <v>611</v>
      </c>
      <c r="G21" s="191" t="s">
        <v>612</v>
      </c>
      <c r="H21" s="191" t="n">
        <v>0</v>
      </c>
      <c r="I21" s="192" t="n">
        <f aca="false">IF(H21=1,Assumptions!$B$16,IF(H21=2,Assumptions!$B$17,0))</f>
        <v>0</v>
      </c>
      <c r="J21" s="191" t="s">
        <v>611</v>
      </c>
      <c r="K21" s="191" t="s">
        <v>611</v>
      </c>
      <c r="L21" s="191" t="s">
        <v>616</v>
      </c>
      <c r="M21" s="196" t="s">
        <v>612</v>
      </c>
      <c r="N21" s="190" t="n">
        <v>650000</v>
      </c>
      <c r="O21" s="190" t="n">
        <v>694071</v>
      </c>
      <c r="P21" s="190" t="n">
        <v>270857</v>
      </c>
      <c r="Q21" s="190" t="n">
        <f aca="false">N21+O21+P21</f>
        <v>1614928</v>
      </c>
      <c r="R21" s="190" t="n">
        <f aca="false">Q21*0.05</f>
        <v>80746.4</v>
      </c>
      <c r="S21" s="189" t="n">
        <f aca="false">C21+D21-1</f>
        <v>28</v>
      </c>
      <c r="T21" s="193"/>
      <c r="W21" s="194" t="n">
        <f aca="false">C21+D21-1</f>
        <v>28</v>
      </c>
      <c r="X21" s="1" t="s">
        <v>611</v>
      </c>
    </row>
    <row r="22" customFormat="false" ht="15" hidden="false" customHeight="true" outlineLevel="0" collapsed="false">
      <c r="A22" s="189" t="s">
        <v>25</v>
      </c>
      <c r="B22" s="190" t="n">
        <v>13706000</v>
      </c>
      <c r="C22" s="191" t="n">
        <v>19</v>
      </c>
      <c r="D22" s="191" t="n">
        <v>19</v>
      </c>
      <c r="E22" s="191" t="n">
        <v>3</v>
      </c>
      <c r="F22" s="191" t="s">
        <v>612</v>
      </c>
      <c r="G22" s="191" t="s">
        <v>612</v>
      </c>
      <c r="H22" s="191" t="n">
        <v>2</v>
      </c>
      <c r="I22" s="192" t="n">
        <f aca="false">IF(H22=1,Assumptions!$B$16,IF(H22=2,Assumptions!$B$17,0))</f>
        <v>0.0325</v>
      </c>
      <c r="J22" s="191" t="s">
        <v>611</v>
      </c>
      <c r="K22" s="191" t="s">
        <v>611</v>
      </c>
      <c r="L22" s="191" t="s">
        <v>613</v>
      </c>
      <c r="M22" s="196" t="s">
        <v>612</v>
      </c>
      <c r="N22" s="190" t="n">
        <f aca="false">B22*Assumptions!$B$10</f>
        <v>707174.776</v>
      </c>
      <c r="O22" s="190" t="n">
        <f aca="false">B22*Assumptions!$B$11</f>
        <v>707174.776</v>
      </c>
      <c r="P22" s="190" t="n">
        <f aca="false">B22*Assumptions!$B$12</f>
        <v>235729.494</v>
      </c>
      <c r="Q22" s="190" t="n">
        <f aca="false">N22+O22+P22</f>
        <v>1650079.046</v>
      </c>
      <c r="R22" s="190" t="n">
        <f aca="false">Q22*0.05</f>
        <v>82503.9523</v>
      </c>
      <c r="S22" s="189" t="n">
        <f aca="false">C22+D22-1</f>
        <v>37</v>
      </c>
      <c r="T22" s="193" t="n">
        <f aca="false">Assumptions!$B$15</f>
        <v>0.015</v>
      </c>
      <c r="W22" s="194" t="n">
        <f aca="false">C22+D22-1</f>
        <v>37</v>
      </c>
      <c r="X22" s="1" t="s">
        <v>611</v>
      </c>
    </row>
    <row r="23" customFormat="false" ht="15" hidden="false" customHeight="true" outlineLevel="0" collapsed="false">
      <c r="A23" s="189" t="s">
        <v>26</v>
      </c>
      <c r="B23" s="190" t="n">
        <v>15000000</v>
      </c>
      <c r="C23" s="191" t="n">
        <v>34</v>
      </c>
      <c r="D23" s="191" t="n">
        <v>19</v>
      </c>
      <c r="E23" s="191" t="n">
        <v>3</v>
      </c>
      <c r="F23" s="191" t="s">
        <v>612</v>
      </c>
      <c r="G23" s="191" t="s">
        <v>611</v>
      </c>
      <c r="H23" s="191" t="n">
        <v>2</v>
      </c>
      <c r="I23" s="192" t="n">
        <f aca="false">IF(H23=1,Assumptions!$B$16,IF(H23=2,Assumptions!$B$17,0))</f>
        <v>0.0325</v>
      </c>
      <c r="J23" s="191" t="s">
        <v>611</v>
      </c>
      <c r="K23" s="191" t="s">
        <v>611</v>
      </c>
      <c r="L23" s="191" t="s">
        <v>616</v>
      </c>
      <c r="M23" s="196" t="s">
        <v>612</v>
      </c>
      <c r="N23" s="190" t="n">
        <v>730519</v>
      </c>
      <c r="O23" s="190" t="n">
        <v>730519</v>
      </c>
      <c r="P23" s="190" t="n">
        <v>243506</v>
      </c>
      <c r="Q23" s="190" t="n">
        <f aca="false">N23+O23+P23</f>
        <v>1704544</v>
      </c>
      <c r="R23" s="190" t="n">
        <f aca="false">Q23*0.05</f>
        <v>85227.2</v>
      </c>
      <c r="S23" s="189" t="n">
        <f aca="false">C23+D23-1</f>
        <v>52</v>
      </c>
      <c r="T23" s="193" t="n">
        <f aca="false">Assumptions!$B$15</f>
        <v>0.015</v>
      </c>
      <c r="W23" s="194" t="n">
        <f aca="false">C23+D23-1</f>
        <v>52</v>
      </c>
      <c r="X23" s="1" t="s">
        <v>612</v>
      </c>
    </row>
    <row r="24" customFormat="false" ht="15" hidden="false" customHeight="true" outlineLevel="0" collapsed="false">
      <c r="A24" s="189" t="s">
        <v>27</v>
      </c>
      <c r="B24" s="190" t="n">
        <v>18000000</v>
      </c>
      <c r="C24" s="191" t="n">
        <v>37</v>
      </c>
      <c r="D24" s="191" t="n">
        <v>19</v>
      </c>
      <c r="E24" s="191" t="n">
        <v>3</v>
      </c>
      <c r="F24" s="191" t="s">
        <v>611</v>
      </c>
      <c r="G24" s="191" t="s">
        <v>611</v>
      </c>
      <c r="H24" s="191" t="n">
        <v>0</v>
      </c>
      <c r="I24" s="192" t="n">
        <f aca="false">IF(H24=1,Assumptions!$B$16,IF(H24=2,Assumptions!$B$17,0))</f>
        <v>0</v>
      </c>
      <c r="J24" s="191" t="s">
        <v>611</v>
      </c>
      <c r="K24" s="191" t="s">
        <v>611</v>
      </c>
      <c r="L24" s="191" t="s">
        <v>616</v>
      </c>
      <c r="M24" s="196" t="s">
        <v>611</v>
      </c>
      <c r="N24" s="190" t="n">
        <v>876623</v>
      </c>
      <c r="O24" s="190" t="n">
        <v>876623</v>
      </c>
      <c r="P24" s="190" t="n">
        <v>292208</v>
      </c>
      <c r="Q24" s="190" t="n">
        <f aca="false">N24+O24+P24</f>
        <v>2045454</v>
      </c>
      <c r="R24" s="190" t="n">
        <f aca="false">Q24*0.05</f>
        <v>102272.7</v>
      </c>
      <c r="S24" s="189" t="n">
        <f aca="false">C24+D24-1</f>
        <v>55</v>
      </c>
      <c r="T24" s="193"/>
      <c r="W24" s="194" t="n">
        <f aca="false">C24+D24-1</f>
        <v>55</v>
      </c>
      <c r="X24" s="1" t="s">
        <v>612</v>
      </c>
    </row>
    <row r="25" customFormat="false" ht="15" hidden="false" customHeight="true" outlineLevel="0" collapsed="false">
      <c r="A25" s="189" t="s">
        <v>28</v>
      </c>
      <c r="B25" s="190" t="n">
        <v>18000000</v>
      </c>
      <c r="C25" s="191" t="n">
        <v>40</v>
      </c>
      <c r="D25" s="191" t="n">
        <v>19</v>
      </c>
      <c r="E25" s="191" t="n">
        <v>3</v>
      </c>
      <c r="F25" s="191" t="s">
        <v>611</v>
      </c>
      <c r="G25" s="191" t="s">
        <v>611</v>
      </c>
      <c r="H25" s="191" t="n">
        <v>0</v>
      </c>
      <c r="I25" s="192" t="n">
        <f aca="false">IF(H25=1,Assumptions!$B$16,IF(H25=2,Assumptions!$B$17,0))</f>
        <v>0</v>
      </c>
      <c r="J25" s="191" t="s">
        <v>611</v>
      </c>
      <c r="K25" s="191" t="s">
        <v>611</v>
      </c>
      <c r="L25" s="191" t="s">
        <v>616</v>
      </c>
      <c r="M25" s="196" t="s">
        <v>611</v>
      </c>
      <c r="N25" s="190" t="n">
        <v>876623</v>
      </c>
      <c r="O25" s="190" t="n">
        <v>876623</v>
      </c>
      <c r="P25" s="190" t="n">
        <v>292208</v>
      </c>
      <c r="Q25" s="190" t="n">
        <f aca="false">N25+O25+P25</f>
        <v>2045454</v>
      </c>
      <c r="R25" s="190" t="n">
        <f aca="false">Q25*0.05</f>
        <v>102272.7</v>
      </c>
      <c r="S25" s="189" t="n">
        <f aca="false">C25+D25-1</f>
        <v>58</v>
      </c>
      <c r="T25" s="193"/>
      <c r="W25" s="194" t="n">
        <f aca="false">C25+D25-1</f>
        <v>58</v>
      </c>
      <c r="X25" s="1" t="s">
        <v>612</v>
      </c>
    </row>
    <row r="26" customFormat="false" ht="15" hidden="false" customHeight="true" outlineLevel="0" collapsed="false">
      <c r="A26" s="189" t="s">
        <v>29</v>
      </c>
      <c r="B26" s="190" t="n">
        <v>18000000</v>
      </c>
      <c r="C26" s="191" t="n">
        <v>42</v>
      </c>
      <c r="D26" s="191" t="n">
        <v>19</v>
      </c>
      <c r="E26" s="191" t="n">
        <v>3</v>
      </c>
      <c r="F26" s="191" t="s">
        <v>611</v>
      </c>
      <c r="G26" s="191" t="s">
        <v>611</v>
      </c>
      <c r="H26" s="191" t="n">
        <v>0</v>
      </c>
      <c r="I26" s="192" t="n">
        <f aca="false">IF(H26=1,Assumptions!$B$16,IF(H26=2,Assumptions!$B$17,0))</f>
        <v>0</v>
      </c>
      <c r="J26" s="191" t="s">
        <v>611</v>
      </c>
      <c r="K26" s="191" t="s">
        <v>611</v>
      </c>
      <c r="L26" s="191" t="s">
        <v>616</v>
      </c>
      <c r="M26" s="196" t="s">
        <v>611</v>
      </c>
      <c r="N26" s="190" t="n">
        <v>876623</v>
      </c>
      <c r="O26" s="190" t="n">
        <v>876623</v>
      </c>
      <c r="P26" s="190" t="n">
        <v>292208</v>
      </c>
      <c r="Q26" s="190" t="n">
        <f aca="false">N26+O26+P26</f>
        <v>2045454</v>
      </c>
      <c r="R26" s="190" t="n">
        <f aca="false">Q26*0.05</f>
        <v>102272.7</v>
      </c>
      <c r="S26" s="189" t="n">
        <f aca="false">C26+D26-1</f>
        <v>60</v>
      </c>
      <c r="T26" s="193"/>
      <c r="W26" s="194" t="n">
        <f aca="false">C26+D26-1</f>
        <v>60</v>
      </c>
      <c r="X26" s="1" t="s">
        <v>612</v>
      </c>
    </row>
    <row r="27" customFormat="false" ht="15" hidden="false" customHeight="true" outlineLevel="0" collapsed="false">
      <c r="A27" s="189" t="s">
        <v>30</v>
      </c>
      <c r="B27" s="190" t="n">
        <v>15000000</v>
      </c>
      <c r="C27" s="191" t="n">
        <v>44</v>
      </c>
      <c r="D27" s="191" t="n">
        <v>19</v>
      </c>
      <c r="E27" s="191" t="n">
        <v>3</v>
      </c>
      <c r="F27" s="191" t="s">
        <v>611</v>
      </c>
      <c r="G27" s="191" t="s">
        <v>611</v>
      </c>
      <c r="H27" s="191" t="n">
        <v>0</v>
      </c>
      <c r="I27" s="192" t="n">
        <f aca="false">IF(H27=1,Assumptions!$B$16,IF(H27=2,Assumptions!$B$17,0))</f>
        <v>0</v>
      </c>
      <c r="J27" s="191" t="s">
        <v>611</v>
      </c>
      <c r="K27" s="191" t="s">
        <v>611</v>
      </c>
      <c r="L27" s="191" t="s">
        <v>616</v>
      </c>
      <c r="M27" s="196" t="s">
        <v>611</v>
      </c>
      <c r="N27" s="190" t="n">
        <v>730519</v>
      </c>
      <c r="O27" s="190" t="n">
        <v>730519</v>
      </c>
      <c r="P27" s="190" t="n">
        <v>243506</v>
      </c>
      <c r="Q27" s="190" t="n">
        <f aca="false">N27+O27+P27</f>
        <v>1704544</v>
      </c>
      <c r="R27" s="190" t="n">
        <f aca="false">Q27*0.05</f>
        <v>85227.2</v>
      </c>
      <c r="S27" s="189" t="n">
        <f aca="false">C27+D27-1</f>
        <v>62</v>
      </c>
      <c r="T27" s="193"/>
      <c r="W27" s="194" t="n">
        <f aca="false">C27+D27-1</f>
        <v>62</v>
      </c>
      <c r="X27" s="1" t="s">
        <v>612</v>
      </c>
    </row>
    <row r="28" customFormat="false" ht="15" hidden="false" customHeight="true" outlineLevel="0" collapsed="false">
      <c r="A28" s="189" t="s">
        <v>31</v>
      </c>
      <c r="B28" s="190" t="n">
        <v>15000000</v>
      </c>
      <c r="C28" s="191" t="n">
        <v>46</v>
      </c>
      <c r="D28" s="191" t="n">
        <v>19</v>
      </c>
      <c r="E28" s="191" t="n">
        <v>3</v>
      </c>
      <c r="F28" s="191" t="s">
        <v>612</v>
      </c>
      <c r="G28" s="191" t="s">
        <v>611</v>
      </c>
      <c r="H28" s="191" t="n">
        <v>2</v>
      </c>
      <c r="I28" s="192" t="n">
        <f aca="false">IF(H28=1,Assumptions!$B$16,IF(H28=2,Assumptions!$B$17,0))</f>
        <v>0.0325</v>
      </c>
      <c r="J28" s="191" t="s">
        <v>611</v>
      </c>
      <c r="K28" s="191" t="s">
        <v>611</v>
      </c>
      <c r="L28" s="191" t="s">
        <v>616</v>
      </c>
      <c r="M28" s="196" t="s">
        <v>612</v>
      </c>
      <c r="N28" s="190" t="n">
        <v>730519</v>
      </c>
      <c r="O28" s="190" t="n">
        <v>730519</v>
      </c>
      <c r="P28" s="190" t="n">
        <v>243506</v>
      </c>
      <c r="Q28" s="190" t="n">
        <f aca="false">N28+O28+P28</f>
        <v>1704544</v>
      </c>
      <c r="R28" s="190" t="n">
        <f aca="false">Q28*0.05</f>
        <v>85227.2</v>
      </c>
      <c r="S28" s="189" t="n">
        <f aca="false">C28+D28-1</f>
        <v>64</v>
      </c>
      <c r="T28" s="193" t="n">
        <f aca="false">Assumptions!$B$15</f>
        <v>0.015</v>
      </c>
      <c r="W28" s="194" t="n">
        <f aca="false">C28+D28-1</f>
        <v>64</v>
      </c>
      <c r="X28" s="1" t="s">
        <v>612</v>
      </c>
    </row>
    <row r="29" customFormat="false" ht="15" hidden="false" customHeight="true" outlineLevel="0" collapsed="false">
      <c r="A29" s="189" t="s">
        <v>32</v>
      </c>
      <c r="B29" s="190" t="n">
        <v>15000000</v>
      </c>
      <c r="C29" s="191" t="n">
        <v>48</v>
      </c>
      <c r="D29" s="191" t="n">
        <v>19</v>
      </c>
      <c r="E29" s="191" t="n">
        <v>3</v>
      </c>
      <c r="F29" s="191" t="s">
        <v>611</v>
      </c>
      <c r="G29" s="191" t="s">
        <v>611</v>
      </c>
      <c r="H29" s="191" t="n">
        <v>0</v>
      </c>
      <c r="I29" s="192" t="n">
        <f aca="false">IF(H29=1,Assumptions!$B$16,IF(H29=2,Assumptions!$B$17,0))</f>
        <v>0</v>
      </c>
      <c r="J29" s="191" t="s">
        <v>611</v>
      </c>
      <c r="K29" s="191" t="s">
        <v>611</v>
      </c>
      <c r="L29" s="191" t="s">
        <v>616</v>
      </c>
      <c r="M29" s="196" t="s">
        <v>611</v>
      </c>
      <c r="N29" s="190" t="n">
        <v>730519</v>
      </c>
      <c r="O29" s="190" t="n">
        <v>730519</v>
      </c>
      <c r="P29" s="190" t="n">
        <v>243506</v>
      </c>
      <c r="Q29" s="190" t="n">
        <f aca="false">N29+O29+P29</f>
        <v>1704544</v>
      </c>
      <c r="R29" s="190" t="n">
        <f aca="false">Q29*0.05</f>
        <v>85227.2</v>
      </c>
      <c r="S29" s="189" t="n">
        <f aca="false">C29+D29-1</f>
        <v>66</v>
      </c>
      <c r="T29" s="193"/>
      <c r="W29" s="194" t="n">
        <f aca="false">C29+D29-1</f>
        <v>66</v>
      </c>
      <c r="X29" s="1" t="s">
        <v>612</v>
      </c>
    </row>
    <row r="30" customFormat="false" ht="15" hidden="false" customHeight="true" outlineLevel="0" collapsed="false">
      <c r="A30" s="189" t="s">
        <v>33</v>
      </c>
      <c r="B30" s="190" t="n">
        <v>15000000</v>
      </c>
      <c r="C30" s="191" t="n">
        <v>50</v>
      </c>
      <c r="D30" s="191" t="n">
        <v>19</v>
      </c>
      <c r="E30" s="191" t="n">
        <v>3</v>
      </c>
      <c r="F30" s="191" t="s">
        <v>611</v>
      </c>
      <c r="G30" s="191" t="s">
        <v>611</v>
      </c>
      <c r="H30" s="191" t="n">
        <v>0</v>
      </c>
      <c r="I30" s="192" t="n">
        <f aca="false">IF(H30=1,Assumptions!$B$16,IF(H30=2,Assumptions!$B$17,0))</f>
        <v>0</v>
      </c>
      <c r="J30" s="191" t="s">
        <v>611</v>
      </c>
      <c r="K30" s="191" t="s">
        <v>611</v>
      </c>
      <c r="L30" s="191" t="s">
        <v>616</v>
      </c>
      <c r="M30" s="196" t="s">
        <v>611</v>
      </c>
      <c r="N30" s="190" t="n">
        <v>730519</v>
      </c>
      <c r="O30" s="190" t="n">
        <v>730519</v>
      </c>
      <c r="P30" s="190" t="n">
        <v>243506</v>
      </c>
      <c r="Q30" s="190" t="n">
        <f aca="false">N30+O30+P30</f>
        <v>1704544</v>
      </c>
      <c r="R30" s="190" t="n">
        <f aca="false">Q30*0.05</f>
        <v>85227.2</v>
      </c>
      <c r="S30" s="189" t="n">
        <f aca="false">C30+D30-1</f>
        <v>68</v>
      </c>
      <c r="T30" s="193"/>
      <c r="W30" s="194" t="n">
        <f aca="false">C30+D30-1</f>
        <v>68</v>
      </c>
      <c r="X30" s="1" t="s">
        <v>612</v>
      </c>
    </row>
    <row r="31" customFormat="false" ht="15" hidden="false" customHeight="true" outlineLevel="0" collapsed="false">
      <c r="A31" s="189" t="s">
        <v>34</v>
      </c>
      <c r="B31" s="190" t="n">
        <v>18000000</v>
      </c>
      <c r="C31" s="191" t="n">
        <v>52</v>
      </c>
      <c r="D31" s="191" t="n">
        <v>19</v>
      </c>
      <c r="E31" s="191" t="n">
        <v>3</v>
      </c>
      <c r="F31" s="191" t="s">
        <v>611</v>
      </c>
      <c r="G31" s="191" t="s">
        <v>611</v>
      </c>
      <c r="H31" s="191" t="n">
        <v>0</v>
      </c>
      <c r="I31" s="192" t="n">
        <f aca="false">IF(H31=1,Assumptions!$B$16,IF(H31=2,Assumptions!$B$17,0))</f>
        <v>0</v>
      </c>
      <c r="J31" s="191" t="s">
        <v>611</v>
      </c>
      <c r="K31" s="191" t="s">
        <v>611</v>
      </c>
      <c r="L31" s="191" t="s">
        <v>616</v>
      </c>
      <c r="M31" s="196" t="s">
        <v>611</v>
      </c>
      <c r="N31" s="190" t="n">
        <v>876623</v>
      </c>
      <c r="O31" s="190" t="n">
        <v>876623</v>
      </c>
      <c r="P31" s="190" t="n">
        <v>292208</v>
      </c>
      <c r="Q31" s="190" t="n">
        <f aca="false">N31+O31+P31</f>
        <v>2045454</v>
      </c>
      <c r="R31" s="190" t="n">
        <f aca="false">Q31*0.05</f>
        <v>102272.7</v>
      </c>
      <c r="S31" s="189" t="n">
        <f aca="false">C31+D31-1</f>
        <v>70</v>
      </c>
      <c r="T31" s="193"/>
      <c r="W31" s="194" t="n">
        <f aca="false">C31+D31-1</f>
        <v>70</v>
      </c>
      <c r="X31" s="1" t="s">
        <v>612</v>
      </c>
    </row>
    <row r="32" customFormat="false" ht="15" hidden="false" customHeight="true" outlineLevel="0" collapsed="false">
      <c r="A32" s="189" t="s">
        <v>35</v>
      </c>
      <c r="B32" s="190" t="n">
        <v>15000000</v>
      </c>
      <c r="C32" s="191" t="n">
        <v>54</v>
      </c>
      <c r="D32" s="191" t="n">
        <v>19</v>
      </c>
      <c r="E32" s="191" t="n">
        <v>3</v>
      </c>
      <c r="F32" s="191" t="s">
        <v>611</v>
      </c>
      <c r="G32" s="191" t="s">
        <v>611</v>
      </c>
      <c r="H32" s="191" t="n">
        <v>0</v>
      </c>
      <c r="I32" s="192" t="n">
        <f aca="false">IF(H32=1,Assumptions!$B$16,IF(H32=2,Assumptions!$B$17,0))</f>
        <v>0</v>
      </c>
      <c r="J32" s="191" t="s">
        <v>611</v>
      </c>
      <c r="K32" s="191" t="s">
        <v>611</v>
      </c>
      <c r="L32" s="191" t="s">
        <v>616</v>
      </c>
      <c r="M32" s="196" t="s">
        <v>611</v>
      </c>
      <c r="N32" s="190" t="n">
        <v>730519</v>
      </c>
      <c r="O32" s="190" t="n">
        <v>730519</v>
      </c>
      <c r="P32" s="190" t="n">
        <v>243506</v>
      </c>
      <c r="Q32" s="190" t="n">
        <f aca="false">N32+O32+P32</f>
        <v>1704544</v>
      </c>
      <c r="R32" s="190" t="n">
        <f aca="false">Q32*0.05</f>
        <v>85227.2</v>
      </c>
      <c r="S32" s="189" t="n">
        <f aca="false">C32+D32-1</f>
        <v>72</v>
      </c>
      <c r="T32" s="193"/>
      <c r="W32" s="194" t="n">
        <f aca="false">C32+D32-1</f>
        <v>72</v>
      </c>
      <c r="X32" s="1" t="s">
        <v>612</v>
      </c>
    </row>
    <row r="33" customFormat="false" ht="15" hidden="false" customHeight="true" outlineLevel="0" collapsed="false">
      <c r="A33" s="189" t="s">
        <v>36</v>
      </c>
      <c r="B33" s="190" t="n">
        <v>15000000</v>
      </c>
      <c r="C33" s="191" t="n">
        <v>56</v>
      </c>
      <c r="D33" s="191" t="n">
        <v>19</v>
      </c>
      <c r="E33" s="191" t="n">
        <v>3</v>
      </c>
      <c r="F33" s="191" t="s">
        <v>611</v>
      </c>
      <c r="G33" s="191" t="s">
        <v>611</v>
      </c>
      <c r="H33" s="191" t="n">
        <v>0</v>
      </c>
      <c r="I33" s="192" t="n">
        <f aca="false">IF(H33=1,Assumptions!$B$16,IF(H33=2,Assumptions!$B$17,0))</f>
        <v>0</v>
      </c>
      <c r="J33" s="191" t="s">
        <v>611</v>
      </c>
      <c r="K33" s="191" t="s">
        <v>611</v>
      </c>
      <c r="L33" s="191" t="s">
        <v>616</v>
      </c>
      <c r="M33" s="196" t="s">
        <v>611</v>
      </c>
      <c r="N33" s="190" t="n">
        <v>730519</v>
      </c>
      <c r="O33" s="190" t="n">
        <v>730519</v>
      </c>
      <c r="P33" s="190" t="n">
        <v>243506</v>
      </c>
      <c r="Q33" s="190" t="n">
        <f aca="false">N33+O33+P33</f>
        <v>1704544</v>
      </c>
      <c r="R33" s="190" t="n">
        <f aca="false">Q33*0.05</f>
        <v>85227.2</v>
      </c>
      <c r="S33" s="189" t="n">
        <f aca="false">C33+D33-1</f>
        <v>74</v>
      </c>
      <c r="T33" s="193"/>
      <c r="W33" s="194" t="n">
        <f aca="false">C33+D33-1</f>
        <v>74</v>
      </c>
      <c r="X33" s="1" t="s">
        <v>612</v>
      </c>
    </row>
    <row r="34" customFormat="false" ht="15" hidden="false" customHeight="true" outlineLevel="0" collapsed="false">
      <c r="A34" s="189" t="s">
        <v>37</v>
      </c>
      <c r="B34" s="190" t="n">
        <v>18000000</v>
      </c>
      <c r="C34" s="191" t="n">
        <v>58</v>
      </c>
      <c r="D34" s="191" t="n">
        <v>19</v>
      </c>
      <c r="E34" s="191" t="n">
        <v>3</v>
      </c>
      <c r="F34" s="191" t="s">
        <v>612</v>
      </c>
      <c r="G34" s="191" t="s">
        <v>611</v>
      </c>
      <c r="H34" s="191" t="n">
        <v>2</v>
      </c>
      <c r="I34" s="192" t="n">
        <f aca="false">IF(H34=1,Assumptions!$B$16,IF(H34=2,Assumptions!$B$17,0))</f>
        <v>0.0325</v>
      </c>
      <c r="J34" s="191" t="s">
        <v>611</v>
      </c>
      <c r="K34" s="191" t="s">
        <v>611</v>
      </c>
      <c r="L34" s="191" t="s">
        <v>616</v>
      </c>
      <c r="M34" s="196" t="s">
        <v>612</v>
      </c>
      <c r="N34" s="190" t="n">
        <v>876623</v>
      </c>
      <c r="O34" s="190" t="n">
        <v>876623</v>
      </c>
      <c r="P34" s="190" t="n">
        <v>292208</v>
      </c>
      <c r="Q34" s="190" t="n">
        <f aca="false">N34+O34+P34</f>
        <v>2045454</v>
      </c>
      <c r="R34" s="190" t="n">
        <f aca="false">Q34*0.05</f>
        <v>102272.7</v>
      </c>
      <c r="S34" s="189" t="n">
        <f aca="false">C34+D34-1</f>
        <v>76</v>
      </c>
      <c r="T34" s="193" t="n">
        <f aca="false">Assumptions!$B$15</f>
        <v>0.015</v>
      </c>
      <c r="W34" s="194" t="n">
        <f aca="false">C34+D34-1</f>
        <v>76</v>
      </c>
      <c r="X34" s="1" t="s">
        <v>612</v>
      </c>
    </row>
    <row r="35" customFormat="false" ht="15" hidden="false" customHeight="true" outlineLevel="0" collapsed="false">
      <c r="A35" s="189" t="s">
        <v>38</v>
      </c>
      <c r="B35" s="190" t="n">
        <v>15000000</v>
      </c>
      <c r="C35" s="191" t="n">
        <v>60</v>
      </c>
      <c r="D35" s="191" t="n">
        <v>19</v>
      </c>
      <c r="E35" s="191" t="n">
        <v>3</v>
      </c>
      <c r="F35" s="191" t="s">
        <v>611</v>
      </c>
      <c r="G35" s="191" t="s">
        <v>611</v>
      </c>
      <c r="H35" s="191" t="n">
        <v>0</v>
      </c>
      <c r="I35" s="192" t="n">
        <f aca="false">IF(H35=1,Assumptions!$B$16,IF(H35=2,Assumptions!$B$17,0))</f>
        <v>0</v>
      </c>
      <c r="J35" s="191" t="s">
        <v>611</v>
      </c>
      <c r="K35" s="191" t="s">
        <v>611</v>
      </c>
      <c r="L35" s="191" t="s">
        <v>616</v>
      </c>
      <c r="M35" s="196" t="s">
        <v>611</v>
      </c>
      <c r="N35" s="190" t="n">
        <v>730519</v>
      </c>
      <c r="O35" s="190" t="n">
        <v>730519</v>
      </c>
      <c r="P35" s="190" t="n">
        <v>243506</v>
      </c>
      <c r="Q35" s="190" t="n">
        <f aca="false">N35+O35+P35</f>
        <v>1704544</v>
      </c>
      <c r="R35" s="190" t="n">
        <f aca="false">Q35*0.05</f>
        <v>85227.2</v>
      </c>
      <c r="S35" s="189" t="n">
        <f aca="false">C35+D35-1</f>
        <v>78</v>
      </c>
      <c r="T35" s="193"/>
      <c r="W35" s="194" t="n">
        <f aca="false">C35+D35-1</f>
        <v>78</v>
      </c>
      <c r="X35" s="1" t="s">
        <v>612</v>
      </c>
    </row>
    <row r="36" customFormat="false" ht="15" hidden="false" customHeight="true" outlineLevel="0" collapsed="false">
      <c r="A36" s="189" t="s">
        <v>39</v>
      </c>
      <c r="B36" s="190" t="n">
        <v>18000000</v>
      </c>
      <c r="C36" s="191" t="n">
        <v>62</v>
      </c>
      <c r="D36" s="191" t="n">
        <v>19</v>
      </c>
      <c r="E36" s="191" t="n">
        <v>3</v>
      </c>
      <c r="F36" s="191" t="s">
        <v>611</v>
      </c>
      <c r="G36" s="191" t="s">
        <v>611</v>
      </c>
      <c r="H36" s="191" t="n">
        <v>0</v>
      </c>
      <c r="I36" s="192" t="n">
        <f aca="false">IF(H36=1,Assumptions!$B$16,IF(H36=2,Assumptions!$B$17,0))</f>
        <v>0</v>
      </c>
      <c r="J36" s="191" t="s">
        <v>611</v>
      </c>
      <c r="K36" s="191" t="s">
        <v>611</v>
      </c>
      <c r="L36" s="191" t="s">
        <v>616</v>
      </c>
      <c r="M36" s="196" t="s">
        <v>611</v>
      </c>
      <c r="N36" s="190" t="n">
        <v>876623</v>
      </c>
      <c r="O36" s="190" t="n">
        <v>876623</v>
      </c>
      <c r="P36" s="190" t="n">
        <v>292208</v>
      </c>
      <c r="Q36" s="190" t="n">
        <f aca="false">N36+O36+P36</f>
        <v>2045454</v>
      </c>
      <c r="R36" s="190" t="n">
        <f aca="false">Q36*0.05</f>
        <v>102272.7</v>
      </c>
      <c r="S36" s="189" t="n">
        <f aca="false">C36+D36-1</f>
        <v>80</v>
      </c>
      <c r="T36" s="193"/>
      <c r="W36" s="194" t="n">
        <f aca="false">C36+D36-1</f>
        <v>80</v>
      </c>
      <c r="X36" s="1" t="s">
        <v>612</v>
      </c>
    </row>
    <row r="37" customFormat="false" ht="15" hidden="false" customHeight="true" outlineLevel="0" collapsed="false">
      <c r="A37" s="189" t="s">
        <v>40</v>
      </c>
      <c r="B37" s="190" t="n">
        <v>15000000</v>
      </c>
      <c r="C37" s="191" t="n">
        <v>64</v>
      </c>
      <c r="D37" s="191" t="n">
        <v>19</v>
      </c>
      <c r="E37" s="191" t="n">
        <v>3</v>
      </c>
      <c r="F37" s="191" t="s">
        <v>611</v>
      </c>
      <c r="G37" s="191" t="s">
        <v>611</v>
      </c>
      <c r="H37" s="191" t="n">
        <v>0</v>
      </c>
      <c r="I37" s="192" t="n">
        <f aca="false">IF(H37=1,Assumptions!$B$16,IF(H37=2,Assumptions!$B$17,0))</f>
        <v>0</v>
      </c>
      <c r="J37" s="191" t="s">
        <v>611</v>
      </c>
      <c r="K37" s="191" t="s">
        <v>611</v>
      </c>
      <c r="L37" s="191" t="s">
        <v>616</v>
      </c>
      <c r="M37" s="196" t="s">
        <v>611</v>
      </c>
      <c r="N37" s="190" t="n">
        <v>730519</v>
      </c>
      <c r="O37" s="190" t="n">
        <v>730519</v>
      </c>
      <c r="P37" s="190" t="n">
        <v>243506</v>
      </c>
      <c r="Q37" s="190" t="n">
        <f aca="false">N37+O37+P37</f>
        <v>1704544</v>
      </c>
      <c r="R37" s="190" t="n">
        <f aca="false">Q37*0.05</f>
        <v>85227.2</v>
      </c>
      <c r="S37" s="189" t="n">
        <f aca="false">C37+D37-1</f>
        <v>82</v>
      </c>
      <c r="T37" s="193"/>
      <c r="W37" s="194" t="n">
        <f aca="false">C37+D37-1</f>
        <v>82</v>
      </c>
      <c r="X37" s="1" t="s">
        <v>612</v>
      </c>
    </row>
    <row r="38" customFormat="false" ht="15" hidden="false" customHeight="true" outlineLevel="0" collapsed="false">
      <c r="A38" s="189" t="s">
        <v>41</v>
      </c>
      <c r="B38" s="190" t="n">
        <v>15000000</v>
      </c>
      <c r="C38" s="191" t="n">
        <v>66</v>
      </c>
      <c r="D38" s="191" t="n">
        <v>19</v>
      </c>
      <c r="E38" s="191" t="n">
        <v>3</v>
      </c>
      <c r="F38" s="191" t="s">
        <v>611</v>
      </c>
      <c r="G38" s="191" t="s">
        <v>611</v>
      </c>
      <c r="H38" s="191" t="n">
        <v>0</v>
      </c>
      <c r="I38" s="192" t="n">
        <f aca="false">IF(H38=1,Assumptions!$B$16,IF(H38=2,Assumptions!$B$17,0))</f>
        <v>0</v>
      </c>
      <c r="J38" s="191" t="s">
        <v>611</v>
      </c>
      <c r="K38" s="191" t="s">
        <v>611</v>
      </c>
      <c r="L38" s="191" t="s">
        <v>616</v>
      </c>
      <c r="M38" s="196" t="s">
        <v>611</v>
      </c>
      <c r="N38" s="190" t="n">
        <v>730519</v>
      </c>
      <c r="O38" s="190" t="n">
        <v>730519</v>
      </c>
      <c r="P38" s="190" t="n">
        <v>243506</v>
      </c>
      <c r="Q38" s="190" t="n">
        <f aca="false">N38+O38+P38</f>
        <v>1704544</v>
      </c>
      <c r="R38" s="190" t="n">
        <f aca="false">Q38*0.05</f>
        <v>85227.2</v>
      </c>
      <c r="S38" s="189" t="n">
        <f aca="false">C38+D38-1</f>
        <v>84</v>
      </c>
      <c r="T38" s="193"/>
      <c r="W38" s="194" t="n">
        <f aca="false">C38+D38-1</f>
        <v>84</v>
      </c>
      <c r="X38" s="1" t="s">
        <v>612</v>
      </c>
    </row>
    <row r="39" customFormat="false" ht="15" hidden="false" customHeight="true" outlineLevel="0" collapsed="false">
      <c r="A39" s="189" t="s">
        <v>42</v>
      </c>
      <c r="B39" s="190" t="n">
        <v>18000000</v>
      </c>
      <c r="C39" s="191" t="n">
        <v>68</v>
      </c>
      <c r="D39" s="191" t="n">
        <v>19</v>
      </c>
      <c r="E39" s="191" t="n">
        <v>3</v>
      </c>
      <c r="F39" s="191" t="s">
        <v>611</v>
      </c>
      <c r="G39" s="191" t="s">
        <v>611</v>
      </c>
      <c r="H39" s="191" t="n">
        <v>0</v>
      </c>
      <c r="I39" s="192" t="n">
        <f aca="false">IF(H39=1,Assumptions!$B$16,IF(H39=2,Assumptions!$B$17,0))</f>
        <v>0</v>
      </c>
      <c r="J39" s="191" t="s">
        <v>611</v>
      </c>
      <c r="K39" s="191" t="s">
        <v>611</v>
      </c>
      <c r="L39" s="191" t="s">
        <v>616</v>
      </c>
      <c r="M39" s="196" t="s">
        <v>611</v>
      </c>
      <c r="N39" s="190" t="n">
        <v>876623</v>
      </c>
      <c r="O39" s="190" t="n">
        <v>876623</v>
      </c>
      <c r="P39" s="190" t="n">
        <v>292208</v>
      </c>
      <c r="Q39" s="190" t="n">
        <f aca="false">N39+O39+P39</f>
        <v>2045454</v>
      </c>
      <c r="R39" s="190" t="n">
        <f aca="false">Q39*0.05</f>
        <v>102272.7</v>
      </c>
      <c r="S39" s="189" t="n">
        <f aca="false">C39+D39-1</f>
        <v>86</v>
      </c>
      <c r="T39" s="193"/>
      <c r="W39" s="194" t="n">
        <f aca="false">C39+D39-1</f>
        <v>86</v>
      </c>
      <c r="X39" s="1" t="s">
        <v>612</v>
      </c>
    </row>
    <row r="40" customFormat="false" ht="15" hidden="false" customHeight="true" outlineLevel="0" collapsed="false">
      <c r="A40" s="189" t="s">
        <v>43</v>
      </c>
      <c r="B40" s="190" t="n">
        <v>15000000</v>
      </c>
      <c r="C40" s="191" t="n">
        <v>70</v>
      </c>
      <c r="D40" s="191" t="n">
        <v>19</v>
      </c>
      <c r="E40" s="191" t="n">
        <v>3</v>
      </c>
      <c r="F40" s="191" t="s">
        <v>612</v>
      </c>
      <c r="G40" s="191" t="s">
        <v>611</v>
      </c>
      <c r="H40" s="191" t="n">
        <v>2</v>
      </c>
      <c r="I40" s="192" t="n">
        <f aca="false">IF(H40=1,Assumptions!$B$16,IF(H40=2,Assumptions!$B$17,0))</f>
        <v>0.0325</v>
      </c>
      <c r="J40" s="191" t="s">
        <v>611</v>
      </c>
      <c r="K40" s="191" t="s">
        <v>611</v>
      </c>
      <c r="L40" s="191" t="s">
        <v>616</v>
      </c>
      <c r="M40" s="196" t="s">
        <v>612</v>
      </c>
      <c r="N40" s="190" t="n">
        <v>730519</v>
      </c>
      <c r="O40" s="190" t="n">
        <v>730519</v>
      </c>
      <c r="P40" s="190" t="n">
        <v>243506</v>
      </c>
      <c r="Q40" s="190" t="n">
        <f aca="false">N40+O40+P40</f>
        <v>1704544</v>
      </c>
      <c r="R40" s="190" t="n">
        <f aca="false">Q40*0.05</f>
        <v>85227.2</v>
      </c>
      <c r="S40" s="189" t="n">
        <f aca="false">C40+D40-1</f>
        <v>88</v>
      </c>
      <c r="T40" s="193" t="n">
        <f aca="false">Assumptions!$B$15</f>
        <v>0.015</v>
      </c>
      <c r="W40" s="194" t="n">
        <f aca="false">C40+D40-1</f>
        <v>88</v>
      </c>
      <c r="X40" s="1" t="s">
        <v>612</v>
      </c>
    </row>
    <row r="41" customFormat="false" ht="15" hidden="false" customHeight="true" outlineLevel="0" collapsed="false">
      <c r="A41" s="189" t="s">
        <v>44</v>
      </c>
      <c r="B41" s="190" t="n">
        <v>15000000</v>
      </c>
      <c r="C41" s="191" t="n">
        <v>72</v>
      </c>
      <c r="D41" s="191" t="n">
        <v>19</v>
      </c>
      <c r="E41" s="191" t="n">
        <v>3</v>
      </c>
      <c r="F41" s="191" t="s">
        <v>611</v>
      </c>
      <c r="G41" s="191" t="s">
        <v>611</v>
      </c>
      <c r="H41" s="191" t="n">
        <v>0</v>
      </c>
      <c r="I41" s="192" t="n">
        <f aca="false">IF(H41=1,Assumptions!$B$16,IF(H41=2,Assumptions!$B$17,0))</f>
        <v>0</v>
      </c>
      <c r="J41" s="191" t="s">
        <v>611</v>
      </c>
      <c r="K41" s="191" t="s">
        <v>611</v>
      </c>
      <c r="L41" s="191" t="s">
        <v>616</v>
      </c>
      <c r="M41" s="196" t="s">
        <v>611</v>
      </c>
      <c r="N41" s="190" t="n">
        <v>730519</v>
      </c>
      <c r="O41" s="190" t="n">
        <v>730519</v>
      </c>
      <c r="P41" s="190" t="n">
        <v>243506</v>
      </c>
      <c r="Q41" s="190" t="n">
        <f aca="false">N41+O41+P41</f>
        <v>1704544</v>
      </c>
      <c r="R41" s="190" t="n">
        <f aca="false">Q41*0.05</f>
        <v>85227.2</v>
      </c>
      <c r="S41" s="189" t="n">
        <f aca="false">C41+D41-1</f>
        <v>90</v>
      </c>
      <c r="T41" s="193"/>
      <c r="W41" s="194" t="n">
        <f aca="false">C41+D41-1</f>
        <v>90</v>
      </c>
      <c r="X41" s="1" t="s">
        <v>612</v>
      </c>
    </row>
    <row r="42" customFormat="false" ht="15" hidden="false" customHeight="true" outlineLevel="0" collapsed="false">
      <c r="A42" s="189" t="s">
        <v>45</v>
      </c>
      <c r="B42" s="190" t="n">
        <v>18000000</v>
      </c>
      <c r="C42" s="191" t="n">
        <v>74</v>
      </c>
      <c r="D42" s="191" t="n">
        <v>19</v>
      </c>
      <c r="E42" s="191" t="n">
        <v>3</v>
      </c>
      <c r="F42" s="191" t="s">
        <v>611</v>
      </c>
      <c r="G42" s="191" t="s">
        <v>611</v>
      </c>
      <c r="H42" s="191" t="n">
        <v>0</v>
      </c>
      <c r="I42" s="192" t="n">
        <f aca="false">IF(H42=1,Assumptions!$B$16,IF(H42=2,Assumptions!$B$17,0))</f>
        <v>0</v>
      </c>
      <c r="J42" s="191" t="s">
        <v>611</v>
      </c>
      <c r="K42" s="191" t="s">
        <v>611</v>
      </c>
      <c r="L42" s="191" t="s">
        <v>616</v>
      </c>
      <c r="M42" s="196" t="s">
        <v>611</v>
      </c>
      <c r="N42" s="190" t="n">
        <v>876623</v>
      </c>
      <c r="O42" s="190" t="n">
        <v>876623</v>
      </c>
      <c r="P42" s="190" t="n">
        <v>292208</v>
      </c>
      <c r="Q42" s="190" t="n">
        <f aca="false">N42+O42+P42</f>
        <v>2045454</v>
      </c>
      <c r="R42" s="190" t="n">
        <f aca="false">Q42*0.05</f>
        <v>102272.7</v>
      </c>
      <c r="S42" s="189" t="n">
        <f aca="false">C42+D42-1</f>
        <v>92</v>
      </c>
      <c r="T42" s="193"/>
      <c r="W42" s="194" t="n">
        <f aca="false">C42+D42-1</f>
        <v>92</v>
      </c>
      <c r="X42" s="1" t="s">
        <v>612</v>
      </c>
    </row>
    <row r="43" customFormat="false" ht="15" hidden="false" customHeight="true" outlineLevel="0" collapsed="false">
      <c r="A43" s="189" t="s">
        <v>46</v>
      </c>
      <c r="B43" s="190" t="n">
        <v>15000000</v>
      </c>
      <c r="C43" s="191" t="n">
        <v>76</v>
      </c>
      <c r="D43" s="191" t="n">
        <v>19</v>
      </c>
      <c r="E43" s="191" t="n">
        <v>3</v>
      </c>
      <c r="F43" s="191" t="s">
        <v>611</v>
      </c>
      <c r="G43" s="191" t="s">
        <v>611</v>
      </c>
      <c r="H43" s="191" t="n">
        <v>0</v>
      </c>
      <c r="I43" s="192" t="n">
        <f aca="false">IF(H43=1,Assumptions!$B$16,IF(H43=2,Assumptions!$B$17,0))</f>
        <v>0</v>
      </c>
      <c r="J43" s="191" t="s">
        <v>611</v>
      </c>
      <c r="K43" s="191" t="s">
        <v>611</v>
      </c>
      <c r="L43" s="191" t="s">
        <v>616</v>
      </c>
      <c r="M43" s="196" t="s">
        <v>611</v>
      </c>
      <c r="N43" s="190" t="n">
        <v>730519</v>
      </c>
      <c r="O43" s="190" t="n">
        <v>730519</v>
      </c>
      <c r="P43" s="190" t="n">
        <v>243506</v>
      </c>
      <c r="Q43" s="190" t="n">
        <f aca="false">N43+O43+P43</f>
        <v>1704544</v>
      </c>
      <c r="R43" s="190" t="n">
        <f aca="false">Q43*0.05</f>
        <v>85227.2</v>
      </c>
      <c r="S43" s="189" t="n">
        <f aca="false">C43+D43-1</f>
        <v>94</v>
      </c>
      <c r="T43" s="193"/>
      <c r="W43" s="194" t="n">
        <f aca="false">C43+D43-1</f>
        <v>94</v>
      </c>
      <c r="X43" s="1" t="s">
        <v>612</v>
      </c>
    </row>
    <row r="44" customFormat="false" ht="15" hidden="false" customHeight="true" outlineLevel="0" collapsed="false">
      <c r="A44" s="189" t="s">
        <v>47</v>
      </c>
      <c r="B44" s="190" t="n">
        <v>15000000</v>
      </c>
      <c r="C44" s="191" t="n">
        <v>78</v>
      </c>
      <c r="D44" s="191" t="n">
        <v>19</v>
      </c>
      <c r="E44" s="191" t="n">
        <v>3</v>
      </c>
      <c r="F44" s="191" t="s">
        <v>611</v>
      </c>
      <c r="G44" s="191" t="s">
        <v>611</v>
      </c>
      <c r="H44" s="191" t="n">
        <v>0</v>
      </c>
      <c r="I44" s="192" t="n">
        <f aca="false">IF(H44=1,Assumptions!$B$16,IF(H44=2,Assumptions!$B$17,0))</f>
        <v>0</v>
      </c>
      <c r="J44" s="191" t="s">
        <v>611</v>
      </c>
      <c r="K44" s="191" t="s">
        <v>611</v>
      </c>
      <c r="L44" s="191" t="s">
        <v>616</v>
      </c>
      <c r="M44" s="196" t="s">
        <v>611</v>
      </c>
      <c r="N44" s="190" t="n">
        <v>730519</v>
      </c>
      <c r="O44" s="190" t="n">
        <v>730519</v>
      </c>
      <c r="P44" s="190" t="n">
        <v>243506</v>
      </c>
      <c r="Q44" s="190" t="n">
        <f aca="false">N44+O44+P44</f>
        <v>1704544</v>
      </c>
      <c r="R44" s="190" t="n">
        <f aca="false">Q44*0.05</f>
        <v>85227.2</v>
      </c>
      <c r="S44" s="189" t="n">
        <f aca="false">C44+D44-1</f>
        <v>96</v>
      </c>
      <c r="T44" s="193"/>
      <c r="W44" s="194" t="n">
        <f aca="false">C44+D44-1</f>
        <v>96</v>
      </c>
      <c r="X44" s="1" t="s">
        <v>612</v>
      </c>
    </row>
    <row r="45" customFormat="false" ht="15" hidden="false" customHeight="true" outlineLevel="0" collapsed="false">
      <c r="A45" s="189" t="s">
        <v>48</v>
      </c>
      <c r="B45" s="190" t="n">
        <v>18000000</v>
      </c>
      <c r="C45" s="191" t="n">
        <v>80</v>
      </c>
      <c r="D45" s="191" t="n">
        <v>19</v>
      </c>
      <c r="E45" s="191" t="n">
        <v>3</v>
      </c>
      <c r="F45" s="191" t="s">
        <v>611</v>
      </c>
      <c r="G45" s="191" t="s">
        <v>611</v>
      </c>
      <c r="H45" s="191" t="n">
        <v>0</v>
      </c>
      <c r="I45" s="192" t="n">
        <f aca="false">IF(H45=1,Assumptions!$B$16,IF(H45=2,Assumptions!$B$17,0))</f>
        <v>0</v>
      </c>
      <c r="J45" s="191" t="s">
        <v>611</v>
      </c>
      <c r="K45" s="191" t="s">
        <v>611</v>
      </c>
      <c r="L45" s="191" t="s">
        <v>616</v>
      </c>
      <c r="M45" s="196" t="s">
        <v>611</v>
      </c>
      <c r="N45" s="190" t="n">
        <v>876623</v>
      </c>
      <c r="O45" s="190" t="n">
        <v>876623</v>
      </c>
      <c r="P45" s="190" t="n">
        <v>292208</v>
      </c>
      <c r="Q45" s="190" t="n">
        <f aca="false">N45+O45+P45</f>
        <v>2045454</v>
      </c>
      <c r="R45" s="190" t="n">
        <f aca="false">Q45*0.05</f>
        <v>102272.7</v>
      </c>
      <c r="S45" s="189" t="n">
        <f aca="false">C45+D45-1</f>
        <v>98</v>
      </c>
      <c r="T45" s="193"/>
      <c r="W45" s="194" t="n">
        <f aca="false">C45+D45-1</f>
        <v>98</v>
      </c>
      <c r="X45" s="1" t="s">
        <v>612</v>
      </c>
    </row>
    <row r="46" customFormat="false" ht="15" hidden="false" customHeight="true" outlineLevel="0" collapsed="false">
      <c r="A46" s="189" t="s">
        <v>49</v>
      </c>
      <c r="B46" s="190" t="n">
        <v>15000000</v>
      </c>
      <c r="C46" s="191" t="n">
        <v>82</v>
      </c>
      <c r="D46" s="191" t="n">
        <v>19</v>
      </c>
      <c r="E46" s="191" t="n">
        <v>3</v>
      </c>
      <c r="F46" s="191" t="s">
        <v>612</v>
      </c>
      <c r="G46" s="191" t="s">
        <v>611</v>
      </c>
      <c r="H46" s="191" t="n">
        <v>2</v>
      </c>
      <c r="I46" s="192" t="n">
        <f aca="false">IF(H46=1,Assumptions!$B$16,IF(H46=2,Assumptions!$B$17,0))</f>
        <v>0.0325</v>
      </c>
      <c r="J46" s="191" t="s">
        <v>611</v>
      </c>
      <c r="K46" s="191" t="s">
        <v>611</v>
      </c>
      <c r="L46" s="191" t="s">
        <v>616</v>
      </c>
      <c r="M46" s="196" t="s">
        <v>612</v>
      </c>
      <c r="N46" s="190" t="n">
        <v>730519</v>
      </c>
      <c r="O46" s="190" t="n">
        <v>730519</v>
      </c>
      <c r="P46" s="190" t="n">
        <v>243506</v>
      </c>
      <c r="Q46" s="190" t="n">
        <f aca="false">N46+O46+P46</f>
        <v>1704544</v>
      </c>
      <c r="R46" s="190" t="n">
        <f aca="false">Q46*0.05</f>
        <v>85227.2</v>
      </c>
      <c r="S46" s="189" t="n">
        <f aca="false">C46+D46-1</f>
        <v>100</v>
      </c>
      <c r="T46" s="193" t="n">
        <f aca="false">Assumptions!$B$15</f>
        <v>0.015</v>
      </c>
      <c r="X46" s="1" t="s">
        <v>612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265625" defaultRowHeight="13.5" customHeight="false"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6.5"/>
  </cols>
  <sheetData>
    <row r="1" customFormat="false" ht="19.5" hidden="false" customHeight="true" outlineLevel="0" collapsed="false">
      <c r="A1" s="94" t="s">
        <v>619</v>
      </c>
    </row>
    <row r="2" customFormat="false" ht="15" hidden="false" customHeight="true" outlineLevel="0" collapsed="false">
      <c r="A2" s="197" t="s">
        <v>620</v>
      </c>
    </row>
    <row r="4" customFormat="false" ht="15" hidden="false" customHeight="true" outlineLevel="0" collapsed="false">
      <c r="E4" s="198"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99" t="s">
        <v>589</v>
      </c>
      <c r="B5" s="110" t="s">
        <v>590</v>
      </c>
      <c r="C5" s="110" t="s">
        <v>621</v>
      </c>
      <c r="D5" s="110" t="s">
        <v>622</v>
      </c>
      <c r="E5" s="110" t="s">
        <v>623</v>
      </c>
      <c r="F5" s="110" t="s">
        <v>624</v>
      </c>
      <c r="G5" s="200" t="n">
        <f aca="false">EDATE(Model!$E$2,G4-1)</f>
        <v>46113</v>
      </c>
      <c r="H5" s="200" t="n">
        <f aca="false">EDATE(Model!$E$2,H4-1)</f>
        <v>46143</v>
      </c>
      <c r="I5" s="200" t="n">
        <f aca="false">EDATE(Model!$E$2,I4-1)</f>
        <v>46174</v>
      </c>
      <c r="J5" s="200" t="n">
        <f aca="false">EDATE(Model!$E$2,J4-1)</f>
        <v>46204</v>
      </c>
      <c r="K5" s="200" t="n">
        <f aca="false">EDATE(Model!$E$2,K4-1)</f>
        <v>46235</v>
      </c>
      <c r="L5" s="200" t="n">
        <f aca="false">EDATE(Model!$E$2,L4-1)</f>
        <v>46266</v>
      </c>
      <c r="M5" s="200" t="n">
        <f aca="false">EDATE(Model!$E$2,M4-1)</f>
        <v>46296</v>
      </c>
      <c r="N5" s="200" t="n">
        <f aca="false">EDATE(Model!$E$2,N4-1)</f>
        <v>46327</v>
      </c>
      <c r="O5" s="200" t="n">
        <f aca="false">EDATE(Model!$E$2,O4-1)</f>
        <v>46357</v>
      </c>
      <c r="P5" s="200" t="n">
        <f aca="false">EDATE(Model!$E$2,P4-1)</f>
        <v>46388</v>
      </c>
      <c r="Q5" s="200" t="n">
        <f aca="false">EDATE(Model!$E$2,Q4-1)</f>
        <v>46419</v>
      </c>
      <c r="R5" s="200" t="n">
        <f aca="false">EDATE(Model!$E$2,R4-1)</f>
        <v>46447</v>
      </c>
      <c r="S5" s="200" t="n">
        <f aca="false">EDATE(Model!$E$2,S4-1)</f>
        <v>46478</v>
      </c>
      <c r="T5" s="200" t="n">
        <f aca="false">EDATE(Model!$E$2,T4-1)</f>
        <v>46508</v>
      </c>
      <c r="U5" s="200" t="n">
        <f aca="false">EDATE(Model!$E$2,U4-1)</f>
        <v>46539</v>
      </c>
      <c r="V5" s="200" t="n">
        <f aca="false">EDATE(Model!$E$2,V4-1)</f>
        <v>46569</v>
      </c>
      <c r="W5" s="200" t="n">
        <f aca="false">EDATE(Model!$E$2,W4-1)</f>
        <v>46600</v>
      </c>
      <c r="X5" s="200" t="n">
        <f aca="false">EDATE(Model!$E$2,X4-1)</f>
        <v>46631</v>
      </c>
      <c r="Y5" s="200" t="n">
        <f aca="false">EDATE(Model!$E$2,Y4-1)</f>
        <v>46661</v>
      </c>
      <c r="Z5" s="200" t="n">
        <f aca="false">EDATE(Model!$E$2,Z4-1)</f>
        <v>46692</v>
      </c>
      <c r="AA5" s="200" t="n">
        <f aca="false">EDATE(Model!$E$2,AA4-1)</f>
        <v>46722</v>
      </c>
      <c r="AB5" s="200" t="n">
        <f aca="false">EDATE(Model!$E$2,AB4-1)</f>
        <v>46753</v>
      </c>
      <c r="AC5" s="200" t="n">
        <f aca="false">EDATE(Model!$E$2,AC4-1)</f>
        <v>46784</v>
      </c>
      <c r="AD5" s="200" t="n">
        <f aca="false">EDATE(Model!$E$2,AD4-1)</f>
        <v>46813</v>
      </c>
      <c r="AE5" s="200" t="n">
        <f aca="false">EDATE(Model!$E$2,AE4-1)</f>
        <v>46844</v>
      </c>
      <c r="AF5" s="200" t="n">
        <f aca="false">EDATE(Model!$E$2,AF4-1)</f>
        <v>46874</v>
      </c>
      <c r="AG5" s="200" t="n">
        <f aca="false">EDATE(Model!$E$2,AG4-1)</f>
        <v>46905</v>
      </c>
      <c r="AH5" s="200" t="n">
        <f aca="false">EDATE(Model!$E$2,AH4-1)</f>
        <v>46935</v>
      </c>
      <c r="AI5" s="200" t="n">
        <f aca="false">EDATE(Model!$E$2,AI4-1)</f>
        <v>46966</v>
      </c>
      <c r="AJ5" s="200" t="n">
        <f aca="false">EDATE(Model!$E$2,AJ4-1)</f>
        <v>46997</v>
      </c>
      <c r="AK5" s="200" t="n">
        <f aca="false">EDATE(Model!$E$2,AK4-1)</f>
        <v>47027</v>
      </c>
      <c r="AL5" s="200" t="n">
        <f aca="false">EDATE(Model!$E$2,AL4-1)</f>
        <v>47058</v>
      </c>
      <c r="AM5" s="200" t="n">
        <f aca="false">EDATE(Model!$E$2,AM4-1)</f>
        <v>47088</v>
      </c>
      <c r="AN5" s="200" t="n">
        <f aca="false">EDATE(Model!$E$2,AN4-1)</f>
        <v>47119</v>
      </c>
      <c r="AO5" s="200" t="n">
        <f aca="false">EDATE(Model!$E$2,AO4-1)</f>
        <v>47150</v>
      </c>
      <c r="AP5" s="200" t="n">
        <f aca="false">EDATE(Model!$E$2,AP4-1)</f>
        <v>47178</v>
      </c>
      <c r="AQ5" s="200" t="n">
        <f aca="false">EDATE(Model!$E$2,AQ4-1)</f>
        <v>47209</v>
      </c>
      <c r="AR5" s="200" t="n">
        <f aca="false">EDATE(Model!$E$2,AR4-1)</f>
        <v>47239</v>
      </c>
      <c r="AS5" s="200" t="n">
        <f aca="false">EDATE(Model!$E$2,AS4-1)</f>
        <v>47270</v>
      </c>
      <c r="AT5" s="200" t="n">
        <f aca="false">EDATE(Model!$E$2,AT4-1)</f>
        <v>47300</v>
      </c>
      <c r="AU5" s="200" t="n">
        <f aca="false">EDATE(Model!$E$2,AU4-1)</f>
        <v>47331</v>
      </c>
      <c r="AV5" s="200" t="n">
        <f aca="false">EDATE(Model!$E$2,AV4-1)</f>
        <v>47362</v>
      </c>
      <c r="AW5" s="200" t="n">
        <f aca="false">EDATE(Model!$E$2,AW4-1)</f>
        <v>47392</v>
      </c>
      <c r="AX5" s="200" t="n">
        <f aca="false">EDATE(Model!$E$2,AX4-1)</f>
        <v>47423</v>
      </c>
      <c r="AY5" s="200" t="n">
        <f aca="false">EDATE(Model!$E$2,AY4-1)</f>
        <v>47453</v>
      </c>
      <c r="AZ5" s="200" t="n">
        <f aca="false">EDATE(Model!$E$2,AZ4-1)</f>
        <v>47484</v>
      </c>
      <c r="BA5" s="200" t="n">
        <f aca="false">EDATE(Model!$E$2,BA4-1)</f>
        <v>47515</v>
      </c>
      <c r="BB5" s="200" t="n">
        <f aca="false">EDATE(Model!$E$2,BB4-1)</f>
        <v>47543</v>
      </c>
      <c r="BC5" s="200" t="n">
        <f aca="false">EDATE(Model!$E$2,BC4-1)</f>
        <v>47574</v>
      </c>
      <c r="BD5" s="200" t="n">
        <f aca="false">EDATE(Model!$E$2,BD4-1)</f>
        <v>47604</v>
      </c>
      <c r="BE5" s="200" t="n">
        <f aca="false">EDATE(Model!$E$2,BE4-1)</f>
        <v>47635</v>
      </c>
      <c r="BF5" s="200" t="n">
        <f aca="false">EDATE(Model!$E$2,BF4-1)</f>
        <v>47665</v>
      </c>
      <c r="BG5" s="200" t="n">
        <f aca="false">EDATE(Model!$E$2,BG4-1)</f>
        <v>47696</v>
      </c>
      <c r="BH5" s="200" t="n">
        <f aca="false">EDATE(Model!$E$2,BH4-1)</f>
        <v>47727</v>
      </c>
      <c r="BI5" s="200" t="n">
        <f aca="false">EDATE(Model!$E$2,BI4-1)</f>
        <v>47757</v>
      </c>
      <c r="BJ5" s="200" t="n">
        <f aca="false">EDATE(Model!$E$2,BJ4-1)</f>
        <v>47788</v>
      </c>
      <c r="BK5" s="200" t="n">
        <f aca="false">EDATE(Model!$E$2,BK4-1)</f>
        <v>47818</v>
      </c>
      <c r="BL5" s="200" t="n">
        <f aca="false">EDATE(Model!$E$2,BL4-1)</f>
        <v>47849</v>
      </c>
      <c r="BM5" s="200" t="n">
        <f aca="false">EDATE(Model!$E$2,BM4-1)</f>
        <v>47880</v>
      </c>
      <c r="BN5" s="200" t="n">
        <f aca="false">EDATE(Model!$E$2,BN4-1)</f>
        <v>47908</v>
      </c>
      <c r="BO5" s="200" t="n">
        <f aca="false">EDATE(Model!$E$2,BO4-1)</f>
        <v>47939</v>
      </c>
      <c r="BP5" s="200" t="n">
        <f aca="false">EDATE(Model!$E$2,BP4-1)</f>
        <v>47969</v>
      </c>
      <c r="BQ5" s="200" t="n">
        <f aca="false">EDATE(Model!$E$2,BQ4-1)</f>
        <v>48000</v>
      </c>
      <c r="BR5" s="200" t="n">
        <f aca="false">EDATE(Model!$E$2,BR4-1)</f>
        <v>48030</v>
      </c>
      <c r="BS5" s="200" t="n">
        <f aca="false">EDATE(Model!$E$2,BS4-1)</f>
        <v>48061</v>
      </c>
      <c r="BT5" s="200" t="n">
        <f aca="false">EDATE(Model!$E$2,BT4-1)</f>
        <v>48092</v>
      </c>
      <c r="BU5" s="200" t="n">
        <f aca="false">EDATE(Model!$E$2,BU4-1)</f>
        <v>48122</v>
      </c>
      <c r="BV5" s="200" t="n">
        <f aca="false">EDATE(Model!$E$2,BV4-1)</f>
        <v>48153</v>
      </c>
      <c r="BW5" s="200" t="n">
        <f aca="false">EDATE(Model!$E$2,BW4-1)</f>
        <v>48183</v>
      </c>
      <c r="BX5" s="200" t="n">
        <f aca="false">EDATE(Model!$E$2,BX4-1)</f>
        <v>48214</v>
      </c>
      <c r="BY5" s="200" t="n">
        <f aca="false">EDATE(Model!$E$2,BY4-1)</f>
        <v>48245</v>
      </c>
      <c r="BZ5" s="200" t="n">
        <f aca="false">EDATE(Model!$E$2,BZ4-1)</f>
        <v>48274</v>
      </c>
      <c r="CA5" s="200" t="n">
        <f aca="false">EDATE(Model!$E$2,CA4-1)</f>
        <v>48305</v>
      </c>
      <c r="CB5" s="200" t="n">
        <f aca="false">EDATE(Model!$E$2,CB4-1)</f>
        <v>48335</v>
      </c>
      <c r="CC5" s="200" t="n">
        <f aca="false">EDATE(Model!$E$2,CC4-1)</f>
        <v>48366</v>
      </c>
      <c r="CD5" s="200" t="n">
        <f aca="false">EDATE(Model!$E$2,CD4-1)</f>
        <v>48396</v>
      </c>
      <c r="CE5" s="200" t="n">
        <f aca="false">EDATE(Model!$E$2,CE4-1)</f>
        <v>48427</v>
      </c>
      <c r="CF5" s="200" t="n">
        <f aca="false">EDATE(Model!$E$2,CF4-1)</f>
        <v>48458</v>
      </c>
      <c r="CG5" s="200" t="n">
        <f aca="false">EDATE(Model!$E$2,CG4-1)</f>
        <v>48488</v>
      </c>
      <c r="CH5" s="200" t="n">
        <f aca="false">EDATE(Model!$E$2,CH4-1)</f>
        <v>48519</v>
      </c>
      <c r="CI5" s="200" t="n">
        <f aca="false">EDATE(Model!$E$2,CI4-1)</f>
        <v>48549</v>
      </c>
      <c r="CJ5" s="200" t="n">
        <f aca="false">EDATE(Model!$E$2,CJ4-1)</f>
        <v>48580</v>
      </c>
      <c r="CK5" s="200" t="n">
        <f aca="false">EDATE(Model!$E$2,CK4-1)</f>
        <v>48611</v>
      </c>
      <c r="CL5" s="200" t="n">
        <f aca="false">EDATE(Model!$E$2,CL4-1)</f>
        <v>48639</v>
      </c>
      <c r="CM5" s="200" t="n">
        <f aca="false">EDATE(Model!$E$2,CM4-1)</f>
        <v>48670</v>
      </c>
      <c r="CN5" s="200" t="n">
        <f aca="false">EDATE(Model!$E$2,CN4-1)</f>
        <v>48700</v>
      </c>
      <c r="CO5" s="200" t="n">
        <f aca="false">EDATE(Model!$E$2,CO4-1)</f>
        <v>48731</v>
      </c>
      <c r="CP5" s="200" t="n">
        <f aca="false">EDATE(Model!$E$2,CP4-1)</f>
        <v>48761</v>
      </c>
      <c r="CQ5" s="200" t="n">
        <f aca="false">EDATE(Model!$E$2,CQ4-1)</f>
        <v>48792</v>
      </c>
      <c r="CR5" s="200" t="n">
        <f aca="false">EDATE(Model!$E$2,CR4-1)</f>
        <v>48823</v>
      </c>
      <c r="CS5" s="200" t="n">
        <f aca="false">EDATE(Model!$E$2,CS4-1)</f>
        <v>48853</v>
      </c>
      <c r="CT5" s="200" t="n">
        <f aca="false">EDATE(Model!$E$2,CT4-1)</f>
        <v>48884</v>
      </c>
      <c r="CU5" s="200" t="n">
        <f aca="false">EDATE(Model!$E$2,CU4-1)</f>
        <v>48914</v>
      </c>
      <c r="CV5" s="200" t="n">
        <f aca="false">EDATE(Model!$E$2,CV4-1)</f>
        <v>48945</v>
      </c>
      <c r="CW5" s="200" t="n">
        <f aca="false">EDATE(Model!$E$2,CW4-1)</f>
        <v>48976</v>
      </c>
      <c r="CX5" s="200" t="n">
        <f aca="false">EDATE(Model!$E$2,CX4-1)</f>
        <v>49004</v>
      </c>
      <c r="CY5" s="200" t="n">
        <f aca="false">EDATE(Model!$E$2,CY4-1)</f>
        <v>49035</v>
      </c>
      <c r="CZ5" s="200" t="n">
        <f aca="false">EDATE(Model!$E$2,CZ4-1)</f>
        <v>49065</v>
      </c>
      <c r="DA5" s="200" t="n">
        <f aca="false">EDATE(Model!$E$2,DA4-1)</f>
        <v>49096</v>
      </c>
      <c r="DB5" s="200" t="n">
        <f aca="false">EDATE(Model!$E$2,DB4-1)</f>
        <v>49126</v>
      </c>
    </row>
    <row r="6" customFormat="false" ht="15" hidden="false" customHeight="true" outlineLevel="0" collapsed="false">
      <c r="A6" s="201" t="s">
        <v>625</v>
      </c>
      <c r="B6" s="202"/>
      <c r="C6" s="202"/>
      <c r="D6" s="202"/>
      <c r="E6" s="202"/>
      <c r="F6" s="202"/>
      <c r="G6" s="202"/>
      <c r="H6" s="202"/>
      <c r="I6" s="202"/>
      <c r="J6" s="202"/>
      <c r="K6" s="202"/>
      <c r="L6" s="202"/>
      <c r="M6" s="202"/>
      <c r="N6" s="202"/>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202"/>
      <c r="AZ6" s="202"/>
      <c r="BA6" s="202"/>
      <c r="BB6" s="202"/>
      <c r="BC6" s="202"/>
      <c r="BD6" s="202"/>
      <c r="BE6" s="202"/>
      <c r="BF6" s="202"/>
      <c r="BG6" s="202"/>
      <c r="BH6" s="202"/>
      <c r="BI6" s="202"/>
      <c r="BJ6" s="202"/>
      <c r="BK6" s="202"/>
      <c r="BL6" s="202"/>
      <c r="BM6" s="202"/>
      <c r="BN6" s="202"/>
      <c r="BO6" s="202"/>
      <c r="BP6" s="202"/>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c r="CU6" s="202"/>
      <c r="CV6" s="202"/>
      <c r="CW6" s="202"/>
      <c r="CX6" s="202"/>
      <c r="CY6" s="202"/>
      <c r="CZ6" s="202"/>
      <c r="DA6" s="202"/>
      <c r="DB6" s="202"/>
    </row>
    <row r="7" customFormat="false" ht="15" hidden="false" customHeight="true" outlineLevel="0" collapsed="false">
      <c r="A7" s="123" t="s">
        <v>7</v>
      </c>
      <c r="B7" s="203" t="n">
        <f aca="false">Projects!$B$2</f>
        <v>7126075</v>
      </c>
      <c r="C7" s="204" t="n">
        <f aca="false">EDATE(Model!$E$2,Projects!$C$2-1)</f>
        <v>46113</v>
      </c>
      <c r="D7" s="204" t="n">
        <f aca="false">EDATE(Model!$E$2,Projects!$C$2+Projects!$D$2-2)</f>
        <v>46327</v>
      </c>
      <c r="E7" s="205" t="n">
        <f aca="false">Projects!$D$2</f>
        <v>8</v>
      </c>
      <c r="F7" s="203" t="n">
        <f aca="false">SUM(G7:DB7)</f>
        <v>6368332.43</v>
      </c>
      <c r="G7" s="206" t="n">
        <f aca="false">IF(Model!E13=0,"",Model!E13)</f>
        <v>704050.62</v>
      </c>
      <c r="H7" s="206" t="n">
        <f aca="false">IF(Model!F13=0,"",Model!F13)</f>
        <v>711605.75</v>
      </c>
      <c r="I7" s="206" t="n">
        <f aca="false">IF(Model!G13=0,"",Model!G13)</f>
        <v>887472.42</v>
      </c>
      <c r="J7" s="206" t="n">
        <f aca="false">IF(Model!H13=0,"",Model!H13)</f>
        <v>1089049.37</v>
      </c>
      <c r="K7" s="206" t="n">
        <f aca="false">IF(Model!I13=0,"",Model!I13)</f>
        <v>687821.32</v>
      </c>
      <c r="L7" s="206" t="n">
        <f aca="false">IF(Model!J13=0,"",Model!J13)</f>
        <v>635529.47</v>
      </c>
      <c r="M7" s="206" t="n">
        <f aca="false">IF(Model!K13=0,"",Model!K13)</f>
        <v>1090625.42</v>
      </c>
      <c r="N7" s="206" t="n">
        <f aca="false">IF(Model!L13=0,"",Model!L13)</f>
        <v>505960.25</v>
      </c>
      <c r="O7" s="206" t="n">
        <f aca="false">IF(Model!M13=0,"",Model!M13)</f>
        <v>56217.81</v>
      </c>
      <c r="P7" s="206" t="str">
        <f aca="false">IF(Model!N13=0,"",Model!N13)</f>
        <v/>
      </c>
      <c r="Q7" s="206" t="str">
        <f aca="false">IF(Model!O13=0,"",Model!O13)</f>
        <v/>
      </c>
      <c r="R7" s="206" t="str">
        <f aca="false">IF(Model!P13=0,"",Model!P13)</f>
        <v/>
      </c>
      <c r="S7" s="206" t="str">
        <f aca="false">IF(Model!Q13=0,"",Model!Q13)</f>
        <v/>
      </c>
      <c r="T7" s="206" t="str">
        <f aca="false">IF(Model!R13=0,"",Model!R13)</f>
        <v/>
      </c>
      <c r="U7" s="206" t="str">
        <f aca="false">IF(Model!S13=0,"",Model!S13)</f>
        <v/>
      </c>
      <c r="V7" s="206" t="str">
        <f aca="false">IF(Model!T13=0,"",Model!T13)</f>
        <v/>
      </c>
      <c r="W7" s="206" t="str">
        <f aca="false">IF(Model!U13=0,"",Model!U13)</f>
        <v/>
      </c>
      <c r="X7" s="206" t="str">
        <f aca="false">IF(Model!V13=0,"",Model!V13)</f>
        <v/>
      </c>
      <c r="Y7" s="206" t="str">
        <f aca="false">IF(Model!W13=0,"",Model!W13)</f>
        <v/>
      </c>
      <c r="Z7" s="206" t="str">
        <f aca="false">IF(Model!X13=0,"",Model!X13)</f>
        <v/>
      </c>
      <c r="AA7" s="206" t="str">
        <f aca="false">IF(Model!Y13=0,"",Model!Y13)</f>
        <v/>
      </c>
      <c r="AB7" s="206" t="str">
        <f aca="false">IF(Model!Z13=0,"",Model!Z13)</f>
        <v/>
      </c>
      <c r="AC7" s="206" t="str">
        <f aca="false">IF(Model!AA13=0,"",Model!AA13)</f>
        <v/>
      </c>
      <c r="AD7" s="206" t="str">
        <f aca="false">IF(Model!AB13=0,"",Model!AB13)</f>
        <v/>
      </c>
      <c r="AE7" s="206" t="str">
        <f aca="false">IF(Model!AC13=0,"",Model!AC13)</f>
        <v/>
      </c>
      <c r="AF7" s="206" t="str">
        <f aca="false">IF(Model!AD13=0,"",Model!AD13)</f>
        <v/>
      </c>
      <c r="AG7" s="206" t="str">
        <f aca="false">IF(Model!AE13=0,"",Model!AE13)</f>
        <v/>
      </c>
      <c r="AH7" s="206" t="str">
        <f aca="false">IF(Model!AF13=0,"",Model!AF13)</f>
        <v/>
      </c>
      <c r="AI7" s="206" t="str">
        <f aca="false">IF(Model!AG13=0,"",Model!AG13)</f>
        <v/>
      </c>
      <c r="AJ7" s="206" t="str">
        <f aca="false">IF(Model!AH13=0,"",Model!AH13)</f>
        <v/>
      </c>
      <c r="AK7" s="206" t="str">
        <f aca="false">IF(Model!AI13=0,"",Model!AI13)</f>
        <v/>
      </c>
      <c r="AL7" s="206" t="str">
        <f aca="false">IF(Model!AJ13=0,"",Model!AJ13)</f>
        <v/>
      </c>
      <c r="AM7" s="206" t="str">
        <f aca="false">IF(Model!AK13=0,"",Model!AK13)</f>
        <v/>
      </c>
      <c r="AN7" s="206" t="str">
        <f aca="false">IF(Model!AL13=0,"",Model!AL13)</f>
        <v/>
      </c>
      <c r="AO7" s="206" t="str">
        <f aca="false">IF(Model!AM13=0,"",Model!AM13)</f>
        <v/>
      </c>
      <c r="AP7" s="206" t="str">
        <f aca="false">IF(Model!AN13=0,"",Model!AN13)</f>
        <v/>
      </c>
      <c r="AQ7" s="206" t="str">
        <f aca="false">IF(Model!AO13=0,"",Model!AO13)</f>
        <v/>
      </c>
      <c r="AR7" s="206" t="str">
        <f aca="false">IF(Model!AP13=0,"",Model!AP13)</f>
        <v/>
      </c>
      <c r="AS7" s="206" t="str">
        <f aca="false">IF(Model!AQ13=0,"",Model!AQ13)</f>
        <v/>
      </c>
      <c r="AT7" s="206" t="str">
        <f aca="false">IF(Model!AR13=0,"",Model!AR13)</f>
        <v/>
      </c>
      <c r="AU7" s="206" t="str">
        <f aca="false">IF(Model!AS13=0,"",Model!AS13)</f>
        <v/>
      </c>
      <c r="AV7" s="206" t="str">
        <f aca="false">IF(Model!AT13=0,"",Model!AT13)</f>
        <v/>
      </c>
      <c r="AW7" s="206" t="str">
        <f aca="false">IF(Model!AU13=0,"",Model!AU13)</f>
        <v/>
      </c>
      <c r="AX7" s="206" t="str">
        <f aca="false">IF(Model!AV13=0,"",Model!AV13)</f>
        <v/>
      </c>
      <c r="AY7" s="206" t="str">
        <f aca="false">IF(Model!AW13=0,"",Model!AW13)</f>
        <v/>
      </c>
      <c r="AZ7" s="206" t="str">
        <f aca="false">IF(Model!AX13=0,"",Model!AX13)</f>
        <v/>
      </c>
      <c r="BA7" s="206" t="str">
        <f aca="false">IF(Model!AY13=0,"",Model!AY13)</f>
        <v/>
      </c>
      <c r="BB7" s="206" t="str">
        <f aca="false">IF(Model!AZ13=0,"",Model!AZ13)</f>
        <v/>
      </c>
      <c r="BC7" s="206" t="str">
        <f aca="false">IF(Model!BA13=0,"",Model!BA13)</f>
        <v/>
      </c>
      <c r="BD7" s="206" t="str">
        <f aca="false">IF(Model!BB13=0,"",Model!BB13)</f>
        <v/>
      </c>
      <c r="BE7" s="206" t="str">
        <f aca="false">IF(Model!BC13=0,"",Model!BC13)</f>
        <v/>
      </c>
      <c r="BF7" s="206" t="str">
        <f aca="false">IF(Model!BD13=0,"",Model!BD13)</f>
        <v/>
      </c>
      <c r="BG7" s="206" t="str">
        <f aca="false">IF(Model!BE13=0,"",Model!BE13)</f>
        <v/>
      </c>
      <c r="BH7" s="206" t="str">
        <f aca="false">IF(Model!BF13=0,"",Model!BF13)</f>
        <v/>
      </c>
      <c r="BI7" s="206" t="str">
        <f aca="false">IF(Model!BG13=0,"",Model!BG13)</f>
        <v/>
      </c>
      <c r="BJ7" s="206" t="str">
        <f aca="false">IF(Model!BH13=0,"",Model!BH13)</f>
        <v/>
      </c>
      <c r="BK7" s="206" t="str">
        <f aca="false">IF(Model!BI13=0,"",Model!BI13)</f>
        <v/>
      </c>
      <c r="BL7" s="206" t="str">
        <f aca="false">IF(Model!BJ13=0,"",Model!BJ13)</f>
        <v/>
      </c>
      <c r="BM7" s="206" t="str">
        <f aca="false">IF(Model!BK13=0,"",Model!BK13)</f>
        <v/>
      </c>
      <c r="BN7" s="206" t="str">
        <f aca="false">IF(Model!BL13=0,"",Model!BL13)</f>
        <v/>
      </c>
      <c r="BO7" s="206" t="str">
        <f aca="false">IF(Model!BM13=0,"",Model!BM13)</f>
        <v/>
      </c>
      <c r="BP7" s="206" t="str">
        <f aca="false">IF(Model!BN13=0,"",Model!BN13)</f>
        <v/>
      </c>
      <c r="BQ7" s="206" t="str">
        <f aca="false">IF(Model!BO13=0,"",Model!BO13)</f>
        <v/>
      </c>
      <c r="BR7" s="206" t="str">
        <f aca="false">IF(Model!BP13=0,"",Model!BP13)</f>
        <v/>
      </c>
      <c r="BS7" s="206" t="str">
        <f aca="false">IF(Model!BQ13=0,"",Model!BQ13)</f>
        <v/>
      </c>
      <c r="BT7" s="206" t="str">
        <f aca="false">IF(Model!BR13=0,"",Model!BR13)</f>
        <v/>
      </c>
      <c r="BU7" s="206" t="str">
        <f aca="false">IF(Model!BS13=0,"",Model!BS13)</f>
        <v/>
      </c>
      <c r="BV7" s="206" t="str">
        <f aca="false">IF(Model!BT13=0,"",Model!BT13)</f>
        <v/>
      </c>
      <c r="BW7" s="206" t="str">
        <f aca="false">IF(Model!BU13=0,"",Model!BU13)</f>
        <v/>
      </c>
      <c r="BX7" s="206" t="str">
        <f aca="false">IF(Model!BV13=0,"",Model!BV13)</f>
        <v/>
      </c>
      <c r="BY7" s="206" t="str">
        <f aca="false">IF(Model!BW13=0,"",Model!BW13)</f>
        <v/>
      </c>
      <c r="BZ7" s="206" t="str">
        <f aca="false">IF(Model!BX13=0,"",Model!BX13)</f>
        <v/>
      </c>
      <c r="CA7" s="206" t="str">
        <f aca="false">IF(Model!BY13=0,"",Model!BY13)</f>
        <v/>
      </c>
      <c r="CB7" s="206" t="str">
        <f aca="false">IF(Model!BZ13=0,"",Model!BZ13)</f>
        <v/>
      </c>
      <c r="CC7" s="206" t="str">
        <f aca="false">IF(Model!CA13=0,"",Model!CA13)</f>
        <v/>
      </c>
      <c r="CD7" s="206" t="str">
        <f aca="false">IF(Model!CB13=0,"",Model!CB13)</f>
        <v/>
      </c>
      <c r="CE7" s="206" t="str">
        <f aca="false">IF(Model!CC13=0,"",Model!CC13)</f>
        <v/>
      </c>
      <c r="CF7" s="206" t="str">
        <f aca="false">IF(Model!CD13=0,"",Model!CD13)</f>
        <v/>
      </c>
      <c r="CG7" s="206" t="str">
        <f aca="false">IF(Model!CE13=0,"",Model!CE13)</f>
        <v/>
      </c>
      <c r="CH7" s="206" t="str">
        <f aca="false">IF(Model!CF13=0,"",Model!CF13)</f>
        <v/>
      </c>
      <c r="CI7" s="206" t="str">
        <f aca="false">IF(Model!CG13=0,"",Model!CG13)</f>
        <v/>
      </c>
      <c r="CJ7" s="206" t="str">
        <f aca="false">IF(Model!CH13=0,"",Model!CH13)</f>
        <v/>
      </c>
      <c r="CK7" s="206" t="str">
        <f aca="false">IF(Model!CI13=0,"",Model!CI13)</f>
        <v/>
      </c>
      <c r="CL7" s="206" t="str">
        <f aca="false">IF(Model!CJ13=0,"",Model!CJ13)</f>
        <v/>
      </c>
      <c r="CM7" s="206" t="str">
        <f aca="false">IF(Model!CK13=0,"",Model!CK13)</f>
        <v/>
      </c>
      <c r="CN7" s="206" t="str">
        <f aca="false">IF(Model!CL13=0,"",Model!CL13)</f>
        <v/>
      </c>
      <c r="CO7" s="206" t="str">
        <f aca="false">IF(Model!CM13=0,"",Model!CM13)</f>
        <v/>
      </c>
      <c r="CP7" s="206" t="str">
        <f aca="false">IF(Model!CN13=0,"",Model!CN13)</f>
        <v/>
      </c>
      <c r="CQ7" s="206" t="str">
        <f aca="false">IF(Model!CO13=0,"",Model!CO13)</f>
        <v/>
      </c>
      <c r="CR7" s="206" t="str">
        <f aca="false">IF(Model!CP13=0,"",Model!CP13)</f>
        <v/>
      </c>
      <c r="CS7" s="206" t="str">
        <f aca="false">IF(Model!CQ13=0,"",Model!CQ13)</f>
        <v/>
      </c>
      <c r="CT7" s="206" t="str">
        <f aca="false">IF(Model!CR13=0,"",Model!CR13)</f>
        <v/>
      </c>
      <c r="CU7" s="206" t="str">
        <f aca="false">IF(Model!CS13=0,"",Model!CS13)</f>
        <v/>
      </c>
      <c r="CV7" s="206" t="str">
        <f aca="false">IF(Model!CT13=0,"",Model!CT13)</f>
        <v/>
      </c>
      <c r="CW7" s="206" t="str">
        <f aca="false">IF(Model!CU13=0,"",Model!CU13)</f>
        <v/>
      </c>
      <c r="CX7" s="206" t="str">
        <f aca="false">IF(Model!CV13=0,"",Model!CV13)</f>
        <v/>
      </c>
      <c r="CY7" s="206" t="str">
        <f aca="false">IF(Model!CW13=0,"",Model!CW13)</f>
        <v/>
      </c>
      <c r="CZ7" s="206" t="str">
        <f aca="false">IF(Model!CX13=0,"",Model!CX13)</f>
        <v/>
      </c>
      <c r="DA7" s="206" t="str">
        <f aca="false">IF(Model!CY13=0,"",Model!CY13)</f>
        <v/>
      </c>
      <c r="DB7" s="206" t="str">
        <f aca="false">IF(Model!CZ13=0,"",Model!CZ13)</f>
        <v/>
      </c>
    </row>
    <row r="8" customFormat="false" ht="15" hidden="false" customHeight="true" outlineLevel="0" collapsed="false">
      <c r="A8" s="123" t="s">
        <v>8</v>
      </c>
      <c r="B8" s="203" t="n">
        <f aca="false">Projects!$B$3</f>
        <v>20176449</v>
      </c>
      <c r="C8" s="204" t="n">
        <f aca="false">EDATE(Model!$E$2,Projects!$C$3-1)</f>
        <v>46113</v>
      </c>
      <c r="D8" s="204" t="n">
        <f aca="false">EDATE(Model!$E$2,18-1)</f>
        <v>46631</v>
      </c>
      <c r="E8" s="205" t="n">
        <f aca="false">DATEDIF(C8,D8,"m")+1</f>
        <v>18</v>
      </c>
      <c r="F8" s="203" t="n">
        <f aca="false">SUM(G8:DB8)</f>
        <v>18038662.42</v>
      </c>
      <c r="G8" s="206" t="n">
        <f aca="false">IF(Model!E14=0,"",Model!E14)</f>
        <v>1237428.59</v>
      </c>
      <c r="H8" s="206" t="n">
        <f aca="false">IF(Model!F14=0,"",Model!F14)</f>
        <v>1120082.41</v>
      </c>
      <c r="I8" s="206" t="n">
        <f aca="false">IF(Model!G14=0,"",Model!G14)</f>
        <v>1858219.93</v>
      </c>
      <c r="J8" s="206" t="n">
        <f aca="false">IF(Model!H14=0,"",Model!H14)</f>
        <v>1987246.69</v>
      </c>
      <c r="K8" s="206" t="n">
        <f aca="false">IF(Model!I14=0,"",Model!I14)</f>
        <v>1397700.58</v>
      </c>
      <c r="L8" s="206" t="n">
        <f aca="false">IF(Model!J14=0,"",Model!J14)</f>
        <v>1194967.04</v>
      </c>
      <c r="M8" s="206" t="n">
        <f aca="false">IF(Model!K14=0,"",Model!K14)</f>
        <v>815077.04</v>
      </c>
      <c r="N8" s="206" t="n">
        <f aca="false">IF(Model!L14=0,"",Model!L14)</f>
        <v>741216.48</v>
      </c>
      <c r="O8" s="206" t="n">
        <f aca="false">IF(Model!M14=0,"",Model!M14)</f>
        <v>749168.4</v>
      </c>
      <c r="P8" s="206" t="n">
        <f aca="false">IF(Model!N14=0,"",Model!N14)</f>
        <v>971939.79</v>
      </c>
      <c r="Q8" s="206" t="n">
        <f aca="false">IF(Model!O14=0,"",Model!O14)</f>
        <v>809808.44</v>
      </c>
      <c r="R8" s="206" t="n">
        <f aca="false">IF(Model!P14=0,"",Model!P14)</f>
        <v>1050106.48</v>
      </c>
      <c r="S8" s="206" t="n">
        <f aca="false">IF(Model!Q14=0,"",Model!Q14)</f>
        <v>858162.3</v>
      </c>
      <c r="T8" s="206" t="n">
        <f aca="false">IF(Model!R14=0,"",Model!R14)</f>
        <v>677761.69</v>
      </c>
      <c r="U8" s="206" t="n">
        <f aca="false">IF(Model!S14=0,"",Model!S14)</f>
        <v>619657.29</v>
      </c>
      <c r="V8" s="206" t="n">
        <f aca="false">IF(Model!T14=0,"",Model!T14)</f>
        <v>833901.29</v>
      </c>
      <c r="W8" s="206" t="n">
        <f aca="false">IF(Model!U14=0,"",Model!U14)</f>
        <v>832480.71</v>
      </c>
      <c r="X8" s="206" t="n">
        <f aca="false">IF(Model!V14=0,"",Model!V14)</f>
        <v>283737.27</v>
      </c>
      <c r="Y8" s="206" t="str">
        <f aca="false">IF(Model!W14=0,"",Model!W14)</f>
        <v/>
      </c>
      <c r="Z8" s="206" t="str">
        <f aca="false">IF(Model!X14=0,"",Model!X14)</f>
        <v/>
      </c>
      <c r="AA8" s="206" t="str">
        <f aca="false">IF(Model!Y14=0,"",Model!Y14)</f>
        <v/>
      </c>
      <c r="AB8" s="206" t="str">
        <f aca="false">IF(Model!Z14=0,"",Model!Z14)</f>
        <v/>
      </c>
      <c r="AC8" s="206" t="str">
        <f aca="false">IF(Model!AA14=0,"",Model!AA14)</f>
        <v/>
      </c>
      <c r="AD8" s="206" t="str">
        <f aca="false">IF(Model!AB14=0,"",Model!AB14)</f>
        <v/>
      </c>
      <c r="AE8" s="206" t="str">
        <f aca="false">IF(Model!AC14=0,"",Model!AC14)</f>
        <v/>
      </c>
      <c r="AF8" s="206" t="str">
        <f aca="false">IF(Model!AD14=0,"",Model!AD14)</f>
        <v/>
      </c>
      <c r="AG8" s="206" t="str">
        <f aca="false">IF(Model!AE14=0,"",Model!AE14)</f>
        <v/>
      </c>
      <c r="AH8" s="206" t="str">
        <f aca="false">IF(Model!AF14=0,"",Model!AF14)</f>
        <v/>
      </c>
      <c r="AI8" s="206" t="str">
        <f aca="false">IF(Model!AG14=0,"",Model!AG14)</f>
        <v/>
      </c>
      <c r="AJ8" s="206" t="str">
        <f aca="false">IF(Model!AH14=0,"",Model!AH14)</f>
        <v/>
      </c>
      <c r="AK8" s="206" t="str">
        <f aca="false">IF(Model!AI14=0,"",Model!AI14)</f>
        <v/>
      </c>
      <c r="AL8" s="206" t="str">
        <f aca="false">IF(Model!AJ14=0,"",Model!AJ14)</f>
        <v/>
      </c>
      <c r="AM8" s="206" t="str">
        <f aca="false">IF(Model!AK14=0,"",Model!AK14)</f>
        <v/>
      </c>
      <c r="AN8" s="206" t="str">
        <f aca="false">IF(Model!AL14=0,"",Model!AL14)</f>
        <v/>
      </c>
      <c r="AO8" s="206" t="str">
        <f aca="false">IF(Model!AM14=0,"",Model!AM14)</f>
        <v/>
      </c>
      <c r="AP8" s="206" t="str">
        <f aca="false">IF(Model!AN14=0,"",Model!AN14)</f>
        <v/>
      </c>
      <c r="AQ8" s="206" t="str">
        <f aca="false">IF(Model!AO14=0,"",Model!AO14)</f>
        <v/>
      </c>
      <c r="AR8" s="206" t="str">
        <f aca="false">IF(Model!AP14=0,"",Model!AP14)</f>
        <v/>
      </c>
      <c r="AS8" s="206" t="str">
        <f aca="false">IF(Model!AQ14=0,"",Model!AQ14)</f>
        <v/>
      </c>
      <c r="AT8" s="206" t="str">
        <f aca="false">IF(Model!AR14=0,"",Model!AR14)</f>
        <v/>
      </c>
      <c r="AU8" s="206" t="str">
        <f aca="false">IF(Model!AS14=0,"",Model!AS14)</f>
        <v/>
      </c>
      <c r="AV8" s="206" t="str">
        <f aca="false">IF(Model!AT14=0,"",Model!AT14)</f>
        <v/>
      </c>
      <c r="AW8" s="206" t="str">
        <f aca="false">IF(Model!AU14=0,"",Model!AU14)</f>
        <v/>
      </c>
      <c r="AX8" s="206" t="str">
        <f aca="false">IF(Model!AV14=0,"",Model!AV14)</f>
        <v/>
      </c>
      <c r="AY8" s="206" t="str">
        <f aca="false">IF(Model!AW14=0,"",Model!AW14)</f>
        <v/>
      </c>
      <c r="AZ8" s="206" t="str">
        <f aca="false">IF(Model!AX14=0,"",Model!AX14)</f>
        <v/>
      </c>
      <c r="BA8" s="206" t="str">
        <f aca="false">IF(Model!AY14=0,"",Model!AY14)</f>
        <v/>
      </c>
      <c r="BB8" s="206" t="str">
        <f aca="false">IF(Model!AZ14=0,"",Model!AZ14)</f>
        <v/>
      </c>
      <c r="BC8" s="206" t="str">
        <f aca="false">IF(Model!BA14=0,"",Model!BA14)</f>
        <v/>
      </c>
      <c r="BD8" s="206" t="str">
        <f aca="false">IF(Model!BB14=0,"",Model!BB14)</f>
        <v/>
      </c>
      <c r="BE8" s="206" t="str">
        <f aca="false">IF(Model!BC14=0,"",Model!BC14)</f>
        <v/>
      </c>
      <c r="BF8" s="206" t="str">
        <f aca="false">IF(Model!BD14=0,"",Model!BD14)</f>
        <v/>
      </c>
      <c r="BG8" s="206" t="str">
        <f aca="false">IF(Model!BE14=0,"",Model!BE14)</f>
        <v/>
      </c>
      <c r="BH8" s="206" t="str">
        <f aca="false">IF(Model!BF14=0,"",Model!BF14)</f>
        <v/>
      </c>
      <c r="BI8" s="206" t="str">
        <f aca="false">IF(Model!BG14=0,"",Model!BG14)</f>
        <v/>
      </c>
      <c r="BJ8" s="206" t="str">
        <f aca="false">IF(Model!BH14=0,"",Model!BH14)</f>
        <v/>
      </c>
      <c r="BK8" s="206" t="str">
        <f aca="false">IF(Model!BI14=0,"",Model!BI14)</f>
        <v/>
      </c>
      <c r="BL8" s="206" t="str">
        <f aca="false">IF(Model!BJ14=0,"",Model!BJ14)</f>
        <v/>
      </c>
      <c r="BM8" s="206" t="str">
        <f aca="false">IF(Model!BK14=0,"",Model!BK14)</f>
        <v/>
      </c>
      <c r="BN8" s="206" t="str">
        <f aca="false">IF(Model!BL14=0,"",Model!BL14)</f>
        <v/>
      </c>
      <c r="BO8" s="206" t="str">
        <f aca="false">IF(Model!BM14=0,"",Model!BM14)</f>
        <v/>
      </c>
      <c r="BP8" s="206" t="str">
        <f aca="false">IF(Model!BN14=0,"",Model!BN14)</f>
        <v/>
      </c>
      <c r="BQ8" s="206" t="str">
        <f aca="false">IF(Model!BO14=0,"",Model!BO14)</f>
        <v/>
      </c>
      <c r="BR8" s="206" t="str">
        <f aca="false">IF(Model!BP14=0,"",Model!BP14)</f>
        <v/>
      </c>
      <c r="BS8" s="206" t="str">
        <f aca="false">IF(Model!BQ14=0,"",Model!BQ14)</f>
        <v/>
      </c>
      <c r="BT8" s="206" t="str">
        <f aca="false">IF(Model!BR14=0,"",Model!BR14)</f>
        <v/>
      </c>
      <c r="BU8" s="206" t="str">
        <f aca="false">IF(Model!BS14=0,"",Model!BS14)</f>
        <v/>
      </c>
      <c r="BV8" s="206" t="str">
        <f aca="false">IF(Model!BT14=0,"",Model!BT14)</f>
        <v/>
      </c>
      <c r="BW8" s="206" t="str">
        <f aca="false">IF(Model!BU14=0,"",Model!BU14)</f>
        <v/>
      </c>
      <c r="BX8" s="206" t="str">
        <f aca="false">IF(Model!BV14=0,"",Model!BV14)</f>
        <v/>
      </c>
      <c r="BY8" s="206" t="str">
        <f aca="false">IF(Model!BW14=0,"",Model!BW14)</f>
        <v/>
      </c>
      <c r="BZ8" s="206" t="str">
        <f aca="false">IF(Model!BX14=0,"",Model!BX14)</f>
        <v/>
      </c>
      <c r="CA8" s="206" t="str">
        <f aca="false">IF(Model!BY14=0,"",Model!BY14)</f>
        <v/>
      </c>
      <c r="CB8" s="206" t="str">
        <f aca="false">IF(Model!BZ14=0,"",Model!BZ14)</f>
        <v/>
      </c>
      <c r="CC8" s="206" t="str">
        <f aca="false">IF(Model!CA14=0,"",Model!CA14)</f>
        <v/>
      </c>
      <c r="CD8" s="206" t="str">
        <f aca="false">IF(Model!CB14=0,"",Model!CB14)</f>
        <v/>
      </c>
      <c r="CE8" s="206" t="str">
        <f aca="false">IF(Model!CC14=0,"",Model!CC14)</f>
        <v/>
      </c>
      <c r="CF8" s="206" t="str">
        <f aca="false">IF(Model!CD14=0,"",Model!CD14)</f>
        <v/>
      </c>
      <c r="CG8" s="206" t="str">
        <f aca="false">IF(Model!CE14=0,"",Model!CE14)</f>
        <v/>
      </c>
      <c r="CH8" s="206" t="str">
        <f aca="false">IF(Model!CF14=0,"",Model!CF14)</f>
        <v/>
      </c>
      <c r="CI8" s="206" t="str">
        <f aca="false">IF(Model!CG14=0,"",Model!CG14)</f>
        <v/>
      </c>
      <c r="CJ8" s="206" t="str">
        <f aca="false">IF(Model!CH14=0,"",Model!CH14)</f>
        <v/>
      </c>
      <c r="CK8" s="206" t="str">
        <f aca="false">IF(Model!CI14=0,"",Model!CI14)</f>
        <v/>
      </c>
      <c r="CL8" s="206" t="str">
        <f aca="false">IF(Model!CJ14=0,"",Model!CJ14)</f>
        <v/>
      </c>
      <c r="CM8" s="206" t="str">
        <f aca="false">IF(Model!CK14=0,"",Model!CK14)</f>
        <v/>
      </c>
      <c r="CN8" s="206" t="str">
        <f aca="false">IF(Model!CL14=0,"",Model!CL14)</f>
        <v/>
      </c>
      <c r="CO8" s="206" t="str">
        <f aca="false">IF(Model!CM14=0,"",Model!CM14)</f>
        <v/>
      </c>
      <c r="CP8" s="206" t="str">
        <f aca="false">IF(Model!CN14=0,"",Model!CN14)</f>
        <v/>
      </c>
      <c r="CQ8" s="206" t="str">
        <f aca="false">IF(Model!CO14=0,"",Model!CO14)</f>
        <v/>
      </c>
      <c r="CR8" s="206" t="str">
        <f aca="false">IF(Model!CP14=0,"",Model!CP14)</f>
        <v/>
      </c>
      <c r="CS8" s="206" t="str">
        <f aca="false">IF(Model!CQ14=0,"",Model!CQ14)</f>
        <v/>
      </c>
      <c r="CT8" s="206" t="str">
        <f aca="false">IF(Model!CR14=0,"",Model!CR14)</f>
        <v/>
      </c>
      <c r="CU8" s="206" t="str">
        <f aca="false">IF(Model!CS14=0,"",Model!CS14)</f>
        <v/>
      </c>
      <c r="CV8" s="206" t="str">
        <f aca="false">IF(Model!CT14=0,"",Model!CT14)</f>
        <v/>
      </c>
      <c r="CW8" s="206" t="str">
        <f aca="false">IF(Model!CU14=0,"",Model!CU14)</f>
        <v/>
      </c>
      <c r="CX8" s="206" t="str">
        <f aca="false">IF(Model!CV14=0,"",Model!CV14)</f>
        <v/>
      </c>
      <c r="CY8" s="206" t="str">
        <f aca="false">IF(Model!CW14=0,"",Model!CW14)</f>
        <v/>
      </c>
      <c r="CZ8" s="206" t="str">
        <f aca="false">IF(Model!CX14=0,"",Model!CX14)</f>
        <v/>
      </c>
      <c r="DA8" s="206" t="str">
        <f aca="false">IF(Model!CY14=0,"",Model!CY14)</f>
        <v/>
      </c>
      <c r="DB8" s="206" t="str">
        <f aca="false">IF(Model!CZ14=0,"",Model!CZ14)</f>
        <v/>
      </c>
    </row>
    <row r="9" customFormat="false" ht="15" hidden="false" customHeight="true" outlineLevel="0" collapsed="false">
      <c r="A9" s="123" t="s">
        <v>9</v>
      </c>
      <c r="B9" s="203" t="n">
        <f aca="false">Projects!$B$4</f>
        <v>11929880</v>
      </c>
      <c r="C9" s="204" t="n">
        <f aca="false">EDATE(Model!$E$2,Projects!$C$4-1)</f>
        <v>46113</v>
      </c>
      <c r="D9" s="204" t="n">
        <f aca="false">EDATE(Model!$E$2,17-1)</f>
        <v>46600</v>
      </c>
      <c r="E9" s="205" t="n">
        <f aca="false">DATEDIF(C9,D9,"m")+1</f>
        <v>17</v>
      </c>
      <c r="F9" s="203" t="n">
        <f aca="false">SUM(G9:DB9)</f>
        <v>10585007.88</v>
      </c>
      <c r="G9" s="206" t="n">
        <f aca="false">IF(Model!E15=0,"",Model!E15)</f>
        <v>571051.61</v>
      </c>
      <c r="H9" s="206" t="n">
        <f aca="false">IF(Model!F15=0,"",Model!F15)</f>
        <v>1099379.66</v>
      </c>
      <c r="I9" s="206" t="n">
        <f aca="false">IF(Model!G15=0,"",Model!G15)</f>
        <v>1315355.15</v>
      </c>
      <c r="J9" s="206" t="n">
        <f aca="false">IF(Model!H15=0,"",Model!H15)</f>
        <v>603209.04</v>
      </c>
      <c r="K9" s="206" t="n">
        <f aca="false">IF(Model!I15=0,"",Model!I15)</f>
        <v>736924.86</v>
      </c>
      <c r="L9" s="206" t="n">
        <f aca="false">IF(Model!J15=0,"",Model!J15)</f>
        <v>1261242.08</v>
      </c>
      <c r="M9" s="206" t="n">
        <f aca="false">IF(Model!K15=0,"",Model!K15)</f>
        <v>461886.09</v>
      </c>
      <c r="N9" s="206" t="n">
        <f aca="false">IF(Model!L15=0,"",Model!L15)</f>
        <v>488171.48</v>
      </c>
      <c r="O9" s="206" t="n">
        <f aca="false">IF(Model!M15=0,"",Model!M15)</f>
        <v>650549</v>
      </c>
      <c r="P9" s="206" t="n">
        <f aca="false">IF(Model!N15=0,"",Model!N15)</f>
        <v>585157.97</v>
      </c>
      <c r="Q9" s="206" t="n">
        <f aca="false">IF(Model!O15=0,"",Model!O15)</f>
        <v>497554.02</v>
      </c>
      <c r="R9" s="206" t="n">
        <f aca="false">IF(Model!P15=0,"",Model!P15)</f>
        <v>597185.64</v>
      </c>
      <c r="S9" s="206" t="n">
        <f aca="false">IF(Model!Q15=0,"",Model!Q15)</f>
        <v>572361.81</v>
      </c>
      <c r="T9" s="206" t="n">
        <f aca="false">IF(Model!R15=0,"",Model!R15)</f>
        <v>509265.9</v>
      </c>
      <c r="U9" s="206" t="n">
        <f aca="false">IF(Model!S15=0,"",Model!S15)</f>
        <v>344727.54</v>
      </c>
      <c r="V9" s="206" t="n">
        <f aca="false">IF(Model!T15=0,"",Model!T15)</f>
        <v>149345.54</v>
      </c>
      <c r="W9" s="206" t="n">
        <f aca="false">IF(Model!U15=0,"",Model!U15)</f>
        <v>141640.49</v>
      </c>
      <c r="X9" s="206" t="str">
        <f aca="false">IF(Model!V15=0,"",Model!V15)</f>
        <v/>
      </c>
      <c r="Y9" s="206" t="str">
        <f aca="false">IF(Model!W15=0,"",Model!W15)</f>
        <v/>
      </c>
      <c r="Z9" s="206" t="str">
        <f aca="false">IF(Model!X15=0,"",Model!X15)</f>
        <v/>
      </c>
      <c r="AA9" s="206" t="str">
        <f aca="false">IF(Model!Y15=0,"",Model!Y15)</f>
        <v/>
      </c>
      <c r="AB9" s="206" t="str">
        <f aca="false">IF(Model!Z15=0,"",Model!Z15)</f>
        <v/>
      </c>
      <c r="AC9" s="206" t="str">
        <f aca="false">IF(Model!AA15=0,"",Model!AA15)</f>
        <v/>
      </c>
      <c r="AD9" s="206" t="str">
        <f aca="false">IF(Model!AB15=0,"",Model!AB15)</f>
        <v/>
      </c>
      <c r="AE9" s="206" t="str">
        <f aca="false">IF(Model!AC15=0,"",Model!AC15)</f>
        <v/>
      </c>
      <c r="AF9" s="206" t="str">
        <f aca="false">IF(Model!AD15=0,"",Model!AD15)</f>
        <v/>
      </c>
      <c r="AG9" s="206" t="str">
        <f aca="false">IF(Model!AE15=0,"",Model!AE15)</f>
        <v/>
      </c>
      <c r="AH9" s="206" t="str">
        <f aca="false">IF(Model!AF15=0,"",Model!AF15)</f>
        <v/>
      </c>
      <c r="AI9" s="206" t="str">
        <f aca="false">IF(Model!AG15=0,"",Model!AG15)</f>
        <v/>
      </c>
      <c r="AJ9" s="206" t="str">
        <f aca="false">IF(Model!AH15=0,"",Model!AH15)</f>
        <v/>
      </c>
      <c r="AK9" s="206" t="str">
        <f aca="false">IF(Model!AI15=0,"",Model!AI15)</f>
        <v/>
      </c>
      <c r="AL9" s="206" t="str">
        <f aca="false">IF(Model!AJ15=0,"",Model!AJ15)</f>
        <v/>
      </c>
      <c r="AM9" s="206" t="str">
        <f aca="false">IF(Model!AK15=0,"",Model!AK15)</f>
        <v/>
      </c>
      <c r="AN9" s="206" t="str">
        <f aca="false">IF(Model!AL15=0,"",Model!AL15)</f>
        <v/>
      </c>
      <c r="AO9" s="206" t="str">
        <f aca="false">IF(Model!AM15=0,"",Model!AM15)</f>
        <v/>
      </c>
      <c r="AP9" s="206" t="str">
        <f aca="false">IF(Model!AN15=0,"",Model!AN15)</f>
        <v/>
      </c>
      <c r="AQ9" s="206" t="str">
        <f aca="false">IF(Model!AO15=0,"",Model!AO15)</f>
        <v/>
      </c>
      <c r="AR9" s="206" t="str">
        <f aca="false">IF(Model!AP15=0,"",Model!AP15)</f>
        <v/>
      </c>
      <c r="AS9" s="206" t="str">
        <f aca="false">IF(Model!AQ15=0,"",Model!AQ15)</f>
        <v/>
      </c>
      <c r="AT9" s="206" t="str">
        <f aca="false">IF(Model!AR15=0,"",Model!AR15)</f>
        <v/>
      </c>
      <c r="AU9" s="206" t="str">
        <f aca="false">IF(Model!AS15=0,"",Model!AS15)</f>
        <v/>
      </c>
      <c r="AV9" s="206" t="str">
        <f aca="false">IF(Model!AT15=0,"",Model!AT15)</f>
        <v/>
      </c>
      <c r="AW9" s="206" t="str">
        <f aca="false">IF(Model!AU15=0,"",Model!AU15)</f>
        <v/>
      </c>
      <c r="AX9" s="206" t="str">
        <f aca="false">IF(Model!AV15=0,"",Model!AV15)</f>
        <v/>
      </c>
      <c r="AY9" s="206" t="str">
        <f aca="false">IF(Model!AW15=0,"",Model!AW15)</f>
        <v/>
      </c>
      <c r="AZ9" s="206" t="str">
        <f aca="false">IF(Model!AX15=0,"",Model!AX15)</f>
        <v/>
      </c>
      <c r="BA9" s="206" t="str">
        <f aca="false">IF(Model!AY15=0,"",Model!AY15)</f>
        <v/>
      </c>
      <c r="BB9" s="206" t="str">
        <f aca="false">IF(Model!AZ15=0,"",Model!AZ15)</f>
        <v/>
      </c>
      <c r="BC9" s="206" t="str">
        <f aca="false">IF(Model!BA15=0,"",Model!BA15)</f>
        <v/>
      </c>
      <c r="BD9" s="206" t="str">
        <f aca="false">IF(Model!BB15=0,"",Model!BB15)</f>
        <v/>
      </c>
      <c r="BE9" s="206" t="str">
        <f aca="false">IF(Model!BC15=0,"",Model!BC15)</f>
        <v/>
      </c>
      <c r="BF9" s="206" t="str">
        <f aca="false">IF(Model!BD15=0,"",Model!BD15)</f>
        <v/>
      </c>
      <c r="BG9" s="206" t="str">
        <f aca="false">IF(Model!BE15=0,"",Model!BE15)</f>
        <v/>
      </c>
      <c r="BH9" s="206" t="str">
        <f aca="false">IF(Model!BF15=0,"",Model!BF15)</f>
        <v/>
      </c>
      <c r="BI9" s="206" t="str">
        <f aca="false">IF(Model!BG15=0,"",Model!BG15)</f>
        <v/>
      </c>
      <c r="BJ9" s="206" t="str">
        <f aca="false">IF(Model!BH15=0,"",Model!BH15)</f>
        <v/>
      </c>
      <c r="BK9" s="206" t="str">
        <f aca="false">IF(Model!BI15=0,"",Model!BI15)</f>
        <v/>
      </c>
      <c r="BL9" s="206" t="str">
        <f aca="false">IF(Model!BJ15=0,"",Model!BJ15)</f>
        <v/>
      </c>
      <c r="BM9" s="206" t="str">
        <f aca="false">IF(Model!BK15=0,"",Model!BK15)</f>
        <v/>
      </c>
      <c r="BN9" s="206" t="str">
        <f aca="false">IF(Model!BL15=0,"",Model!BL15)</f>
        <v/>
      </c>
      <c r="BO9" s="206" t="str">
        <f aca="false">IF(Model!BM15=0,"",Model!BM15)</f>
        <v/>
      </c>
      <c r="BP9" s="206" t="str">
        <f aca="false">IF(Model!BN15=0,"",Model!BN15)</f>
        <v/>
      </c>
      <c r="BQ9" s="206" t="str">
        <f aca="false">IF(Model!BO15=0,"",Model!BO15)</f>
        <v/>
      </c>
      <c r="BR9" s="206" t="str">
        <f aca="false">IF(Model!BP15=0,"",Model!BP15)</f>
        <v/>
      </c>
      <c r="BS9" s="206" t="str">
        <f aca="false">IF(Model!BQ15=0,"",Model!BQ15)</f>
        <v/>
      </c>
      <c r="BT9" s="206" t="str">
        <f aca="false">IF(Model!BR15=0,"",Model!BR15)</f>
        <v/>
      </c>
      <c r="BU9" s="206" t="str">
        <f aca="false">IF(Model!BS15=0,"",Model!BS15)</f>
        <v/>
      </c>
      <c r="BV9" s="206" t="str">
        <f aca="false">IF(Model!BT15=0,"",Model!BT15)</f>
        <v/>
      </c>
      <c r="BW9" s="206" t="str">
        <f aca="false">IF(Model!BU15=0,"",Model!BU15)</f>
        <v/>
      </c>
      <c r="BX9" s="206" t="str">
        <f aca="false">IF(Model!BV15=0,"",Model!BV15)</f>
        <v/>
      </c>
      <c r="BY9" s="206" t="str">
        <f aca="false">IF(Model!BW15=0,"",Model!BW15)</f>
        <v/>
      </c>
      <c r="BZ9" s="206" t="str">
        <f aca="false">IF(Model!BX15=0,"",Model!BX15)</f>
        <v/>
      </c>
      <c r="CA9" s="206" t="str">
        <f aca="false">IF(Model!BY15=0,"",Model!BY15)</f>
        <v/>
      </c>
      <c r="CB9" s="206" t="str">
        <f aca="false">IF(Model!BZ15=0,"",Model!BZ15)</f>
        <v/>
      </c>
      <c r="CC9" s="206" t="str">
        <f aca="false">IF(Model!CA15=0,"",Model!CA15)</f>
        <v/>
      </c>
      <c r="CD9" s="206" t="str">
        <f aca="false">IF(Model!CB15=0,"",Model!CB15)</f>
        <v/>
      </c>
      <c r="CE9" s="206" t="str">
        <f aca="false">IF(Model!CC15=0,"",Model!CC15)</f>
        <v/>
      </c>
      <c r="CF9" s="206" t="str">
        <f aca="false">IF(Model!CD15=0,"",Model!CD15)</f>
        <v/>
      </c>
      <c r="CG9" s="206" t="str">
        <f aca="false">IF(Model!CE15=0,"",Model!CE15)</f>
        <v/>
      </c>
      <c r="CH9" s="206" t="str">
        <f aca="false">IF(Model!CF15=0,"",Model!CF15)</f>
        <v/>
      </c>
      <c r="CI9" s="206" t="str">
        <f aca="false">IF(Model!CG15=0,"",Model!CG15)</f>
        <v/>
      </c>
      <c r="CJ9" s="206" t="str">
        <f aca="false">IF(Model!CH15=0,"",Model!CH15)</f>
        <v/>
      </c>
      <c r="CK9" s="206" t="str">
        <f aca="false">IF(Model!CI15=0,"",Model!CI15)</f>
        <v/>
      </c>
      <c r="CL9" s="206" t="str">
        <f aca="false">IF(Model!CJ15=0,"",Model!CJ15)</f>
        <v/>
      </c>
      <c r="CM9" s="206" t="str">
        <f aca="false">IF(Model!CK15=0,"",Model!CK15)</f>
        <v/>
      </c>
      <c r="CN9" s="206" t="str">
        <f aca="false">IF(Model!CL15=0,"",Model!CL15)</f>
        <v/>
      </c>
      <c r="CO9" s="206" t="str">
        <f aca="false">IF(Model!CM15=0,"",Model!CM15)</f>
        <v/>
      </c>
      <c r="CP9" s="206" t="str">
        <f aca="false">IF(Model!CN15=0,"",Model!CN15)</f>
        <v/>
      </c>
      <c r="CQ9" s="206" t="str">
        <f aca="false">IF(Model!CO15=0,"",Model!CO15)</f>
        <v/>
      </c>
      <c r="CR9" s="206" t="str">
        <f aca="false">IF(Model!CP15=0,"",Model!CP15)</f>
        <v/>
      </c>
      <c r="CS9" s="206" t="str">
        <f aca="false">IF(Model!CQ15=0,"",Model!CQ15)</f>
        <v/>
      </c>
      <c r="CT9" s="206" t="str">
        <f aca="false">IF(Model!CR15=0,"",Model!CR15)</f>
        <v/>
      </c>
      <c r="CU9" s="206" t="str">
        <f aca="false">IF(Model!CS15=0,"",Model!CS15)</f>
        <v/>
      </c>
      <c r="CV9" s="206" t="str">
        <f aca="false">IF(Model!CT15=0,"",Model!CT15)</f>
        <v/>
      </c>
      <c r="CW9" s="206" t="str">
        <f aca="false">IF(Model!CU15=0,"",Model!CU15)</f>
        <v/>
      </c>
      <c r="CX9" s="206" t="str">
        <f aca="false">IF(Model!CV15=0,"",Model!CV15)</f>
        <v/>
      </c>
      <c r="CY9" s="206" t="str">
        <f aca="false">IF(Model!CW15=0,"",Model!CW15)</f>
        <v/>
      </c>
      <c r="CZ9" s="206" t="str">
        <f aca="false">IF(Model!CX15=0,"",Model!CX15)</f>
        <v/>
      </c>
      <c r="DA9" s="206" t="str">
        <f aca="false">IF(Model!CY15=0,"",Model!CY15)</f>
        <v/>
      </c>
      <c r="DB9" s="206" t="str">
        <f aca="false">IF(Model!CZ15=0,"",Model!CZ15)</f>
        <v/>
      </c>
    </row>
    <row r="10" customFormat="false" ht="15" hidden="false" customHeight="true" outlineLevel="0" collapsed="false">
      <c r="A10" s="123" t="s">
        <v>10</v>
      </c>
      <c r="B10" s="203" t="n">
        <f aca="false">Projects!$B$5</f>
        <v>14427884</v>
      </c>
      <c r="C10" s="204" t="n">
        <f aca="false">EDATE(Model!$E$2,Projects!$C$5-1)</f>
        <v>46113</v>
      </c>
      <c r="D10" s="204" t="n">
        <f aca="false">EDATE(Model!$E$2,19-1)</f>
        <v>46661</v>
      </c>
      <c r="E10" s="205" t="n">
        <f aca="false">DATEDIF(C10,D10,"m")+1</f>
        <v>19</v>
      </c>
      <c r="F10" s="203" t="n">
        <f aca="false">SUM(G10:DB10)</f>
        <v>12866882.78</v>
      </c>
      <c r="G10" s="206" t="n">
        <f aca="false">IF(Model!E16=0,"",Model!E16)</f>
        <v>577813.6</v>
      </c>
      <c r="H10" s="206" t="n">
        <f aca="false">IF(Model!F16=0,"",Model!F16)</f>
        <v>785971.45</v>
      </c>
      <c r="I10" s="206" t="n">
        <f aca="false">IF(Model!G16=0,"",Model!G16)</f>
        <v>1198349.29</v>
      </c>
      <c r="J10" s="206" t="n">
        <f aca="false">IF(Model!H16=0,"",Model!H16)</f>
        <v>1191447.65</v>
      </c>
      <c r="K10" s="206" t="n">
        <f aca="false">IF(Model!I16=0,"",Model!I16)</f>
        <v>1568049.76</v>
      </c>
      <c r="L10" s="206" t="n">
        <f aca="false">IF(Model!J16=0,"",Model!J16)</f>
        <v>1527496.71</v>
      </c>
      <c r="M10" s="206" t="n">
        <f aca="false">IF(Model!K16=0,"",Model!K16)</f>
        <v>542154.36</v>
      </c>
      <c r="N10" s="206" t="n">
        <f aca="false">IF(Model!L16=0,"",Model!L16)</f>
        <v>509835.57</v>
      </c>
      <c r="O10" s="206" t="n">
        <f aca="false">IF(Model!M16=0,"",Model!M16)</f>
        <v>439331.57</v>
      </c>
      <c r="P10" s="206" t="n">
        <f aca="false">IF(Model!N16=0,"",Model!N16)</f>
        <v>515849.83</v>
      </c>
      <c r="Q10" s="206" t="n">
        <f aca="false">IF(Model!O16=0,"",Model!O16)</f>
        <v>492274.7</v>
      </c>
      <c r="R10" s="206" t="n">
        <f aca="false">IF(Model!P16=0,"",Model!P16)</f>
        <v>347513.21</v>
      </c>
      <c r="S10" s="206" t="n">
        <f aca="false">IF(Model!Q16=0,"",Model!Q16)</f>
        <v>326394.52</v>
      </c>
      <c r="T10" s="206" t="n">
        <f aca="false">IF(Model!R16=0,"",Model!R16)</f>
        <v>251483.96</v>
      </c>
      <c r="U10" s="206" t="n">
        <f aca="false">IF(Model!S16=0,"",Model!S16)</f>
        <v>612215.42</v>
      </c>
      <c r="V10" s="206" t="n">
        <f aca="false">IF(Model!T16=0,"",Model!T16)</f>
        <v>871620.13</v>
      </c>
      <c r="W10" s="206" t="n">
        <f aca="false">IF(Model!U16=0,"",Model!U16)</f>
        <v>588727.53</v>
      </c>
      <c r="X10" s="206" t="n">
        <f aca="false">IF(Model!V16=0,"",Model!V16)</f>
        <v>374851.55</v>
      </c>
      <c r="Y10" s="206" t="n">
        <f aca="false">IF(Model!W16=0,"",Model!W16)</f>
        <v>145501.97</v>
      </c>
      <c r="Z10" s="206" t="str">
        <f aca="false">IF(Model!X16=0,"",Model!X16)</f>
        <v/>
      </c>
      <c r="AA10" s="206" t="str">
        <f aca="false">IF(Model!Y16=0,"",Model!Y16)</f>
        <v/>
      </c>
      <c r="AB10" s="206" t="str">
        <f aca="false">IF(Model!Z16=0,"",Model!Z16)</f>
        <v/>
      </c>
      <c r="AC10" s="206" t="str">
        <f aca="false">IF(Model!AA16=0,"",Model!AA16)</f>
        <v/>
      </c>
      <c r="AD10" s="206" t="str">
        <f aca="false">IF(Model!AB16=0,"",Model!AB16)</f>
        <v/>
      </c>
      <c r="AE10" s="206" t="str">
        <f aca="false">IF(Model!AC16=0,"",Model!AC16)</f>
        <v/>
      </c>
      <c r="AF10" s="206" t="str">
        <f aca="false">IF(Model!AD16=0,"",Model!AD16)</f>
        <v/>
      </c>
      <c r="AG10" s="206" t="str">
        <f aca="false">IF(Model!AE16=0,"",Model!AE16)</f>
        <v/>
      </c>
      <c r="AH10" s="206" t="str">
        <f aca="false">IF(Model!AF16=0,"",Model!AF16)</f>
        <v/>
      </c>
      <c r="AI10" s="206" t="str">
        <f aca="false">IF(Model!AG16=0,"",Model!AG16)</f>
        <v/>
      </c>
      <c r="AJ10" s="206" t="str">
        <f aca="false">IF(Model!AH16=0,"",Model!AH16)</f>
        <v/>
      </c>
      <c r="AK10" s="206" t="str">
        <f aca="false">IF(Model!AI16=0,"",Model!AI16)</f>
        <v/>
      </c>
      <c r="AL10" s="206" t="str">
        <f aca="false">IF(Model!AJ16=0,"",Model!AJ16)</f>
        <v/>
      </c>
      <c r="AM10" s="206" t="str">
        <f aca="false">IF(Model!AK16=0,"",Model!AK16)</f>
        <v/>
      </c>
      <c r="AN10" s="206" t="str">
        <f aca="false">IF(Model!AL16=0,"",Model!AL16)</f>
        <v/>
      </c>
      <c r="AO10" s="206" t="str">
        <f aca="false">IF(Model!AM16=0,"",Model!AM16)</f>
        <v/>
      </c>
      <c r="AP10" s="206" t="str">
        <f aca="false">IF(Model!AN16=0,"",Model!AN16)</f>
        <v/>
      </c>
      <c r="AQ10" s="206" t="str">
        <f aca="false">IF(Model!AO16=0,"",Model!AO16)</f>
        <v/>
      </c>
      <c r="AR10" s="206" t="str">
        <f aca="false">IF(Model!AP16=0,"",Model!AP16)</f>
        <v/>
      </c>
      <c r="AS10" s="206" t="str">
        <f aca="false">IF(Model!AQ16=0,"",Model!AQ16)</f>
        <v/>
      </c>
      <c r="AT10" s="206" t="str">
        <f aca="false">IF(Model!AR16=0,"",Model!AR16)</f>
        <v/>
      </c>
      <c r="AU10" s="206" t="str">
        <f aca="false">IF(Model!AS16=0,"",Model!AS16)</f>
        <v/>
      </c>
      <c r="AV10" s="206" t="str">
        <f aca="false">IF(Model!AT16=0,"",Model!AT16)</f>
        <v/>
      </c>
      <c r="AW10" s="206" t="str">
        <f aca="false">IF(Model!AU16=0,"",Model!AU16)</f>
        <v/>
      </c>
      <c r="AX10" s="206" t="str">
        <f aca="false">IF(Model!AV16=0,"",Model!AV16)</f>
        <v/>
      </c>
      <c r="AY10" s="206" t="str">
        <f aca="false">IF(Model!AW16=0,"",Model!AW16)</f>
        <v/>
      </c>
      <c r="AZ10" s="206" t="str">
        <f aca="false">IF(Model!AX16=0,"",Model!AX16)</f>
        <v/>
      </c>
      <c r="BA10" s="206" t="str">
        <f aca="false">IF(Model!AY16=0,"",Model!AY16)</f>
        <v/>
      </c>
      <c r="BB10" s="206" t="str">
        <f aca="false">IF(Model!AZ16=0,"",Model!AZ16)</f>
        <v/>
      </c>
      <c r="BC10" s="206" t="str">
        <f aca="false">IF(Model!BA16=0,"",Model!BA16)</f>
        <v/>
      </c>
      <c r="BD10" s="206" t="str">
        <f aca="false">IF(Model!BB16=0,"",Model!BB16)</f>
        <v/>
      </c>
      <c r="BE10" s="206" t="str">
        <f aca="false">IF(Model!BC16=0,"",Model!BC16)</f>
        <v/>
      </c>
      <c r="BF10" s="206" t="str">
        <f aca="false">IF(Model!BD16=0,"",Model!BD16)</f>
        <v/>
      </c>
      <c r="BG10" s="206" t="str">
        <f aca="false">IF(Model!BE16=0,"",Model!BE16)</f>
        <v/>
      </c>
      <c r="BH10" s="206" t="str">
        <f aca="false">IF(Model!BF16=0,"",Model!BF16)</f>
        <v/>
      </c>
      <c r="BI10" s="206" t="str">
        <f aca="false">IF(Model!BG16=0,"",Model!BG16)</f>
        <v/>
      </c>
      <c r="BJ10" s="206" t="str">
        <f aca="false">IF(Model!BH16=0,"",Model!BH16)</f>
        <v/>
      </c>
      <c r="BK10" s="206" t="str">
        <f aca="false">IF(Model!BI16=0,"",Model!BI16)</f>
        <v/>
      </c>
      <c r="BL10" s="206" t="str">
        <f aca="false">IF(Model!BJ16=0,"",Model!BJ16)</f>
        <v/>
      </c>
      <c r="BM10" s="206" t="str">
        <f aca="false">IF(Model!BK16=0,"",Model!BK16)</f>
        <v/>
      </c>
      <c r="BN10" s="206" t="str">
        <f aca="false">IF(Model!BL16=0,"",Model!BL16)</f>
        <v/>
      </c>
      <c r="BO10" s="206" t="str">
        <f aca="false">IF(Model!BM16=0,"",Model!BM16)</f>
        <v/>
      </c>
      <c r="BP10" s="206" t="str">
        <f aca="false">IF(Model!BN16=0,"",Model!BN16)</f>
        <v/>
      </c>
      <c r="BQ10" s="206" t="str">
        <f aca="false">IF(Model!BO16=0,"",Model!BO16)</f>
        <v/>
      </c>
      <c r="BR10" s="206" t="str">
        <f aca="false">IF(Model!BP16=0,"",Model!BP16)</f>
        <v/>
      </c>
      <c r="BS10" s="206" t="str">
        <f aca="false">IF(Model!BQ16=0,"",Model!BQ16)</f>
        <v/>
      </c>
      <c r="BT10" s="206" t="str">
        <f aca="false">IF(Model!BR16=0,"",Model!BR16)</f>
        <v/>
      </c>
      <c r="BU10" s="206" t="str">
        <f aca="false">IF(Model!BS16=0,"",Model!BS16)</f>
        <v/>
      </c>
      <c r="BV10" s="206" t="str">
        <f aca="false">IF(Model!BT16=0,"",Model!BT16)</f>
        <v/>
      </c>
      <c r="BW10" s="206" t="str">
        <f aca="false">IF(Model!BU16=0,"",Model!BU16)</f>
        <v/>
      </c>
      <c r="BX10" s="206" t="str">
        <f aca="false">IF(Model!BV16=0,"",Model!BV16)</f>
        <v/>
      </c>
      <c r="BY10" s="206" t="str">
        <f aca="false">IF(Model!BW16=0,"",Model!BW16)</f>
        <v/>
      </c>
      <c r="BZ10" s="206" t="str">
        <f aca="false">IF(Model!BX16=0,"",Model!BX16)</f>
        <v/>
      </c>
      <c r="CA10" s="206" t="str">
        <f aca="false">IF(Model!BY16=0,"",Model!BY16)</f>
        <v/>
      </c>
      <c r="CB10" s="206" t="str">
        <f aca="false">IF(Model!BZ16=0,"",Model!BZ16)</f>
        <v/>
      </c>
      <c r="CC10" s="206" t="str">
        <f aca="false">IF(Model!CA16=0,"",Model!CA16)</f>
        <v/>
      </c>
      <c r="CD10" s="206" t="str">
        <f aca="false">IF(Model!CB16=0,"",Model!CB16)</f>
        <v/>
      </c>
      <c r="CE10" s="206" t="str">
        <f aca="false">IF(Model!CC16=0,"",Model!CC16)</f>
        <v/>
      </c>
      <c r="CF10" s="206" t="str">
        <f aca="false">IF(Model!CD16=0,"",Model!CD16)</f>
        <v/>
      </c>
      <c r="CG10" s="206" t="str">
        <f aca="false">IF(Model!CE16=0,"",Model!CE16)</f>
        <v/>
      </c>
      <c r="CH10" s="206" t="str">
        <f aca="false">IF(Model!CF16=0,"",Model!CF16)</f>
        <v/>
      </c>
      <c r="CI10" s="206" t="str">
        <f aca="false">IF(Model!CG16=0,"",Model!CG16)</f>
        <v/>
      </c>
      <c r="CJ10" s="206" t="str">
        <f aca="false">IF(Model!CH16=0,"",Model!CH16)</f>
        <v/>
      </c>
      <c r="CK10" s="206" t="str">
        <f aca="false">IF(Model!CI16=0,"",Model!CI16)</f>
        <v/>
      </c>
      <c r="CL10" s="206" t="str">
        <f aca="false">IF(Model!CJ16=0,"",Model!CJ16)</f>
        <v/>
      </c>
      <c r="CM10" s="206" t="str">
        <f aca="false">IF(Model!CK16=0,"",Model!CK16)</f>
        <v/>
      </c>
      <c r="CN10" s="206" t="str">
        <f aca="false">IF(Model!CL16=0,"",Model!CL16)</f>
        <v/>
      </c>
      <c r="CO10" s="206" t="str">
        <f aca="false">IF(Model!CM16=0,"",Model!CM16)</f>
        <v/>
      </c>
      <c r="CP10" s="206" t="str">
        <f aca="false">IF(Model!CN16=0,"",Model!CN16)</f>
        <v/>
      </c>
      <c r="CQ10" s="206" t="str">
        <f aca="false">IF(Model!CO16=0,"",Model!CO16)</f>
        <v/>
      </c>
      <c r="CR10" s="206" t="str">
        <f aca="false">IF(Model!CP16=0,"",Model!CP16)</f>
        <v/>
      </c>
      <c r="CS10" s="206" t="str">
        <f aca="false">IF(Model!CQ16=0,"",Model!CQ16)</f>
        <v/>
      </c>
      <c r="CT10" s="206" t="str">
        <f aca="false">IF(Model!CR16=0,"",Model!CR16)</f>
        <v/>
      </c>
      <c r="CU10" s="206" t="str">
        <f aca="false">IF(Model!CS16=0,"",Model!CS16)</f>
        <v/>
      </c>
      <c r="CV10" s="206" t="str">
        <f aca="false">IF(Model!CT16=0,"",Model!CT16)</f>
        <v/>
      </c>
      <c r="CW10" s="206" t="str">
        <f aca="false">IF(Model!CU16=0,"",Model!CU16)</f>
        <v/>
      </c>
      <c r="CX10" s="206" t="str">
        <f aca="false">IF(Model!CV16=0,"",Model!CV16)</f>
        <v/>
      </c>
      <c r="CY10" s="206" t="str">
        <f aca="false">IF(Model!CW16=0,"",Model!CW16)</f>
        <v/>
      </c>
      <c r="CZ10" s="206" t="str">
        <f aca="false">IF(Model!CX16=0,"",Model!CX16)</f>
        <v/>
      </c>
      <c r="DA10" s="206" t="str">
        <f aca="false">IF(Model!CY16=0,"",Model!CY16)</f>
        <v/>
      </c>
      <c r="DB10" s="206" t="str">
        <f aca="false">IF(Model!CZ16=0,"",Model!CZ16)</f>
        <v/>
      </c>
    </row>
    <row r="11" customFormat="false" ht="15" hidden="false" customHeight="true" outlineLevel="0" collapsed="false">
      <c r="A11" s="123" t="s">
        <v>11</v>
      </c>
      <c r="B11" s="203" t="n">
        <f aca="false">Projects!$B$6</f>
        <v>3623245</v>
      </c>
      <c r="C11" s="204" t="n">
        <f aca="false">EDATE(Model!$E$2,Projects!$C$6-1)</f>
        <v>46113</v>
      </c>
      <c r="D11" s="204" t="n">
        <f aca="false">EDATE(Model!$E$2,15-1)</f>
        <v>46539</v>
      </c>
      <c r="E11" s="205" t="n">
        <f aca="false">DATEDIF(C11,D11,"m")+1</f>
        <v>15</v>
      </c>
      <c r="F11" s="203" t="n">
        <f aca="false">SUM(G11:DB11)</f>
        <v>3256382.91</v>
      </c>
      <c r="G11" s="206" t="n">
        <f aca="false">IF(Model!E17=0,"",Model!E17)</f>
        <v>222415.49</v>
      </c>
      <c r="H11" s="206" t="n">
        <f aca="false">IF(Model!F17=0,"",Model!F17)</f>
        <v>222238.96</v>
      </c>
      <c r="I11" s="206" t="n">
        <f aca="false">IF(Model!G17=0,"",Model!G17)</f>
        <v>325125.94</v>
      </c>
      <c r="J11" s="206" t="n">
        <f aca="false">IF(Model!H17=0,"",Model!H17)</f>
        <v>251137.32</v>
      </c>
      <c r="K11" s="206" t="n">
        <f aca="false">IF(Model!I17=0,"",Model!I17)</f>
        <v>453013.02</v>
      </c>
      <c r="L11" s="206" t="n">
        <f aca="false">IF(Model!J17=0,"",Model!J17)</f>
        <v>228950.43</v>
      </c>
      <c r="M11" s="206" t="n">
        <f aca="false">IF(Model!K17=0,"",Model!K17)</f>
        <v>371003.8</v>
      </c>
      <c r="N11" s="206" t="n">
        <f aca="false">IF(Model!L17=0,"",Model!L17)</f>
        <v>217495.84</v>
      </c>
      <c r="O11" s="206" t="n">
        <f aca="false">IF(Model!M17=0,"",Model!M17)</f>
        <v>185467.9</v>
      </c>
      <c r="P11" s="206" t="n">
        <f aca="false">IF(Model!N17=0,"",Model!N17)</f>
        <v>280874.08</v>
      </c>
      <c r="Q11" s="206" t="n">
        <f aca="false">IF(Model!O17=0,"",Model!O17)</f>
        <v>251083.56</v>
      </c>
      <c r="R11" s="206" t="n">
        <f aca="false">IF(Model!P17=0,"",Model!P17)</f>
        <v>95915.43</v>
      </c>
      <c r="S11" s="206" t="n">
        <f aca="false">IF(Model!Q17=0,"",Model!Q17)</f>
        <v>80111.01</v>
      </c>
      <c r="T11" s="206" t="n">
        <f aca="false">IF(Model!R17=0,"",Model!R17)</f>
        <v>54755.77</v>
      </c>
      <c r="U11" s="206" t="n">
        <f aca="false">IF(Model!S17=0,"",Model!S17)</f>
        <v>16794.36</v>
      </c>
      <c r="V11" s="206" t="str">
        <f aca="false">IF(Model!T17=0,"",Model!T17)</f>
        <v/>
      </c>
      <c r="W11" s="206" t="str">
        <f aca="false">IF(Model!U17=0,"",Model!U17)</f>
        <v/>
      </c>
      <c r="X11" s="206" t="str">
        <f aca="false">IF(Model!V17=0,"",Model!V17)</f>
        <v/>
      </c>
      <c r="Y11" s="206" t="str">
        <f aca="false">IF(Model!W17=0,"",Model!W17)</f>
        <v/>
      </c>
      <c r="Z11" s="206" t="str">
        <f aca="false">IF(Model!X17=0,"",Model!X17)</f>
        <v/>
      </c>
      <c r="AA11" s="206" t="str">
        <f aca="false">IF(Model!Y17=0,"",Model!Y17)</f>
        <v/>
      </c>
      <c r="AB11" s="206" t="str">
        <f aca="false">IF(Model!Z17=0,"",Model!Z17)</f>
        <v/>
      </c>
      <c r="AC11" s="206" t="str">
        <f aca="false">IF(Model!AA17=0,"",Model!AA17)</f>
        <v/>
      </c>
      <c r="AD11" s="206" t="str">
        <f aca="false">IF(Model!AB17=0,"",Model!AB17)</f>
        <v/>
      </c>
      <c r="AE11" s="206" t="str">
        <f aca="false">IF(Model!AC17=0,"",Model!AC17)</f>
        <v/>
      </c>
      <c r="AF11" s="206" t="str">
        <f aca="false">IF(Model!AD17=0,"",Model!AD17)</f>
        <v/>
      </c>
      <c r="AG11" s="206" t="str">
        <f aca="false">IF(Model!AE17=0,"",Model!AE17)</f>
        <v/>
      </c>
      <c r="AH11" s="206" t="str">
        <f aca="false">IF(Model!AF17=0,"",Model!AF17)</f>
        <v/>
      </c>
      <c r="AI11" s="206" t="str">
        <f aca="false">IF(Model!AG17=0,"",Model!AG17)</f>
        <v/>
      </c>
      <c r="AJ11" s="206" t="str">
        <f aca="false">IF(Model!AH17=0,"",Model!AH17)</f>
        <v/>
      </c>
      <c r="AK11" s="206" t="str">
        <f aca="false">IF(Model!AI17=0,"",Model!AI17)</f>
        <v/>
      </c>
      <c r="AL11" s="206" t="str">
        <f aca="false">IF(Model!AJ17=0,"",Model!AJ17)</f>
        <v/>
      </c>
      <c r="AM11" s="206" t="str">
        <f aca="false">IF(Model!AK17=0,"",Model!AK17)</f>
        <v/>
      </c>
      <c r="AN11" s="206" t="str">
        <f aca="false">IF(Model!AL17=0,"",Model!AL17)</f>
        <v/>
      </c>
      <c r="AO11" s="206" t="str">
        <f aca="false">IF(Model!AM17=0,"",Model!AM17)</f>
        <v/>
      </c>
      <c r="AP11" s="206" t="str">
        <f aca="false">IF(Model!AN17=0,"",Model!AN17)</f>
        <v/>
      </c>
      <c r="AQ11" s="206" t="str">
        <f aca="false">IF(Model!AO17=0,"",Model!AO17)</f>
        <v/>
      </c>
      <c r="AR11" s="206" t="str">
        <f aca="false">IF(Model!AP17=0,"",Model!AP17)</f>
        <v/>
      </c>
      <c r="AS11" s="206" t="str">
        <f aca="false">IF(Model!AQ17=0,"",Model!AQ17)</f>
        <v/>
      </c>
      <c r="AT11" s="206" t="str">
        <f aca="false">IF(Model!AR17=0,"",Model!AR17)</f>
        <v/>
      </c>
      <c r="AU11" s="206" t="str">
        <f aca="false">IF(Model!AS17=0,"",Model!AS17)</f>
        <v/>
      </c>
      <c r="AV11" s="206" t="str">
        <f aca="false">IF(Model!AT17=0,"",Model!AT17)</f>
        <v/>
      </c>
      <c r="AW11" s="206" t="str">
        <f aca="false">IF(Model!AU17=0,"",Model!AU17)</f>
        <v/>
      </c>
      <c r="AX11" s="206" t="str">
        <f aca="false">IF(Model!AV17=0,"",Model!AV17)</f>
        <v/>
      </c>
      <c r="AY11" s="206" t="str">
        <f aca="false">IF(Model!AW17=0,"",Model!AW17)</f>
        <v/>
      </c>
      <c r="AZ11" s="206" t="str">
        <f aca="false">IF(Model!AX17=0,"",Model!AX17)</f>
        <v/>
      </c>
      <c r="BA11" s="206" t="str">
        <f aca="false">IF(Model!AY17=0,"",Model!AY17)</f>
        <v/>
      </c>
      <c r="BB11" s="206" t="str">
        <f aca="false">IF(Model!AZ17=0,"",Model!AZ17)</f>
        <v/>
      </c>
      <c r="BC11" s="206" t="str">
        <f aca="false">IF(Model!BA17=0,"",Model!BA17)</f>
        <v/>
      </c>
      <c r="BD11" s="206" t="str">
        <f aca="false">IF(Model!BB17=0,"",Model!BB17)</f>
        <v/>
      </c>
      <c r="BE11" s="206" t="str">
        <f aca="false">IF(Model!BC17=0,"",Model!BC17)</f>
        <v/>
      </c>
      <c r="BF11" s="206" t="str">
        <f aca="false">IF(Model!BD17=0,"",Model!BD17)</f>
        <v/>
      </c>
      <c r="BG11" s="206" t="str">
        <f aca="false">IF(Model!BE17=0,"",Model!BE17)</f>
        <v/>
      </c>
      <c r="BH11" s="206" t="str">
        <f aca="false">IF(Model!BF17=0,"",Model!BF17)</f>
        <v/>
      </c>
      <c r="BI11" s="206" t="str">
        <f aca="false">IF(Model!BG17=0,"",Model!BG17)</f>
        <v/>
      </c>
      <c r="BJ11" s="206" t="str">
        <f aca="false">IF(Model!BH17=0,"",Model!BH17)</f>
        <v/>
      </c>
      <c r="BK11" s="206" t="str">
        <f aca="false">IF(Model!BI17=0,"",Model!BI17)</f>
        <v/>
      </c>
      <c r="BL11" s="206" t="str">
        <f aca="false">IF(Model!BJ17=0,"",Model!BJ17)</f>
        <v/>
      </c>
      <c r="BM11" s="206" t="str">
        <f aca="false">IF(Model!BK17=0,"",Model!BK17)</f>
        <v/>
      </c>
      <c r="BN11" s="206" t="str">
        <f aca="false">IF(Model!BL17=0,"",Model!BL17)</f>
        <v/>
      </c>
      <c r="BO11" s="206" t="str">
        <f aca="false">IF(Model!BM17=0,"",Model!BM17)</f>
        <v/>
      </c>
      <c r="BP11" s="206" t="str">
        <f aca="false">IF(Model!BN17=0,"",Model!BN17)</f>
        <v/>
      </c>
      <c r="BQ11" s="206" t="str">
        <f aca="false">IF(Model!BO17=0,"",Model!BO17)</f>
        <v/>
      </c>
      <c r="BR11" s="206" t="str">
        <f aca="false">IF(Model!BP17=0,"",Model!BP17)</f>
        <v/>
      </c>
      <c r="BS11" s="206" t="str">
        <f aca="false">IF(Model!BQ17=0,"",Model!BQ17)</f>
        <v/>
      </c>
      <c r="BT11" s="206" t="str">
        <f aca="false">IF(Model!BR17=0,"",Model!BR17)</f>
        <v/>
      </c>
      <c r="BU11" s="206" t="str">
        <f aca="false">IF(Model!BS17=0,"",Model!BS17)</f>
        <v/>
      </c>
      <c r="BV11" s="206" t="str">
        <f aca="false">IF(Model!BT17=0,"",Model!BT17)</f>
        <v/>
      </c>
      <c r="BW11" s="206" t="str">
        <f aca="false">IF(Model!BU17=0,"",Model!BU17)</f>
        <v/>
      </c>
      <c r="BX11" s="206" t="str">
        <f aca="false">IF(Model!BV17=0,"",Model!BV17)</f>
        <v/>
      </c>
      <c r="BY11" s="206" t="str">
        <f aca="false">IF(Model!BW17=0,"",Model!BW17)</f>
        <v/>
      </c>
      <c r="BZ11" s="206" t="str">
        <f aca="false">IF(Model!BX17=0,"",Model!BX17)</f>
        <v/>
      </c>
      <c r="CA11" s="206" t="str">
        <f aca="false">IF(Model!BY17=0,"",Model!BY17)</f>
        <v/>
      </c>
      <c r="CB11" s="206" t="str">
        <f aca="false">IF(Model!BZ17=0,"",Model!BZ17)</f>
        <v/>
      </c>
      <c r="CC11" s="206" t="str">
        <f aca="false">IF(Model!CA17=0,"",Model!CA17)</f>
        <v/>
      </c>
      <c r="CD11" s="206" t="str">
        <f aca="false">IF(Model!CB17=0,"",Model!CB17)</f>
        <v/>
      </c>
      <c r="CE11" s="206" t="str">
        <f aca="false">IF(Model!CC17=0,"",Model!CC17)</f>
        <v/>
      </c>
      <c r="CF11" s="206" t="str">
        <f aca="false">IF(Model!CD17=0,"",Model!CD17)</f>
        <v/>
      </c>
      <c r="CG11" s="206" t="str">
        <f aca="false">IF(Model!CE17=0,"",Model!CE17)</f>
        <v/>
      </c>
      <c r="CH11" s="206" t="str">
        <f aca="false">IF(Model!CF17=0,"",Model!CF17)</f>
        <v/>
      </c>
      <c r="CI11" s="206" t="str">
        <f aca="false">IF(Model!CG17=0,"",Model!CG17)</f>
        <v/>
      </c>
      <c r="CJ11" s="206" t="str">
        <f aca="false">IF(Model!CH17=0,"",Model!CH17)</f>
        <v/>
      </c>
      <c r="CK11" s="206" t="str">
        <f aca="false">IF(Model!CI17=0,"",Model!CI17)</f>
        <v/>
      </c>
      <c r="CL11" s="206" t="str">
        <f aca="false">IF(Model!CJ17=0,"",Model!CJ17)</f>
        <v/>
      </c>
      <c r="CM11" s="206" t="str">
        <f aca="false">IF(Model!CK17=0,"",Model!CK17)</f>
        <v/>
      </c>
      <c r="CN11" s="206" t="str">
        <f aca="false">IF(Model!CL17=0,"",Model!CL17)</f>
        <v/>
      </c>
      <c r="CO11" s="206" t="str">
        <f aca="false">IF(Model!CM17=0,"",Model!CM17)</f>
        <v/>
      </c>
      <c r="CP11" s="206" t="str">
        <f aca="false">IF(Model!CN17=0,"",Model!CN17)</f>
        <v/>
      </c>
      <c r="CQ11" s="206" t="str">
        <f aca="false">IF(Model!CO17=0,"",Model!CO17)</f>
        <v/>
      </c>
      <c r="CR11" s="206" t="str">
        <f aca="false">IF(Model!CP17=0,"",Model!CP17)</f>
        <v/>
      </c>
      <c r="CS11" s="206" t="str">
        <f aca="false">IF(Model!CQ17=0,"",Model!CQ17)</f>
        <v/>
      </c>
      <c r="CT11" s="206" t="str">
        <f aca="false">IF(Model!CR17=0,"",Model!CR17)</f>
        <v/>
      </c>
      <c r="CU11" s="206" t="str">
        <f aca="false">IF(Model!CS17=0,"",Model!CS17)</f>
        <v/>
      </c>
      <c r="CV11" s="206" t="str">
        <f aca="false">IF(Model!CT17=0,"",Model!CT17)</f>
        <v/>
      </c>
      <c r="CW11" s="206" t="str">
        <f aca="false">IF(Model!CU17=0,"",Model!CU17)</f>
        <v/>
      </c>
      <c r="CX11" s="206" t="str">
        <f aca="false">IF(Model!CV17=0,"",Model!CV17)</f>
        <v/>
      </c>
      <c r="CY11" s="206" t="str">
        <f aca="false">IF(Model!CW17=0,"",Model!CW17)</f>
        <v/>
      </c>
      <c r="CZ11" s="206" t="str">
        <f aca="false">IF(Model!CX17=0,"",Model!CX17)</f>
        <v/>
      </c>
      <c r="DA11" s="206" t="str">
        <f aca="false">IF(Model!CY17=0,"",Model!CY17)</f>
        <v/>
      </c>
      <c r="DB11" s="206" t="str">
        <f aca="false">IF(Model!CZ17=0,"",Model!CZ17)</f>
        <v/>
      </c>
    </row>
    <row r="12" customFormat="false" ht="15" hidden="false" customHeight="true" outlineLevel="0" collapsed="false">
      <c r="A12" s="123" t="s">
        <v>12</v>
      </c>
      <c r="B12" s="203" t="n">
        <f aca="false">Projects!$B$7</f>
        <v>42794765</v>
      </c>
      <c r="C12" s="204" t="n">
        <f aca="false">EDATE(Model!$E$2,Projects!$C$7-1)</f>
        <v>46235</v>
      </c>
      <c r="D12" s="204" t="n">
        <f aca="false">EDATE(Model!$E$2,36-1)</f>
        <v>47178</v>
      </c>
      <c r="E12" s="205" t="n">
        <f aca="false">DATEDIF(C12,D12,"m")+1</f>
        <v>32</v>
      </c>
      <c r="F12" s="203" t="n">
        <f aca="false">SUM(G12:DB12)</f>
        <v>37728330</v>
      </c>
      <c r="G12" s="206" t="str">
        <f aca="false">IF(Model!E18=0,"",Model!E18)</f>
        <v/>
      </c>
      <c r="H12" s="206" t="str">
        <f aca="false">IF(Model!F18=0,"",Model!F18)</f>
        <v/>
      </c>
      <c r="I12" s="206" t="str">
        <f aca="false">IF(Model!G18=0,"",Model!G18)</f>
        <v/>
      </c>
      <c r="J12" s="206" t="n">
        <f aca="false">IF(Model!H18=0,"",Model!H18)</f>
        <v>932055</v>
      </c>
      <c r="K12" s="206" t="n">
        <f aca="false">IF(Model!I18=0,"",Model!I18)</f>
        <v>173887.43</v>
      </c>
      <c r="L12" s="206" t="n">
        <f aca="false">IF(Model!J18=0,"",Model!J18)</f>
        <v>425637.22</v>
      </c>
      <c r="M12" s="206" t="n">
        <f aca="false">IF(Model!K18=0,"",Model!K18)</f>
        <v>1053412.24</v>
      </c>
      <c r="N12" s="206" t="n">
        <f aca="false">IF(Model!L18=0,"",Model!L18)</f>
        <v>684770.71</v>
      </c>
      <c r="O12" s="206" t="n">
        <f aca="false">IF(Model!M18=0,"",Model!M18)</f>
        <v>513200.1</v>
      </c>
      <c r="P12" s="206" t="n">
        <f aca="false">IF(Model!N18=0,"",Model!N18)</f>
        <v>653798.18</v>
      </c>
      <c r="Q12" s="206" t="n">
        <f aca="false">IF(Model!O18=0,"",Model!O18)</f>
        <v>528908.03</v>
      </c>
      <c r="R12" s="206" t="n">
        <f aca="false">IF(Model!P18=0,"",Model!P18)</f>
        <v>638138.2</v>
      </c>
      <c r="S12" s="206" t="n">
        <f aca="false">IF(Model!Q18=0,"",Model!Q18)</f>
        <v>538967.17</v>
      </c>
      <c r="T12" s="206" t="n">
        <f aca="false">IF(Model!R18=0,"",Model!R18)</f>
        <v>662393.2</v>
      </c>
      <c r="U12" s="206" t="n">
        <f aca="false">IF(Model!S18=0,"",Model!S18)</f>
        <v>622572.88</v>
      </c>
      <c r="V12" s="206" t="n">
        <f aca="false">IF(Model!T18=0,"",Model!T18)</f>
        <v>1116701.29</v>
      </c>
      <c r="W12" s="206" t="n">
        <f aca="false">IF(Model!U18=0,"",Model!U18)</f>
        <v>713626.26</v>
      </c>
      <c r="X12" s="206" t="n">
        <f aca="false">IF(Model!V18=0,"",Model!V18)</f>
        <v>2128085.39</v>
      </c>
      <c r="Y12" s="206" t="n">
        <f aca="false">IF(Model!W18=0,"",Model!W18)</f>
        <v>1344331.61</v>
      </c>
      <c r="Z12" s="206" t="n">
        <f aca="false">IF(Model!X18=0,"",Model!X18)</f>
        <v>2761329.57</v>
      </c>
      <c r="AA12" s="206" t="n">
        <f aca="false">IF(Model!Y18=0,"",Model!Y18)</f>
        <v>1589952.85</v>
      </c>
      <c r="AB12" s="206" t="n">
        <f aca="false">IF(Model!Z18=0,"",Model!Z18)</f>
        <v>2504877.59</v>
      </c>
      <c r="AC12" s="206" t="n">
        <f aca="false">IF(Model!AA18=0,"",Model!AA18)</f>
        <v>2091655.82</v>
      </c>
      <c r="AD12" s="206" t="n">
        <f aca="false">IF(Model!AB18=0,"",Model!AB18)</f>
        <v>1425853.63</v>
      </c>
      <c r="AE12" s="206" t="n">
        <f aca="false">IF(Model!AC18=0,"",Model!AC18)</f>
        <v>902356.71</v>
      </c>
      <c r="AF12" s="206" t="n">
        <f aca="false">IF(Model!AD18=0,"",Model!AD18)</f>
        <v>1068546.51</v>
      </c>
      <c r="AG12" s="206" t="n">
        <f aca="false">IF(Model!AE18=0,"",Model!AE18)</f>
        <v>1002881.47</v>
      </c>
      <c r="AH12" s="206" t="n">
        <f aca="false">IF(Model!AF18=0,"",Model!AF18)</f>
        <v>1240161.39</v>
      </c>
      <c r="AI12" s="206" t="n">
        <f aca="false">IF(Model!AG18=0,"",Model!AG18)</f>
        <v>2153684.82</v>
      </c>
      <c r="AJ12" s="206" t="n">
        <f aca="false">IF(Model!AH18=0,"",Model!AH18)</f>
        <v>1998765.3</v>
      </c>
      <c r="AK12" s="206" t="n">
        <f aca="false">IF(Model!AI18=0,"",Model!AI18)</f>
        <v>1954108.47</v>
      </c>
      <c r="AL12" s="206" t="n">
        <f aca="false">IF(Model!AJ18=0,"",Model!AJ18)</f>
        <v>1066130.08</v>
      </c>
      <c r="AM12" s="206" t="n">
        <f aca="false">IF(Model!AK18=0,"",Model!AK18)</f>
        <v>885036.77</v>
      </c>
      <c r="AN12" s="206" t="n">
        <f aca="false">IF(Model!AL18=0,"",Model!AL18)</f>
        <v>988661.87</v>
      </c>
      <c r="AO12" s="206" t="n">
        <f aca="false">IF(Model!AM18=0,"",Model!AM18)</f>
        <v>1074702.75</v>
      </c>
      <c r="AP12" s="206" t="n">
        <f aca="false">IF(Model!AN18=0,"",Model!AN18)</f>
        <v>289139.49</v>
      </c>
      <c r="AQ12" s="206" t="str">
        <f aca="false">IF(Model!AO18=0,"",Model!AO18)</f>
        <v/>
      </c>
      <c r="AR12" s="206" t="str">
        <f aca="false">IF(Model!AP18=0,"",Model!AP18)</f>
        <v/>
      </c>
      <c r="AS12" s="206" t="str">
        <f aca="false">IF(Model!AQ18=0,"",Model!AQ18)</f>
        <v/>
      </c>
      <c r="AT12" s="206" t="str">
        <f aca="false">IF(Model!AR18=0,"",Model!AR18)</f>
        <v/>
      </c>
      <c r="AU12" s="206" t="str">
        <f aca="false">IF(Model!AS18=0,"",Model!AS18)</f>
        <v/>
      </c>
      <c r="AV12" s="206" t="str">
        <f aca="false">IF(Model!AT18=0,"",Model!AT18)</f>
        <v/>
      </c>
      <c r="AW12" s="206" t="str">
        <f aca="false">IF(Model!AU18=0,"",Model!AU18)</f>
        <v/>
      </c>
      <c r="AX12" s="206" t="str">
        <f aca="false">IF(Model!AV18=0,"",Model!AV18)</f>
        <v/>
      </c>
      <c r="AY12" s="206" t="str">
        <f aca="false">IF(Model!AW18=0,"",Model!AW18)</f>
        <v/>
      </c>
      <c r="AZ12" s="206" t="str">
        <f aca="false">IF(Model!AX18=0,"",Model!AX18)</f>
        <v/>
      </c>
      <c r="BA12" s="206" t="str">
        <f aca="false">IF(Model!AY18=0,"",Model!AY18)</f>
        <v/>
      </c>
      <c r="BB12" s="206" t="str">
        <f aca="false">IF(Model!AZ18=0,"",Model!AZ18)</f>
        <v/>
      </c>
      <c r="BC12" s="206" t="str">
        <f aca="false">IF(Model!BA18=0,"",Model!BA18)</f>
        <v/>
      </c>
      <c r="BD12" s="206" t="str">
        <f aca="false">IF(Model!BB18=0,"",Model!BB18)</f>
        <v/>
      </c>
      <c r="BE12" s="206" t="str">
        <f aca="false">IF(Model!BC18=0,"",Model!BC18)</f>
        <v/>
      </c>
      <c r="BF12" s="206" t="str">
        <f aca="false">IF(Model!BD18=0,"",Model!BD18)</f>
        <v/>
      </c>
      <c r="BG12" s="206" t="str">
        <f aca="false">IF(Model!BE18=0,"",Model!BE18)</f>
        <v/>
      </c>
      <c r="BH12" s="206" t="str">
        <f aca="false">IF(Model!BF18=0,"",Model!BF18)</f>
        <v/>
      </c>
      <c r="BI12" s="206" t="str">
        <f aca="false">IF(Model!BG18=0,"",Model!BG18)</f>
        <v/>
      </c>
      <c r="BJ12" s="206" t="str">
        <f aca="false">IF(Model!BH18=0,"",Model!BH18)</f>
        <v/>
      </c>
      <c r="BK12" s="206" t="str">
        <f aca="false">IF(Model!BI18=0,"",Model!BI18)</f>
        <v/>
      </c>
      <c r="BL12" s="206" t="str">
        <f aca="false">IF(Model!BJ18=0,"",Model!BJ18)</f>
        <v/>
      </c>
      <c r="BM12" s="206" t="str">
        <f aca="false">IF(Model!BK18=0,"",Model!BK18)</f>
        <v/>
      </c>
      <c r="BN12" s="206" t="str">
        <f aca="false">IF(Model!BL18=0,"",Model!BL18)</f>
        <v/>
      </c>
      <c r="BO12" s="206" t="str">
        <f aca="false">IF(Model!BM18=0,"",Model!BM18)</f>
        <v/>
      </c>
      <c r="BP12" s="206" t="str">
        <f aca="false">IF(Model!BN18=0,"",Model!BN18)</f>
        <v/>
      </c>
      <c r="BQ12" s="206" t="str">
        <f aca="false">IF(Model!BO18=0,"",Model!BO18)</f>
        <v/>
      </c>
      <c r="BR12" s="206" t="str">
        <f aca="false">IF(Model!BP18=0,"",Model!BP18)</f>
        <v/>
      </c>
      <c r="BS12" s="206" t="str">
        <f aca="false">IF(Model!BQ18=0,"",Model!BQ18)</f>
        <v/>
      </c>
      <c r="BT12" s="206" t="str">
        <f aca="false">IF(Model!BR18=0,"",Model!BR18)</f>
        <v/>
      </c>
      <c r="BU12" s="206" t="str">
        <f aca="false">IF(Model!BS18=0,"",Model!BS18)</f>
        <v/>
      </c>
      <c r="BV12" s="206" t="str">
        <f aca="false">IF(Model!BT18=0,"",Model!BT18)</f>
        <v/>
      </c>
      <c r="BW12" s="206" t="str">
        <f aca="false">IF(Model!BU18=0,"",Model!BU18)</f>
        <v/>
      </c>
      <c r="BX12" s="206" t="str">
        <f aca="false">IF(Model!BV18=0,"",Model!BV18)</f>
        <v/>
      </c>
      <c r="BY12" s="206" t="str">
        <f aca="false">IF(Model!BW18=0,"",Model!BW18)</f>
        <v/>
      </c>
      <c r="BZ12" s="206" t="str">
        <f aca="false">IF(Model!BX18=0,"",Model!BX18)</f>
        <v/>
      </c>
      <c r="CA12" s="206" t="str">
        <f aca="false">IF(Model!BY18=0,"",Model!BY18)</f>
        <v/>
      </c>
      <c r="CB12" s="206" t="str">
        <f aca="false">IF(Model!BZ18=0,"",Model!BZ18)</f>
        <v/>
      </c>
      <c r="CC12" s="206" t="str">
        <f aca="false">IF(Model!CA18=0,"",Model!CA18)</f>
        <v/>
      </c>
      <c r="CD12" s="206" t="str">
        <f aca="false">IF(Model!CB18=0,"",Model!CB18)</f>
        <v/>
      </c>
      <c r="CE12" s="206" t="str">
        <f aca="false">IF(Model!CC18=0,"",Model!CC18)</f>
        <v/>
      </c>
      <c r="CF12" s="206" t="str">
        <f aca="false">IF(Model!CD18=0,"",Model!CD18)</f>
        <v/>
      </c>
      <c r="CG12" s="206" t="str">
        <f aca="false">IF(Model!CE18=0,"",Model!CE18)</f>
        <v/>
      </c>
      <c r="CH12" s="206" t="str">
        <f aca="false">IF(Model!CF18=0,"",Model!CF18)</f>
        <v/>
      </c>
      <c r="CI12" s="206" t="str">
        <f aca="false">IF(Model!CG18=0,"",Model!CG18)</f>
        <v/>
      </c>
      <c r="CJ12" s="206" t="str">
        <f aca="false">IF(Model!CH18=0,"",Model!CH18)</f>
        <v/>
      </c>
      <c r="CK12" s="206" t="str">
        <f aca="false">IF(Model!CI18=0,"",Model!CI18)</f>
        <v/>
      </c>
      <c r="CL12" s="206" t="str">
        <f aca="false">IF(Model!CJ18=0,"",Model!CJ18)</f>
        <v/>
      </c>
      <c r="CM12" s="206" t="str">
        <f aca="false">IF(Model!CK18=0,"",Model!CK18)</f>
        <v/>
      </c>
      <c r="CN12" s="206" t="str">
        <f aca="false">IF(Model!CL18=0,"",Model!CL18)</f>
        <v/>
      </c>
      <c r="CO12" s="206" t="str">
        <f aca="false">IF(Model!CM18=0,"",Model!CM18)</f>
        <v/>
      </c>
      <c r="CP12" s="206" t="str">
        <f aca="false">IF(Model!CN18=0,"",Model!CN18)</f>
        <v/>
      </c>
      <c r="CQ12" s="206" t="str">
        <f aca="false">IF(Model!CO18=0,"",Model!CO18)</f>
        <v/>
      </c>
      <c r="CR12" s="206" t="str">
        <f aca="false">IF(Model!CP18=0,"",Model!CP18)</f>
        <v/>
      </c>
      <c r="CS12" s="206" t="str">
        <f aca="false">IF(Model!CQ18=0,"",Model!CQ18)</f>
        <v/>
      </c>
      <c r="CT12" s="206" t="str">
        <f aca="false">IF(Model!CR18=0,"",Model!CR18)</f>
        <v/>
      </c>
      <c r="CU12" s="206" t="str">
        <f aca="false">IF(Model!CS18=0,"",Model!CS18)</f>
        <v/>
      </c>
      <c r="CV12" s="206" t="str">
        <f aca="false">IF(Model!CT18=0,"",Model!CT18)</f>
        <v/>
      </c>
      <c r="CW12" s="206" t="str">
        <f aca="false">IF(Model!CU18=0,"",Model!CU18)</f>
        <v/>
      </c>
      <c r="CX12" s="206" t="str">
        <f aca="false">IF(Model!CV18=0,"",Model!CV18)</f>
        <v/>
      </c>
      <c r="CY12" s="206" t="str">
        <f aca="false">IF(Model!CW18=0,"",Model!CW18)</f>
        <v/>
      </c>
      <c r="CZ12" s="206" t="str">
        <f aca="false">IF(Model!CX18=0,"",Model!CX18)</f>
        <v/>
      </c>
      <c r="DA12" s="206" t="str">
        <f aca="false">IF(Model!CY18=0,"",Model!CY18)</f>
        <v/>
      </c>
      <c r="DB12" s="206" t="str">
        <f aca="false">IF(Model!CZ18=0,"",Model!CZ18)</f>
        <v/>
      </c>
    </row>
    <row r="13" customFormat="false" ht="15" hidden="false" customHeight="true" outlineLevel="0" collapsed="false">
      <c r="A13" s="123" t="s">
        <v>13</v>
      </c>
      <c r="B13" s="203" t="n">
        <f aca="false">Projects!$B$8</f>
        <v>12993776.05</v>
      </c>
      <c r="C13" s="204" t="n">
        <f aca="false">EDATE(Model!$E$2,Projects!$C$8-1)</f>
        <v>46266</v>
      </c>
      <c r="D13" s="204" t="n">
        <f aca="false">EDATE(Model!$E$2,Projects!$C$8+Projects!$D$8-2)</f>
        <v>46813</v>
      </c>
      <c r="E13" s="205" t="n">
        <f aca="false">Projects!$D$8</f>
        <v>19</v>
      </c>
      <c r="F13" s="203" t="n">
        <f aca="false">SUM(G13:DB13)</f>
        <v>11429452.96</v>
      </c>
      <c r="G13" s="206" t="str">
        <f aca="false">IF(Model!E19=0,"",Model!E19)</f>
        <v/>
      </c>
      <c r="H13" s="206" t="str">
        <f aca="false">IF(Model!F19=0,"",Model!F19)</f>
        <v/>
      </c>
      <c r="I13" s="206" t="str">
        <f aca="false">IF(Model!G19=0,"",Model!G19)</f>
        <v/>
      </c>
      <c r="J13" s="206" t="str">
        <f aca="false">IF(Model!H19=0,"",Model!H19)</f>
        <v/>
      </c>
      <c r="K13" s="206" t="n">
        <f aca="false">IF(Model!I19=0,"",Model!I19)</f>
        <v>192026.25</v>
      </c>
      <c r="L13" s="206" t="n">
        <f aca="false">IF(Model!J19=0,"",Model!J19)</f>
        <v>163426.21</v>
      </c>
      <c r="M13" s="206" t="n">
        <f aca="false">IF(Model!K19=0,"",Model!K19)</f>
        <v>344698.93</v>
      </c>
      <c r="N13" s="206" t="n">
        <f aca="false">IF(Model!L19=0,"",Model!L19)</f>
        <v>431333.03</v>
      </c>
      <c r="O13" s="206" t="n">
        <f aca="false">IF(Model!M19=0,"",Model!M19)</f>
        <v>520661.15</v>
      </c>
      <c r="P13" s="206" t="n">
        <f aca="false">IF(Model!N19=0,"",Model!N19)</f>
        <v>608390.91</v>
      </c>
      <c r="Q13" s="206" t="n">
        <f aca="false">IF(Model!O19=0,"",Model!O19)</f>
        <v>689649.86</v>
      </c>
      <c r="R13" s="206" t="n">
        <f aca="false">IF(Model!P19=0,"",Model!P19)</f>
        <v>759449.54</v>
      </c>
      <c r="S13" s="206" t="n">
        <f aca="false">IF(Model!Q19=0,"",Model!Q19)</f>
        <v>813162.42</v>
      </c>
      <c r="T13" s="206" t="n">
        <f aca="false">IF(Model!R19=0,"",Model!R19)</f>
        <v>847037.51</v>
      </c>
      <c r="U13" s="206" t="n">
        <f aca="false">IF(Model!S19=0,"",Model!S19)</f>
        <v>858612.78</v>
      </c>
      <c r="V13" s="206" t="n">
        <f aca="false">IF(Model!T19=0,"",Model!T19)</f>
        <v>847037.51</v>
      </c>
      <c r="W13" s="206" t="n">
        <f aca="false">IF(Model!U19=0,"",Model!U19)</f>
        <v>813162.42</v>
      </c>
      <c r="X13" s="206" t="n">
        <f aca="false">IF(Model!V19=0,"",Model!V19)</f>
        <v>759449.54</v>
      </c>
      <c r="Y13" s="206" t="n">
        <f aca="false">IF(Model!W19=0,"",Model!W19)</f>
        <v>689649.86</v>
      </c>
      <c r="Z13" s="206" t="n">
        <f aca="false">IF(Model!X19=0,"",Model!X19)</f>
        <v>608390.91</v>
      </c>
      <c r="AA13" s="206" t="n">
        <f aca="false">IF(Model!Y19=0,"",Model!Y19)</f>
        <v>520661.15</v>
      </c>
      <c r="AB13" s="206" t="n">
        <f aca="false">IF(Model!Z19=0,"",Model!Z19)</f>
        <v>431333.03</v>
      </c>
      <c r="AC13" s="206" t="n">
        <f aca="false">IF(Model!AA19=0,"",Model!AA19)</f>
        <v>344698.93</v>
      </c>
      <c r="AD13" s="206" t="n">
        <f aca="false">IF(Model!AB19=0,"",Model!AB19)</f>
        <v>186621.02</v>
      </c>
      <c r="AE13" s="206" t="str">
        <f aca="false">IF(Model!AC19=0,"",Model!AC19)</f>
        <v/>
      </c>
      <c r="AF13" s="206" t="str">
        <f aca="false">IF(Model!AD19=0,"",Model!AD19)</f>
        <v/>
      </c>
      <c r="AG13" s="206" t="str">
        <f aca="false">IF(Model!AE19=0,"",Model!AE19)</f>
        <v/>
      </c>
      <c r="AH13" s="206" t="str">
        <f aca="false">IF(Model!AF19=0,"",Model!AF19)</f>
        <v/>
      </c>
      <c r="AI13" s="206" t="str">
        <f aca="false">IF(Model!AG19=0,"",Model!AG19)</f>
        <v/>
      </c>
      <c r="AJ13" s="206" t="str">
        <f aca="false">IF(Model!AH19=0,"",Model!AH19)</f>
        <v/>
      </c>
      <c r="AK13" s="206" t="str">
        <f aca="false">IF(Model!AI19=0,"",Model!AI19)</f>
        <v/>
      </c>
      <c r="AL13" s="206" t="str">
        <f aca="false">IF(Model!AJ19=0,"",Model!AJ19)</f>
        <v/>
      </c>
      <c r="AM13" s="206" t="str">
        <f aca="false">IF(Model!AK19=0,"",Model!AK19)</f>
        <v/>
      </c>
      <c r="AN13" s="206" t="str">
        <f aca="false">IF(Model!AL19=0,"",Model!AL19)</f>
        <v/>
      </c>
      <c r="AO13" s="206" t="str">
        <f aca="false">IF(Model!AM19=0,"",Model!AM19)</f>
        <v/>
      </c>
      <c r="AP13" s="206" t="str">
        <f aca="false">IF(Model!AN19=0,"",Model!AN19)</f>
        <v/>
      </c>
      <c r="AQ13" s="206" t="str">
        <f aca="false">IF(Model!AO19=0,"",Model!AO19)</f>
        <v/>
      </c>
      <c r="AR13" s="206" t="str">
        <f aca="false">IF(Model!AP19=0,"",Model!AP19)</f>
        <v/>
      </c>
      <c r="AS13" s="206" t="str">
        <f aca="false">IF(Model!AQ19=0,"",Model!AQ19)</f>
        <v/>
      </c>
      <c r="AT13" s="206" t="str">
        <f aca="false">IF(Model!AR19=0,"",Model!AR19)</f>
        <v/>
      </c>
      <c r="AU13" s="206" t="str">
        <f aca="false">IF(Model!AS19=0,"",Model!AS19)</f>
        <v/>
      </c>
      <c r="AV13" s="206" t="str">
        <f aca="false">IF(Model!AT19=0,"",Model!AT19)</f>
        <v/>
      </c>
      <c r="AW13" s="206" t="str">
        <f aca="false">IF(Model!AU19=0,"",Model!AU19)</f>
        <v/>
      </c>
      <c r="AX13" s="206" t="str">
        <f aca="false">IF(Model!AV19=0,"",Model!AV19)</f>
        <v/>
      </c>
      <c r="AY13" s="206" t="str">
        <f aca="false">IF(Model!AW19=0,"",Model!AW19)</f>
        <v/>
      </c>
      <c r="AZ13" s="206" t="str">
        <f aca="false">IF(Model!AX19=0,"",Model!AX19)</f>
        <v/>
      </c>
      <c r="BA13" s="206" t="str">
        <f aca="false">IF(Model!AY19=0,"",Model!AY19)</f>
        <v/>
      </c>
      <c r="BB13" s="206" t="str">
        <f aca="false">IF(Model!AZ19=0,"",Model!AZ19)</f>
        <v/>
      </c>
      <c r="BC13" s="206" t="str">
        <f aca="false">IF(Model!BA19=0,"",Model!BA19)</f>
        <v/>
      </c>
      <c r="BD13" s="206" t="str">
        <f aca="false">IF(Model!BB19=0,"",Model!BB19)</f>
        <v/>
      </c>
      <c r="BE13" s="206" t="str">
        <f aca="false">IF(Model!BC19=0,"",Model!BC19)</f>
        <v/>
      </c>
      <c r="BF13" s="206" t="str">
        <f aca="false">IF(Model!BD19=0,"",Model!BD19)</f>
        <v/>
      </c>
      <c r="BG13" s="206" t="str">
        <f aca="false">IF(Model!BE19=0,"",Model!BE19)</f>
        <v/>
      </c>
      <c r="BH13" s="206" t="str">
        <f aca="false">IF(Model!BF19=0,"",Model!BF19)</f>
        <v/>
      </c>
      <c r="BI13" s="206" t="str">
        <f aca="false">IF(Model!BG19=0,"",Model!BG19)</f>
        <v/>
      </c>
      <c r="BJ13" s="206" t="str">
        <f aca="false">IF(Model!BH19=0,"",Model!BH19)</f>
        <v/>
      </c>
      <c r="BK13" s="206" t="str">
        <f aca="false">IF(Model!BI19=0,"",Model!BI19)</f>
        <v/>
      </c>
      <c r="BL13" s="206" t="str">
        <f aca="false">IF(Model!BJ19=0,"",Model!BJ19)</f>
        <v/>
      </c>
      <c r="BM13" s="206" t="str">
        <f aca="false">IF(Model!BK19=0,"",Model!BK19)</f>
        <v/>
      </c>
      <c r="BN13" s="206" t="str">
        <f aca="false">IF(Model!BL19=0,"",Model!BL19)</f>
        <v/>
      </c>
      <c r="BO13" s="206" t="str">
        <f aca="false">IF(Model!BM19=0,"",Model!BM19)</f>
        <v/>
      </c>
      <c r="BP13" s="206" t="str">
        <f aca="false">IF(Model!BN19=0,"",Model!BN19)</f>
        <v/>
      </c>
      <c r="BQ13" s="206" t="str">
        <f aca="false">IF(Model!BO19=0,"",Model!BO19)</f>
        <v/>
      </c>
      <c r="BR13" s="206" t="str">
        <f aca="false">IF(Model!BP19=0,"",Model!BP19)</f>
        <v/>
      </c>
      <c r="BS13" s="206" t="str">
        <f aca="false">IF(Model!BQ19=0,"",Model!BQ19)</f>
        <v/>
      </c>
      <c r="BT13" s="206" t="str">
        <f aca="false">IF(Model!BR19=0,"",Model!BR19)</f>
        <v/>
      </c>
      <c r="BU13" s="206" t="str">
        <f aca="false">IF(Model!BS19=0,"",Model!BS19)</f>
        <v/>
      </c>
      <c r="BV13" s="206" t="str">
        <f aca="false">IF(Model!BT19=0,"",Model!BT19)</f>
        <v/>
      </c>
      <c r="BW13" s="206" t="str">
        <f aca="false">IF(Model!BU19=0,"",Model!BU19)</f>
        <v/>
      </c>
      <c r="BX13" s="206" t="str">
        <f aca="false">IF(Model!BV19=0,"",Model!BV19)</f>
        <v/>
      </c>
      <c r="BY13" s="206" t="str">
        <f aca="false">IF(Model!BW19=0,"",Model!BW19)</f>
        <v/>
      </c>
      <c r="BZ13" s="206" t="str">
        <f aca="false">IF(Model!BX19=0,"",Model!BX19)</f>
        <v/>
      </c>
      <c r="CA13" s="206" t="str">
        <f aca="false">IF(Model!BY19=0,"",Model!BY19)</f>
        <v/>
      </c>
      <c r="CB13" s="206" t="str">
        <f aca="false">IF(Model!BZ19=0,"",Model!BZ19)</f>
        <v/>
      </c>
      <c r="CC13" s="206" t="str">
        <f aca="false">IF(Model!CA19=0,"",Model!CA19)</f>
        <v/>
      </c>
      <c r="CD13" s="206" t="str">
        <f aca="false">IF(Model!CB19=0,"",Model!CB19)</f>
        <v/>
      </c>
      <c r="CE13" s="206" t="str">
        <f aca="false">IF(Model!CC19=0,"",Model!CC19)</f>
        <v/>
      </c>
      <c r="CF13" s="206" t="str">
        <f aca="false">IF(Model!CD19=0,"",Model!CD19)</f>
        <v/>
      </c>
      <c r="CG13" s="206" t="str">
        <f aca="false">IF(Model!CE19=0,"",Model!CE19)</f>
        <v/>
      </c>
      <c r="CH13" s="206" t="str">
        <f aca="false">IF(Model!CF19=0,"",Model!CF19)</f>
        <v/>
      </c>
      <c r="CI13" s="206" t="str">
        <f aca="false">IF(Model!CG19=0,"",Model!CG19)</f>
        <v/>
      </c>
      <c r="CJ13" s="206" t="str">
        <f aca="false">IF(Model!CH19=0,"",Model!CH19)</f>
        <v/>
      </c>
      <c r="CK13" s="206" t="str">
        <f aca="false">IF(Model!CI19=0,"",Model!CI19)</f>
        <v/>
      </c>
      <c r="CL13" s="206" t="str">
        <f aca="false">IF(Model!CJ19=0,"",Model!CJ19)</f>
        <v/>
      </c>
      <c r="CM13" s="206" t="str">
        <f aca="false">IF(Model!CK19=0,"",Model!CK19)</f>
        <v/>
      </c>
      <c r="CN13" s="206" t="str">
        <f aca="false">IF(Model!CL19=0,"",Model!CL19)</f>
        <v/>
      </c>
      <c r="CO13" s="206" t="str">
        <f aca="false">IF(Model!CM19=0,"",Model!CM19)</f>
        <v/>
      </c>
      <c r="CP13" s="206" t="str">
        <f aca="false">IF(Model!CN19=0,"",Model!CN19)</f>
        <v/>
      </c>
      <c r="CQ13" s="206" t="str">
        <f aca="false">IF(Model!CO19=0,"",Model!CO19)</f>
        <v/>
      </c>
      <c r="CR13" s="206" t="str">
        <f aca="false">IF(Model!CP19=0,"",Model!CP19)</f>
        <v/>
      </c>
      <c r="CS13" s="206" t="str">
        <f aca="false">IF(Model!CQ19=0,"",Model!CQ19)</f>
        <v/>
      </c>
      <c r="CT13" s="206" t="str">
        <f aca="false">IF(Model!CR19=0,"",Model!CR19)</f>
        <v/>
      </c>
      <c r="CU13" s="206" t="str">
        <f aca="false">IF(Model!CS19=0,"",Model!CS19)</f>
        <v/>
      </c>
      <c r="CV13" s="206" t="str">
        <f aca="false">IF(Model!CT19=0,"",Model!CT19)</f>
        <v/>
      </c>
      <c r="CW13" s="206" t="str">
        <f aca="false">IF(Model!CU19=0,"",Model!CU19)</f>
        <v/>
      </c>
      <c r="CX13" s="206" t="str">
        <f aca="false">IF(Model!CV19=0,"",Model!CV19)</f>
        <v/>
      </c>
      <c r="CY13" s="206" t="str">
        <f aca="false">IF(Model!CW19=0,"",Model!CW19)</f>
        <v/>
      </c>
      <c r="CZ13" s="206" t="str">
        <f aca="false">IF(Model!CX19=0,"",Model!CX19)</f>
        <v/>
      </c>
      <c r="DA13" s="206" t="str">
        <f aca="false">IF(Model!CY19=0,"",Model!CY19)</f>
        <v/>
      </c>
      <c r="DB13" s="206" t="str">
        <f aca="false">IF(Model!CZ19=0,"",Model!CZ19)</f>
        <v/>
      </c>
    </row>
    <row r="14" customFormat="false" ht="15" hidden="false" customHeight="true" outlineLevel="0" collapsed="false">
      <c r="A14" s="123" t="s">
        <v>14</v>
      </c>
      <c r="B14" s="203" t="n">
        <f aca="false">Projects!$B$9</f>
        <v>14337010.8</v>
      </c>
      <c r="C14" s="204" t="n">
        <f aca="false">EDATE(Model!$E$2,Projects!$C$9-1)</f>
        <v>46235</v>
      </c>
      <c r="D14" s="204" t="n">
        <f aca="false">EDATE(Model!$E$2,Projects!$C$9+Projects!$D$9-2)</f>
        <v>46784</v>
      </c>
      <c r="E14" s="205" t="n">
        <f aca="false">Projects!$D$9</f>
        <v>19</v>
      </c>
      <c r="F14" s="203" t="n">
        <f aca="false">SUM(G14:DB14)</f>
        <v>12641645.33</v>
      </c>
      <c r="G14" s="206" t="str">
        <f aca="false">IF(Model!E20=0,"",Model!E20)</f>
        <v/>
      </c>
      <c r="H14" s="206" t="str">
        <f aca="false">IF(Model!F20=0,"",Model!F20)</f>
        <v/>
      </c>
      <c r="I14" s="206" t="str">
        <f aca="false">IF(Model!G20=0,"",Model!G20)</f>
        <v/>
      </c>
      <c r="J14" s="206" t="n">
        <f aca="false">IF(Model!H20=0,"",Model!H20)</f>
        <v>354912</v>
      </c>
      <c r="K14" s="206" t="n">
        <f aca="false">IF(Model!I20=0,"",Model!I20)</f>
        <v>94705.37</v>
      </c>
      <c r="L14" s="206" t="n">
        <f aca="false">IF(Model!J20=0,"",Model!J20)</f>
        <v>193610.23</v>
      </c>
      <c r="M14" s="206" t="n">
        <f aca="false">IF(Model!K20=0,"",Model!K20)</f>
        <v>482353.29</v>
      </c>
      <c r="N14" s="206" t="n">
        <f aca="false">IF(Model!L20=0,"",Model!L20)</f>
        <v>582247.59</v>
      </c>
      <c r="O14" s="206" t="n">
        <f aca="false">IF(Model!M20=0,"",Model!M20)</f>
        <v>680354.47</v>
      </c>
      <c r="P14" s="206" t="n">
        <f aca="false">IF(Model!N20=0,"",Model!N20)</f>
        <v>771225.14</v>
      </c>
      <c r="Q14" s="206" t="n">
        <f aca="false">IF(Model!O20=0,"",Model!O20)</f>
        <v>849281.08</v>
      </c>
      <c r="R14" s="206" t="n">
        <f aca="false">IF(Model!P20=0,"",Model!P20)</f>
        <v>909347.4</v>
      </c>
      <c r="S14" s="206" t="n">
        <f aca="false">IF(Model!Q20=0,"",Model!Q20)</f>
        <v>947229.39</v>
      </c>
      <c r="T14" s="206" t="n">
        <f aca="false">IF(Model!R20=0,"",Model!R20)</f>
        <v>960173.85</v>
      </c>
      <c r="U14" s="206" t="n">
        <f aca="false">IF(Model!S20=0,"",Model!S20)</f>
        <v>947229.39</v>
      </c>
      <c r="V14" s="206" t="n">
        <f aca="false">IF(Model!T20=0,"",Model!T20)</f>
        <v>909347.4</v>
      </c>
      <c r="W14" s="206" t="n">
        <f aca="false">IF(Model!U20=0,"",Model!U20)</f>
        <v>849281.08</v>
      </c>
      <c r="X14" s="206" t="n">
        <f aca="false">IF(Model!V20=0,"",Model!V20)</f>
        <v>771225.14</v>
      </c>
      <c r="Y14" s="206" t="n">
        <f aca="false">IF(Model!W20=0,"",Model!W20)</f>
        <v>680354.47</v>
      </c>
      <c r="Z14" s="206" t="n">
        <f aca="false">IF(Model!X20=0,"",Model!X20)</f>
        <v>582247.59</v>
      </c>
      <c r="AA14" s="206" t="n">
        <f aca="false">IF(Model!Y20=0,"",Model!Y20)</f>
        <v>482353.29</v>
      </c>
      <c r="AB14" s="206" t="n">
        <f aca="false">IF(Model!Z20=0,"",Model!Z20)</f>
        <v>385471.66</v>
      </c>
      <c r="AC14" s="206" t="n">
        <f aca="false">IF(Model!AA20=0,"",Model!AA20)</f>
        <v>208695.5</v>
      </c>
      <c r="AD14" s="206" t="str">
        <f aca="false">IF(Model!AB20=0,"",Model!AB20)</f>
        <v/>
      </c>
      <c r="AE14" s="206" t="str">
        <f aca="false">IF(Model!AC20=0,"",Model!AC20)</f>
        <v/>
      </c>
      <c r="AF14" s="206" t="str">
        <f aca="false">IF(Model!AD20=0,"",Model!AD20)</f>
        <v/>
      </c>
      <c r="AG14" s="206" t="str">
        <f aca="false">IF(Model!AE20=0,"",Model!AE20)</f>
        <v/>
      </c>
      <c r="AH14" s="206" t="str">
        <f aca="false">IF(Model!AF20=0,"",Model!AF20)</f>
        <v/>
      </c>
      <c r="AI14" s="206" t="str">
        <f aca="false">IF(Model!AG20=0,"",Model!AG20)</f>
        <v/>
      </c>
      <c r="AJ14" s="206" t="str">
        <f aca="false">IF(Model!AH20=0,"",Model!AH20)</f>
        <v/>
      </c>
      <c r="AK14" s="206" t="str">
        <f aca="false">IF(Model!AI20=0,"",Model!AI20)</f>
        <v/>
      </c>
      <c r="AL14" s="206" t="str">
        <f aca="false">IF(Model!AJ20=0,"",Model!AJ20)</f>
        <v/>
      </c>
      <c r="AM14" s="206" t="str">
        <f aca="false">IF(Model!AK20=0,"",Model!AK20)</f>
        <v/>
      </c>
      <c r="AN14" s="206" t="str">
        <f aca="false">IF(Model!AL20=0,"",Model!AL20)</f>
        <v/>
      </c>
      <c r="AO14" s="206" t="str">
        <f aca="false">IF(Model!AM20=0,"",Model!AM20)</f>
        <v/>
      </c>
      <c r="AP14" s="206" t="str">
        <f aca="false">IF(Model!AN20=0,"",Model!AN20)</f>
        <v/>
      </c>
      <c r="AQ14" s="206" t="str">
        <f aca="false">IF(Model!AO20=0,"",Model!AO20)</f>
        <v/>
      </c>
      <c r="AR14" s="206" t="str">
        <f aca="false">IF(Model!AP20=0,"",Model!AP20)</f>
        <v/>
      </c>
      <c r="AS14" s="206" t="str">
        <f aca="false">IF(Model!AQ20=0,"",Model!AQ20)</f>
        <v/>
      </c>
      <c r="AT14" s="206" t="str">
        <f aca="false">IF(Model!AR20=0,"",Model!AR20)</f>
        <v/>
      </c>
      <c r="AU14" s="206" t="str">
        <f aca="false">IF(Model!AS20=0,"",Model!AS20)</f>
        <v/>
      </c>
      <c r="AV14" s="206" t="str">
        <f aca="false">IF(Model!AT20=0,"",Model!AT20)</f>
        <v/>
      </c>
      <c r="AW14" s="206" t="str">
        <f aca="false">IF(Model!AU20=0,"",Model!AU20)</f>
        <v/>
      </c>
      <c r="AX14" s="206" t="str">
        <f aca="false">IF(Model!AV20=0,"",Model!AV20)</f>
        <v/>
      </c>
      <c r="AY14" s="206" t="str">
        <f aca="false">IF(Model!AW20=0,"",Model!AW20)</f>
        <v/>
      </c>
      <c r="AZ14" s="206" t="str">
        <f aca="false">IF(Model!AX20=0,"",Model!AX20)</f>
        <v/>
      </c>
      <c r="BA14" s="206" t="str">
        <f aca="false">IF(Model!AY20=0,"",Model!AY20)</f>
        <v/>
      </c>
      <c r="BB14" s="206" t="str">
        <f aca="false">IF(Model!AZ20=0,"",Model!AZ20)</f>
        <v/>
      </c>
      <c r="BC14" s="206" t="str">
        <f aca="false">IF(Model!BA20=0,"",Model!BA20)</f>
        <v/>
      </c>
      <c r="BD14" s="206" t="str">
        <f aca="false">IF(Model!BB20=0,"",Model!BB20)</f>
        <v/>
      </c>
      <c r="BE14" s="206" t="str">
        <f aca="false">IF(Model!BC20=0,"",Model!BC20)</f>
        <v/>
      </c>
      <c r="BF14" s="206" t="str">
        <f aca="false">IF(Model!BD20=0,"",Model!BD20)</f>
        <v/>
      </c>
      <c r="BG14" s="206" t="str">
        <f aca="false">IF(Model!BE20=0,"",Model!BE20)</f>
        <v/>
      </c>
      <c r="BH14" s="206" t="str">
        <f aca="false">IF(Model!BF20=0,"",Model!BF20)</f>
        <v/>
      </c>
      <c r="BI14" s="206" t="str">
        <f aca="false">IF(Model!BG20=0,"",Model!BG20)</f>
        <v/>
      </c>
      <c r="BJ14" s="206" t="str">
        <f aca="false">IF(Model!BH20=0,"",Model!BH20)</f>
        <v/>
      </c>
      <c r="BK14" s="206" t="str">
        <f aca="false">IF(Model!BI20=0,"",Model!BI20)</f>
        <v/>
      </c>
      <c r="BL14" s="206" t="str">
        <f aca="false">IF(Model!BJ20=0,"",Model!BJ20)</f>
        <v/>
      </c>
      <c r="BM14" s="206" t="str">
        <f aca="false">IF(Model!BK20=0,"",Model!BK20)</f>
        <v/>
      </c>
      <c r="BN14" s="206" t="str">
        <f aca="false">IF(Model!BL20=0,"",Model!BL20)</f>
        <v/>
      </c>
      <c r="BO14" s="206" t="str">
        <f aca="false">IF(Model!BM20=0,"",Model!BM20)</f>
        <v/>
      </c>
      <c r="BP14" s="206" t="str">
        <f aca="false">IF(Model!BN20=0,"",Model!BN20)</f>
        <v/>
      </c>
      <c r="BQ14" s="206" t="str">
        <f aca="false">IF(Model!BO20=0,"",Model!BO20)</f>
        <v/>
      </c>
      <c r="BR14" s="206" t="str">
        <f aca="false">IF(Model!BP20=0,"",Model!BP20)</f>
        <v/>
      </c>
      <c r="BS14" s="206" t="str">
        <f aca="false">IF(Model!BQ20=0,"",Model!BQ20)</f>
        <v/>
      </c>
      <c r="BT14" s="206" t="str">
        <f aca="false">IF(Model!BR20=0,"",Model!BR20)</f>
        <v/>
      </c>
      <c r="BU14" s="206" t="str">
        <f aca="false">IF(Model!BS20=0,"",Model!BS20)</f>
        <v/>
      </c>
      <c r="BV14" s="206" t="str">
        <f aca="false">IF(Model!BT20=0,"",Model!BT20)</f>
        <v/>
      </c>
      <c r="BW14" s="206" t="str">
        <f aca="false">IF(Model!BU20=0,"",Model!BU20)</f>
        <v/>
      </c>
      <c r="BX14" s="206" t="str">
        <f aca="false">IF(Model!BV20=0,"",Model!BV20)</f>
        <v/>
      </c>
      <c r="BY14" s="206" t="str">
        <f aca="false">IF(Model!BW20=0,"",Model!BW20)</f>
        <v/>
      </c>
      <c r="BZ14" s="206" t="str">
        <f aca="false">IF(Model!BX20=0,"",Model!BX20)</f>
        <v/>
      </c>
      <c r="CA14" s="206" t="str">
        <f aca="false">IF(Model!BY20=0,"",Model!BY20)</f>
        <v/>
      </c>
      <c r="CB14" s="206" t="str">
        <f aca="false">IF(Model!BZ20=0,"",Model!BZ20)</f>
        <v/>
      </c>
      <c r="CC14" s="206" t="str">
        <f aca="false">IF(Model!CA20=0,"",Model!CA20)</f>
        <v/>
      </c>
      <c r="CD14" s="206" t="str">
        <f aca="false">IF(Model!CB20=0,"",Model!CB20)</f>
        <v/>
      </c>
      <c r="CE14" s="206" t="str">
        <f aca="false">IF(Model!CC20=0,"",Model!CC20)</f>
        <v/>
      </c>
      <c r="CF14" s="206" t="str">
        <f aca="false">IF(Model!CD20=0,"",Model!CD20)</f>
        <v/>
      </c>
      <c r="CG14" s="206" t="str">
        <f aca="false">IF(Model!CE20=0,"",Model!CE20)</f>
        <v/>
      </c>
      <c r="CH14" s="206" t="str">
        <f aca="false">IF(Model!CF20=0,"",Model!CF20)</f>
        <v/>
      </c>
      <c r="CI14" s="206" t="str">
        <f aca="false">IF(Model!CG20=0,"",Model!CG20)</f>
        <v/>
      </c>
      <c r="CJ14" s="206" t="str">
        <f aca="false">IF(Model!CH20=0,"",Model!CH20)</f>
        <v/>
      </c>
      <c r="CK14" s="206" t="str">
        <f aca="false">IF(Model!CI20=0,"",Model!CI20)</f>
        <v/>
      </c>
      <c r="CL14" s="206" t="str">
        <f aca="false">IF(Model!CJ20=0,"",Model!CJ20)</f>
        <v/>
      </c>
      <c r="CM14" s="206" t="str">
        <f aca="false">IF(Model!CK20=0,"",Model!CK20)</f>
        <v/>
      </c>
      <c r="CN14" s="206" t="str">
        <f aca="false">IF(Model!CL20=0,"",Model!CL20)</f>
        <v/>
      </c>
      <c r="CO14" s="206" t="str">
        <f aca="false">IF(Model!CM20=0,"",Model!CM20)</f>
        <v/>
      </c>
      <c r="CP14" s="206" t="str">
        <f aca="false">IF(Model!CN20=0,"",Model!CN20)</f>
        <v/>
      </c>
      <c r="CQ14" s="206" t="str">
        <f aca="false">IF(Model!CO20=0,"",Model!CO20)</f>
        <v/>
      </c>
      <c r="CR14" s="206" t="str">
        <f aca="false">IF(Model!CP20=0,"",Model!CP20)</f>
        <v/>
      </c>
      <c r="CS14" s="206" t="str">
        <f aca="false">IF(Model!CQ20=0,"",Model!CQ20)</f>
        <v/>
      </c>
      <c r="CT14" s="206" t="str">
        <f aca="false">IF(Model!CR20=0,"",Model!CR20)</f>
        <v/>
      </c>
      <c r="CU14" s="206" t="str">
        <f aca="false">IF(Model!CS20=0,"",Model!CS20)</f>
        <v/>
      </c>
      <c r="CV14" s="206" t="str">
        <f aca="false">IF(Model!CT20=0,"",Model!CT20)</f>
        <v/>
      </c>
      <c r="CW14" s="206" t="str">
        <f aca="false">IF(Model!CU20=0,"",Model!CU20)</f>
        <v/>
      </c>
      <c r="CX14" s="206" t="str">
        <f aca="false">IF(Model!CV20=0,"",Model!CV20)</f>
        <v/>
      </c>
      <c r="CY14" s="206" t="str">
        <f aca="false">IF(Model!CW20=0,"",Model!CW20)</f>
        <v/>
      </c>
      <c r="CZ14" s="206" t="str">
        <f aca="false">IF(Model!CX20=0,"",Model!CX20)</f>
        <v/>
      </c>
      <c r="DA14" s="206" t="str">
        <f aca="false">IF(Model!CY20=0,"",Model!CY20)</f>
        <v/>
      </c>
      <c r="DB14" s="206" t="str">
        <f aca="false">IF(Model!CZ20=0,"",Model!CZ20)</f>
        <v/>
      </c>
    </row>
    <row r="15" customFormat="false" ht="15" hidden="false" customHeight="true" outlineLevel="0" collapsed="false">
      <c r="A15" s="123" t="s">
        <v>15</v>
      </c>
      <c r="B15" s="203" t="n">
        <f aca="false">Projects!$B$10</f>
        <v>21263405</v>
      </c>
      <c r="C15" s="204" t="n">
        <f aca="false">EDATE(Model!$E$2,Projects!$C$10-1)</f>
        <v>46539</v>
      </c>
      <c r="D15" s="204" t="n">
        <f aca="false">EDATE(Model!$E$2,Projects!$C$10+Projects!$D$10-2)</f>
        <v>47239</v>
      </c>
      <c r="E15" s="205" t="n">
        <f aca="false">Projects!$D$10</f>
        <v>24</v>
      </c>
      <c r="F15" s="203" t="n">
        <f aca="false">SUM(G15:DB15)</f>
        <v>18703482.408645</v>
      </c>
      <c r="G15" s="206" t="str">
        <f aca="false">IF(Model!E21=0,"",Model!E21)</f>
        <v/>
      </c>
      <c r="H15" s="206" t="str">
        <f aca="false">IF(Model!F21=0,"",Model!F21)</f>
        <v/>
      </c>
      <c r="I15" s="206" t="str">
        <f aca="false">IF(Model!G21=0,"",Model!G21)</f>
        <v/>
      </c>
      <c r="J15" s="206" t="str">
        <f aca="false">IF(Model!H21=0,"",Model!H21)</f>
        <v/>
      </c>
      <c r="K15" s="206" t="str">
        <f aca="false">IF(Model!I21=0,"",Model!I21)</f>
        <v/>
      </c>
      <c r="L15" s="206" t="str">
        <f aca="false">IF(Model!J21=0,"",Model!J21)</f>
        <v/>
      </c>
      <c r="M15" s="206" t="str">
        <f aca="false">IF(Model!K21=0,"",Model!K21)</f>
        <v/>
      </c>
      <c r="N15" s="206" t="str">
        <f aca="false">IF(Model!L21=0,"",Model!L21)</f>
        <v/>
      </c>
      <c r="O15" s="206" t="str">
        <f aca="false">IF(Model!M21=0,"",Model!M21)</f>
        <v/>
      </c>
      <c r="P15" s="206" t="str">
        <f aca="false">IF(Model!N21=0,"",Model!N21)</f>
        <v/>
      </c>
      <c r="Q15" s="206" t="str">
        <f aca="false">IF(Model!O21=0,"",Model!O21)</f>
        <v/>
      </c>
      <c r="R15" s="206" t="str">
        <f aca="false">IF(Model!P21=0,"",Model!P21)</f>
        <v/>
      </c>
      <c r="S15" s="206" t="str">
        <f aca="false">IF(Model!Q21=0,"",Model!Q21)</f>
        <v/>
      </c>
      <c r="T15" s="206" t="str">
        <f aca="false">IF(Model!R21=0,"",Model!R21)</f>
        <v/>
      </c>
      <c r="U15" s="206" t="n">
        <f aca="false">IF(Model!S21=0,"",Model!S21)</f>
        <v>334505.743043865</v>
      </c>
      <c r="V15" s="206" t="n">
        <f aca="false">IF(Model!T21=0,"",Model!T21)</f>
        <v>416135.954838865</v>
      </c>
      <c r="W15" s="206" t="n">
        <f aca="false">IF(Model!U21=0,"",Model!U21)</f>
        <v>503507.285983865</v>
      </c>
      <c r="X15" s="206" t="n">
        <f aca="false">IF(Model!V21=0,"",Model!V21)</f>
        <v>594727.293433865</v>
      </c>
      <c r="Y15" s="206" t="n">
        <f aca="false">IF(Model!W21=0,"",Model!W21)</f>
        <v>687265.631993865</v>
      </c>
      <c r="Z15" s="206" t="n">
        <f aca="false">IF(Model!X21=0,"",Model!X21)</f>
        <v>778294.268798865</v>
      </c>
      <c r="AA15" s="206" t="n">
        <f aca="false">IF(Model!Y21=0,"",Model!Y21)</f>
        <v>864623.693098865</v>
      </c>
      <c r="AB15" s="206" t="n">
        <f aca="false">IF(Model!Z21=0,"",Model!Z21)</f>
        <v>943000.603928865</v>
      </c>
      <c r="AC15" s="206" t="n">
        <f aca="false">IF(Model!AA21=0,"",Model!AA21)</f>
        <v>1010278.01734886</v>
      </c>
      <c r="AD15" s="206" t="n">
        <f aca="false">IF(Model!AB21=0,"",Model!AB21)</f>
        <v>1063542.84687386</v>
      </c>
      <c r="AE15" s="206" t="n">
        <f aca="false">IF(Model!AC21=0,"",Model!AC21)</f>
        <v>1100477.38135886</v>
      </c>
      <c r="AF15" s="206" t="n">
        <f aca="false">IF(Model!AD21=0,"",Model!AD21)</f>
        <v>1119380.54840386</v>
      </c>
      <c r="AG15" s="206" t="n">
        <f aca="false">IF(Model!AE21=0,"",Model!AE21)</f>
        <v>1119380.54840386</v>
      </c>
      <c r="AH15" s="206" t="n">
        <f aca="false">IF(Model!AF21=0,"",Model!AF21)</f>
        <v>1100477.38135886</v>
      </c>
      <c r="AI15" s="206" t="n">
        <f aca="false">IF(Model!AG21=0,"",Model!AG21)</f>
        <v>1063542.84687386</v>
      </c>
      <c r="AJ15" s="206" t="n">
        <f aca="false">IF(Model!AH21=0,"",Model!AH21)</f>
        <v>1010278.01734886</v>
      </c>
      <c r="AK15" s="206" t="n">
        <f aca="false">IF(Model!AI21=0,"",Model!AI21)</f>
        <v>943000.603928865</v>
      </c>
      <c r="AL15" s="206" t="n">
        <f aca="false">IF(Model!AJ21=0,"",Model!AJ21)</f>
        <v>864623.693098865</v>
      </c>
      <c r="AM15" s="206" t="n">
        <f aca="false">IF(Model!AK21=0,"",Model!AK21)</f>
        <v>778294.268798865</v>
      </c>
      <c r="AN15" s="206" t="n">
        <f aca="false">IF(Model!AL21=0,"",Model!AL21)</f>
        <v>687265.631993865</v>
      </c>
      <c r="AO15" s="206" t="n">
        <f aca="false">IF(Model!AM21=0,"",Model!AM21)</f>
        <v>594727.293433865</v>
      </c>
      <c r="AP15" s="206" t="n">
        <f aca="false">IF(Model!AN21=0,"",Model!AN21)</f>
        <v>503507.285983865</v>
      </c>
      <c r="AQ15" s="206" t="n">
        <f aca="false">IF(Model!AO21=0,"",Model!AO21)</f>
        <v>416135.954838865</v>
      </c>
      <c r="AR15" s="206" t="n">
        <f aca="false">IF(Model!AP21=0,"",Model!AP21)</f>
        <v>206509.613476115</v>
      </c>
      <c r="AS15" s="206" t="str">
        <f aca="false">IF(Model!AQ21=0,"",Model!AQ21)</f>
        <v/>
      </c>
      <c r="AT15" s="206" t="str">
        <f aca="false">IF(Model!AR21=0,"",Model!AR21)</f>
        <v/>
      </c>
      <c r="AU15" s="206" t="str">
        <f aca="false">IF(Model!AS21=0,"",Model!AS21)</f>
        <v/>
      </c>
      <c r="AV15" s="206" t="str">
        <f aca="false">IF(Model!AT21=0,"",Model!AT21)</f>
        <v/>
      </c>
      <c r="AW15" s="206" t="str">
        <f aca="false">IF(Model!AU21=0,"",Model!AU21)</f>
        <v/>
      </c>
      <c r="AX15" s="206" t="str">
        <f aca="false">IF(Model!AV21=0,"",Model!AV21)</f>
        <v/>
      </c>
      <c r="AY15" s="206" t="str">
        <f aca="false">IF(Model!AW21=0,"",Model!AW21)</f>
        <v/>
      </c>
      <c r="AZ15" s="206" t="str">
        <f aca="false">IF(Model!AX21=0,"",Model!AX21)</f>
        <v/>
      </c>
      <c r="BA15" s="206" t="str">
        <f aca="false">IF(Model!AY21=0,"",Model!AY21)</f>
        <v/>
      </c>
      <c r="BB15" s="206" t="str">
        <f aca="false">IF(Model!AZ21=0,"",Model!AZ21)</f>
        <v/>
      </c>
      <c r="BC15" s="206" t="str">
        <f aca="false">IF(Model!BA21=0,"",Model!BA21)</f>
        <v/>
      </c>
      <c r="BD15" s="206" t="str">
        <f aca="false">IF(Model!BB21=0,"",Model!BB21)</f>
        <v/>
      </c>
      <c r="BE15" s="206" t="str">
        <f aca="false">IF(Model!BC21=0,"",Model!BC21)</f>
        <v/>
      </c>
      <c r="BF15" s="206" t="str">
        <f aca="false">IF(Model!BD21=0,"",Model!BD21)</f>
        <v/>
      </c>
      <c r="BG15" s="206" t="str">
        <f aca="false">IF(Model!BE21=0,"",Model!BE21)</f>
        <v/>
      </c>
      <c r="BH15" s="206" t="str">
        <f aca="false">IF(Model!BF21=0,"",Model!BF21)</f>
        <v/>
      </c>
      <c r="BI15" s="206" t="str">
        <f aca="false">IF(Model!BG21=0,"",Model!BG21)</f>
        <v/>
      </c>
      <c r="BJ15" s="206" t="str">
        <f aca="false">IF(Model!BH21=0,"",Model!BH21)</f>
        <v/>
      </c>
      <c r="BK15" s="206" t="str">
        <f aca="false">IF(Model!BI21=0,"",Model!BI21)</f>
        <v/>
      </c>
      <c r="BL15" s="206" t="str">
        <f aca="false">IF(Model!BJ21=0,"",Model!BJ21)</f>
        <v/>
      </c>
      <c r="BM15" s="206" t="str">
        <f aca="false">IF(Model!BK21=0,"",Model!BK21)</f>
        <v/>
      </c>
      <c r="BN15" s="206" t="str">
        <f aca="false">IF(Model!BL21=0,"",Model!BL21)</f>
        <v/>
      </c>
      <c r="BO15" s="206" t="str">
        <f aca="false">IF(Model!BM21=0,"",Model!BM21)</f>
        <v/>
      </c>
      <c r="BP15" s="206" t="str">
        <f aca="false">IF(Model!BN21=0,"",Model!BN21)</f>
        <v/>
      </c>
      <c r="BQ15" s="206" t="str">
        <f aca="false">IF(Model!BO21=0,"",Model!BO21)</f>
        <v/>
      </c>
      <c r="BR15" s="206" t="str">
        <f aca="false">IF(Model!BP21=0,"",Model!BP21)</f>
        <v/>
      </c>
      <c r="BS15" s="206" t="str">
        <f aca="false">IF(Model!BQ21=0,"",Model!BQ21)</f>
        <v/>
      </c>
      <c r="BT15" s="206" t="str">
        <f aca="false">IF(Model!BR21=0,"",Model!BR21)</f>
        <v/>
      </c>
      <c r="BU15" s="206" t="str">
        <f aca="false">IF(Model!BS21=0,"",Model!BS21)</f>
        <v/>
      </c>
      <c r="BV15" s="206" t="str">
        <f aca="false">IF(Model!BT21=0,"",Model!BT21)</f>
        <v/>
      </c>
      <c r="BW15" s="206" t="str">
        <f aca="false">IF(Model!BU21=0,"",Model!BU21)</f>
        <v/>
      </c>
      <c r="BX15" s="206" t="str">
        <f aca="false">IF(Model!BV21=0,"",Model!BV21)</f>
        <v/>
      </c>
      <c r="BY15" s="206" t="str">
        <f aca="false">IF(Model!BW21=0,"",Model!BW21)</f>
        <v/>
      </c>
      <c r="BZ15" s="206" t="str">
        <f aca="false">IF(Model!BX21=0,"",Model!BX21)</f>
        <v/>
      </c>
      <c r="CA15" s="206" t="str">
        <f aca="false">IF(Model!BY21=0,"",Model!BY21)</f>
        <v/>
      </c>
      <c r="CB15" s="206" t="str">
        <f aca="false">IF(Model!BZ21=0,"",Model!BZ21)</f>
        <v/>
      </c>
      <c r="CC15" s="206" t="str">
        <f aca="false">IF(Model!CA21=0,"",Model!CA21)</f>
        <v/>
      </c>
      <c r="CD15" s="206" t="str">
        <f aca="false">IF(Model!CB21=0,"",Model!CB21)</f>
        <v/>
      </c>
      <c r="CE15" s="206" t="str">
        <f aca="false">IF(Model!CC21=0,"",Model!CC21)</f>
        <v/>
      </c>
      <c r="CF15" s="206" t="str">
        <f aca="false">IF(Model!CD21=0,"",Model!CD21)</f>
        <v/>
      </c>
      <c r="CG15" s="206" t="str">
        <f aca="false">IF(Model!CE21=0,"",Model!CE21)</f>
        <v/>
      </c>
      <c r="CH15" s="206" t="str">
        <f aca="false">IF(Model!CF21=0,"",Model!CF21)</f>
        <v/>
      </c>
      <c r="CI15" s="206" t="str">
        <f aca="false">IF(Model!CG21=0,"",Model!CG21)</f>
        <v/>
      </c>
      <c r="CJ15" s="206" t="str">
        <f aca="false">IF(Model!CH21=0,"",Model!CH21)</f>
        <v/>
      </c>
      <c r="CK15" s="206" t="str">
        <f aca="false">IF(Model!CI21=0,"",Model!CI21)</f>
        <v/>
      </c>
      <c r="CL15" s="206" t="str">
        <f aca="false">IF(Model!CJ21=0,"",Model!CJ21)</f>
        <v/>
      </c>
      <c r="CM15" s="206" t="str">
        <f aca="false">IF(Model!CK21=0,"",Model!CK21)</f>
        <v/>
      </c>
      <c r="CN15" s="206" t="str">
        <f aca="false">IF(Model!CL21=0,"",Model!CL21)</f>
        <v/>
      </c>
      <c r="CO15" s="206" t="str">
        <f aca="false">IF(Model!CM21=0,"",Model!CM21)</f>
        <v/>
      </c>
      <c r="CP15" s="206" t="str">
        <f aca="false">IF(Model!CN21=0,"",Model!CN21)</f>
        <v/>
      </c>
      <c r="CQ15" s="206" t="str">
        <f aca="false">IF(Model!CO21=0,"",Model!CO21)</f>
        <v/>
      </c>
      <c r="CR15" s="206" t="str">
        <f aca="false">IF(Model!CP21=0,"",Model!CP21)</f>
        <v/>
      </c>
      <c r="CS15" s="206" t="str">
        <f aca="false">IF(Model!CQ21=0,"",Model!CQ21)</f>
        <v/>
      </c>
      <c r="CT15" s="206" t="str">
        <f aca="false">IF(Model!CR21=0,"",Model!CR21)</f>
        <v/>
      </c>
      <c r="CU15" s="206" t="str">
        <f aca="false">IF(Model!CS21=0,"",Model!CS21)</f>
        <v/>
      </c>
      <c r="CV15" s="206" t="str">
        <f aca="false">IF(Model!CT21=0,"",Model!CT21)</f>
        <v/>
      </c>
      <c r="CW15" s="206" t="str">
        <f aca="false">IF(Model!CU21=0,"",Model!CU21)</f>
        <v/>
      </c>
      <c r="CX15" s="206" t="str">
        <f aca="false">IF(Model!CV21=0,"",Model!CV21)</f>
        <v/>
      </c>
      <c r="CY15" s="206" t="str">
        <f aca="false">IF(Model!CW21=0,"",Model!CW21)</f>
        <v/>
      </c>
      <c r="CZ15" s="206" t="str">
        <f aca="false">IF(Model!CX21=0,"",Model!CX21)</f>
        <v/>
      </c>
      <c r="DA15" s="206" t="str">
        <f aca="false">IF(Model!CY21=0,"",Model!CY21)</f>
        <v/>
      </c>
      <c r="DB15" s="206" t="str">
        <f aca="false">IF(Model!CZ21=0,"",Model!CZ21)</f>
        <v/>
      </c>
    </row>
    <row r="16" customFormat="false" ht="15" hidden="false" customHeight="true" outlineLevel="0" collapsed="false">
      <c r="A16" s="123" t="s">
        <v>18</v>
      </c>
      <c r="B16" s="203" t="n">
        <f aca="false">Projects!$B$13</f>
        <v>45266770</v>
      </c>
      <c r="C16" s="204" t="n">
        <f aca="false">EDATE(Model!$E$2,Projects!$C$13-1)</f>
        <v>46539</v>
      </c>
      <c r="D16" s="204" t="n">
        <f aca="false">EDATE(Model!$E$2,Projects!$C$13+Projects!$D$13-2)</f>
        <v>47423</v>
      </c>
      <c r="E16" s="205" t="n">
        <f aca="false">Projects!$D$13</f>
        <v>30</v>
      </c>
      <c r="F16" s="203" t="n">
        <f aca="false">SUM(G16:DB16)</f>
        <v>39817239.36001</v>
      </c>
      <c r="G16" s="206" t="str">
        <f aca="false">IF(Model!E24=0,"",Model!E24)</f>
        <v/>
      </c>
      <c r="H16" s="206" t="str">
        <f aca="false">IF(Model!F24=0,"",Model!F24)</f>
        <v/>
      </c>
      <c r="I16" s="206" t="str">
        <f aca="false">IF(Model!G24=0,"",Model!G24)</f>
        <v/>
      </c>
      <c r="J16" s="206" t="str">
        <f aca="false">IF(Model!H24=0,"",Model!H24)</f>
        <v/>
      </c>
      <c r="K16" s="206" t="str">
        <f aca="false">IF(Model!I24=0,"",Model!I24)</f>
        <v/>
      </c>
      <c r="L16" s="206" t="str">
        <f aca="false">IF(Model!J24=0,"",Model!J24)</f>
        <v/>
      </c>
      <c r="M16" s="206" t="str">
        <f aca="false">IF(Model!K24=0,"",Model!K24)</f>
        <v/>
      </c>
      <c r="N16" s="206" t="str">
        <f aca="false">IF(Model!L24=0,"",Model!L24)</f>
        <v/>
      </c>
      <c r="O16" s="206" t="str">
        <f aca="false">IF(Model!M24=0,"",Model!M24)</f>
        <v/>
      </c>
      <c r="P16" s="206" t="str">
        <f aca="false">IF(Model!N24=0,"",Model!N24)</f>
        <v/>
      </c>
      <c r="Q16" s="206" t="str">
        <f aca="false">IF(Model!O24=0,"",Model!O24)</f>
        <v/>
      </c>
      <c r="R16" s="206" t="str">
        <f aca="false">IF(Model!P24=0,"",Model!P24)</f>
        <v/>
      </c>
      <c r="S16" s="206" t="str">
        <f aca="false">IF(Model!Q24=0,"",Model!Q24)</f>
        <v/>
      </c>
      <c r="T16" s="206" t="str">
        <f aca="false">IF(Model!R24=0,"",Model!R24)</f>
        <v/>
      </c>
      <c r="U16" s="206" t="n">
        <f aca="false">IF(Model!S24=0,"",Model!S24)</f>
        <v>556266.059712783</v>
      </c>
      <c r="V16" s="206" t="n">
        <f aca="false">IF(Model!T24=0,"",Model!T24)</f>
        <v>665675.842802783</v>
      </c>
      <c r="W16" s="206" t="n">
        <f aca="false">IF(Model!U24=0,"",Model!U24)</f>
        <v>781966.174932784</v>
      </c>
      <c r="X16" s="206" t="n">
        <f aca="false">IF(Model!V24=0,"",Model!V24)</f>
        <v>903552.719152783</v>
      </c>
      <c r="Y16" s="206" t="n">
        <f aca="false">IF(Model!W24=0,"",Model!W24)</f>
        <v>1028579.53789278</v>
      </c>
      <c r="Z16" s="206" t="n">
        <f aca="false">IF(Model!X24=0,"",Model!X24)</f>
        <v>1154783.29265278</v>
      </c>
      <c r="AA16" s="206" t="n">
        <f aca="false">IF(Model!Y24=0,"",Model!Y24)</f>
        <v>1279674.31108278</v>
      </c>
      <c r="AB16" s="206" t="n">
        <f aca="false">IF(Model!Z24=0,"",Model!Z24)</f>
        <v>1400536.58698278</v>
      </c>
      <c r="AC16" s="206" t="n">
        <f aca="false">IF(Model!AA24=0,"",Model!AA24)</f>
        <v>1514473.04707278</v>
      </c>
      <c r="AD16" s="206" t="n">
        <f aca="false">IF(Model!AB24=0,"",Model!AB24)</f>
        <v>1618722.41838278</v>
      </c>
      <c r="AE16" s="206" t="n">
        <f aca="false">IF(Model!AC24=0,"",Model!AC24)</f>
        <v>1710478.16117278</v>
      </c>
      <c r="AF16" s="206" t="n">
        <f aca="false">IF(Model!AD24=0,"",Model!AD24)</f>
        <v>1787250.60309278</v>
      </c>
      <c r="AG16" s="206" t="n">
        <f aca="false">IF(Model!AE24=0,"",Model!AE24)</f>
        <v>1846912.20595278</v>
      </c>
      <c r="AH16" s="206" t="n">
        <f aca="false">IF(Model!AF24=0,"",Model!AF24)</f>
        <v>1887652.29895278</v>
      </c>
      <c r="AI16" s="206" t="n">
        <f aca="false">IF(Model!AG24=0,"",Model!AG24)</f>
        <v>1908339.21284278</v>
      </c>
      <c r="AJ16" s="206" t="n">
        <f aca="false">IF(Model!AH24=0,"",Model!AH24)</f>
        <v>1908339.21284278</v>
      </c>
      <c r="AK16" s="206" t="n">
        <f aca="false">IF(Model!AI24=0,"",Model!AI24)</f>
        <v>1887652.29895278</v>
      </c>
      <c r="AL16" s="206" t="n">
        <f aca="false">IF(Model!AJ24=0,"",Model!AJ24)</f>
        <v>1846912.20595278</v>
      </c>
      <c r="AM16" s="206" t="n">
        <f aca="false">IF(Model!AK24=0,"",Model!AK24)</f>
        <v>1787250.60309278</v>
      </c>
      <c r="AN16" s="206" t="n">
        <f aca="false">IF(Model!AL24=0,"",Model!AL24)</f>
        <v>1710478.16117278</v>
      </c>
      <c r="AO16" s="206" t="n">
        <f aca="false">IF(Model!AM24=0,"",Model!AM24)</f>
        <v>1618722.41838278</v>
      </c>
      <c r="AP16" s="206" t="n">
        <f aca="false">IF(Model!AN24=0,"",Model!AN24)</f>
        <v>1514473.04707278</v>
      </c>
      <c r="AQ16" s="206" t="n">
        <f aca="false">IF(Model!AO24=0,"",Model!AO24)</f>
        <v>1400536.58698278</v>
      </c>
      <c r="AR16" s="206" t="n">
        <f aca="false">IF(Model!AP24=0,"",Model!AP24)</f>
        <v>1279674.31108278</v>
      </c>
      <c r="AS16" s="206" t="n">
        <f aca="false">IF(Model!AQ24=0,"",Model!AQ24)</f>
        <v>1154783.29265278</v>
      </c>
      <c r="AT16" s="206" t="n">
        <f aca="false">IF(Model!AR24=0,"",Model!AR24)</f>
        <v>1028579.53789278</v>
      </c>
      <c r="AU16" s="206" t="n">
        <f aca="false">IF(Model!AS24=0,"",Model!AS24)</f>
        <v>903552.719152783</v>
      </c>
      <c r="AV16" s="206" t="n">
        <f aca="false">IF(Model!AT24=0,"",Model!AT24)</f>
        <v>781966.174932784</v>
      </c>
      <c r="AW16" s="206" t="n">
        <f aca="false">IF(Model!AU24=0,"",Model!AU24)</f>
        <v>665675.842802783</v>
      </c>
      <c r="AX16" s="206" t="n">
        <f aca="false">IF(Model!AV24=0,"",Model!AV24)</f>
        <v>283780.474359283</v>
      </c>
      <c r="AY16" s="206" t="str">
        <f aca="false">IF(Model!AW24=0,"",Model!AW24)</f>
        <v/>
      </c>
      <c r="AZ16" s="206" t="str">
        <f aca="false">IF(Model!AX24=0,"",Model!AX24)</f>
        <v/>
      </c>
      <c r="BA16" s="206" t="str">
        <f aca="false">IF(Model!AY24=0,"",Model!AY24)</f>
        <v/>
      </c>
      <c r="BB16" s="206" t="str">
        <f aca="false">IF(Model!AZ24=0,"",Model!AZ24)</f>
        <v/>
      </c>
      <c r="BC16" s="206" t="str">
        <f aca="false">IF(Model!BA24=0,"",Model!BA24)</f>
        <v/>
      </c>
      <c r="BD16" s="206" t="str">
        <f aca="false">IF(Model!BB24=0,"",Model!BB24)</f>
        <v/>
      </c>
      <c r="BE16" s="206" t="str">
        <f aca="false">IF(Model!BC24=0,"",Model!BC24)</f>
        <v/>
      </c>
      <c r="BF16" s="206" t="str">
        <f aca="false">IF(Model!BD24=0,"",Model!BD24)</f>
        <v/>
      </c>
      <c r="BG16" s="206" t="str">
        <f aca="false">IF(Model!BE24=0,"",Model!BE24)</f>
        <v/>
      </c>
      <c r="BH16" s="206" t="str">
        <f aca="false">IF(Model!BF24=0,"",Model!BF24)</f>
        <v/>
      </c>
      <c r="BI16" s="206" t="str">
        <f aca="false">IF(Model!BG24=0,"",Model!BG24)</f>
        <v/>
      </c>
      <c r="BJ16" s="206" t="str">
        <f aca="false">IF(Model!BH24=0,"",Model!BH24)</f>
        <v/>
      </c>
      <c r="BK16" s="206" t="str">
        <f aca="false">IF(Model!BI24=0,"",Model!BI24)</f>
        <v/>
      </c>
      <c r="BL16" s="206" t="str">
        <f aca="false">IF(Model!BJ24=0,"",Model!BJ24)</f>
        <v/>
      </c>
      <c r="BM16" s="206" t="str">
        <f aca="false">IF(Model!BK24=0,"",Model!BK24)</f>
        <v/>
      </c>
      <c r="BN16" s="206" t="str">
        <f aca="false">IF(Model!BL24=0,"",Model!BL24)</f>
        <v/>
      </c>
      <c r="BO16" s="206" t="str">
        <f aca="false">IF(Model!BM24=0,"",Model!BM24)</f>
        <v/>
      </c>
      <c r="BP16" s="206" t="str">
        <f aca="false">IF(Model!BN24=0,"",Model!BN24)</f>
        <v/>
      </c>
      <c r="BQ16" s="206" t="str">
        <f aca="false">IF(Model!BO24=0,"",Model!BO24)</f>
        <v/>
      </c>
      <c r="BR16" s="206" t="str">
        <f aca="false">IF(Model!BP24=0,"",Model!BP24)</f>
        <v/>
      </c>
      <c r="BS16" s="206" t="str">
        <f aca="false">IF(Model!BQ24=0,"",Model!BQ24)</f>
        <v/>
      </c>
      <c r="BT16" s="206" t="str">
        <f aca="false">IF(Model!BR24=0,"",Model!BR24)</f>
        <v/>
      </c>
      <c r="BU16" s="206" t="str">
        <f aca="false">IF(Model!BS24=0,"",Model!BS24)</f>
        <v/>
      </c>
      <c r="BV16" s="206" t="str">
        <f aca="false">IF(Model!BT24=0,"",Model!BT24)</f>
        <v/>
      </c>
      <c r="BW16" s="206" t="str">
        <f aca="false">IF(Model!BU24=0,"",Model!BU24)</f>
        <v/>
      </c>
      <c r="BX16" s="206" t="str">
        <f aca="false">IF(Model!BV24=0,"",Model!BV24)</f>
        <v/>
      </c>
      <c r="BY16" s="206" t="str">
        <f aca="false">IF(Model!BW24=0,"",Model!BW24)</f>
        <v/>
      </c>
      <c r="BZ16" s="206" t="str">
        <f aca="false">IF(Model!BX24=0,"",Model!BX24)</f>
        <v/>
      </c>
      <c r="CA16" s="206" t="str">
        <f aca="false">IF(Model!BY24=0,"",Model!BY24)</f>
        <v/>
      </c>
      <c r="CB16" s="206" t="str">
        <f aca="false">IF(Model!BZ24=0,"",Model!BZ24)</f>
        <v/>
      </c>
      <c r="CC16" s="206" t="str">
        <f aca="false">IF(Model!CA24=0,"",Model!CA24)</f>
        <v/>
      </c>
      <c r="CD16" s="206" t="str">
        <f aca="false">IF(Model!CB24=0,"",Model!CB24)</f>
        <v/>
      </c>
      <c r="CE16" s="206" t="str">
        <f aca="false">IF(Model!CC24=0,"",Model!CC24)</f>
        <v/>
      </c>
      <c r="CF16" s="206" t="str">
        <f aca="false">IF(Model!CD24=0,"",Model!CD24)</f>
        <v/>
      </c>
      <c r="CG16" s="206" t="str">
        <f aca="false">IF(Model!CE24=0,"",Model!CE24)</f>
        <v/>
      </c>
      <c r="CH16" s="206" t="str">
        <f aca="false">IF(Model!CF24=0,"",Model!CF24)</f>
        <v/>
      </c>
      <c r="CI16" s="206" t="str">
        <f aca="false">IF(Model!CG24=0,"",Model!CG24)</f>
        <v/>
      </c>
      <c r="CJ16" s="206" t="str">
        <f aca="false">IF(Model!CH24=0,"",Model!CH24)</f>
        <v/>
      </c>
      <c r="CK16" s="206" t="str">
        <f aca="false">IF(Model!CI24=0,"",Model!CI24)</f>
        <v/>
      </c>
      <c r="CL16" s="206" t="str">
        <f aca="false">IF(Model!CJ24=0,"",Model!CJ24)</f>
        <v/>
      </c>
      <c r="CM16" s="206" t="str">
        <f aca="false">IF(Model!CK24=0,"",Model!CK24)</f>
        <v/>
      </c>
      <c r="CN16" s="206" t="str">
        <f aca="false">IF(Model!CL24=0,"",Model!CL24)</f>
        <v/>
      </c>
      <c r="CO16" s="206" t="str">
        <f aca="false">IF(Model!CM24=0,"",Model!CM24)</f>
        <v/>
      </c>
      <c r="CP16" s="206" t="str">
        <f aca="false">IF(Model!CN24=0,"",Model!CN24)</f>
        <v/>
      </c>
      <c r="CQ16" s="206" t="str">
        <f aca="false">IF(Model!CO24=0,"",Model!CO24)</f>
        <v/>
      </c>
      <c r="CR16" s="206" t="str">
        <f aca="false">IF(Model!CP24=0,"",Model!CP24)</f>
        <v/>
      </c>
      <c r="CS16" s="206" t="str">
        <f aca="false">IF(Model!CQ24=0,"",Model!CQ24)</f>
        <v/>
      </c>
      <c r="CT16" s="206" t="str">
        <f aca="false">IF(Model!CR24=0,"",Model!CR24)</f>
        <v/>
      </c>
      <c r="CU16" s="206" t="str">
        <f aca="false">IF(Model!CS24=0,"",Model!CS24)</f>
        <v/>
      </c>
      <c r="CV16" s="206" t="str">
        <f aca="false">IF(Model!CT24=0,"",Model!CT24)</f>
        <v/>
      </c>
      <c r="CW16" s="206" t="str">
        <f aca="false">IF(Model!CU24=0,"",Model!CU24)</f>
        <v/>
      </c>
      <c r="CX16" s="206" t="str">
        <f aca="false">IF(Model!CV24=0,"",Model!CV24)</f>
        <v/>
      </c>
      <c r="CY16" s="206" t="str">
        <f aca="false">IF(Model!CW24=0,"",Model!CW24)</f>
        <v/>
      </c>
      <c r="CZ16" s="206" t="str">
        <f aca="false">IF(Model!CX24=0,"",Model!CX24)</f>
        <v/>
      </c>
      <c r="DA16" s="206" t="str">
        <f aca="false">IF(Model!CY24=0,"",Model!CY24)</f>
        <v/>
      </c>
      <c r="DB16" s="206" t="str">
        <f aca="false">IF(Model!CZ24=0,"",Model!CZ24)</f>
        <v/>
      </c>
    </row>
    <row r="17" customFormat="false" ht="15" hidden="false" customHeight="true" outlineLevel="0" collapsed="false">
      <c r="A17" s="123" t="s">
        <v>19</v>
      </c>
      <c r="B17" s="203" t="n">
        <f aca="false">Projects!$B$14</f>
        <v>41354632</v>
      </c>
      <c r="C17" s="204" t="n">
        <f aca="false">EDATE(Model!$E$2,Projects!$C$14-1)</f>
        <v>46905</v>
      </c>
      <c r="D17" s="204" t="n">
        <f aca="false">EDATE(Model!$E$2,Projects!$C$14+Projects!$D$14-2)</f>
        <v>47788</v>
      </c>
      <c r="E17" s="205" t="n">
        <f aca="false">Projects!$D$14</f>
        <v>30</v>
      </c>
      <c r="F17" s="203" t="n">
        <f aca="false">SUM(G17:DB17)</f>
        <v>36376071.917416</v>
      </c>
      <c r="G17" s="206" t="str">
        <f aca="false">IF(Model!E25=0,"",Model!E25)</f>
        <v/>
      </c>
      <c r="H17" s="206" t="str">
        <f aca="false">IF(Model!F25=0,"",Model!F25)</f>
        <v/>
      </c>
      <c r="I17" s="206" t="str">
        <f aca="false">IF(Model!G25=0,"",Model!G25)</f>
        <v/>
      </c>
      <c r="J17" s="206" t="str">
        <f aca="false">IF(Model!H25=0,"",Model!H25)</f>
        <v/>
      </c>
      <c r="K17" s="206" t="str">
        <f aca="false">IF(Model!I25=0,"",Model!I25)</f>
        <v/>
      </c>
      <c r="L17" s="206" t="str">
        <f aca="false">IF(Model!J25=0,"",Model!J25)</f>
        <v/>
      </c>
      <c r="M17" s="206" t="str">
        <f aca="false">IF(Model!K25=0,"",Model!K25)</f>
        <v/>
      </c>
      <c r="N17" s="206" t="str">
        <f aca="false">IF(Model!L25=0,"",Model!L25)</f>
        <v/>
      </c>
      <c r="O17" s="206" t="str">
        <f aca="false">IF(Model!M25=0,"",Model!M25)</f>
        <v/>
      </c>
      <c r="P17" s="206" t="str">
        <f aca="false">IF(Model!N25=0,"",Model!N25)</f>
        <v/>
      </c>
      <c r="Q17" s="206" t="str">
        <f aca="false">IF(Model!O25=0,"",Model!O25)</f>
        <v/>
      </c>
      <c r="R17" s="206" t="str">
        <f aca="false">IF(Model!P25=0,"",Model!P25)</f>
        <v/>
      </c>
      <c r="S17" s="206" t="str">
        <f aca="false">IF(Model!Q25=0,"",Model!Q25)</f>
        <v/>
      </c>
      <c r="T17" s="206" t="str">
        <f aca="false">IF(Model!R25=0,"",Model!R25)</f>
        <v/>
      </c>
      <c r="U17" s="206" t="str">
        <f aca="false">IF(Model!S25=0,"",Model!S25)</f>
        <v/>
      </c>
      <c r="V17" s="206" t="str">
        <f aca="false">IF(Model!T25=0,"",Model!T25)</f>
        <v/>
      </c>
      <c r="W17" s="206" t="str">
        <f aca="false">IF(Model!U25=0,"",Model!U25)</f>
        <v/>
      </c>
      <c r="X17" s="206" t="str">
        <f aca="false">IF(Model!V25=0,"",Model!V25)</f>
        <v/>
      </c>
      <c r="Y17" s="206" t="str">
        <f aca="false">IF(Model!W25=0,"",Model!W25)</f>
        <v/>
      </c>
      <c r="Z17" s="206" t="str">
        <f aca="false">IF(Model!X25=0,"",Model!X25)</f>
        <v/>
      </c>
      <c r="AA17" s="206" t="str">
        <f aca="false">IF(Model!Y25=0,"",Model!Y25)</f>
        <v/>
      </c>
      <c r="AB17" s="206" t="str">
        <f aca="false">IF(Model!Z25=0,"",Model!Z25)</f>
        <v/>
      </c>
      <c r="AC17" s="206" t="str">
        <f aca="false">IF(Model!AA25=0,"",Model!AA25)</f>
        <v/>
      </c>
      <c r="AD17" s="206" t="str">
        <f aca="false">IF(Model!AB25=0,"",Model!AB25)</f>
        <v/>
      </c>
      <c r="AE17" s="206" t="str">
        <f aca="false">IF(Model!AC25=0,"",Model!AC25)</f>
        <v/>
      </c>
      <c r="AF17" s="206" t="str">
        <f aca="false">IF(Model!AD25=0,"",Model!AD25)</f>
        <v/>
      </c>
      <c r="AG17" s="206" t="n">
        <f aca="false">IF(Model!AE25=0,"",Model!AE25)</f>
        <v>508191.288963453</v>
      </c>
      <c r="AH17" s="206" t="n">
        <f aca="false">IF(Model!AF25=0,"",Model!AF25)</f>
        <v>608145.434507453</v>
      </c>
      <c r="AI17" s="206" t="n">
        <f aca="false">IF(Model!AG25=0,"",Model!AG25)</f>
        <v>714385.484115453</v>
      </c>
      <c r="AJ17" s="206" t="n">
        <f aca="false">IF(Model!AH25=0,"",Model!AH25)</f>
        <v>825464.025667453</v>
      </c>
      <c r="AK17" s="206" t="n">
        <f aca="false">IF(Model!AI25=0,"",Model!AI25)</f>
        <v>939685.519251453</v>
      </c>
      <c r="AL17" s="206" t="n">
        <f aca="false">IF(Model!AJ25=0,"",Model!AJ25)</f>
        <v>1054982.23326745</v>
      </c>
      <c r="AM17" s="206" t="n">
        <f aca="false">IF(Model!AK25=0,"",Model!AK25)</f>
        <v>1169079.66295545</v>
      </c>
      <c r="AN17" s="206" t="n">
        <f aca="false">IF(Model!AL25=0,"",Model!AL25)</f>
        <v>1279496.53039545</v>
      </c>
      <c r="AO17" s="206" t="n">
        <f aca="false">IF(Model!AM25=0,"",Model!AM25)</f>
        <v>1383586.13913945</v>
      </c>
      <c r="AP17" s="206" t="n">
        <f aca="false">IF(Model!AN25=0,"",Model!AN25)</f>
        <v>1478825.85663545</v>
      </c>
      <c r="AQ17" s="206" t="n">
        <f aca="false">IF(Model!AO25=0,"",Model!AO25)</f>
        <v>1562651.69569945</v>
      </c>
      <c r="AR17" s="206" t="n">
        <f aca="false">IF(Model!AP25=0,"",Model!AP25)</f>
        <v>1632789.15157145</v>
      </c>
      <c r="AS17" s="206" t="n">
        <f aca="false">IF(Model!AQ25=0,"",Model!AQ25)</f>
        <v>1687294.55654745</v>
      </c>
      <c r="AT17" s="206" t="n">
        <f aca="false">IF(Model!AR25=0,"",Model!AR25)</f>
        <v>1724513.72534745</v>
      </c>
      <c r="AU17" s="206" t="n">
        <f aca="false">IF(Model!AS25=0,"",Model!AS25)</f>
        <v>1743412.79217145</v>
      </c>
      <c r="AV17" s="206" t="n">
        <f aca="false">IF(Model!AT25=0,"",Model!AT25)</f>
        <v>1743412.79217145</v>
      </c>
      <c r="AW17" s="206" t="n">
        <f aca="false">IF(Model!AU25=0,"",Model!AU25)</f>
        <v>1724513.72534745</v>
      </c>
      <c r="AX17" s="206" t="n">
        <f aca="false">IF(Model!AV25=0,"",Model!AV25)</f>
        <v>1687294.55654745</v>
      </c>
      <c r="AY17" s="206" t="n">
        <f aca="false">IF(Model!AW25=0,"",Model!AW25)</f>
        <v>1632789.15157145</v>
      </c>
      <c r="AZ17" s="206" t="n">
        <f aca="false">IF(Model!AX25=0,"",Model!AX25)</f>
        <v>1562651.69569945</v>
      </c>
      <c r="BA17" s="206" t="n">
        <f aca="false">IF(Model!AY25=0,"",Model!AY25)</f>
        <v>1478825.85663545</v>
      </c>
      <c r="BB17" s="206" t="n">
        <f aca="false">IF(Model!AZ25=0,"",Model!AZ25)</f>
        <v>1383586.13913945</v>
      </c>
      <c r="BC17" s="206" t="n">
        <f aca="false">IF(Model!BA25=0,"",Model!BA25)</f>
        <v>1279496.53039545</v>
      </c>
      <c r="BD17" s="206" t="n">
        <f aca="false">IF(Model!BB25=0,"",Model!BB25)</f>
        <v>1169079.66295545</v>
      </c>
      <c r="BE17" s="206" t="n">
        <f aca="false">IF(Model!BC25=0,"",Model!BC25)</f>
        <v>1054982.23326745</v>
      </c>
      <c r="BF17" s="206" t="n">
        <f aca="false">IF(Model!BD25=0,"",Model!BD25)</f>
        <v>939685.519251453</v>
      </c>
      <c r="BG17" s="206" t="n">
        <f aca="false">IF(Model!BE25=0,"",Model!BE25)</f>
        <v>825464.025667453</v>
      </c>
      <c r="BH17" s="206" t="n">
        <f aca="false">IF(Model!BF25=0,"",Model!BF25)</f>
        <v>714385.484115453</v>
      </c>
      <c r="BI17" s="206" t="n">
        <f aca="false">IF(Model!BG25=0,"",Model!BG25)</f>
        <v>608145.434507453</v>
      </c>
      <c r="BJ17" s="206" t="n">
        <f aca="false">IF(Model!BH25=0,"",Model!BH25)</f>
        <v>259255.013907853</v>
      </c>
      <c r="BK17" s="206" t="str">
        <f aca="false">IF(Model!BI25=0,"",Model!BI25)</f>
        <v/>
      </c>
      <c r="BL17" s="206" t="str">
        <f aca="false">IF(Model!BJ25=0,"",Model!BJ25)</f>
        <v/>
      </c>
      <c r="BM17" s="206" t="str">
        <f aca="false">IF(Model!BK25=0,"",Model!BK25)</f>
        <v/>
      </c>
      <c r="BN17" s="206" t="str">
        <f aca="false">IF(Model!BL25=0,"",Model!BL25)</f>
        <v/>
      </c>
      <c r="BO17" s="206" t="str">
        <f aca="false">IF(Model!BM25=0,"",Model!BM25)</f>
        <v/>
      </c>
      <c r="BP17" s="206" t="str">
        <f aca="false">IF(Model!BN25=0,"",Model!BN25)</f>
        <v/>
      </c>
      <c r="BQ17" s="206" t="str">
        <f aca="false">IF(Model!BO25=0,"",Model!BO25)</f>
        <v/>
      </c>
      <c r="BR17" s="206" t="str">
        <f aca="false">IF(Model!BP25=0,"",Model!BP25)</f>
        <v/>
      </c>
      <c r="BS17" s="206" t="str">
        <f aca="false">IF(Model!BQ25=0,"",Model!BQ25)</f>
        <v/>
      </c>
      <c r="BT17" s="206" t="str">
        <f aca="false">IF(Model!BR25=0,"",Model!BR25)</f>
        <v/>
      </c>
      <c r="BU17" s="206" t="str">
        <f aca="false">IF(Model!BS25=0,"",Model!BS25)</f>
        <v/>
      </c>
      <c r="BV17" s="206" t="str">
        <f aca="false">IF(Model!BT25=0,"",Model!BT25)</f>
        <v/>
      </c>
      <c r="BW17" s="206" t="str">
        <f aca="false">IF(Model!BU25=0,"",Model!BU25)</f>
        <v/>
      </c>
      <c r="BX17" s="206" t="str">
        <f aca="false">IF(Model!BV25=0,"",Model!BV25)</f>
        <v/>
      </c>
      <c r="BY17" s="206" t="str">
        <f aca="false">IF(Model!BW25=0,"",Model!BW25)</f>
        <v/>
      </c>
      <c r="BZ17" s="206" t="str">
        <f aca="false">IF(Model!BX25=0,"",Model!BX25)</f>
        <v/>
      </c>
      <c r="CA17" s="206" t="str">
        <f aca="false">IF(Model!BY25=0,"",Model!BY25)</f>
        <v/>
      </c>
      <c r="CB17" s="206" t="str">
        <f aca="false">IF(Model!BZ25=0,"",Model!BZ25)</f>
        <v/>
      </c>
      <c r="CC17" s="206" t="str">
        <f aca="false">IF(Model!CA25=0,"",Model!CA25)</f>
        <v/>
      </c>
      <c r="CD17" s="206" t="str">
        <f aca="false">IF(Model!CB25=0,"",Model!CB25)</f>
        <v/>
      </c>
      <c r="CE17" s="206" t="str">
        <f aca="false">IF(Model!CC25=0,"",Model!CC25)</f>
        <v/>
      </c>
      <c r="CF17" s="206" t="str">
        <f aca="false">IF(Model!CD25=0,"",Model!CD25)</f>
        <v/>
      </c>
      <c r="CG17" s="206" t="str">
        <f aca="false">IF(Model!CE25=0,"",Model!CE25)</f>
        <v/>
      </c>
      <c r="CH17" s="206" t="str">
        <f aca="false">IF(Model!CF25=0,"",Model!CF25)</f>
        <v/>
      </c>
      <c r="CI17" s="206" t="str">
        <f aca="false">IF(Model!CG25=0,"",Model!CG25)</f>
        <v/>
      </c>
      <c r="CJ17" s="206" t="str">
        <f aca="false">IF(Model!CH25=0,"",Model!CH25)</f>
        <v/>
      </c>
      <c r="CK17" s="206" t="str">
        <f aca="false">IF(Model!CI25=0,"",Model!CI25)</f>
        <v/>
      </c>
      <c r="CL17" s="206" t="str">
        <f aca="false">IF(Model!CJ25=0,"",Model!CJ25)</f>
        <v/>
      </c>
      <c r="CM17" s="206" t="str">
        <f aca="false">IF(Model!CK25=0,"",Model!CK25)</f>
        <v/>
      </c>
      <c r="CN17" s="206" t="str">
        <f aca="false">IF(Model!CL25=0,"",Model!CL25)</f>
        <v/>
      </c>
      <c r="CO17" s="206" t="str">
        <f aca="false">IF(Model!CM25=0,"",Model!CM25)</f>
        <v/>
      </c>
      <c r="CP17" s="206" t="str">
        <f aca="false">IF(Model!CN25=0,"",Model!CN25)</f>
        <v/>
      </c>
      <c r="CQ17" s="206" t="str">
        <f aca="false">IF(Model!CO25=0,"",Model!CO25)</f>
        <v/>
      </c>
      <c r="CR17" s="206" t="str">
        <f aca="false">IF(Model!CP25=0,"",Model!CP25)</f>
        <v/>
      </c>
      <c r="CS17" s="206" t="str">
        <f aca="false">IF(Model!CQ25=0,"",Model!CQ25)</f>
        <v/>
      </c>
      <c r="CT17" s="206" t="str">
        <f aca="false">IF(Model!CR25=0,"",Model!CR25)</f>
        <v/>
      </c>
      <c r="CU17" s="206" t="str">
        <f aca="false">IF(Model!CS25=0,"",Model!CS25)</f>
        <v/>
      </c>
      <c r="CV17" s="206" t="str">
        <f aca="false">IF(Model!CT25=0,"",Model!CT25)</f>
        <v/>
      </c>
      <c r="CW17" s="206" t="str">
        <f aca="false">IF(Model!CU25=0,"",Model!CU25)</f>
        <v/>
      </c>
      <c r="CX17" s="206" t="str">
        <f aca="false">IF(Model!CV25=0,"",Model!CV25)</f>
        <v/>
      </c>
      <c r="CY17" s="206" t="str">
        <f aca="false">IF(Model!CW25=0,"",Model!CW25)</f>
        <v/>
      </c>
      <c r="CZ17" s="206" t="str">
        <f aca="false">IF(Model!CX25=0,"",Model!CX25)</f>
        <v/>
      </c>
      <c r="DA17" s="206" t="str">
        <f aca="false">IF(Model!CY25=0,"",Model!CY25)</f>
        <v/>
      </c>
      <c r="DB17" s="206" t="str">
        <f aca="false">IF(Model!CZ25=0,"",Model!CZ25)</f>
        <v/>
      </c>
    </row>
    <row r="18" customFormat="false" ht="15" hidden="false" customHeight="true" outlineLevel="0" collapsed="false">
      <c r="A18" s="123" t="s">
        <v>20</v>
      </c>
      <c r="B18" s="203" t="n">
        <f aca="false">Projects!$B$17</f>
        <v>14219545</v>
      </c>
      <c r="C18" s="204" t="n">
        <f aca="false">EDATE(Model!$E$2,Projects!$C$17-1)</f>
        <v>46631</v>
      </c>
      <c r="D18" s="204" t="n">
        <f aca="false">EDATE(Model!$E$2,Projects!$C$17+Projects!$D$17-2)</f>
        <v>47178</v>
      </c>
      <c r="E18" s="205" t="n">
        <f aca="false">Projects!$D$17</f>
        <v>19</v>
      </c>
      <c r="F18" s="203" t="n">
        <f aca="false">SUM(G18:DB18)</f>
        <v>12507639.757905</v>
      </c>
      <c r="G18" s="206" t="str">
        <f aca="false">IF(Model!E26=0,"",Model!E26)</f>
        <v/>
      </c>
      <c r="H18" s="206" t="str">
        <f aca="false">IF(Model!F26=0,"",Model!F26)</f>
        <v/>
      </c>
      <c r="I18" s="206" t="str">
        <f aca="false">IF(Model!G26=0,"",Model!G26)</f>
        <v/>
      </c>
      <c r="J18" s="206" t="str">
        <f aca="false">IF(Model!H26=0,"",Model!H26)</f>
        <v/>
      </c>
      <c r="K18" s="206" t="str">
        <f aca="false">IF(Model!I26=0,"",Model!I26)</f>
        <v/>
      </c>
      <c r="L18" s="206" t="str">
        <f aca="false">IF(Model!J26=0,"",Model!J26)</f>
        <v/>
      </c>
      <c r="M18" s="206" t="str">
        <f aca="false">IF(Model!K26=0,"",Model!K26)</f>
        <v/>
      </c>
      <c r="N18" s="206" t="str">
        <f aca="false">IF(Model!L26=0,"",Model!L26)</f>
        <v/>
      </c>
      <c r="O18" s="206" t="str">
        <f aca="false">IF(Model!M26=0,"",Model!M26)</f>
        <v/>
      </c>
      <c r="P18" s="206" t="str">
        <f aca="false">IF(Model!N26=0,"",Model!N26)</f>
        <v/>
      </c>
      <c r="Q18" s="206" t="str">
        <f aca="false">IF(Model!O26=0,"",Model!O26)</f>
        <v/>
      </c>
      <c r="R18" s="206" t="str">
        <f aca="false">IF(Model!P26=0,"",Model!P26)</f>
        <v/>
      </c>
      <c r="S18" s="206" t="str">
        <f aca="false">IF(Model!Q26=0,"",Model!Q26)</f>
        <v/>
      </c>
      <c r="T18" s="206" t="str">
        <f aca="false">IF(Model!R26=0,"",Model!R26)</f>
        <v/>
      </c>
      <c r="U18" s="206" t="str">
        <f aca="false">IF(Model!S26=0,"",Model!S26)</f>
        <v/>
      </c>
      <c r="V18" s="206" t="str">
        <f aca="false">IF(Model!T26=0,"",Model!T26)</f>
        <v/>
      </c>
      <c r="W18" s="206" t="str">
        <f aca="false">IF(Model!U26=0,"",Model!U26)</f>
        <v/>
      </c>
      <c r="X18" s="206" t="n">
        <f aca="false">IF(Model!V26=0,"",Model!V26)</f>
        <v>291464.41266025</v>
      </c>
      <c r="Y18" s="206" t="n">
        <f aca="false">IF(Model!W26=0,"",Model!W26)</f>
        <v>380251.25164025</v>
      </c>
      <c r="Z18" s="206" t="n">
        <f aca="false">IF(Model!X26=0,"",Model!X26)</f>
        <v>475820.81358525</v>
      </c>
      <c r="AA18" s="206" t="n">
        <f aca="false">IF(Model!Y26=0,"",Model!Y26)</f>
        <v>574362.26043525</v>
      </c>
      <c r="AB18" s="206" t="n">
        <f aca="false">IF(Model!Z26=0,"",Model!Z26)</f>
        <v>671140.48370525</v>
      </c>
      <c r="AC18" s="206" t="n">
        <f aca="false">IF(Model!AA26=0,"",Model!AA26)</f>
        <v>760780.49538525</v>
      </c>
      <c r="AD18" s="206" t="n">
        <f aca="false">IF(Model!AB26=0,"",Model!AB26)</f>
        <v>837779.33156025</v>
      </c>
      <c r="AE18" s="206" t="n">
        <f aca="false">IF(Model!AC26=0,"",Model!AC26)</f>
        <v>897032.17557525</v>
      </c>
      <c r="AF18" s="206" t="n">
        <f aca="false">IF(Model!AD26=0,"",Model!AD26)</f>
        <v>934401.13983525</v>
      </c>
      <c r="AG18" s="206" t="n">
        <f aca="false">IF(Model!AE26=0,"",Model!AE26)</f>
        <v>947170.29124525</v>
      </c>
      <c r="AH18" s="206" t="n">
        <f aca="false">IF(Model!AF26=0,"",Model!AF26)</f>
        <v>934401.13983525</v>
      </c>
      <c r="AI18" s="206" t="n">
        <f aca="false">IF(Model!AG26=0,"",Model!AG26)</f>
        <v>897032.17557525</v>
      </c>
      <c r="AJ18" s="206" t="n">
        <f aca="false">IF(Model!AH26=0,"",Model!AH26)</f>
        <v>837779.33156025</v>
      </c>
      <c r="AK18" s="206" t="n">
        <f aca="false">IF(Model!AI26=0,"",Model!AI26)</f>
        <v>760780.49538525</v>
      </c>
      <c r="AL18" s="206" t="n">
        <f aca="false">IF(Model!AJ26=0,"",Model!AJ26)</f>
        <v>671140.48370525</v>
      </c>
      <c r="AM18" s="206" t="n">
        <f aca="false">IF(Model!AK26=0,"",Model!AK26)</f>
        <v>574362.26043525</v>
      </c>
      <c r="AN18" s="206" t="n">
        <f aca="false">IF(Model!AL26=0,"",Model!AL26)</f>
        <v>475820.81358525</v>
      </c>
      <c r="AO18" s="206" t="n">
        <f aca="false">IF(Model!AM26=0,"",Model!AM26)</f>
        <v>380251.25164025</v>
      </c>
      <c r="AP18" s="206" t="n">
        <f aca="false">IF(Model!AN26=0,"",Model!AN26)</f>
        <v>205869.1505555</v>
      </c>
      <c r="AQ18" s="206" t="str">
        <f aca="false">IF(Model!AO26=0,"",Model!AO26)</f>
        <v/>
      </c>
      <c r="AR18" s="206" t="str">
        <f aca="false">IF(Model!AP26=0,"",Model!AP26)</f>
        <v/>
      </c>
      <c r="AS18" s="206" t="str">
        <f aca="false">IF(Model!AQ26=0,"",Model!AQ26)</f>
        <v/>
      </c>
      <c r="AT18" s="206" t="str">
        <f aca="false">IF(Model!AR26=0,"",Model!AR26)</f>
        <v/>
      </c>
      <c r="AU18" s="206" t="str">
        <f aca="false">IF(Model!AS26=0,"",Model!AS26)</f>
        <v/>
      </c>
      <c r="AV18" s="206" t="str">
        <f aca="false">IF(Model!AT26=0,"",Model!AT26)</f>
        <v/>
      </c>
      <c r="AW18" s="206" t="str">
        <f aca="false">IF(Model!AU26=0,"",Model!AU26)</f>
        <v/>
      </c>
      <c r="AX18" s="206" t="str">
        <f aca="false">IF(Model!AV26=0,"",Model!AV26)</f>
        <v/>
      </c>
      <c r="AY18" s="206" t="str">
        <f aca="false">IF(Model!AW26=0,"",Model!AW26)</f>
        <v/>
      </c>
      <c r="AZ18" s="206" t="str">
        <f aca="false">IF(Model!AX26=0,"",Model!AX26)</f>
        <v/>
      </c>
      <c r="BA18" s="206" t="str">
        <f aca="false">IF(Model!AY26=0,"",Model!AY26)</f>
        <v/>
      </c>
      <c r="BB18" s="206" t="str">
        <f aca="false">IF(Model!AZ26=0,"",Model!AZ26)</f>
        <v/>
      </c>
      <c r="BC18" s="206" t="str">
        <f aca="false">IF(Model!BA26=0,"",Model!BA26)</f>
        <v/>
      </c>
      <c r="BD18" s="206" t="str">
        <f aca="false">IF(Model!BB26=0,"",Model!BB26)</f>
        <v/>
      </c>
      <c r="BE18" s="206" t="str">
        <f aca="false">IF(Model!BC26=0,"",Model!BC26)</f>
        <v/>
      </c>
      <c r="BF18" s="206" t="str">
        <f aca="false">IF(Model!BD26=0,"",Model!BD26)</f>
        <v/>
      </c>
      <c r="BG18" s="206" t="str">
        <f aca="false">IF(Model!BE26=0,"",Model!BE26)</f>
        <v/>
      </c>
      <c r="BH18" s="206" t="str">
        <f aca="false">IF(Model!BF26=0,"",Model!BF26)</f>
        <v/>
      </c>
      <c r="BI18" s="206" t="str">
        <f aca="false">IF(Model!BG26=0,"",Model!BG26)</f>
        <v/>
      </c>
      <c r="BJ18" s="206" t="str">
        <f aca="false">IF(Model!BH26=0,"",Model!BH26)</f>
        <v/>
      </c>
      <c r="BK18" s="206" t="str">
        <f aca="false">IF(Model!BI26=0,"",Model!BI26)</f>
        <v/>
      </c>
      <c r="BL18" s="206" t="str">
        <f aca="false">IF(Model!BJ26=0,"",Model!BJ26)</f>
        <v/>
      </c>
      <c r="BM18" s="206" t="str">
        <f aca="false">IF(Model!BK26=0,"",Model!BK26)</f>
        <v/>
      </c>
      <c r="BN18" s="206" t="str">
        <f aca="false">IF(Model!BL26=0,"",Model!BL26)</f>
        <v/>
      </c>
      <c r="BO18" s="206" t="str">
        <f aca="false">IF(Model!BM26=0,"",Model!BM26)</f>
        <v/>
      </c>
      <c r="BP18" s="206" t="str">
        <f aca="false">IF(Model!BN26=0,"",Model!BN26)</f>
        <v/>
      </c>
      <c r="BQ18" s="206" t="str">
        <f aca="false">IF(Model!BO26=0,"",Model!BO26)</f>
        <v/>
      </c>
      <c r="BR18" s="206" t="str">
        <f aca="false">IF(Model!BP26=0,"",Model!BP26)</f>
        <v/>
      </c>
      <c r="BS18" s="206" t="str">
        <f aca="false">IF(Model!BQ26=0,"",Model!BQ26)</f>
        <v/>
      </c>
      <c r="BT18" s="206" t="str">
        <f aca="false">IF(Model!BR26=0,"",Model!BR26)</f>
        <v/>
      </c>
      <c r="BU18" s="206" t="str">
        <f aca="false">IF(Model!BS26=0,"",Model!BS26)</f>
        <v/>
      </c>
      <c r="BV18" s="206" t="str">
        <f aca="false">IF(Model!BT26=0,"",Model!BT26)</f>
        <v/>
      </c>
      <c r="BW18" s="206" t="str">
        <f aca="false">IF(Model!BU26=0,"",Model!BU26)</f>
        <v/>
      </c>
      <c r="BX18" s="206" t="str">
        <f aca="false">IF(Model!BV26=0,"",Model!BV26)</f>
        <v/>
      </c>
      <c r="BY18" s="206" t="str">
        <f aca="false">IF(Model!BW26=0,"",Model!BW26)</f>
        <v/>
      </c>
      <c r="BZ18" s="206" t="str">
        <f aca="false">IF(Model!BX26=0,"",Model!BX26)</f>
        <v/>
      </c>
      <c r="CA18" s="206" t="str">
        <f aca="false">IF(Model!BY26=0,"",Model!BY26)</f>
        <v/>
      </c>
      <c r="CB18" s="206" t="str">
        <f aca="false">IF(Model!BZ26=0,"",Model!BZ26)</f>
        <v/>
      </c>
      <c r="CC18" s="206" t="str">
        <f aca="false">IF(Model!CA26=0,"",Model!CA26)</f>
        <v/>
      </c>
      <c r="CD18" s="206" t="str">
        <f aca="false">IF(Model!CB26=0,"",Model!CB26)</f>
        <v/>
      </c>
      <c r="CE18" s="206" t="str">
        <f aca="false">IF(Model!CC26=0,"",Model!CC26)</f>
        <v/>
      </c>
      <c r="CF18" s="206" t="str">
        <f aca="false">IF(Model!CD26=0,"",Model!CD26)</f>
        <v/>
      </c>
      <c r="CG18" s="206" t="str">
        <f aca="false">IF(Model!CE26=0,"",Model!CE26)</f>
        <v/>
      </c>
      <c r="CH18" s="206" t="str">
        <f aca="false">IF(Model!CF26=0,"",Model!CF26)</f>
        <v/>
      </c>
      <c r="CI18" s="206" t="str">
        <f aca="false">IF(Model!CG26=0,"",Model!CG26)</f>
        <v/>
      </c>
      <c r="CJ18" s="206" t="str">
        <f aca="false">IF(Model!CH26=0,"",Model!CH26)</f>
        <v/>
      </c>
      <c r="CK18" s="206" t="str">
        <f aca="false">IF(Model!CI26=0,"",Model!CI26)</f>
        <v/>
      </c>
      <c r="CL18" s="206" t="str">
        <f aca="false">IF(Model!CJ26=0,"",Model!CJ26)</f>
        <v/>
      </c>
      <c r="CM18" s="206" t="str">
        <f aca="false">IF(Model!CK26=0,"",Model!CK26)</f>
        <v/>
      </c>
      <c r="CN18" s="206" t="str">
        <f aca="false">IF(Model!CL26=0,"",Model!CL26)</f>
        <v/>
      </c>
      <c r="CO18" s="206" t="str">
        <f aca="false">IF(Model!CM26=0,"",Model!CM26)</f>
        <v/>
      </c>
      <c r="CP18" s="206" t="str">
        <f aca="false">IF(Model!CN26=0,"",Model!CN26)</f>
        <v/>
      </c>
      <c r="CQ18" s="206" t="str">
        <f aca="false">IF(Model!CO26=0,"",Model!CO26)</f>
        <v/>
      </c>
      <c r="CR18" s="206" t="str">
        <f aca="false">IF(Model!CP26=0,"",Model!CP26)</f>
        <v/>
      </c>
      <c r="CS18" s="206" t="str">
        <f aca="false">IF(Model!CQ26=0,"",Model!CQ26)</f>
        <v/>
      </c>
      <c r="CT18" s="206" t="str">
        <f aca="false">IF(Model!CR26=0,"",Model!CR26)</f>
        <v/>
      </c>
      <c r="CU18" s="206" t="str">
        <f aca="false">IF(Model!CS26=0,"",Model!CS26)</f>
        <v/>
      </c>
      <c r="CV18" s="206" t="str">
        <f aca="false">IF(Model!CT26=0,"",Model!CT26)</f>
        <v/>
      </c>
      <c r="CW18" s="206" t="str">
        <f aca="false">IF(Model!CU26=0,"",Model!CU26)</f>
        <v/>
      </c>
      <c r="CX18" s="206" t="str">
        <f aca="false">IF(Model!CV26=0,"",Model!CV26)</f>
        <v/>
      </c>
      <c r="CY18" s="206" t="str">
        <f aca="false">IF(Model!CW26=0,"",Model!CW26)</f>
        <v/>
      </c>
      <c r="CZ18" s="206" t="str">
        <f aca="false">IF(Model!CX26=0,"",Model!CX26)</f>
        <v/>
      </c>
      <c r="DA18" s="206" t="str">
        <f aca="false">IF(Model!CY26=0,"",Model!CY26)</f>
        <v/>
      </c>
      <c r="DB18" s="206" t="str">
        <f aca="false">IF(Model!CZ26=0,"",Model!CZ26)</f>
        <v/>
      </c>
    </row>
    <row r="19" customFormat="false" ht="15" hidden="false" customHeight="true" outlineLevel="0" collapsed="false">
      <c r="A19" s="123" t="s">
        <v>21</v>
      </c>
      <c r="B19" s="203" t="n">
        <f aca="false">Projects!$B$18</f>
        <v>11537565</v>
      </c>
      <c r="C19" s="204" t="n">
        <f aca="false">EDATE(Model!$E$2,Projects!$C$18-1)</f>
        <v>46508</v>
      </c>
      <c r="D19" s="204" t="n">
        <f aca="false">EDATE(Model!$E$2,Projects!$C$18+Projects!$D$18-2)</f>
        <v>47058</v>
      </c>
      <c r="E19" s="205" t="n">
        <f aca="false">Projects!$D$18</f>
        <v>19</v>
      </c>
      <c r="F19" s="203" t="n">
        <f aca="false">SUM(G19:DB19)</f>
        <v>10148546.012085</v>
      </c>
      <c r="G19" s="206" t="str">
        <f aca="false">IF(Model!E27=0,"",Model!E27)</f>
        <v/>
      </c>
      <c r="H19" s="206" t="str">
        <f aca="false">IF(Model!F27=0,"",Model!F27)</f>
        <v/>
      </c>
      <c r="I19" s="206" t="str">
        <f aca="false">IF(Model!G27=0,"",Model!G27)</f>
        <v/>
      </c>
      <c r="J19" s="206" t="str">
        <f aca="false">IF(Model!H27=0,"",Model!H27)</f>
        <v/>
      </c>
      <c r="K19" s="206" t="str">
        <f aca="false">IF(Model!I27=0,"",Model!I27)</f>
        <v/>
      </c>
      <c r="L19" s="206" t="str">
        <f aca="false">IF(Model!J27=0,"",Model!J27)</f>
        <v/>
      </c>
      <c r="M19" s="206" t="str">
        <f aca="false">IF(Model!K27=0,"",Model!K27)</f>
        <v/>
      </c>
      <c r="N19" s="206" t="str">
        <f aca="false">IF(Model!L27=0,"",Model!L27)</f>
        <v/>
      </c>
      <c r="O19" s="206" t="str">
        <f aca="false">IF(Model!M27=0,"",Model!M27)</f>
        <v/>
      </c>
      <c r="P19" s="206" t="str">
        <f aca="false">IF(Model!N27=0,"",Model!N27)</f>
        <v/>
      </c>
      <c r="Q19" s="206" t="str">
        <f aca="false">IF(Model!O27=0,"",Model!O27)</f>
        <v/>
      </c>
      <c r="R19" s="206" t="str">
        <f aca="false">IF(Model!P27=0,"",Model!P27)</f>
        <v/>
      </c>
      <c r="S19" s="206" t="str">
        <f aca="false">IF(Model!Q27=0,"",Model!Q27)</f>
        <v/>
      </c>
      <c r="T19" s="206" t="n">
        <f aca="false">IF(Model!R27=0,"",Model!R27)</f>
        <v>236490.66170925</v>
      </c>
      <c r="U19" s="206" t="n">
        <f aca="false">IF(Model!S27=0,"",Model!S27)</f>
        <v>308531.21756925</v>
      </c>
      <c r="V19" s="206" t="n">
        <f aca="false">IF(Model!T27=0,"",Model!T27)</f>
        <v>386075.19193425</v>
      </c>
      <c r="W19" s="206" t="n">
        <f aca="false">IF(Model!U27=0,"",Model!U27)</f>
        <v>466030.51738425</v>
      </c>
      <c r="X19" s="206" t="n">
        <f aca="false">IF(Model!V27=0,"",Model!V27)</f>
        <v>544555.18477425</v>
      </c>
      <c r="Y19" s="206" t="n">
        <f aca="false">IF(Model!W27=0,"",Model!W27)</f>
        <v>617287.99453425</v>
      </c>
      <c r="Z19" s="206" t="n">
        <f aca="false">IF(Model!X27=0,"",Model!X27)</f>
        <v>679763.90900925</v>
      </c>
      <c r="AA19" s="206" t="n">
        <f aca="false">IF(Model!Y27=0,"",Model!Y27)</f>
        <v>727840.94236425</v>
      </c>
      <c r="AB19" s="206" t="n">
        <f aca="false">IF(Model!Z27=0,"",Model!Z27)</f>
        <v>758161.66318425</v>
      </c>
      <c r="AC19" s="206" t="n">
        <f aca="false">IF(Model!AA27=0,"",Model!AA27)</f>
        <v>768522.39655425</v>
      </c>
      <c r="AD19" s="206" t="n">
        <f aca="false">IF(Model!AB27=0,"",Model!AB27)</f>
        <v>758161.66318425</v>
      </c>
      <c r="AE19" s="206" t="n">
        <f aca="false">IF(Model!AC27=0,"",Model!AC27)</f>
        <v>727840.94236425</v>
      </c>
      <c r="AF19" s="206" t="n">
        <f aca="false">IF(Model!AD27=0,"",Model!AD27)</f>
        <v>679763.90900925</v>
      </c>
      <c r="AG19" s="206" t="n">
        <f aca="false">IF(Model!AE27=0,"",Model!AE27)</f>
        <v>617287.99453425</v>
      </c>
      <c r="AH19" s="206" t="n">
        <f aca="false">IF(Model!AF27=0,"",Model!AF27)</f>
        <v>544555.18477425</v>
      </c>
      <c r="AI19" s="206" t="n">
        <f aca="false">IF(Model!AG27=0,"",Model!AG27)</f>
        <v>466030.51738425</v>
      </c>
      <c r="AJ19" s="206" t="n">
        <f aca="false">IF(Model!AH27=0,"",Model!AH27)</f>
        <v>386075.19193425</v>
      </c>
      <c r="AK19" s="206" t="n">
        <f aca="false">IF(Model!AI27=0,"",Model!AI27)</f>
        <v>308531.21756925</v>
      </c>
      <c r="AL19" s="206" t="n">
        <f aca="false">IF(Model!AJ27=0,"",Model!AJ27)</f>
        <v>167039.7123135</v>
      </c>
      <c r="AM19" s="206" t="str">
        <f aca="false">IF(Model!AK27=0,"",Model!AK27)</f>
        <v/>
      </c>
      <c r="AN19" s="206" t="str">
        <f aca="false">IF(Model!AL27=0,"",Model!AL27)</f>
        <v/>
      </c>
      <c r="AO19" s="206" t="str">
        <f aca="false">IF(Model!AM27=0,"",Model!AM27)</f>
        <v/>
      </c>
      <c r="AP19" s="206" t="str">
        <f aca="false">IF(Model!AN27=0,"",Model!AN27)</f>
        <v/>
      </c>
      <c r="AQ19" s="206" t="str">
        <f aca="false">IF(Model!AO27=0,"",Model!AO27)</f>
        <v/>
      </c>
      <c r="AR19" s="206" t="str">
        <f aca="false">IF(Model!AP27=0,"",Model!AP27)</f>
        <v/>
      </c>
      <c r="AS19" s="206" t="str">
        <f aca="false">IF(Model!AQ27=0,"",Model!AQ27)</f>
        <v/>
      </c>
      <c r="AT19" s="206" t="str">
        <f aca="false">IF(Model!AR27=0,"",Model!AR27)</f>
        <v/>
      </c>
      <c r="AU19" s="206" t="str">
        <f aca="false">IF(Model!AS27=0,"",Model!AS27)</f>
        <v/>
      </c>
      <c r="AV19" s="206" t="str">
        <f aca="false">IF(Model!AT27=0,"",Model!AT27)</f>
        <v/>
      </c>
      <c r="AW19" s="206" t="str">
        <f aca="false">IF(Model!AU27=0,"",Model!AU27)</f>
        <v/>
      </c>
      <c r="AX19" s="206" t="str">
        <f aca="false">IF(Model!AV27=0,"",Model!AV27)</f>
        <v/>
      </c>
      <c r="AY19" s="206" t="str">
        <f aca="false">IF(Model!AW27=0,"",Model!AW27)</f>
        <v/>
      </c>
      <c r="AZ19" s="206" t="str">
        <f aca="false">IF(Model!AX27=0,"",Model!AX27)</f>
        <v/>
      </c>
      <c r="BA19" s="206" t="str">
        <f aca="false">IF(Model!AY27=0,"",Model!AY27)</f>
        <v/>
      </c>
      <c r="BB19" s="206" t="str">
        <f aca="false">IF(Model!AZ27=0,"",Model!AZ27)</f>
        <v/>
      </c>
      <c r="BC19" s="206" t="str">
        <f aca="false">IF(Model!BA27=0,"",Model!BA27)</f>
        <v/>
      </c>
      <c r="BD19" s="206" t="str">
        <f aca="false">IF(Model!BB27=0,"",Model!BB27)</f>
        <v/>
      </c>
      <c r="BE19" s="206" t="str">
        <f aca="false">IF(Model!BC27=0,"",Model!BC27)</f>
        <v/>
      </c>
      <c r="BF19" s="206" t="str">
        <f aca="false">IF(Model!BD27=0,"",Model!BD27)</f>
        <v/>
      </c>
      <c r="BG19" s="206" t="str">
        <f aca="false">IF(Model!BE27=0,"",Model!BE27)</f>
        <v/>
      </c>
      <c r="BH19" s="206" t="str">
        <f aca="false">IF(Model!BF27=0,"",Model!BF27)</f>
        <v/>
      </c>
      <c r="BI19" s="206" t="str">
        <f aca="false">IF(Model!BG27=0,"",Model!BG27)</f>
        <v/>
      </c>
      <c r="BJ19" s="206" t="str">
        <f aca="false">IF(Model!BH27=0,"",Model!BH27)</f>
        <v/>
      </c>
      <c r="BK19" s="206" t="str">
        <f aca="false">IF(Model!BI27=0,"",Model!BI27)</f>
        <v/>
      </c>
      <c r="BL19" s="206" t="str">
        <f aca="false">IF(Model!BJ27=0,"",Model!BJ27)</f>
        <v/>
      </c>
      <c r="BM19" s="206" t="str">
        <f aca="false">IF(Model!BK27=0,"",Model!BK27)</f>
        <v/>
      </c>
      <c r="BN19" s="206" t="str">
        <f aca="false">IF(Model!BL27=0,"",Model!BL27)</f>
        <v/>
      </c>
      <c r="BO19" s="206" t="str">
        <f aca="false">IF(Model!BM27=0,"",Model!BM27)</f>
        <v/>
      </c>
      <c r="BP19" s="206" t="str">
        <f aca="false">IF(Model!BN27=0,"",Model!BN27)</f>
        <v/>
      </c>
      <c r="BQ19" s="206" t="str">
        <f aca="false">IF(Model!BO27=0,"",Model!BO27)</f>
        <v/>
      </c>
      <c r="BR19" s="206" t="str">
        <f aca="false">IF(Model!BP27=0,"",Model!BP27)</f>
        <v/>
      </c>
      <c r="BS19" s="206" t="str">
        <f aca="false">IF(Model!BQ27=0,"",Model!BQ27)</f>
        <v/>
      </c>
      <c r="BT19" s="206" t="str">
        <f aca="false">IF(Model!BR27=0,"",Model!BR27)</f>
        <v/>
      </c>
      <c r="BU19" s="206" t="str">
        <f aca="false">IF(Model!BS27=0,"",Model!BS27)</f>
        <v/>
      </c>
      <c r="BV19" s="206" t="str">
        <f aca="false">IF(Model!BT27=0,"",Model!BT27)</f>
        <v/>
      </c>
      <c r="BW19" s="206" t="str">
        <f aca="false">IF(Model!BU27=0,"",Model!BU27)</f>
        <v/>
      </c>
      <c r="BX19" s="206" t="str">
        <f aca="false">IF(Model!BV27=0,"",Model!BV27)</f>
        <v/>
      </c>
      <c r="BY19" s="206" t="str">
        <f aca="false">IF(Model!BW27=0,"",Model!BW27)</f>
        <v/>
      </c>
      <c r="BZ19" s="206" t="str">
        <f aca="false">IF(Model!BX27=0,"",Model!BX27)</f>
        <v/>
      </c>
      <c r="CA19" s="206" t="str">
        <f aca="false">IF(Model!BY27=0,"",Model!BY27)</f>
        <v/>
      </c>
      <c r="CB19" s="206" t="str">
        <f aca="false">IF(Model!BZ27=0,"",Model!BZ27)</f>
        <v/>
      </c>
      <c r="CC19" s="206" t="str">
        <f aca="false">IF(Model!CA27=0,"",Model!CA27)</f>
        <v/>
      </c>
      <c r="CD19" s="206" t="str">
        <f aca="false">IF(Model!CB27=0,"",Model!CB27)</f>
        <v/>
      </c>
      <c r="CE19" s="206" t="str">
        <f aca="false">IF(Model!CC27=0,"",Model!CC27)</f>
        <v/>
      </c>
      <c r="CF19" s="206" t="str">
        <f aca="false">IF(Model!CD27=0,"",Model!CD27)</f>
        <v/>
      </c>
      <c r="CG19" s="206" t="str">
        <f aca="false">IF(Model!CE27=0,"",Model!CE27)</f>
        <v/>
      </c>
      <c r="CH19" s="206" t="str">
        <f aca="false">IF(Model!CF27=0,"",Model!CF27)</f>
        <v/>
      </c>
      <c r="CI19" s="206" t="str">
        <f aca="false">IF(Model!CG27=0,"",Model!CG27)</f>
        <v/>
      </c>
      <c r="CJ19" s="206" t="str">
        <f aca="false">IF(Model!CH27=0,"",Model!CH27)</f>
        <v/>
      </c>
      <c r="CK19" s="206" t="str">
        <f aca="false">IF(Model!CI27=0,"",Model!CI27)</f>
        <v/>
      </c>
      <c r="CL19" s="206" t="str">
        <f aca="false">IF(Model!CJ27=0,"",Model!CJ27)</f>
        <v/>
      </c>
      <c r="CM19" s="206" t="str">
        <f aca="false">IF(Model!CK27=0,"",Model!CK27)</f>
        <v/>
      </c>
      <c r="CN19" s="206" t="str">
        <f aca="false">IF(Model!CL27=0,"",Model!CL27)</f>
        <v/>
      </c>
      <c r="CO19" s="206" t="str">
        <f aca="false">IF(Model!CM27=0,"",Model!CM27)</f>
        <v/>
      </c>
      <c r="CP19" s="206" t="str">
        <f aca="false">IF(Model!CN27=0,"",Model!CN27)</f>
        <v/>
      </c>
      <c r="CQ19" s="206" t="str">
        <f aca="false">IF(Model!CO27=0,"",Model!CO27)</f>
        <v/>
      </c>
      <c r="CR19" s="206" t="str">
        <f aca="false">IF(Model!CP27=0,"",Model!CP27)</f>
        <v/>
      </c>
      <c r="CS19" s="206" t="str">
        <f aca="false">IF(Model!CQ27=0,"",Model!CQ27)</f>
        <v/>
      </c>
      <c r="CT19" s="206" t="str">
        <f aca="false">IF(Model!CR27=0,"",Model!CR27)</f>
        <v/>
      </c>
      <c r="CU19" s="206" t="str">
        <f aca="false">IF(Model!CS27=0,"",Model!CS27)</f>
        <v/>
      </c>
      <c r="CV19" s="206" t="str">
        <f aca="false">IF(Model!CT27=0,"",Model!CT27)</f>
        <v/>
      </c>
      <c r="CW19" s="206" t="str">
        <f aca="false">IF(Model!CU27=0,"",Model!CU27)</f>
        <v/>
      </c>
      <c r="CX19" s="206" t="str">
        <f aca="false">IF(Model!CV27=0,"",Model!CV27)</f>
        <v/>
      </c>
      <c r="CY19" s="206" t="str">
        <f aca="false">IF(Model!CW27=0,"",Model!CW27)</f>
        <v/>
      </c>
      <c r="CZ19" s="206" t="str">
        <f aca="false">IF(Model!CX27=0,"",Model!CX27)</f>
        <v/>
      </c>
      <c r="DA19" s="206" t="str">
        <f aca="false">IF(Model!CY27=0,"",Model!CY27)</f>
        <v/>
      </c>
      <c r="DB19" s="206" t="str">
        <f aca="false">IF(Model!CZ27=0,"",Model!CZ27)</f>
        <v/>
      </c>
    </row>
    <row r="20" customFormat="false" ht="15" hidden="false" customHeight="true" outlineLevel="0" collapsed="false">
      <c r="A20" s="123" t="s">
        <v>22</v>
      </c>
      <c r="B20" s="203" t="n">
        <f aca="false">Projects!$B$19</f>
        <v>18764585</v>
      </c>
      <c r="C20" s="204" t="n">
        <f aca="false">EDATE(Model!$E$2,Projects!$C$19-1)</f>
        <v>46478</v>
      </c>
      <c r="D20" s="204" t="n">
        <f aca="false">EDATE(Model!$E$2,Projects!$C$19+Projects!$D$19-2)</f>
        <v>46997</v>
      </c>
      <c r="E20" s="205" t="n">
        <f aca="false">Projects!$D$19</f>
        <v>18</v>
      </c>
      <c r="F20" s="203" t="n">
        <f aca="false">SUM(G20:DB20)</f>
        <v>16505497.847265</v>
      </c>
      <c r="G20" s="206" t="str">
        <f aca="false">IF(Model!E28=0,"",Model!E28)</f>
        <v/>
      </c>
      <c r="H20" s="206" t="str">
        <f aca="false">IF(Model!F28=0,"",Model!F28)</f>
        <v/>
      </c>
      <c r="I20" s="206" t="str">
        <f aca="false">IF(Model!G28=0,"",Model!G28)</f>
        <v/>
      </c>
      <c r="J20" s="206" t="str">
        <f aca="false">IF(Model!H28=0,"",Model!H28)</f>
        <v/>
      </c>
      <c r="K20" s="206" t="str">
        <f aca="false">IF(Model!I28=0,"",Model!I28)</f>
        <v/>
      </c>
      <c r="L20" s="206" t="str">
        <f aca="false">IF(Model!J28=0,"",Model!J28)</f>
        <v/>
      </c>
      <c r="M20" s="206" t="str">
        <f aca="false">IF(Model!K28=0,"",Model!K28)</f>
        <v/>
      </c>
      <c r="N20" s="206" t="str">
        <f aca="false">IF(Model!L28=0,"",Model!L28)</f>
        <v/>
      </c>
      <c r="O20" s="206" t="str">
        <f aca="false">IF(Model!M28=0,"",Model!M28)</f>
        <v/>
      </c>
      <c r="P20" s="206" t="str">
        <f aca="false">IF(Model!N28=0,"",Model!N28)</f>
        <v/>
      </c>
      <c r="Q20" s="206" t="str">
        <f aca="false">IF(Model!O28=0,"",Model!O28)</f>
        <v/>
      </c>
      <c r="R20" s="206" t="str">
        <f aca="false">IF(Model!P28=0,"",Model!P28)</f>
        <v/>
      </c>
      <c r="S20" s="206" t="n">
        <f aca="false">IF(Model!Q28=0,"",Model!Q28)</f>
        <v>410240.522810006</v>
      </c>
      <c r="T20" s="206" t="n">
        <f aca="false">IF(Model!R28=0,"",Model!R28)</f>
        <v>541775.431953637</v>
      </c>
      <c r="U20" s="206" t="n">
        <f aca="false">IF(Model!S28=0,"",Model!S28)</f>
        <v>683085.791293572</v>
      </c>
      <c r="V20" s="206" t="n">
        <f aca="false">IF(Model!T28=0,"",Model!T28)</f>
        <v>827718.370996161</v>
      </c>
      <c r="W20" s="206" t="n">
        <f aca="false">IF(Model!U28=0,"",Model!U28)</f>
        <v>967743.153937676</v>
      </c>
      <c r="X20" s="206" t="n">
        <f aca="false">IF(Model!V28=0,"",Model!V28)</f>
        <v>1094357.27558114</v>
      </c>
      <c r="Y20" s="206" t="n">
        <f aca="false">IF(Model!W28=0,"",Model!W28)</f>
        <v>1198804.70979243</v>
      </c>
      <c r="Z20" s="206" t="n">
        <f aca="false">IF(Model!X28=0,"",Model!X28)</f>
        <v>1273338.93577902</v>
      </c>
      <c r="AA20" s="206" t="n">
        <f aca="false">IF(Model!Y28=0,"",Model!Y28)</f>
        <v>1312161.91030723</v>
      </c>
      <c r="AB20" s="206" t="n">
        <f aca="false">IF(Model!Z28=0,"",Model!Z28)</f>
        <v>1312161.91030723</v>
      </c>
      <c r="AC20" s="206" t="n">
        <f aca="false">IF(Model!AA28=0,"",Model!AA28)</f>
        <v>1273338.93577902</v>
      </c>
      <c r="AD20" s="206" t="n">
        <f aca="false">IF(Model!AB28=0,"",Model!AB28)</f>
        <v>1198804.70979243</v>
      </c>
      <c r="AE20" s="206" t="n">
        <f aca="false">IF(Model!AC28=0,"",Model!AC28)</f>
        <v>1094357.27558114</v>
      </c>
      <c r="AF20" s="206" t="n">
        <f aca="false">IF(Model!AD28=0,"",Model!AD28)</f>
        <v>967743.153937676</v>
      </c>
      <c r="AG20" s="206" t="n">
        <f aca="false">IF(Model!AE28=0,"",Model!AE28)</f>
        <v>827718.370996161</v>
      </c>
      <c r="AH20" s="206" t="n">
        <f aca="false">IF(Model!AF28=0,"",Model!AF28)</f>
        <v>683085.791293572</v>
      </c>
      <c r="AI20" s="206" t="n">
        <f aca="false">IF(Model!AG28=0,"",Model!AG28)</f>
        <v>541775.431953637</v>
      </c>
      <c r="AJ20" s="206" t="n">
        <f aca="false">IF(Model!AH28=0,"",Model!AH28)</f>
        <v>297286.165173256</v>
      </c>
      <c r="AK20" s="206" t="str">
        <f aca="false">IF(Model!AI28=0,"",Model!AI28)</f>
        <v/>
      </c>
      <c r="AL20" s="206" t="str">
        <f aca="false">IF(Model!AJ28=0,"",Model!AJ28)</f>
        <v/>
      </c>
      <c r="AM20" s="206" t="str">
        <f aca="false">IF(Model!AK28=0,"",Model!AK28)</f>
        <v/>
      </c>
      <c r="AN20" s="206" t="str">
        <f aca="false">IF(Model!AL28=0,"",Model!AL28)</f>
        <v/>
      </c>
      <c r="AO20" s="206" t="str">
        <f aca="false">IF(Model!AM28=0,"",Model!AM28)</f>
        <v/>
      </c>
      <c r="AP20" s="206" t="str">
        <f aca="false">IF(Model!AN28=0,"",Model!AN28)</f>
        <v/>
      </c>
      <c r="AQ20" s="206" t="str">
        <f aca="false">IF(Model!AO28=0,"",Model!AO28)</f>
        <v/>
      </c>
      <c r="AR20" s="206" t="str">
        <f aca="false">IF(Model!AP28=0,"",Model!AP28)</f>
        <v/>
      </c>
      <c r="AS20" s="206" t="str">
        <f aca="false">IF(Model!AQ28=0,"",Model!AQ28)</f>
        <v/>
      </c>
      <c r="AT20" s="206" t="str">
        <f aca="false">IF(Model!AR28=0,"",Model!AR28)</f>
        <v/>
      </c>
      <c r="AU20" s="206" t="str">
        <f aca="false">IF(Model!AS28=0,"",Model!AS28)</f>
        <v/>
      </c>
      <c r="AV20" s="206" t="str">
        <f aca="false">IF(Model!AT28=0,"",Model!AT28)</f>
        <v/>
      </c>
      <c r="AW20" s="206" t="str">
        <f aca="false">IF(Model!AU28=0,"",Model!AU28)</f>
        <v/>
      </c>
      <c r="AX20" s="206" t="str">
        <f aca="false">IF(Model!AV28=0,"",Model!AV28)</f>
        <v/>
      </c>
      <c r="AY20" s="206" t="str">
        <f aca="false">IF(Model!AW28=0,"",Model!AW28)</f>
        <v/>
      </c>
      <c r="AZ20" s="206" t="str">
        <f aca="false">IF(Model!AX28=0,"",Model!AX28)</f>
        <v/>
      </c>
      <c r="BA20" s="206" t="str">
        <f aca="false">IF(Model!AY28=0,"",Model!AY28)</f>
        <v/>
      </c>
      <c r="BB20" s="206" t="str">
        <f aca="false">IF(Model!AZ28=0,"",Model!AZ28)</f>
        <v/>
      </c>
      <c r="BC20" s="206" t="str">
        <f aca="false">IF(Model!BA28=0,"",Model!BA28)</f>
        <v/>
      </c>
      <c r="BD20" s="206" t="str">
        <f aca="false">IF(Model!BB28=0,"",Model!BB28)</f>
        <v/>
      </c>
      <c r="BE20" s="206" t="str">
        <f aca="false">IF(Model!BC28=0,"",Model!BC28)</f>
        <v/>
      </c>
      <c r="BF20" s="206" t="str">
        <f aca="false">IF(Model!BD28=0,"",Model!BD28)</f>
        <v/>
      </c>
      <c r="BG20" s="206" t="str">
        <f aca="false">IF(Model!BE28=0,"",Model!BE28)</f>
        <v/>
      </c>
      <c r="BH20" s="206" t="str">
        <f aca="false">IF(Model!BF28=0,"",Model!BF28)</f>
        <v/>
      </c>
      <c r="BI20" s="206" t="str">
        <f aca="false">IF(Model!BG28=0,"",Model!BG28)</f>
        <v/>
      </c>
      <c r="BJ20" s="206" t="str">
        <f aca="false">IF(Model!BH28=0,"",Model!BH28)</f>
        <v/>
      </c>
      <c r="BK20" s="206" t="str">
        <f aca="false">IF(Model!BI28=0,"",Model!BI28)</f>
        <v/>
      </c>
      <c r="BL20" s="206" t="str">
        <f aca="false">IF(Model!BJ28=0,"",Model!BJ28)</f>
        <v/>
      </c>
      <c r="BM20" s="206" t="str">
        <f aca="false">IF(Model!BK28=0,"",Model!BK28)</f>
        <v/>
      </c>
      <c r="BN20" s="206" t="str">
        <f aca="false">IF(Model!BL28=0,"",Model!BL28)</f>
        <v/>
      </c>
      <c r="BO20" s="206" t="str">
        <f aca="false">IF(Model!BM28=0,"",Model!BM28)</f>
        <v/>
      </c>
      <c r="BP20" s="206" t="str">
        <f aca="false">IF(Model!BN28=0,"",Model!BN28)</f>
        <v/>
      </c>
      <c r="BQ20" s="206" t="str">
        <f aca="false">IF(Model!BO28=0,"",Model!BO28)</f>
        <v/>
      </c>
      <c r="BR20" s="206" t="str">
        <f aca="false">IF(Model!BP28=0,"",Model!BP28)</f>
        <v/>
      </c>
      <c r="BS20" s="206" t="str">
        <f aca="false">IF(Model!BQ28=0,"",Model!BQ28)</f>
        <v/>
      </c>
      <c r="BT20" s="206" t="str">
        <f aca="false">IF(Model!BR28=0,"",Model!BR28)</f>
        <v/>
      </c>
      <c r="BU20" s="206" t="str">
        <f aca="false">IF(Model!BS28=0,"",Model!BS28)</f>
        <v/>
      </c>
      <c r="BV20" s="206" t="str">
        <f aca="false">IF(Model!BT28=0,"",Model!BT28)</f>
        <v/>
      </c>
      <c r="BW20" s="206" t="str">
        <f aca="false">IF(Model!BU28=0,"",Model!BU28)</f>
        <v/>
      </c>
      <c r="BX20" s="206" t="str">
        <f aca="false">IF(Model!BV28=0,"",Model!BV28)</f>
        <v/>
      </c>
      <c r="BY20" s="206" t="str">
        <f aca="false">IF(Model!BW28=0,"",Model!BW28)</f>
        <v/>
      </c>
      <c r="BZ20" s="206" t="str">
        <f aca="false">IF(Model!BX28=0,"",Model!BX28)</f>
        <v/>
      </c>
      <c r="CA20" s="206" t="str">
        <f aca="false">IF(Model!BY28=0,"",Model!BY28)</f>
        <v/>
      </c>
      <c r="CB20" s="206" t="str">
        <f aca="false">IF(Model!BZ28=0,"",Model!BZ28)</f>
        <v/>
      </c>
      <c r="CC20" s="206" t="str">
        <f aca="false">IF(Model!CA28=0,"",Model!CA28)</f>
        <v/>
      </c>
      <c r="CD20" s="206" t="str">
        <f aca="false">IF(Model!CB28=0,"",Model!CB28)</f>
        <v/>
      </c>
      <c r="CE20" s="206" t="str">
        <f aca="false">IF(Model!CC28=0,"",Model!CC28)</f>
        <v/>
      </c>
      <c r="CF20" s="206" t="str">
        <f aca="false">IF(Model!CD28=0,"",Model!CD28)</f>
        <v/>
      </c>
      <c r="CG20" s="206" t="str">
        <f aca="false">IF(Model!CE28=0,"",Model!CE28)</f>
        <v/>
      </c>
      <c r="CH20" s="206" t="str">
        <f aca="false">IF(Model!CF28=0,"",Model!CF28)</f>
        <v/>
      </c>
      <c r="CI20" s="206" t="str">
        <f aca="false">IF(Model!CG28=0,"",Model!CG28)</f>
        <v/>
      </c>
      <c r="CJ20" s="206" t="str">
        <f aca="false">IF(Model!CH28=0,"",Model!CH28)</f>
        <v/>
      </c>
      <c r="CK20" s="206" t="str">
        <f aca="false">IF(Model!CI28=0,"",Model!CI28)</f>
        <v/>
      </c>
      <c r="CL20" s="206" t="str">
        <f aca="false">IF(Model!CJ28=0,"",Model!CJ28)</f>
        <v/>
      </c>
      <c r="CM20" s="206" t="str">
        <f aca="false">IF(Model!CK28=0,"",Model!CK28)</f>
        <v/>
      </c>
      <c r="CN20" s="206" t="str">
        <f aca="false">IF(Model!CL28=0,"",Model!CL28)</f>
        <v/>
      </c>
      <c r="CO20" s="206" t="str">
        <f aca="false">IF(Model!CM28=0,"",Model!CM28)</f>
        <v/>
      </c>
      <c r="CP20" s="206" t="str">
        <f aca="false">IF(Model!CN28=0,"",Model!CN28)</f>
        <v/>
      </c>
      <c r="CQ20" s="206" t="str">
        <f aca="false">IF(Model!CO28=0,"",Model!CO28)</f>
        <v/>
      </c>
      <c r="CR20" s="206" t="str">
        <f aca="false">IF(Model!CP28=0,"",Model!CP28)</f>
        <v/>
      </c>
      <c r="CS20" s="206" t="str">
        <f aca="false">IF(Model!CQ28=0,"",Model!CQ28)</f>
        <v/>
      </c>
      <c r="CT20" s="206" t="str">
        <f aca="false">IF(Model!CR28=0,"",Model!CR28)</f>
        <v/>
      </c>
      <c r="CU20" s="206" t="str">
        <f aca="false">IF(Model!CS28=0,"",Model!CS28)</f>
        <v/>
      </c>
      <c r="CV20" s="206" t="str">
        <f aca="false">IF(Model!CT28=0,"",Model!CT28)</f>
        <v/>
      </c>
      <c r="CW20" s="206" t="str">
        <f aca="false">IF(Model!CU28=0,"",Model!CU28)</f>
        <v/>
      </c>
      <c r="CX20" s="206" t="str">
        <f aca="false">IF(Model!CV28=0,"",Model!CV28)</f>
        <v/>
      </c>
      <c r="CY20" s="206" t="str">
        <f aca="false">IF(Model!CW28=0,"",Model!CW28)</f>
        <v/>
      </c>
      <c r="CZ20" s="206" t="str">
        <f aca="false">IF(Model!CX28=0,"",Model!CX28)</f>
        <v/>
      </c>
      <c r="DA20" s="206" t="str">
        <f aca="false">IF(Model!CY28=0,"",Model!CY28)</f>
        <v/>
      </c>
      <c r="DB20" s="206" t="str">
        <f aca="false">IF(Model!CZ28=0,"",Model!CZ28)</f>
        <v/>
      </c>
    </row>
    <row r="21" customFormat="false" ht="15" hidden="false" customHeight="true" outlineLevel="0" collapsed="false">
      <c r="A21" s="94" t="s">
        <v>626</v>
      </c>
      <c r="G21" s="207" t="n">
        <f aca="false">SUM(G7:G20)+SUM(G24:G27)</f>
        <v>3312759.91</v>
      </c>
      <c r="H21" s="207" t="n">
        <f aca="false">SUM(H7:H20)+SUM(H24:H27)</f>
        <v>3939278.23</v>
      </c>
      <c r="I21" s="207" t="n">
        <f aca="false">SUM(I7:I20)+SUM(I24:I27)</f>
        <v>5584522.73</v>
      </c>
      <c r="J21" s="207" t="n">
        <f aca="false">SUM(J7:J20)+SUM(J24:J27)</f>
        <v>6409057.07</v>
      </c>
      <c r="K21" s="207" t="n">
        <f aca="false">SUM(K7:K20)+SUM(K24:K27)</f>
        <v>5304128.59</v>
      </c>
      <c r="L21" s="207" t="n">
        <f aca="false">SUM(L7:L20)+SUM(L24:L27)</f>
        <v>5630859.39</v>
      </c>
      <c r="M21" s="207" t="n">
        <f aca="false">SUM(M7:M20)+SUM(M24:M27)</f>
        <v>5161211.17</v>
      </c>
      <c r="N21" s="207" t="n">
        <f aca="false">SUM(N7:N20)+SUM(N24:N27)</f>
        <v>4161030.95</v>
      </c>
      <c r="O21" s="207" t="n">
        <f aca="false">SUM(O7:O20)+SUM(O24:O27)</f>
        <v>4094950.85099936</v>
      </c>
      <c r="P21" s="207" t="n">
        <f aca="false">SUM(P7:P20)+SUM(P24:P27)</f>
        <v>4923945.33304903</v>
      </c>
      <c r="Q21" s="207" t="n">
        <f aca="false">SUM(Q7:Q20)+SUM(Q24:Q27)</f>
        <v>4988886.2253878</v>
      </c>
      <c r="R21" s="207" t="n">
        <f aca="false">SUM(R7:R20)+SUM(R24:R27)</f>
        <v>5471649.5153733</v>
      </c>
      <c r="S21" s="207" t="n">
        <f aca="false">SUM(S7:S20)+SUM(S24:S27)</f>
        <v>5829440.97791243</v>
      </c>
      <c r="T21" s="207" t="n">
        <f aca="false">SUM(T7:T20)+SUM(T24:T27)</f>
        <v>6228355.36389018</v>
      </c>
      <c r="U21" s="207" t="n">
        <f aca="false">SUM(U7:U20)+SUM(U24:U27)</f>
        <v>7580716.68761567</v>
      </c>
      <c r="V21" s="207" t="n">
        <f aca="false">SUM(V7:V20)+SUM(V24:V27)</f>
        <v>8863308.12746995</v>
      </c>
      <c r="W21" s="207" t="n">
        <f aca="false">SUM(W7:W20)+SUM(W24:W27)</f>
        <v>8624882.51922129</v>
      </c>
      <c r="X21" s="207" t="n">
        <f aca="false">SUM(X7:X20)+SUM(X24:X27)</f>
        <v>9795023.92020283</v>
      </c>
      <c r="Y21" s="207" t="n">
        <f aca="false">SUM(Y7:Y20)+SUM(Y24:Y27)</f>
        <v>9397350.21833107</v>
      </c>
      <c r="Z21" s="207" t="n">
        <f aca="false">SUM(Z7:Z20)+SUM(Z24:Z27)</f>
        <v>11074816.8911014</v>
      </c>
      <c r="AA21" s="207" t="n">
        <f aca="false">SUM(AA7:AA20)+SUM(AA24:AA27)</f>
        <v>10208584.5550779</v>
      </c>
      <c r="AB21" s="207" t="n">
        <f aca="false">SUM(AB7:AB20)+SUM(AB24:AB27)</f>
        <v>11318460.6219436</v>
      </c>
      <c r="AC21" s="207" t="n">
        <f aca="false">SUM(AC7:AC20)+SUM(AC24:AC27)</f>
        <v>10897230.292252</v>
      </c>
      <c r="AD21" s="207" t="n">
        <f aca="false">SUM(AD7:AD20)+SUM(AD24:AD27)</f>
        <v>9985930.21479785</v>
      </c>
      <c r="AE21" s="207" t="n">
        <f aca="false">SUM(AE7:AE20)+SUM(AE24:AE27)</f>
        <v>9260615.86104314</v>
      </c>
      <c r="AF21" s="207" t="n">
        <f aca="false">SUM(AF7:AF20)+SUM(AF24:AF27)</f>
        <v>9278817.43612603</v>
      </c>
      <c r="AG21" s="207" t="n">
        <f aca="false">SUM(AG7:AG20)+SUM(AG24:AG27)</f>
        <v>9449763.72203949</v>
      </c>
      <c r="AH21" s="207" t="n">
        <f aca="false">SUM(AH7:AH20)+SUM(AH24:AH27)</f>
        <v>9281477.13286977</v>
      </c>
      <c r="AI21" s="207" t="n">
        <f aca="false">SUM(AI7:AI20)+SUM(AI24:AI27)</f>
        <v>9559373.25544198</v>
      </c>
      <c r="AJ21" s="207" t="n">
        <f aca="false">SUM(AJ7:AJ20)+SUM(AJ24:AJ27)</f>
        <v>8874144.38806826</v>
      </c>
      <c r="AK21" s="207" t="n">
        <f aca="false">SUM(AK7:AK20)+SUM(AK24:AK27)</f>
        <v>8299631.02910215</v>
      </c>
      <c r="AL21" s="207" t="n">
        <f aca="false">SUM(AL7:AL20)+SUM(AL24:AL27)</f>
        <v>7041183.2522617</v>
      </c>
      <c r="AM21" s="207" t="n">
        <f aca="false">SUM(AM7:AM20)+SUM(AM24:AM27)</f>
        <v>6406612.42122988</v>
      </c>
      <c r="AN21" s="207" t="n">
        <f aca="false">SUM(AN7:AN20)+SUM(AN24:AN27)</f>
        <v>6183982.6571674</v>
      </c>
      <c r="AO21" s="207" t="n">
        <f aca="false">SUM(AO7:AO20)+SUM(AO24:AO27)</f>
        <v>5920817.031697</v>
      </c>
      <c r="AP21" s="207" t="n">
        <f aca="false">SUM(AP7:AP20)+SUM(AP24:AP27)</f>
        <v>4692440.04152007</v>
      </c>
      <c r="AQ21" s="207" t="n">
        <f aca="false">SUM(AQ7:AQ20)+SUM(AQ24:AQ27)</f>
        <v>3923685.04065205</v>
      </c>
      <c r="AR21" s="207" t="n">
        <f aca="false">SUM(AR7:AR20)+SUM(AR24:AR27)</f>
        <v>2999710.67127144</v>
      </c>
      <c r="AS21" s="207" t="n">
        <f aca="false">SUM(AS7:AS20)+SUM(AS24:AS27)</f>
        <v>2722815.44434132</v>
      </c>
      <c r="AT21" s="207" t="n">
        <f aca="false">SUM(AT7:AT20)+SUM(AT24:AT27)</f>
        <v>2633830.85838132</v>
      </c>
      <c r="AU21" s="207" t="n">
        <f aca="false">SUM(AU7:AU20)+SUM(AU24:AU27)</f>
        <v>2527703.10646532</v>
      </c>
      <c r="AV21" s="207" t="n">
        <f aca="false">SUM(AV7:AV20)+SUM(AV24:AV27)</f>
        <v>2255469.31400248</v>
      </c>
      <c r="AW21" s="207" t="n">
        <f aca="false">SUM(AW7:AW20)+SUM(AW24:AW27)</f>
        <v>2390189.56815024</v>
      </c>
      <c r="AX21" s="207" t="n">
        <f aca="false">SUM(AX7:AX20)+SUM(AX24:AX27)</f>
        <v>1971075.03090674</v>
      </c>
      <c r="AY21" s="207" t="n">
        <f aca="false">SUM(AY7:AY20)+SUM(AY24:AY27)</f>
        <v>1632789.15157145</v>
      </c>
      <c r="AZ21" s="207" t="n">
        <f aca="false">SUM(AZ7:AZ20)+SUM(AZ24:AZ27)</f>
        <v>1562651.69569945</v>
      </c>
      <c r="BA21" s="207" t="n">
        <f aca="false">SUM(BA7:BA20)+SUM(BA24:BA27)</f>
        <v>1478825.85663545</v>
      </c>
      <c r="BB21" s="207" t="n">
        <f aca="false">SUM(BB7:BB20)+SUM(BB24:BB27)</f>
        <v>1383586.13913945</v>
      </c>
      <c r="BC21" s="207" t="n">
        <f aca="false">SUM(BC7:BC20)+SUM(BC24:BC27)</f>
        <v>1279496.53039545</v>
      </c>
      <c r="BD21" s="207" t="n">
        <f aca="false">SUM(BD7:BD20)+SUM(BD24:BD27)</f>
        <v>1169079.66295545</v>
      </c>
      <c r="BE21" s="207" t="n">
        <f aca="false">SUM(BE7:BE20)+SUM(BE24:BE27)</f>
        <v>1054982.23326745</v>
      </c>
      <c r="BF21" s="207" t="n">
        <f aca="false">SUM(BF7:BF20)+SUM(BF24:BF27)</f>
        <v>939685.519251453</v>
      </c>
      <c r="BG21" s="207" t="n">
        <f aca="false">SUM(BG7:BG20)+SUM(BG24:BG27)</f>
        <v>825464.025667453</v>
      </c>
      <c r="BH21" s="207" t="n">
        <f aca="false">SUM(BH7:BH20)+SUM(BH24:BH27)</f>
        <v>714385.484115453</v>
      </c>
      <c r="BI21" s="207" t="n">
        <f aca="false">SUM(BI7:BI20)+SUM(BI24:BI27)</f>
        <v>608145.434507453</v>
      </c>
      <c r="BJ21" s="207" t="n">
        <f aca="false">SUM(BJ7:BJ20)+SUM(BJ24:BJ27)</f>
        <v>259255.013907853</v>
      </c>
      <c r="BK21" s="207" t="n">
        <f aca="false">SUM(BK7:BK20)+SUM(BK24:BK27)</f>
        <v>0</v>
      </c>
      <c r="BL21" s="207" t="n">
        <f aca="false">SUM(BL7:BL20)+SUM(BL24:BL27)</f>
        <v>0</v>
      </c>
      <c r="BM21" s="207" t="n">
        <f aca="false">SUM(BM7:BM20)+SUM(BM24:BM27)</f>
        <v>0</v>
      </c>
      <c r="BN21" s="207" t="n">
        <f aca="false">SUM(BN7:BN20)+SUM(BN24:BN27)</f>
        <v>0</v>
      </c>
      <c r="BO21" s="207" t="n">
        <f aca="false">SUM(BO7:BO20)+SUM(BO24:BO27)</f>
        <v>0</v>
      </c>
      <c r="BP21" s="207" t="n">
        <f aca="false">SUM(BP7:BP20)+SUM(BP24:BP27)</f>
        <v>0</v>
      </c>
      <c r="BQ21" s="207" t="n">
        <f aca="false">SUM(BQ7:BQ20)+SUM(BQ24:BQ27)</f>
        <v>0</v>
      </c>
      <c r="BR21" s="207" t="n">
        <f aca="false">SUM(BR7:BR20)+SUM(BR24:BR27)</f>
        <v>0</v>
      </c>
      <c r="BS21" s="207" t="n">
        <f aca="false">SUM(BS7:BS20)+SUM(BS24:BS27)</f>
        <v>0</v>
      </c>
      <c r="BT21" s="207" t="n">
        <f aca="false">SUM(BT7:BT20)+SUM(BT24:BT27)</f>
        <v>0</v>
      </c>
      <c r="BU21" s="207" t="n">
        <f aca="false">SUM(BU7:BU20)+SUM(BU24:BU27)</f>
        <v>0</v>
      </c>
      <c r="BV21" s="207" t="n">
        <f aca="false">SUM(BV7:BV20)+SUM(BV24:BV27)</f>
        <v>0</v>
      </c>
      <c r="BW21" s="207" t="n">
        <f aca="false">SUM(BW7:BW20)+SUM(BW24:BW27)</f>
        <v>0</v>
      </c>
      <c r="BX21" s="207" t="n">
        <f aca="false">SUM(BX7:BX20)+SUM(BX24:BX27)</f>
        <v>0</v>
      </c>
      <c r="BY21" s="207" t="n">
        <f aca="false">SUM(BY7:BY20)+SUM(BY24:BY27)</f>
        <v>0</v>
      </c>
      <c r="BZ21" s="207" t="n">
        <f aca="false">SUM(BZ7:BZ20)+SUM(BZ24:BZ27)</f>
        <v>0</v>
      </c>
      <c r="CA21" s="207" t="n">
        <f aca="false">SUM(CA7:CA20)+SUM(CA24:CA27)</f>
        <v>0</v>
      </c>
      <c r="CB21" s="207" t="n">
        <f aca="false">SUM(CB7:CB20)+SUM(CB24:CB27)</f>
        <v>0</v>
      </c>
      <c r="CC21" s="207" t="n">
        <f aca="false">SUM(CC7:CC20)+SUM(CC24:CC27)</f>
        <v>0</v>
      </c>
      <c r="CD21" s="207" t="n">
        <f aca="false">SUM(CD7:CD20)+SUM(CD24:CD27)</f>
        <v>0</v>
      </c>
      <c r="CE21" s="207" t="n">
        <f aca="false">SUM(CE7:CE20)+SUM(CE24:CE27)</f>
        <v>0</v>
      </c>
      <c r="CF21" s="207" t="n">
        <f aca="false">SUM(CF7:CF20)+SUM(CF24:CF27)</f>
        <v>0</v>
      </c>
      <c r="CG21" s="207" t="n">
        <f aca="false">SUM(CG7:CG20)+SUM(CG24:CG27)</f>
        <v>0</v>
      </c>
      <c r="CH21" s="207" t="n">
        <f aca="false">SUM(CH7:CH20)+SUM(CH24:CH27)</f>
        <v>0</v>
      </c>
      <c r="CI21" s="207" t="n">
        <f aca="false">SUM(CI7:CI20)+SUM(CI24:CI27)</f>
        <v>0</v>
      </c>
      <c r="CJ21" s="207" t="n">
        <f aca="false">SUM(CJ7:CJ20)+SUM(CJ24:CJ27)</f>
        <v>0</v>
      </c>
      <c r="CK21" s="207" t="n">
        <f aca="false">SUM(CK7:CK20)+SUM(CK24:CK27)</f>
        <v>0</v>
      </c>
      <c r="CL21" s="207" t="n">
        <f aca="false">SUM(CL7:CL20)+SUM(CL24:CL27)</f>
        <v>0</v>
      </c>
      <c r="CM21" s="207" t="n">
        <f aca="false">SUM(CM7:CM20)+SUM(CM24:CM27)</f>
        <v>0</v>
      </c>
      <c r="CN21" s="207" t="n">
        <f aca="false">SUM(CN7:CN20)+SUM(CN24:CN27)</f>
        <v>0</v>
      </c>
      <c r="CO21" s="207" t="n">
        <f aca="false">SUM(CO7:CO20)+SUM(CO24:CO27)</f>
        <v>0</v>
      </c>
      <c r="CP21" s="207" t="n">
        <f aca="false">SUM(CP7:CP20)+SUM(CP24:CP27)</f>
        <v>0</v>
      </c>
      <c r="CQ21" s="207" t="n">
        <f aca="false">SUM(CQ7:CQ20)+SUM(CQ24:CQ27)</f>
        <v>0</v>
      </c>
      <c r="CR21" s="207" t="n">
        <f aca="false">SUM(CR7:CR20)+SUM(CR24:CR27)</f>
        <v>0</v>
      </c>
      <c r="CS21" s="207" t="n">
        <f aca="false">SUM(CS7:CS20)+SUM(CS24:CS27)</f>
        <v>0</v>
      </c>
      <c r="CT21" s="207" t="n">
        <f aca="false">SUM(CT7:CT20)+SUM(CT24:CT27)</f>
        <v>0</v>
      </c>
      <c r="CU21" s="207" t="n">
        <f aca="false">SUM(CU7:CU20)+SUM(CU24:CU27)</f>
        <v>0</v>
      </c>
      <c r="CV21" s="207" t="n">
        <f aca="false">SUM(CV7:CV20)+SUM(CV24:CV27)</f>
        <v>0</v>
      </c>
      <c r="CW21" s="207" t="n">
        <f aca="false">SUM(CW7:CW20)+SUM(CW24:CW27)</f>
        <v>0</v>
      </c>
      <c r="CX21" s="207" t="n">
        <f aca="false">SUM(CX7:CX20)+SUM(CX24:CX27)</f>
        <v>0</v>
      </c>
      <c r="CY21" s="207" t="n">
        <f aca="false">SUM(CY7:CY20)+SUM(CY24:CY27)</f>
        <v>0</v>
      </c>
      <c r="CZ21" s="207" t="n">
        <f aca="false">SUM(CZ7:CZ20)+SUM(CZ24:CZ27)</f>
        <v>0</v>
      </c>
      <c r="DA21" s="207" t="n">
        <f aca="false">SUM(DA7:DA20)+SUM(DA24:DA27)</f>
        <v>0</v>
      </c>
      <c r="DB21" s="207" t="n">
        <f aca="false">SUM(DB7:DB20)+SUM(DB24:DB27)</f>
        <v>0</v>
      </c>
    </row>
    <row r="22" customFormat="false" ht="15" hidden="false" customHeight="true" outlineLevel="0" collapsed="false">
      <c r="A22" s="94" t="s">
        <v>627</v>
      </c>
      <c r="G22" s="208" t="n">
        <f aca="false">COUNT(G7:G20)+COUNT(G24:G27)</f>
        <v>5</v>
      </c>
      <c r="H22" s="208" t="n">
        <f aca="false">COUNT(H7:H20)+COUNT(H24:H27)</f>
        <v>5</v>
      </c>
      <c r="I22" s="208" t="n">
        <f aca="false">COUNT(I7:I20)+COUNT(I24:I27)</f>
        <v>5</v>
      </c>
      <c r="J22" s="208" t="n">
        <f aca="false">COUNT(J7:J20)+COUNT(J24:J27)</f>
        <v>7</v>
      </c>
      <c r="K22" s="208" t="n">
        <f aca="false">COUNT(K7:K20)+COUNT(K24:K27)</f>
        <v>8</v>
      </c>
      <c r="L22" s="208" t="n">
        <f aca="false">COUNT(L7:L20)+COUNT(L24:L27)</f>
        <v>8</v>
      </c>
      <c r="M22" s="208" t="n">
        <f aca="false">COUNT(M7:M20)+COUNT(M24:M27)</f>
        <v>8</v>
      </c>
      <c r="N22" s="208" t="n">
        <f aca="false">COUNT(N7:N20)+COUNT(N24:N27)</f>
        <v>8</v>
      </c>
      <c r="O22" s="208" t="n">
        <f aca="false">COUNT(O7:O20)+COUNT(O24:O27)</f>
        <v>9</v>
      </c>
      <c r="P22" s="208" t="n">
        <f aca="false">COUNT(P7:P20)+COUNT(P24:P27)</f>
        <v>9</v>
      </c>
      <c r="Q22" s="208" t="n">
        <f aca="false">COUNT(Q7:Q20)+COUNT(Q24:Q27)</f>
        <v>10</v>
      </c>
      <c r="R22" s="208" t="n">
        <f aca="false">COUNT(R7:R20)+COUNT(R24:R27)</f>
        <v>10</v>
      </c>
      <c r="S22" s="208" t="n">
        <f aca="false">COUNT(S7:S20)+COUNT(S24:S27)</f>
        <v>11</v>
      </c>
      <c r="T22" s="208" t="n">
        <f aca="false">COUNT(T7:T20)+COUNT(T24:T27)</f>
        <v>12</v>
      </c>
      <c r="U22" s="208" t="n">
        <f aca="false">COUNT(U7:U20)+COUNT(U24:U27)</f>
        <v>14</v>
      </c>
      <c r="V22" s="208" t="n">
        <f aca="false">COUNT(V7:V20)+COUNT(V24:V27)</f>
        <v>13</v>
      </c>
      <c r="W22" s="208" t="n">
        <f aca="false">COUNT(W7:W20)+COUNT(W24:W27)</f>
        <v>13</v>
      </c>
      <c r="X22" s="208" t="n">
        <f aca="false">COUNT(X7:X20)+COUNT(X24:X27)</f>
        <v>13</v>
      </c>
      <c r="Y22" s="208" t="n">
        <f aca="false">COUNT(Y7:Y20)+COUNT(Y24:Y27)</f>
        <v>13</v>
      </c>
      <c r="Z22" s="208" t="n">
        <f aca="false">COUNT(Z7:Z20)+COUNT(Z24:Z27)</f>
        <v>12</v>
      </c>
      <c r="AA22" s="208" t="n">
        <f aca="false">COUNT(AA7:AA20)+COUNT(AA24:AA27)</f>
        <v>12</v>
      </c>
      <c r="AB22" s="208" t="n">
        <f aca="false">COUNT(AB7:AB20)+COUNT(AB24:AB27)</f>
        <v>12</v>
      </c>
      <c r="AC22" s="208" t="n">
        <f aca="false">COUNT(AC7:AC20)+COUNT(AC24:AC27)</f>
        <v>12</v>
      </c>
      <c r="AD22" s="208" t="n">
        <f aca="false">COUNT(AD7:AD20)+COUNT(AD24:AD27)</f>
        <v>11</v>
      </c>
      <c r="AE22" s="208" t="n">
        <f aca="false">COUNT(AE7:AE20)+COUNT(AE24:AE27)</f>
        <v>10</v>
      </c>
      <c r="AF22" s="208" t="n">
        <f aca="false">COUNT(AF7:AF20)+COUNT(AF24:AF27)</f>
        <v>10</v>
      </c>
      <c r="AG22" s="208" t="n">
        <f aca="false">COUNT(AG7:AG20)+COUNT(AG24:AG27)</f>
        <v>11</v>
      </c>
      <c r="AH22" s="208" t="n">
        <f aca="false">COUNT(AH7:AH20)+COUNT(AH24:AH27)</f>
        <v>11</v>
      </c>
      <c r="AI22" s="208" t="n">
        <f aca="false">COUNT(AI7:AI20)+COUNT(AI24:AI27)</f>
        <v>9</v>
      </c>
      <c r="AJ22" s="208" t="n">
        <f aca="false">COUNT(AJ7:AJ20)+COUNT(AJ24:AJ27)</f>
        <v>8</v>
      </c>
      <c r="AK22" s="208" t="n">
        <f aca="false">COUNT(AK7:AK20)+COUNT(AK24:AK27)</f>
        <v>7</v>
      </c>
      <c r="AL22" s="208" t="n">
        <f aca="false">COUNT(AL7:AL20)+COUNT(AL24:AL27)</f>
        <v>7</v>
      </c>
      <c r="AM22" s="208" t="n">
        <f aca="false">COUNT(AM7:AM20)+COUNT(AM24:AM27)</f>
        <v>6</v>
      </c>
      <c r="AN22" s="208" t="n">
        <f aca="false">COUNT(AN7:AN20)+COUNT(AN24:AN27)</f>
        <v>6</v>
      </c>
      <c r="AO22" s="208" t="n">
        <f aca="false">COUNT(AO7:AO20)+COUNT(AO24:AO27)</f>
        <v>6</v>
      </c>
      <c r="AP22" s="208" t="n">
        <f aca="false">COUNT(AP7:AP20)+COUNT(AP24:AP27)</f>
        <v>6</v>
      </c>
      <c r="AQ22" s="208" t="n">
        <f aca="false">COUNT(AQ7:AQ20)+COUNT(AQ24:AQ27)</f>
        <v>4</v>
      </c>
      <c r="AR22" s="208" t="n">
        <f aca="false">COUNT(AR7:AR20)+COUNT(AR24:AR27)</f>
        <v>4</v>
      </c>
      <c r="AS22" s="208" t="n">
        <f aca="false">COUNT(AS7:AS20)+COUNT(AS24:AS27)</f>
        <v>3</v>
      </c>
      <c r="AT22" s="208" t="n">
        <f aca="false">COUNT(AT7:AT20)+COUNT(AT24:AT27)</f>
        <v>3</v>
      </c>
      <c r="AU22" s="208" t="n">
        <f aca="false">COUNT(AU7:AU20)+COUNT(AU24:AU27)</f>
        <v>3</v>
      </c>
      <c r="AV22" s="208" t="n">
        <f aca="false">COUNT(AV7:AV20)+COUNT(AV24:AV27)</f>
        <v>3</v>
      </c>
      <c r="AW22" s="208" t="n">
        <f aca="false">COUNT(AW7:AW20)+COUNT(AW24:AW27)</f>
        <v>2</v>
      </c>
      <c r="AX22" s="208" t="n">
        <f aca="false">COUNT(AX7:AX20)+COUNT(AX24:AX27)</f>
        <v>2</v>
      </c>
      <c r="AY22" s="208" t="n">
        <f aca="false">COUNT(AY7:AY20)+COUNT(AY24:AY27)</f>
        <v>1</v>
      </c>
      <c r="AZ22" s="208" t="n">
        <f aca="false">COUNT(AZ7:AZ20)+COUNT(AZ24:AZ27)</f>
        <v>1</v>
      </c>
      <c r="BA22" s="208" t="n">
        <f aca="false">COUNT(BA7:BA20)+COUNT(BA24:BA27)</f>
        <v>1</v>
      </c>
      <c r="BB22" s="208" t="n">
        <f aca="false">COUNT(BB7:BB20)+COUNT(BB24:BB27)</f>
        <v>1</v>
      </c>
      <c r="BC22" s="208" t="n">
        <f aca="false">COUNT(BC7:BC20)+COUNT(BC24:BC27)</f>
        <v>1</v>
      </c>
      <c r="BD22" s="208" t="n">
        <f aca="false">COUNT(BD7:BD20)+COUNT(BD24:BD27)</f>
        <v>1</v>
      </c>
      <c r="BE22" s="208" t="n">
        <f aca="false">COUNT(BE7:BE20)+COUNT(BE24:BE27)</f>
        <v>1</v>
      </c>
      <c r="BF22" s="208" t="n">
        <f aca="false">COUNT(BF7:BF20)+COUNT(BF24:BF27)</f>
        <v>1</v>
      </c>
      <c r="BG22" s="208" t="n">
        <f aca="false">COUNT(BG7:BG20)+COUNT(BG24:BG27)</f>
        <v>1</v>
      </c>
      <c r="BH22" s="208" t="n">
        <f aca="false">COUNT(BH7:BH20)+COUNT(BH24:BH27)</f>
        <v>1</v>
      </c>
      <c r="BI22" s="208" t="n">
        <f aca="false">COUNT(BI7:BI20)+COUNT(BI24:BI27)</f>
        <v>1</v>
      </c>
      <c r="BJ22" s="208" t="n">
        <f aca="false">COUNT(BJ7:BJ20)+COUNT(BJ24:BJ27)</f>
        <v>1</v>
      </c>
      <c r="BK22" s="208" t="n">
        <f aca="false">COUNT(BK7:BK20)+COUNT(BK24:BK27)</f>
        <v>0</v>
      </c>
      <c r="BL22" s="208" t="n">
        <f aca="false">COUNT(BL7:BL20)+COUNT(BL24:BL27)</f>
        <v>0</v>
      </c>
      <c r="BM22" s="208" t="n">
        <f aca="false">COUNT(BM7:BM20)+COUNT(BM24:BM27)</f>
        <v>0</v>
      </c>
      <c r="BN22" s="208" t="n">
        <f aca="false">COUNT(BN7:BN20)+COUNT(BN24:BN27)</f>
        <v>0</v>
      </c>
      <c r="BO22" s="208" t="n">
        <f aca="false">COUNT(BO7:BO20)+COUNT(BO24:BO27)</f>
        <v>0</v>
      </c>
      <c r="BP22" s="208" t="n">
        <f aca="false">COUNT(BP7:BP20)+COUNT(BP24:BP27)</f>
        <v>0</v>
      </c>
      <c r="BQ22" s="208" t="n">
        <f aca="false">COUNT(BQ7:BQ20)+COUNT(BQ24:BQ27)</f>
        <v>0</v>
      </c>
      <c r="BR22" s="208" t="n">
        <f aca="false">COUNT(BR7:BR20)+COUNT(BR24:BR27)</f>
        <v>0</v>
      </c>
      <c r="BS22" s="208" t="n">
        <f aca="false">COUNT(BS7:BS20)+COUNT(BS24:BS27)</f>
        <v>0</v>
      </c>
      <c r="BT22" s="208" t="n">
        <f aca="false">COUNT(BT7:BT20)+COUNT(BT24:BT27)</f>
        <v>0</v>
      </c>
      <c r="BU22" s="208" t="n">
        <f aca="false">COUNT(BU7:BU20)+COUNT(BU24:BU27)</f>
        <v>0</v>
      </c>
      <c r="BV22" s="208" t="n">
        <f aca="false">COUNT(BV7:BV20)+COUNT(BV24:BV27)</f>
        <v>0</v>
      </c>
      <c r="BW22" s="208" t="n">
        <f aca="false">COUNT(BW7:BW20)+COUNT(BW24:BW27)</f>
        <v>0</v>
      </c>
      <c r="BX22" s="208" t="n">
        <f aca="false">COUNT(BX7:BX20)+COUNT(BX24:BX27)</f>
        <v>0</v>
      </c>
      <c r="BY22" s="208" t="n">
        <f aca="false">COUNT(BY7:BY20)+COUNT(BY24:BY27)</f>
        <v>0</v>
      </c>
      <c r="BZ22" s="208" t="n">
        <f aca="false">COUNT(BZ7:BZ20)+COUNT(BZ24:BZ27)</f>
        <v>0</v>
      </c>
      <c r="CA22" s="208" t="n">
        <f aca="false">COUNT(CA7:CA20)+COUNT(CA24:CA27)</f>
        <v>0</v>
      </c>
      <c r="CB22" s="208" t="n">
        <f aca="false">COUNT(CB7:CB20)+COUNT(CB24:CB27)</f>
        <v>0</v>
      </c>
      <c r="CC22" s="208" t="n">
        <f aca="false">COUNT(CC7:CC20)+COUNT(CC24:CC27)</f>
        <v>0</v>
      </c>
      <c r="CD22" s="208" t="n">
        <f aca="false">COUNT(CD7:CD20)+COUNT(CD24:CD27)</f>
        <v>0</v>
      </c>
      <c r="CE22" s="208" t="n">
        <f aca="false">COUNT(CE7:CE20)+COUNT(CE24:CE27)</f>
        <v>0</v>
      </c>
      <c r="CF22" s="208" t="n">
        <f aca="false">COUNT(CF7:CF20)+COUNT(CF24:CF27)</f>
        <v>0</v>
      </c>
      <c r="CG22" s="208" t="n">
        <f aca="false">COUNT(CG7:CG20)+COUNT(CG24:CG27)</f>
        <v>0</v>
      </c>
      <c r="CH22" s="208" t="n">
        <f aca="false">COUNT(CH7:CH20)+COUNT(CH24:CH27)</f>
        <v>0</v>
      </c>
      <c r="CI22" s="208" t="n">
        <f aca="false">COUNT(CI7:CI20)+COUNT(CI24:CI27)</f>
        <v>0</v>
      </c>
      <c r="CJ22" s="208" t="n">
        <f aca="false">COUNT(CJ7:CJ20)+COUNT(CJ24:CJ27)</f>
        <v>0</v>
      </c>
      <c r="CK22" s="208" t="n">
        <f aca="false">COUNT(CK7:CK20)+COUNT(CK24:CK27)</f>
        <v>0</v>
      </c>
      <c r="CL22" s="208" t="n">
        <f aca="false">COUNT(CL7:CL20)+COUNT(CL24:CL27)</f>
        <v>0</v>
      </c>
      <c r="CM22" s="208" t="n">
        <f aca="false">COUNT(CM7:CM20)+COUNT(CM24:CM27)</f>
        <v>0</v>
      </c>
      <c r="CN22" s="208" t="n">
        <f aca="false">COUNT(CN7:CN20)+COUNT(CN24:CN27)</f>
        <v>0</v>
      </c>
      <c r="CO22" s="208" t="n">
        <f aca="false">COUNT(CO7:CO20)+COUNT(CO24:CO27)</f>
        <v>0</v>
      </c>
      <c r="CP22" s="208" t="n">
        <f aca="false">COUNT(CP7:CP20)+COUNT(CP24:CP27)</f>
        <v>0</v>
      </c>
      <c r="CQ22" s="208" t="n">
        <f aca="false">COUNT(CQ7:CQ20)+COUNT(CQ24:CQ27)</f>
        <v>0</v>
      </c>
      <c r="CR22" s="208" t="n">
        <f aca="false">COUNT(CR7:CR20)+COUNT(CR24:CR27)</f>
        <v>0</v>
      </c>
      <c r="CS22" s="208" t="n">
        <f aca="false">COUNT(CS7:CS20)+COUNT(CS24:CS27)</f>
        <v>0</v>
      </c>
      <c r="CT22" s="208" t="n">
        <f aca="false">COUNT(CT7:CT20)+COUNT(CT24:CT27)</f>
        <v>0</v>
      </c>
      <c r="CU22" s="208" t="n">
        <f aca="false">COUNT(CU7:CU20)+COUNT(CU24:CU27)</f>
        <v>0</v>
      </c>
      <c r="CV22" s="208" t="n">
        <f aca="false">COUNT(CV7:CV20)+COUNT(CV24:CV27)</f>
        <v>0</v>
      </c>
      <c r="CW22" s="208" t="n">
        <f aca="false">COUNT(CW7:CW20)+COUNT(CW24:CW27)</f>
        <v>0</v>
      </c>
      <c r="CX22" s="208" t="n">
        <f aca="false">COUNT(CX7:CX20)+COUNT(CX24:CX27)</f>
        <v>0</v>
      </c>
      <c r="CY22" s="208" t="n">
        <f aca="false">COUNT(CY7:CY20)+COUNT(CY24:CY27)</f>
        <v>0</v>
      </c>
      <c r="CZ22" s="208" t="n">
        <f aca="false">COUNT(CZ7:CZ20)+COUNT(CZ24:CZ27)</f>
        <v>0</v>
      </c>
      <c r="DA22" s="208" t="n">
        <f aca="false">COUNT(DA7:DA20)+COUNT(DA24:DA27)</f>
        <v>0</v>
      </c>
      <c r="DB22" s="208" t="n">
        <f aca="false">COUNT(DB7:DB20)+COUNT(DB24:DB27)</f>
        <v>0</v>
      </c>
    </row>
    <row r="23" customFormat="false" ht="15" hidden="false" customHeight="true" outlineLevel="0" collapsed="false">
      <c r="A23" s="201" t="s">
        <v>628</v>
      </c>
      <c r="B23" s="202"/>
      <c r="C23" s="202"/>
      <c r="D23" s="202"/>
      <c r="E23" s="202"/>
      <c r="F23" s="202"/>
      <c r="G23" s="202"/>
      <c r="H23" s="202"/>
      <c r="I23" s="202"/>
      <c r="J23" s="202"/>
      <c r="K23" s="202"/>
      <c r="L23" s="202"/>
      <c r="M23" s="202"/>
      <c r="N23" s="202"/>
      <c r="O23" s="202"/>
      <c r="P23" s="202"/>
      <c r="Q23" s="202"/>
      <c r="R23" s="202"/>
      <c r="S23" s="202"/>
      <c r="T23" s="202"/>
      <c r="U23" s="202"/>
      <c r="V23" s="202"/>
      <c r="W23" s="202"/>
      <c r="X23" s="202"/>
      <c r="Y23" s="202"/>
      <c r="Z23" s="202"/>
      <c r="AA23" s="202"/>
      <c r="AB23" s="202"/>
      <c r="AC23" s="202"/>
      <c r="AD23" s="202"/>
      <c r="AE23" s="202"/>
      <c r="AF23" s="202"/>
      <c r="AG23" s="202"/>
      <c r="AH23" s="202"/>
      <c r="AI23" s="202"/>
      <c r="AJ23" s="202"/>
      <c r="AK23" s="202"/>
      <c r="AL23" s="202"/>
      <c r="AM23" s="202"/>
      <c r="AN23" s="202"/>
      <c r="AO23" s="202"/>
      <c r="AP23" s="202"/>
      <c r="AQ23" s="202"/>
      <c r="AR23" s="202"/>
      <c r="AS23" s="202"/>
      <c r="AT23" s="202"/>
      <c r="AU23" s="202"/>
      <c r="AV23" s="202"/>
      <c r="AW23" s="202"/>
      <c r="AX23" s="202"/>
      <c r="AY23" s="202"/>
      <c r="AZ23" s="202"/>
      <c r="BA23" s="202"/>
      <c r="BB23" s="202"/>
      <c r="BC23" s="202"/>
      <c r="BD23" s="202"/>
      <c r="BE23" s="202"/>
      <c r="BF23" s="202"/>
      <c r="BG23" s="202"/>
      <c r="BH23" s="202"/>
      <c r="BI23" s="202"/>
      <c r="BJ23" s="202"/>
      <c r="BK23" s="202"/>
      <c r="BL23" s="202"/>
      <c r="BM23" s="202"/>
      <c r="BN23" s="202"/>
      <c r="BO23" s="202"/>
      <c r="BP23" s="202"/>
      <c r="BQ23" s="202"/>
      <c r="BR23" s="202"/>
      <c r="BS23" s="202"/>
      <c r="BT23" s="202"/>
      <c r="BU23" s="202"/>
      <c r="BV23" s="202"/>
      <c r="BW23" s="202"/>
      <c r="BX23" s="202"/>
      <c r="BY23" s="202"/>
      <c r="BZ23" s="202"/>
      <c r="CA23" s="202"/>
      <c r="CB23" s="202"/>
      <c r="CC23" s="202"/>
      <c r="CD23" s="202"/>
      <c r="CE23" s="202"/>
      <c r="CF23" s="202"/>
      <c r="CG23" s="202"/>
      <c r="CH23" s="202"/>
      <c r="CI23" s="202"/>
      <c r="CJ23" s="202"/>
      <c r="CK23" s="202"/>
      <c r="CL23" s="202"/>
      <c r="CM23" s="202"/>
      <c r="CN23" s="202"/>
      <c r="CO23" s="202"/>
      <c r="CP23" s="202"/>
      <c r="CQ23" s="202"/>
      <c r="CR23" s="202"/>
      <c r="CS23" s="202"/>
      <c r="CT23" s="202"/>
      <c r="CU23" s="202"/>
      <c r="CV23" s="202"/>
      <c r="CW23" s="202"/>
      <c r="CX23" s="202"/>
      <c r="CY23" s="202"/>
      <c r="CZ23" s="202"/>
      <c r="DA23" s="202"/>
      <c r="DB23" s="202"/>
    </row>
    <row r="24" customFormat="false" ht="15" hidden="false" customHeight="true" outlineLevel="0" collapsed="false">
      <c r="A24" s="123" t="s">
        <v>16</v>
      </c>
      <c r="B24" s="203" t="n">
        <f aca="false">Projects!$B$11</f>
        <v>9577109</v>
      </c>
      <c r="C24" s="204" t="n">
        <f aca="false">EDATE(Model!$E$2,Projects!$C$11-1)</f>
        <v>46419</v>
      </c>
      <c r="D24" s="204" t="n">
        <f aca="false">EDATE(Model!$E$2,Projects!$C$11+Projects!$D$11-2)</f>
        <v>46966</v>
      </c>
      <c r="E24" s="205" t="n">
        <f aca="false">Projects!$D$11</f>
        <v>19</v>
      </c>
      <c r="F24" s="203" t="n">
        <f aca="false">SUM(G24:DB24)</f>
        <v>8424111.270381</v>
      </c>
      <c r="G24" s="206" t="str">
        <f aca="false">IF(Model!E22=0,"",Model!E22)</f>
        <v/>
      </c>
      <c r="H24" s="206" t="str">
        <f aca="false">IF(Model!F22=0,"",Model!F22)</f>
        <v/>
      </c>
      <c r="I24" s="206" t="str">
        <f aca="false">IF(Model!G22=0,"",Model!G22)</f>
        <v/>
      </c>
      <c r="J24" s="206" t="str">
        <f aca="false">IF(Model!H22=0,"",Model!H22)</f>
        <v/>
      </c>
      <c r="K24" s="206" t="str">
        <f aca="false">IF(Model!I22=0,"",Model!I22)</f>
        <v/>
      </c>
      <c r="L24" s="206" t="str">
        <f aca="false">IF(Model!J22=0,"",Model!J22)</f>
        <v/>
      </c>
      <c r="M24" s="206" t="str">
        <f aca="false">IF(Model!K22=0,"",Model!K22)</f>
        <v/>
      </c>
      <c r="N24" s="206" t="str">
        <f aca="false">IF(Model!L22=0,"",Model!L22)</f>
        <v/>
      </c>
      <c r="O24" s="206" t="str">
        <f aca="false">IF(Model!M22=0,"",Model!M22)</f>
        <v/>
      </c>
      <c r="P24" s="206" t="str">
        <f aca="false">IF(Model!N22=0,"",Model!N22)</f>
        <v/>
      </c>
      <c r="Q24" s="206" t="n">
        <f aca="false">IF(Model!O22=0,"",Model!O22)</f>
        <v>196306.31287205</v>
      </c>
      <c r="R24" s="206" t="n">
        <f aca="false">IF(Model!P22=0,"",Model!P22)</f>
        <v>256105.78146805</v>
      </c>
      <c r="S24" s="206" t="n">
        <f aca="false">IF(Model!Q22=0,"",Model!Q22)</f>
        <v>320473.53105705</v>
      </c>
      <c r="T24" s="206" t="n">
        <f aca="false">IF(Model!R22=0,"",Model!R22)</f>
        <v>386842.89642705</v>
      </c>
      <c r="U24" s="206" t="n">
        <f aca="false">IF(Model!S22=0,"",Model!S22)</f>
        <v>452024.70028105</v>
      </c>
      <c r="V24" s="206" t="n">
        <f aca="false">IF(Model!T22=0,"",Model!T22)</f>
        <v>512398.79541705</v>
      </c>
      <c r="W24" s="206" t="n">
        <f aca="false">IF(Model!U22=0,"",Model!U22)</f>
        <v>564258.84065205</v>
      </c>
      <c r="X24" s="206" t="n">
        <f aca="false">IF(Model!V22=0,"",Model!V22)</f>
        <v>604166.65385505</v>
      </c>
      <c r="Y24" s="206" t="n">
        <f aca="false">IF(Model!W22=0,"",Model!W22)</f>
        <v>629335.29630705</v>
      </c>
      <c r="Z24" s="206" t="n">
        <f aca="false">IF(Model!X22=0,"",Model!X22)</f>
        <v>637935.54018905</v>
      </c>
      <c r="AA24" s="206" t="n">
        <f aca="false">IF(Model!Y22=0,"",Model!Y22)</f>
        <v>629335.29630705</v>
      </c>
      <c r="AB24" s="206" t="n">
        <f aca="false">IF(Model!Z22=0,"",Model!Z22)</f>
        <v>604166.65385505</v>
      </c>
      <c r="AC24" s="206" t="n">
        <f aca="false">IF(Model!AA22=0,"",Model!AA22)</f>
        <v>564258.84065205</v>
      </c>
      <c r="AD24" s="206" t="n">
        <f aca="false">IF(Model!AB22=0,"",Model!AB22)</f>
        <v>512398.79541705</v>
      </c>
      <c r="AE24" s="206" t="n">
        <f aca="false">IF(Model!AC22=0,"",Model!AC22)</f>
        <v>452024.70028105</v>
      </c>
      <c r="AF24" s="206" t="n">
        <f aca="false">IF(Model!AD22=0,"",Model!AD22)</f>
        <v>386842.89642705</v>
      </c>
      <c r="AG24" s="206" t="n">
        <f aca="false">IF(Model!AE22=0,"",Model!AE22)</f>
        <v>320473.53105705</v>
      </c>
      <c r="AH24" s="206" t="n">
        <f aca="false">IF(Model!AF22=0,"",Model!AF22)</f>
        <v>256105.78146805</v>
      </c>
      <c r="AI24" s="206" t="n">
        <f aca="false">IF(Model!AG22=0,"",Model!AG22)</f>
        <v>138656.4263911</v>
      </c>
      <c r="AJ24" s="206" t="str">
        <f aca="false">IF(Model!AH22=0,"",Model!AH22)</f>
        <v/>
      </c>
      <c r="AK24" s="206" t="str">
        <f aca="false">IF(Model!AI22=0,"",Model!AI22)</f>
        <v/>
      </c>
      <c r="AL24" s="206" t="str">
        <f aca="false">IF(Model!AJ22=0,"",Model!AJ22)</f>
        <v/>
      </c>
      <c r="AM24" s="206" t="str">
        <f aca="false">IF(Model!AK22=0,"",Model!AK22)</f>
        <v/>
      </c>
      <c r="AN24" s="206" t="str">
        <f aca="false">IF(Model!AL22=0,"",Model!AL22)</f>
        <v/>
      </c>
      <c r="AO24" s="206" t="str">
        <f aca="false">IF(Model!AM22=0,"",Model!AM22)</f>
        <v/>
      </c>
      <c r="AP24" s="206" t="str">
        <f aca="false">IF(Model!AN22=0,"",Model!AN22)</f>
        <v/>
      </c>
      <c r="AQ24" s="206" t="str">
        <f aca="false">IF(Model!AO22=0,"",Model!AO22)</f>
        <v/>
      </c>
      <c r="AR24" s="206" t="str">
        <f aca="false">IF(Model!AP22=0,"",Model!AP22)</f>
        <v/>
      </c>
      <c r="AS24" s="206" t="str">
        <f aca="false">IF(Model!AQ22=0,"",Model!AQ22)</f>
        <v/>
      </c>
      <c r="AT24" s="206" t="str">
        <f aca="false">IF(Model!AR22=0,"",Model!AR22)</f>
        <v/>
      </c>
      <c r="AU24" s="206" t="str">
        <f aca="false">IF(Model!AS22=0,"",Model!AS22)</f>
        <v/>
      </c>
      <c r="AV24" s="206" t="str">
        <f aca="false">IF(Model!AT22=0,"",Model!AT22)</f>
        <v/>
      </c>
      <c r="AW24" s="206" t="str">
        <f aca="false">IF(Model!AU22=0,"",Model!AU22)</f>
        <v/>
      </c>
      <c r="AX24" s="206" t="str">
        <f aca="false">IF(Model!AV22=0,"",Model!AV22)</f>
        <v/>
      </c>
      <c r="AY24" s="206" t="str">
        <f aca="false">IF(Model!AW22=0,"",Model!AW22)</f>
        <v/>
      </c>
      <c r="AZ24" s="206" t="str">
        <f aca="false">IF(Model!AX22=0,"",Model!AX22)</f>
        <v/>
      </c>
      <c r="BA24" s="206" t="str">
        <f aca="false">IF(Model!AY22=0,"",Model!AY22)</f>
        <v/>
      </c>
      <c r="BB24" s="206" t="str">
        <f aca="false">IF(Model!AZ22=0,"",Model!AZ22)</f>
        <v/>
      </c>
      <c r="BC24" s="206" t="str">
        <f aca="false">IF(Model!BA22=0,"",Model!BA22)</f>
        <v/>
      </c>
      <c r="BD24" s="206" t="str">
        <f aca="false">IF(Model!BB22=0,"",Model!BB22)</f>
        <v/>
      </c>
      <c r="BE24" s="206" t="str">
        <f aca="false">IF(Model!BC22=0,"",Model!BC22)</f>
        <v/>
      </c>
      <c r="BF24" s="206" t="str">
        <f aca="false">IF(Model!BD22=0,"",Model!BD22)</f>
        <v/>
      </c>
      <c r="BG24" s="206" t="str">
        <f aca="false">IF(Model!BE22=0,"",Model!BE22)</f>
        <v/>
      </c>
      <c r="BH24" s="206" t="str">
        <f aca="false">IF(Model!BF22=0,"",Model!BF22)</f>
        <v/>
      </c>
      <c r="BI24" s="206" t="str">
        <f aca="false">IF(Model!BG22=0,"",Model!BG22)</f>
        <v/>
      </c>
      <c r="BJ24" s="206" t="str">
        <f aca="false">IF(Model!BH22=0,"",Model!BH22)</f>
        <v/>
      </c>
      <c r="BK24" s="206" t="str">
        <f aca="false">IF(Model!BI22=0,"",Model!BI22)</f>
        <v/>
      </c>
      <c r="BL24" s="206" t="str">
        <f aca="false">IF(Model!BJ22=0,"",Model!BJ22)</f>
        <v/>
      </c>
      <c r="BM24" s="206" t="str">
        <f aca="false">IF(Model!BK22=0,"",Model!BK22)</f>
        <v/>
      </c>
      <c r="BN24" s="206" t="str">
        <f aca="false">IF(Model!BL22=0,"",Model!BL22)</f>
        <v/>
      </c>
      <c r="BO24" s="206" t="str">
        <f aca="false">IF(Model!BM22=0,"",Model!BM22)</f>
        <v/>
      </c>
      <c r="BP24" s="206" t="str">
        <f aca="false">IF(Model!BN22=0,"",Model!BN22)</f>
        <v/>
      </c>
      <c r="BQ24" s="206" t="str">
        <f aca="false">IF(Model!BO22=0,"",Model!BO22)</f>
        <v/>
      </c>
      <c r="BR24" s="206" t="str">
        <f aca="false">IF(Model!BP22=0,"",Model!BP22)</f>
        <v/>
      </c>
      <c r="BS24" s="206" t="str">
        <f aca="false">IF(Model!BQ22=0,"",Model!BQ22)</f>
        <v/>
      </c>
      <c r="BT24" s="206" t="str">
        <f aca="false">IF(Model!BR22=0,"",Model!BR22)</f>
        <v/>
      </c>
      <c r="BU24" s="206" t="str">
        <f aca="false">IF(Model!BS22=0,"",Model!BS22)</f>
        <v/>
      </c>
      <c r="BV24" s="206" t="str">
        <f aca="false">IF(Model!BT22=0,"",Model!BT22)</f>
        <v/>
      </c>
      <c r="BW24" s="206" t="str">
        <f aca="false">IF(Model!BU22=0,"",Model!BU22)</f>
        <v/>
      </c>
      <c r="BX24" s="206" t="str">
        <f aca="false">IF(Model!BV22=0,"",Model!BV22)</f>
        <v/>
      </c>
      <c r="BY24" s="206" t="str">
        <f aca="false">IF(Model!BW22=0,"",Model!BW22)</f>
        <v/>
      </c>
      <c r="BZ24" s="206" t="str">
        <f aca="false">IF(Model!BX22=0,"",Model!BX22)</f>
        <v/>
      </c>
      <c r="CA24" s="206" t="str">
        <f aca="false">IF(Model!BY22=0,"",Model!BY22)</f>
        <v/>
      </c>
      <c r="CB24" s="206" t="str">
        <f aca="false">IF(Model!BZ22=0,"",Model!BZ22)</f>
        <v/>
      </c>
      <c r="CC24" s="206" t="str">
        <f aca="false">IF(Model!CA22=0,"",Model!CA22)</f>
        <v/>
      </c>
      <c r="CD24" s="206" t="str">
        <f aca="false">IF(Model!CB22=0,"",Model!CB22)</f>
        <v/>
      </c>
      <c r="CE24" s="206" t="str">
        <f aca="false">IF(Model!CC22=0,"",Model!CC22)</f>
        <v/>
      </c>
      <c r="CF24" s="206" t="str">
        <f aca="false">IF(Model!CD22=0,"",Model!CD22)</f>
        <v/>
      </c>
      <c r="CG24" s="206" t="str">
        <f aca="false">IF(Model!CE22=0,"",Model!CE22)</f>
        <v/>
      </c>
      <c r="CH24" s="206" t="str">
        <f aca="false">IF(Model!CF22=0,"",Model!CF22)</f>
        <v/>
      </c>
      <c r="CI24" s="206" t="str">
        <f aca="false">IF(Model!CG22=0,"",Model!CG22)</f>
        <v/>
      </c>
      <c r="CJ24" s="206" t="str">
        <f aca="false">IF(Model!CH22=0,"",Model!CH22)</f>
        <v/>
      </c>
      <c r="CK24" s="206" t="str">
        <f aca="false">IF(Model!CI22=0,"",Model!CI22)</f>
        <v/>
      </c>
      <c r="CL24" s="206" t="str">
        <f aca="false">IF(Model!CJ22=0,"",Model!CJ22)</f>
        <v/>
      </c>
      <c r="CM24" s="206" t="str">
        <f aca="false">IF(Model!CK22=0,"",Model!CK22)</f>
        <v/>
      </c>
      <c r="CN24" s="206" t="str">
        <f aca="false">IF(Model!CL22=0,"",Model!CL22)</f>
        <v/>
      </c>
      <c r="CO24" s="206" t="str">
        <f aca="false">IF(Model!CM22=0,"",Model!CM22)</f>
        <v/>
      </c>
      <c r="CP24" s="206" t="str">
        <f aca="false">IF(Model!CN22=0,"",Model!CN22)</f>
        <v/>
      </c>
      <c r="CQ24" s="206" t="str">
        <f aca="false">IF(Model!CO22=0,"",Model!CO22)</f>
        <v/>
      </c>
      <c r="CR24" s="206" t="str">
        <f aca="false">IF(Model!CP22=0,"",Model!CP22)</f>
        <v/>
      </c>
      <c r="CS24" s="206" t="str">
        <f aca="false">IF(Model!CQ22=0,"",Model!CQ22)</f>
        <v/>
      </c>
      <c r="CT24" s="206" t="str">
        <f aca="false">IF(Model!CR22=0,"",Model!CR22)</f>
        <v/>
      </c>
      <c r="CU24" s="206" t="str">
        <f aca="false">IF(Model!CS22=0,"",Model!CS22)</f>
        <v/>
      </c>
      <c r="CV24" s="206" t="str">
        <f aca="false">IF(Model!CT22=0,"",Model!CT22)</f>
        <v/>
      </c>
      <c r="CW24" s="206" t="str">
        <f aca="false">IF(Model!CU22=0,"",Model!CU22)</f>
        <v/>
      </c>
      <c r="CX24" s="206" t="str">
        <f aca="false">IF(Model!CV22=0,"",Model!CV22)</f>
        <v/>
      </c>
      <c r="CY24" s="206" t="str">
        <f aca="false">IF(Model!CW22=0,"",Model!CW22)</f>
        <v/>
      </c>
      <c r="CZ24" s="206" t="str">
        <f aca="false">IF(Model!CX22=0,"",Model!CX22)</f>
        <v/>
      </c>
      <c r="DA24" s="206" t="str">
        <f aca="false">IF(Model!CY22=0,"",Model!CY22)</f>
        <v/>
      </c>
      <c r="DB24" s="206" t="str">
        <f aca="false">IF(Model!CZ22=0,"",Model!CZ22)</f>
        <v/>
      </c>
    </row>
    <row r="25" customFormat="false" ht="15" hidden="false" customHeight="true" outlineLevel="0" collapsed="false">
      <c r="A25" s="123" t="s">
        <v>17</v>
      </c>
      <c r="B25" s="203" t="n">
        <f aca="false">Projects!$B$12</f>
        <v>7545203</v>
      </c>
      <c r="C25" s="204" t="n">
        <f aca="false">EDATE(Model!$E$2,Projects!$C$12-1)</f>
        <v>46388</v>
      </c>
      <c r="D25" s="204" t="n">
        <f aca="false">EDATE(Model!$E$2,Projects!$C$12+Projects!$D$12-2)</f>
        <v>46935</v>
      </c>
      <c r="E25" s="205" t="n">
        <f aca="false">Projects!$D$12</f>
        <v>19</v>
      </c>
      <c r="F25" s="203" t="n">
        <f aca="false">SUM(G25:DB25)</f>
        <v>6636828.465627</v>
      </c>
      <c r="G25" s="206" t="str">
        <f aca="false">IF(Model!E23=0,"",Model!E23)</f>
        <v/>
      </c>
      <c r="H25" s="206" t="str">
        <f aca="false">IF(Model!F23=0,"",Model!F23)</f>
        <v/>
      </c>
      <c r="I25" s="206" t="str">
        <f aca="false">IF(Model!G23=0,"",Model!G23)</f>
        <v/>
      </c>
      <c r="J25" s="206" t="str">
        <f aca="false">IF(Model!H23=0,"",Model!H23)</f>
        <v/>
      </c>
      <c r="K25" s="206" t="str">
        <f aca="false">IF(Model!I23=0,"",Model!I23)</f>
        <v/>
      </c>
      <c r="L25" s="206" t="str">
        <f aca="false">IF(Model!J23=0,"",Model!J23)</f>
        <v/>
      </c>
      <c r="M25" s="206" t="str">
        <f aca="false">IF(Model!K23=0,"",Model!K23)</f>
        <v/>
      </c>
      <c r="N25" s="206" t="str">
        <f aca="false">IF(Model!L23=0,"",Model!L23)</f>
        <v/>
      </c>
      <c r="O25" s="206" t="str">
        <f aca="false">IF(Model!M23=0,"",Model!M23)</f>
        <v/>
      </c>
      <c r="P25" s="206" t="n">
        <f aca="false">IF(Model!N23=0,"",Model!N23)</f>
        <v>154657.42123235</v>
      </c>
      <c r="Q25" s="206" t="n">
        <f aca="false">IF(Model!O23=0,"",Model!O23)</f>
        <v>201769.66876435</v>
      </c>
      <c r="R25" s="206" t="n">
        <f aca="false">IF(Model!P23=0,"",Model!P23)</f>
        <v>252480.97812735</v>
      </c>
      <c r="S25" s="206" t="n">
        <f aca="false">IF(Model!Q23=0,"",Model!Q23)</f>
        <v>304769.23491735</v>
      </c>
      <c r="T25" s="206" t="n">
        <f aca="false">IF(Model!R23=0,"",Model!R23)</f>
        <v>356121.88653535</v>
      </c>
      <c r="U25" s="206" t="n">
        <f aca="false">IF(Model!S23=0,"",Model!S23)</f>
        <v>403686.84624735</v>
      </c>
      <c r="V25" s="206" t="n">
        <f aca="false">IF(Model!T23=0,"",Model!T23)</f>
        <v>444544.12049235</v>
      </c>
      <c r="W25" s="206" t="n">
        <f aca="false">IF(Model!U23=0,"",Model!U23)</f>
        <v>475984.98139335</v>
      </c>
      <c r="X25" s="206" t="n">
        <f aca="false">IF(Model!V23=0,"",Model!V23)</f>
        <v>495813.77487735</v>
      </c>
      <c r="Y25" s="206" t="n">
        <f aca="false">IF(Model!W23=0,"",Model!W23)</f>
        <v>502589.36717135</v>
      </c>
      <c r="Z25" s="206" t="n">
        <f aca="false">IF(Model!X23=0,"",Model!X23)</f>
        <v>495813.77487735</v>
      </c>
      <c r="AA25" s="206" t="n">
        <f aca="false">IF(Model!Y23=0,"",Model!Y23)</f>
        <v>475984.98139335</v>
      </c>
      <c r="AB25" s="206" t="n">
        <f aca="false">IF(Model!Z23=0,"",Model!Z23)</f>
        <v>444544.12049235</v>
      </c>
      <c r="AC25" s="206" t="n">
        <f aca="false">IF(Model!AA23=0,"",Model!AA23)</f>
        <v>403686.84624735</v>
      </c>
      <c r="AD25" s="206" t="n">
        <f aca="false">IF(Model!AB23=0,"",Model!AB23)</f>
        <v>356121.88653535</v>
      </c>
      <c r="AE25" s="206" t="n">
        <f aca="false">IF(Model!AC23=0,"",Model!AC23)</f>
        <v>304769.23491735</v>
      </c>
      <c r="AF25" s="206" t="n">
        <f aca="false">IF(Model!AD23=0,"",Model!AD23)</f>
        <v>252480.97812735</v>
      </c>
      <c r="AG25" s="206" t="n">
        <f aca="false">IF(Model!AE23=0,"",Model!AE23)</f>
        <v>201769.66876435</v>
      </c>
      <c r="AH25" s="206" t="n">
        <f aca="false">IF(Model!AF23=0,"",Model!AF23)</f>
        <v>109238.6945137</v>
      </c>
      <c r="AI25" s="206" t="str">
        <f aca="false">IF(Model!AG23=0,"",Model!AG23)</f>
        <v/>
      </c>
      <c r="AJ25" s="206" t="str">
        <f aca="false">IF(Model!AH23=0,"",Model!AH23)</f>
        <v/>
      </c>
      <c r="AK25" s="206" t="str">
        <f aca="false">IF(Model!AI23=0,"",Model!AI23)</f>
        <v/>
      </c>
      <c r="AL25" s="206" t="str">
        <f aca="false">IF(Model!AJ23=0,"",Model!AJ23)</f>
        <v/>
      </c>
      <c r="AM25" s="206" t="str">
        <f aca="false">IF(Model!AK23=0,"",Model!AK23)</f>
        <v/>
      </c>
      <c r="AN25" s="206" t="str">
        <f aca="false">IF(Model!AL23=0,"",Model!AL23)</f>
        <v/>
      </c>
      <c r="AO25" s="206" t="str">
        <f aca="false">IF(Model!AM23=0,"",Model!AM23)</f>
        <v/>
      </c>
      <c r="AP25" s="206" t="str">
        <f aca="false">IF(Model!AN23=0,"",Model!AN23)</f>
        <v/>
      </c>
      <c r="AQ25" s="206" t="str">
        <f aca="false">IF(Model!AO23=0,"",Model!AO23)</f>
        <v/>
      </c>
      <c r="AR25" s="206" t="str">
        <f aca="false">IF(Model!AP23=0,"",Model!AP23)</f>
        <v/>
      </c>
      <c r="AS25" s="206" t="str">
        <f aca="false">IF(Model!AQ23=0,"",Model!AQ23)</f>
        <v/>
      </c>
      <c r="AT25" s="206" t="str">
        <f aca="false">IF(Model!AR23=0,"",Model!AR23)</f>
        <v/>
      </c>
      <c r="AU25" s="206" t="str">
        <f aca="false">IF(Model!AS23=0,"",Model!AS23)</f>
        <v/>
      </c>
      <c r="AV25" s="206" t="str">
        <f aca="false">IF(Model!AT23=0,"",Model!AT23)</f>
        <v/>
      </c>
      <c r="AW25" s="206" t="str">
        <f aca="false">IF(Model!AU23=0,"",Model!AU23)</f>
        <v/>
      </c>
      <c r="AX25" s="206" t="str">
        <f aca="false">IF(Model!AV23=0,"",Model!AV23)</f>
        <v/>
      </c>
      <c r="AY25" s="206" t="str">
        <f aca="false">IF(Model!AW23=0,"",Model!AW23)</f>
        <v/>
      </c>
      <c r="AZ25" s="206" t="str">
        <f aca="false">IF(Model!AX23=0,"",Model!AX23)</f>
        <v/>
      </c>
      <c r="BA25" s="206" t="str">
        <f aca="false">IF(Model!AY23=0,"",Model!AY23)</f>
        <v/>
      </c>
      <c r="BB25" s="206" t="str">
        <f aca="false">IF(Model!AZ23=0,"",Model!AZ23)</f>
        <v/>
      </c>
      <c r="BC25" s="206" t="str">
        <f aca="false">IF(Model!BA23=0,"",Model!BA23)</f>
        <v/>
      </c>
      <c r="BD25" s="206" t="str">
        <f aca="false">IF(Model!BB23=0,"",Model!BB23)</f>
        <v/>
      </c>
      <c r="BE25" s="206" t="str">
        <f aca="false">IF(Model!BC23=0,"",Model!BC23)</f>
        <v/>
      </c>
      <c r="BF25" s="206" t="str">
        <f aca="false">IF(Model!BD23=0,"",Model!BD23)</f>
        <v/>
      </c>
      <c r="BG25" s="206" t="str">
        <f aca="false">IF(Model!BE23=0,"",Model!BE23)</f>
        <v/>
      </c>
      <c r="BH25" s="206" t="str">
        <f aca="false">IF(Model!BF23=0,"",Model!BF23)</f>
        <v/>
      </c>
      <c r="BI25" s="206" t="str">
        <f aca="false">IF(Model!BG23=0,"",Model!BG23)</f>
        <v/>
      </c>
      <c r="BJ25" s="206" t="str">
        <f aca="false">IF(Model!BH23=0,"",Model!BH23)</f>
        <v/>
      </c>
      <c r="BK25" s="206" t="str">
        <f aca="false">IF(Model!BI23=0,"",Model!BI23)</f>
        <v/>
      </c>
      <c r="BL25" s="206" t="str">
        <f aca="false">IF(Model!BJ23=0,"",Model!BJ23)</f>
        <v/>
      </c>
      <c r="BM25" s="206" t="str">
        <f aca="false">IF(Model!BK23=0,"",Model!BK23)</f>
        <v/>
      </c>
      <c r="BN25" s="206" t="str">
        <f aca="false">IF(Model!BL23=0,"",Model!BL23)</f>
        <v/>
      </c>
      <c r="BO25" s="206" t="str">
        <f aca="false">IF(Model!BM23=0,"",Model!BM23)</f>
        <v/>
      </c>
      <c r="BP25" s="206" t="str">
        <f aca="false">IF(Model!BN23=0,"",Model!BN23)</f>
        <v/>
      </c>
      <c r="BQ25" s="206" t="str">
        <f aca="false">IF(Model!BO23=0,"",Model!BO23)</f>
        <v/>
      </c>
      <c r="BR25" s="206" t="str">
        <f aca="false">IF(Model!BP23=0,"",Model!BP23)</f>
        <v/>
      </c>
      <c r="BS25" s="206" t="str">
        <f aca="false">IF(Model!BQ23=0,"",Model!BQ23)</f>
        <v/>
      </c>
      <c r="BT25" s="206" t="str">
        <f aca="false">IF(Model!BR23=0,"",Model!BR23)</f>
        <v/>
      </c>
      <c r="BU25" s="206" t="str">
        <f aca="false">IF(Model!BS23=0,"",Model!BS23)</f>
        <v/>
      </c>
      <c r="BV25" s="206" t="str">
        <f aca="false">IF(Model!BT23=0,"",Model!BT23)</f>
        <v/>
      </c>
      <c r="BW25" s="206" t="str">
        <f aca="false">IF(Model!BU23=0,"",Model!BU23)</f>
        <v/>
      </c>
      <c r="BX25" s="206" t="str">
        <f aca="false">IF(Model!BV23=0,"",Model!BV23)</f>
        <v/>
      </c>
      <c r="BY25" s="206" t="str">
        <f aca="false">IF(Model!BW23=0,"",Model!BW23)</f>
        <v/>
      </c>
      <c r="BZ25" s="206" t="str">
        <f aca="false">IF(Model!BX23=0,"",Model!BX23)</f>
        <v/>
      </c>
      <c r="CA25" s="206" t="str">
        <f aca="false">IF(Model!BY23=0,"",Model!BY23)</f>
        <v/>
      </c>
      <c r="CB25" s="206" t="str">
        <f aca="false">IF(Model!BZ23=0,"",Model!BZ23)</f>
        <v/>
      </c>
      <c r="CC25" s="206" t="str">
        <f aca="false">IF(Model!CA23=0,"",Model!CA23)</f>
        <v/>
      </c>
      <c r="CD25" s="206" t="str">
        <f aca="false">IF(Model!CB23=0,"",Model!CB23)</f>
        <v/>
      </c>
      <c r="CE25" s="206" t="str">
        <f aca="false">IF(Model!CC23=0,"",Model!CC23)</f>
        <v/>
      </c>
      <c r="CF25" s="206" t="str">
        <f aca="false">IF(Model!CD23=0,"",Model!CD23)</f>
        <v/>
      </c>
      <c r="CG25" s="206" t="str">
        <f aca="false">IF(Model!CE23=0,"",Model!CE23)</f>
        <v/>
      </c>
      <c r="CH25" s="206" t="str">
        <f aca="false">IF(Model!CF23=0,"",Model!CF23)</f>
        <v/>
      </c>
      <c r="CI25" s="206" t="str">
        <f aca="false">IF(Model!CG23=0,"",Model!CG23)</f>
        <v/>
      </c>
      <c r="CJ25" s="206" t="str">
        <f aca="false">IF(Model!CH23=0,"",Model!CH23)</f>
        <v/>
      </c>
      <c r="CK25" s="206" t="str">
        <f aca="false">IF(Model!CI23=0,"",Model!CI23)</f>
        <v/>
      </c>
      <c r="CL25" s="206" t="str">
        <f aca="false">IF(Model!CJ23=0,"",Model!CJ23)</f>
        <v/>
      </c>
      <c r="CM25" s="206" t="str">
        <f aca="false">IF(Model!CK23=0,"",Model!CK23)</f>
        <v/>
      </c>
      <c r="CN25" s="206" t="str">
        <f aca="false">IF(Model!CL23=0,"",Model!CL23)</f>
        <v/>
      </c>
      <c r="CO25" s="206" t="str">
        <f aca="false">IF(Model!CM23=0,"",Model!CM23)</f>
        <v/>
      </c>
      <c r="CP25" s="206" t="str">
        <f aca="false">IF(Model!CN23=0,"",Model!CN23)</f>
        <v/>
      </c>
      <c r="CQ25" s="206" t="str">
        <f aca="false">IF(Model!CO23=0,"",Model!CO23)</f>
        <v/>
      </c>
      <c r="CR25" s="206" t="str">
        <f aca="false">IF(Model!CP23=0,"",Model!CP23)</f>
        <v/>
      </c>
      <c r="CS25" s="206" t="str">
        <f aca="false">IF(Model!CQ23=0,"",Model!CQ23)</f>
        <v/>
      </c>
      <c r="CT25" s="206" t="str">
        <f aca="false">IF(Model!CR23=0,"",Model!CR23)</f>
        <v/>
      </c>
      <c r="CU25" s="206" t="str">
        <f aca="false">IF(Model!CS23=0,"",Model!CS23)</f>
        <v/>
      </c>
      <c r="CV25" s="206" t="str">
        <f aca="false">IF(Model!CT23=0,"",Model!CT23)</f>
        <v/>
      </c>
      <c r="CW25" s="206" t="str">
        <f aca="false">IF(Model!CU23=0,"",Model!CU23)</f>
        <v/>
      </c>
      <c r="CX25" s="206" t="str">
        <f aca="false">IF(Model!CV23=0,"",Model!CV23)</f>
        <v/>
      </c>
      <c r="CY25" s="206" t="str">
        <f aca="false">IF(Model!CW23=0,"",Model!CW23)</f>
        <v/>
      </c>
      <c r="CZ25" s="206" t="str">
        <f aca="false">IF(Model!CX23=0,"",Model!CX23)</f>
        <v/>
      </c>
      <c r="DA25" s="206" t="str">
        <f aca="false">IF(Model!CY23=0,"",Model!CY23)</f>
        <v/>
      </c>
      <c r="DB25" s="206" t="str">
        <f aca="false">IF(Model!CZ23=0,"",Model!CZ23)</f>
        <v/>
      </c>
    </row>
    <row r="26" customFormat="false" ht="15" hidden="false" customHeight="true" outlineLevel="0" collapsed="false">
      <c r="A26" s="123" t="s">
        <v>23</v>
      </c>
      <c r="B26" s="203" t="n">
        <f aca="false">Projects!$B$20</f>
        <v>25026330.58</v>
      </c>
      <c r="C26" s="204" t="n">
        <f aca="false">EDATE(Model!$E$2,Projects!$C$20-1)</f>
        <v>46661</v>
      </c>
      <c r="D26" s="204" t="n">
        <f aca="false">EDATE(Model!$E$2,Projects!$C$20+Projects!$D$20-2)</f>
        <v>47362</v>
      </c>
      <c r="E26" s="205" t="n">
        <f aca="false">Projects!$D$20</f>
        <v>24</v>
      </c>
      <c r="F26" s="203" t="n">
        <f aca="false">SUM(G26:DB26)</f>
        <v>22013385.6151432</v>
      </c>
      <c r="G26" s="206" t="str">
        <f aca="false">IF(Model!E29=0,"",Model!E29)</f>
        <v/>
      </c>
      <c r="H26" s="206" t="str">
        <f aca="false">IF(Model!F29=0,"",Model!F29)</f>
        <v/>
      </c>
      <c r="I26" s="206" t="str">
        <f aca="false">IF(Model!G29=0,"",Model!G29)</f>
        <v/>
      </c>
      <c r="J26" s="206" t="str">
        <f aca="false">IF(Model!H29=0,"",Model!H29)</f>
        <v/>
      </c>
      <c r="K26" s="206" t="str">
        <f aca="false">IF(Model!I29=0,"",Model!I29)</f>
        <v/>
      </c>
      <c r="L26" s="206" t="str">
        <f aca="false">IF(Model!J29=0,"",Model!J29)</f>
        <v/>
      </c>
      <c r="M26" s="206" t="str">
        <f aca="false">IF(Model!K29=0,"",Model!K29)</f>
        <v/>
      </c>
      <c r="N26" s="206" t="str">
        <f aca="false">IF(Model!L29=0,"",Model!L29)</f>
        <v/>
      </c>
      <c r="O26" s="206" t="str">
        <f aca="false">IF(Model!M29=0,"",Model!M29)</f>
        <v/>
      </c>
      <c r="P26" s="206" t="str">
        <f aca="false">IF(Model!N29=0,"",Model!N29)</f>
        <v/>
      </c>
      <c r="Q26" s="206" t="str">
        <f aca="false">IF(Model!O29=0,"",Model!O29)</f>
        <v/>
      </c>
      <c r="R26" s="206" t="str">
        <f aca="false">IF(Model!P29=0,"",Model!P29)</f>
        <v/>
      </c>
      <c r="S26" s="206" t="str">
        <f aca="false">IF(Model!Q29=0,"",Model!Q29)</f>
        <v/>
      </c>
      <c r="T26" s="206" t="str">
        <f aca="false">IF(Model!R29=0,"",Model!R29)</f>
        <v/>
      </c>
      <c r="U26" s="206" t="str">
        <f aca="false">IF(Model!S29=0,"",Model!S29)</f>
        <v/>
      </c>
      <c r="V26" s="206" t="str">
        <f aca="false">IF(Model!T29=0,"",Model!T29)</f>
        <v/>
      </c>
      <c r="W26" s="206" t="str">
        <f aca="false">IF(Model!U29=0,"",Model!U29)</f>
        <v/>
      </c>
      <c r="X26" s="206" t="str">
        <f aca="false">IF(Model!V29=0,"",Model!V29)</f>
        <v/>
      </c>
      <c r="Y26" s="206" t="n">
        <f aca="false">IF(Model!W29=0,"",Model!W29)</f>
        <v>544360.803130946</v>
      </c>
      <c r="Z26" s="206" t="n">
        <f aca="false">IF(Model!X29=0,"",Model!X29)</f>
        <v>700625.211272466</v>
      </c>
      <c r="AA26" s="206" t="n">
        <f aca="false">IF(Model!Y29=0,"",Model!Y29)</f>
        <v>868827.179100646</v>
      </c>
      <c r="AB26" s="206" t="n">
        <f aca="false">IF(Model!Z29=0,"",Model!Z29)</f>
        <v>1042259.65002005</v>
      </c>
      <c r="AC26" s="206" t="n">
        <f aca="false">IF(Model!AA29=0,"",Model!AA29)</f>
        <v>1212588.85594753</v>
      </c>
      <c r="AD26" s="206" t="n">
        <f aca="false">IF(Model!AB29=0,"",Model!AB29)</f>
        <v>1370354.84392385</v>
      </c>
      <c r="AE26" s="206" t="n">
        <f aca="false">IF(Model!AC29=0,"",Model!AC29)</f>
        <v>1505872.42401455</v>
      </c>
      <c r="AF26" s="206" t="n">
        <f aca="false">IF(Model!AD29=0,"",Model!AD29)</f>
        <v>1610157.14354141</v>
      </c>
      <c r="AG26" s="206" t="n">
        <f aca="false">IF(Model!AE29=0,"",Model!AE29)</f>
        <v>1675926.34030565</v>
      </c>
      <c r="AH26" s="206" t="n">
        <f aca="false">IF(Model!AF29=0,"",Model!AF29)</f>
        <v>1698399.98516649</v>
      </c>
      <c r="AI26" s="206" t="n">
        <f aca="false">IF(Model!AG29=0,"",Model!AG29)</f>
        <v>1675926.34030565</v>
      </c>
      <c r="AJ26" s="206" t="n">
        <f aca="false">IF(Model!AH29=0,"",Model!AH29)</f>
        <v>1610157.14354141</v>
      </c>
      <c r="AK26" s="206" t="n">
        <f aca="false">IF(Model!AI29=0,"",Model!AI29)</f>
        <v>1505872.42401455</v>
      </c>
      <c r="AL26" s="206" t="n">
        <f aca="false">IF(Model!AJ29=0,"",Model!AJ29)</f>
        <v>1370354.84392385</v>
      </c>
      <c r="AM26" s="206" t="n">
        <f aca="false">IF(Model!AK29=0,"",Model!AK29)</f>
        <v>1212588.85594753</v>
      </c>
      <c r="AN26" s="206" t="n">
        <f aca="false">IF(Model!AL29=0,"",Model!AL29)</f>
        <v>1042259.65002005</v>
      </c>
      <c r="AO26" s="206" t="n">
        <f aca="false">IF(Model!AM29=0,"",Model!AM29)</f>
        <v>868827.179100646</v>
      </c>
      <c r="AP26" s="206" t="n">
        <f aca="false">IF(Model!AN29=0,"",Model!AN29)</f>
        <v>700625.211272466</v>
      </c>
      <c r="AQ26" s="206" t="n">
        <f aca="false">IF(Model!AO29=0,"",Model!AO29)</f>
        <v>544360.803130946</v>
      </c>
      <c r="AR26" s="206" t="n">
        <f aca="false">IF(Model!AP29=0,"",Model!AP29)</f>
        <v>-119262.404858914</v>
      </c>
      <c r="AS26" s="206" t="n">
        <f aca="false">IF(Model!AQ29=0,"",Model!AQ29)</f>
        <v>-119262.404858914</v>
      </c>
      <c r="AT26" s="206" t="n">
        <f aca="false">IF(Model!AR29=0,"",Model!AR29)</f>
        <v>-119262.404858914</v>
      </c>
      <c r="AU26" s="206" t="n">
        <f aca="false">IF(Model!AS29=0,"",Model!AS29)</f>
        <v>-119262.404858914</v>
      </c>
      <c r="AV26" s="206" t="n">
        <f aca="false">IF(Model!AT29=0,"",Model!AT29)</f>
        <v>-269909.653101753</v>
      </c>
      <c r="AW26" s="206" t="str">
        <f aca="false">IF(Model!AU29=0,"",Model!AU29)</f>
        <v/>
      </c>
      <c r="AX26" s="206" t="str">
        <f aca="false">IF(Model!AV29=0,"",Model!AV29)</f>
        <v/>
      </c>
      <c r="AY26" s="206" t="str">
        <f aca="false">IF(Model!AW29=0,"",Model!AW29)</f>
        <v/>
      </c>
      <c r="AZ26" s="206" t="str">
        <f aca="false">IF(Model!AX29=0,"",Model!AX29)</f>
        <v/>
      </c>
      <c r="BA26" s="206" t="str">
        <f aca="false">IF(Model!AY29=0,"",Model!AY29)</f>
        <v/>
      </c>
      <c r="BB26" s="206" t="str">
        <f aca="false">IF(Model!AZ29=0,"",Model!AZ29)</f>
        <v/>
      </c>
      <c r="BC26" s="206" t="str">
        <f aca="false">IF(Model!BA29=0,"",Model!BA29)</f>
        <v/>
      </c>
      <c r="BD26" s="206" t="str">
        <f aca="false">IF(Model!BB29=0,"",Model!BB29)</f>
        <v/>
      </c>
      <c r="BE26" s="206" t="str">
        <f aca="false">IF(Model!BC29=0,"",Model!BC29)</f>
        <v/>
      </c>
      <c r="BF26" s="206" t="str">
        <f aca="false">IF(Model!BD29=0,"",Model!BD29)</f>
        <v/>
      </c>
      <c r="BG26" s="206" t="str">
        <f aca="false">IF(Model!BE29=0,"",Model!BE29)</f>
        <v/>
      </c>
      <c r="BH26" s="206" t="str">
        <f aca="false">IF(Model!BF29=0,"",Model!BF29)</f>
        <v/>
      </c>
      <c r="BI26" s="206" t="str">
        <f aca="false">IF(Model!BG29=0,"",Model!BG29)</f>
        <v/>
      </c>
      <c r="BJ26" s="206" t="str">
        <f aca="false">IF(Model!BH29=0,"",Model!BH29)</f>
        <v/>
      </c>
      <c r="BK26" s="206" t="str">
        <f aca="false">IF(Model!BI29=0,"",Model!BI29)</f>
        <v/>
      </c>
      <c r="BL26" s="206" t="str">
        <f aca="false">IF(Model!BJ29=0,"",Model!BJ29)</f>
        <v/>
      </c>
      <c r="BM26" s="206" t="str">
        <f aca="false">IF(Model!BK29=0,"",Model!BK29)</f>
        <v/>
      </c>
      <c r="BN26" s="206" t="str">
        <f aca="false">IF(Model!BL29=0,"",Model!BL29)</f>
        <v/>
      </c>
      <c r="BO26" s="206" t="str">
        <f aca="false">IF(Model!BM29=0,"",Model!BM29)</f>
        <v/>
      </c>
      <c r="BP26" s="206" t="str">
        <f aca="false">IF(Model!BN29=0,"",Model!BN29)</f>
        <v/>
      </c>
      <c r="BQ26" s="206" t="str">
        <f aca="false">IF(Model!BO29=0,"",Model!BO29)</f>
        <v/>
      </c>
      <c r="BR26" s="206" t="str">
        <f aca="false">IF(Model!BP29=0,"",Model!BP29)</f>
        <v/>
      </c>
      <c r="BS26" s="206" t="str">
        <f aca="false">IF(Model!BQ29=0,"",Model!BQ29)</f>
        <v/>
      </c>
      <c r="BT26" s="206" t="str">
        <f aca="false">IF(Model!BR29=0,"",Model!BR29)</f>
        <v/>
      </c>
      <c r="BU26" s="206" t="str">
        <f aca="false">IF(Model!BS29=0,"",Model!BS29)</f>
        <v/>
      </c>
      <c r="BV26" s="206" t="str">
        <f aca="false">IF(Model!BT29=0,"",Model!BT29)</f>
        <v/>
      </c>
      <c r="BW26" s="206" t="str">
        <f aca="false">IF(Model!BU29=0,"",Model!BU29)</f>
        <v/>
      </c>
      <c r="BX26" s="206" t="str">
        <f aca="false">IF(Model!BV29=0,"",Model!BV29)</f>
        <v/>
      </c>
      <c r="BY26" s="206" t="str">
        <f aca="false">IF(Model!BW29=0,"",Model!BW29)</f>
        <v/>
      </c>
      <c r="BZ26" s="206" t="str">
        <f aca="false">IF(Model!BX29=0,"",Model!BX29)</f>
        <v/>
      </c>
      <c r="CA26" s="206" t="str">
        <f aca="false">IF(Model!BY29=0,"",Model!BY29)</f>
        <v/>
      </c>
      <c r="CB26" s="206" t="str">
        <f aca="false">IF(Model!BZ29=0,"",Model!BZ29)</f>
        <v/>
      </c>
      <c r="CC26" s="206" t="str">
        <f aca="false">IF(Model!CA29=0,"",Model!CA29)</f>
        <v/>
      </c>
      <c r="CD26" s="206" t="str">
        <f aca="false">IF(Model!CB29=0,"",Model!CB29)</f>
        <v/>
      </c>
      <c r="CE26" s="206" t="str">
        <f aca="false">IF(Model!CC29=0,"",Model!CC29)</f>
        <v/>
      </c>
      <c r="CF26" s="206" t="str">
        <f aca="false">IF(Model!CD29=0,"",Model!CD29)</f>
        <v/>
      </c>
      <c r="CG26" s="206" t="str">
        <f aca="false">IF(Model!CE29=0,"",Model!CE29)</f>
        <v/>
      </c>
      <c r="CH26" s="206" t="str">
        <f aca="false">IF(Model!CF29=0,"",Model!CF29)</f>
        <v/>
      </c>
      <c r="CI26" s="206" t="str">
        <f aca="false">IF(Model!CG29=0,"",Model!CG29)</f>
        <v/>
      </c>
      <c r="CJ26" s="206" t="str">
        <f aca="false">IF(Model!CH29=0,"",Model!CH29)</f>
        <v/>
      </c>
      <c r="CK26" s="206" t="str">
        <f aca="false">IF(Model!CI29=0,"",Model!CI29)</f>
        <v/>
      </c>
      <c r="CL26" s="206" t="str">
        <f aca="false">IF(Model!CJ29=0,"",Model!CJ29)</f>
        <v/>
      </c>
      <c r="CM26" s="206" t="str">
        <f aca="false">IF(Model!CK29=0,"",Model!CK29)</f>
        <v/>
      </c>
      <c r="CN26" s="206" t="str">
        <f aca="false">IF(Model!CL29=0,"",Model!CL29)</f>
        <v/>
      </c>
      <c r="CO26" s="206" t="str">
        <f aca="false">IF(Model!CM29=0,"",Model!CM29)</f>
        <v/>
      </c>
      <c r="CP26" s="206" t="str">
        <f aca="false">IF(Model!CN29=0,"",Model!CN29)</f>
        <v/>
      </c>
      <c r="CQ26" s="206" t="str">
        <f aca="false">IF(Model!CO29=0,"",Model!CO29)</f>
        <v/>
      </c>
      <c r="CR26" s="206" t="str">
        <f aca="false">IF(Model!CP29=0,"",Model!CP29)</f>
        <v/>
      </c>
      <c r="CS26" s="206" t="str">
        <f aca="false">IF(Model!CQ29=0,"",Model!CQ29)</f>
        <v/>
      </c>
      <c r="CT26" s="206" t="str">
        <f aca="false">IF(Model!CR29=0,"",Model!CR29)</f>
        <v/>
      </c>
      <c r="CU26" s="206" t="str">
        <f aca="false">IF(Model!CS29=0,"",Model!CS29)</f>
        <v/>
      </c>
      <c r="CV26" s="206" t="str">
        <f aca="false">IF(Model!CT29=0,"",Model!CT29)</f>
        <v/>
      </c>
      <c r="CW26" s="206" t="str">
        <f aca="false">IF(Model!CU29=0,"",Model!CU29)</f>
        <v/>
      </c>
      <c r="CX26" s="206" t="str">
        <f aca="false">IF(Model!CV29=0,"",Model!CV29)</f>
        <v/>
      </c>
      <c r="CY26" s="206" t="str">
        <f aca="false">IF(Model!CW29=0,"",Model!CW29)</f>
        <v/>
      </c>
      <c r="CZ26" s="206" t="str">
        <f aca="false">IF(Model!CX29=0,"",Model!CX29)</f>
        <v/>
      </c>
      <c r="DA26" s="206" t="str">
        <f aca="false">IF(Model!CY29=0,"",Model!CY29)</f>
        <v/>
      </c>
      <c r="DB26" s="206" t="str">
        <f aca="false">IF(Model!CZ29=0,"",Model!CZ29)</f>
        <v/>
      </c>
    </row>
    <row r="27" customFormat="false" ht="15" hidden="false" customHeight="true" outlineLevel="0" collapsed="false">
      <c r="A27" s="123" t="s">
        <v>24</v>
      </c>
      <c r="B27" s="203" t="n">
        <f aca="false">Projects!$B$21</f>
        <v>14935493</v>
      </c>
      <c r="C27" s="204" t="n">
        <f aca="false">EDATE(Model!$E$2,Projects!$C$21-1)</f>
        <v>46357</v>
      </c>
      <c r="D27" s="204" t="n">
        <f aca="false">EDATE(Model!$E$2,Projects!$C$21+Projects!$D$21-2)</f>
        <v>46935</v>
      </c>
      <c r="E27" s="205" t="n">
        <f aca="false">Projects!$D$21</f>
        <v>20</v>
      </c>
      <c r="F27" s="203" t="n">
        <f aca="false">SUM(G27:DB27)</f>
        <v>13320565</v>
      </c>
      <c r="G27" s="206" t="str">
        <f aca="false">IF(Model!E30=0,"",Model!E30)</f>
        <v/>
      </c>
      <c r="H27" s="206" t="str">
        <f aca="false">IF(Model!F30=0,"",Model!F30)</f>
        <v/>
      </c>
      <c r="I27" s="206" t="str">
        <f aca="false">IF(Model!G30=0,"",Model!G30)</f>
        <v/>
      </c>
      <c r="J27" s="206" t="str">
        <f aca="false">IF(Model!H30=0,"",Model!H30)</f>
        <v/>
      </c>
      <c r="K27" s="206" t="str">
        <f aca="false">IF(Model!I30=0,"",Model!I30)</f>
        <v/>
      </c>
      <c r="L27" s="206" t="str">
        <f aca="false">IF(Model!J30=0,"",Model!J30)</f>
        <v/>
      </c>
      <c r="M27" s="206" t="str">
        <f aca="false">IF(Model!K30=0,"",Model!K30)</f>
        <v/>
      </c>
      <c r="N27" s="206" t="str">
        <f aca="false">IF(Model!L30=0,"",Model!L30)</f>
        <v/>
      </c>
      <c r="O27" s="206" t="n">
        <f aca="false">IF(Model!M30=0,"",Model!M30)</f>
        <v>300000.450999356</v>
      </c>
      <c r="P27" s="206" t="n">
        <f aca="false">IF(Model!N30=0,"",Model!N30)</f>
        <v>382052.01181668</v>
      </c>
      <c r="Q27" s="206" t="n">
        <f aca="false">IF(Model!O30=0,"",Model!O30)</f>
        <v>472250.553751396</v>
      </c>
      <c r="R27" s="206" t="n">
        <f aca="false">IF(Model!P30=0,"",Model!P30)</f>
        <v>565406.855777904</v>
      </c>
      <c r="S27" s="206" t="n">
        <f aca="false">IF(Model!Q30=0,"",Model!Q30)</f>
        <v>657569.069128027</v>
      </c>
      <c r="T27" s="206" t="n">
        <f aca="false">IF(Model!R30=0,"",Model!R30)</f>
        <v>744252.607264895</v>
      </c>
      <c r="U27" s="206" t="n">
        <f aca="false">IF(Model!S30=0,"",Model!S30)</f>
        <v>820806.669467804</v>
      </c>
      <c r="V27" s="206" t="n">
        <f aca="false">IF(Model!T30=0,"",Model!T30)</f>
        <v>882806.690988486</v>
      </c>
      <c r="W27" s="206" t="n">
        <f aca="false">IF(Model!U30=0,"",Model!U30)</f>
        <v>926473.074937312</v>
      </c>
      <c r="X27" s="206" t="n">
        <f aca="false">IF(Model!V30=0,"",Model!V30)</f>
        <v>949037.715868141</v>
      </c>
      <c r="Y27" s="206" t="n">
        <f aca="false">IF(Model!W30=0,"",Model!W30)</f>
        <v>949037.715868141</v>
      </c>
      <c r="Z27" s="206" t="n">
        <f aca="false">IF(Model!X30=0,"",Model!X30)</f>
        <v>926473.074937312</v>
      </c>
      <c r="AA27" s="206" t="n">
        <f aca="false">IF(Model!Y30=0,"",Model!Y30)</f>
        <v>882806.690988486</v>
      </c>
      <c r="AB27" s="206" t="n">
        <f aca="false">IF(Model!Z30=0,"",Model!Z30)</f>
        <v>820806.669467804</v>
      </c>
      <c r="AC27" s="206" t="n">
        <f aca="false">IF(Model!AA30=0,"",Model!AA30)</f>
        <v>744252.607264895</v>
      </c>
      <c r="AD27" s="206" t="n">
        <f aca="false">IF(Model!AB30=0,"",Model!AB30)</f>
        <v>657569.069128027</v>
      </c>
      <c r="AE27" s="206" t="n">
        <f aca="false">IF(Model!AC30=0,"",Model!AC30)</f>
        <v>565406.855777904</v>
      </c>
      <c r="AF27" s="206" t="n">
        <f aca="false">IF(Model!AD30=0,"",Model!AD30)</f>
        <v>472250.553751396</v>
      </c>
      <c r="AG27" s="206" t="n">
        <f aca="false">IF(Model!AE30=0,"",Model!AE30)</f>
        <v>382052.01181668</v>
      </c>
      <c r="AH27" s="206" t="n">
        <f aca="false">IF(Model!AF30=0,"",Model!AF30)</f>
        <v>219254.050999356</v>
      </c>
      <c r="AI27" s="206" t="str">
        <f aca="false">IF(Model!AG30=0,"",Model!AG30)</f>
        <v/>
      </c>
      <c r="AJ27" s="206" t="str">
        <f aca="false">IF(Model!AH30=0,"",Model!AH30)</f>
        <v/>
      </c>
      <c r="AK27" s="206" t="str">
        <f aca="false">IF(Model!AI30=0,"",Model!AI30)</f>
        <v/>
      </c>
      <c r="AL27" s="206" t="str">
        <f aca="false">IF(Model!AJ30=0,"",Model!AJ30)</f>
        <v/>
      </c>
      <c r="AM27" s="206" t="str">
        <f aca="false">IF(Model!AK30=0,"",Model!AK30)</f>
        <v/>
      </c>
      <c r="AN27" s="206" t="str">
        <f aca="false">IF(Model!AL30=0,"",Model!AL30)</f>
        <v/>
      </c>
      <c r="AO27" s="206" t="str">
        <f aca="false">IF(Model!AM30=0,"",Model!AM30)</f>
        <v/>
      </c>
      <c r="AP27" s="206" t="str">
        <f aca="false">IF(Model!AN30=0,"",Model!AN30)</f>
        <v/>
      </c>
      <c r="AQ27" s="206" t="str">
        <f aca="false">IF(Model!AO30=0,"",Model!AO30)</f>
        <v/>
      </c>
      <c r="AR27" s="206" t="str">
        <f aca="false">IF(Model!AP30=0,"",Model!AP30)</f>
        <v/>
      </c>
      <c r="AS27" s="206" t="str">
        <f aca="false">IF(Model!AQ30=0,"",Model!AQ30)</f>
        <v/>
      </c>
      <c r="AT27" s="206" t="str">
        <f aca="false">IF(Model!AR30=0,"",Model!AR30)</f>
        <v/>
      </c>
      <c r="AU27" s="206" t="str">
        <f aca="false">IF(Model!AS30=0,"",Model!AS30)</f>
        <v/>
      </c>
      <c r="AV27" s="206" t="str">
        <f aca="false">IF(Model!AT30=0,"",Model!AT30)</f>
        <v/>
      </c>
      <c r="AW27" s="206" t="str">
        <f aca="false">IF(Model!AU30=0,"",Model!AU30)</f>
        <v/>
      </c>
      <c r="AX27" s="206" t="str">
        <f aca="false">IF(Model!AV30=0,"",Model!AV30)</f>
        <v/>
      </c>
      <c r="AY27" s="206" t="str">
        <f aca="false">IF(Model!AW30=0,"",Model!AW30)</f>
        <v/>
      </c>
      <c r="AZ27" s="206" t="str">
        <f aca="false">IF(Model!AX30=0,"",Model!AX30)</f>
        <v/>
      </c>
      <c r="BA27" s="206" t="str">
        <f aca="false">IF(Model!AY30=0,"",Model!AY30)</f>
        <v/>
      </c>
      <c r="BB27" s="206" t="str">
        <f aca="false">IF(Model!AZ30=0,"",Model!AZ30)</f>
        <v/>
      </c>
      <c r="BC27" s="206" t="str">
        <f aca="false">IF(Model!BA30=0,"",Model!BA30)</f>
        <v/>
      </c>
      <c r="BD27" s="206" t="str">
        <f aca="false">IF(Model!BB30=0,"",Model!BB30)</f>
        <v/>
      </c>
      <c r="BE27" s="206" t="str">
        <f aca="false">IF(Model!BC30=0,"",Model!BC30)</f>
        <v/>
      </c>
      <c r="BF27" s="206" t="str">
        <f aca="false">IF(Model!BD30=0,"",Model!BD30)</f>
        <v/>
      </c>
      <c r="BG27" s="206" t="str">
        <f aca="false">IF(Model!BE30=0,"",Model!BE30)</f>
        <v/>
      </c>
      <c r="BH27" s="206" t="str">
        <f aca="false">IF(Model!BF30=0,"",Model!BF30)</f>
        <v/>
      </c>
      <c r="BI27" s="206" t="str">
        <f aca="false">IF(Model!BG30=0,"",Model!BG30)</f>
        <v/>
      </c>
      <c r="BJ27" s="206" t="str">
        <f aca="false">IF(Model!BH30=0,"",Model!BH30)</f>
        <v/>
      </c>
      <c r="BK27" s="206" t="str">
        <f aca="false">IF(Model!BI30=0,"",Model!BI30)</f>
        <v/>
      </c>
      <c r="BL27" s="206" t="str">
        <f aca="false">IF(Model!BJ30=0,"",Model!BJ30)</f>
        <v/>
      </c>
      <c r="BM27" s="206" t="str">
        <f aca="false">IF(Model!BK30=0,"",Model!BK30)</f>
        <v/>
      </c>
      <c r="BN27" s="206" t="str">
        <f aca="false">IF(Model!BL30=0,"",Model!BL30)</f>
        <v/>
      </c>
      <c r="BO27" s="206" t="str">
        <f aca="false">IF(Model!BM30=0,"",Model!BM30)</f>
        <v/>
      </c>
      <c r="BP27" s="206" t="str">
        <f aca="false">IF(Model!BN30=0,"",Model!BN30)</f>
        <v/>
      </c>
      <c r="BQ27" s="206" t="str">
        <f aca="false">IF(Model!BO30=0,"",Model!BO30)</f>
        <v/>
      </c>
      <c r="BR27" s="206" t="str">
        <f aca="false">IF(Model!BP30=0,"",Model!BP30)</f>
        <v/>
      </c>
      <c r="BS27" s="206" t="str">
        <f aca="false">IF(Model!BQ30=0,"",Model!BQ30)</f>
        <v/>
      </c>
      <c r="BT27" s="206" t="str">
        <f aca="false">IF(Model!BR30=0,"",Model!BR30)</f>
        <v/>
      </c>
      <c r="BU27" s="206" t="str">
        <f aca="false">IF(Model!BS30=0,"",Model!BS30)</f>
        <v/>
      </c>
      <c r="BV27" s="206" t="str">
        <f aca="false">IF(Model!BT30=0,"",Model!BT30)</f>
        <v/>
      </c>
      <c r="BW27" s="206" t="str">
        <f aca="false">IF(Model!BU30=0,"",Model!BU30)</f>
        <v/>
      </c>
      <c r="BX27" s="206" t="str">
        <f aca="false">IF(Model!BV30=0,"",Model!BV30)</f>
        <v/>
      </c>
      <c r="BY27" s="206" t="str">
        <f aca="false">IF(Model!BW30=0,"",Model!BW30)</f>
        <v/>
      </c>
      <c r="BZ27" s="206" t="str">
        <f aca="false">IF(Model!BX30=0,"",Model!BX30)</f>
        <v/>
      </c>
      <c r="CA27" s="206" t="str">
        <f aca="false">IF(Model!BY30=0,"",Model!BY30)</f>
        <v/>
      </c>
      <c r="CB27" s="206" t="str">
        <f aca="false">IF(Model!BZ30=0,"",Model!BZ30)</f>
        <v/>
      </c>
      <c r="CC27" s="206" t="str">
        <f aca="false">IF(Model!CA30=0,"",Model!CA30)</f>
        <v/>
      </c>
      <c r="CD27" s="206" t="str">
        <f aca="false">IF(Model!CB30=0,"",Model!CB30)</f>
        <v/>
      </c>
      <c r="CE27" s="206" t="str">
        <f aca="false">IF(Model!CC30=0,"",Model!CC30)</f>
        <v/>
      </c>
      <c r="CF27" s="206" t="str">
        <f aca="false">IF(Model!CD30=0,"",Model!CD30)</f>
        <v/>
      </c>
      <c r="CG27" s="206" t="str">
        <f aca="false">IF(Model!CE30=0,"",Model!CE30)</f>
        <v/>
      </c>
      <c r="CH27" s="206" t="str">
        <f aca="false">IF(Model!CF30=0,"",Model!CF30)</f>
        <v/>
      </c>
      <c r="CI27" s="206" t="str">
        <f aca="false">IF(Model!CG30=0,"",Model!CG30)</f>
        <v/>
      </c>
      <c r="CJ27" s="206" t="str">
        <f aca="false">IF(Model!CH30=0,"",Model!CH30)</f>
        <v/>
      </c>
      <c r="CK27" s="206" t="str">
        <f aca="false">IF(Model!CI30=0,"",Model!CI30)</f>
        <v/>
      </c>
      <c r="CL27" s="206" t="str">
        <f aca="false">IF(Model!CJ30=0,"",Model!CJ30)</f>
        <v/>
      </c>
      <c r="CM27" s="206" t="str">
        <f aca="false">IF(Model!CK30=0,"",Model!CK30)</f>
        <v/>
      </c>
      <c r="CN27" s="206" t="str">
        <f aca="false">IF(Model!CL30=0,"",Model!CL30)</f>
        <v/>
      </c>
      <c r="CO27" s="206" t="str">
        <f aca="false">IF(Model!CM30=0,"",Model!CM30)</f>
        <v/>
      </c>
      <c r="CP27" s="206" t="str">
        <f aca="false">IF(Model!CN30=0,"",Model!CN30)</f>
        <v/>
      </c>
      <c r="CQ27" s="206" t="str">
        <f aca="false">IF(Model!CO30=0,"",Model!CO30)</f>
        <v/>
      </c>
      <c r="CR27" s="206" t="str">
        <f aca="false">IF(Model!CP30=0,"",Model!CP30)</f>
        <v/>
      </c>
      <c r="CS27" s="206" t="str">
        <f aca="false">IF(Model!CQ30=0,"",Model!CQ30)</f>
        <v/>
      </c>
      <c r="CT27" s="206" t="str">
        <f aca="false">IF(Model!CR30=0,"",Model!CR30)</f>
        <v/>
      </c>
      <c r="CU27" s="206" t="str">
        <f aca="false">IF(Model!CS30=0,"",Model!CS30)</f>
        <v/>
      </c>
      <c r="CV27" s="206" t="str">
        <f aca="false">IF(Model!CT30=0,"",Model!CT30)</f>
        <v/>
      </c>
      <c r="CW27" s="206" t="str">
        <f aca="false">IF(Model!CU30=0,"",Model!CU30)</f>
        <v/>
      </c>
      <c r="CX27" s="206" t="str">
        <f aca="false">IF(Model!CV30=0,"",Model!CV30)</f>
        <v/>
      </c>
      <c r="CY27" s="206" t="str">
        <f aca="false">IF(Model!CW30=0,"",Model!CW30)</f>
        <v/>
      </c>
      <c r="CZ27" s="206" t="str">
        <f aca="false">IF(Model!CX30=0,"",Model!CX30)</f>
        <v/>
      </c>
      <c r="DA27" s="206" t="str">
        <f aca="false">IF(Model!CY30=0,"",Model!CY30)</f>
        <v/>
      </c>
      <c r="DB27" s="206" t="str">
        <f aca="false">IF(Model!CZ30=0,"",Model!CZ30)</f>
        <v/>
      </c>
    </row>
    <row r="28" customFormat="false" ht="15" hidden="false" customHeight="true" outlineLevel="0" collapsed="false">
      <c r="A28" s="123" t="s">
        <v>25</v>
      </c>
      <c r="B28" s="203" t="n">
        <f aca="false">Projects!$B$22</f>
        <v>13706000</v>
      </c>
      <c r="C28" s="204" t="n">
        <f aca="false">EDATE(Model!$E$2,Projects!$C$22-1)</f>
        <v>46661</v>
      </c>
      <c r="D28" s="204" t="n">
        <f aca="false">EDATE(Model!$E$2,Projects!$C$22+Projects!$D$22-2)</f>
        <v>47209</v>
      </c>
      <c r="E28" s="205" t="n">
        <f aca="false">Projects!$D$22</f>
        <v>19</v>
      </c>
      <c r="F28" s="203" t="n">
        <f aca="false">SUM(G28:DB28)</f>
        <v>12055920.954</v>
      </c>
      <c r="G28" s="206" t="str">
        <f aca="false">IF(Model!E31=0,"",Model!E31)</f>
        <v/>
      </c>
      <c r="H28" s="206" t="str">
        <f aca="false">IF(Model!F31=0,"",Model!F31)</f>
        <v/>
      </c>
      <c r="I28" s="206" t="str">
        <f aca="false">IF(Model!G31=0,"",Model!G31)</f>
        <v/>
      </c>
      <c r="J28" s="206" t="str">
        <f aca="false">IF(Model!H31=0,"",Model!H31)</f>
        <v/>
      </c>
      <c r="K28" s="206" t="str">
        <f aca="false">IF(Model!I31=0,"",Model!I31)</f>
        <v/>
      </c>
      <c r="L28" s="206" t="str">
        <f aca="false">IF(Model!J31=0,"",Model!J31)</f>
        <v/>
      </c>
      <c r="M28" s="206" t="str">
        <f aca="false">IF(Model!K31=0,"",Model!K31)</f>
        <v/>
      </c>
      <c r="N28" s="206" t="str">
        <f aca="false">IF(Model!L31=0,"",Model!L31)</f>
        <v/>
      </c>
      <c r="O28" s="206" t="str">
        <f aca="false">IF(Model!M31=0,"",Model!M31)</f>
        <v/>
      </c>
      <c r="P28" s="206" t="str">
        <f aca="false">IF(Model!N31=0,"",Model!N31)</f>
        <v/>
      </c>
      <c r="Q28" s="206" t="str">
        <f aca="false">IF(Model!O31=0,"",Model!O31)</f>
        <v/>
      </c>
      <c r="R28" s="206" t="str">
        <f aca="false">IF(Model!P31=0,"",Model!P31)</f>
        <v/>
      </c>
      <c r="S28" s="206" t="str">
        <f aca="false">IF(Model!Q31=0,"",Model!Q31)</f>
        <v/>
      </c>
      <c r="T28" s="206" t="str">
        <f aca="false">IF(Model!R31=0,"",Model!R31)</f>
        <v/>
      </c>
      <c r="U28" s="206" t="str">
        <f aca="false">IF(Model!S31=0,"",Model!S31)</f>
        <v/>
      </c>
      <c r="V28" s="206" t="str">
        <f aca="false">IF(Model!T31=0,"",Model!T31)</f>
        <v/>
      </c>
      <c r="W28" s="206" t="str">
        <f aca="false">IF(Model!U31=0,"",Model!U31)</f>
        <v/>
      </c>
      <c r="X28" s="206" t="str">
        <f aca="false">IF(Model!V31=0,"",Model!V31)</f>
        <v/>
      </c>
      <c r="Y28" s="206" t="n">
        <f aca="false">IF(Model!W31=0,"",Model!W31)</f>
        <v>280938.0497</v>
      </c>
      <c r="Z28" s="206" t="n">
        <f aca="false">IF(Model!X31=0,"",Model!X31)</f>
        <v>366518.3137</v>
      </c>
      <c r="AA28" s="206" t="n">
        <f aca="false">IF(Model!Y31=0,"",Model!Y31)</f>
        <v>458636.3397</v>
      </c>
      <c r="AB28" s="206" t="n">
        <f aca="false">IF(Model!Z31=0,"",Model!Z31)</f>
        <v>553618.9197</v>
      </c>
      <c r="AC28" s="206" t="n">
        <f aca="false">IF(Model!AA31=0,"",Model!AA31)</f>
        <v>646901.9557</v>
      </c>
      <c r="AD28" s="206" t="n">
        <f aca="false">IF(Model!AB31=0,"",Model!AB31)</f>
        <v>733304.5797</v>
      </c>
      <c r="AE28" s="206" t="n">
        <f aca="false">IF(Model!AC31=0,"",Model!AC31)</f>
        <v>807522.5697</v>
      </c>
      <c r="AF28" s="206" t="n">
        <f aca="false">IF(Model!AD31=0,"",Model!AD31)</f>
        <v>864635.4717</v>
      </c>
      <c r="AG28" s="206" t="n">
        <f aca="false">IF(Model!AE31=0,"",Model!AE31)</f>
        <v>900654.8397</v>
      </c>
      <c r="AH28" s="206" t="n">
        <f aca="false">IF(Model!AF31=0,"",Model!AF31)</f>
        <v>912962.8277</v>
      </c>
      <c r="AI28" s="206" t="n">
        <f aca="false">IF(Model!AG31=0,"",Model!AG31)</f>
        <v>900654.8397</v>
      </c>
      <c r="AJ28" s="206" t="n">
        <f aca="false">IF(Model!AH31=0,"",Model!AH31)</f>
        <v>864635.4717</v>
      </c>
      <c r="AK28" s="206" t="n">
        <f aca="false">IF(Model!AI31=0,"",Model!AI31)</f>
        <v>807522.5697</v>
      </c>
      <c r="AL28" s="206" t="n">
        <f aca="false">IF(Model!AJ31=0,"",Model!AJ31)</f>
        <v>733304.5797</v>
      </c>
      <c r="AM28" s="206" t="n">
        <f aca="false">IF(Model!AK31=0,"",Model!AK31)</f>
        <v>646901.9557</v>
      </c>
      <c r="AN28" s="206" t="n">
        <f aca="false">IF(Model!AL31=0,"",Model!AL31)</f>
        <v>553618.9197</v>
      </c>
      <c r="AO28" s="206" t="n">
        <f aca="false">IF(Model!AM31=0,"",Model!AM31)</f>
        <v>458636.3397</v>
      </c>
      <c r="AP28" s="206" t="n">
        <f aca="false">IF(Model!AN31=0,"",Model!AN31)</f>
        <v>366518.3137</v>
      </c>
      <c r="AQ28" s="206" t="n">
        <f aca="false">IF(Model!AO31=0,"",Model!AO31)</f>
        <v>198434.0974</v>
      </c>
      <c r="AR28" s="206" t="str">
        <f aca="false">IF(Model!AP31=0,"",Model!AP31)</f>
        <v/>
      </c>
      <c r="AS28" s="206" t="str">
        <f aca="false">IF(Model!AQ31=0,"",Model!AQ31)</f>
        <v/>
      </c>
      <c r="AT28" s="206" t="str">
        <f aca="false">IF(Model!AR31=0,"",Model!AR31)</f>
        <v/>
      </c>
      <c r="AU28" s="206" t="str">
        <f aca="false">IF(Model!AS31=0,"",Model!AS31)</f>
        <v/>
      </c>
      <c r="AV28" s="206" t="str">
        <f aca="false">IF(Model!AT31=0,"",Model!AT31)</f>
        <v/>
      </c>
      <c r="AW28" s="206" t="str">
        <f aca="false">IF(Model!AU31=0,"",Model!AU31)</f>
        <v/>
      </c>
      <c r="AX28" s="206" t="str">
        <f aca="false">IF(Model!AV31=0,"",Model!AV31)</f>
        <v/>
      </c>
      <c r="AY28" s="206" t="str">
        <f aca="false">IF(Model!AW31=0,"",Model!AW31)</f>
        <v/>
      </c>
      <c r="AZ28" s="206" t="str">
        <f aca="false">IF(Model!AX31=0,"",Model!AX31)</f>
        <v/>
      </c>
      <c r="BA28" s="206" t="str">
        <f aca="false">IF(Model!AY31=0,"",Model!AY31)</f>
        <v/>
      </c>
      <c r="BB28" s="206" t="str">
        <f aca="false">IF(Model!AZ31=0,"",Model!AZ31)</f>
        <v/>
      </c>
      <c r="BC28" s="206" t="str">
        <f aca="false">IF(Model!BA31=0,"",Model!BA31)</f>
        <v/>
      </c>
      <c r="BD28" s="206" t="str">
        <f aca="false">IF(Model!BB31=0,"",Model!BB31)</f>
        <v/>
      </c>
      <c r="BE28" s="206" t="str">
        <f aca="false">IF(Model!BC31=0,"",Model!BC31)</f>
        <v/>
      </c>
      <c r="BF28" s="206" t="str">
        <f aca="false">IF(Model!BD31=0,"",Model!BD31)</f>
        <v/>
      </c>
      <c r="BG28" s="206" t="str">
        <f aca="false">IF(Model!BE31=0,"",Model!BE31)</f>
        <v/>
      </c>
      <c r="BH28" s="206" t="str">
        <f aca="false">IF(Model!BF31=0,"",Model!BF31)</f>
        <v/>
      </c>
      <c r="BI28" s="206" t="str">
        <f aca="false">IF(Model!BG31=0,"",Model!BG31)</f>
        <v/>
      </c>
      <c r="BJ28" s="206" t="str">
        <f aca="false">IF(Model!BH31=0,"",Model!BH31)</f>
        <v/>
      </c>
      <c r="BK28" s="206" t="str">
        <f aca="false">IF(Model!BI31=0,"",Model!BI31)</f>
        <v/>
      </c>
      <c r="BL28" s="206" t="str">
        <f aca="false">IF(Model!BJ31=0,"",Model!BJ31)</f>
        <v/>
      </c>
      <c r="BM28" s="206" t="str">
        <f aca="false">IF(Model!BK31=0,"",Model!BK31)</f>
        <v/>
      </c>
      <c r="BN28" s="206" t="str">
        <f aca="false">IF(Model!BL31=0,"",Model!BL31)</f>
        <v/>
      </c>
      <c r="BO28" s="206" t="str">
        <f aca="false">IF(Model!BM31=0,"",Model!BM31)</f>
        <v/>
      </c>
      <c r="BP28" s="206" t="str">
        <f aca="false">IF(Model!BN31=0,"",Model!BN31)</f>
        <v/>
      </c>
      <c r="BQ28" s="206" t="str">
        <f aca="false">IF(Model!BO31=0,"",Model!BO31)</f>
        <v/>
      </c>
      <c r="BR28" s="206" t="str">
        <f aca="false">IF(Model!BP31=0,"",Model!BP31)</f>
        <v/>
      </c>
      <c r="BS28" s="206" t="str">
        <f aca="false">IF(Model!BQ31=0,"",Model!BQ31)</f>
        <v/>
      </c>
      <c r="BT28" s="206" t="str">
        <f aca="false">IF(Model!BR31=0,"",Model!BR31)</f>
        <v/>
      </c>
      <c r="BU28" s="206" t="str">
        <f aca="false">IF(Model!BS31=0,"",Model!BS31)</f>
        <v/>
      </c>
      <c r="BV28" s="206" t="str">
        <f aca="false">IF(Model!BT31=0,"",Model!BT31)</f>
        <v/>
      </c>
      <c r="BW28" s="206" t="str">
        <f aca="false">IF(Model!BU31=0,"",Model!BU31)</f>
        <v/>
      </c>
      <c r="BX28" s="206" t="str">
        <f aca="false">IF(Model!BV31=0,"",Model!BV31)</f>
        <v/>
      </c>
      <c r="BY28" s="206" t="str">
        <f aca="false">IF(Model!BW31=0,"",Model!BW31)</f>
        <v/>
      </c>
      <c r="BZ28" s="206" t="str">
        <f aca="false">IF(Model!BX31=0,"",Model!BX31)</f>
        <v/>
      </c>
      <c r="CA28" s="206" t="str">
        <f aca="false">IF(Model!BY31=0,"",Model!BY31)</f>
        <v/>
      </c>
      <c r="CB28" s="206" t="str">
        <f aca="false">IF(Model!BZ31=0,"",Model!BZ31)</f>
        <v/>
      </c>
      <c r="CC28" s="206" t="str">
        <f aca="false">IF(Model!CA31=0,"",Model!CA31)</f>
        <v/>
      </c>
      <c r="CD28" s="206" t="str">
        <f aca="false">IF(Model!CB31=0,"",Model!CB31)</f>
        <v/>
      </c>
      <c r="CE28" s="206" t="str">
        <f aca="false">IF(Model!CC31=0,"",Model!CC31)</f>
        <v/>
      </c>
      <c r="CF28" s="206" t="str">
        <f aca="false">IF(Model!CD31=0,"",Model!CD31)</f>
        <v/>
      </c>
      <c r="CG28" s="206" t="str">
        <f aca="false">IF(Model!CE31=0,"",Model!CE31)</f>
        <v/>
      </c>
      <c r="CH28" s="206" t="str">
        <f aca="false">IF(Model!CF31=0,"",Model!CF31)</f>
        <v/>
      </c>
      <c r="CI28" s="206" t="str">
        <f aca="false">IF(Model!CG31=0,"",Model!CG31)</f>
        <v/>
      </c>
      <c r="CJ28" s="206" t="str">
        <f aca="false">IF(Model!CH31=0,"",Model!CH31)</f>
        <v/>
      </c>
      <c r="CK28" s="206" t="str">
        <f aca="false">IF(Model!CI31=0,"",Model!CI31)</f>
        <v/>
      </c>
      <c r="CL28" s="206" t="str">
        <f aca="false">IF(Model!CJ31=0,"",Model!CJ31)</f>
        <v/>
      </c>
      <c r="CM28" s="206" t="str">
        <f aca="false">IF(Model!CK31=0,"",Model!CK31)</f>
        <v/>
      </c>
      <c r="CN28" s="206" t="str">
        <f aca="false">IF(Model!CL31=0,"",Model!CL31)</f>
        <v/>
      </c>
      <c r="CO28" s="206" t="str">
        <f aca="false">IF(Model!CM31=0,"",Model!CM31)</f>
        <v/>
      </c>
      <c r="CP28" s="206" t="str">
        <f aca="false">IF(Model!CN31=0,"",Model!CN31)</f>
        <v/>
      </c>
      <c r="CQ28" s="206" t="str">
        <f aca="false">IF(Model!CO31=0,"",Model!CO31)</f>
        <v/>
      </c>
      <c r="CR28" s="206" t="str">
        <f aca="false">IF(Model!CP31=0,"",Model!CP31)</f>
        <v/>
      </c>
      <c r="CS28" s="206" t="str">
        <f aca="false">IF(Model!CQ31=0,"",Model!CQ31)</f>
        <v/>
      </c>
      <c r="CT28" s="206" t="str">
        <f aca="false">IF(Model!CR31=0,"",Model!CR31)</f>
        <v/>
      </c>
      <c r="CU28" s="206" t="str">
        <f aca="false">IF(Model!CS31=0,"",Model!CS31)</f>
        <v/>
      </c>
      <c r="CV28" s="206" t="str">
        <f aca="false">IF(Model!CT31=0,"",Model!CT31)</f>
        <v/>
      </c>
      <c r="CW28" s="206" t="str">
        <f aca="false">IF(Model!CU31=0,"",Model!CU31)</f>
        <v/>
      </c>
      <c r="CX28" s="206" t="str">
        <f aca="false">IF(Model!CV31=0,"",Model!CV31)</f>
        <v/>
      </c>
      <c r="CY28" s="206" t="str">
        <f aca="false">IF(Model!CW31=0,"",Model!CW31)</f>
        <v/>
      </c>
      <c r="CZ28" s="206" t="str">
        <f aca="false">IF(Model!CX31=0,"",Model!CX31)</f>
        <v/>
      </c>
      <c r="DA28" s="206" t="str">
        <f aca="false">IF(Model!CY31=0,"",Model!CY31)</f>
        <v/>
      </c>
      <c r="DB28" s="206" t="str">
        <f aca="false">IF(Model!CZ31=0,"",Model!CZ31)</f>
        <v/>
      </c>
    </row>
    <row r="29" customFormat="false" ht="15" hidden="false" customHeight="true" outlineLevel="0" collapsed="false">
      <c r="A29" s="123" t="s">
        <v>26</v>
      </c>
      <c r="B29" s="203" t="n">
        <f aca="false">Projects!$B$23</f>
        <v>15000000</v>
      </c>
      <c r="C29" s="204" t="n">
        <f aca="false">EDATE(Model!$E$2,Projects!$C$23-1)</f>
        <v>47119</v>
      </c>
      <c r="D29" s="204" t="n">
        <f aca="false">EDATE(Model!$E$2,Projects!$C$23+Projects!$D$23-2)</f>
        <v>47665</v>
      </c>
      <c r="E29" s="205" t="n">
        <f aca="false">Projects!$D$23</f>
        <v>19</v>
      </c>
      <c r="F29" s="203" t="n">
        <f aca="false">SUM(G29:DB29)</f>
        <v>0</v>
      </c>
      <c r="G29" s="206" t="str">
        <f aca="false">IF(Model!E32=0,"",Model!E32)</f>
        <v/>
      </c>
      <c r="H29" s="206" t="str">
        <f aca="false">IF(Model!F32=0,"",Model!F32)</f>
        <v/>
      </c>
      <c r="I29" s="206" t="str">
        <f aca="false">IF(Model!G32=0,"",Model!G32)</f>
        <v/>
      </c>
      <c r="J29" s="206" t="str">
        <f aca="false">IF(Model!H32=0,"",Model!H32)</f>
        <v/>
      </c>
      <c r="K29" s="206" t="str">
        <f aca="false">IF(Model!I32=0,"",Model!I32)</f>
        <v/>
      </c>
      <c r="L29" s="206" t="str">
        <f aca="false">IF(Model!J32=0,"",Model!J32)</f>
        <v/>
      </c>
      <c r="M29" s="206" t="str">
        <f aca="false">IF(Model!K32=0,"",Model!K32)</f>
        <v/>
      </c>
      <c r="N29" s="206" t="str">
        <f aca="false">IF(Model!L32=0,"",Model!L32)</f>
        <v/>
      </c>
      <c r="O29" s="206" t="str">
        <f aca="false">IF(Model!M32=0,"",Model!M32)</f>
        <v/>
      </c>
      <c r="P29" s="206" t="str">
        <f aca="false">IF(Model!N32=0,"",Model!N32)</f>
        <v/>
      </c>
      <c r="Q29" s="206" t="str">
        <f aca="false">IF(Model!O32=0,"",Model!O32)</f>
        <v/>
      </c>
      <c r="R29" s="206" t="str">
        <f aca="false">IF(Model!P32=0,"",Model!P32)</f>
        <v/>
      </c>
      <c r="S29" s="206" t="str">
        <f aca="false">IF(Model!Q32=0,"",Model!Q32)</f>
        <v/>
      </c>
      <c r="T29" s="206" t="str">
        <f aca="false">IF(Model!R32=0,"",Model!R32)</f>
        <v/>
      </c>
      <c r="U29" s="206" t="str">
        <f aca="false">IF(Model!S32=0,"",Model!S32)</f>
        <v/>
      </c>
      <c r="V29" s="206" t="str">
        <f aca="false">IF(Model!T32=0,"",Model!T32)</f>
        <v/>
      </c>
      <c r="W29" s="206" t="str">
        <f aca="false">IF(Model!U32=0,"",Model!U32)</f>
        <v/>
      </c>
      <c r="X29" s="206" t="str">
        <f aca="false">IF(Model!V32=0,"",Model!V32)</f>
        <v/>
      </c>
      <c r="Y29" s="206" t="str">
        <f aca="false">IF(Model!W32=0,"",Model!W32)</f>
        <v/>
      </c>
      <c r="Z29" s="206" t="str">
        <f aca="false">IF(Model!X32=0,"",Model!X32)</f>
        <v/>
      </c>
      <c r="AA29" s="206" t="str">
        <f aca="false">IF(Model!Y32=0,"",Model!Y32)</f>
        <v/>
      </c>
      <c r="AB29" s="206" t="str">
        <f aca="false">IF(Model!Z32=0,"",Model!Z32)</f>
        <v/>
      </c>
      <c r="AC29" s="206" t="str">
        <f aca="false">IF(Model!AA32=0,"",Model!AA32)</f>
        <v/>
      </c>
      <c r="AD29" s="206" t="str">
        <f aca="false">IF(Model!AB32=0,"",Model!AB32)</f>
        <v/>
      </c>
      <c r="AE29" s="206" t="str">
        <f aca="false">IF(Model!AC32=0,"",Model!AC32)</f>
        <v/>
      </c>
      <c r="AF29" s="206" t="str">
        <f aca="false">IF(Model!AD32=0,"",Model!AD32)</f>
        <v/>
      </c>
      <c r="AG29" s="206" t="str">
        <f aca="false">IF(Model!AE32=0,"",Model!AE32)</f>
        <v/>
      </c>
      <c r="AH29" s="206" t="str">
        <f aca="false">IF(Model!AF32=0,"",Model!AF32)</f>
        <v/>
      </c>
      <c r="AI29" s="206" t="str">
        <f aca="false">IF(Model!AG32=0,"",Model!AG32)</f>
        <v/>
      </c>
      <c r="AJ29" s="206" t="str">
        <f aca="false">IF(Model!AH32=0,"",Model!AH32)</f>
        <v/>
      </c>
      <c r="AK29" s="206" t="str">
        <f aca="false">IF(Model!AI32=0,"",Model!AI32)</f>
        <v/>
      </c>
      <c r="AL29" s="206" t="str">
        <f aca="false">IF(Model!AJ32=0,"",Model!AJ32)</f>
        <v/>
      </c>
      <c r="AM29" s="206" t="str">
        <f aca="false">IF(Model!AK32=0,"",Model!AK32)</f>
        <v/>
      </c>
      <c r="AN29" s="206" t="str">
        <f aca="false">IF(Model!AL32=0,"",Model!AL32)</f>
        <v/>
      </c>
      <c r="AO29" s="206" t="str">
        <f aca="false">IF(Model!AM32=0,"",Model!AM32)</f>
        <v/>
      </c>
      <c r="AP29" s="206" t="str">
        <f aca="false">IF(Model!AN32=0,"",Model!AN32)</f>
        <v/>
      </c>
      <c r="AQ29" s="206" t="str">
        <f aca="false">IF(Model!AO32=0,"",Model!AO32)</f>
        <v/>
      </c>
      <c r="AR29" s="206" t="str">
        <f aca="false">IF(Model!AP32=0,"",Model!AP32)</f>
        <v/>
      </c>
      <c r="AS29" s="206" t="str">
        <f aca="false">IF(Model!AQ32=0,"",Model!AQ32)</f>
        <v/>
      </c>
      <c r="AT29" s="206" t="str">
        <f aca="false">IF(Model!AR32=0,"",Model!AR32)</f>
        <v/>
      </c>
      <c r="AU29" s="206" t="str">
        <f aca="false">IF(Model!AS32=0,"",Model!AS32)</f>
        <v/>
      </c>
      <c r="AV29" s="206" t="str">
        <f aca="false">IF(Model!AT32=0,"",Model!AT32)</f>
        <v/>
      </c>
      <c r="AW29" s="206" t="str">
        <f aca="false">IF(Model!AU32=0,"",Model!AU32)</f>
        <v/>
      </c>
      <c r="AX29" s="206" t="str">
        <f aca="false">IF(Model!AV32=0,"",Model!AV32)</f>
        <v/>
      </c>
      <c r="AY29" s="206" t="str">
        <f aca="false">IF(Model!AW32=0,"",Model!AW32)</f>
        <v/>
      </c>
      <c r="AZ29" s="206" t="str">
        <f aca="false">IF(Model!AX32=0,"",Model!AX32)</f>
        <v/>
      </c>
      <c r="BA29" s="206" t="str">
        <f aca="false">IF(Model!AY32=0,"",Model!AY32)</f>
        <v/>
      </c>
      <c r="BB29" s="206" t="str">
        <f aca="false">IF(Model!AZ32=0,"",Model!AZ32)</f>
        <v/>
      </c>
      <c r="BC29" s="206" t="str">
        <f aca="false">IF(Model!BA32=0,"",Model!BA32)</f>
        <v/>
      </c>
      <c r="BD29" s="206" t="str">
        <f aca="false">IF(Model!BB32=0,"",Model!BB32)</f>
        <v/>
      </c>
      <c r="BE29" s="206" t="str">
        <f aca="false">IF(Model!BC32=0,"",Model!BC32)</f>
        <v/>
      </c>
      <c r="BF29" s="206" t="str">
        <f aca="false">IF(Model!BD32=0,"",Model!BD32)</f>
        <v/>
      </c>
      <c r="BG29" s="206" t="str">
        <f aca="false">IF(Model!BE32=0,"",Model!BE32)</f>
        <v/>
      </c>
      <c r="BH29" s="206" t="str">
        <f aca="false">IF(Model!BF32=0,"",Model!BF32)</f>
        <v/>
      </c>
      <c r="BI29" s="206" t="str">
        <f aca="false">IF(Model!BG32=0,"",Model!BG32)</f>
        <v/>
      </c>
      <c r="BJ29" s="206" t="str">
        <f aca="false">IF(Model!BH32=0,"",Model!BH32)</f>
        <v/>
      </c>
      <c r="BK29" s="206" t="str">
        <f aca="false">IF(Model!BI32=0,"",Model!BI32)</f>
        <v/>
      </c>
      <c r="BL29" s="206" t="str">
        <f aca="false">IF(Model!BJ32=0,"",Model!BJ32)</f>
        <v/>
      </c>
      <c r="BM29" s="206" t="str">
        <f aca="false">IF(Model!BK32=0,"",Model!BK32)</f>
        <v/>
      </c>
      <c r="BN29" s="206" t="str">
        <f aca="false">IF(Model!BL32=0,"",Model!BL32)</f>
        <v/>
      </c>
      <c r="BO29" s="206" t="str">
        <f aca="false">IF(Model!BM32=0,"",Model!BM32)</f>
        <v/>
      </c>
      <c r="BP29" s="206" t="str">
        <f aca="false">IF(Model!BN32=0,"",Model!BN32)</f>
        <v/>
      </c>
      <c r="BQ29" s="206" t="str">
        <f aca="false">IF(Model!BO32=0,"",Model!BO32)</f>
        <v/>
      </c>
      <c r="BR29" s="206" t="str">
        <f aca="false">IF(Model!BP32=0,"",Model!BP32)</f>
        <v/>
      </c>
      <c r="BS29" s="206" t="str">
        <f aca="false">IF(Model!BQ32=0,"",Model!BQ32)</f>
        <v/>
      </c>
      <c r="BT29" s="206" t="str">
        <f aca="false">IF(Model!BR32=0,"",Model!BR32)</f>
        <v/>
      </c>
      <c r="BU29" s="206" t="str">
        <f aca="false">IF(Model!BS32=0,"",Model!BS32)</f>
        <v/>
      </c>
      <c r="BV29" s="206" t="str">
        <f aca="false">IF(Model!BT32=0,"",Model!BT32)</f>
        <v/>
      </c>
      <c r="BW29" s="206" t="str">
        <f aca="false">IF(Model!BU32=0,"",Model!BU32)</f>
        <v/>
      </c>
      <c r="BX29" s="206" t="str">
        <f aca="false">IF(Model!BV32=0,"",Model!BV32)</f>
        <v/>
      </c>
      <c r="BY29" s="206" t="str">
        <f aca="false">IF(Model!BW32=0,"",Model!BW32)</f>
        <v/>
      </c>
      <c r="BZ29" s="206" t="str">
        <f aca="false">IF(Model!BX32=0,"",Model!BX32)</f>
        <v/>
      </c>
      <c r="CA29" s="206" t="str">
        <f aca="false">IF(Model!BY32=0,"",Model!BY32)</f>
        <v/>
      </c>
      <c r="CB29" s="206" t="str">
        <f aca="false">IF(Model!BZ32=0,"",Model!BZ32)</f>
        <v/>
      </c>
      <c r="CC29" s="206" t="str">
        <f aca="false">IF(Model!CA32=0,"",Model!CA32)</f>
        <v/>
      </c>
      <c r="CD29" s="206" t="str">
        <f aca="false">IF(Model!CB32=0,"",Model!CB32)</f>
        <v/>
      </c>
      <c r="CE29" s="206" t="str">
        <f aca="false">IF(Model!CC32=0,"",Model!CC32)</f>
        <v/>
      </c>
      <c r="CF29" s="206" t="str">
        <f aca="false">IF(Model!CD32=0,"",Model!CD32)</f>
        <v/>
      </c>
      <c r="CG29" s="206" t="str">
        <f aca="false">IF(Model!CE32=0,"",Model!CE32)</f>
        <v/>
      </c>
      <c r="CH29" s="206" t="str">
        <f aca="false">IF(Model!CF32=0,"",Model!CF32)</f>
        <v/>
      </c>
      <c r="CI29" s="206" t="str">
        <f aca="false">IF(Model!CG32=0,"",Model!CG32)</f>
        <v/>
      </c>
      <c r="CJ29" s="206" t="str">
        <f aca="false">IF(Model!CH32=0,"",Model!CH32)</f>
        <v/>
      </c>
      <c r="CK29" s="206" t="str">
        <f aca="false">IF(Model!CI32=0,"",Model!CI32)</f>
        <v/>
      </c>
      <c r="CL29" s="206" t="str">
        <f aca="false">IF(Model!CJ32=0,"",Model!CJ32)</f>
        <v/>
      </c>
      <c r="CM29" s="206" t="str">
        <f aca="false">IF(Model!CK32=0,"",Model!CK32)</f>
        <v/>
      </c>
      <c r="CN29" s="206" t="str">
        <f aca="false">IF(Model!CL32=0,"",Model!CL32)</f>
        <v/>
      </c>
      <c r="CO29" s="206" t="str">
        <f aca="false">IF(Model!CM32=0,"",Model!CM32)</f>
        <v/>
      </c>
      <c r="CP29" s="206" t="str">
        <f aca="false">IF(Model!CN32=0,"",Model!CN32)</f>
        <v/>
      </c>
      <c r="CQ29" s="206" t="str">
        <f aca="false">IF(Model!CO32=0,"",Model!CO32)</f>
        <v/>
      </c>
      <c r="CR29" s="206" t="str">
        <f aca="false">IF(Model!CP32=0,"",Model!CP32)</f>
        <v/>
      </c>
      <c r="CS29" s="206" t="str">
        <f aca="false">IF(Model!CQ32=0,"",Model!CQ32)</f>
        <v/>
      </c>
      <c r="CT29" s="206" t="str">
        <f aca="false">IF(Model!CR32=0,"",Model!CR32)</f>
        <v/>
      </c>
      <c r="CU29" s="206" t="str">
        <f aca="false">IF(Model!CS32=0,"",Model!CS32)</f>
        <v/>
      </c>
      <c r="CV29" s="206" t="str">
        <f aca="false">IF(Model!CT32=0,"",Model!CT32)</f>
        <v/>
      </c>
      <c r="CW29" s="206" t="str">
        <f aca="false">IF(Model!CU32=0,"",Model!CU32)</f>
        <v/>
      </c>
      <c r="CX29" s="206" t="str">
        <f aca="false">IF(Model!CV32=0,"",Model!CV32)</f>
        <v/>
      </c>
      <c r="CY29" s="206" t="str">
        <f aca="false">IF(Model!CW32=0,"",Model!CW32)</f>
        <v/>
      </c>
      <c r="CZ29" s="206" t="str">
        <f aca="false">IF(Model!CX32=0,"",Model!CX32)</f>
        <v/>
      </c>
      <c r="DA29" s="206" t="str">
        <f aca="false">IF(Model!CY32=0,"",Model!CY32)</f>
        <v/>
      </c>
      <c r="DB29" s="206" t="str">
        <f aca="false">IF(Model!CZ32=0,"",Model!CZ32)</f>
        <v/>
      </c>
    </row>
    <row r="30" customFormat="false" ht="15" hidden="false" customHeight="true" outlineLevel="0" collapsed="false">
      <c r="A30" s="123" t="s">
        <v>27</v>
      </c>
      <c r="B30" s="203" t="n">
        <f aca="false">Projects!$B$24</f>
        <v>18000000</v>
      </c>
      <c r="C30" s="204" t="n">
        <f aca="false">EDATE(Model!$E$2,Projects!$C$24-1)</f>
        <v>47209</v>
      </c>
      <c r="D30" s="204" t="n">
        <f aca="false">EDATE(Model!$E$2,Projects!$C$24+Projects!$D$24-2)</f>
        <v>47757</v>
      </c>
      <c r="E30" s="205" t="n">
        <f aca="false">Projects!$D$24</f>
        <v>19</v>
      </c>
      <c r="F30" s="203" t="n">
        <f aca="false">SUM(G30:DB30)</f>
        <v>0</v>
      </c>
      <c r="G30" s="206" t="str">
        <f aca="false">IF(Model!E33=0,"",Model!E33)</f>
        <v/>
      </c>
      <c r="H30" s="206" t="str">
        <f aca="false">IF(Model!F33=0,"",Model!F33)</f>
        <v/>
      </c>
      <c r="I30" s="206" t="str">
        <f aca="false">IF(Model!G33=0,"",Model!G33)</f>
        <v/>
      </c>
      <c r="J30" s="206" t="str">
        <f aca="false">IF(Model!H33=0,"",Model!H33)</f>
        <v/>
      </c>
      <c r="K30" s="206" t="str">
        <f aca="false">IF(Model!I33=0,"",Model!I33)</f>
        <v/>
      </c>
      <c r="L30" s="206" t="str">
        <f aca="false">IF(Model!J33=0,"",Model!J33)</f>
        <v/>
      </c>
      <c r="M30" s="206" t="str">
        <f aca="false">IF(Model!K33=0,"",Model!K33)</f>
        <v/>
      </c>
      <c r="N30" s="206" t="str">
        <f aca="false">IF(Model!L33=0,"",Model!L33)</f>
        <v/>
      </c>
      <c r="O30" s="206" t="str">
        <f aca="false">IF(Model!M33=0,"",Model!M33)</f>
        <v/>
      </c>
      <c r="P30" s="206" t="str">
        <f aca="false">IF(Model!N33=0,"",Model!N33)</f>
        <v/>
      </c>
      <c r="Q30" s="206" t="str">
        <f aca="false">IF(Model!O33=0,"",Model!O33)</f>
        <v/>
      </c>
      <c r="R30" s="206" t="str">
        <f aca="false">IF(Model!P33=0,"",Model!P33)</f>
        <v/>
      </c>
      <c r="S30" s="206" t="str">
        <f aca="false">IF(Model!Q33=0,"",Model!Q33)</f>
        <v/>
      </c>
      <c r="T30" s="206" t="str">
        <f aca="false">IF(Model!R33=0,"",Model!R33)</f>
        <v/>
      </c>
      <c r="U30" s="206" t="str">
        <f aca="false">IF(Model!S33=0,"",Model!S33)</f>
        <v/>
      </c>
      <c r="V30" s="206" t="str">
        <f aca="false">IF(Model!T33=0,"",Model!T33)</f>
        <v/>
      </c>
      <c r="W30" s="206" t="str">
        <f aca="false">IF(Model!U33=0,"",Model!U33)</f>
        <v/>
      </c>
      <c r="X30" s="206" t="str">
        <f aca="false">IF(Model!V33=0,"",Model!V33)</f>
        <v/>
      </c>
      <c r="Y30" s="206" t="str">
        <f aca="false">IF(Model!W33=0,"",Model!W33)</f>
        <v/>
      </c>
      <c r="Z30" s="206" t="str">
        <f aca="false">IF(Model!X33=0,"",Model!X33)</f>
        <v/>
      </c>
      <c r="AA30" s="206" t="str">
        <f aca="false">IF(Model!Y33=0,"",Model!Y33)</f>
        <v/>
      </c>
      <c r="AB30" s="206" t="str">
        <f aca="false">IF(Model!Z33=0,"",Model!Z33)</f>
        <v/>
      </c>
      <c r="AC30" s="206" t="str">
        <f aca="false">IF(Model!AA33=0,"",Model!AA33)</f>
        <v/>
      </c>
      <c r="AD30" s="206" t="str">
        <f aca="false">IF(Model!AB33=0,"",Model!AB33)</f>
        <v/>
      </c>
      <c r="AE30" s="206" t="str">
        <f aca="false">IF(Model!AC33=0,"",Model!AC33)</f>
        <v/>
      </c>
      <c r="AF30" s="206" t="str">
        <f aca="false">IF(Model!AD33=0,"",Model!AD33)</f>
        <v/>
      </c>
      <c r="AG30" s="206" t="str">
        <f aca="false">IF(Model!AE33=0,"",Model!AE33)</f>
        <v/>
      </c>
      <c r="AH30" s="206" t="str">
        <f aca="false">IF(Model!AF33=0,"",Model!AF33)</f>
        <v/>
      </c>
      <c r="AI30" s="206" t="str">
        <f aca="false">IF(Model!AG33=0,"",Model!AG33)</f>
        <v/>
      </c>
      <c r="AJ30" s="206" t="str">
        <f aca="false">IF(Model!AH33=0,"",Model!AH33)</f>
        <v/>
      </c>
      <c r="AK30" s="206" t="str">
        <f aca="false">IF(Model!AI33=0,"",Model!AI33)</f>
        <v/>
      </c>
      <c r="AL30" s="206" t="str">
        <f aca="false">IF(Model!AJ33=0,"",Model!AJ33)</f>
        <v/>
      </c>
      <c r="AM30" s="206" t="str">
        <f aca="false">IF(Model!AK33=0,"",Model!AK33)</f>
        <v/>
      </c>
      <c r="AN30" s="206" t="str">
        <f aca="false">IF(Model!AL33=0,"",Model!AL33)</f>
        <v/>
      </c>
      <c r="AO30" s="206" t="str">
        <f aca="false">IF(Model!AM33=0,"",Model!AM33)</f>
        <v/>
      </c>
      <c r="AP30" s="206" t="str">
        <f aca="false">IF(Model!AN33=0,"",Model!AN33)</f>
        <v/>
      </c>
      <c r="AQ30" s="206" t="str">
        <f aca="false">IF(Model!AO33=0,"",Model!AO33)</f>
        <v/>
      </c>
      <c r="AR30" s="206" t="str">
        <f aca="false">IF(Model!AP33=0,"",Model!AP33)</f>
        <v/>
      </c>
      <c r="AS30" s="206" t="str">
        <f aca="false">IF(Model!AQ33=0,"",Model!AQ33)</f>
        <v/>
      </c>
      <c r="AT30" s="206" t="str">
        <f aca="false">IF(Model!AR33=0,"",Model!AR33)</f>
        <v/>
      </c>
      <c r="AU30" s="206" t="str">
        <f aca="false">IF(Model!AS33=0,"",Model!AS33)</f>
        <v/>
      </c>
      <c r="AV30" s="206" t="str">
        <f aca="false">IF(Model!AT33=0,"",Model!AT33)</f>
        <v/>
      </c>
      <c r="AW30" s="206" t="str">
        <f aca="false">IF(Model!AU33=0,"",Model!AU33)</f>
        <v/>
      </c>
      <c r="AX30" s="206" t="str">
        <f aca="false">IF(Model!AV33=0,"",Model!AV33)</f>
        <v/>
      </c>
      <c r="AY30" s="206" t="str">
        <f aca="false">IF(Model!AW33=0,"",Model!AW33)</f>
        <v/>
      </c>
      <c r="AZ30" s="206" t="str">
        <f aca="false">IF(Model!AX33=0,"",Model!AX33)</f>
        <v/>
      </c>
      <c r="BA30" s="206" t="str">
        <f aca="false">IF(Model!AY33=0,"",Model!AY33)</f>
        <v/>
      </c>
      <c r="BB30" s="206" t="str">
        <f aca="false">IF(Model!AZ33=0,"",Model!AZ33)</f>
        <v/>
      </c>
      <c r="BC30" s="206" t="str">
        <f aca="false">IF(Model!BA33=0,"",Model!BA33)</f>
        <v/>
      </c>
      <c r="BD30" s="206" t="str">
        <f aca="false">IF(Model!BB33=0,"",Model!BB33)</f>
        <v/>
      </c>
      <c r="BE30" s="206" t="str">
        <f aca="false">IF(Model!BC33=0,"",Model!BC33)</f>
        <v/>
      </c>
      <c r="BF30" s="206" t="str">
        <f aca="false">IF(Model!BD33=0,"",Model!BD33)</f>
        <v/>
      </c>
      <c r="BG30" s="206" t="str">
        <f aca="false">IF(Model!BE33=0,"",Model!BE33)</f>
        <v/>
      </c>
      <c r="BH30" s="206" t="str">
        <f aca="false">IF(Model!BF33=0,"",Model!BF33)</f>
        <v/>
      </c>
      <c r="BI30" s="206" t="str">
        <f aca="false">IF(Model!BG33=0,"",Model!BG33)</f>
        <v/>
      </c>
      <c r="BJ30" s="206" t="str">
        <f aca="false">IF(Model!BH33=0,"",Model!BH33)</f>
        <v/>
      </c>
      <c r="BK30" s="206" t="str">
        <f aca="false">IF(Model!BI33=0,"",Model!BI33)</f>
        <v/>
      </c>
      <c r="BL30" s="206" t="str">
        <f aca="false">IF(Model!BJ33=0,"",Model!BJ33)</f>
        <v/>
      </c>
      <c r="BM30" s="206" t="str">
        <f aca="false">IF(Model!BK33=0,"",Model!BK33)</f>
        <v/>
      </c>
      <c r="BN30" s="206" t="str">
        <f aca="false">IF(Model!BL33=0,"",Model!BL33)</f>
        <v/>
      </c>
      <c r="BO30" s="206" t="str">
        <f aca="false">IF(Model!BM33=0,"",Model!BM33)</f>
        <v/>
      </c>
      <c r="BP30" s="206" t="str">
        <f aca="false">IF(Model!BN33=0,"",Model!BN33)</f>
        <v/>
      </c>
      <c r="BQ30" s="206" t="str">
        <f aca="false">IF(Model!BO33=0,"",Model!BO33)</f>
        <v/>
      </c>
      <c r="BR30" s="206" t="str">
        <f aca="false">IF(Model!BP33=0,"",Model!BP33)</f>
        <v/>
      </c>
      <c r="BS30" s="206" t="str">
        <f aca="false">IF(Model!BQ33=0,"",Model!BQ33)</f>
        <v/>
      </c>
      <c r="BT30" s="206" t="str">
        <f aca="false">IF(Model!BR33=0,"",Model!BR33)</f>
        <v/>
      </c>
      <c r="BU30" s="206" t="str">
        <f aca="false">IF(Model!BS33=0,"",Model!BS33)</f>
        <v/>
      </c>
      <c r="BV30" s="206" t="str">
        <f aca="false">IF(Model!BT33=0,"",Model!BT33)</f>
        <v/>
      </c>
      <c r="BW30" s="206" t="str">
        <f aca="false">IF(Model!BU33=0,"",Model!BU33)</f>
        <v/>
      </c>
      <c r="BX30" s="206" t="str">
        <f aca="false">IF(Model!BV33=0,"",Model!BV33)</f>
        <v/>
      </c>
      <c r="BY30" s="206" t="str">
        <f aca="false">IF(Model!BW33=0,"",Model!BW33)</f>
        <v/>
      </c>
      <c r="BZ30" s="206" t="str">
        <f aca="false">IF(Model!BX33=0,"",Model!BX33)</f>
        <v/>
      </c>
      <c r="CA30" s="206" t="str">
        <f aca="false">IF(Model!BY33=0,"",Model!BY33)</f>
        <v/>
      </c>
      <c r="CB30" s="206" t="str">
        <f aca="false">IF(Model!BZ33=0,"",Model!BZ33)</f>
        <v/>
      </c>
      <c r="CC30" s="206" t="str">
        <f aca="false">IF(Model!CA33=0,"",Model!CA33)</f>
        <v/>
      </c>
      <c r="CD30" s="206" t="str">
        <f aca="false">IF(Model!CB33=0,"",Model!CB33)</f>
        <v/>
      </c>
      <c r="CE30" s="206" t="str">
        <f aca="false">IF(Model!CC33=0,"",Model!CC33)</f>
        <v/>
      </c>
      <c r="CF30" s="206" t="str">
        <f aca="false">IF(Model!CD33=0,"",Model!CD33)</f>
        <v/>
      </c>
      <c r="CG30" s="206" t="str">
        <f aca="false">IF(Model!CE33=0,"",Model!CE33)</f>
        <v/>
      </c>
      <c r="CH30" s="206" t="str">
        <f aca="false">IF(Model!CF33=0,"",Model!CF33)</f>
        <v/>
      </c>
      <c r="CI30" s="206" t="str">
        <f aca="false">IF(Model!CG33=0,"",Model!CG33)</f>
        <v/>
      </c>
      <c r="CJ30" s="206" t="str">
        <f aca="false">IF(Model!CH33=0,"",Model!CH33)</f>
        <v/>
      </c>
      <c r="CK30" s="206" t="str">
        <f aca="false">IF(Model!CI33=0,"",Model!CI33)</f>
        <v/>
      </c>
      <c r="CL30" s="206" t="str">
        <f aca="false">IF(Model!CJ33=0,"",Model!CJ33)</f>
        <v/>
      </c>
      <c r="CM30" s="206" t="str">
        <f aca="false">IF(Model!CK33=0,"",Model!CK33)</f>
        <v/>
      </c>
      <c r="CN30" s="206" t="str">
        <f aca="false">IF(Model!CL33=0,"",Model!CL33)</f>
        <v/>
      </c>
      <c r="CO30" s="206" t="str">
        <f aca="false">IF(Model!CM33=0,"",Model!CM33)</f>
        <v/>
      </c>
      <c r="CP30" s="206" t="str">
        <f aca="false">IF(Model!CN33=0,"",Model!CN33)</f>
        <v/>
      </c>
      <c r="CQ30" s="206" t="str">
        <f aca="false">IF(Model!CO33=0,"",Model!CO33)</f>
        <v/>
      </c>
      <c r="CR30" s="206" t="str">
        <f aca="false">IF(Model!CP33=0,"",Model!CP33)</f>
        <v/>
      </c>
      <c r="CS30" s="206" t="str">
        <f aca="false">IF(Model!CQ33=0,"",Model!CQ33)</f>
        <v/>
      </c>
      <c r="CT30" s="206" t="str">
        <f aca="false">IF(Model!CR33=0,"",Model!CR33)</f>
        <v/>
      </c>
      <c r="CU30" s="206" t="str">
        <f aca="false">IF(Model!CS33=0,"",Model!CS33)</f>
        <v/>
      </c>
      <c r="CV30" s="206" t="str">
        <f aca="false">IF(Model!CT33=0,"",Model!CT33)</f>
        <v/>
      </c>
      <c r="CW30" s="206" t="str">
        <f aca="false">IF(Model!CU33=0,"",Model!CU33)</f>
        <v/>
      </c>
      <c r="CX30" s="206" t="str">
        <f aca="false">IF(Model!CV33=0,"",Model!CV33)</f>
        <v/>
      </c>
      <c r="CY30" s="206" t="str">
        <f aca="false">IF(Model!CW33=0,"",Model!CW33)</f>
        <v/>
      </c>
      <c r="CZ30" s="206" t="str">
        <f aca="false">IF(Model!CX33=0,"",Model!CX33)</f>
        <v/>
      </c>
      <c r="DA30" s="206" t="str">
        <f aca="false">IF(Model!CY33=0,"",Model!CY33)</f>
        <v/>
      </c>
      <c r="DB30" s="206" t="str">
        <f aca="false">IF(Model!CZ33=0,"",Model!CZ33)</f>
        <v/>
      </c>
    </row>
    <row r="31" customFormat="false" ht="15" hidden="false" customHeight="true" outlineLevel="0" collapsed="false">
      <c r="A31" s="123" t="s">
        <v>28</v>
      </c>
      <c r="B31" s="203" t="n">
        <f aca="false">Projects!$B$25</f>
        <v>18000000</v>
      </c>
      <c r="C31" s="204" t="n">
        <f aca="false">EDATE(Model!$E$2,Projects!$C$25-1)</f>
        <v>47300</v>
      </c>
      <c r="D31" s="204" t="n">
        <f aca="false">EDATE(Model!$E$2,Projects!$C$25+Projects!$D$25-2)</f>
        <v>47849</v>
      </c>
      <c r="E31" s="205" t="n">
        <f aca="false">Projects!$D$25</f>
        <v>19</v>
      </c>
      <c r="F31" s="203" t="n">
        <f aca="false">SUM(G31:DB31)</f>
        <v>0</v>
      </c>
      <c r="G31" s="206" t="str">
        <f aca="false">IF(Model!E34=0,"",Model!E34)</f>
        <v/>
      </c>
      <c r="H31" s="206" t="str">
        <f aca="false">IF(Model!F34=0,"",Model!F34)</f>
        <v/>
      </c>
      <c r="I31" s="206" t="str">
        <f aca="false">IF(Model!G34=0,"",Model!G34)</f>
        <v/>
      </c>
      <c r="J31" s="206" t="str">
        <f aca="false">IF(Model!H34=0,"",Model!H34)</f>
        <v/>
      </c>
      <c r="K31" s="206" t="str">
        <f aca="false">IF(Model!I34=0,"",Model!I34)</f>
        <v/>
      </c>
      <c r="L31" s="206" t="str">
        <f aca="false">IF(Model!J34=0,"",Model!J34)</f>
        <v/>
      </c>
      <c r="M31" s="206" t="str">
        <f aca="false">IF(Model!K34=0,"",Model!K34)</f>
        <v/>
      </c>
      <c r="N31" s="206" t="str">
        <f aca="false">IF(Model!L34=0,"",Model!L34)</f>
        <v/>
      </c>
      <c r="O31" s="206" t="str">
        <f aca="false">IF(Model!M34=0,"",Model!M34)</f>
        <v/>
      </c>
      <c r="P31" s="206" t="str">
        <f aca="false">IF(Model!N34=0,"",Model!N34)</f>
        <v/>
      </c>
      <c r="Q31" s="206" t="str">
        <f aca="false">IF(Model!O34=0,"",Model!O34)</f>
        <v/>
      </c>
      <c r="R31" s="206" t="str">
        <f aca="false">IF(Model!P34=0,"",Model!P34)</f>
        <v/>
      </c>
      <c r="S31" s="206" t="str">
        <f aca="false">IF(Model!Q34=0,"",Model!Q34)</f>
        <v/>
      </c>
      <c r="T31" s="206" t="str">
        <f aca="false">IF(Model!R34=0,"",Model!R34)</f>
        <v/>
      </c>
      <c r="U31" s="206" t="str">
        <f aca="false">IF(Model!S34=0,"",Model!S34)</f>
        <v/>
      </c>
      <c r="V31" s="206" t="str">
        <f aca="false">IF(Model!T34=0,"",Model!T34)</f>
        <v/>
      </c>
      <c r="W31" s="206" t="str">
        <f aca="false">IF(Model!U34=0,"",Model!U34)</f>
        <v/>
      </c>
      <c r="X31" s="206" t="str">
        <f aca="false">IF(Model!V34=0,"",Model!V34)</f>
        <v/>
      </c>
      <c r="Y31" s="206" t="str">
        <f aca="false">IF(Model!W34=0,"",Model!W34)</f>
        <v/>
      </c>
      <c r="Z31" s="206" t="str">
        <f aca="false">IF(Model!X34=0,"",Model!X34)</f>
        <v/>
      </c>
      <c r="AA31" s="206" t="str">
        <f aca="false">IF(Model!Y34=0,"",Model!Y34)</f>
        <v/>
      </c>
      <c r="AB31" s="206" t="str">
        <f aca="false">IF(Model!Z34=0,"",Model!Z34)</f>
        <v/>
      </c>
      <c r="AC31" s="206" t="str">
        <f aca="false">IF(Model!AA34=0,"",Model!AA34)</f>
        <v/>
      </c>
      <c r="AD31" s="206" t="str">
        <f aca="false">IF(Model!AB34=0,"",Model!AB34)</f>
        <v/>
      </c>
      <c r="AE31" s="206" t="str">
        <f aca="false">IF(Model!AC34=0,"",Model!AC34)</f>
        <v/>
      </c>
      <c r="AF31" s="206" t="str">
        <f aca="false">IF(Model!AD34=0,"",Model!AD34)</f>
        <v/>
      </c>
      <c r="AG31" s="206" t="str">
        <f aca="false">IF(Model!AE34=0,"",Model!AE34)</f>
        <v/>
      </c>
      <c r="AH31" s="206" t="str">
        <f aca="false">IF(Model!AF34=0,"",Model!AF34)</f>
        <v/>
      </c>
      <c r="AI31" s="206" t="str">
        <f aca="false">IF(Model!AG34=0,"",Model!AG34)</f>
        <v/>
      </c>
      <c r="AJ31" s="206" t="str">
        <f aca="false">IF(Model!AH34=0,"",Model!AH34)</f>
        <v/>
      </c>
      <c r="AK31" s="206" t="str">
        <f aca="false">IF(Model!AI34=0,"",Model!AI34)</f>
        <v/>
      </c>
      <c r="AL31" s="206" t="str">
        <f aca="false">IF(Model!AJ34=0,"",Model!AJ34)</f>
        <v/>
      </c>
      <c r="AM31" s="206" t="str">
        <f aca="false">IF(Model!AK34=0,"",Model!AK34)</f>
        <v/>
      </c>
      <c r="AN31" s="206" t="str">
        <f aca="false">IF(Model!AL34=0,"",Model!AL34)</f>
        <v/>
      </c>
      <c r="AO31" s="206" t="str">
        <f aca="false">IF(Model!AM34=0,"",Model!AM34)</f>
        <v/>
      </c>
      <c r="AP31" s="206" t="str">
        <f aca="false">IF(Model!AN34=0,"",Model!AN34)</f>
        <v/>
      </c>
      <c r="AQ31" s="206" t="str">
        <f aca="false">IF(Model!AO34=0,"",Model!AO34)</f>
        <v/>
      </c>
      <c r="AR31" s="206" t="str">
        <f aca="false">IF(Model!AP34=0,"",Model!AP34)</f>
        <v/>
      </c>
      <c r="AS31" s="206" t="str">
        <f aca="false">IF(Model!AQ34=0,"",Model!AQ34)</f>
        <v/>
      </c>
      <c r="AT31" s="206" t="str">
        <f aca="false">IF(Model!AR34=0,"",Model!AR34)</f>
        <v/>
      </c>
      <c r="AU31" s="206" t="str">
        <f aca="false">IF(Model!AS34=0,"",Model!AS34)</f>
        <v/>
      </c>
      <c r="AV31" s="206" t="str">
        <f aca="false">IF(Model!AT34=0,"",Model!AT34)</f>
        <v/>
      </c>
      <c r="AW31" s="206" t="str">
        <f aca="false">IF(Model!AU34=0,"",Model!AU34)</f>
        <v/>
      </c>
      <c r="AX31" s="206" t="str">
        <f aca="false">IF(Model!AV34=0,"",Model!AV34)</f>
        <v/>
      </c>
      <c r="AY31" s="206" t="str">
        <f aca="false">IF(Model!AW34=0,"",Model!AW34)</f>
        <v/>
      </c>
      <c r="AZ31" s="206" t="str">
        <f aca="false">IF(Model!AX34=0,"",Model!AX34)</f>
        <v/>
      </c>
      <c r="BA31" s="206" t="str">
        <f aca="false">IF(Model!AY34=0,"",Model!AY34)</f>
        <v/>
      </c>
      <c r="BB31" s="206" t="str">
        <f aca="false">IF(Model!AZ34=0,"",Model!AZ34)</f>
        <v/>
      </c>
      <c r="BC31" s="206" t="str">
        <f aca="false">IF(Model!BA34=0,"",Model!BA34)</f>
        <v/>
      </c>
      <c r="BD31" s="206" t="str">
        <f aca="false">IF(Model!BB34=0,"",Model!BB34)</f>
        <v/>
      </c>
      <c r="BE31" s="206" t="str">
        <f aca="false">IF(Model!BC34=0,"",Model!BC34)</f>
        <v/>
      </c>
      <c r="BF31" s="206" t="str">
        <f aca="false">IF(Model!BD34=0,"",Model!BD34)</f>
        <v/>
      </c>
      <c r="BG31" s="206" t="str">
        <f aca="false">IF(Model!BE34=0,"",Model!BE34)</f>
        <v/>
      </c>
      <c r="BH31" s="206" t="str">
        <f aca="false">IF(Model!BF34=0,"",Model!BF34)</f>
        <v/>
      </c>
      <c r="BI31" s="206" t="str">
        <f aca="false">IF(Model!BG34=0,"",Model!BG34)</f>
        <v/>
      </c>
      <c r="BJ31" s="206" t="str">
        <f aca="false">IF(Model!BH34=0,"",Model!BH34)</f>
        <v/>
      </c>
      <c r="BK31" s="206" t="str">
        <f aca="false">IF(Model!BI34=0,"",Model!BI34)</f>
        <v/>
      </c>
      <c r="BL31" s="206" t="str">
        <f aca="false">IF(Model!BJ34=0,"",Model!BJ34)</f>
        <v/>
      </c>
      <c r="BM31" s="206" t="str">
        <f aca="false">IF(Model!BK34=0,"",Model!BK34)</f>
        <v/>
      </c>
      <c r="BN31" s="206" t="str">
        <f aca="false">IF(Model!BL34=0,"",Model!BL34)</f>
        <v/>
      </c>
      <c r="BO31" s="206" t="str">
        <f aca="false">IF(Model!BM34=0,"",Model!BM34)</f>
        <v/>
      </c>
      <c r="BP31" s="206" t="str">
        <f aca="false">IF(Model!BN34=0,"",Model!BN34)</f>
        <v/>
      </c>
      <c r="BQ31" s="206" t="str">
        <f aca="false">IF(Model!BO34=0,"",Model!BO34)</f>
        <v/>
      </c>
      <c r="BR31" s="206" t="str">
        <f aca="false">IF(Model!BP34=0,"",Model!BP34)</f>
        <v/>
      </c>
      <c r="BS31" s="206" t="str">
        <f aca="false">IF(Model!BQ34=0,"",Model!BQ34)</f>
        <v/>
      </c>
      <c r="BT31" s="206" t="str">
        <f aca="false">IF(Model!BR34=0,"",Model!BR34)</f>
        <v/>
      </c>
      <c r="BU31" s="206" t="str">
        <f aca="false">IF(Model!BS34=0,"",Model!BS34)</f>
        <v/>
      </c>
      <c r="BV31" s="206" t="str">
        <f aca="false">IF(Model!BT34=0,"",Model!BT34)</f>
        <v/>
      </c>
      <c r="BW31" s="206" t="str">
        <f aca="false">IF(Model!BU34=0,"",Model!BU34)</f>
        <v/>
      </c>
      <c r="BX31" s="206" t="str">
        <f aca="false">IF(Model!BV34=0,"",Model!BV34)</f>
        <v/>
      </c>
      <c r="BY31" s="206" t="str">
        <f aca="false">IF(Model!BW34=0,"",Model!BW34)</f>
        <v/>
      </c>
      <c r="BZ31" s="206" t="str">
        <f aca="false">IF(Model!BX34=0,"",Model!BX34)</f>
        <v/>
      </c>
      <c r="CA31" s="206" t="str">
        <f aca="false">IF(Model!BY34=0,"",Model!BY34)</f>
        <v/>
      </c>
      <c r="CB31" s="206" t="str">
        <f aca="false">IF(Model!BZ34=0,"",Model!BZ34)</f>
        <v/>
      </c>
      <c r="CC31" s="206" t="str">
        <f aca="false">IF(Model!CA34=0,"",Model!CA34)</f>
        <v/>
      </c>
      <c r="CD31" s="206" t="str">
        <f aca="false">IF(Model!CB34=0,"",Model!CB34)</f>
        <v/>
      </c>
      <c r="CE31" s="206" t="str">
        <f aca="false">IF(Model!CC34=0,"",Model!CC34)</f>
        <v/>
      </c>
      <c r="CF31" s="206" t="str">
        <f aca="false">IF(Model!CD34=0,"",Model!CD34)</f>
        <v/>
      </c>
      <c r="CG31" s="206" t="str">
        <f aca="false">IF(Model!CE34=0,"",Model!CE34)</f>
        <v/>
      </c>
      <c r="CH31" s="206" t="str">
        <f aca="false">IF(Model!CF34=0,"",Model!CF34)</f>
        <v/>
      </c>
      <c r="CI31" s="206" t="str">
        <f aca="false">IF(Model!CG34=0,"",Model!CG34)</f>
        <v/>
      </c>
      <c r="CJ31" s="206" t="str">
        <f aca="false">IF(Model!CH34=0,"",Model!CH34)</f>
        <v/>
      </c>
      <c r="CK31" s="206" t="str">
        <f aca="false">IF(Model!CI34=0,"",Model!CI34)</f>
        <v/>
      </c>
      <c r="CL31" s="206" t="str">
        <f aca="false">IF(Model!CJ34=0,"",Model!CJ34)</f>
        <v/>
      </c>
      <c r="CM31" s="206" t="str">
        <f aca="false">IF(Model!CK34=0,"",Model!CK34)</f>
        <v/>
      </c>
      <c r="CN31" s="206" t="str">
        <f aca="false">IF(Model!CL34=0,"",Model!CL34)</f>
        <v/>
      </c>
      <c r="CO31" s="206" t="str">
        <f aca="false">IF(Model!CM34=0,"",Model!CM34)</f>
        <v/>
      </c>
      <c r="CP31" s="206" t="str">
        <f aca="false">IF(Model!CN34=0,"",Model!CN34)</f>
        <v/>
      </c>
      <c r="CQ31" s="206" t="str">
        <f aca="false">IF(Model!CO34=0,"",Model!CO34)</f>
        <v/>
      </c>
      <c r="CR31" s="206" t="str">
        <f aca="false">IF(Model!CP34=0,"",Model!CP34)</f>
        <v/>
      </c>
      <c r="CS31" s="206" t="str">
        <f aca="false">IF(Model!CQ34=0,"",Model!CQ34)</f>
        <v/>
      </c>
      <c r="CT31" s="206" t="str">
        <f aca="false">IF(Model!CR34=0,"",Model!CR34)</f>
        <v/>
      </c>
      <c r="CU31" s="206" t="str">
        <f aca="false">IF(Model!CS34=0,"",Model!CS34)</f>
        <v/>
      </c>
      <c r="CV31" s="206" t="str">
        <f aca="false">IF(Model!CT34=0,"",Model!CT34)</f>
        <v/>
      </c>
      <c r="CW31" s="206" t="str">
        <f aca="false">IF(Model!CU34=0,"",Model!CU34)</f>
        <v/>
      </c>
      <c r="CX31" s="206" t="str">
        <f aca="false">IF(Model!CV34=0,"",Model!CV34)</f>
        <v/>
      </c>
      <c r="CY31" s="206" t="str">
        <f aca="false">IF(Model!CW34=0,"",Model!CW34)</f>
        <v/>
      </c>
      <c r="CZ31" s="206" t="str">
        <f aca="false">IF(Model!CX34=0,"",Model!CX34)</f>
        <v/>
      </c>
      <c r="DA31" s="206" t="str">
        <f aca="false">IF(Model!CY34=0,"",Model!CY34)</f>
        <v/>
      </c>
      <c r="DB31" s="206" t="str">
        <f aca="false">IF(Model!CZ34=0,"",Model!CZ34)</f>
        <v/>
      </c>
    </row>
    <row r="32" customFormat="false" ht="15" hidden="false" customHeight="true" outlineLevel="0" collapsed="false">
      <c r="A32" s="123" t="s">
        <v>29</v>
      </c>
      <c r="B32" s="203" t="n">
        <f aca="false">Projects!$B$26</f>
        <v>18000000</v>
      </c>
      <c r="C32" s="204" t="n">
        <f aca="false">EDATE(Model!$E$2,Projects!$C$26-1)</f>
        <v>47362</v>
      </c>
      <c r="D32" s="204" t="n">
        <f aca="false">EDATE(Model!$E$2,Projects!$C$26+Projects!$D$26-2)</f>
        <v>47908</v>
      </c>
      <c r="E32" s="205" t="n">
        <f aca="false">Projects!$D$26</f>
        <v>19</v>
      </c>
      <c r="F32" s="203" t="n">
        <f aca="false">SUM(G32:DB32)</f>
        <v>0</v>
      </c>
      <c r="G32" s="206" t="str">
        <f aca="false">IF(Model!E35=0,"",Model!E35)</f>
        <v/>
      </c>
      <c r="H32" s="206" t="str">
        <f aca="false">IF(Model!F35=0,"",Model!F35)</f>
        <v/>
      </c>
      <c r="I32" s="206" t="str">
        <f aca="false">IF(Model!G35=0,"",Model!G35)</f>
        <v/>
      </c>
      <c r="J32" s="206" t="str">
        <f aca="false">IF(Model!H35=0,"",Model!H35)</f>
        <v/>
      </c>
      <c r="K32" s="206" t="str">
        <f aca="false">IF(Model!I35=0,"",Model!I35)</f>
        <v/>
      </c>
      <c r="L32" s="206" t="str">
        <f aca="false">IF(Model!J35=0,"",Model!J35)</f>
        <v/>
      </c>
      <c r="M32" s="206" t="str">
        <f aca="false">IF(Model!K35=0,"",Model!K35)</f>
        <v/>
      </c>
      <c r="N32" s="206" t="str">
        <f aca="false">IF(Model!L35=0,"",Model!L35)</f>
        <v/>
      </c>
      <c r="O32" s="206" t="str">
        <f aca="false">IF(Model!M35=0,"",Model!M35)</f>
        <v/>
      </c>
      <c r="P32" s="206" t="str">
        <f aca="false">IF(Model!N35=0,"",Model!N35)</f>
        <v/>
      </c>
      <c r="Q32" s="206" t="str">
        <f aca="false">IF(Model!O35=0,"",Model!O35)</f>
        <v/>
      </c>
      <c r="R32" s="206" t="str">
        <f aca="false">IF(Model!P35=0,"",Model!P35)</f>
        <v/>
      </c>
      <c r="S32" s="206" t="str">
        <f aca="false">IF(Model!Q35=0,"",Model!Q35)</f>
        <v/>
      </c>
      <c r="T32" s="206" t="str">
        <f aca="false">IF(Model!R35=0,"",Model!R35)</f>
        <v/>
      </c>
      <c r="U32" s="206" t="str">
        <f aca="false">IF(Model!S35=0,"",Model!S35)</f>
        <v/>
      </c>
      <c r="V32" s="206" t="str">
        <f aca="false">IF(Model!T35=0,"",Model!T35)</f>
        <v/>
      </c>
      <c r="W32" s="206" t="str">
        <f aca="false">IF(Model!U35=0,"",Model!U35)</f>
        <v/>
      </c>
      <c r="X32" s="206" t="str">
        <f aca="false">IF(Model!V35=0,"",Model!V35)</f>
        <v/>
      </c>
      <c r="Y32" s="206" t="str">
        <f aca="false">IF(Model!W35=0,"",Model!W35)</f>
        <v/>
      </c>
      <c r="Z32" s="206" t="str">
        <f aca="false">IF(Model!X35=0,"",Model!X35)</f>
        <v/>
      </c>
      <c r="AA32" s="206" t="str">
        <f aca="false">IF(Model!Y35=0,"",Model!Y35)</f>
        <v/>
      </c>
      <c r="AB32" s="206" t="str">
        <f aca="false">IF(Model!Z35=0,"",Model!Z35)</f>
        <v/>
      </c>
      <c r="AC32" s="206" t="str">
        <f aca="false">IF(Model!AA35=0,"",Model!AA35)</f>
        <v/>
      </c>
      <c r="AD32" s="206" t="str">
        <f aca="false">IF(Model!AB35=0,"",Model!AB35)</f>
        <v/>
      </c>
      <c r="AE32" s="206" t="str">
        <f aca="false">IF(Model!AC35=0,"",Model!AC35)</f>
        <v/>
      </c>
      <c r="AF32" s="206" t="str">
        <f aca="false">IF(Model!AD35=0,"",Model!AD35)</f>
        <v/>
      </c>
      <c r="AG32" s="206" t="str">
        <f aca="false">IF(Model!AE35=0,"",Model!AE35)</f>
        <v/>
      </c>
      <c r="AH32" s="206" t="str">
        <f aca="false">IF(Model!AF35=0,"",Model!AF35)</f>
        <v/>
      </c>
      <c r="AI32" s="206" t="str">
        <f aca="false">IF(Model!AG35=0,"",Model!AG35)</f>
        <v/>
      </c>
      <c r="AJ32" s="206" t="str">
        <f aca="false">IF(Model!AH35=0,"",Model!AH35)</f>
        <v/>
      </c>
      <c r="AK32" s="206" t="str">
        <f aca="false">IF(Model!AI35=0,"",Model!AI35)</f>
        <v/>
      </c>
      <c r="AL32" s="206" t="str">
        <f aca="false">IF(Model!AJ35=0,"",Model!AJ35)</f>
        <v/>
      </c>
      <c r="AM32" s="206" t="str">
        <f aca="false">IF(Model!AK35=0,"",Model!AK35)</f>
        <v/>
      </c>
      <c r="AN32" s="206" t="str">
        <f aca="false">IF(Model!AL35=0,"",Model!AL35)</f>
        <v/>
      </c>
      <c r="AO32" s="206" t="str">
        <f aca="false">IF(Model!AM35=0,"",Model!AM35)</f>
        <v/>
      </c>
      <c r="AP32" s="206" t="str">
        <f aca="false">IF(Model!AN35=0,"",Model!AN35)</f>
        <v/>
      </c>
      <c r="AQ32" s="206" t="str">
        <f aca="false">IF(Model!AO35=0,"",Model!AO35)</f>
        <v/>
      </c>
      <c r="AR32" s="206" t="str">
        <f aca="false">IF(Model!AP35=0,"",Model!AP35)</f>
        <v/>
      </c>
      <c r="AS32" s="206" t="str">
        <f aca="false">IF(Model!AQ35=0,"",Model!AQ35)</f>
        <v/>
      </c>
      <c r="AT32" s="206" t="str">
        <f aca="false">IF(Model!AR35=0,"",Model!AR35)</f>
        <v/>
      </c>
      <c r="AU32" s="206" t="str">
        <f aca="false">IF(Model!AS35=0,"",Model!AS35)</f>
        <v/>
      </c>
      <c r="AV32" s="206" t="str">
        <f aca="false">IF(Model!AT35=0,"",Model!AT35)</f>
        <v/>
      </c>
      <c r="AW32" s="206" t="str">
        <f aca="false">IF(Model!AU35=0,"",Model!AU35)</f>
        <v/>
      </c>
      <c r="AX32" s="206" t="str">
        <f aca="false">IF(Model!AV35=0,"",Model!AV35)</f>
        <v/>
      </c>
      <c r="AY32" s="206" t="str">
        <f aca="false">IF(Model!AW35=0,"",Model!AW35)</f>
        <v/>
      </c>
      <c r="AZ32" s="206" t="str">
        <f aca="false">IF(Model!AX35=0,"",Model!AX35)</f>
        <v/>
      </c>
      <c r="BA32" s="206" t="str">
        <f aca="false">IF(Model!AY35=0,"",Model!AY35)</f>
        <v/>
      </c>
      <c r="BB32" s="206" t="str">
        <f aca="false">IF(Model!AZ35=0,"",Model!AZ35)</f>
        <v/>
      </c>
      <c r="BC32" s="206" t="str">
        <f aca="false">IF(Model!BA35=0,"",Model!BA35)</f>
        <v/>
      </c>
      <c r="BD32" s="206" t="str">
        <f aca="false">IF(Model!BB35=0,"",Model!BB35)</f>
        <v/>
      </c>
      <c r="BE32" s="206" t="str">
        <f aca="false">IF(Model!BC35=0,"",Model!BC35)</f>
        <v/>
      </c>
      <c r="BF32" s="206" t="str">
        <f aca="false">IF(Model!BD35=0,"",Model!BD35)</f>
        <v/>
      </c>
      <c r="BG32" s="206" t="str">
        <f aca="false">IF(Model!BE35=0,"",Model!BE35)</f>
        <v/>
      </c>
      <c r="BH32" s="206" t="str">
        <f aca="false">IF(Model!BF35=0,"",Model!BF35)</f>
        <v/>
      </c>
      <c r="BI32" s="206" t="str">
        <f aca="false">IF(Model!BG35=0,"",Model!BG35)</f>
        <v/>
      </c>
      <c r="BJ32" s="206" t="str">
        <f aca="false">IF(Model!BH35=0,"",Model!BH35)</f>
        <v/>
      </c>
      <c r="BK32" s="206" t="str">
        <f aca="false">IF(Model!BI35=0,"",Model!BI35)</f>
        <v/>
      </c>
      <c r="BL32" s="206" t="str">
        <f aca="false">IF(Model!BJ35=0,"",Model!BJ35)</f>
        <v/>
      </c>
      <c r="BM32" s="206" t="str">
        <f aca="false">IF(Model!BK35=0,"",Model!BK35)</f>
        <v/>
      </c>
      <c r="BN32" s="206" t="str">
        <f aca="false">IF(Model!BL35=0,"",Model!BL35)</f>
        <v/>
      </c>
      <c r="BO32" s="206" t="str">
        <f aca="false">IF(Model!BM35=0,"",Model!BM35)</f>
        <v/>
      </c>
      <c r="BP32" s="206" t="str">
        <f aca="false">IF(Model!BN35=0,"",Model!BN35)</f>
        <v/>
      </c>
      <c r="BQ32" s="206" t="str">
        <f aca="false">IF(Model!BO35=0,"",Model!BO35)</f>
        <v/>
      </c>
      <c r="BR32" s="206" t="str">
        <f aca="false">IF(Model!BP35=0,"",Model!BP35)</f>
        <v/>
      </c>
      <c r="BS32" s="206" t="str">
        <f aca="false">IF(Model!BQ35=0,"",Model!BQ35)</f>
        <v/>
      </c>
      <c r="BT32" s="206" t="str">
        <f aca="false">IF(Model!BR35=0,"",Model!BR35)</f>
        <v/>
      </c>
      <c r="BU32" s="206" t="str">
        <f aca="false">IF(Model!BS35=0,"",Model!BS35)</f>
        <v/>
      </c>
      <c r="BV32" s="206" t="str">
        <f aca="false">IF(Model!BT35=0,"",Model!BT35)</f>
        <v/>
      </c>
      <c r="BW32" s="206" t="str">
        <f aca="false">IF(Model!BU35=0,"",Model!BU35)</f>
        <v/>
      </c>
      <c r="BX32" s="206" t="str">
        <f aca="false">IF(Model!BV35=0,"",Model!BV35)</f>
        <v/>
      </c>
      <c r="BY32" s="206" t="str">
        <f aca="false">IF(Model!BW35=0,"",Model!BW35)</f>
        <v/>
      </c>
      <c r="BZ32" s="206" t="str">
        <f aca="false">IF(Model!BX35=0,"",Model!BX35)</f>
        <v/>
      </c>
      <c r="CA32" s="206" t="str">
        <f aca="false">IF(Model!BY35=0,"",Model!BY35)</f>
        <v/>
      </c>
      <c r="CB32" s="206" t="str">
        <f aca="false">IF(Model!BZ35=0,"",Model!BZ35)</f>
        <v/>
      </c>
      <c r="CC32" s="206" t="str">
        <f aca="false">IF(Model!CA35=0,"",Model!CA35)</f>
        <v/>
      </c>
      <c r="CD32" s="206" t="str">
        <f aca="false">IF(Model!CB35=0,"",Model!CB35)</f>
        <v/>
      </c>
      <c r="CE32" s="206" t="str">
        <f aca="false">IF(Model!CC35=0,"",Model!CC35)</f>
        <v/>
      </c>
      <c r="CF32" s="206" t="str">
        <f aca="false">IF(Model!CD35=0,"",Model!CD35)</f>
        <v/>
      </c>
      <c r="CG32" s="206" t="str">
        <f aca="false">IF(Model!CE35=0,"",Model!CE35)</f>
        <v/>
      </c>
      <c r="CH32" s="206" t="str">
        <f aca="false">IF(Model!CF35=0,"",Model!CF35)</f>
        <v/>
      </c>
      <c r="CI32" s="206" t="str">
        <f aca="false">IF(Model!CG35=0,"",Model!CG35)</f>
        <v/>
      </c>
      <c r="CJ32" s="206" t="str">
        <f aca="false">IF(Model!CH35=0,"",Model!CH35)</f>
        <v/>
      </c>
      <c r="CK32" s="206" t="str">
        <f aca="false">IF(Model!CI35=0,"",Model!CI35)</f>
        <v/>
      </c>
      <c r="CL32" s="206" t="str">
        <f aca="false">IF(Model!CJ35=0,"",Model!CJ35)</f>
        <v/>
      </c>
      <c r="CM32" s="206" t="str">
        <f aca="false">IF(Model!CK35=0,"",Model!CK35)</f>
        <v/>
      </c>
      <c r="CN32" s="206" t="str">
        <f aca="false">IF(Model!CL35=0,"",Model!CL35)</f>
        <v/>
      </c>
      <c r="CO32" s="206" t="str">
        <f aca="false">IF(Model!CM35=0,"",Model!CM35)</f>
        <v/>
      </c>
      <c r="CP32" s="206" t="str">
        <f aca="false">IF(Model!CN35=0,"",Model!CN35)</f>
        <v/>
      </c>
      <c r="CQ32" s="206" t="str">
        <f aca="false">IF(Model!CO35=0,"",Model!CO35)</f>
        <v/>
      </c>
      <c r="CR32" s="206" t="str">
        <f aca="false">IF(Model!CP35=0,"",Model!CP35)</f>
        <v/>
      </c>
      <c r="CS32" s="206" t="str">
        <f aca="false">IF(Model!CQ35=0,"",Model!CQ35)</f>
        <v/>
      </c>
      <c r="CT32" s="206" t="str">
        <f aca="false">IF(Model!CR35=0,"",Model!CR35)</f>
        <v/>
      </c>
      <c r="CU32" s="206" t="str">
        <f aca="false">IF(Model!CS35=0,"",Model!CS35)</f>
        <v/>
      </c>
      <c r="CV32" s="206" t="str">
        <f aca="false">IF(Model!CT35=0,"",Model!CT35)</f>
        <v/>
      </c>
      <c r="CW32" s="206" t="str">
        <f aca="false">IF(Model!CU35=0,"",Model!CU35)</f>
        <v/>
      </c>
      <c r="CX32" s="206" t="str">
        <f aca="false">IF(Model!CV35=0,"",Model!CV35)</f>
        <v/>
      </c>
      <c r="CY32" s="206" t="str">
        <f aca="false">IF(Model!CW35=0,"",Model!CW35)</f>
        <v/>
      </c>
      <c r="CZ32" s="206" t="str">
        <f aca="false">IF(Model!CX35=0,"",Model!CX35)</f>
        <v/>
      </c>
      <c r="DA32" s="206" t="str">
        <f aca="false">IF(Model!CY35=0,"",Model!CY35)</f>
        <v/>
      </c>
      <c r="DB32" s="206" t="str">
        <f aca="false">IF(Model!CZ35=0,"",Model!CZ35)</f>
        <v/>
      </c>
    </row>
    <row r="33" customFormat="false" ht="15" hidden="false" customHeight="true" outlineLevel="0" collapsed="false">
      <c r="A33" s="123" t="s">
        <v>30</v>
      </c>
      <c r="B33" s="203" t="n">
        <f aca="false">Projects!$B$27</f>
        <v>15000000</v>
      </c>
      <c r="C33" s="204" t="n">
        <f aca="false">EDATE(Model!$E$2,Projects!$C$27-1)</f>
        <v>47423</v>
      </c>
      <c r="D33" s="204" t="n">
        <f aca="false">EDATE(Model!$E$2,Projects!$C$27+Projects!$D$27-2)</f>
        <v>47969</v>
      </c>
      <c r="E33" s="205" t="n">
        <f aca="false">Projects!$D$27</f>
        <v>19</v>
      </c>
      <c r="F33" s="203" t="n">
        <f aca="false">SUM(G33:DB33)</f>
        <v>0</v>
      </c>
      <c r="G33" s="206" t="str">
        <f aca="false">IF(Model!E36=0,"",Model!E36)</f>
        <v/>
      </c>
      <c r="H33" s="206" t="str">
        <f aca="false">IF(Model!F36=0,"",Model!F36)</f>
        <v/>
      </c>
      <c r="I33" s="206" t="str">
        <f aca="false">IF(Model!G36=0,"",Model!G36)</f>
        <v/>
      </c>
      <c r="J33" s="206" t="str">
        <f aca="false">IF(Model!H36=0,"",Model!H36)</f>
        <v/>
      </c>
      <c r="K33" s="206" t="str">
        <f aca="false">IF(Model!I36=0,"",Model!I36)</f>
        <v/>
      </c>
      <c r="L33" s="206" t="str">
        <f aca="false">IF(Model!J36=0,"",Model!J36)</f>
        <v/>
      </c>
      <c r="M33" s="206" t="str">
        <f aca="false">IF(Model!K36=0,"",Model!K36)</f>
        <v/>
      </c>
      <c r="N33" s="206" t="str">
        <f aca="false">IF(Model!L36=0,"",Model!L36)</f>
        <v/>
      </c>
      <c r="O33" s="206" t="str">
        <f aca="false">IF(Model!M36=0,"",Model!M36)</f>
        <v/>
      </c>
      <c r="P33" s="206" t="str">
        <f aca="false">IF(Model!N36=0,"",Model!N36)</f>
        <v/>
      </c>
      <c r="Q33" s="206" t="str">
        <f aca="false">IF(Model!O36=0,"",Model!O36)</f>
        <v/>
      </c>
      <c r="R33" s="206" t="str">
        <f aca="false">IF(Model!P36=0,"",Model!P36)</f>
        <v/>
      </c>
      <c r="S33" s="206" t="str">
        <f aca="false">IF(Model!Q36=0,"",Model!Q36)</f>
        <v/>
      </c>
      <c r="T33" s="206" t="str">
        <f aca="false">IF(Model!R36=0,"",Model!R36)</f>
        <v/>
      </c>
      <c r="U33" s="206" t="str">
        <f aca="false">IF(Model!S36=0,"",Model!S36)</f>
        <v/>
      </c>
      <c r="V33" s="206" t="str">
        <f aca="false">IF(Model!T36=0,"",Model!T36)</f>
        <v/>
      </c>
      <c r="W33" s="206" t="str">
        <f aca="false">IF(Model!U36=0,"",Model!U36)</f>
        <v/>
      </c>
      <c r="X33" s="206" t="str">
        <f aca="false">IF(Model!V36=0,"",Model!V36)</f>
        <v/>
      </c>
      <c r="Y33" s="206" t="str">
        <f aca="false">IF(Model!W36=0,"",Model!W36)</f>
        <v/>
      </c>
      <c r="Z33" s="206" t="str">
        <f aca="false">IF(Model!X36=0,"",Model!X36)</f>
        <v/>
      </c>
      <c r="AA33" s="206" t="str">
        <f aca="false">IF(Model!Y36=0,"",Model!Y36)</f>
        <v/>
      </c>
      <c r="AB33" s="206" t="str">
        <f aca="false">IF(Model!Z36=0,"",Model!Z36)</f>
        <v/>
      </c>
      <c r="AC33" s="206" t="str">
        <f aca="false">IF(Model!AA36=0,"",Model!AA36)</f>
        <v/>
      </c>
      <c r="AD33" s="206" t="str">
        <f aca="false">IF(Model!AB36=0,"",Model!AB36)</f>
        <v/>
      </c>
      <c r="AE33" s="206" t="str">
        <f aca="false">IF(Model!AC36=0,"",Model!AC36)</f>
        <v/>
      </c>
      <c r="AF33" s="206" t="str">
        <f aca="false">IF(Model!AD36=0,"",Model!AD36)</f>
        <v/>
      </c>
      <c r="AG33" s="206" t="str">
        <f aca="false">IF(Model!AE36=0,"",Model!AE36)</f>
        <v/>
      </c>
      <c r="AH33" s="206" t="str">
        <f aca="false">IF(Model!AF36=0,"",Model!AF36)</f>
        <v/>
      </c>
      <c r="AI33" s="206" t="str">
        <f aca="false">IF(Model!AG36=0,"",Model!AG36)</f>
        <v/>
      </c>
      <c r="AJ33" s="206" t="str">
        <f aca="false">IF(Model!AH36=0,"",Model!AH36)</f>
        <v/>
      </c>
      <c r="AK33" s="206" t="str">
        <f aca="false">IF(Model!AI36=0,"",Model!AI36)</f>
        <v/>
      </c>
      <c r="AL33" s="206" t="str">
        <f aca="false">IF(Model!AJ36=0,"",Model!AJ36)</f>
        <v/>
      </c>
      <c r="AM33" s="206" t="str">
        <f aca="false">IF(Model!AK36=0,"",Model!AK36)</f>
        <v/>
      </c>
      <c r="AN33" s="206" t="str">
        <f aca="false">IF(Model!AL36=0,"",Model!AL36)</f>
        <v/>
      </c>
      <c r="AO33" s="206" t="str">
        <f aca="false">IF(Model!AM36=0,"",Model!AM36)</f>
        <v/>
      </c>
      <c r="AP33" s="206" t="str">
        <f aca="false">IF(Model!AN36=0,"",Model!AN36)</f>
        <v/>
      </c>
      <c r="AQ33" s="206" t="str">
        <f aca="false">IF(Model!AO36=0,"",Model!AO36)</f>
        <v/>
      </c>
      <c r="AR33" s="206" t="str">
        <f aca="false">IF(Model!AP36=0,"",Model!AP36)</f>
        <v/>
      </c>
      <c r="AS33" s="206" t="str">
        <f aca="false">IF(Model!AQ36=0,"",Model!AQ36)</f>
        <v/>
      </c>
      <c r="AT33" s="206" t="str">
        <f aca="false">IF(Model!AR36=0,"",Model!AR36)</f>
        <v/>
      </c>
      <c r="AU33" s="206" t="str">
        <f aca="false">IF(Model!AS36=0,"",Model!AS36)</f>
        <v/>
      </c>
      <c r="AV33" s="206" t="str">
        <f aca="false">IF(Model!AT36=0,"",Model!AT36)</f>
        <v/>
      </c>
      <c r="AW33" s="206" t="str">
        <f aca="false">IF(Model!AU36=0,"",Model!AU36)</f>
        <v/>
      </c>
      <c r="AX33" s="206" t="str">
        <f aca="false">IF(Model!AV36=0,"",Model!AV36)</f>
        <v/>
      </c>
      <c r="AY33" s="206" t="str">
        <f aca="false">IF(Model!AW36=0,"",Model!AW36)</f>
        <v/>
      </c>
      <c r="AZ33" s="206" t="str">
        <f aca="false">IF(Model!AX36=0,"",Model!AX36)</f>
        <v/>
      </c>
      <c r="BA33" s="206" t="str">
        <f aca="false">IF(Model!AY36=0,"",Model!AY36)</f>
        <v/>
      </c>
      <c r="BB33" s="206" t="str">
        <f aca="false">IF(Model!AZ36=0,"",Model!AZ36)</f>
        <v/>
      </c>
      <c r="BC33" s="206" t="str">
        <f aca="false">IF(Model!BA36=0,"",Model!BA36)</f>
        <v/>
      </c>
      <c r="BD33" s="206" t="str">
        <f aca="false">IF(Model!BB36=0,"",Model!BB36)</f>
        <v/>
      </c>
      <c r="BE33" s="206" t="str">
        <f aca="false">IF(Model!BC36=0,"",Model!BC36)</f>
        <v/>
      </c>
      <c r="BF33" s="206" t="str">
        <f aca="false">IF(Model!BD36=0,"",Model!BD36)</f>
        <v/>
      </c>
      <c r="BG33" s="206" t="str">
        <f aca="false">IF(Model!BE36=0,"",Model!BE36)</f>
        <v/>
      </c>
      <c r="BH33" s="206" t="str">
        <f aca="false">IF(Model!BF36=0,"",Model!BF36)</f>
        <v/>
      </c>
      <c r="BI33" s="206" t="str">
        <f aca="false">IF(Model!BG36=0,"",Model!BG36)</f>
        <v/>
      </c>
      <c r="BJ33" s="206" t="str">
        <f aca="false">IF(Model!BH36=0,"",Model!BH36)</f>
        <v/>
      </c>
      <c r="BK33" s="206" t="str">
        <f aca="false">IF(Model!BI36=0,"",Model!BI36)</f>
        <v/>
      </c>
      <c r="BL33" s="206" t="str">
        <f aca="false">IF(Model!BJ36=0,"",Model!BJ36)</f>
        <v/>
      </c>
      <c r="BM33" s="206" t="str">
        <f aca="false">IF(Model!BK36=0,"",Model!BK36)</f>
        <v/>
      </c>
      <c r="BN33" s="206" t="str">
        <f aca="false">IF(Model!BL36=0,"",Model!BL36)</f>
        <v/>
      </c>
      <c r="BO33" s="206" t="str">
        <f aca="false">IF(Model!BM36=0,"",Model!BM36)</f>
        <v/>
      </c>
      <c r="BP33" s="206" t="str">
        <f aca="false">IF(Model!BN36=0,"",Model!BN36)</f>
        <v/>
      </c>
      <c r="BQ33" s="206" t="str">
        <f aca="false">IF(Model!BO36=0,"",Model!BO36)</f>
        <v/>
      </c>
      <c r="BR33" s="206" t="str">
        <f aca="false">IF(Model!BP36=0,"",Model!BP36)</f>
        <v/>
      </c>
      <c r="BS33" s="206" t="str">
        <f aca="false">IF(Model!BQ36=0,"",Model!BQ36)</f>
        <v/>
      </c>
      <c r="BT33" s="206" t="str">
        <f aca="false">IF(Model!BR36=0,"",Model!BR36)</f>
        <v/>
      </c>
      <c r="BU33" s="206" t="str">
        <f aca="false">IF(Model!BS36=0,"",Model!BS36)</f>
        <v/>
      </c>
      <c r="BV33" s="206" t="str">
        <f aca="false">IF(Model!BT36=0,"",Model!BT36)</f>
        <v/>
      </c>
      <c r="BW33" s="206" t="str">
        <f aca="false">IF(Model!BU36=0,"",Model!BU36)</f>
        <v/>
      </c>
      <c r="BX33" s="206" t="str">
        <f aca="false">IF(Model!BV36=0,"",Model!BV36)</f>
        <v/>
      </c>
      <c r="BY33" s="206" t="str">
        <f aca="false">IF(Model!BW36=0,"",Model!BW36)</f>
        <v/>
      </c>
      <c r="BZ33" s="206" t="str">
        <f aca="false">IF(Model!BX36=0,"",Model!BX36)</f>
        <v/>
      </c>
      <c r="CA33" s="206" t="str">
        <f aca="false">IF(Model!BY36=0,"",Model!BY36)</f>
        <v/>
      </c>
      <c r="CB33" s="206" t="str">
        <f aca="false">IF(Model!BZ36=0,"",Model!BZ36)</f>
        <v/>
      </c>
      <c r="CC33" s="206" t="str">
        <f aca="false">IF(Model!CA36=0,"",Model!CA36)</f>
        <v/>
      </c>
      <c r="CD33" s="206" t="str">
        <f aca="false">IF(Model!CB36=0,"",Model!CB36)</f>
        <v/>
      </c>
      <c r="CE33" s="206" t="str">
        <f aca="false">IF(Model!CC36=0,"",Model!CC36)</f>
        <v/>
      </c>
      <c r="CF33" s="206" t="str">
        <f aca="false">IF(Model!CD36=0,"",Model!CD36)</f>
        <v/>
      </c>
      <c r="CG33" s="206" t="str">
        <f aca="false">IF(Model!CE36=0,"",Model!CE36)</f>
        <v/>
      </c>
      <c r="CH33" s="206" t="str">
        <f aca="false">IF(Model!CF36=0,"",Model!CF36)</f>
        <v/>
      </c>
      <c r="CI33" s="206" t="str">
        <f aca="false">IF(Model!CG36=0,"",Model!CG36)</f>
        <v/>
      </c>
      <c r="CJ33" s="206" t="str">
        <f aca="false">IF(Model!CH36=0,"",Model!CH36)</f>
        <v/>
      </c>
      <c r="CK33" s="206" t="str">
        <f aca="false">IF(Model!CI36=0,"",Model!CI36)</f>
        <v/>
      </c>
      <c r="CL33" s="206" t="str">
        <f aca="false">IF(Model!CJ36=0,"",Model!CJ36)</f>
        <v/>
      </c>
      <c r="CM33" s="206" t="str">
        <f aca="false">IF(Model!CK36=0,"",Model!CK36)</f>
        <v/>
      </c>
      <c r="CN33" s="206" t="str">
        <f aca="false">IF(Model!CL36=0,"",Model!CL36)</f>
        <v/>
      </c>
      <c r="CO33" s="206" t="str">
        <f aca="false">IF(Model!CM36=0,"",Model!CM36)</f>
        <v/>
      </c>
      <c r="CP33" s="206" t="str">
        <f aca="false">IF(Model!CN36=0,"",Model!CN36)</f>
        <v/>
      </c>
      <c r="CQ33" s="206" t="str">
        <f aca="false">IF(Model!CO36=0,"",Model!CO36)</f>
        <v/>
      </c>
      <c r="CR33" s="206" t="str">
        <f aca="false">IF(Model!CP36=0,"",Model!CP36)</f>
        <v/>
      </c>
      <c r="CS33" s="206" t="str">
        <f aca="false">IF(Model!CQ36=0,"",Model!CQ36)</f>
        <v/>
      </c>
      <c r="CT33" s="206" t="str">
        <f aca="false">IF(Model!CR36=0,"",Model!CR36)</f>
        <v/>
      </c>
      <c r="CU33" s="206" t="str">
        <f aca="false">IF(Model!CS36=0,"",Model!CS36)</f>
        <v/>
      </c>
      <c r="CV33" s="206" t="str">
        <f aca="false">IF(Model!CT36=0,"",Model!CT36)</f>
        <v/>
      </c>
      <c r="CW33" s="206" t="str">
        <f aca="false">IF(Model!CU36=0,"",Model!CU36)</f>
        <v/>
      </c>
      <c r="CX33" s="206" t="str">
        <f aca="false">IF(Model!CV36=0,"",Model!CV36)</f>
        <v/>
      </c>
      <c r="CY33" s="206" t="str">
        <f aca="false">IF(Model!CW36=0,"",Model!CW36)</f>
        <v/>
      </c>
      <c r="CZ33" s="206" t="str">
        <f aca="false">IF(Model!CX36=0,"",Model!CX36)</f>
        <v/>
      </c>
      <c r="DA33" s="206" t="str">
        <f aca="false">IF(Model!CY36=0,"",Model!CY36)</f>
        <v/>
      </c>
      <c r="DB33" s="206" t="str">
        <f aca="false">IF(Model!CZ36=0,"",Model!CZ36)</f>
        <v/>
      </c>
    </row>
    <row r="34" customFormat="false" ht="15" hidden="false" customHeight="true" outlineLevel="0" collapsed="false">
      <c r="A34" s="123" t="s">
        <v>31</v>
      </c>
      <c r="B34" s="203" t="n">
        <f aca="false">Projects!$B$28</f>
        <v>15000000</v>
      </c>
      <c r="C34" s="204" t="n">
        <f aca="false">EDATE(Model!$E$2,Projects!$C$28-1)</f>
        <v>47484</v>
      </c>
      <c r="D34" s="204" t="n">
        <f aca="false">EDATE(Model!$E$2,Projects!$C$28+Projects!$D$28-2)</f>
        <v>48030</v>
      </c>
      <c r="E34" s="205" t="n">
        <f aca="false">Projects!$D$28</f>
        <v>19</v>
      </c>
      <c r="F34" s="203" t="n">
        <f aca="false">SUM(G34:DB34)</f>
        <v>0</v>
      </c>
      <c r="G34" s="206" t="str">
        <f aca="false">IF(Model!E37=0,"",Model!E37)</f>
        <v/>
      </c>
      <c r="H34" s="206" t="str">
        <f aca="false">IF(Model!F37=0,"",Model!F37)</f>
        <v/>
      </c>
      <c r="I34" s="206" t="str">
        <f aca="false">IF(Model!G37=0,"",Model!G37)</f>
        <v/>
      </c>
      <c r="J34" s="206" t="str">
        <f aca="false">IF(Model!H37=0,"",Model!H37)</f>
        <v/>
      </c>
      <c r="K34" s="206" t="str">
        <f aca="false">IF(Model!I37=0,"",Model!I37)</f>
        <v/>
      </c>
      <c r="L34" s="206" t="str">
        <f aca="false">IF(Model!J37=0,"",Model!J37)</f>
        <v/>
      </c>
      <c r="M34" s="206" t="str">
        <f aca="false">IF(Model!K37=0,"",Model!K37)</f>
        <v/>
      </c>
      <c r="N34" s="206" t="str">
        <f aca="false">IF(Model!L37=0,"",Model!L37)</f>
        <v/>
      </c>
      <c r="O34" s="206" t="str">
        <f aca="false">IF(Model!M37=0,"",Model!M37)</f>
        <v/>
      </c>
      <c r="P34" s="206" t="str">
        <f aca="false">IF(Model!N37=0,"",Model!N37)</f>
        <v/>
      </c>
      <c r="Q34" s="206" t="str">
        <f aca="false">IF(Model!O37=0,"",Model!O37)</f>
        <v/>
      </c>
      <c r="R34" s="206" t="str">
        <f aca="false">IF(Model!P37=0,"",Model!P37)</f>
        <v/>
      </c>
      <c r="S34" s="206" t="str">
        <f aca="false">IF(Model!Q37=0,"",Model!Q37)</f>
        <v/>
      </c>
      <c r="T34" s="206" t="str">
        <f aca="false">IF(Model!R37=0,"",Model!R37)</f>
        <v/>
      </c>
      <c r="U34" s="206" t="str">
        <f aca="false">IF(Model!S37=0,"",Model!S37)</f>
        <v/>
      </c>
      <c r="V34" s="206" t="str">
        <f aca="false">IF(Model!T37=0,"",Model!T37)</f>
        <v/>
      </c>
      <c r="W34" s="206" t="str">
        <f aca="false">IF(Model!U37=0,"",Model!U37)</f>
        <v/>
      </c>
      <c r="X34" s="206" t="str">
        <f aca="false">IF(Model!V37=0,"",Model!V37)</f>
        <v/>
      </c>
      <c r="Y34" s="206" t="str">
        <f aca="false">IF(Model!W37=0,"",Model!W37)</f>
        <v/>
      </c>
      <c r="Z34" s="206" t="str">
        <f aca="false">IF(Model!X37=0,"",Model!X37)</f>
        <v/>
      </c>
      <c r="AA34" s="206" t="str">
        <f aca="false">IF(Model!Y37=0,"",Model!Y37)</f>
        <v/>
      </c>
      <c r="AB34" s="206" t="str">
        <f aca="false">IF(Model!Z37=0,"",Model!Z37)</f>
        <v/>
      </c>
      <c r="AC34" s="206" t="str">
        <f aca="false">IF(Model!AA37=0,"",Model!AA37)</f>
        <v/>
      </c>
      <c r="AD34" s="206" t="str">
        <f aca="false">IF(Model!AB37=0,"",Model!AB37)</f>
        <v/>
      </c>
      <c r="AE34" s="206" t="str">
        <f aca="false">IF(Model!AC37=0,"",Model!AC37)</f>
        <v/>
      </c>
      <c r="AF34" s="206" t="str">
        <f aca="false">IF(Model!AD37=0,"",Model!AD37)</f>
        <v/>
      </c>
      <c r="AG34" s="206" t="str">
        <f aca="false">IF(Model!AE37=0,"",Model!AE37)</f>
        <v/>
      </c>
      <c r="AH34" s="206" t="str">
        <f aca="false">IF(Model!AF37=0,"",Model!AF37)</f>
        <v/>
      </c>
      <c r="AI34" s="206" t="str">
        <f aca="false">IF(Model!AG37=0,"",Model!AG37)</f>
        <v/>
      </c>
      <c r="AJ34" s="206" t="str">
        <f aca="false">IF(Model!AH37=0,"",Model!AH37)</f>
        <v/>
      </c>
      <c r="AK34" s="206" t="str">
        <f aca="false">IF(Model!AI37=0,"",Model!AI37)</f>
        <v/>
      </c>
      <c r="AL34" s="206" t="str">
        <f aca="false">IF(Model!AJ37=0,"",Model!AJ37)</f>
        <v/>
      </c>
      <c r="AM34" s="206" t="str">
        <f aca="false">IF(Model!AK37=0,"",Model!AK37)</f>
        <v/>
      </c>
      <c r="AN34" s="206" t="str">
        <f aca="false">IF(Model!AL37=0,"",Model!AL37)</f>
        <v/>
      </c>
      <c r="AO34" s="206" t="str">
        <f aca="false">IF(Model!AM37=0,"",Model!AM37)</f>
        <v/>
      </c>
      <c r="AP34" s="206" t="str">
        <f aca="false">IF(Model!AN37=0,"",Model!AN37)</f>
        <v/>
      </c>
      <c r="AQ34" s="206" t="str">
        <f aca="false">IF(Model!AO37=0,"",Model!AO37)</f>
        <v/>
      </c>
      <c r="AR34" s="206" t="str">
        <f aca="false">IF(Model!AP37=0,"",Model!AP37)</f>
        <v/>
      </c>
      <c r="AS34" s="206" t="str">
        <f aca="false">IF(Model!AQ37=0,"",Model!AQ37)</f>
        <v/>
      </c>
      <c r="AT34" s="206" t="str">
        <f aca="false">IF(Model!AR37=0,"",Model!AR37)</f>
        <v/>
      </c>
      <c r="AU34" s="206" t="str">
        <f aca="false">IF(Model!AS37=0,"",Model!AS37)</f>
        <v/>
      </c>
      <c r="AV34" s="206" t="str">
        <f aca="false">IF(Model!AT37=0,"",Model!AT37)</f>
        <v/>
      </c>
      <c r="AW34" s="206" t="str">
        <f aca="false">IF(Model!AU37=0,"",Model!AU37)</f>
        <v/>
      </c>
      <c r="AX34" s="206" t="str">
        <f aca="false">IF(Model!AV37=0,"",Model!AV37)</f>
        <v/>
      </c>
      <c r="AY34" s="206" t="str">
        <f aca="false">IF(Model!AW37=0,"",Model!AW37)</f>
        <v/>
      </c>
      <c r="AZ34" s="206" t="str">
        <f aca="false">IF(Model!AX37=0,"",Model!AX37)</f>
        <v/>
      </c>
      <c r="BA34" s="206" t="str">
        <f aca="false">IF(Model!AY37=0,"",Model!AY37)</f>
        <v/>
      </c>
      <c r="BB34" s="206" t="str">
        <f aca="false">IF(Model!AZ37=0,"",Model!AZ37)</f>
        <v/>
      </c>
      <c r="BC34" s="206" t="str">
        <f aca="false">IF(Model!BA37=0,"",Model!BA37)</f>
        <v/>
      </c>
      <c r="BD34" s="206" t="str">
        <f aca="false">IF(Model!BB37=0,"",Model!BB37)</f>
        <v/>
      </c>
      <c r="BE34" s="206" t="str">
        <f aca="false">IF(Model!BC37=0,"",Model!BC37)</f>
        <v/>
      </c>
      <c r="BF34" s="206" t="str">
        <f aca="false">IF(Model!BD37=0,"",Model!BD37)</f>
        <v/>
      </c>
      <c r="BG34" s="206" t="str">
        <f aca="false">IF(Model!BE37=0,"",Model!BE37)</f>
        <v/>
      </c>
      <c r="BH34" s="206" t="str">
        <f aca="false">IF(Model!BF37=0,"",Model!BF37)</f>
        <v/>
      </c>
      <c r="BI34" s="206" t="str">
        <f aca="false">IF(Model!BG37=0,"",Model!BG37)</f>
        <v/>
      </c>
      <c r="BJ34" s="206" t="str">
        <f aca="false">IF(Model!BH37=0,"",Model!BH37)</f>
        <v/>
      </c>
      <c r="BK34" s="206" t="str">
        <f aca="false">IF(Model!BI37=0,"",Model!BI37)</f>
        <v/>
      </c>
      <c r="BL34" s="206" t="str">
        <f aca="false">IF(Model!BJ37=0,"",Model!BJ37)</f>
        <v/>
      </c>
      <c r="BM34" s="206" t="str">
        <f aca="false">IF(Model!BK37=0,"",Model!BK37)</f>
        <v/>
      </c>
      <c r="BN34" s="206" t="str">
        <f aca="false">IF(Model!BL37=0,"",Model!BL37)</f>
        <v/>
      </c>
      <c r="BO34" s="206" t="str">
        <f aca="false">IF(Model!BM37=0,"",Model!BM37)</f>
        <v/>
      </c>
      <c r="BP34" s="206" t="str">
        <f aca="false">IF(Model!BN37=0,"",Model!BN37)</f>
        <v/>
      </c>
      <c r="BQ34" s="206" t="str">
        <f aca="false">IF(Model!BO37=0,"",Model!BO37)</f>
        <v/>
      </c>
      <c r="BR34" s="206" t="str">
        <f aca="false">IF(Model!BP37=0,"",Model!BP37)</f>
        <v/>
      </c>
      <c r="BS34" s="206" t="str">
        <f aca="false">IF(Model!BQ37=0,"",Model!BQ37)</f>
        <v/>
      </c>
      <c r="BT34" s="206" t="str">
        <f aca="false">IF(Model!BR37=0,"",Model!BR37)</f>
        <v/>
      </c>
      <c r="BU34" s="206" t="str">
        <f aca="false">IF(Model!BS37=0,"",Model!BS37)</f>
        <v/>
      </c>
      <c r="BV34" s="206" t="str">
        <f aca="false">IF(Model!BT37=0,"",Model!BT37)</f>
        <v/>
      </c>
      <c r="BW34" s="206" t="str">
        <f aca="false">IF(Model!BU37=0,"",Model!BU37)</f>
        <v/>
      </c>
      <c r="BX34" s="206" t="str">
        <f aca="false">IF(Model!BV37=0,"",Model!BV37)</f>
        <v/>
      </c>
      <c r="BY34" s="206" t="str">
        <f aca="false">IF(Model!BW37=0,"",Model!BW37)</f>
        <v/>
      </c>
      <c r="BZ34" s="206" t="str">
        <f aca="false">IF(Model!BX37=0,"",Model!BX37)</f>
        <v/>
      </c>
      <c r="CA34" s="206" t="str">
        <f aca="false">IF(Model!BY37=0,"",Model!BY37)</f>
        <v/>
      </c>
      <c r="CB34" s="206" t="str">
        <f aca="false">IF(Model!BZ37=0,"",Model!BZ37)</f>
        <v/>
      </c>
      <c r="CC34" s="206" t="str">
        <f aca="false">IF(Model!CA37=0,"",Model!CA37)</f>
        <v/>
      </c>
      <c r="CD34" s="206" t="str">
        <f aca="false">IF(Model!CB37=0,"",Model!CB37)</f>
        <v/>
      </c>
      <c r="CE34" s="206" t="str">
        <f aca="false">IF(Model!CC37=0,"",Model!CC37)</f>
        <v/>
      </c>
      <c r="CF34" s="206" t="str">
        <f aca="false">IF(Model!CD37=0,"",Model!CD37)</f>
        <v/>
      </c>
      <c r="CG34" s="206" t="str">
        <f aca="false">IF(Model!CE37=0,"",Model!CE37)</f>
        <v/>
      </c>
      <c r="CH34" s="206" t="str">
        <f aca="false">IF(Model!CF37=0,"",Model!CF37)</f>
        <v/>
      </c>
      <c r="CI34" s="206" t="str">
        <f aca="false">IF(Model!CG37=0,"",Model!CG37)</f>
        <v/>
      </c>
      <c r="CJ34" s="206" t="str">
        <f aca="false">IF(Model!CH37=0,"",Model!CH37)</f>
        <v/>
      </c>
      <c r="CK34" s="206" t="str">
        <f aca="false">IF(Model!CI37=0,"",Model!CI37)</f>
        <v/>
      </c>
      <c r="CL34" s="206" t="str">
        <f aca="false">IF(Model!CJ37=0,"",Model!CJ37)</f>
        <v/>
      </c>
      <c r="CM34" s="206" t="str">
        <f aca="false">IF(Model!CK37=0,"",Model!CK37)</f>
        <v/>
      </c>
      <c r="CN34" s="206" t="str">
        <f aca="false">IF(Model!CL37=0,"",Model!CL37)</f>
        <v/>
      </c>
      <c r="CO34" s="206" t="str">
        <f aca="false">IF(Model!CM37=0,"",Model!CM37)</f>
        <v/>
      </c>
      <c r="CP34" s="206" t="str">
        <f aca="false">IF(Model!CN37=0,"",Model!CN37)</f>
        <v/>
      </c>
      <c r="CQ34" s="206" t="str">
        <f aca="false">IF(Model!CO37=0,"",Model!CO37)</f>
        <v/>
      </c>
      <c r="CR34" s="206" t="str">
        <f aca="false">IF(Model!CP37=0,"",Model!CP37)</f>
        <v/>
      </c>
      <c r="CS34" s="206" t="str">
        <f aca="false">IF(Model!CQ37=0,"",Model!CQ37)</f>
        <v/>
      </c>
      <c r="CT34" s="206" t="str">
        <f aca="false">IF(Model!CR37=0,"",Model!CR37)</f>
        <v/>
      </c>
      <c r="CU34" s="206" t="str">
        <f aca="false">IF(Model!CS37=0,"",Model!CS37)</f>
        <v/>
      </c>
      <c r="CV34" s="206" t="str">
        <f aca="false">IF(Model!CT37=0,"",Model!CT37)</f>
        <v/>
      </c>
      <c r="CW34" s="206" t="str">
        <f aca="false">IF(Model!CU37=0,"",Model!CU37)</f>
        <v/>
      </c>
      <c r="CX34" s="206" t="str">
        <f aca="false">IF(Model!CV37=0,"",Model!CV37)</f>
        <v/>
      </c>
      <c r="CY34" s="206" t="str">
        <f aca="false">IF(Model!CW37=0,"",Model!CW37)</f>
        <v/>
      </c>
      <c r="CZ34" s="206" t="str">
        <f aca="false">IF(Model!CX37=0,"",Model!CX37)</f>
        <v/>
      </c>
      <c r="DA34" s="206" t="str">
        <f aca="false">IF(Model!CY37=0,"",Model!CY37)</f>
        <v/>
      </c>
      <c r="DB34" s="206" t="str">
        <f aca="false">IF(Model!CZ37=0,"",Model!CZ37)</f>
        <v/>
      </c>
    </row>
    <row r="35" customFormat="false" ht="15" hidden="false" customHeight="true" outlineLevel="0" collapsed="false">
      <c r="A35" s="123" t="s">
        <v>32</v>
      </c>
      <c r="B35" s="203" t="n">
        <f aca="false">Projects!$B$29</f>
        <v>15000000</v>
      </c>
      <c r="C35" s="204" t="n">
        <f aca="false">EDATE(Model!$E$2,Projects!$C$29-1)</f>
        <v>47543</v>
      </c>
      <c r="D35" s="204" t="n">
        <f aca="false">EDATE(Model!$E$2,Projects!$C$29+Projects!$D$29-2)</f>
        <v>48092</v>
      </c>
      <c r="E35" s="205" t="n">
        <f aca="false">Projects!$D$29</f>
        <v>19</v>
      </c>
      <c r="F35" s="203" t="n">
        <f aca="false">SUM(G35:DB35)</f>
        <v>0</v>
      </c>
      <c r="G35" s="206" t="str">
        <f aca="false">IF(Model!E38=0,"",Model!E38)</f>
        <v/>
      </c>
      <c r="H35" s="206" t="str">
        <f aca="false">IF(Model!F38=0,"",Model!F38)</f>
        <v/>
      </c>
      <c r="I35" s="206" t="str">
        <f aca="false">IF(Model!G38=0,"",Model!G38)</f>
        <v/>
      </c>
      <c r="J35" s="206" t="str">
        <f aca="false">IF(Model!H38=0,"",Model!H38)</f>
        <v/>
      </c>
      <c r="K35" s="206" t="str">
        <f aca="false">IF(Model!I38=0,"",Model!I38)</f>
        <v/>
      </c>
      <c r="L35" s="206" t="str">
        <f aca="false">IF(Model!J38=0,"",Model!J38)</f>
        <v/>
      </c>
      <c r="M35" s="206" t="str">
        <f aca="false">IF(Model!K38=0,"",Model!K38)</f>
        <v/>
      </c>
      <c r="N35" s="206" t="str">
        <f aca="false">IF(Model!L38=0,"",Model!L38)</f>
        <v/>
      </c>
      <c r="O35" s="206" t="str">
        <f aca="false">IF(Model!M38=0,"",Model!M38)</f>
        <v/>
      </c>
      <c r="P35" s="206" t="str">
        <f aca="false">IF(Model!N38=0,"",Model!N38)</f>
        <v/>
      </c>
      <c r="Q35" s="206" t="str">
        <f aca="false">IF(Model!O38=0,"",Model!O38)</f>
        <v/>
      </c>
      <c r="R35" s="206" t="str">
        <f aca="false">IF(Model!P38=0,"",Model!P38)</f>
        <v/>
      </c>
      <c r="S35" s="206" t="str">
        <f aca="false">IF(Model!Q38=0,"",Model!Q38)</f>
        <v/>
      </c>
      <c r="T35" s="206" t="str">
        <f aca="false">IF(Model!R38=0,"",Model!R38)</f>
        <v/>
      </c>
      <c r="U35" s="206" t="str">
        <f aca="false">IF(Model!S38=0,"",Model!S38)</f>
        <v/>
      </c>
      <c r="V35" s="206" t="str">
        <f aca="false">IF(Model!T38=0,"",Model!T38)</f>
        <v/>
      </c>
      <c r="W35" s="206" t="str">
        <f aca="false">IF(Model!U38=0,"",Model!U38)</f>
        <v/>
      </c>
      <c r="X35" s="206" t="str">
        <f aca="false">IF(Model!V38=0,"",Model!V38)</f>
        <v/>
      </c>
      <c r="Y35" s="206" t="str">
        <f aca="false">IF(Model!W38=0,"",Model!W38)</f>
        <v/>
      </c>
      <c r="Z35" s="206" t="str">
        <f aca="false">IF(Model!X38=0,"",Model!X38)</f>
        <v/>
      </c>
      <c r="AA35" s="206" t="str">
        <f aca="false">IF(Model!Y38=0,"",Model!Y38)</f>
        <v/>
      </c>
      <c r="AB35" s="206" t="str">
        <f aca="false">IF(Model!Z38=0,"",Model!Z38)</f>
        <v/>
      </c>
      <c r="AC35" s="206" t="str">
        <f aca="false">IF(Model!AA38=0,"",Model!AA38)</f>
        <v/>
      </c>
      <c r="AD35" s="206" t="str">
        <f aca="false">IF(Model!AB38=0,"",Model!AB38)</f>
        <v/>
      </c>
      <c r="AE35" s="206" t="str">
        <f aca="false">IF(Model!AC38=0,"",Model!AC38)</f>
        <v/>
      </c>
      <c r="AF35" s="206" t="str">
        <f aca="false">IF(Model!AD38=0,"",Model!AD38)</f>
        <v/>
      </c>
      <c r="AG35" s="206" t="str">
        <f aca="false">IF(Model!AE38=0,"",Model!AE38)</f>
        <v/>
      </c>
      <c r="AH35" s="206" t="str">
        <f aca="false">IF(Model!AF38=0,"",Model!AF38)</f>
        <v/>
      </c>
      <c r="AI35" s="206" t="str">
        <f aca="false">IF(Model!AG38=0,"",Model!AG38)</f>
        <v/>
      </c>
      <c r="AJ35" s="206" t="str">
        <f aca="false">IF(Model!AH38=0,"",Model!AH38)</f>
        <v/>
      </c>
      <c r="AK35" s="206" t="str">
        <f aca="false">IF(Model!AI38=0,"",Model!AI38)</f>
        <v/>
      </c>
      <c r="AL35" s="206" t="str">
        <f aca="false">IF(Model!AJ38=0,"",Model!AJ38)</f>
        <v/>
      </c>
      <c r="AM35" s="206" t="str">
        <f aca="false">IF(Model!AK38=0,"",Model!AK38)</f>
        <v/>
      </c>
      <c r="AN35" s="206" t="str">
        <f aca="false">IF(Model!AL38=0,"",Model!AL38)</f>
        <v/>
      </c>
      <c r="AO35" s="206" t="str">
        <f aca="false">IF(Model!AM38=0,"",Model!AM38)</f>
        <v/>
      </c>
      <c r="AP35" s="206" t="str">
        <f aca="false">IF(Model!AN38=0,"",Model!AN38)</f>
        <v/>
      </c>
      <c r="AQ35" s="206" t="str">
        <f aca="false">IF(Model!AO38=0,"",Model!AO38)</f>
        <v/>
      </c>
      <c r="AR35" s="206" t="str">
        <f aca="false">IF(Model!AP38=0,"",Model!AP38)</f>
        <v/>
      </c>
      <c r="AS35" s="206" t="str">
        <f aca="false">IF(Model!AQ38=0,"",Model!AQ38)</f>
        <v/>
      </c>
      <c r="AT35" s="206" t="str">
        <f aca="false">IF(Model!AR38=0,"",Model!AR38)</f>
        <v/>
      </c>
      <c r="AU35" s="206" t="str">
        <f aca="false">IF(Model!AS38=0,"",Model!AS38)</f>
        <v/>
      </c>
      <c r="AV35" s="206" t="str">
        <f aca="false">IF(Model!AT38=0,"",Model!AT38)</f>
        <v/>
      </c>
      <c r="AW35" s="206" t="str">
        <f aca="false">IF(Model!AU38=0,"",Model!AU38)</f>
        <v/>
      </c>
      <c r="AX35" s="206" t="str">
        <f aca="false">IF(Model!AV38=0,"",Model!AV38)</f>
        <v/>
      </c>
      <c r="AY35" s="206" t="str">
        <f aca="false">IF(Model!AW38=0,"",Model!AW38)</f>
        <v/>
      </c>
      <c r="AZ35" s="206" t="str">
        <f aca="false">IF(Model!AX38=0,"",Model!AX38)</f>
        <v/>
      </c>
      <c r="BA35" s="206" t="str">
        <f aca="false">IF(Model!AY38=0,"",Model!AY38)</f>
        <v/>
      </c>
      <c r="BB35" s="206" t="str">
        <f aca="false">IF(Model!AZ38=0,"",Model!AZ38)</f>
        <v/>
      </c>
      <c r="BC35" s="206" t="str">
        <f aca="false">IF(Model!BA38=0,"",Model!BA38)</f>
        <v/>
      </c>
      <c r="BD35" s="206" t="str">
        <f aca="false">IF(Model!BB38=0,"",Model!BB38)</f>
        <v/>
      </c>
      <c r="BE35" s="206" t="str">
        <f aca="false">IF(Model!BC38=0,"",Model!BC38)</f>
        <v/>
      </c>
      <c r="BF35" s="206" t="str">
        <f aca="false">IF(Model!BD38=0,"",Model!BD38)</f>
        <v/>
      </c>
      <c r="BG35" s="206" t="str">
        <f aca="false">IF(Model!BE38=0,"",Model!BE38)</f>
        <v/>
      </c>
      <c r="BH35" s="206" t="str">
        <f aca="false">IF(Model!BF38=0,"",Model!BF38)</f>
        <v/>
      </c>
      <c r="BI35" s="206" t="str">
        <f aca="false">IF(Model!BG38=0,"",Model!BG38)</f>
        <v/>
      </c>
      <c r="BJ35" s="206" t="str">
        <f aca="false">IF(Model!BH38=0,"",Model!BH38)</f>
        <v/>
      </c>
      <c r="BK35" s="206" t="str">
        <f aca="false">IF(Model!BI38=0,"",Model!BI38)</f>
        <v/>
      </c>
      <c r="BL35" s="206" t="str">
        <f aca="false">IF(Model!BJ38=0,"",Model!BJ38)</f>
        <v/>
      </c>
      <c r="BM35" s="206" t="str">
        <f aca="false">IF(Model!BK38=0,"",Model!BK38)</f>
        <v/>
      </c>
      <c r="BN35" s="206" t="str">
        <f aca="false">IF(Model!BL38=0,"",Model!BL38)</f>
        <v/>
      </c>
      <c r="BO35" s="206" t="str">
        <f aca="false">IF(Model!BM38=0,"",Model!BM38)</f>
        <v/>
      </c>
      <c r="BP35" s="206" t="str">
        <f aca="false">IF(Model!BN38=0,"",Model!BN38)</f>
        <v/>
      </c>
      <c r="BQ35" s="206" t="str">
        <f aca="false">IF(Model!BO38=0,"",Model!BO38)</f>
        <v/>
      </c>
      <c r="BR35" s="206" t="str">
        <f aca="false">IF(Model!BP38=0,"",Model!BP38)</f>
        <v/>
      </c>
      <c r="BS35" s="206" t="str">
        <f aca="false">IF(Model!BQ38=0,"",Model!BQ38)</f>
        <v/>
      </c>
      <c r="BT35" s="206" t="str">
        <f aca="false">IF(Model!BR38=0,"",Model!BR38)</f>
        <v/>
      </c>
      <c r="BU35" s="206" t="str">
        <f aca="false">IF(Model!BS38=0,"",Model!BS38)</f>
        <v/>
      </c>
      <c r="BV35" s="206" t="str">
        <f aca="false">IF(Model!BT38=0,"",Model!BT38)</f>
        <v/>
      </c>
      <c r="BW35" s="206" t="str">
        <f aca="false">IF(Model!BU38=0,"",Model!BU38)</f>
        <v/>
      </c>
      <c r="BX35" s="206" t="str">
        <f aca="false">IF(Model!BV38=0,"",Model!BV38)</f>
        <v/>
      </c>
      <c r="BY35" s="206" t="str">
        <f aca="false">IF(Model!BW38=0,"",Model!BW38)</f>
        <v/>
      </c>
      <c r="BZ35" s="206" t="str">
        <f aca="false">IF(Model!BX38=0,"",Model!BX38)</f>
        <v/>
      </c>
      <c r="CA35" s="206" t="str">
        <f aca="false">IF(Model!BY38=0,"",Model!BY38)</f>
        <v/>
      </c>
      <c r="CB35" s="206" t="str">
        <f aca="false">IF(Model!BZ38=0,"",Model!BZ38)</f>
        <v/>
      </c>
      <c r="CC35" s="206" t="str">
        <f aca="false">IF(Model!CA38=0,"",Model!CA38)</f>
        <v/>
      </c>
      <c r="CD35" s="206" t="str">
        <f aca="false">IF(Model!CB38=0,"",Model!CB38)</f>
        <v/>
      </c>
      <c r="CE35" s="206" t="str">
        <f aca="false">IF(Model!CC38=0,"",Model!CC38)</f>
        <v/>
      </c>
      <c r="CF35" s="206" t="str">
        <f aca="false">IF(Model!CD38=0,"",Model!CD38)</f>
        <v/>
      </c>
      <c r="CG35" s="206" t="str">
        <f aca="false">IF(Model!CE38=0,"",Model!CE38)</f>
        <v/>
      </c>
      <c r="CH35" s="206" t="str">
        <f aca="false">IF(Model!CF38=0,"",Model!CF38)</f>
        <v/>
      </c>
      <c r="CI35" s="206" t="str">
        <f aca="false">IF(Model!CG38=0,"",Model!CG38)</f>
        <v/>
      </c>
      <c r="CJ35" s="206" t="str">
        <f aca="false">IF(Model!CH38=0,"",Model!CH38)</f>
        <v/>
      </c>
      <c r="CK35" s="206" t="str">
        <f aca="false">IF(Model!CI38=0,"",Model!CI38)</f>
        <v/>
      </c>
      <c r="CL35" s="206" t="str">
        <f aca="false">IF(Model!CJ38=0,"",Model!CJ38)</f>
        <v/>
      </c>
      <c r="CM35" s="206" t="str">
        <f aca="false">IF(Model!CK38=0,"",Model!CK38)</f>
        <v/>
      </c>
      <c r="CN35" s="206" t="str">
        <f aca="false">IF(Model!CL38=0,"",Model!CL38)</f>
        <v/>
      </c>
      <c r="CO35" s="206" t="str">
        <f aca="false">IF(Model!CM38=0,"",Model!CM38)</f>
        <v/>
      </c>
      <c r="CP35" s="206" t="str">
        <f aca="false">IF(Model!CN38=0,"",Model!CN38)</f>
        <v/>
      </c>
      <c r="CQ35" s="206" t="str">
        <f aca="false">IF(Model!CO38=0,"",Model!CO38)</f>
        <v/>
      </c>
      <c r="CR35" s="206" t="str">
        <f aca="false">IF(Model!CP38=0,"",Model!CP38)</f>
        <v/>
      </c>
      <c r="CS35" s="206" t="str">
        <f aca="false">IF(Model!CQ38=0,"",Model!CQ38)</f>
        <v/>
      </c>
      <c r="CT35" s="206" t="str">
        <f aca="false">IF(Model!CR38=0,"",Model!CR38)</f>
        <v/>
      </c>
      <c r="CU35" s="206" t="str">
        <f aca="false">IF(Model!CS38=0,"",Model!CS38)</f>
        <v/>
      </c>
      <c r="CV35" s="206" t="str">
        <f aca="false">IF(Model!CT38=0,"",Model!CT38)</f>
        <v/>
      </c>
      <c r="CW35" s="206" t="str">
        <f aca="false">IF(Model!CU38=0,"",Model!CU38)</f>
        <v/>
      </c>
      <c r="CX35" s="206" t="str">
        <f aca="false">IF(Model!CV38=0,"",Model!CV38)</f>
        <v/>
      </c>
      <c r="CY35" s="206" t="str">
        <f aca="false">IF(Model!CW38=0,"",Model!CW38)</f>
        <v/>
      </c>
      <c r="CZ35" s="206" t="str">
        <f aca="false">IF(Model!CX38=0,"",Model!CX38)</f>
        <v/>
      </c>
      <c r="DA35" s="206" t="str">
        <f aca="false">IF(Model!CY38=0,"",Model!CY38)</f>
        <v/>
      </c>
      <c r="DB35" s="206" t="str">
        <f aca="false">IF(Model!CZ38=0,"",Model!CZ38)</f>
        <v/>
      </c>
    </row>
    <row r="36" customFormat="false" ht="15" hidden="false" customHeight="true" outlineLevel="0" collapsed="false">
      <c r="A36" s="123" t="s">
        <v>33</v>
      </c>
      <c r="B36" s="203" t="n">
        <f aca="false">Projects!$B$30</f>
        <v>15000000</v>
      </c>
      <c r="C36" s="204" t="n">
        <f aca="false">EDATE(Model!$E$2,Projects!$C$30-1)</f>
        <v>47604</v>
      </c>
      <c r="D36" s="204" t="n">
        <f aca="false">EDATE(Model!$E$2,Projects!$C$30+Projects!$D$30-2)</f>
        <v>48153</v>
      </c>
      <c r="E36" s="205" t="n">
        <f aca="false">Projects!$D$30</f>
        <v>19</v>
      </c>
      <c r="F36" s="203" t="n">
        <f aca="false">SUM(G36:DB36)</f>
        <v>0</v>
      </c>
      <c r="G36" s="206" t="str">
        <f aca="false">IF(Model!E39=0,"",Model!E39)</f>
        <v/>
      </c>
      <c r="H36" s="206" t="str">
        <f aca="false">IF(Model!F39=0,"",Model!F39)</f>
        <v/>
      </c>
      <c r="I36" s="206" t="str">
        <f aca="false">IF(Model!G39=0,"",Model!G39)</f>
        <v/>
      </c>
      <c r="J36" s="206" t="str">
        <f aca="false">IF(Model!H39=0,"",Model!H39)</f>
        <v/>
      </c>
      <c r="K36" s="206" t="str">
        <f aca="false">IF(Model!I39=0,"",Model!I39)</f>
        <v/>
      </c>
      <c r="L36" s="206" t="str">
        <f aca="false">IF(Model!J39=0,"",Model!J39)</f>
        <v/>
      </c>
      <c r="M36" s="206" t="str">
        <f aca="false">IF(Model!K39=0,"",Model!K39)</f>
        <v/>
      </c>
      <c r="N36" s="206" t="str">
        <f aca="false">IF(Model!L39=0,"",Model!L39)</f>
        <v/>
      </c>
      <c r="O36" s="206" t="str">
        <f aca="false">IF(Model!M39=0,"",Model!M39)</f>
        <v/>
      </c>
      <c r="P36" s="206" t="str">
        <f aca="false">IF(Model!N39=0,"",Model!N39)</f>
        <v/>
      </c>
      <c r="Q36" s="206" t="str">
        <f aca="false">IF(Model!O39=0,"",Model!O39)</f>
        <v/>
      </c>
      <c r="R36" s="206" t="str">
        <f aca="false">IF(Model!P39=0,"",Model!P39)</f>
        <v/>
      </c>
      <c r="S36" s="206" t="str">
        <f aca="false">IF(Model!Q39=0,"",Model!Q39)</f>
        <v/>
      </c>
      <c r="T36" s="206" t="str">
        <f aca="false">IF(Model!R39=0,"",Model!R39)</f>
        <v/>
      </c>
      <c r="U36" s="206" t="str">
        <f aca="false">IF(Model!S39=0,"",Model!S39)</f>
        <v/>
      </c>
      <c r="V36" s="206" t="str">
        <f aca="false">IF(Model!T39=0,"",Model!T39)</f>
        <v/>
      </c>
      <c r="W36" s="206" t="str">
        <f aca="false">IF(Model!U39=0,"",Model!U39)</f>
        <v/>
      </c>
      <c r="X36" s="206" t="str">
        <f aca="false">IF(Model!V39=0,"",Model!V39)</f>
        <v/>
      </c>
      <c r="Y36" s="206" t="str">
        <f aca="false">IF(Model!W39=0,"",Model!W39)</f>
        <v/>
      </c>
      <c r="Z36" s="206" t="str">
        <f aca="false">IF(Model!X39=0,"",Model!X39)</f>
        <v/>
      </c>
      <c r="AA36" s="206" t="str">
        <f aca="false">IF(Model!Y39=0,"",Model!Y39)</f>
        <v/>
      </c>
      <c r="AB36" s="206" t="str">
        <f aca="false">IF(Model!Z39=0,"",Model!Z39)</f>
        <v/>
      </c>
      <c r="AC36" s="206" t="str">
        <f aca="false">IF(Model!AA39=0,"",Model!AA39)</f>
        <v/>
      </c>
      <c r="AD36" s="206" t="str">
        <f aca="false">IF(Model!AB39=0,"",Model!AB39)</f>
        <v/>
      </c>
      <c r="AE36" s="206" t="str">
        <f aca="false">IF(Model!AC39=0,"",Model!AC39)</f>
        <v/>
      </c>
      <c r="AF36" s="206" t="str">
        <f aca="false">IF(Model!AD39=0,"",Model!AD39)</f>
        <v/>
      </c>
      <c r="AG36" s="206" t="str">
        <f aca="false">IF(Model!AE39=0,"",Model!AE39)</f>
        <v/>
      </c>
      <c r="AH36" s="206" t="str">
        <f aca="false">IF(Model!AF39=0,"",Model!AF39)</f>
        <v/>
      </c>
      <c r="AI36" s="206" t="str">
        <f aca="false">IF(Model!AG39=0,"",Model!AG39)</f>
        <v/>
      </c>
      <c r="AJ36" s="206" t="str">
        <f aca="false">IF(Model!AH39=0,"",Model!AH39)</f>
        <v/>
      </c>
      <c r="AK36" s="206" t="str">
        <f aca="false">IF(Model!AI39=0,"",Model!AI39)</f>
        <v/>
      </c>
      <c r="AL36" s="206" t="str">
        <f aca="false">IF(Model!AJ39=0,"",Model!AJ39)</f>
        <v/>
      </c>
      <c r="AM36" s="206" t="str">
        <f aca="false">IF(Model!AK39=0,"",Model!AK39)</f>
        <v/>
      </c>
      <c r="AN36" s="206" t="str">
        <f aca="false">IF(Model!AL39=0,"",Model!AL39)</f>
        <v/>
      </c>
      <c r="AO36" s="206" t="str">
        <f aca="false">IF(Model!AM39=0,"",Model!AM39)</f>
        <v/>
      </c>
      <c r="AP36" s="206" t="str">
        <f aca="false">IF(Model!AN39=0,"",Model!AN39)</f>
        <v/>
      </c>
      <c r="AQ36" s="206" t="str">
        <f aca="false">IF(Model!AO39=0,"",Model!AO39)</f>
        <v/>
      </c>
      <c r="AR36" s="206" t="str">
        <f aca="false">IF(Model!AP39=0,"",Model!AP39)</f>
        <v/>
      </c>
      <c r="AS36" s="206" t="str">
        <f aca="false">IF(Model!AQ39=0,"",Model!AQ39)</f>
        <v/>
      </c>
      <c r="AT36" s="206" t="str">
        <f aca="false">IF(Model!AR39=0,"",Model!AR39)</f>
        <v/>
      </c>
      <c r="AU36" s="206" t="str">
        <f aca="false">IF(Model!AS39=0,"",Model!AS39)</f>
        <v/>
      </c>
      <c r="AV36" s="206" t="str">
        <f aca="false">IF(Model!AT39=0,"",Model!AT39)</f>
        <v/>
      </c>
      <c r="AW36" s="206" t="str">
        <f aca="false">IF(Model!AU39=0,"",Model!AU39)</f>
        <v/>
      </c>
      <c r="AX36" s="206" t="str">
        <f aca="false">IF(Model!AV39=0,"",Model!AV39)</f>
        <v/>
      </c>
      <c r="AY36" s="206" t="str">
        <f aca="false">IF(Model!AW39=0,"",Model!AW39)</f>
        <v/>
      </c>
      <c r="AZ36" s="206" t="str">
        <f aca="false">IF(Model!AX39=0,"",Model!AX39)</f>
        <v/>
      </c>
      <c r="BA36" s="206" t="str">
        <f aca="false">IF(Model!AY39=0,"",Model!AY39)</f>
        <v/>
      </c>
      <c r="BB36" s="206" t="str">
        <f aca="false">IF(Model!AZ39=0,"",Model!AZ39)</f>
        <v/>
      </c>
      <c r="BC36" s="206" t="str">
        <f aca="false">IF(Model!BA39=0,"",Model!BA39)</f>
        <v/>
      </c>
      <c r="BD36" s="206" t="str">
        <f aca="false">IF(Model!BB39=0,"",Model!BB39)</f>
        <v/>
      </c>
      <c r="BE36" s="206" t="str">
        <f aca="false">IF(Model!BC39=0,"",Model!BC39)</f>
        <v/>
      </c>
      <c r="BF36" s="206" t="str">
        <f aca="false">IF(Model!BD39=0,"",Model!BD39)</f>
        <v/>
      </c>
      <c r="BG36" s="206" t="str">
        <f aca="false">IF(Model!BE39=0,"",Model!BE39)</f>
        <v/>
      </c>
      <c r="BH36" s="206" t="str">
        <f aca="false">IF(Model!BF39=0,"",Model!BF39)</f>
        <v/>
      </c>
      <c r="BI36" s="206" t="str">
        <f aca="false">IF(Model!BG39=0,"",Model!BG39)</f>
        <v/>
      </c>
      <c r="BJ36" s="206" t="str">
        <f aca="false">IF(Model!BH39=0,"",Model!BH39)</f>
        <v/>
      </c>
      <c r="BK36" s="206" t="str">
        <f aca="false">IF(Model!BI39=0,"",Model!BI39)</f>
        <v/>
      </c>
      <c r="BL36" s="206" t="str">
        <f aca="false">IF(Model!BJ39=0,"",Model!BJ39)</f>
        <v/>
      </c>
      <c r="BM36" s="206" t="str">
        <f aca="false">IF(Model!BK39=0,"",Model!BK39)</f>
        <v/>
      </c>
      <c r="BN36" s="206" t="str">
        <f aca="false">IF(Model!BL39=0,"",Model!BL39)</f>
        <v/>
      </c>
      <c r="BO36" s="206" t="str">
        <f aca="false">IF(Model!BM39=0,"",Model!BM39)</f>
        <v/>
      </c>
      <c r="BP36" s="206" t="str">
        <f aca="false">IF(Model!BN39=0,"",Model!BN39)</f>
        <v/>
      </c>
      <c r="BQ36" s="206" t="str">
        <f aca="false">IF(Model!BO39=0,"",Model!BO39)</f>
        <v/>
      </c>
      <c r="BR36" s="206" t="str">
        <f aca="false">IF(Model!BP39=0,"",Model!BP39)</f>
        <v/>
      </c>
      <c r="BS36" s="206" t="str">
        <f aca="false">IF(Model!BQ39=0,"",Model!BQ39)</f>
        <v/>
      </c>
      <c r="BT36" s="206" t="str">
        <f aca="false">IF(Model!BR39=0,"",Model!BR39)</f>
        <v/>
      </c>
      <c r="BU36" s="206" t="str">
        <f aca="false">IF(Model!BS39=0,"",Model!BS39)</f>
        <v/>
      </c>
      <c r="BV36" s="206" t="str">
        <f aca="false">IF(Model!BT39=0,"",Model!BT39)</f>
        <v/>
      </c>
      <c r="BW36" s="206" t="str">
        <f aca="false">IF(Model!BU39=0,"",Model!BU39)</f>
        <v/>
      </c>
      <c r="BX36" s="206" t="str">
        <f aca="false">IF(Model!BV39=0,"",Model!BV39)</f>
        <v/>
      </c>
      <c r="BY36" s="206" t="str">
        <f aca="false">IF(Model!BW39=0,"",Model!BW39)</f>
        <v/>
      </c>
      <c r="BZ36" s="206" t="str">
        <f aca="false">IF(Model!BX39=0,"",Model!BX39)</f>
        <v/>
      </c>
      <c r="CA36" s="206" t="str">
        <f aca="false">IF(Model!BY39=0,"",Model!BY39)</f>
        <v/>
      </c>
      <c r="CB36" s="206" t="str">
        <f aca="false">IF(Model!BZ39=0,"",Model!BZ39)</f>
        <v/>
      </c>
      <c r="CC36" s="206" t="str">
        <f aca="false">IF(Model!CA39=0,"",Model!CA39)</f>
        <v/>
      </c>
      <c r="CD36" s="206" t="str">
        <f aca="false">IF(Model!CB39=0,"",Model!CB39)</f>
        <v/>
      </c>
      <c r="CE36" s="206" t="str">
        <f aca="false">IF(Model!CC39=0,"",Model!CC39)</f>
        <v/>
      </c>
      <c r="CF36" s="206" t="str">
        <f aca="false">IF(Model!CD39=0,"",Model!CD39)</f>
        <v/>
      </c>
      <c r="CG36" s="206" t="str">
        <f aca="false">IF(Model!CE39=0,"",Model!CE39)</f>
        <v/>
      </c>
      <c r="CH36" s="206" t="str">
        <f aca="false">IF(Model!CF39=0,"",Model!CF39)</f>
        <v/>
      </c>
      <c r="CI36" s="206" t="str">
        <f aca="false">IF(Model!CG39=0,"",Model!CG39)</f>
        <v/>
      </c>
      <c r="CJ36" s="206" t="str">
        <f aca="false">IF(Model!CH39=0,"",Model!CH39)</f>
        <v/>
      </c>
      <c r="CK36" s="206" t="str">
        <f aca="false">IF(Model!CI39=0,"",Model!CI39)</f>
        <v/>
      </c>
      <c r="CL36" s="206" t="str">
        <f aca="false">IF(Model!CJ39=0,"",Model!CJ39)</f>
        <v/>
      </c>
      <c r="CM36" s="206" t="str">
        <f aca="false">IF(Model!CK39=0,"",Model!CK39)</f>
        <v/>
      </c>
      <c r="CN36" s="206" t="str">
        <f aca="false">IF(Model!CL39=0,"",Model!CL39)</f>
        <v/>
      </c>
      <c r="CO36" s="206" t="str">
        <f aca="false">IF(Model!CM39=0,"",Model!CM39)</f>
        <v/>
      </c>
      <c r="CP36" s="206" t="str">
        <f aca="false">IF(Model!CN39=0,"",Model!CN39)</f>
        <v/>
      </c>
      <c r="CQ36" s="206" t="str">
        <f aca="false">IF(Model!CO39=0,"",Model!CO39)</f>
        <v/>
      </c>
      <c r="CR36" s="206" t="str">
        <f aca="false">IF(Model!CP39=0,"",Model!CP39)</f>
        <v/>
      </c>
      <c r="CS36" s="206" t="str">
        <f aca="false">IF(Model!CQ39=0,"",Model!CQ39)</f>
        <v/>
      </c>
      <c r="CT36" s="206" t="str">
        <f aca="false">IF(Model!CR39=0,"",Model!CR39)</f>
        <v/>
      </c>
      <c r="CU36" s="206" t="str">
        <f aca="false">IF(Model!CS39=0,"",Model!CS39)</f>
        <v/>
      </c>
      <c r="CV36" s="206" t="str">
        <f aca="false">IF(Model!CT39=0,"",Model!CT39)</f>
        <v/>
      </c>
      <c r="CW36" s="206" t="str">
        <f aca="false">IF(Model!CU39=0,"",Model!CU39)</f>
        <v/>
      </c>
      <c r="CX36" s="206" t="str">
        <f aca="false">IF(Model!CV39=0,"",Model!CV39)</f>
        <v/>
      </c>
      <c r="CY36" s="206" t="str">
        <f aca="false">IF(Model!CW39=0,"",Model!CW39)</f>
        <v/>
      </c>
      <c r="CZ36" s="206" t="str">
        <f aca="false">IF(Model!CX39=0,"",Model!CX39)</f>
        <v/>
      </c>
      <c r="DA36" s="206" t="str">
        <f aca="false">IF(Model!CY39=0,"",Model!CY39)</f>
        <v/>
      </c>
      <c r="DB36" s="206" t="str">
        <f aca="false">IF(Model!CZ39=0,"",Model!CZ39)</f>
        <v/>
      </c>
    </row>
    <row r="37" customFormat="false" ht="15" hidden="false" customHeight="true" outlineLevel="0" collapsed="false">
      <c r="A37" s="123" t="s">
        <v>34</v>
      </c>
      <c r="B37" s="203" t="n">
        <f aca="false">Projects!$B$31</f>
        <v>18000000</v>
      </c>
      <c r="C37" s="204" t="n">
        <f aca="false">EDATE(Model!$E$2,Projects!$C$31-1)</f>
        <v>47665</v>
      </c>
      <c r="D37" s="204" t="n">
        <f aca="false">EDATE(Model!$E$2,Projects!$C$31+Projects!$D$31-2)</f>
        <v>48214</v>
      </c>
      <c r="E37" s="205" t="n">
        <f aca="false">Projects!$D$31</f>
        <v>19</v>
      </c>
      <c r="F37" s="203" t="n">
        <f aca="false">SUM(G37:DB37)</f>
        <v>0</v>
      </c>
      <c r="G37" s="206" t="str">
        <f aca="false">IF(Model!E40=0,"",Model!E40)</f>
        <v/>
      </c>
      <c r="H37" s="206" t="str">
        <f aca="false">IF(Model!F40=0,"",Model!F40)</f>
        <v/>
      </c>
      <c r="I37" s="206" t="str">
        <f aca="false">IF(Model!G40=0,"",Model!G40)</f>
        <v/>
      </c>
      <c r="J37" s="206" t="str">
        <f aca="false">IF(Model!H40=0,"",Model!H40)</f>
        <v/>
      </c>
      <c r="K37" s="206" t="str">
        <f aca="false">IF(Model!I40=0,"",Model!I40)</f>
        <v/>
      </c>
      <c r="L37" s="206" t="str">
        <f aca="false">IF(Model!J40=0,"",Model!J40)</f>
        <v/>
      </c>
      <c r="M37" s="206" t="str">
        <f aca="false">IF(Model!K40=0,"",Model!K40)</f>
        <v/>
      </c>
      <c r="N37" s="206" t="str">
        <f aca="false">IF(Model!L40=0,"",Model!L40)</f>
        <v/>
      </c>
      <c r="O37" s="206" t="str">
        <f aca="false">IF(Model!M40=0,"",Model!M40)</f>
        <v/>
      </c>
      <c r="P37" s="206" t="str">
        <f aca="false">IF(Model!N40=0,"",Model!N40)</f>
        <v/>
      </c>
      <c r="Q37" s="206" t="str">
        <f aca="false">IF(Model!O40=0,"",Model!O40)</f>
        <v/>
      </c>
      <c r="R37" s="206" t="str">
        <f aca="false">IF(Model!P40=0,"",Model!P40)</f>
        <v/>
      </c>
      <c r="S37" s="206" t="str">
        <f aca="false">IF(Model!Q40=0,"",Model!Q40)</f>
        <v/>
      </c>
      <c r="T37" s="206" t="str">
        <f aca="false">IF(Model!R40=0,"",Model!R40)</f>
        <v/>
      </c>
      <c r="U37" s="206" t="str">
        <f aca="false">IF(Model!S40=0,"",Model!S40)</f>
        <v/>
      </c>
      <c r="V37" s="206" t="str">
        <f aca="false">IF(Model!T40=0,"",Model!T40)</f>
        <v/>
      </c>
      <c r="W37" s="206" t="str">
        <f aca="false">IF(Model!U40=0,"",Model!U40)</f>
        <v/>
      </c>
      <c r="X37" s="206" t="str">
        <f aca="false">IF(Model!V40=0,"",Model!V40)</f>
        <v/>
      </c>
      <c r="Y37" s="206" t="str">
        <f aca="false">IF(Model!W40=0,"",Model!W40)</f>
        <v/>
      </c>
      <c r="Z37" s="206" t="str">
        <f aca="false">IF(Model!X40=0,"",Model!X40)</f>
        <v/>
      </c>
      <c r="AA37" s="206" t="str">
        <f aca="false">IF(Model!Y40=0,"",Model!Y40)</f>
        <v/>
      </c>
      <c r="AB37" s="206" t="str">
        <f aca="false">IF(Model!Z40=0,"",Model!Z40)</f>
        <v/>
      </c>
      <c r="AC37" s="206" t="str">
        <f aca="false">IF(Model!AA40=0,"",Model!AA40)</f>
        <v/>
      </c>
      <c r="AD37" s="206" t="str">
        <f aca="false">IF(Model!AB40=0,"",Model!AB40)</f>
        <v/>
      </c>
      <c r="AE37" s="206" t="str">
        <f aca="false">IF(Model!AC40=0,"",Model!AC40)</f>
        <v/>
      </c>
      <c r="AF37" s="206" t="str">
        <f aca="false">IF(Model!AD40=0,"",Model!AD40)</f>
        <v/>
      </c>
      <c r="AG37" s="206" t="str">
        <f aca="false">IF(Model!AE40=0,"",Model!AE40)</f>
        <v/>
      </c>
      <c r="AH37" s="206" t="str">
        <f aca="false">IF(Model!AF40=0,"",Model!AF40)</f>
        <v/>
      </c>
      <c r="AI37" s="206" t="str">
        <f aca="false">IF(Model!AG40=0,"",Model!AG40)</f>
        <v/>
      </c>
      <c r="AJ37" s="206" t="str">
        <f aca="false">IF(Model!AH40=0,"",Model!AH40)</f>
        <v/>
      </c>
      <c r="AK37" s="206" t="str">
        <f aca="false">IF(Model!AI40=0,"",Model!AI40)</f>
        <v/>
      </c>
      <c r="AL37" s="206" t="str">
        <f aca="false">IF(Model!AJ40=0,"",Model!AJ40)</f>
        <v/>
      </c>
      <c r="AM37" s="206" t="str">
        <f aca="false">IF(Model!AK40=0,"",Model!AK40)</f>
        <v/>
      </c>
      <c r="AN37" s="206" t="str">
        <f aca="false">IF(Model!AL40=0,"",Model!AL40)</f>
        <v/>
      </c>
      <c r="AO37" s="206" t="str">
        <f aca="false">IF(Model!AM40=0,"",Model!AM40)</f>
        <v/>
      </c>
      <c r="AP37" s="206" t="str">
        <f aca="false">IF(Model!AN40=0,"",Model!AN40)</f>
        <v/>
      </c>
      <c r="AQ37" s="206" t="str">
        <f aca="false">IF(Model!AO40=0,"",Model!AO40)</f>
        <v/>
      </c>
      <c r="AR37" s="206" t="str">
        <f aca="false">IF(Model!AP40=0,"",Model!AP40)</f>
        <v/>
      </c>
      <c r="AS37" s="206" t="str">
        <f aca="false">IF(Model!AQ40=0,"",Model!AQ40)</f>
        <v/>
      </c>
      <c r="AT37" s="206" t="str">
        <f aca="false">IF(Model!AR40=0,"",Model!AR40)</f>
        <v/>
      </c>
      <c r="AU37" s="206" t="str">
        <f aca="false">IF(Model!AS40=0,"",Model!AS40)</f>
        <v/>
      </c>
      <c r="AV37" s="206" t="str">
        <f aca="false">IF(Model!AT40=0,"",Model!AT40)</f>
        <v/>
      </c>
      <c r="AW37" s="206" t="str">
        <f aca="false">IF(Model!AU40=0,"",Model!AU40)</f>
        <v/>
      </c>
      <c r="AX37" s="206" t="str">
        <f aca="false">IF(Model!AV40=0,"",Model!AV40)</f>
        <v/>
      </c>
      <c r="AY37" s="206" t="str">
        <f aca="false">IF(Model!AW40=0,"",Model!AW40)</f>
        <v/>
      </c>
      <c r="AZ37" s="206" t="str">
        <f aca="false">IF(Model!AX40=0,"",Model!AX40)</f>
        <v/>
      </c>
      <c r="BA37" s="206" t="str">
        <f aca="false">IF(Model!AY40=0,"",Model!AY40)</f>
        <v/>
      </c>
      <c r="BB37" s="206" t="str">
        <f aca="false">IF(Model!AZ40=0,"",Model!AZ40)</f>
        <v/>
      </c>
      <c r="BC37" s="206" t="str">
        <f aca="false">IF(Model!BA40=0,"",Model!BA40)</f>
        <v/>
      </c>
      <c r="BD37" s="206" t="str">
        <f aca="false">IF(Model!BB40=0,"",Model!BB40)</f>
        <v/>
      </c>
      <c r="BE37" s="206" t="str">
        <f aca="false">IF(Model!BC40=0,"",Model!BC40)</f>
        <v/>
      </c>
      <c r="BF37" s="206" t="str">
        <f aca="false">IF(Model!BD40=0,"",Model!BD40)</f>
        <v/>
      </c>
      <c r="BG37" s="206" t="str">
        <f aca="false">IF(Model!BE40=0,"",Model!BE40)</f>
        <v/>
      </c>
      <c r="BH37" s="206" t="str">
        <f aca="false">IF(Model!BF40=0,"",Model!BF40)</f>
        <v/>
      </c>
      <c r="BI37" s="206" t="str">
        <f aca="false">IF(Model!BG40=0,"",Model!BG40)</f>
        <v/>
      </c>
      <c r="BJ37" s="206" t="str">
        <f aca="false">IF(Model!BH40=0,"",Model!BH40)</f>
        <v/>
      </c>
      <c r="BK37" s="206" t="str">
        <f aca="false">IF(Model!BI40=0,"",Model!BI40)</f>
        <v/>
      </c>
      <c r="BL37" s="206" t="str">
        <f aca="false">IF(Model!BJ40=0,"",Model!BJ40)</f>
        <v/>
      </c>
      <c r="BM37" s="206" t="str">
        <f aca="false">IF(Model!BK40=0,"",Model!BK40)</f>
        <v/>
      </c>
      <c r="BN37" s="206" t="str">
        <f aca="false">IF(Model!BL40=0,"",Model!BL40)</f>
        <v/>
      </c>
      <c r="BO37" s="206" t="str">
        <f aca="false">IF(Model!BM40=0,"",Model!BM40)</f>
        <v/>
      </c>
      <c r="BP37" s="206" t="str">
        <f aca="false">IF(Model!BN40=0,"",Model!BN40)</f>
        <v/>
      </c>
      <c r="BQ37" s="206" t="str">
        <f aca="false">IF(Model!BO40=0,"",Model!BO40)</f>
        <v/>
      </c>
      <c r="BR37" s="206" t="str">
        <f aca="false">IF(Model!BP40=0,"",Model!BP40)</f>
        <v/>
      </c>
      <c r="BS37" s="206" t="str">
        <f aca="false">IF(Model!BQ40=0,"",Model!BQ40)</f>
        <v/>
      </c>
      <c r="BT37" s="206" t="str">
        <f aca="false">IF(Model!BR40=0,"",Model!BR40)</f>
        <v/>
      </c>
      <c r="BU37" s="206" t="str">
        <f aca="false">IF(Model!BS40=0,"",Model!BS40)</f>
        <v/>
      </c>
      <c r="BV37" s="206" t="str">
        <f aca="false">IF(Model!BT40=0,"",Model!BT40)</f>
        <v/>
      </c>
      <c r="BW37" s="206" t="str">
        <f aca="false">IF(Model!BU40=0,"",Model!BU40)</f>
        <v/>
      </c>
      <c r="BX37" s="206" t="str">
        <f aca="false">IF(Model!BV40=0,"",Model!BV40)</f>
        <v/>
      </c>
      <c r="BY37" s="206" t="str">
        <f aca="false">IF(Model!BW40=0,"",Model!BW40)</f>
        <v/>
      </c>
      <c r="BZ37" s="206" t="str">
        <f aca="false">IF(Model!BX40=0,"",Model!BX40)</f>
        <v/>
      </c>
      <c r="CA37" s="206" t="str">
        <f aca="false">IF(Model!BY40=0,"",Model!BY40)</f>
        <v/>
      </c>
      <c r="CB37" s="206" t="str">
        <f aca="false">IF(Model!BZ40=0,"",Model!BZ40)</f>
        <v/>
      </c>
      <c r="CC37" s="206" t="str">
        <f aca="false">IF(Model!CA40=0,"",Model!CA40)</f>
        <v/>
      </c>
      <c r="CD37" s="206" t="str">
        <f aca="false">IF(Model!CB40=0,"",Model!CB40)</f>
        <v/>
      </c>
      <c r="CE37" s="206" t="str">
        <f aca="false">IF(Model!CC40=0,"",Model!CC40)</f>
        <v/>
      </c>
      <c r="CF37" s="206" t="str">
        <f aca="false">IF(Model!CD40=0,"",Model!CD40)</f>
        <v/>
      </c>
      <c r="CG37" s="206" t="str">
        <f aca="false">IF(Model!CE40=0,"",Model!CE40)</f>
        <v/>
      </c>
      <c r="CH37" s="206" t="str">
        <f aca="false">IF(Model!CF40=0,"",Model!CF40)</f>
        <v/>
      </c>
      <c r="CI37" s="206" t="str">
        <f aca="false">IF(Model!CG40=0,"",Model!CG40)</f>
        <v/>
      </c>
      <c r="CJ37" s="206" t="str">
        <f aca="false">IF(Model!CH40=0,"",Model!CH40)</f>
        <v/>
      </c>
      <c r="CK37" s="206" t="str">
        <f aca="false">IF(Model!CI40=0,"",Model!CI40)</f>
        <v/>
      </c>
      <c r="CL37" s="206" t="str">
        <f aca="false">IF(Model!CJ40=0,"",Model!CJ40)</f>
        <v/>
      </c>
      <c r="CM37" s="206" t="str">
        <f aca="false">IF(Model!CK40=0,"",Model!CK40)</f>
        <v/>
      </c>
      <c r="CN37" s="206" t="str">
        <f aca="false">IF(Model!CL40=0,"",Model!CL40)</f>
        <v/>
      </c>
      <c r="CO37" s="206" t="str">
        <f aca="false">IF(Model!CM40=0,"",Model!CM40)</f>
        <v/>
      </c>
      <c r="CP37" s="206" t="str">
        <f aca="false">IF(Model!CN40=0,"",Model!CN40)</f>
        <v/>
      </c>
      <c r="CQ37" s="206" t="str">
        <f aca="false">IF(Model!CO40=0,"",Model!CO40)</f>
        <v/>
      </c>
      <c r="CR37" s="206" t="str">
        <f aca="false">IF(Model!CP40=0,"",Model!CP40)</f>
        <v/>
      </c>
      <c r="CS37" s="206" t="str">
        <f aca="false">IF(Model!CQ40=0,"",Model!CQ40)</f>
        <v/>
      </c>
      <c r="CT37" s="206" t="str">
        <f aca="false">IF(Model!CR40=0,"",Model!CR40)</f>
        <v/>
      </c>
      <c r="CU37" s="206" t="str">
        <f aca="false">IF(Model!CS40=0,"",Model!CS40)</f>
        <v/>
      </c>
      <c r="CV37" s="206" t="str">
        <f aca="false">IF(Model!CT40=0,"",Model!CT40)</f>
        <v/>
      </c>
      <c r="CW37" s="206" t="str">
        <f aca="false">IF(Model!CU40=0,"",Model!CU40)</f>
        <v/>
      </c>
      <c r="CX37" s="206" t="str">
        <f aca="false">IF(Model!CV40=0,"",Model!CV40)</f>
        <v/>
      </c>
      <c r="CY37" s="206" t="str">
        <f aca="false">IF(Model!CW40=0,"",Model!CW40)</f>
        <v/>
      </c>
      <c r="CZ37" s="206" t="str">
        <f aca="false">IF(Model!CX40=0,"",Model!CX40)</f>
        <v/>
      </c>
      <c r="DA37" s="206" t="str">
        <f aca="false">IF(Model!CY40=0,"",Model!CY40)</f>
        <v/>
      </c>
      <c r="DB37" s="206" t="str">
        <f aca="false">IF(Model!CZ40=0,"",Model!CZ40)</f>
        <v/>
      </c>
    </row>
    <row r="38" customFormat="false" ht="15" hidden="false" customHeight="true" outlineLevel="0" collapsed="false">
      <c r="A38" s="123" t="s">
        <v>35</v>
      </c>
      <c r="B38" s="203" t="n">
        <f aca="false">Projects!$B$32</f>
        <v>15000000</v>
      </c>
      <c r="C38" s="204" t="n">
        <f aca="false">EDATE(Model!$E$2,Projects!$C$32-1)</f>
        <v>47727</v>
      </c>
      <c r="D38" s="204" t="n">
        <f aca="false">EDATE(Model!$E$2,Projects!$C$32+Projects!$D$32-2)</f>
        <v>48274</v>
      </c>
      <c r="E38" s="205" t="n">
        <f aca="false">Projects!$D$32</f>
        <v>19</v>
      </c>
      <c r="F38" s="203" t="n">
        <f aca="false">SUM(G38:DB38)</f>
        <v>0</v>
      </c>
      <c r="G38" s="206" t="str">
        <f aca="false">IF(Model!E41=0,"",Model!E41)</f>
        <v/>
      </c>
      <c r="H38" s="206" t="str">
        <f aca="false">IF(Model!F41=0,"",Model!F41)</f>
        <v/>
      </c>
      <c r="I38" s="206" t="str">
        <f aca="false">IF(Model!G41=0,"",Model!G41)</f>
        <v/>
      </c>
      <c r="J38" s="206" t="str">
        <f aca="false">IF(Model!H41=0,"",Model!H41)</f>
        <v/>
      </c>
      <c r="K38" s="206" t="str">
        <f aca="false">IF(Model!I41=0,"",Model!I41)</f>
        <v/>
      </c>
      <c r="L38" s="206" t="str">
        <f aca="false">IF(Model!J41=0,"",Model!J41)</f>
        <v/>
      </c>
      <c r="M38" s="206" t="str">
        <f aca="false">IF(Model!K41=0,"",Model!K41)</f>
        <v/>
      </c>
      <c r="N38" s="206" t="str">
        <f aca="false">IF(Model!L41=0,"",Model!L41)</f>
        <v/>
      </c>
      <c r="O38" s="206" t="str">
        <f aca="false">IF(Model!M41=0,"",Model!M41)</f>
        <v/>
      </c>
      <c r="P38" s="206" t="str">
        <f aca="false">IF(Model!N41=0,"",Model!N41)</f>
        <v/>
      </c>
      <c r="Q38" s="206" t="str">
        <f aca="false">IF(Model!O41=0,"",Model!O41)</f>
        <v/>
      </c>
      <c r="R38" s="206" t="str">
        <f aca="false">IF(Model!P41=0,"",Model!P41)</f>
        <v/>
      </c>
      <c r="S38" s="206" t="str">
        <f aca="false">IF(Model!Q41=0,"",Model!Q41)</f>
        <v/>
      </c>
      <c r="T38" s="206" t="str">
        <f aca="false">IF(Model!R41=0,"",Model!R41)</f>
        <v/>
      </c>
      <c r="U38" s="206" t="str">
        <f aca="false">IF(Model!S41=0,"",Model!S41)</f>
        <v/>
      </c>
      <c r="V38" s="206" t="str">
        <f aca="false">IF(Model!T41=0,"",Model!T41)</f>
        <v/>
      </c>
      <c r="W38" s="206" t="str">
        <f aca="false">IF(Model!U41=0,"",Model!U41)</f>
        <v/>
      </c>
      <c r="X38" s="206" t="str">
        <f aca="false">IF(Model!V41=0,"",Model!V41)</f>
        <v/>
      </c>
      <c r="Y38" s="206" t="str">
        <f aca="false">IF(Model!W41=0,"",Model!W41)</f>
        <v/>
      </c>
      <c r="Z38" s="206" t="str">
        <f aca="false">IF(Model!X41=0,"",Model!X41)</f>
        <v/>
      </c>
      <c r="AA38" s="206" t="str">
        <f aca="false">IF(Model!Y41=0,"",Model!Y41)</f>
        <v/>
      </c>
      <c r="AB38" s="206" t="str">
        <f aca="false">IF(Model!Z41=0,"",Model!Z41)</f>
        <v/>
      </c>
      <c r="AC38" s="206" t="str">
        <f aca="false">IF(Model!AA41=0,"",Model!AA41)</f>
        <v/>
      </c>
      <c r="AD38" s="206" t="str">
        <f aca="false">IF(Model!AB41=0,"",Model!AB41)</f>
        <v/>
      </c>
      <c r="AE38" s="206" t="str">
        <f aca="false">IF(Model!AC41=0,"",Model!AC41)</f>
        <v/>
      </c>
      <c r="AF38" s="206" t="str">
        <f aca="false">IF(Model!AD41=0,"",Model!AD41)</f>
        <v/>
      </c>
      <c r="AG38" s="206" t="str">
        <f aca="false">IF(Model!AE41=0,"",Model!AE41)</f>
        <v/>
      </c>
      <c r="AH38" s="206" t="str">
        <f aca="false">IF(Model!AF41=0,"",Model!AF41)</f>
        <v/>
      </c>
      <c r="AI38" s="206" t="str">
        <f aca="false">IF(Model!AG41=0,"",Model!AG41)</f>
        <v/>
      </c>
      <c r="AJ38" s="206" t="str">
        <f aca="false">IF(Model!AH41=0,"",Model!AH41)</f>
        <v/>
      </c>
      <c r="AK38" s="206" t="str">
        <f aca="false">IF(Model!AI41=0,"",Model!AI41)</f>
        <v/>
      </c>
      <c r="AL38" s="206" t="str">
        <f aca="false">IF(Model!AJ41=0,"",Model!AJ41)</f>
        <v/>
      </c>
      <c r="AM38" s="206" t="str">
        <f aca="false">IF(Model!AK41=0,"",Model!AK41)</f>
        <v/>
      </c>
      <c r="AN38" s="206" t="str">
        <f aca="false">IF(Model!AL41=0,"",Model!AL41)</f>
        <v/>
      </c>
      <c r="AO38" s="206" t="str">
        <f aca="false">IF(Model!AM41=0,"",Model!AM41)</f>
        <v/>
      </c>
      <c r="AP38" s="206" t="str">
        <f aca="false">IF(Model!AN41=0,"",Model!AN41)</f>
        <v/>
      </c>
      <c r="AQ38" s="206" t="str">
        <f aca="false">IF(Model!AO41=0,"",Model!AO41)</f>
        <v/>
      </c>
      <c r="AR38" s="206" t="str">
        <f aca="false">IF(Model!AP41=0,"",Model!AP41)</f>
        <v/>
      </c>
      <c r="AS38" s="206" t="str">
        <f aca="false">IF(Model!AQ41=0,"",Model!AQ41)</f>
        <v/>
      </c>
      <c r="AT38" s="206" t="str">
        <f aca="false">IF(Model!AR41=0,"",Model!AR41)</f>
        <v/>
      </c>
      <c r="AU38" s="206" t="str">
        <f aca="false">IF(Model!AS41=0,"",Model!AS41)</f>
        <v/>
      </c>
      <c r="AV38" s="206" t="str">
        <f aca="false">IF(Model!AT41=0,"",Model!AT41)</f>
        <v/>
      </c>
      <c r="AW38" s="206" t="str">
        <f aca="false">IF(Model!AU41=0,"",Model!AU41)</f>
        <v/>
      </c>
      <c r="AX38" s="206" t="str">
        <f aca="false">IF(Model!AV41=0,"",Model!AV41)</f>
        <v/>
      </c>
      <c r="AY38" s="206" t="str">
        <f aca="false">IF(Model!AW41=0,"",Model!AW41)</f>
        <v/>
      </c>
      <c r="AZ38" s="206" t="str">
        <f aca="false">IF(Model!AX41=0,"",Model!AX41)</f>
        <v/>
      </c>
      <c r="BA38" s="206" t="str">
        <f aca="false">IF(Model!AY41=0,"",Model!AY41)</f>
        <v/>
      </c>
      <c r="BB38" s="206" t="str">
        <f aca="false">IF(Model!AZ41=0,"",Model!AZ41)</f>
        <v/>
      </c>
      <c r="BC38" s="206" t="str">
        <f aca="false">IF(Model!BA41=0,"",Model!BA41)</f>
        <v/>
      </c>
      <c r="BD38" s="206" t="str">
        <f aca="false">IF(Model!BB41=0,"",Model!BB41)</f>
        <v/>
      </c>
      <c r="BE38" s="206" t="str">
        <f aca="false">IF(Model!BC41=0,"",Model!BC41)</f>
        <v/>
      </c>
      <c r="BF38" s="206" t="str">
        <f aca="false">IF(Model!BD41=0,"",Model!BD41)</f>
        <v/>
      </c>
      <c r="BG38" s="206" t="str">
        <f aca="false">IF(Model!BE41=0,"",Model!BE41)</f>
        <v/>
      </c>
      <c r="BH38" s="206" t="str">
        <f aca="false">IF(Model!BF41=0,"",Model!BF41)</f>
        <v/>
      </c>
      <c r="BI38" s="206" t="str">
        <f aca="false">IF(Model!BG41=0,"",Model!BG41)</f>
        <v/>
      </c>
      <c r="BJ38" s="206" t="str">
        <f aca="false">IF(Model!BH41=0,"",Model!BH41)</f>
        <v/>
      </c>
      <c r="BK38" s="206" t="str">
        <f aca="false">IF(Model!BI41=0,"",Model!BI41)</f>
        <v/>
      </c>
      <c r="BL38" s="206" t="str">
        <f aca="false">IF(Model!BJ41=0,"",Model!BJ41)</f>
        <v/>
      </c>
      <c r="BM38" s="206" t="str">
        <f aca="false">IF(Model!BK41=0,"",Model!BK41)</f>
        <v/>
      </c>
      <c r="BN38" s="206" t="str">
        <f aca="false">IF(Model!BL41=0,"",Model!BL41)</f>
        <v/>
      </c>
      <c r="BO38" s="206" t="str">
        <f aca="false">IF(Model!BM41=0,"",Model!BM41)</f>
        <v/>
      </c>
      <c r="BP38" s="206" t="str">
        <f aca="false">IF(Model!BN41=0,"",Model!BN41)</f>
        <v/>
      </c>
      <c r="BQ38" s="206" t="str">
        <f aca="false">IF(Model!BO41=0,"",Model!BO41)</f>
        <v/>
      </c>
      <c r="BR38" s="206" t="str">
        <f aca="false">IF(Model!BP41=0,"",Model!BP41)</f>
        <v/>
      </c>
      <c r="BS38" s="206" t="str">
        <f aca="false">IF(Model!BQ41=0,"",Model!BQ41)</f>
        <v/>
      </c>
      <c r="BT38" s="206" t="str">
        <f aca="false">IF(Model!BR41=0,"",Model!BR41)</f>
        <v/>
      </c>
      <c r="BU38" s="206" t="str">
        <f aca="false">IF(Model!BS41=0,"",Model!BS41)</f>
        <v/>
      </c>
      <c r="BV38" s="206" t="str">
        <f aca="false">IF(Model!BT41=0,"",Model!BT41)</f>
        <v/>
      </c>
      <c r="BW38" s="206" t="str">
        <f aca="false">IF(Model!BU41=0,"",Model!BU41)</f>
        <v/>
      </c>
      <c r="BX38" s="206" t="str">
        <f aca="false">IF(Model!BV41=0,"",Model!BV41)</f>
        <v/>
      </c>
      <c r="BY38" s="206" t="str">
        <f aca="false">IF(Model!BW41=0,"",Model!BW41)</f>
        <v/>
      </c>
      <c r="BZ38" s="206" t="str">
        <f aca="false">IF(Model!BX41=0,"",Model!BX41)</f>
        <v/>
      </c>
      <c r="CA38" s="206" t="str">
        <f aca="false">IF(Model!BY41=0,"",Model!BY41)</f>
        <v/>
      </c>
      <c r="CB38" s="206" t="str">
        <f aca="false">IF(Model!BZ41=0,"",Model!BZ41)</f>
        <v/>
      </c>
      <c r="CC38" s="206" t="str">
        <f aca="false">IF(Model!CA41=0,"",Model!CA41)</f>
        <v/>
      </c>
      <c r="CD38" s="206" t="str">
        <f aca="false">IF(Model!CB41=0,"",Model!CB41)</f>
        <v/>
      </c>
      <c r="CE38" s="206" t="str">
        <f aca="false">IF(Model!CC41=0,"",Model!CC41)</f>
        <v/>
      </c>
      <c r="CF38" s="206" t="str">
        <f aca="false">IF(Model!CD41=0,"",Model!CD41)</f>
        <v/>
      </c>
      <c r="CG38" s="206" t="str">
        <f aca="false">IF(Model!CE41=0,"",Model!CE41)</f>
        <v/>
      </c>
      <c r="CH38" s="206" t="str">
        <f aca="false">IF(Model!CF41=0,"",Model!CF41)</f>
        <v/>
      </c>
      <c r="CI38" s="206" t="str">
        <f aca="false">IF(Model!CG41=0,"",Model!CG41)</f>
        <v/>
      </c>
      <c r="CJ38" s="206" t="str">
        <f aca="false">IF(Model!CH41=0,"",Model!CH41)</f>
        <v/>
      </c>
      <c r="CK38" s="206" t="str">
        <f aca="false">IF(Model!CI41=0,"",Model!CI41)</f>
        <v/>
      </c>
      <c r="CL38" s="206" t="str">
        <f aca="false">IF(Model!CJ41=0,"",Model!CJ41)</f>
        <v/>
      </c>
      <c r="CM38" s="206" t="str">
        <f aca="false">IF(Model!CK41=0,"",Model!CK41)</f>
        <v/>
      </c>
      <c r="CN38" s="206" t="str">
        <f aca="false">IF(Model!CL41=0,"",Model!CL41)</f>
        <v/>
      </c>
      <c r="CO38" s="206" t="str">
        <f aca="false">IF(Model!CM41=0,"",Model!CM41)</f>
        <v/>
      </c>
      <c r="CP38" s="206" t="str">
        <f aca="false">IF(Model!CN41=0,"",Model!CN41)</f>
        <v/>
      </c>
      <c r="CQ38" s="206" t="str">
        <f aca="false">IF(Model!CO41=0,"",Model!CO41)</f>
        <v/>
      </c>
      <c r="CR38" s="206" t="str">
        <f aca="false">IF(Model!CP41=0,"",Model!CP41)</f>
        <v/>
      </c>
      <c r="CS38" s="206" t="str">
        <f aca="false">IF(Model!CQ41=0,"",Model!CQ41)</f>
        <v/>
      </c>
      <c r="CT38" s="206" t="str">
        <f aca="false">IF(Model!CR41=0,"",Model!CR41)</f>
        <v/>
      </c>
      <c r="CU38" s="206" t="str">
        <f aca="false">IF(Model!CS41=0,"",Model!CS41)</f>
        <v/>
      </c>
      <c r="CV38" s="206" t="str">
        <f aca="false">IF(Model!CT41=0,"",Model!CT41)</f>
        <v/>
      </c>
      <c r="CW38" s="206" t="str">
        <f aca="false">IF(Model!CU41=0,"",Model!CU41)</f>
        <v/>
      </c>
      <c r="CX38" s="206" t="str">
        <f aca="false">IF(Model!CV41=0,"",Model!CV41)</f>
        <v/>
      </c>
      <c r="CY38" s="206" t="str">
        <f aca="false">IF(Model!CW41=0,"",Model!CW41)</f>
        <v/>
      </c>
      <c r="CZ38" s="206" t="str">
        <f aca="false">IF(Model!CX41=0,"",Model!CX41)</f>
        <v/>
      </c>
      <c r="DA38" s="206" t="str">
        <f aca="false">IF(Model!CY41=0,"",Model!CY41)</f>
        <v/>
      </c>
      <c r="DB38" s="206" t="str">
        <f aca="false">IF(Model!CZ41=0,"",Model!CZ41)</f>
        <v/>
      </c>
    </row>
    <row r="39" customFormat="false" ht="15" hidden="false" customHeight="true" outlineLevel="0" collapsed="false">
      <c r="A39" s="123" t="s">
        <v>36</v>
      </c>
      <c r="B39" s="203" t="n">
        <f aca="false">Projects!$B$33</f>
        <v>15000000</v>
      </c>
      <c r="C39" s="204" t="n">
        <f aca="false">EDATE(Model!$E$2,Projects!$C$33-1)</f>
        <v>47788</v>
      </c>
      <c r="D39" s="204" t="n">
        <f aca="false">EDATE(Model!$E$2,Projects!$C$33+Projects!$D$33-2)</f>
        <v>48335</v>
      </c>
      <c r="E39" s="205" t="n">
        <f aca="false">Projects!$D$33</f>
        <v>19</v>
      </c>
      <c r="F39" s="203" t="n">
        <f aca="false">SUM(G39:DB39)</f>
        <v>0</v>
      </c>
      <c r="G39" s="206" t="str">
        <f aca="false">IF(Model!E42=0,"",Model!E42)</f>
        <v/>
      </c>
      <c r="H39" s="206" t="str">
        <f aca="false">IF(Model!F42=0,"",Model!F42)</f>
        <v/>
      </c>
      <c r="I39" s="206" t="str">
        <f aca="false">IF(Model!G42=0,"",Model!G42)</f>
        <v/>
      </c>
      <c r="J39" s="206" t="str">
        <f aca="false">IF(Model!H42=0,"",Model!H42)</f>
        <v/>
      </c>
      <c r="K39" s="206" t="str">
        <f aca="false">IF(Model!I42=0,"",Model!I42)</f>
        <v/>
      </c>
      <c r="L39" s="206" t="str">
        <f aca="false">IF(Model!J42=0,"",Model!J42)</f>
        <v/>
      </c>
      <c r="M39" s="206" t="str">
        <f aca="false">IF(Model!K42=0,"",Model!K42)</f>
        <v/>
      </c>
      <c r="N39" s="206" t="str">
        <f aca="false">IF(Model!L42=0,"",Model!L42)</f>
        <v/>
      </c>
      <c r="O39" s="206" t="str">
        <f aca="false">IF(Model!M42=0,"",Model!M42)</f>
        <v/>
      </c>
      <c r="P39" s="206" t="str">
        <f aca="false">IF(Model!N42=0,"",Model!N42)</f>
        <v/>
      </c>
      <c r="Q39" s="206" t="str">
        <f aca="false">IF(Model!O42=0,"",Model!O42)</f>
        <v/>
      </c>
      <c r="R39" s="206" t="str">
        <f aca="false">IF(Model!P42=0,"",Model!P42)</f>
        <v/>
      </c>
      <c r="S39" s="206" t="str">
        <f aca="false">IF(Model!Q42=0,"",Model!Q42)</f>
        <v/>
      </c>
      <c r="T39" s="206" t="str">
        <f aca="false">IF(Model!R42=0,"",Model!R42)</f>
        <v/>
      </c>
      <c r="U39" s="206" t="str">
        <f aca="false">IF(Model!S42=0,"",Model!S42)</f>
        <v/>
      </c>
      <c r="V39" s="206" t="str">
        <f aca="false">IF(Model!T42=0,"",Model!T42)</f>
        <v/>
      </c>
      <c r="W39" s="206" t="str">
        <f aca="false">IF(Model!U42=0,"",Model!U42)</f>
        <v/>
      </c>
      <c r="X39" s="206" t="str">
        <f aca="false">IF(Model!V42=0,"",Model!V42)</f>
        <v/>
      </c>
      <c r="Y39" s="206" t="str">
        <f aca="false">IF(Model!W42=0,"",Model!W42)</f>
        <v/>
      </c>
      <c r="Z39" s="206" t="str">
        <f aca="false">IF(Model!X42=0,"",Model!X42)</f>
        <v/>
      </c>
      <c r="AA39" s="206" t="str">
        <f aca="false">IF(Model!Y42=0,"",Model!Y42)</f>
        <v/>
      </c>
      <c r="AB39" s="206" t="str">
        <f aca="false">IF(Model!Z42=0,"",Model!Z42)</f>
        <v/>
      </c>
      <c r="AC39" s="206" t="str">
        <f aca="false">IF(Model!AA42=0,"",Model!AA42)</f>
        <v/>
      </c>
      <c r="AD39" s="206" t="str">
        <f aca="false">IF(Model!AB42=0,"",Model!AB42)</f>
        <v/>
      </c>
      <c r="AE39" s="206" t="str">
        <f aca="false">IF(Model!AC42=0,"",Model!AC42)</f>
        <v/>
      </c>
      <c r="AF39" s="206" t="str">
        <f aca="false">IF(Model!AD42=0,"",Model!AD42)</f>
        <v/>
      </c>
      <c r="AG39" s="206" t="str">
        <f aca="false">IF(Model!AE42=0,"",Model!AE42)</f>
        <v/>
      </c>
      <c r="AH39" s="206" t="str">
        <f aca="false">IF(Model!AF42=0,"",Model!AF42)</f>
        <v/>
      </c>
      <c r="AI39" s="206" t="str">
        <f aca="false">IF(Model!AG42=0,"",Model!AG42)</f>
        <v/>
      </c>
      <c r="AJ39" s="206" t="str">
        <f aca="false">IF(Model!AH42=0,"",Model!AH42)</f>
        <v/>
      </c>
      <c r="AK39" s="206" t="str">
        <f aca="false">IF(Model!AI42=0,"",Model!AI42)</f>
        <v/>
      </c>
      <c r="AL39" s="206" t="str">
        <f aca="false">IF(Model!AJ42=0,"",Model!AJ42)</f>
        <v/>
      </c>
      <c r="AM39" s="206" t="str">
        <f aca="false">IF(Model!AK42=0,"",Model!AK42)</f>
        <v/>
      </c>
      <c r="AN39" s="206" t="str">
        <f aca="false">IF(Model!AL42=0,"",Model!AL42)</f>
        <v/>
      </c>
      <c r="AO39" s="206" t="str">
        <f aca="false">IF(Model!AM42=0,"",Model!AM42)</f>
        <v/>
      </c>
      <c r="AP39" s="206" t="str">
        <f aca="false">IF(Model!AN42=0,"",Model!AN42)</f>
        <v/>
      </c>
      <c r="AQ39" s="206" t="str">
        <f aca="false">IF(Model!AO42=0,"",Model!AO42)</f>
        <v/>
      </c>
      <c r="AR39" s="206" t="str">
        <f aca="false">IF(Model!AP42=0,"",Model!AP42)</f>
        <v/>
      </c>
      <c r="AS39" s="206" t="str">
        <f aca="false">IF(Model!AQ42=0,"",Model!AQ42)</f>
        <v/>
      </c>
      <c r="AT39" s="206" t="str">
        <f aca="false">IF(Model!AR42=0,"",Model!AR42)</f>
        <v/>
      </c>
      <c r="AU39" s="206" t="str">
        <f aca="false">IF(Model!AS42=0,"",Model!AS42)</f>
        <v/>
      </c>
      <c r="AV39" s="206" t="str">
        <f aca="false">IF(Model!AT42=0,"",Model!AT42)</f>
        <v/>
      </c>
      <c r="AW39" s="206" t="str">
        <f aca="false">IF(Model!AU42=0,"",Model!AU42)</f>
        <v/>
      </c>
      <c r="AX39" s="206" t="str">
        <f aca="false">IF(Model!AV42=0,"",Model!AV42)</f>
        <v/>
      </c>
      <c r="AY39" s="206" t="str">
        <f aca="false">IF(Model!AW42=0,"",Model!AW42)</f>
        <v/>
      </c>
      <c r="AZ39" s="206" t="str">
        <f aca="false">IF(Model!AX42=0,"",Model!AX42)</f>
        <v/>
      </c>
      <c r="BA39" s="206" t="str">
        <f aca="false">IF(Model!AY42=0,"",Model!AY42)</f>
        <v/>
      </c>
      <c r="BB39" s="206" t="str">
        <f aca="false">IF(Model!AZ42=0,"",Model!AZ42)</f>
        <v/>
      </c>
      <c r="BC39" s="206" t="str">
        <f aca="false">IF(Model!BA42=0,"",Model!BA42)</f>
        <v/>
      </c>
      <c r="BD39" s="206" t="str">
        <f aca="false">IF(Model!BB42=0,"",Model!BB42)</f>
        <v/>
      </c>
      <c r="BE39" s="206" t="str">
        <f aca="false">IF(Model!BC42=0,"",Model!BC42)</f>
        <v/>
      </c>
      <c r="BF39" s="206" t="str">
        <f aca="false">IF(Model!BD42=0,"",Model!BD42)</f>
        <v/>
      </c>
      <c r="BG39" s="206" t="str">
        <f aca="false">IF(Model!BE42=0,"",Model!BE42)</f>
        <v/>
      </c>
      <c r="BH39" s="206" t="str">
        <f aca="false">IF(Model!BF42=0,"",Model!BF42)</f>
        <v/>
      </c>
      <c r="BI39" s="206" t="str">
        <f aca="false">IF(Model!BG42=0,"",Model!BG42)</f>
        <v/>
      </c>
      <c r="BJ39" s="206" t="str">
        <f aca="false">IF(Model!BH42=0,"",Model!BH42)</f>
        <v/>
      </c>
      <c r="BK39" s="206" t="str">
        <f aca="false">IF(Model!BI42=0,"",Model!BI42)</f>
        <v/>
      </c>
      <c r="BL39" s="206" t="str">
        <f aca="false">IF(Model!BJ42=0,"",Model!BJ42)</f>
        <v/>
      </c>
      <c r="BM39" s="206" t="str">
        <f aca="false">IF(Model!BK42=0,"",Model!BK42)</f>
        <v/>
      </c>
      <c r="BN39" s="206" t="str">
        <f aca="false">IF(Model!BL42=0,"",Model!BL42)</f>
        <v/>
      </c>
      <c r="BO39" s="206" t="str">
        <f aca="false">IF(Model!BM42=0,"",Model!BM42)</f>
        <v/>
      </c>
      <c r="BP39" s="206" t="str">
        <f aca="false">IF(Model!BN42=0,"",Model!BN42)</f>
        <v/>
      </c>
      <c r="BQ39" s="206" t="str">
        <f aca="false">IF(Model!BO42=0,"",Model!BO42)</f>
        <v/>
      </c>
      <c r="BR39" s="206" t="str">
        <f aca="false">IF(Model!BP42=0,"",Model!BP42)</f>
        <v/>
      </c>
      <c r="BS39" s="206" t="str">
        <f aca="false">IF(Model!BQ42=0,"",Model!BQ42)</f>
        <v/>
      </c>
      <c r="BT39" s="206" t="str">
        <f aca="false">IF(Model!BR42=0,"",Model!BR42)</f>
        <v/>
      </c>
      <c r="BU39" s="206" t="str">
        <f aca="false">IF(Model!BS42=0,"",Model!BS42)</f>
        <v/>
      </c>
      <c r="BV39" s="206" t="str">
        <f aca="false">IF(Model!BT42=0,"",Model!BT42)</f>
        <v/>
      </c>
      <c r="BW39" s="206" t="str">
        <f aca="false">IF(Model!BU42=0,"",Model!BU42)</f>
        <v/>
      </c>
      <c r="BX39" s="206" t="str">
        <f aca="false">IF(Model!BV42=0,"",Model!BV42)</f>
        <v/>
      </c>
      <c r="BY39" s="206" t="str">
        <f aca="false">IF(Model!BW42=0,"",Model!BW42)</f>
        <v/>
      </c>
      <c r="BZ39" s="206" t="str">
        <f aca="false">IF(Model!BX42=0,"",Model!BX42)</f>
        <v/>
      </c>
      <c r="CA39" s="206" t="str">
        <f aca="false">IF(Model!BY42=0,"",Model!BY42)</f>
        <v/>
      </c>
      <c r="CB39" s="206" t="str">
        <f aca="false">IF(Model!BZ42=0,"",Model!BZ42)</f>
        <v/>
      </c>
      <c r="CC39" s="206" t="str">
        <f aca="false">IF(Model!CA42=0,"",Model!CA42)</f>
        <v/>
      </c>
      <c r="CD39" s="206" t="str">
        <f aca="false">IF(Model!CB42=0,"",Model!CB42)</f>
        <v/>
      </c>
      <c r="CE39" s="206" t="str">
        <f aca="false">IF(Model!CC42=0,"",Model!CC42)</f>
        <v/>
      </c>
      <c r="CF39" s="206" t="str">
        <f aca="false">IF(Model!CD42=0,"",Model!CD42)</f>
        <v/>
      </c>
      <c r="CG39" s="206" t="str">
        <f aca="false">IF(Model!CE42=0,"",Model!CE42)</f>
        <v/>
      </c>
      <c r="CH39" s="206" t="str">
        <f aca="false">IF(Model!CF42=0,"",Model!CF42)</f>
        <v/>
      </c>
      <c r="CI39" s="206" t="str">
        <f aca="false">IF(Model!CG42=0,"",Model!CG42)</f>
        <v/>
      </c>
      <c r="CJ39" s="206" t="str">
        <f aca="false">IF(Model!CH42=0,"",Model!CH42)</f>
        <v/>
      </c>
      <c r="CK39" s="206" t="str">
        <f aca="false">IF(Model!CI42=0,"",Model!CI42)</f>
        <v/>
      </c>
      <c r="CL39" s="206" t="str">
        <f aca="false">IF(Model!CJ42=0,"",Model!CJ42)</f>
        <v/>
      </c>
      <c r="CM39" s="206" t="str">
        <f aca="false">IF(Model!CK42=0,"",Model!CK42)</f>
        <v/>
      </c>
      <c r="CN39" s="206" t="str">
        <f aca="false">IF(Model!CL42=0,"",Model!CL42)</f>
        <v/>
      </c>
      <c r="CO39" s="206" t="str">
        <f aca="false">IF(Model!CM42=0,"",Model!CM42)</f>
        <v/>
      </c>
      <c r="CP39" s="206" t="str">
        <f aca="false">IF(Model!CN42=0,"",Model!CN42)</f>
        <v/>
      </c>
      <c r="CQ39" s="206" t="str">
        <f aca="false">IF(Model!CO42=0,"",Model!CO42)</f>
        <v/>
      </c>
      <c r="CR39" s="206" t="str">
        <f aca="false">IF(Model!CP42=0,"",Model!CP42)</f>
        <v/>
      </c>
      <c r="CS39" s="206" t="str">
        <f aca="false">IF(Model!CQ42=0,"",Model!CQ42)</f>
        <v/>
      </c>
      <c r="CT39" s="206" t="str">
        <f aca="false">IF(Model!CR42=0,"",Model!CR42)</f>
        <v/>
      </c>
      <c r="CU39" s="206" t="str">
        <f aca="false">IF(Model!CS42=0,"",Model!CS42)</f>
        <v/>
      </c>
      <c r="CV39" s="206" t="str">
        <f aca="false">IF(Model!CT42=0,"",Model!CT42)</f>
        <v/>
      </c>
      <c r="CW39" s="206" t="str">
        <f aca="false">IF(Model!CU42=0,"",Model!CU42)</f>
        <v/>
      </c>
      <c r="CX39" s="206" t="str">
        <f aca="false">IF(Model!CV42=0,"",Model!CV42)</f>
        <v/>
      </c>
      <c r="CY39" s="206" t="str">
        <f aca="false">IF(Model!CW42=0,"",Model!CW42)</f>
        <v/>
      </c>
      <c r="CZ39" s="206" t="str">
        <f aca="false">IF(Model!CX42=0,"",Model!CX42)</f>
        <v/>
      </c>
      <c r="DA39" s="206" t="str">
        <f aca="false">IF(Model!CY42=0,"",Model!CY42)</f>
        <v/>
      </c>
      <c r="DB39" s="206" t="str">
        <f aca="false">IF(Model!CZ42=0,"",Model!CZ42)</f>
        <v/>
      </c>
    </row>
    <row r="40" customFormat="false" ht="15" hidden="false" customHeight="true" outlineLevel="0" collapsed="false">
      <c r="A40" s="123" t="s">
        <v>37</v>
      </c>
      <c r="B40" s="203" t="n">
        <f aca="false">Projects!$B$34</f>
        <v>18000000</v>
      </c>
      <c r="C40" s="204" t="n">
        <f aca="false">EDATE(Model!$E$2,Projects!$C$34-1)</f>
        <v>47849</v>
      </c>
      <c r="D40" s="204" t="n">
        <f aca="false">EDATE(Model!$E$2,Projects!$C$34+Projects!$D$34-2)</f>
        <v>48396</v>
      </c>
      <c r="E40" s="205" t="n">
        <f aca="false">Projects!$D$34</f>
        <v>19</v>
      </c>
      <c r="F40" s="203" t="n">
        <f aca="false">SUM(G40:DB40)</f>
        <v>0</v>
      </c>
      <c r="G40" s="206" t="str">
        <f aca="false">IF(Model!E43=0,"",Model!E43)</f>
        <v/>
      </c>
      <c r="H40" s="206" t="str">
        <f aca="false">IF(Model!F43=0,"",Model!F43)</f>
        <v/>
      </c>
      <c r="I40" s="206" t="str">
        <f aca="false">IF(Model!G43=0,"",Model!G43)</f>
        <v/>
      </c>
      <c r="J40" s="206" t="str">
        <f aca="false">IF(Model!H43=0,"",Model!H43)</f>
        <v/>
      </c>
      <c r="K40" s="206" t="str">
        <f aca="false">IF(Model!I43=0,"",Model!I43)</f>
        <v/>
      </c>
      <c r="L40" s="206" t="str">
        <f aca="false">IF(Model!J43=0,"",Model!J43)</f>
        <v/>
      </c>
      <c r="M40" s="206" t="str">
        <f aca="false">IF(Model!K43=0,"",Model!K43)</f>
        <v/>
      </c>
      <c r="N40" s="206" t="str">
        <f aca="false">IF(Model!L43=0,"",Model!L43)</f>
        <v/>
      </c>
      <c r="O40" s="206" t="str">
        <f aca="false">IF(Model!M43=0,"",Model!M43)</f>
        <v/>
      </c>
      <c r="P40" s="206" t="str">
        <f aca="false">IF(Model!N43=0,"",Model!N43)</f>
        <v/>
      </c>
      <c r="Q40" s="206" t="str">
        <f aca="false">IF(Model!O43=0,"",Model!O43)</f>
        <v/>
      </c>
      <c r="R40" s="206" t="str">
        <f aca="false">IF(Model!P43=0,"",Model!P43)</f>
        <v/>
      </c>
      <c r="S40" s="206" t="str">
        <f aca="false">IF(Model!Q43=0,"",Model!Q43)</f>
        <v/>
      </c>
      <c r="T40" s="206" t="str">
        <f aca="false">IF(Model!R43=0,"",Model!R43)</f>
        <v/>
      </c>
      <c r="U40" s="206" t="str">
        <f aca="false">IF(Model!S43=0,"",Model!S43)</f>
        <v/>
      </c>
      <c r="V40" s="206" t="str">
        <f aca="false">IF(Model!T43=0,"",Model!T43)</f>
        <v/>
      </c>
      <c r="W40" s="206" t="str">
        <f aca="false">IF(Model!U43=0,"",Model!U43)</f>
        <v/>
      </c>
      <c r="X40" s="206" t="str">
        <f aca="false">IF(Model!V43=0,"",Model!V43)</f>
        <v/>
      </c>
      <c r="Y40" s="206" t="str">
        <f aca="false">IF(Model!W43=0,"",Model!W43)</f>
        <v/>
      </c>
      <c r="Z40" s="206" t="str">
        <f aca="false">IF(Model!X43=0,"",Model!X43)</f>
        <v/>
      </c>
      <c r="AA40" s="206" t="str">
        <f aca="false">IF(Model!Y43=0,"",Model!Y43)</f>
        <v/>
      </c>
      <c r="AB40" s="206" t="str">
        <f aca="false">IF(Model!Z43=0,"",Model!Z43)</f>
        <v/>
      </c>
      <c r="AC40" s="206" t="str">
        <f aca="false">IF(Model!AA43=0,"",Model!AA43)</f>
        <v/>
      </c>
      <c r="AD40" s="206" t="str">
        <f aca="false">IF(Model!AB43=0,"",Model!AB43)</f>
        <v/>
      </c>
      <c r="AE40" s="206" t="str">
        <f aca="false">IF(Model!AC43=0,"",Model!AC43)</f>
        <v/>
      </c>
      <c r="AF40" s="206" t="str">
        <f aca="false">IF(Model!AD43=0,"",Model!AD43)</f>
        <v/>
      </c>
      <c r="AG40" s="206" t="str">
        <f aca="false">IF(Model!AE43=0,"",Model!AE43)</f>
        <v/>
      </c>
      <c r="AH40" s="206" t="str">
        <f aca="false">IF(Model!AF43=0,"",Model!AF43)</f>
        <v/>
      </c>
      <c r="AI40" s="206" t="str">
        <f aca="false">IF(Model!AG43=0,"",Model!AG43)</f>
        <v/>
      </c>
      <c r="AJ40" s="206" t="str">
        <f aca="false">IF(Model!AH43=0,"",Model!AH43)</f>
        <v/>
      </c>
      <c r="AK40" s="206" t="str">
        <f aca="false">IF(Model!AI43=0,"",Model!AI43)</f>
        <v/>
      </c>
      <c r="AL40" s="206" t="str">
        <f aca="false">IF(Model!AJ43=0,"",Model!AJ43)</f>
        <v/>
      </c>
      <c r="AM40" s="206" t="str">
        <f aca="false">IF(Model!AK43=0,"",Model!AK43)</f>
        <v/>
      </c>
      <c r="AN40" s="206" t="str">
        <f aca="false">IF(Model!AL43=0,"",Model!AL43)</f>
        <v/>
      </c>
      <c r="AO40" s="206" t="str">
        <f aca="false">IF(Model!AM43=0,"",Model!AM43)</f>
        <v/>
      </c>
      <c r="AP40" s="206" t="str">
        <f aca="false">IF(Model!AN43=0,"",Model!AN43)</f>
        <v/>
      </c>
      <c r="AQ40" s="206" t="str">
        <f aca="false">IF(Model!AO43=0,"",Model!AO43)</f>
        <v/>
      </c>
      <c r="AR40" s="206" t="str">
        <f aca="false">IF(Model!AP43=0,"",Model!AP43)</f>
        <v/>
      </c>
      <c r="AS40" s="206" t="str">
        <f aca="false">IF(Model!AQ43=0,"",Model!AQ43)</f>
        <v/>
      </c>
      <c r="AT40" s="206" t="str">
        <f aca="false">IF(Model!AR43=0,"",Model!AR43)</f>
        <v/>
      </c>
      <c r="AU40" s="206" t="str">
        <f aca="false">IF(Model!AS43=0,"",Model!AS43)</f>
        <v/>
      </c>
      <c r="AV40" s="206" t="str">
        <f aca="false">IF(Model!AT43=0,"",Model!AT43)</f>
        <v/>
      </c>
      <c r="AW40" s="206" t="str">
        <f aca="false">IF(Model!AU43=0,"",Model!AU43)</f>
        <v/>
      </c>
      <c r="AX40" s="206" t="str">
        <f aca="false">IF(Model!AV43=0,"",Model!AV43)</f>
        <v/>
      </c>
      <c r="AY40" s="206" t="str">
        <f aca="false">IF(Model!AW43=0,"",Model!AW43)</f>
        <v/>
      </c>
      <c r="AZ40" s="206" t="str">
        <f aca="false">IF(Model!AX43=0,"",Model!AX43)</f>
        <v/>
      </c>
      <c r="BA40" s="206" t="str">
        <f aca="false">IF(Model!AY43=0,"",Model!AY43)</f>
        <v/>
      </c>
      <c r="BB40" s="206" t="str">
        <f aca="false">IF(Model!AZ43=0,"",Model!AZ43)</f>
        <v/>
      </c>
      <c r="BC40" s="206" t="str">
        <f aca="false">IF(Model!BA43=0,"",Model!BA43)</f>
        <v/>
      </c>
      <c r="BD40" s="206" t="str">
        <f aca="false">IF(Model!BB43=0,"",Model!BB43)</f>
        <v/>
      </c>
      <c r="BE40" s="206" t="str">
        <f aca="false">IF(Model!BC43=0,"",Model!BC43)</f>
        <v/>
      </c>
      <c r="BF40" s="206" t="str">
        <f aca="false">IF(Model!BD43=0,"",Model!BD43)</f>
        <v/>
      </c>
      <c r="BG40" s="206" t="str">
        <f aca="false">IF(Model!BE43=0,"",Model!BE43)</f>
        <v/>
      </c>
      <c r="BH40" s="206" t="str">
        <f aca="false">IF(Model!BF43=0,"",Model!BF43)</f>
        <v/>
      </c>
      <c r="BI40" s="206" t="str">
        <f aca="false">IF(Model!BG43=0,"",Model!BG43)</f>
        <v/>
      </c>
      <c r="BJ40" s="206" t="str">
        <f aca="false">IF(Model!BH43=0,"",Model!BH43)</f>
        <v/>
      </c>
      <c r="BK40" s="206" t="str">
        <f aca="false">IF(Model!BI43=0,"",Model!BI43)</f>
        <v/>
      </c>
      <c r="BL40" s="206" t="str">
        <f aca="false">IF(Model!BJ43=0,"",Model!BJ43)</f>
        <v/>
      </c>
      <c r="BM40" s="206" t="str">
        <f aca="false">IF(Model!BK43=0,"",Model!BK43)</f>
        <v/>
      </c>
      <c r="BN40" s="206" t="str">
        <f aca="false">IF(Model!BL43=0,"",Model!BL43)</f>
        <v/>
      </c>
      <c r="BO40" s="206" t="str">
        <f aca="false">IF(Model!BM43=0,"",Model!BM43)</f>
        <v/>
      </c>
      <c r="BP40" s="206" t="str">
        <f aca="false">IF(Model!BN43=0,"",Model!BN43)</f>
        <v/>
      </c>
      <c r="BQ40" s="206" t="str">
        <f aca="false">IF(Model!BO43=0,"",Model!BO43)</f>
        <v/>
      </c>
      <c r="BR40" s="206" t="str">
        <f aca="false">IF(Model!BP43=0,"",Model!BP43)</f>
        <v/>
      </c>
      <c r="BS40" s="206" t="str">
        <f aca="false">IF(Model!BQ43=0,"",Model!BQ43)</f>
        <v/>
      </c>
      <c r="BT40" s="206" t="str">
        <f aca="false">IF(Model!BR43=0,"",Model!BR43)</f>
        <v/>
      </c>
      <c r="BU40" s="206" t="str">
        <f aca="false">IF(Model!BS43=0,"",Model!BS43)</f>
        <v/>
      </c>
      <c r="BV40" s="206" t="str">
        <f aca="false">IF(Model!BT43=0,"",Model!BT43)</f>
        <v/>
      </c>
      <c r="BW40" s="206" t="str">
        <f aca="false">IF(Model!BU43=0,"",Model!BU43)</f>
        <v/>
      </c>
      <c r="BX40" s="206" t="str">
        <f aca="false">IF(Model!BV43=0,"",Model!BV43)</f>
        <v/>
      </c>
      <c r="BY40" s="206" t="str">
        <f aca="false">IF(Model!BW43=0,"",Model!BW43)</f>
        <v/>
      </c>
      <c r="BZ40" s="206" t="str">
        <f aca="false">IF(Model!BX43=0,"",Model!BX43)</f>
        <v/>
      </c>
      <c r="CA40" s="206" t="str">
        <f aca="false">IF(Model!BY43=0,"",Model!BY43)</f>
        <v/>
      </c>
      <c r="CB40" s="206" t="str">
        <f aca="false">IF(Model!BZ43=0,"",Model!BZ43)</f>
        <v/>
      </c>
      <c r="CC40" s="206" t="str">
        <f aca="false">IF(Model!CA43=0,"",Model!CA43)</f>
        <v/>
      </c>
      <c r="CD40" s="206" t="str">
        <f aca="false">IF(Model!CB43=0,"",Model!CB43)</f>
        <v/>
      </c>
      <c r="CE40" s="206" t="str">
        <f aca="false">IF(Model!CC43=0,"",Model!CC43)</f>
        <v/>
      </c>
      <c r="CF40" s="206" t="str">
        <f aca="false">IF(Model!CD43=0,"",Model!CD43)</f>
        <v/>
      </c>
      <c r="CG40" s="206" t="str">
        <f aca="false">IF(Model!CE43=0,"",Model!CE43)</f>
        <v/>
      </c>
      <c r="CH40" s="206" t="str">
        <f aca="false">IF(Model!CF43=0,"",Model!CF43)</f>
        <v/>
      </c>
      <c r="CI40" s="206" t="str">
        <f aca="false">IF(Model!CG43=0,"",Model!CG43)</f>
        <v/>
      </c>
      <c r="CJ40" s="206" t="str">
        <f aca="false">IF(Model!CH43=0,"",Model!CH43)</f>
        <v/>
      </c>
      <c r="CK40" s="206" t="str">
        <f aca="false">IF(Model!CI43=0,"",Model!CI43)</f>
        <v/>
      </c>
      <c r="CL40" s="206" t="str">
        <f aca="false">IF(Model!CJ43=0,"",Model!CJ43)</f>
        <v/>
      </c>
      <c r="CM40" s="206" t="str">
        <f aca="false">IF(Model!CK43=0,"",Model!CK43)</f>
        <v/>
      </c>
      <c r="CN40" s="206" t="str">
        <f aca="false">IF(Model!CL43=0,"",Model!CL43)</f>
        <v/>
      </c>
      <c r="CO40" s="206" t="str">
        <f aca="false">IF(Model!CM43=0,"",Model!CM43)</f>
        <v/>
      </c>
      <c r="CP40" s="206" t="str">
        <f aca="false">IF(Model!CN43=0,"",Model!CN43)</f>
        <v/>
      </c>
      <c r="CQ40" s="206" t="str">
        <f aca="false">IF(Model!CO43=0,"",Model!CO43)</f>
        <v/>
      </c>
      <c r="CR40" s="206" t="str">
        <f aca="false">IF(Model!CP43=0,"",Model!CP43)</f>
        <v/>
      </c>
      <c r="CS40" s="206" t="str">
        <f aca="false">IF(Model!CQ43=0,"",Model!CQ43)</f>
        <v/>
      </c>
      <c r="CT40" s="206" t="str">
        <f aca="false">IF(Model!CR43=0,"",Model!CR43)</f>
        <v/>
      </c>
      <c r="CU40" s="206" t="str">
        <f aca="false">IF(Model!CS43=0,"",Model!CS43)</f>
        <v/>
      </c>
      <c r="CV40" s="206" t="str">
        <f aca="false">IF(Model!CT43=0,"",Model!CT43)</f>
        <v/>
      </c>
      <c r="CW40" s="206" t="str">
        <f aca="false">IF(Model!CU43=0,"",Model!CU43)</f>
        <v/>
      </c>
      <c r="CX40" s="206" t="str">
        <f aca="false">IF(Model!CV43=0,"",Model!CV43)</f>
        <v/>
      </c>
      <c r="CY40" s="206" t="str">
        <f aca="false">IF(Model!CW43=0,"",Model!CW43)</f>
        <v/>
      </c>
      <c r="CZ40" s="206" t="str">
        <f aca="false">IF(Model!CX43=0,"",Model!CX43)</f>
        <v/>
      </c>
      <c r="DA40" s="206" t="str">
        <f aca="false">IF(Model!CY43=0,"",Model!CY43)</f>
        <v/>
      </c>
      <c r="DB40" s="206" t="str">
        <f aca="false">IF(Model!CZ43=0,"",Model!CZ43)</f>
        <v/>
      </c>
    </row>
    <row r="41" customFormat="false" ht="15" hidden="false" customHeight="true" outlineLevel="0" collapsed="false">
      <c r="A41" s="123" t="s">
        <v>38</v>
      </c>
      <c r="B41" s="203" t="n">
        <f aca="false">Projects!$B$35</f>
        <v>15000000</v>
      </c>
      <c r="C41" s="204" t="n">
        <f aca="false">EDATE(Model!$E$2,Projects!$C$35-1)</f>
        <v>47908</v>
      </c>
      <c r="D41" s="204" t="n">
        <f aca="false">EDATE(Model!$E$2,Projects!$C$35+Projects!$D$35-2)</f>
        <v>48458</v>
      </c>
      <c r="E41" s="205" t="n">
        <f aca="false">Projects!$D$35</f>
        <v>19</v>
      </c>
      <c r="F41" s="203" t="n">
        <f aca="false">SUM(G41:DB41)</f>
        <v>0</v>
      </c>
      <c r="G41" s="206" t="str">
        <f aca="false">IF(Model!E44=0,"",Model!E44)</f>
        <v/>
      </c>
      <c r="H41" s="206" t="str">
        <f aca="false">IF(Model!F44=0,"",Model!F44)</f>
        <v/>
      </c>
      <c r="I41" s="206" t="str">
        <f aca="false">IF(Model!G44=0,"",Model!G44)</f>
        <v/>
      </c>
      <c r="J41" s="206" t="str">
        <f aca="false">IF(Model!H44=0,"",Model!H44)</f>
        <v/>
      </c>
      <c r="K41" s="206" t="str">
        <f aca="false">IF(Model!I44=0,"",Model!I44)</f>
        <v/>
      </c>
      <c r="L41" s="206" t="str">
        <f aca="false">IF(Model!J44=0,"",Model!J44)</f>
        <v/>
      </c>
      <c r="M41" s="206" t="str">
        <f aca="false">IF(Model!K44=0,"",Model!K44)</f>
        <v/>
      </c>
      <c r="N41" s="206" t="str">
        <f aca="false">IF(Model!L44=0,"",Model!L44)</f>
        <v/>
      </c>
      <c r="O41" s="206" t="str">
        <f aca="false">IF(Model!M44=0,"",Model!M44)</f>
        <v/>
      </c>
      <c r="P41" s="206" t="str">
        <f aca="false">IF(Model!N44=0,"",Model!N44)</f>
        <v/>
      </c>
      <c r="Q41" s="206" t="str">
        <f aca="false">IF(Model!O44=0,"",Model!O44)</f>
        <v/>
      </c>
      <c r="R41" s="206" t="str">
        <f aca="false">IF(Model!P44=0,"",Model!P44)</f>
        <v/>
      </c>
      <c r="S41" s="206" t="str">
        <f aca="false">IF(Model!Q44=0,"",Model!Q44)</f>
        <v/>
      </c>
      <c r="T41" s="206" t="str">
        <f aca="false">IF(Model!R44=0,"",Model!R44)</f>
        <v/>
      </c>
      <c r="U41" s="206" t="str">
        <f aca="false">IF(Model!S44=0,"",Model!S44)</f>
        <v/>
      </c>
      <c r="V41" s="206" t="str">
        <f aca="false">IF(Model!T44=0,"",Model!T44)</f>
        <v/>
      </c>
      <c r="W41" s="206" t="str">
        <f aca="false">IF(Model!U44=0,"",Model!U44)</f>
        <v/>
      </c>
      <c r="X41" s="206" t="str">
        <f aca="false">IF(Model!V44=0,"",Model!V44)</f>
        <v/>
      </c>
      <c r="Y41" s="206" t="str">
        <f aca="false">IF(Model!W44=0,"",Model!W44)</f>
        <v/>
      </c>
      <c r="Z41" s="206" t="str">
        <f aca="false">IF(Model!X44=0,"",Model!X44)</f>
        <v/>
      </c>
      <c r="AA41" s="206" t="str">
        <f aca="false">IF(Model!Y44=0,"",Model!Y44)</f>
        <v/>
      </c>
      <c r="AB41" s="206" t="str">
        <f aca="false">IF(Model!Z44=0,"",Model!Z44)</f>
        <v/>
      </c>
      <c r="AC41" s="206" t="str">
        <f aca="false">IF(Model!AA44=0,"",Model!AA44)</f>
        <v/>
      </c>
      <c r="AD41" s="206" t="str">
        <f aca="false">IF(Model!AB44=0,"",Model!AB44)</f>
        <v/>
      </c>
      <c r="AE41" s="206" t="str">
        <f aca="false">IF(Model!AC44=0,"",Model!AC44)</f>
        <v/>
      </c>
      <c r="AF41" s="206" t="str">
        <f aca="false">IF(Model!AD44=0,"",Model!AD44)</f>
        <v/>
      </c>
      <c r="AG41" s="206" t="str">
        <f aca="false">IF(Model!AE44=0,"",Model!AE44)</f>
        <v/>
      </c>
      <c r="AH41" s="206" t="str">
        <f aca="false">IF(Model!AF44=0,"",Model!AF44)</f>
        <v/>
      </c>
      <c r="AI41" s="206" t="str">
        <f aca="false">IF(Model!AG44=0,"",Model!AG44)</f>
        <v/>
      </c>
      <c r="AJ41" s="206" t="str">
        <f aca="false">IF(Model!AH44=0,"",Model!AH44)</f>
        <v/>
      </c>
      <c r="AK41" s="206" t="str">
        <f aca="false">IF(Model!AI44=0,"",Model!AI44)</f>
        <v/>
      </c>
      <c r="AL41" s="206" t="str">
        <f aca="false">IF(Model!AJ44=0,"",Model!AJ44)</f>
        <v/>
      </c>
      <c r="AM41" s="206" t="str">
        <f aca="false">IF(Model!AK44=0,"",Model!AK44)</f>
        <v/>
      </c>
      <c r="AN41" s="206" t="str">
        <f aca="false">IF(Model!AL44=0,"",Model!AL44)</f>
        <v/>
      </c>
      <c r="AO41" s="206" t="str">
        <f aca="false">IF(Model!AM44=0,"",Model!AM44)</f>
        <v/>
      </c>
      <c r="AP41" s="206" t="str">
        <f aca="false">IF(Model!AN44=0,"",Model!AN44)</f>
        <v/>
      </c>
      <c r="AQ41" s="206" t="str">
        <f aca="false">IF(Model!AO44=0,"",Model!AO44)</f>
        <v/>
      </c>
      <c r="AR41" s="206" t="str">
        <f aca="false">IF(Model!AP44=0,"",Model!AP44)</f>
        <v/>
      </c>
      <c r="AS41" s="206" t="str">
        <f aca="false">IF(Model!AQ44=0,"",Model!AQ44)</f>
        <v/>
      </c>
      <c r="AT41" s="206" t="str">
        <f aca="false">IF(Model!AR44=0,"",Model!AR44)</f>
        <v/>
      </c>
      <c r="AU41" s="206" t="str">
        <f aca="false">IF(Model!AS44=0,"",Model!AS44)</f>
        <v/>
      </c>
      <c r="AV41" s="206" t="str">
        <f aca="false">IF(Model!AT44=0,"",Model!AT44)</f>
        <v/>
      </c>
      <c r="AW41" s="206" t="str">
        <f aca="false">IF(Model!AU44=0,"",Model!AU44)</f>
        <v/>
      </c>
      <c r="AX41" s="206" t="str">
        <f aca="false">IF(Model!AV44=0,"",Model!AV44)</f>
        <v/>
      </c>
      <c r="AY41" s="206" t="str">
        <f aca="false">IF(Model!AW44=0,"",Model!AW44)</f>
        <v/>
      </c>
      <c r="AZ41" s="206" t="str">
        <f aca="false">IF(Model!AX44=0,"",Model!AX44)</f>
        <v/>
      </c>
      <c r="BA41" s="206" t="str">
        <f aca="false">IF(Model!AY44=0,"",Model!AY44)</f>
        <v/>
      </c>
      <c r="BB41" s="206" t="str">
        <f aca="false">IF(Model!AZ44=0,"",Model!AZ44)</f>
        <v/>
      </c>
      <c r="BC41" s="206" t="str">
        <f aca="false">IF(Model!BA44=0,"",Model!BA44)</f>
        <v/>
      </c>
      <c r="BD41" s="206" t="str">
        <f aca="false">IF(Model!BB44=0,"",Model!BB44)</f>
        <v/>
      </c>
      <c r="BE41" s="206" t="str">
        <f aca="false">IF(Model!BC44=0,"",Model!BC44)</f>
        <v/>
      </c>
      <c r="BF41" s="206" t="str">
        <f aca="false">IF(Model!BD44=0,"",Model!BD44)</f>
        <v/>
      </c>
      <c r="BG41" s="206" t="str">
        <f aca="false">IF(Model!BE44=0,"",Model!BE44)</f>
        <v/>
      </c>
      <c r="BH41" s="206" t="str">
        <f aca="false">IF(Model!BF44=0,"",Model!BF44)</f>
        <v/>
      </c>
      <c r="BI41" s="206" t="str">
        <f aca="false">IF(Model!BG44=0,"",Model!BG44)</f>
        <v/>
      </c>
      <c r="BJ41" s="206" t="str">
        <f aca="false">IF(Model!BH44=0,"",Model!BH44)</f>
        <v/>
      </c>
      <c r="BK41" s="206" t="str">
        <f aca="false">IF(Model!BI44=0,"",Model!BI44)</f>
        <v/>
      </c>
      <c r="BL41" s="206" t="str">
        <f aca="false">IF(Model!BJ44=0,"",Model!BJ44)</f>
        <v/>
      </c>
      <c r="BM41" s="206" t="str">
        <f aca="false">IF(Model!BK44=0,"",Model!BK44)</f>
        <v/>
      </c>
      <c r="BN41" s="206" t="str">
        <f aca="false">IF(Model!BL44=0,"",Model!BL44)</f>
        <v/>
      </c>
      <c r="BO41" s="206" t="str">
        <f aca="false">IF(Model!BM44=0,"",Model!BM44)</f>
        <v/>
      </c>
      <c r="BP41" s="206" t="str">
        <f aca="false">IF(Model!BN44=0,"",Model!BN44)</f>
        <v/>
      </c>
      <c r="BQ41" s="206" t="str">
        <f aca="false">IF(Model!BO44=0,"",Model!BO44)</f>
        <v/>
      </c>
      <c r="BR41" s="206" t="str">
        <f aca="false">IF(Model!BP44=0,"",Model!BP44)</f>
        <v/>
      </c>
      <c r="BS41" s="206" t="str">
        <f aca="false">IF(Model!BQ44=0,"",Model!BQ44)</f>
        <v/>
      </c>
      <c r="BT41" s="206" t="str">
        <f aca="false">IF(Model!BR44=0,"",Model!BR44)</f>
        <v/>
      </c>
      <c r="BU41" s="206" t="str">
        <f aca="false">IF(Model!BS44=0,"",Model!BS44)</f>
        <v/>
      </c>
      <c r="BV41" s="206" t="str">
        <f aca="false">IF(Model!BT44=0,"",Model!BT44)</f>
        <v/>
      </c>
      <c r="BW41" s="206" t="str">
        <f aca="false">IF(Model!BU44=0,"",Model!BU44)</f>
        <v/>
      </c>
      <c r="BX41" s="206" t="str">
        <f aca="false">IF(Model!BV44=0,"",Model!BV44)</f>
        <v/>
      </c>
      <c r="BY41" s="206" t="str">
        <f aca="false">IF(Model!BW44=0,"",Model!BW44)</f>
        <v/>
      </c>
      <c r="BZ41" s="206" t="str">
        <f aca="false">IF(Model!BX44=0,"",Model!BX44)</f>
        <v/>
      </c>
      <c r="CA41" s="206" t="str">
        <f aca="false">IF(Model!BY44=0,"",Model!BY44)</f>
        <v/>
      </c>
      <c r="CB41" s="206" t="str">
        <f aca="false">IF(Model!BZ44=0,"",Model!BZ44)</f>
        <v/>
      </c>
      <c r="CC41" s="206" t="str">
        <f aca="false">IF(Model!CA44=0,"",Model!CA44)</f>
        <v/>
      </c>
      <c r="CD41" s="206" t="str">
        <f aca="false">IF(Model!CB44=0,"",Model!CB44)</f>
        <v/>
      </c>
      <c r="CE41" s="206" t="str">
        <f aca="false">IF(Model!CC44=0,"",Model!CC44)</f>
        <v/>
      </c>
      <c r="CF41" s="206" t="str">
        <f aca="false">IF(Model!CD44=0,"",Model!CD44)</f>
        <v/>
      </c>
      <c r="CG41" s="206" t="str">
        <f aca="false">IF(Model!CE44=0,"",Model!CE44)</f>
        <v/>
      </c>
      <c r="CH41" s="206" t="str">
        <f aca="false">IF(Model!CF44=0,"",Model!CF44)</f>
        <v/>
      </c>
      <c r="CI41" s="206" t="str">
        <f aca="false">IF(Model!CG44=0,"",Model!CG44)</f>
        <v/>
      </c>
      <c r="CJ41" s="206" t="str">
        <f aca="false">IF(Model!CH44=0,"",Model!CH44)</f>
        <v/>
      </c>
      <c r="CK41" s="206" t="str">
        <f aca="false">IF(Model!CI44=0,"",Model!CI44)</f>
        <v/>
      </c>
      <c r="CL41" s="206" t="str">
        <f aca="false">IF(Model!CJ44=0,"",Model!CJ44)</f>
        <v/>
      </c>
      <c r="CM41" s="206" t="str">
        <f aca="false">IF(Model!CK44=0,"",Model!CK44)</f>
        <v/>
      </c>
      <c r="CN41" s="206" t="str">
        <f aca="false">IF(Model!CL44=0,"",Model!CL44)</f>
        <v/>
      </c>
      <c r="CO41" s="206" t="str">
        <f aca="false">IF(Model!CM44=0,"",Model!CM44)</f>
        <v/>
      </c>
      <c r="CP41" s="206" t="str">
        <f aca="false">IF(Model!CN44=0,"",Model!CN44)</f>
        <v/>
      </c>
      <c r="CQ41" s="206" t="str">
        <f aca="false">IF(Model!CO44=0,"",Model!CO44)</f>
        <v/>
      </c>
      <c r="CR41" s="206" t="str">
        <f aca="false">IF(Model!CP44=0,"",Model!CP44)</f>
        <v/>
      </c>
      <c r="CS41" s="206" t="str">
        <f aca="false">IF(Model!CQ44=0,"",Model!CQ44)</f>
        <v/>
      </c>
      <c r="CT41" s="206" t="str">
        <f aca="false">IF(Model!CR44=0,"",Model!CR44)</f>
        <v/>
      </c>
      <c r="CU41" s="206" t="str">
        <f aca="false">IF(Model!CS44=0,"",Model!CS44)</f>
        <v/>
      </c>
      <c r="CV41" s="206" t="str">
        <f aca="false">IF(Model!CT44=0,"",Model!CT44)</f>
        <v/>
      </c>
      <c r="CW41" s="206" t="str">
        <f aca="false">IF(Model!CU44=0,"",Model!CU44)</f>
        <v/>
      </c>
      <c r="CX41" s="206" t="str">
        <f aca="false">IF(Model!CV44=0,"",Model!CV44)</f>
        <v/>
      </c>
      <c r="CY41" s="206" t="str">
        <f aca="false">IF(Model!CW44=0,"",Model!CW44)</f>
        <v/>
      </c>
      <c r="CZ41" s="206" t="str">
        <f aca="false">IF(Model!CX44=0,"",Model!CX44)</f>
        <v/>
      </c>
      <c r="DA41" s="206" t="str">
        <f aca="false">IF(Model!CY44=0,"",Model!CY44)</f>
        <v/>
      </c>
      <c r="DB41" s="206" t="str">
        <f aca="false">IF(Model!CZ44=0,"",Model!CZ44)</f>
        <v/>
      </c>
    </row>
    <row r="42" customFormat="false" ht="15" hidden="false" customHeight="true" outlineLevel="0" collapsed="false">
      <c r="A42" s="123" t="s">
        <v>39</v>
      </c>
      <c r="B42" s="203" t="n">
        <f aca="false">Projects!$B$36</f>
        <v>18000000</v>
      </c>
      <c r="C42" s="204" t="n">
        <f aca="false">EDATE(Model!$E$2,Projects!$C$36-1)</f>
        <v>47969</v>
      </c>
      <c r="D42" s="204" t="n">
        <f aca="false">EDATE(Model!$E$2,Projects!$C$36+Projects!$D$36-2)</f>
        <v>48519</v>
      </c>
      <c r="E42" s="205" t="n">
        <f aca="false">Projects!$D$36</f>
        <v>19</v>
      </c>
      <c r="F42" s="203" t="n">
        <f aca="false">SUM(G42:DB42)</f>
        <v>0</v>
      </c>
      <c r="G42" s="206" t="str">
        <f aca="false">IF(Model!E45=0,"",Model!E45)</f>
        <v/>
      </c>
      <c r="H42" s="206" t="str">
        <f aca="false">IF(Model!F45=0,"",Model!F45)</f>
        <v/>
      </c>
      <c r="I42" s="206" t="str">
        <f aca="false">IF(Model!G45=0,"",Model!G45)</f>
        <v/>
      </c>
      <c r="J42" s="206" t="str">
        <f aca="false">IF(Model!H45=0,"",Model!H45)</f>
        <v/>
      </c>
      <c r="K42" s="206" t="str">
        <f aca="false">IF(Model!I45=0,"",Model!I45)</f>
        <v/>
      </c>
      <c r="L42" s="206" t="str">
        <f aca="false">IF(Model!J45=0,"",Model!J45)</f>
        <v/>
      </c>
      <c r="M42" s="206" t="str">
        <f aca="false">IF(Model!K45=0,"",Model!K45)</f>
        <v/>
      </c>
      <c r="N42" s="206" t="str">
        <f aca="false">IF(Model!L45=0,"",Model!L45)</f>
        <v/>
      </c>
      <c r="O42" s="206" t="str">
        <f aca="false">IF(Model!M45=0,"",Model!M45)</f>
        <v/>
      </c>
      <c r="P42" s="206" t="str">
        <f aca="false">IF(Model!N45=0,"",Model!N45)</f>
        <v/>
      </c>
      <c r="Q42" s="206" t="str">
        <f aca="false">IF(Model!O45=0,"",Model!O45)</f>
        <v/>
      </c>
      <c r="R42" s="206" t="str">
        <f aca="false">IF(Model!P45=0,"",Model!P45)</f>
        <v/>
      </c>
      <c r="S42" s="206" t="str">
        <f aca="false">IF(Model!Q45=0,"",Model!Q45)</f>
        <v/>
      </c>
      <c r="T42" s="206" t="str">
        <f aca="false">IF(Model!R45=0,"",Model!R45)</f>
        <v/>
      </c>
      <c r="U42" s="206" t="str">
        <f aca="false">IF(Model!S45=0,"",Model!S45)</f>
        <v/>
      </c>
      <c r="V42" s="206" t="str">
        <f aca="false">IF(Model!T45=0,"",Model!T45)</f>
        <v/>
      </c>
      <c r="W42" s="206" t="str">
        <f aca="false">IF(Model!U45=0,"",Model!U45)</f>
        <v/>
      </c>
      <c r="X42" s="206" t="str">
        <f aca="false">IF(Model!V45=0,"",Model!V45)</f>
        <v/>
      </c>
      <c r="Y42" s="206" t="str">
        <f aca="false">IF(Model!W45=0,"",Model!W45)</f>
        <v/>
      </c>
      <c r="Z42" s="206" t="str">
        <f aca="false">IF(Model!X45=0,"",Model!X45)</f>
        <v/>
      </c>
      <c r="AA42" s="206" t="str">
        <f aca="false">IF(Model!Y45=0,"",Model!Y45)</f>
        <v/>
      </c>
      <c r="AB42" s="206" t="str">
        <f aca="false">IF(Model!Z45=0,"",Model!Z45)</f>
        <v/>
      </c>
      <c r="AC42" s="206" t="str">
        <f aca="false">IF(Model!AA45=0,"",Model!AA45)</f>
        <v/>
      </c>
      <c r="AD42" s="206" t="str">
        <f aca="false">IF(Model!AB45=0,"",Model!AB45)</f>
        <v/>
      </c>
      <c r="AE42" s="206" t="str">
        <f aca="false">IF(Model!AC45=0,"",Model!AC45)</f>
        <v/>
      </c>
      <c r="AF42" s="206" t="str">
        <f aca="false">IF(Model!AD45=0,"",Model!AD45)</f>
        <v/>
      </c>
      <c r="AG42" s="206" t="str">
        <f aca="false">IF(Model!AE45=0,"",Model!AE45)</f>
        <v/>
      </c>
      <c r="AH42" s="206" t="str">
        <f aca="false">IF(Model!AF45=0,"",Model!AF45)</f>
        <v/>
      </c>
      <c r="AI42" s="206" t="str">
        <f aca="false">IF(Model!AG45=0,"",Model!AG45)</f>
        <v/>
      </c>
      <c r="AJ42" s="206" t="str">
        <f aca="false">IF(Model!AH45=0,"",Model!AH45)</f>
        <v/>
      </c>
      <c r="AK42" s="206" t="str">
        <f aca="false">IF(Model!AI45=0,"",Model!AI45)</f>
        <v/>
      </c>
      <c r="AL42" s="206" t="str">
        <f aca="false">IF(Model!AJ45=0,"",Model!AJ45)</f>
        <v/>
      </c>
      <c r="AM42" s="206" t="str">
        <f aca="false">IF(Model!AK45=0,"",Model!AK45)</f>
        <v/>
      </c>
      <c r="AN42" s="206" t="str">
        <f aca="false">IF(Model!AL45=0,"",Model!AL45)</f>
        <v/>
      </c>
      <c r="AO42" s="206" t="str">
        <f aca="false">IF(Model!AM45=0,"",Model!AM45)</f>
        <v/>
      </c>
      <c r="AP42" s="206" t="str">
        <f aca="false">IF(Model!AN45=0,"",Model!AN45)</f>
        <v/>
      </c>
      <c r="AQ42" s="206" t="str">
        <f aca="false">IF(Model!AO45=0,"",Model!AO45)</f>
        <v/>
      </c>
      <c r="AR42" s="206" t="str">
        <f aca="false">IF(Model!AP45=0,"",Model!AP45)</f>
        <v/>
      </c>
      <c r="AS42" s="206" t="str">
        <f aca="false">IF(Model!AQ45=0,"",Model!AQ45)</f>
        <v/>
      </c>
      <c r="AT42" s="206" t="str">
        <f aca="false">IF(Model!AR45=0,"",Model!AR45)</f>
        <v/>
      </c>
      <c r="AU42" s="206" t="str">
        <f aca="false">IF(Model!AS45=0,"",Model!AS45)</f>
        <v/>
      </c>
      <c r="AV42" s="206" t="str">
        <f aca="false">IF(Model!AT45=0,"",Model!AT45)</f>
        <v/>
      </c>
      <c r="AW42" s="206" t="str">
        <f aca="false">IF(Model!AU45=0,"",Model!AU45)</f>
        <v/>
      </c>
      <c r="AX42" s="206" t="str">
        <f aca="false">IF(Model!AV45=0,"",Model!AV45)</f>
        <v/>
      </c>
      <c r="AY42" s="206" t="str">
        <f aca="false">IF(Model!AW45=0,"",Model!AW45)</f>
        <v/>
      </c>
      <c r="AZ42" s="206" t="str">
        <f aca="false">IF(Model!AX45=0,"",Model!AX45)</f>
        <v/>
      </c>
      <c r="BA42" s="206" t="str">
        <f aca="false">IF(Model!AY45=0,"",Model!AY45)</f>
        <v/>
      </c>
      <c r="BB42" s="206" t="str">
        <f aca="false">IF(Model!AZ45=0,"",Model!AZ45)</f>
        <v/>
      </c>
      <c r="BC42" s="206" t="str">
        <f aca="false">IF(Model!BA45=0,"",Model!BA45)</f>
        <v/>
      </c>
      <c r="BD42" s="206" t="str">
        <f aca="false">IF(Model!BB45=0,"",Model!BB45)</f>
        <v/>
      </c>
      <c r="BE42" s="206" t="str">
        <f aca="false">IF(Model!BC45=0,"",Model!BC45)</f>
        <v/>
      </c>
      <c r="BF42" s="206" t="str">
        <f aca="false">IF(Model!BD45=0,"",Model!BD45)</f>
        <v/>
      </c>
      <c r="BG42" s="206" t="str">
        <f aca="false">IF(Model!BE45=0,"",Model!BE45)</f>
        <v/>
      </c>
      <c r="BH42" s="206" t="str">
        <f aca="false">IF(Model!BF45=0,"",Model!BF45)</f>
        <v/>
      </c>
      <c r="BI42" s="206" t="str">
        <f aca="false">IF(Model!BG45=0,"",Model!BG45)</f>
        <v/>
      </c>
      <c r="BJ42" s="206" t="str">
        <f aca="false">IF(Model!BH45=0,"",Model!BH45)</f>
        <v/>
      </c>
      <c r="BK42" s="206" t="str">
        <f aca="false">IF(Model!BI45=0,"",Model!BI45)</f>
        <v/>
      </c>
      <c r="BL42" s="206" t="str">
        <f aca="false">IF(Model!BJ45=0,"",Model!BJ45)</f>
        <v/>
      </c>
      <c r="BM42" s="206" t="str">
        <f aca="false">IF(Model!BK45=0,"",Model!BK45)</f>
        <v/>
      </c>
      <c r="BN42" s="206" t="str">
        <f aca="false">IF(Model!BL45=0,"",Model!BL45)</f>
        <v/>
      </c>
      <c r="BO42" s="206" t="str">
        <f aca="false">IF(Model!BM45=0,"",Model!BM45)</f>
        <v/>
      </c>
      <c r="BP42" s="206" t="str">
        <f aca="false">IF(Model!BN45=0,"",Model!BN45)</f>
        <v/>
      </c>
      <c r="BQ42" s="206" t="str">
        <f aca="false">IF(Model!BO45=0,"",Model!BO45)</f>
        <v/>
      </c>
      <c r="BR42" s="206" t="str">
        <f aca="false">IF(Model!BP45=0,"",Model!BP45)</f>
        <v/>
      </c>
      <c r="BS42" s="206" t="str">
        <f aca="false">IF(Model!BQ45=0,"",Model!BQ45)</f>
        <v/>
      </c>
      <c r="BT42" s="206" t="str">
        <f aca="false">IF(Model!BR45=0,"",Model!BR45)</f>
        <v/>
      </c>
      <c r="BU42" s="206" t="str">
        <f aca="false">IF(Model!BS45=0,"",Model!BS45)</f>
        <v/>
      </c>
      <c r="BV42" s="206" t="str">
        <f aca="false">IF(Model!BT45=0,"",Model!BT45)</f>
        <v/>
      </c>
      <c r="BW42" s="206" t="str">
        <f aca="false">IF(Model!BU45=0,"",Model!BU45)</f>
        <v/>
      </c>
      <c r="BX42" s="206" t="str">
        <f aca="false">IF(Model!BV45=0,"",Model!BV45)</f>
        <v/>
      </c>
      <c r="BY42" s="206" t="str">
        <f aca="false">IF(Model!BW45=0,"",Model!BW45)</f>
        <v/>
      </c>
      <c r="BZ42" s="206" t="str">
        <f aca="false">IF(Model!BX45=0,"",Model!BX45)</f>
        <v/>
      </c>
      <c r="CA42" s="206" t="str">
        <f aca="false">IF(Model!BY45=0,"",Model!BY45)</f>
        <v/>
      </c>
      <c r="CB42" s="206" t="str">
        <f aca="false">IF(Model!BZ45=0,"",Model!BZ45)</f>
        <v/>
      </c>
      <c r="CC42" s="206" t="str">
        <f aca="false">IF(Model!CA45=0,"",Model!CA45)</f>
        <v/>
      </c>
      <c r="CD42" s="206" t="str">
        <f aca="false">IF(Model!CB45=0,"",Model!CB45)</f>
        <v/>
      </c>
      <c r="CE42" s="206" t="str">
        <f aca="false">IF(Model!CC45=0,"",Model!CC45)</f>
        <v/>
      </c>
      <c r="CF42" s="206" t="str">
        <f aca="false">IF(Model!CD45=0,"",Model!CD45)</f>
        <v/>
      </c>
      <c r="CG42" s="206" t="str">
        <f aca="false">IF(Model!CE45=0,"",Model!CE45)</f>
        <v/>
      </c>
      <c r="CH42" s="206" t="str">
        <f aca="false">IF(Model!CF45=0,"",Model!CF45)</f>
        <v/>
      </c>
      <c r="CI42" s="206" t="str">
        <f aca="false">IF(Model!CG45=0,"",Model!CG45)</f>
        <v/>
      </c>
      <c r="CJ42" s="206" t="str">
        <f aca="false">IF(Model!CH45=0,"",Model!CH45)</f>
        <v/>
      </c>
      <c r="CK42" s="206" t="str">
        <f aca="false">IF(Model!CI45=0,"",Model!CI45)</f>
        <v/>
      </c>
      <c r="CL42" s="206" t="str">
        <f aca="false">IF(Model!CJ45=0,"",Model!CJ45)</f>
        <v/>
      </c>
      <c r="CM42" s="206" t="str">
        <f aca="false">IF(Model!CK45=0,"",Model!CK45)</f>
        <v/>
      </c>
      <c r="CN42" s="206" t="str">
        <f aca="false">IF(Model!CL45=0,"",Model!CL45)</f>
        <v/>
      </c>
      <c r="CO42" s="206" t="str">
        <f aca="false">IF(Model!CM45=0,"",Model!CM45)</f>
        <v/>
      </c>
      <c r="CP42" s="206" t="str">
        <f aca="false">IF(Model!CN45=0,"",Model!CN45)</f>
        <v/>
      </c>
      <c r="CQ42" s="206" t="str">
        <f aca="false">IF(Model!CO45=0,"",Model!CO45)</f>
        <v/>
      </c>
      <c r="CR42" s="206" t="str">
        <f aca="false">IF(Model!CP45=0,"",Model!CP45)</f>
        <v/>
      </c>
      <c r="CS42" s="206" t="str">
        <f aca="false">IF(Model!CQ45=0,"",Model!CQ45)</f>
        <v/>
      </c>
      <c r="CT42" s="206" t="str">
        <f aca="false">IF(Model!CR45=0,"",Model!CR45)</f>
        <v/>
      </c>
      <c r="CU42" s="206" t="str">
        <f aca="false">IF(Model!CS45=0,"",Model!CS45)</f>
        <v/>
      </c>
      <c r="CV42" s="206" t="str">
        <f aca="false">IF(Model!CT45=0,"",Model!CT45)</f>
        <v/>
      </c>
      <c r="CW42" s="206" t="str">
        <f aca="false">IF(Model!CU45=0,"",Model!CU45)</f>
        <v/>
      </c>
      <c r="CX42" s="206" t="str">
        <f aca="false">IF(Model!CV45=0,"",Model!CV45)</f>
        <v/>
      </c>
      <c r="CY42" s="206" t="str">
        <f aca="false">IF(Model!CW45=0,"",Model!CW45)</f>
        <v/>
      </c>
      <c r="CZ42" s="206" t="str">
        <f aca="false">IF(Model!CX45=0,"",Model!CX45)</f>
        <v/>
      </c>
      <c r="DA42" s="206" t="str">
        <f aca="false">IF(Model!CY45=0,"",Model!CY45)</f>
        <v/>
      </c>
      <c r="DB42" s="206" t="str">
        <f aca="false">IF(Model!CZ45=0,"",Model!CZ45)</f>
        <v/>
      </c>
    </row>
    <row r="43" customFormat="false" ht="15" hidden="false" customHeight="true" outlineLevel="0" collapsed="false">
      <c r="A43" s="123" t="s">
        <v>40</v>
      </c>
      <c r="B43" s="203" t="n">
        <f aca="false">Projects!$B$37</f>
        <v>15000000</v>
      </c>
      <c r="C43" s="204" t="n">
        <f aca="false">EDATE(Model!$E$2,Projects!$C$37-1)</f>
        <v>48030</v>
      </c>
      <c r="D43" s="204" t="n">
        <f aca="false">EDATE(Model!$E$2,Projects!$C$37+Projects!$D$37-2)</f>
        <v>48580</v>
      </c>
      <c r="E43" s="205" t="n">
        <f aca="false">Projects!$D$37</f>
        <v>19</v>
      </c>
      <c r="F43" s="203" t="n">
        <f aca="false">SUM(G43:DB43)</f>
        <v>0</v>
      </c>
      <c r="G43" s="206" t="str">
        <f aca="false">IF(Model!E46=0,"",Model!E46)</f>
        <v/>
      </c>
      <c r="H43" s="206" t="str">
        <f aca="false">IF(Model!F46=0,"",Model!F46)</f>
        <v/>
      </c>
      <c r="I43" s="206" t="str">
        <f aca="false">IF(Model!G46=0,"",Model!G46)</f>
        <v/>
      </c>
      <c r="J43" s="206" t="str">
        <f aca="false">IF(Model!H46=0,"",Model!H46)</f>
        <v/>
      </c>
      <c r="K43" s="206" t="str">
        <f aca="false">IF(Model!I46=0,"",Model!I46)</f>
        <v/>
      </c>
      <c r="L43" s="206" t="str">
        <f aca="false">IF(Model!J46=0,"",Model!J46)</f>
        <v/>
      </c>
      <c r="M43" s="206" t="str">
        <f aca="false">IF(Model!K46=0,"",Model!K46)</f>
        <v/>
      </c>
      <c r="N43" s="206" t="str">
        <f aca="false">IF(Model!L46=0,"",Model!L46)</f>
        <v/>
      </c>
      <c r="O43" s="206" t="str">
        <f aca="false">IF(Model!M46=0,"",Model!M46)</f>
        <v/>
      </c>
      <c r="P43" s="206" t="str">
        <f aca="false">IF(Model!N46=0,"",Model!N46)</f>
        <v/>
      </c>
      <c r="Q43" s="206" t="str">
        <f aca="false">IF(Model!O46=0,"",Model!O46)</f>
        <v/>
      </c>
      <c r="R43" s="206" t="str">
        <f aca="false">IF(Model!P46=0,"",Model!P46)</f>
        <v/>
      </c>
      <c r="S43" s="206" t="str">
        <f aca="false">IF(Model!Q46=0,"",Model!Q46)</f>
        <v/>
      </c>
      <c r="T43" s="206" t="str">
        <f aca="false">IF(Model!R46=0,"",Model!R46)</f>
        <v/>
      </c>
      <c r="U43" s="206" t="str">
        <f aca="false">IF(Model!S46=0,"",Model!S46)</f>
        <v/>
      </c>
      <c r="V43" s="206" t="str">
        <f aca="false">IF(Model!T46=0,"",Model!T46)</f>
        <v/>
      </c>
      <c r="W43" s="206" t="str">
        <f aca="false">IF(Model!U46=0,"",Model!U46)</f>
        <v/>
      </c>
      <c r="X43" s="206" t="str">
        <f aca="false">IF(Model!V46=0,"",Model!V46)</f>
        <v/>
      </c>
      <c r="Y43" s="206" t="str">
        <f aca="false">IF(Model!W46=0,"",Model!W46)</f>
        <v/>
      </c>
      <c r="Z43" s="206" t="str">
        <f aca="false">IF(Model!X46=0,"",Model!X46)</f>
        <v/>
      </c>
      <c r="AA43" s="206" t="str">
        <f aca="false">IF(Model!Y46=0,"",Model!Y46)</f>
        <v/>
      </c>
      <c r="AB43" s="206" t="str">
        <f aca="false">IF(Model!Z46=0,"",Model!Z46)</f>
        <v/>
      </c>
      <c r="AC43" s="206" t="str">
        <f aca="false">IF(Model!AA46=0,"",Model!AA46)</f>
        <v/>
      </c>
      <c r="AD43" s="206" t="str">
        <f aca="false">IF(Model!AB46=0,"",Model!AB46)</f>
        <v/>
      </c>
      <c r="AE43" s="206" t="str">
        <f aca="false">IF(Model!AC46=0,"",Model!AC46)</f>
        <v/>
      </c>
      <c r="AF43" s="206" t="str">
        <f aca="false">IF(Model!AD46=0,"",Model!AD46)</f>
        <v/>
      </c>
      <c r="AG43" s="206" t="str">
        <f aca="false">IF(Model!AE46=0,"",Model!AE46)</f>
        <v/>
      </c>
      <c r="AH43" s="206" t="str">
        <f aca="false">IF(Model!AF46=0,"",Model!AF46)</f>
        <v/>
      </c>
      <c r="AI43" s="206" t="str">
        <f aca="false">IF(Model!AG46=0,"",Model!AG46)</f>
        <v/>
      </c>
      <c r="AJ43" s="206" t="str">
        <f aca="false">IF(Model!AH46=0,"",Model!AH46)</f>
        <v/>
      </c>
      <c r="AK43" s="206" t="str">
        <f aca="false">IF(Model!AI46=0,"",Model!AI46)</f>
        <v/>
      </c>
      <c r="AL43" s="206" t="str">
        <f aca="false">IF(Model!AJ46=0,"",Model!AJ46)</f>
        <v/>
      </c>
      <c r="AM43" s="206" t="str">
        <f aca="false">IF(Model!AK46=0,"",Model!AK46)</f>
        <v/>
      </c>
      <c r="AN43" s="206" t="str">
        <f aca="false">IF(Model!AL46=0,"",Model!AL46)</f>
        <v/>
      </c>
      <c r="AO43" s="206" t="str">
        <f aca="false">IF(Model!AM46=0,"",Model!AM46)</f>
        <v/>
      </c>
      <c r="AP43" s="206" t="str">
        <f aca="false">IF(Model!AN46=0,"",Model!AN46)</f>
        <v/>
      </c>
      <c r="AQ43" s="206" t="str">
        <f aca="false">IF(Model!AO46=0,"",Model!AO46)</f>
        <v/>
      </c>
      <c r="AR43" s="206" t="str">
        <f aca="false">IF(Model!AP46=0,"",Model!AP46)</f>
        <v/>
      </c>
      <c r="AS43" s="206" t="str">
        <f aca="false">IF(Model!AQ46=0,"",Model!AQ46)</f>
        <v/>
      </c>
      <c r="AT43" s="206" t="str">
        <f aca="false">IF(Model!AR46=0,"",Model!AR46)</f>
        <v/>
      </c>
      <c r="AU43" s="206" t="str">
        <f aca="false">IF(Model!AS46=0,"",Model!AS46)</f>
        <v/>
      </c>
      <c r="AV43" s="206" t="str">
        <f aca="false">IF(Model!AT46=0,"",Model!AT46)</f>
        <v/>
      </c>
      <c r="AW43" s="206" t="str">
        <f aca="false">IF(Model!AU46=0,"",Model!AU46)</f>
        <v/>
      </c>
      <c r="AX43" s="206" t="str">
        <f aca="false">IF(Model!AV46=0,"",Model!AV46)</f>
        <v/>
      </c>
      <c r="AY43" s="206" t="str">
        <f aca="false">IF(Model!AW46=0,"",Model!AW46)</f>
        <v/>
      </c>
      <c r="AZ43" s="206" t="str">
        <f aca="false">IF(Model!AX46=0,"",Model!AX46)</f>
        <v/>
      </c>
      <c r="BA43" s="206" t="str">
        <f aca="false">IF(Model!AY46=0,"",Model!AY46)</f>
        <v/>
      </c>
      <c r="BB43" s="206" t="str">
        <f aca="false">IF(Model!AZ46=0,"",Model!AZ46)</f>
        <v/>
      </c>
      <c r="BC43" s="206" t="str">
        <f aca="false">IF(Model!BA46=0,"",Model!BA46)</f>
        <v/>
      </c>
      <c r="BD43" s="206" t="str">
        <f aca="false">IF(Model!BB46=0,"",Model!BB46)</f>
        <v/>
      </c>
      <c r="BE43" s="206" t="str">
        <f aca="false">IF(Model!BC46=0,"",Model!BC46)</f>
        <v/>
      </c>
      <c r="BF43" s="206" t="str">
        <f aca="false">IF(Model!BD46=0,"",Model!BD46)</f>
        <v/>
      </c>
      <c r="BG43" s="206" t="str">
        <f aca="false">IF(Model!BE46=0,"",Model!BE46)</f>
        <v/>
      </c>
      <c r="BH43" s="206" t="str">
        <f aca="false">IF(Model!BF46=0,"",Model!BF46)</f>
        <v/>
      </c>
      <c r="BI43" s="206" t="str">
        <f aca="false">IF(Model!BG46=0,"",Model!BG46)</f>
        <v/>
      </c>
      <c r="BJ43" s="206" t="str">
        <f aca="false">IF(Model!BH46=0,"",Model!BH46)</f>
        <v/>
      </c>
      <c r="BK43" s="206" t="str">
        <f aca="false">IF(Model!BI46=0,"",Model!BI46)</f>
        <v/>
      </c>
      <c r="BL43" s="206" t="str">
        <f aca="false">IF(Model!BJ46=0,"",Model!BJ46)</f>
        <v/>
      </c>
      <c r="BM43" s="206" t="str">
        <f aca="false">IF(Model!BK46=0,"",Model!BK46)</f>
        <v/>
      </c>
      <c r="BN43" s="206" t="str">
        <f aca="false">IF(Model!BL46=0,"",Model!BL46)</f>
        <v/>
      </c>
      <c r="BO43" s="206" t="str">
        <f aca="false">IF(Model!BM46=0,"",Model!BM46)</f>
        <v/>
      </c>
      <c r="BP43" s="206" t="str">
        <f aca="false">IF(Model!BN46=0,"",Model!BN46)</f>
        <v/>
      </c>
      <c r="BQ43" s="206" t="str">
        <f aca="false">IF(Model!BO46=0,"",Model!BO46)</f>
        <v/>
      </c>
      <c r="BR43" s="206" t="str">
        <f aca="false">IF(Model!BP46=0,"",Model!BP46)</f>
        <v/>
      </c>
      <c r="BS43" s="206" t="str">
        <f aca="false">IF(Model!BQ46=0,"",Model!BQ46)</f>
        <v/>
      </c>
      <c r="BT43" s="206" t="str">
        <f aca="false">IF(Model!BR46=0,"",Model!BR46)</f>
        <v/>
      </c>
      <c r="BU43" s="206" t="str">
        <f aca="false">IF(Model!BS46=0,"",Model!BS46)</f>
        <v/>
      </c>
      <c r="BV43" s="206" t="str">
        <f aca="false">IF(Model!BT46=0,"",Model!BT46)</f>
        <v/>
      </c>
      <c r="BW43" s="206" t="str">
        <f aca="false">IF(Model!BU46=0,"",Model!BU46)</f>
        <v/>
      </c>
      <c r="BX43" s="206" t="str">
        <f aca="false">IF(Model!BV46=0,"",Model!BV46)</f>
        <v/>
      </c>
      <c r="BY43" s="206" t="str">
        <f aca="false">IF(Model!BW46=0,"",Model!BW46)</f>
        <v/>
      </c>
      <c r="BZ43" s="206" t="str">
        <f aca="false">IF(Model!BX46=0,"",Model!BX46)</f>
        <v/>
      </c>
      <c r="CA43" s="206" t="str">
        <f aca="false">IF(Model!BY46=0,"",Model!BY46)</f>
        <v/>
      </c>
      <c r="CB43" s="206" t="str">
        <f aca="false">IF(Model!BZ46=0,"",Model!BZ46)</f>
        <v/>
      </c>
      <c r="CC43" s="206" t="str">
        <f aca="false">IF(Model!CA46=0,"",Model!CA46)</f>
        <v/>
      </c>
      <c r="CD43" s="206" t="str">
        <f aca="false">IF(Model!CB46=0,"",Model!CB46)</f>
        <v/>
      </c>
      <c r="CE43" s="206" t="str">
        <f aca="false">IF(Model!CC46=0,"",Model!CC46)</f>
        <v/>
      </c>
      <c r="CF43" s="206" t="str">
        <f aca="false">IF(Model!CD46=0,"",Model!CD46)</f>
        <v/>
      </c>
      <c r="CG43" s="206" t="str">
        <f aca="false">IF(Model!CE46=0,"",Model!CE46)</f>
        <v/>
      </c>
      <c r="CH43" s="206" t="str">
        <f aca="false">IF(Model!CF46=0,"",Model!CF46)</f>
        <v/>
      </c>
      <c r="CI43" s="206" t="str">
        <f aca="false">IF(Model!CG46=0,"",Model!CG46)</f>
        <v/>
      </c>
      <c r="CJ43" s="206" t="str">
        <f aca="false">IF(Model!CH46=0,"",Model!CH46)</f>
        <v/>
      </c>
      <c r="CK43" s="206" t="str">
        <f aca="false">IF(Model!CI46=0,"",Model!CI46)</f>
        <v/>
      </c>
      <c r="CL43" s="206" t="str">
        <f aca="false">IF(Model!CJ46=0,"",Model!CJ46)</f>
        <v/>
      </c>
      <c r="CM43" s="206" t="str">
        <f aca="false">IF(Model!CK46=0,"",Model!CK46)</f>
        <v/>
      </c>
      <c r="CN43" s="206" t="str">
        <f aca="false">IF(Model!CL46=0,"",Model!CL46)</f>
        <v/>
      </c>
      <c r="CO43" s="206" t="str">
        <f aca="false">IF(Model!CM46=0,"",Model!CM46)</f>
        <v/>
      </c>
      <c r="CP43" s="206" t="str">
        <f aca="false">IF(Model!CN46=0,"",Model!CN46)</f>
        <v/>
      </c>
      <c r="CQ43" s="206" t="str">
        <f aca="false">IF(Model!CO46=0,"",Model!CO46)</f>
        <v/>
      </c>
      <c r="CR43" s="206" t="str">
        <f aca="false">IF(Model!CP46=0,"",Model!CP46)</f>
        <v/>
      </c>
      <c r="CS43" s="206" t="str">
        <f aca="false">IF(Model!CQ46=0,"",Model!CQ46)</f>
        <v/>
      </c>
      <c r="CT43" s="206" t="str">
        <f aca="false">IF(Model!CR46=0,"",Model!CR46)</f>
        <v/>
      </c>
      <c r="CU43" s="206" t="str">
        <f aca="false">IF(Model!CS46=0,"",Model!CS46)</f>
        <v/>
      </c>
      <c r="CV43" s="206" t="str">
        <f aca="false">IF(Model!CT46=0,"",Model!CT46)</f>
        <v/>
      </c>
      <c r="CW43" s="206" t="str">
        <f aca="false">IF(Model!CU46=0,"",Model!CU46)</f>
        <v/>
      </c>
      <c r="CX43" s="206" t="str">
        <f aca="false">IF(Model!CV46=0,"",Model!CV46)</f>
        <v/>
      </c>
      <c r="CY43" s="206" t="str">
        <f aca="false">IF(Model!CW46=0,"",Model!CW46)</f>
        <v/>
      </c>
      <c r="CZ43" s="206" t="str">
        <f aca="false">IF(Model!CX46=0,"",Model!CX46)</f>
        <v/>
      </c>
      <c r="DA43" s="206" t="str">
        <f aca="false">IF(Model!CY46=0,"",Model!CY46)</f>
        <v/>
      </c>
      <c r="DB43" s="206" t="str">
        <f aca="false">IF(Model!CZ46=0,"",Model!CZ46)</f>
        <v/>
      </c>
    </row>
    <row r="44" customFormat="false" ht="15" hidden="false" customHeight="true" outlineLevel="0" collapsed="false">
      <c r="A44" s="123" t="s">
        <v>41</v>
      </c>
      <c r="B44" s="203" t="n">
        <f aca="false">Projects!$B$38</f>
        <v>15000000</v>
      </c>
      <c r="C44" s="204" t="n">
        <f aca="false">EDATE(Model!$E$2,Projects!$C$38-1)</f>
        <v>48092</v>
      </c>
      <c r="D44" s="204" t="n">
        <f aca="false">EDATE(Model!$E$2,Projects!$C$38+Projects!$D$38-2)</f>
        <v>48639</v>
      </c>
      <c r="E44" s="205" t="n">
        <f aca="false">Projects!$D$38</f>
        <v>19</v>
      </c>
      <c r="F44" s="203" t="n">
        <f aca="false">SUM(G44:DB44)</f>
        <v>0</v>
      </c>
      <c r="G44" s="206" t="str">
        <f aca="false">IF(Model!E47=0,"",Model!E47)</f>
        <v/>
      </c>
      <c r="H44" s="206" t="str">
        <f aca="false">IF(Model!F47=0,"",Model!F47)</f>
        <v/>
      </c>
      <c r="I44" s="206" t="str">
        <f aca="false">IF(Model!G47=0,"",Model!G47)</f>
        <v/>
      </c>
      <c r="J44" s="206" t="str">
        <f aca="false">IF(Model!H47=0,"",Model!H47)</f>
        <v/>
      </c>
      <c r="K44" s="206" t="str">
        <f aca="false">IF(Model!I47=0,"",Model!I47)</f>
        <v/>
      </c>
      <c r="L44" s="206" t="str">
        <f aca="false">IF(Model!J47=0,"",Model!J47)</f>
        <v/>
      </c>
      <c r="M44" s="206" t="str">
        <f aca="false">IF(Model!K47=0,"",Model!K47)</f>
        <v/>
      </c>
      <c r="N44" s="206" t="str">
        <f aca="false">IF(Model!L47=0,"",Model!L47)</f>
        <v/>
      </c>
      <c r="O44" s="206" t="str">
        <f aca="false">IF(Model!M47=0,"",Model!M47)</f>
        <v/>
      </c>
      <c r="P44" s="206" t="str">
        <f aca="false">IF(Model!N47=0,"",Model!N47)</f>
        <v/>
      </c>
      <c r="Q44" s="206" t="str">
        <f aca="false">IF(Model!O47=0,"",Model!O47)</f>
        <v/>
      </c>
      <c r="R44" s="206" t="str">
        <f aca="false">IF(Model!P47=0,"",Model!P47)</f>
        <v/>
      </c>
      <c r="S44" s="206" t="str">
        <f aca="false">IF(Model!Q47=0,"",Model!Q47)</f>
        <v/>
      </c>
      <c r="T44" s="206" t="str">
        <f aca="false">IF(Model!R47=0,"",Model!R47)</f>
        <v/>
      </c>
      <c r="U44" s="206" t="str">
        <f aca="false">IF(Model!S47=0,"",Model!S47)</f>
        <v/>
      </c>
      <c r="V44" s="206" t="str">
        <f aca="false">IF(Model!T47=0,"",Model!T47)</f>
        <v/>
      </c>
      <c r="W44" s="206" t="str">
        <f aca="false">IF(Model!U47=0,"",Model!U47)</f>
        <v/>
      </c>
      <c r="X44" s="206" t="str">
        <f aca="false">IF(Model!V47=0,"",Model!V47)</f>
        <v/>
      </c>
      <c r="Y44" s="206" t="str">
        <f aca="false">IF(Model!W47=0,"",Model!W47)</f>
        <v/>
      </c>
      <c r="Z44" s="206" t="str">
        <f aca="false">IF(Model!X47=0,"",Model!X47)</f>
        <v/>
      </c>
      <c r="AA44" s="206" t="str">
        <f aca="false">IF(Model!Y47=0,"",Model!Y47)</f>
        <v/>
      </c>
      <c r="AB44" s="206" t="str">
        <f aca="false">IF(Model!Z47=0,"",Model!Z47)</f>
        <v/>
      </c>
      <c r="AC44" s="206" t="str">
        <f aca="false">IF(Model!AA47=0,"",Model!AA47)</f>
        <v/>
      </c>
      <c r="AD44" s="206" t="str">
        <f aca="false">IF(Model!AB47=0,"",Model!AB47)</f>
        <v/>
      </c>
      <c r="AE44" s="206" t="str">
        <f aca="false">IF(Model!AC47=0,"",Model!AC47)</f>
        <v/>
      </c>
      <c r="AF44" s="206" t="str">
        <f aca="false">IF(Model!AD47=0,"",Model!AD47)</f>
        <v/>
      </c>
      <c r="AG44" s="206" t="str">
        <f aca="false">IF(Model!AE47=0,"",Model!AE47)</f>
        <v/>
      </c>
      <c r="AH44" s="206" t="str">
        <f aca="false">IF(Model!AF47=0,"",Model!AF47)</f>
        <v/>
      </c>
      <c r="AI44" s="206" t="str">
        <f aca="false">IF(Model!AG47=0,"",Model!AG47)</f>
        <v/>
      </c>
      <c r="AJ44" s="206" t="str">
        <f aca="false">IF(Model!AH47=0,"",Model!AH47)</f>
        <v/>
      </c>
      <c r="AK44" s="206" t="str">
        <f aca="false">IF(Model!AI47=0,"",Model!AI47)</f>
        <v/>
      </c>
      <c r="AL44" s="206" t="str">
        <f aca="false">IF(Model!AJ47=0,"",Model!AJ47)</f>
        <v/>
      </c>
      <c r="AM44" s="206" t="str">
        <f aca="false">IF(Model!AK47=0,"",Model!AK47)</f>
        <v/>
      </c>
      <c r="AN44" s="206" t="str">
        <f aca="false">IF(Model!AL47=0,"",Model!AL47)</f>
        <v/>
      </c>
      <c r="AO44" s="206" t="str">
        <f aca="false">IF(Model!AM47=0,"",Model!AM47)</f>
        <v/>
      </c>
      <c r="AP44" s="206" t="str">
        <f aca="false">IF(Model!AN47=0,"",Model!AN47)</f>
        <v/>
      </c>
      <c r="AQ44" s="206" t="str">
        <f aca="false">IF(Model!AO47=0,"",Model!AO47)</f>
        <v/>
      </c>
      <c r="AR44" s="206" t="str">
        <f aca="false">IF(Model!AP47=0,"",Model!AP47)</f>
        <v/>
      </c>
      <c r="AS44" s="206" t="str">
        <f aca="false">IF(Model!AQ47=0,"",Model!AQ47)</f>
        <v/>
      </c>
      <c r="AT44" s="206" t="str">
        <f aca="false">IF(Model!AR47=0,"",Model!AR47)</f>
        <v/>
      </c>
      <c r="AU44" s="206" t="str">
        <f aca="false">IF(Model!AS47=0,"",Model!AS47)</f>
        <v/>
      </c>
      <c r="AV44" s="206" t="str">
        <f aca="false">IF(Model!AT47=0,"",Model!AT47)</f>
        <v/>
      </c>
      <c r="AW44" s="206" t="str">
        <f aca="false">IF(Model!AU47=0,"",Model!AU47)</f>
        <v/>
      </c>
      <c r="AX44" s="206" t="str">
        <f aca="false">IF(Model!AV47=0,"",Model!AV47)</f>
        <v/>
      </c>
      <c r="AY44" s="206" t="str">
        <f aca="false">IF(Model!AW47=0,"",Model!AW47)</f>
        <v/>
      </c>
      <c r="AZ44" s="206" t="str">
        <f aca="false">IF(Model!AX47=0,"",Model!AX47)</f>
        <v/>
      </c>
      <c r="BA44" s="206" t="str">
        <f aca="false">IF(Model!AY47=0,"",Model!AY47)</f>
        <v/>
      </c>
      <c r="BB44" s="206" t="str">
        <f aca="false">IF(Model!AZ47=0,"",Model!AZ47)</f>
        <v/>
      </c>
      <c r="BC44" s="206" t="str">
        <f aca="false">IF(Model!BA47=0,"",Model!BA47)</f>
        <v/>
      </c>
      <c r="BD44" s="206" t="str">
        <f aca="false">IF(Model!BB47=0,"",Model!BB47)</f>
        <v/>
      </c>
      <c r="BE44" s="206" t="str">
        <f aca="false">IF(Model!BC47=0,"",Model!BC47)</f>
        <v/>
      </c>
      <c r="BF44" s="206" t="str">
        <f aca="false">IF(Model!BD47=0,"",Model!BD47)</f>
        <v/>
      </c>
      <c r="BG44" s="206" t="str">
        <f aca="false">IF(Model!BE47=0,"",Model!BE47)</f>
        <v/>
      </c>
      <c r="BH44" s="206" t="str">
        <f aca="false">IF(Model!BF47=0,"",Model!BF47)</f>
        <v/>
      </c>
      <c r="BI44" s="206" t="str">
        <f aca="false">IF(Model!BG47=0,"",Model!BG47)</f>
        <v/>
      </c>
      <c r="BJ44" s="206" t="str">
        <f aca="false">IF(Model!BH47=0,"",Model!BH47)</f>
        <v/>
      </c>
      <c r="BK44" s="206" t="str">
        <f aca="false">IF(Model!BI47=0,"",Model!BI47)</f>
        <v/>
      </c>
      <c r="BL44" s="206" t="str">
        <f aca="false">IF(Model!BJ47=0,"",Model!BJ47)</f>
        <v/>
      </c>
      <c r="BM44" s="206" t="str">
        <f aca="false">IF(Model!BK47=0,"",Model!BK47)</f>
        <v/>
      </c>
      <c r="BN44" s="206" t="str">
        <f aca="false">IF(Model!BL47=0,"",Model!BL47)</f>
        <v/>
      </c>
      <c r="BO44" s="206" t="str">
        <f aca="false">IF(Model!BM47=0,"",Model!BM47)</f>
        <v/>
      </c>
      <c r="BP44" s="206" t="str">
        <f aca="false">IF(Model!BN47=0,"",Model!BN47)</f>
        <v/>
      </c>
      <c r="BQ44" s="206" t="str">
        <f aca="false">IF(Model!BO47=0,"",Model!BO47)</f>
        <v/>
      </c>
      <c r="BR44" s="206" t="str">
        <f aca="false">IF(Model!BP47=0,"",Model!BP47)</f>
        <v/>
      </c>
      <c r="BS44" s="206" t="str">
        <f aca="false">IF(Model!BQ47=0,"",Model!BQ47)</f>
        <v/>
      </c>
      <c r="BT44" s="206" t="str">
        <f aca="false">IF(Model!BR47=0,"",Model!BR47)</f>
        <v/>
      </c>
      <c r="BU44" s="206" t="str">
        <f aca="false">IF(Model!BS47=0,"",Model!BS47)</f>
        <v/>
      </c>
      <c r="BV44" s="206" t="str">
        <f aca="false">IF(Model!BT47=0,"",Model!BT47)</f>
        <v/>
      </c>
      <c r="BW44" s="206" t="str">
        <f aca="false">IF(Model!BU47=0,"",Model!BU47)</f>
        <v/>
      </c>
      <c r="BX44" s="206" t="str">
        <f aca="false">IF(Model!BV47=0,"",Model!BV47)</f>
        <v/>
      </c>
      <c r="BY44" s="206" t="str">
        <f aca="false">IF(Model!BW47=0,"",Model!BW47)</f>
        <v/>
      </c>
      <c r="BZ44" s="206" t="str">
        <f aca="false">IF(Model!BX47=0,"",Model!BX47)</f>
        <v/>
      </c>
      <c r="CA44" s="206" t="str">
        <f aca="false">IF(Model!BY47=0,"",Model!BY47)</f>
        <v/>
      </c>
      <c r="CB44" s="206" t="str">
        <f aca="false">IF(Model!BZ47=0,"",Model!BZ47)</f>
        <v/>
      </c>
      <c r="CC44" s="206" t="str">
        <f aca="false">IF(Model!CA47=0,"",Model!CA47)</f>
        <v/>
      </c>
      <c r="CD44" s="206" t="str">
        <f aca="false">IF(Model!CB47=0,"",Model!CB47)</f>
        <v/>
      </c>
      <c r="CE44" s="206" t="str">
        <f aca="false">IF(Model!CC47=0,"",Model!CC47)</f>
        <v/>
      </c>
      <c r="CF44" s="206" t="str">
        <f aca="false">IF(Model!CD47=0,"",Model!CD47)</f>
        <v/>
      </c>
      <c r="CG44" s="206" t="str">
        <f aca="false">IF(Model!CE47=0,"",Model!CE47)</f>
        <v/>
      </c>
      <c r="CH44" s="206" t="str">
        <f aca="false">IF(Model!CF47=0,"",Model!CF47)</f>
        <v/>
      </c>
      <c r="CI44" s="206" t="str">
        <f aca="false">IF(Model!CG47=0,"",Model!CG47)</f>
        <v/>
      </c>
      <c r="CJ44" s="206" t="str">
        <f aca="false">IF(Model!CH47=0,"",Model!CH47)</f>
        <v/>
      </c>
      <c r="CK44" s="206" t="str">
        <f aca="false">IF(Model!CI47=0,"",Model!CI47)</f>
        <v/>
      </c>
      <c r="CL44" s="206" t="str">
        <f aca="false">IF(Model!CJ47=0,"",Model!CJ47)</f>
        <v/>
      </c>
      <c r="CM44" s="206" t="str">
        <f aca="false">IF(Model!CK47=0,"",Model!CK47)</f>
        <v/>
      </c>
      <c r="CN44" s="206" t="str">
        <f aca="false">IF(Model!CL47=0,"",Model!CL47)</f>
        <v/>
      </c>
      <c r="CO44" s="206" t="str">
        <f aca="false">IF(Model!CM47=0,"",Model!CM47)</f>
        <v/>
      </c>
      <c r="CP44" s="206" t="str">
        <f aca="false">IF(Model!CN47=0,"",Model!CN47)</f>
        <v/>
      </c>
      <c r="CQ44" s="206" t="str">
        <f aca="false">IF(Model!CO47=0,"",Model!CO47)</f>
        <v/>
      </c>
      <c r="CR44" s="206" t="str">
        <f aca="false">IF(Model!CP47=0,"",Model!CP47)</f>
        <v/>
      </c>
      <c r="CS44" s="206" t="str">
        <f aca="false">IF(Model!CQ47=0,"",Model!CQ47)</f>
        <v/>
      </c>
      <c r="CT44" s="206" t="str">
        <f aca="false">IF(Model!CR47=0,"",Model!CR47)</f>
        <v/>
      </c>
      <c r="CU44" s="206" t="str">
        <f aca="false">IF(Model!CS47=0,"",Model!CS47)</f>
        <v/>
      </c>
      <c r="CV44" s="206" t="str">
        <f aca="false">IF(Model!CT47=0,"",Model!CT47)</f>
        <v/>
      </c>
      <c r="CW44" s="206" t="str">
        <f aca="false">IF(Model!CU47=0,"",Model!CU47)</f>
        <v/>
      </c>
      <c r="CX44" s="206" t="str">
        <f aca="false">IF(Model!CV47=0,"",Model!CV47)</f>
        <v/>
      </c>
      <c r="CY44" s="206" t="str">
        <f aca="false">IF(Model!CW47=0,"",Model!CW47)</f>
        <v/>
      </c>
      <c r="CZ44" s="206" t="str">
        <f aca="false">IF(Model!CX47=0,"",Model!CX47)</f>
        <v/>
      </c>
      <c r="DA44" s="206" t="str">
        <f aca="false">IF(Model!CY47=0,"",Model!CY47)</f>
        <v/>
      </c>
      <c r="DB44" s="206" t="str">
        <f aca="false">IF(Model!CZ47=0,"",Model!CZ47)</f>
        <v/>
      </c>
    </row>
    <row r="45" customFormat="false" ht="15" hidden="false" customHeight="true" outlineLevel="0" collapsed="false">
      <c r="A45" s="123" t="s">
        <v>42</v>
      </c>
      <c r="B45" s="203" t="n">
        <f aca="false">Projects!$B$39</f>
        <v>18000000</v>
      </c>
      <c r="C45" s="204" t="n">
        <f aca="false">EDATE(Model!$E$2,Projects!$C$39-1)</f>
        <v>48153</v>
      </c>
      <c r="D45" s="204" t="n">
        <f aca="false">EDATE(Model!$E$2,Projects!$C$39+Projects!$D$39-2)</f>
        <v>48700</v>
      </c>
      <c r="E45" s="205" t="n">
        <f aca="false">Projects!$D$39</f>
        <v>19</v>
      </c>
      <c r="F45" s="203" t="n">
        <f aca="false">SUM(G45:DB45)</f>
        <v>0</v>
      </c>
      <c r="G45" s="206" t="str">
        <f aca="false">IF(Model!E48=0,"",Model!E48)</f>
        <v/>
      </c>
      <c r="H45" s="206" t="str">
        <f aca="false">IF(Model!F48=0,"",Model!F48)</f>
        <v/>
      </c>
      <c r="I45" s="206" t="str">
        <f aca="false">IF(Model!G48=0,"",Model!G48)</f>
        <v/>
      </c>
      <c r="J45" s="206" t="str">
        <f aca="false">IF(Model!H48=0,"",Model!H48)</f>
        <v/>
      </c>
      <c r="K45" s="206" t="str">
        <f aca="false">IF(Model!I48=0,"",Model!I48)</f>
        <v/>
      </c>
      <c r="L45" s="206" t="str">
        <f aca="false">IF(Model!J48=0,"",Model!J48)</f>
        <v/>
      </c>
      <c r="M45" s="206" t="str">
        <f aca="false">IF(Model!K48=0,"",Model!K48)</f>
        <v/>
      </c>
      <c r="N45" s="206" t="str">
        <f aca="false">IF(Model!L48=0,"",Model!L48)</f>
        <v/>
      </c>
      <c r="O45" s="206" t="str">
        <f aca="false">IF(Model!M48=0,"",Model!M48)</f>
        <v/>
      </c>
      <c r="P45" s="206" t="str">
        <f aca="false">IF(Model!N48=0,"",Model!N48)</f>
        <v/>
      </c>
      <c r="Q45" s="206" t="str">
        <f aca="false">IF(Model!O48=0,"",Model!O48)</f>
        <v/>
      </c>
      <c r="R45" s="206" t="str">
        <f aca="false">IF(Model!P48=0,"",Model!P48)</f>
        <v/>
      </c>
      <c r="S45" s="206" t="str">
        <f aca="false">IF(Model!Q48=0,"",Model!Q48)</f>
        <v/>
      </c>
      <c r="T45" s="206" t="str">
        <f aca="false">IF(Model!R48=0,"",Model!R48)</f>
        <v/>
      </c>
      <c r="U45" s="206" t="str">
        <f aca="false">IF(Model!S48=0,"",Model!S48)</f>
        <v/>
      </c>
      <c r="V45" s="206" t="str">
        <f aca="false">IF(Model!T48=0,"",Model!T48)</f>
        <v/>
      </c>
      <c r="W45" s="206" t="str">
        <f aca="false">IF(Model!U48=0,"",Model!U48)</f>
        <v/>
      </c>
      <c r="X45" s="206" t="str">
        <f aca="false">IF(Model!V48=0,"",Model!V48)</f>
        <v/>
      </c>
      <c r="Y45" s="206" t="str">
        <f aca="false">IF(Model!W48=0,"",Model!W48)</f>
        <v/>
      </c>
      <c r="Z45" s="206" t="str">
        <f aca="false">IF(Model!X48=0,"",Model!X48)</f>
        <v/>
      </c>
      <c r="AA45" s="206" t="str">
        <f aca="false">IF(Model!Y48=0,"",Model!Y48)</f>
        <v/>
      </c>
      <c r="AB45" s="206" t="str">
        <f aca="false">IF(Model!Z48=0,"",Model!Z48)</f>
        <v/>
      </c>
      <c r="AC45" s="206" t="str">
        <f aca="false">IF(Model!AA48=0,"",Model!AA48)</f>
        <v/>
      </c>
      <c r="AD45" s="206" t="str">
        <f aca="false">IF(Model!AB48=0,"",Model!AB48)</f>
        <v/>
      </c>
      <c r="AE45" s="206" t="str">
        <f aca="false">IF(Model!AC48=0,"",Model!AC48)</f>
        <v/>
      </c>
      <c r="AF45" s="206" t="str">
        <f aca="false">IF(Model!AD48=0,"",Model!AD48)</f>
        <v/>
      </c>
      <c r="AG45" s="206" t="str">
        <f aca="false">IF(Model!AE48=0,"",Model!AE48)</f>
        <v/>
      </c>
      <c r="AH45" s="206" t="str">
        <f aca="false">IF(Model!AF48=0,"",Model!AF48)</f>
        <v/>
      </c>
      <c r="AI45" s="206" t="str">
        <f aca="false">IF(Model!AG48=0,"",Model!AG48)</f>
        <v/>
      </c>
      <c r="AJ45" s="206" t="str">
        <f aca="false">IF(Model!AH48=0,"",Model!AH48)</f>
        <v/>
      </c>
      <c r="AK45" s="206" t="str">
        <f aca="false">IF(Model!AI48=0,"",Model!AI48)</f>
        <v/>
      </c>
      <c r="AL45" s="206" t="str">
        <f aca="false">IF(Model!AJ48=0,"",Model!AJ48)</f>
        <v/>
      </c>
      <c r="AM45" s="206" t="str">
        <f aca="false">IF(Model!AK48=0,"",Model!AK48)</f>
        <v/>
      </c>
      <c r="AN45" s="206" t="str">
        <f aca="false">IF(Model!AL48=0,"",Model!AL48)</f>
        <v/>
      </c>
      <c r="AO45" s="206" t="str">
        <f aca="false">IF(Model!AM48=0,"",Model!AM48)</f>
        <v/>
      </c>
      <c r="AP45" s="206" t="str">
        <f aca="false">IF(Model!AN48=0,"",Model!AN48)</f>
        <v/>
      </c>
      <c r="AQ45" s="206" t="str">
        <f aca="false">IF(Model!AO48=0,"",Model!AO48)</f>
        <v/>
      </c>
      <c r="AR45" s="206" t="str">
        <f aca="false">IF(Model!AP48=0,"",Model!AP48)</f>
        <v/>
      </c>
      <c r="AS45" s="206" t="str">
        <f aca="false">IF(Model!AQ48=0,"",Model!AQ48)</f>
        <v/>
      </c>
      <c r="AT45" s="206" t="str">
        <f aca="false">IF(Model!AR48=0,"",Model!AR48)</f>
        <v/>
      </c>
      <c r="AU45" s="206" t="str">
        <f aca="false">IF(Model!AS48=0,"",Model!AS48)</f>
        <v/>
      </c>
      <c r="AV45" s="206" t="str">
        <f aca="false">IF(Model!AT48=0,"",Model!AT48)</f>
        <v/>
      </c>
      <c r="AW45" s="206" t="str">
        <f aca="false">IF(Model!AU48=0,"",Model!AU48)</f>
        <v/>
      </c>
      <c r="AX45" s="206" t="str">
        <f aca="false">IF(Model!AV48=0,"",Model!AV48)</f>
        <v/>
      </c>
      <c r="AY45" s="206" t="str">
        <f aca="false">IF(Model!AW48=0,"",Model!AW48)</f>
        <v/>
      </c>
      <c r="AZ45" s="206" t="str">
        <f aca="false">IF(Model!AX48=0,"",Model!AX48)</f>
        <v/>
      </c>
      <c r="BA45" s="206" t="str">
        <f aca="false">IF(Model!AY48=0,"",Model!AY48)</f>
        <v/>
      </c>
      <c r="BB45" s="206" t="str">
        <f aca="false">IF(Model!AZ48=0,"",Model!AZ48)</f>
        <v/>
      </c>
      <c r="BC45" s="206" t="str">
        <f aca="false">IF(Model!BA48=0,"",Model!BA48)</f>
        <v/>
      </c>
      <c r="BD45" s="206" t="str">
        <f aca="false">IF(Model!BB48=0,"",Model!BB48)</f>
        <v/>
      </c>
      <c r="BE45" s="206" t="str">
        <f aca="false">IF(Model!BC48=0,"",Model!BC48)</f>
        <v/>
      </c>
      <c r="BF45" s="206" t="str">
        <f aca="false">IF(Model!BD48=0,"",Model!BD48)</f>
        <v/>
      </c>
      <c r="BG45" s="206" t="str">
        <f aca="false">IF(Model!BE48=0,"",Model!BE48)</f>
        <v/>
      </c>
      <c r="BH45" s="206" t="str">
        <f aca="false">IF(Model!BF48=0,"",Model!BF48)</f>
        <v/>
      </c>
      <c r="BI45" s="206" t="str">
        <f aca="false">IF(Model!BG48=0,"",Model!BG48)</f>
        <v/>
      </c>
      <c r="BJ45" s="206" t="str">
        <f aca="false">IF(Model!BH48=0,"",Model!BH48)</f>
        <v/>
      </c>
      <c r="BK45" s="206" t="str">
        <f aca="false">IF(Model!BI48=0,"",Model!BI48)</f>
        <v/>
      </c>
      <c r="BL45" s="206" t="str">
        <f aca="false">IF(Model!BJ48=0,"",Model!BJ48)</f>
        <v/>
      </c>
      <c r="BM45" s="206" t="str">
        <f aca="false">IF(Model!BK48=0,"",Model!BK48)</f>
        <v/>
      </c>
      <c r="BN45" s="206" t="str">
        <f aca="false">IF(Model!BL48=0,"",Model!BL48)</f>
        <v/>
      </c>
      <c r="BO45" s="206" t="str">
        <f aca="false">IF(Model!BM48=0,"",Model!BM48)</f>
        <v/>
      </c>
      <c r="BP45" s="206" t="str">
        <f aca="false">IF(Model!BN48=0,"",Model!BN48)</f>
        <v/>
      </c>
      <c r="BQ45" s="206" t="str">
        <f aca="false">IF(Model!BO48=0,"",Model!BO48)</f>
        <v/>
      </c>
      <c r="BR45" s="206" t="str">
        <f aca="false">IF(Model!BP48=0,"",Model!BP48)</f>
        <v/>
      </c>
      <c r="BS45" s="206" t="str">
        <f aca="false">IF(Model!BQ48=0,"",Model!BQ48)</f>
        <v/>
      </c>
      <c r="BT45" s="206" t="str">
        <f aca="false">IF(Model!BR48=0,"",Model!BR48)</f>
        <v/>
      </c>
      <c r="BU45" s="206" t="str">
        <f aca="false">IF(Model!BS48=0,"",Model!BS48)</f>
        <v/>
      </c>
      <c r="BV45" s="206" t="str">
        <f aca="false">IF(Model!BT48=0,"",Model!BT48)</f>
        <v/>
      </c>
      <c r="BW45" s="206" t="str">
        <f aca="false">IF(Model!BU48=0,"",Model!BU48)</f>
        <v/>
      </c>
      <c r="BX45" s="206" t="str">
        <f aca="false">IF(Model!BV48=0,"",Model!BV48)</f>
        <v/>
      </c>
      <c r="BY45" s="206" t="str">
        <f aca="false">IF(Model!BW48=0,"",Model!BW48)</f>
        <v/>
      </c>
      <c r="BZ45" s="206" t="str">
        <f aca="false">IF(Model!BX48=0,"",Model!BX48)</f>
        <v/>
      </c>
      <c r="CA45" s="206" t="str">
        <f aca="false">IF(Model!BY48=0,"",Model!BY48)</f>
        <v/>
      </c>
      <c r="CB45" s="206" t="str">
        <f aca="false">IF(Model!BZ48=0,"",Model!BZ48)</f>
        <v/>
      </c>
      <c r="CC45" s="206" t="str">
        <f aca="false">IF(Model!CA48=0,"",Model!CA48)</f>
        <v/>
      </c>
      <c r="CD45" s="206" t="str">
        <f aca="false">IF(Model!CB48=0,"",Model!CB48)</f>
        <v/>
      </c>
      <c r="CE45" s="206" t="str">
        <f aca="false">IF(Model!CC48=0,"",Model!CC48)</f>
        <v/>
      </c>
      <c r="CF45" s="206" t="str">
        <f aca="false">IF(Model!CD48=0,"",Model!CD48)</f>
        <v/>
      </c>
      <c r="CG45" s="206" t="str">
        <f aca="false">IF(Model!CE48=0,"",Model!CE48)</f>
        <v/>
      </c>
      <c r="CH45" s="206" t="str">
        <f aca="false">IF(Model!CF48=0,"",Model!CF48)</f>
        <v/>
      </c>
      <c r="CI45" s="206" t="str">
        <f aca="false">IF(Model!CG48=0,"",Model!CG48)</f>
        <v/>
      </c>
      <c r="CJ45" s="206" t="str">
        <f aca="false">IF(Model!CH48=0,"",Model!CH48)</f>
        <v/>
      </c>
      <c r="CK45" s="206" t="str">
        <f aca="false">IF(Model!CI48=0,"",Model!CI48)</f>
        <v/>
      </c>
      <c r="CL45" s="206" t="str">
        <f aca="false">IF(Model!CJ48=0,"",Model!CJ48)</f>
        <v/>
      </c>
      <c r="CM45" s="206" t="str">
        <f aca="false">IF(Model!CK48=0,"",Model!CK48)</f>
        <v/>
      </c>
      <c r="CN45" s="206" t="str">
        <f aca="false">IF(Model!CL48=0,"",Model!CL48)</f>
        <v/>
      </c>
      <c r="CO45" s="206" t="str">
        <f aca="false">IF(Model!CM48=0,"",Model!CM48)</f>
        <v/>
      </c>
      <c r="CP45" s="206" t="str">
        <f aca="false">IF(Model!CN48=0,"",Model!CN48)</f>
        <v/>
      </c>
      <c r="CQ45" s="206" t="str">
        <f aca="false">IF(Model!CO48=0,"",Model!CO48)</f>
        <v/>
      </c>
      <c r="CR45" s="206" t="str">
        <f aca="false">IF(Model!CP48=0,"",Model!CP48)</f>
        <v/>
      </c>
      <c r="CS45" s="206" t="str">
        <f aca="false">IF(Model!CQ48=0,"",Model!CQ48)</f>
        <v/>
      </c>
      <c r="CT45" s="206" t="str">
        <f aca="false">IF(Model!CR48=0,"",Model!CR48)</f>
        <v/>
      </c>
      <c r="CU45" s="206" t="str">
        <f aca="false">IF(Model!CS48=0,"",Model!CS48)</f>
        <v/>
      </c>
      <c r="CV45" s="206" t="str">
        <f aca="false">IF(Model!CT48=0,"",Model!CT48)</f>
        <v/>
      </c>
      <c r="CW45" s="206" t="str">
        <f aca="false">IF(Model!CU48=0,"",Model!CU48)</f>
        <v/>
      </c>
      <c r="CX45" s="206" t="str">
        <f aca="false">IF(Model!CV48=0,"",Model!CV48)</f>
        <v/>
      </c>
      <c r="CY45" s="206" t="str">
        <f aca="false">IF(Model!CW48=0,"",Model!CW48)</f>
        <v/>
      </c>
      <c r="CZ45" s="206" t="str">
        <f aca="false">IF(Model!CX48=0,"",Model!CX48)</f>
        <v/>
      </c>
      <c r="DA45" s="206" t="str">
        <f aca="false">IF(Model!CY48=0,"",Model!CY48)</f>
        <v/>
      </c>
      <c r="DB45" s="206" t="str">
        <f aca="false">IF(Model!CZ48=0,"",Model!CZ48)</f>
        <v/>
      </c>
    </row>
    <row r="46" customFormat="false" ht="15" hidden="false" customHeight="true" outlineLevel="0" collapsed="false">
      <c r="A46" s="123" t="s">
        <v>43</v>
      </c>
      <c r="B46" s="203" t="n">
        <f aca="false">Projects!$B$40</f>
        <v>15000000</v>
      </c>
      <c r="C46" s="204" t="n">
        <f aca="false">EDATE(Model!$E$2,Projects!$C$40-1)</f>
        <v>48214</v>
      </c>
      <c r="D46" s="204" t="n">
        <f aca="false">EDATE(Model!$E$2,Projects!$C$40+Projects!$D$40-2)</f>
        <v>48761</v>
      </c>
      <c r="E46" s="205" t="n">
        <f aca="false">Projects!$D$40</f>
        <v>19</v>
      </c>
      <c r="F46" s="203" t="n">
        <f aca="false">SUM(G46:DB46)</f>
        <v>0</v>
      </c>
      <c r="G46" s="206" t="str">
        <f aca="false">IF(Model!E49=0,"",Model!E49)</f>
        <v/>
      </c>
      <c r="H46" s="206" t="str">
        <f aca="false">IF(Model!F49=0,"",Model!F49)</f>
        <v/>
      </c>
      <c r="I46" s="206" t="str">
        <f aca="false">IF(Model!G49=0,"",Model!G49)</f>
        <v/>
      </c>
      <c r="J46" s="206" t="str">
        <f aca="false">IF(Model!H49=0,"",Model!H49)</f>
        <v/>
      </c>
      <c r="K46" s="206" t="str">
        <f aca="false">IF(Model!I49=0,"",Model!I49)</f>
        <v/>
      </c>
      <c r="L46" s="206" t="str">
        <f aca="false">IF(Model!J49=0,"",Model!J49)</f>
        <v/>
      </c>
      <c r="M46" s="206" t="str">
        <f aca="false">IF(Model!K49=0,"",Model!K49)</f>
        <v/>
      </c>
      <c r="N46" s="206" t="str">
        <f aca="false">IF(Model!L49=0,"",Model!L49)</f>
        <v/>
      </c>
      <c r="O46" s="206" t="str">
        <f aca="false">IF(Model!M49=0,"",Model!M49)</f>
        <v/>
      </c>
      <c r="P46" s="206" t="str">
        <f aca="false">IF(Model!N49=0,"",Model!N49)</f>
        <v/>
      </c>
      <c r="Q46" s="206" t="str">
        <f aca="false">IF(Model!O49=0,"",Model!O49)</f>
        <v/>
      </c>
      <c r="R46" s="206" t="str">
        <f aca="false">IF(Model!P49=0,"",Model!P49)</f>
        <v/>
      </c>
      <c r="S46" s="206" t="str">
        <f aca="false">IF(Model!Q49=0,"",Model!Q49)</f>
        <v/>
      </c>
      <c r="T46" s="206" t="str">
        <f aca="false">IF(Model!R49=0,"",Model!R49)</f>
        <v/>
      </c>
      <c r="U46" s="206" t="str">
        <f aca="false">IF(Model!S49=0,"",Model!S49)</f>
        <v/>
      </c>
      <c r="V46" s="206" t="str">
        <f aca="false">IF(Model!T49=0,"",Model!T49)</f>
        <v/>
      </c>
      <c r="W46" s="206" t="str">
        <f aca="false">IF(Model!U49=0,"",Model!U49)</f>
        <v/>
      </c>
      <c r="X46" s="206" t="str">
        <f aca="false">IF(Model!V49=0,"",Model!V49)</f>
        <v/>
      </c>
      <c r="Y46" s="206" t="str">
        <f aca="false">IF(Model!W49=0,"",Model!W49)</f>
        <v/>
      </c>
      <c r="Z46" s="206" t="str">
        <f aca="false">IF(Model!X49=0,"",Model!X49)</f>
        <v/>
      </c>
      <c r="AA46" s="206" t="str">
        <f aca="false">IF(Model!Y49=0,"",Model!Y49)</f>
        <v/>
      </c>
      <c r="AB46" s="206" t="str">
        <f aca="false">IF(Model!Z49=0,"",Model!Z49)</f>
        <v/>
      </c>
      <c r="AC46" s="206" t="str">
        <f aca="false">IF(Model!AA49=0,"",Model!AA49)</f>
        <v/>
      </c>
      <c r="AD46" s="206" t="str">
        <f aca="false">IF(Model!AB49=0,"",Model!AB49)</f>
        <v/>
      </c>
      <c r="AE46" s="206" t="str">
        <f aca="false">IF(Model!AC49=0,"",Model!AC49)</f>
        <v/>
      </c>
      <c r="AF46" s="206" t="str">
        <f aca="false">IF(Model!AD49=0,"",Model!AD49)</f>
        <v/>
      </c>
      <c r="AG46" s="206" t="str">
        <f aca="false">IF(Model!AE49=0,"",Model!AE49)</f>
        <v/>
      </c>
      <c r="AH46" s="206" t="str">
        <f aca="false">IF(Model!AF49=0,"",Model!AF49)</f>
        <v/>
      </c>
      <c r="AI46" s="206" t="str">
        <f aca="false">IF(Model!AG49=0,"",Model!AG49)</f>
        <v/>
      </c>
      <c r="AJ46" s="206" t="str">
        <f aca="false">IF(Model!AH49=0,"",Model!AH49)</f>
        <v/>
      </c>
      <c r="AK46" s="206" t="str">
        <f aca="false">IF(Model!AI49=0,"",Model!AI49)</f>
        <v/>
      </c>
      <c r="AL46" s="206" t="str">
        <f aca="false">IF(Model!AJ49=0,"",Model!AJ49)</f>
        <v/>
      </c>
      <c r="AM46" s="206" t="str">
        <f aca="false">IF(Model!AK49=0,"",Model!AK49)</f>
        <v/>
      </c>
      <c r="AN46" s="206" t="str">
        <f aca="false">IF(Model!AL49=0,"",Model!AL49)</f>
        <v/>
      </c>
      <c r="AO46" s="206" t="str">
        <f aca="false">IF(Model!AM49=0,"",Model!AM49)</f>
        <v/>
      </c>
      <c r="AP46" s="206" t="str">
        <f aca="false">IF(Model!AN49=0,"",Model!AN49)</f>
        <v/>
      </c>
      <c r="AQ46" s="206" t="str">
        <f aca="false">IF(Model!AO49=0,"",Model!AO49)</f>
        <v/>
      </c>
      <c r="AR46" s="206" t="str">
        <f aca="false">IF(Model!AP49=0,"",Model!AP49)</f>
        <v/>
      </c>
      <c r="AS46" s="206" t="str">
        <f aca="false">IF(Model!AQ49=0,"",Model!AQ49)</f>
        <v/>
      </c>
      <c r="AT46" s="206" t="str">
        <f aca="false">IF(Model!AR49=0,"",Model!AR49)</f>
        <v/>
      </c>
      <c r="AU46" s="206" t="str">
        <f aca="false">IF(Model!AS49=0,"",Model!AS49)</f>
        <v/>
      </c>
      <c r="AV46" s="206" t="str">
        <f aca="false">IF(Model!AT49=0,"",Model!AT49)</f>
        <v/>
      </c>
      <c r="AW46" s="206" t="str">
        <f aca="false">IF(Model!AU49=0,"",Model!AU49)</f>
        <v/>
      </c>
      <c r="AX46" s="206" t="str">
        <f aca="false">IF(Model!AV49=0,"",Model!AV49)</f>
        <v/>
      </c>
      <c r="AY46" s="206" t="str">
        <f aca="false">IF(Model!AW49=0,"",Model!AW49)</f>
        <v/>
      </c>
      <c r="AZ46" s="206" t="str">
        <f aca="false">IF(Model!AX49=0,"",Model!AX49)</f>
        <v/>
      </c>
      <c r="BA46" s="206" t="str">
        <f aca="false">IF(Model!AY49=0,"",Model!AY49)</f>
        <v/>
      </c>
      <c r="BB46" s="206" t="str">
        <f aca="false">IF(Model!AZ49=0,"",Model!AZ49)</f>
        <v/>
      </c>
      <c r="BC46" s="206" t="str">
        <f aca="false">IF(Model!BA49=0,"",Model!BA49)</f>
        <v/>
      </c>
      <c r="BD46" s="206" t="str">
        <f aca="false">IF(Model!BB49=0,"",Model!BB49)</f>
        <v/>
      </c>
      <c r="BE46" s="206" t="str">
        <f aca="false">IF(Model!BC49=0,"",Model!BC49)</f>
        <v/>
      </c>
      <c r="BF46" s="206" t="str">
        <f aca="false">IF(Model!BD49=0,"",Model!BD49)</f>
        <v/>
      </c>
      <c r="BG46" s="206" t="str">
        <f aca="false">IF(Model!BE49=0,"",Model!BE49)</f>
        <v/>
      </c>
      <c r="BH46" s="206" t="str">
        <f aca="false">IF(Model!BF49=0,"",Model!BF49)</f>
        <v/>
      </c>
      <c r="BI46" s="206" t="str">
        <f aca="false">IF(Model!BG49=0,"",Model!BG49)</f>
        <v/>
      </c>
      <c r="BJ46" s="206" t="str">
        <f aca="false">IF(Model!BH49=0,"",Model!BH49)</f>
        <v/>
      </c>
      <c r="BK46" s="206" t="str">
        <f aca="false">IF(Model!BI49=0,"",Model!BI49)</f>
        <v/>
      </c>
      <c r="BL46" s="206" t="str">
        <f aca="false">IF(Model!BJ49=0,"",Model!BJ49)</f>
        <v/>
      </c>
      <c r="BM46" s="206" t="str">
        <f aca="false">IF(Model!BK49=0,"",Model!BK49)</f>
        <v/>
      </c>
      <c r="BN46" s="206" t="str">
        <f aca="false">IF(Model!BL49=0,"",Model!BL49)</f>
        <v/>
      </c>
      <c r="BO46" s="206" t="str">
        <f aca="false">IF(Model!BM49=0,"",Model!BM49)</f>
        <v/>
      </c>
      <c r="BP46" s="206" t="str">
        <f aca="false">IF(Model!BN49=0,"",Model!BN49)</f>
        <v/>
      </c>
      <c r="BQ46" s="206" t="str">
        <f aca="false">IF(Model!BO49=0,"",Model!BO49)</f>
        <v/>
      </c>
      <c r="BR46" s="206" t="str">
        <f aca="false">IF(Model!BP49=0,"",Model!BP49)</f>
        <v/>
      </c>
      <c r="BS46" s="206" t="str">
        <f aca="false">IF(Model!BQ49=0,"",Model!BQ49)</f>
        <v/>
      </c>
      <c r="BT46" s="206" t="str">
        <f aca="false">IF(Model!BR49=0,"",Model!BR49)</f>
        <v/>
      </c>
      <c r="BU46" s="206" t="str">
        <f aca="false">IF(Model!BS49=0,"",Model!BS49)</f>
        <v/>
      </c>
      <c r="BV46" s="206" t="str">
        <f aca="false">IF(Model!BT49=0,"",Model!BT49)</f>
        <v/>
      </c>
      <c r="BW46" s="206" t="str">
        <f aca="false">IF(Model!BU49=0,"",Model!BU49)</f>
        <v/>
      </c>
      <c r="BX46" s="206" t="str">
        <f aca="false">IF(Model!BV49=0,"",Model!BV49)</f>
        <v/>
      </c>
      <c r="BY46" s="206" t="str">
        <f aca="false">IF(Model!BW49=0,"",Model!BW49)</f>
        <v/>
      </c>
      <c r="BZ46" s="206" t="str">
        <f aca="false">IF(Model!BX49=0,"",Model!BX49)</f>
        <v/>
      </c>
      <c r="CA46" s="206" t="str">
        <f aca="false">IF(Model!BY49=0,"",Model!BY49)</f>
        <v/>
      </c>
      <c r="CB46" s="206" t="str">
        <f aca="false">IF(Model!BZ49=0,"",Model!BZ49)</f>
        <v/>
      </c>
      <c r="CC46" s="206" t="str">
        <f aca="false">IF(Model!CA49=0,"",Model!CA49)</f>
        <v/>
      </c>
      <c r="CD46" s="206" t="str">
        <f aca="false">IF(Model!CB49=0,"",Model!CB49)</f>
        <v/>
      </c>
      <c r="CE46" s="206" t="str">
        <f aca="false">IF(Model!CC49=0,"",Model!CC49)</f>
        <v/>
      </c>
      <c r="CF46" s="206" t="str">
        <f aca="false">IF(Model!CD49=0,"",Model!CD49)</f>
        <v/>
      </c>
      <c r="CG46" s="206" t="str">
        <f aca="false">IF(Model!CE49=0,"",Model!CE49)</f>
        <v/>
      </c>
      <c r="CH46" s="206" t="str">
        <f aca="false">IF(Model!CF49=0,"",Model!CF49)</f>
        <v/>
      </c>
      <c r="CI46" s="206" t="str">
        <f aca="false">IF(Model!CG49=0,"",Model!CG49)</f>
        <v/>
      </c>
      <c r="CJ46" s="206" t="str">
        <f aca="false">IF(Model!CH49=0,"",Model!CH49)</f>
        <v/>
      </c>
      <c r="CK46" s="206" t="str">
        <f aca="false">IF(Model!CI49=0,"",Model!CI49)</f>
        <v/>
      </c>
      <c r="CL46" s="206" t="str">
        <f aca="false">IF(Model!CJ49=0,"",Model!CJ49)</f>
        <v/>
      </c>
      <c r="CM46" s="206" t="str">
        <f aca="false">IF(Model!CK49=0,"",Model!CK49)</f>
        <v/>
      </c>
      <c r="CN46" s="206" t="str">
        <f aca="false">IF(Model!CL49=0,"",Model!CL49)</f>
        <v/>
      </c>
      <c r="CO46" s="206" t="str">
        <f aca="false">IF(Model!CM49=0,"",Model!CM49)</f>
        <v/>
      </c>
      <c r="CP46" s="206" t="str">
        <f aca="false">IF(Model!CN49=0,"",Model!CN49)</f>
        <v/>
      </c>
      <c r="CQ46" s="206" t="str">
        <f aca="false">IF(Model!CO49=0,"",Model!CO49)</f>
        <v/>
      </c>
      <c r="CR46" s="206" t="str">
        <f aca="false">IF(Model!CP49=0,"",Model!CP49)</f>
        <v/>
      </c>
      <c r="CS46" s="206" t="str">
        <f aca="false">IF(Model!CQ49=0,"",Model!CQ49)</f>
        <v/>
      </c>
      <c r="CT46" s="206" t="str">
        <f aca="false">IF(Model!CR49=0,"",Model!CR49)</f>
        <v/>
      </c>
      <c r="CU46" s="206" t="str">
        <f aca="false">IF(Model!CS49=0,"",Model!CS49)</f>
        <v/>
      </c>
      <c r="CV46" s="206" t="str">
        <f aca="false">IF(Model!CT49=0,"",Model!CT49)</f>
        <v/>
      </c>
      <c r="CW46" s="206" t="str">
        <f aca="false">IF(Model!CU49=0,"",Model!CU49)</f>
        <v/>
      </c>
      <c r="CX46" s="206" t="str">
        <f aca="false">IF(Model!CV49=0,"",Model!CV49)</f>
        <v/>
      </c>
      <c r="CY46" s="206" t="str">
        <f aca="false">IF(Model!CW49=0,"",Model!CW49)</f>
        <v/>
      </c>
      <c r="CZ46" s="206" t="str">
        <f aca="false">IF(Model!CX49=0,"",Model!CX49)</f>
        <v/>
      </c>
      <c r="DA46" s="206" t="str">
        <f aca="false">IF(Model!CY49=0,"",Model!CY49)</f>
        <v/>
      </c>
      <c r="DB46" s="206" t="str">
        <f aca="false">IF(Model!CZ49=0,"",Model!CZ49)</f>
        <v/>
      </c>
    </row>
    <row r="47" customFormat="false" ht="15" hidden="false" customHeight="true" outlineLevel="0" collapsed="false">
      <c r="A47" s="123" t="s">
        <v>44</v>
      </c>
      <c r="B47" s="203" t="n">
        <f aca="false">Projects!$B$41</f>
        <v>15000000</v>
      </c>
      <c r="C47" s="204" t="n">
        <f aca="false">EDATE(Model!$E$2,Projects!$C$41-1)</f>
        <v>48274</v>
      </c>
      <c r="D47" s="204" t="n">
        <f aca="false">EDATE(Model!$E$2,Projects!$C$41+Projects!$D$41-2)</f>
        <v>48823</v>
      </c>
      <c r="E47" s="205" t="n">
        <f aca="false">Projects!$D$41</f>
        <v>19</v>
      </c>
      <c r="F47" s="203" t="n">
        <f aca="false">SUM(G47:DB47)</f>
        <v>0</v>
      </c>
      <c r="G47" s="206" t="str">
        <f aca="false">IF(Model!E50=0,"",Model!E50)</f>
        <v/>
      </c>
      <c r="H47" s="206" t="str">
        <f aca="false">IF(Model!F50=0,"",Model!F50)</f>
        <v/>
      </c>
      <c r="I47" s="206" t="str">
        <f aca="false">IF(Model!G50=0,"",Model!G50)</f>
        <v/>
      </c>
      <c r="J47" s="206" t="str">
        <f aca="false">IF(Model!H50=0,"",Model!H50)</f>
        <v/>
      </c>
      <c r="K47" s="206" t="str">
        <f aca="false">IF(Model!I50=0,"",Model!I50)</f>
        <v/>
      </c>
      <c r="L47" s="206" t="str">
        <f aca="false">IF(Model!J50=0,"",Model!J50)</f>
        <v/>
      </c>
      <c r="M47" s="206" t="str">
        <f aca="false">IF(Model!K50=0,"",Model!K50)</f>
        <v/>
      </c>
      <c r="N47" s="206" t="str">
        <f aca="false">IF(Model!L50=0,"",Model!L50)</f>
        <v/>
      </c>
      <c r="O47" s="206" t="str">
        <f aca="false">IF(Model!M50=0,"",Model!M50)</f>
        <v/>
      </c>
      <c r="P47" s="206" t="str">
        <f aca="false">IF(Model!N50=0,"",Model!N50)</f>
        <v/>
      </c>
      <c r="Q47" s="206" t="str">
        <f aca="false">IF(Model!O50=0,"",Model!O50)</f>
        <v/>
      </c>
      <c r="R47" s="206" t="str">
        <f aca="false">IF(Model!P50=0,"",Model!P50)</f>
        <v/>
      </c>
      <c r="S47" s="206" t="str">
        <f aca="false">IF(Model!Q50=0,"",Model!Q50)</f>
        <v/>
      </c>
      <c r="T47" s="206" t="str">
        <f aca="false">IF(Model!R50=0,"",Model!R50)</f>
        <v/>
      </c>
      <c r="U47" s="206" t="str">
        <f aca="false">IF(Model!S50=0,"",Model!S50)</f>
        <v/>
      </c>
      <c r="V47" s="206" t="str">
        <f aca="false">IF(Model!T50=0,"",Model!T50)</f>
        <v/>
      </c>
      <c r="W47" s="206" t="str">
        <f aca="false">IF(Model!U50=0,"",Model!U50)</f>
        <v/>
      </c>
      <c r="X47" s="206" t="str">
        <f aca="false">IF(Model!V50=0,"",Model!V50)</f>
        <v/>
      </c>
      <c r="Y47" s="206" t="str">
        <f aca="false">IF(Model!W50=0,"",Model!W50)</f>
        <v/>
      </c>
      <c r="Z47" s="206" t="str">
        <f aca="false">IF(Model!X50=0,"",Model!X50)</f>
        <v/>
      </c>
      <c r="AA47" s="206" t="str">
        <f aca="false">IF(Model!Y50=0,"",Model!Y50)</f>
        <v/>
      </c>
      <c r="AB47" s="206" t="str">
        <f aca="false">IF(Model!Z50=0,"",Model!Z50)</f>
        <v/>
      </c>
      <c r="AC47" s="206" t="str">
        <f aca="false">IF(Model!AA50=0,"",Model!AA50)</f>
        <v/>
      </c>
      <c r="AD47" s="206" t="str">
        <f aca="false">IF(Model!AB50=0,"",Model!AB50)</f>
        <v/>
      </c>
      <c r="AE47" s="206" t="str">
        <f aca="false">IF(Model!AC50=0,"",Model!AC50)</f>
        <v/>
      </c>
      <c r="AF47" s="206" t="str">
        <f aca="false">IF(Model!AD50=0,"",Model!AD50)</f>
        <v/>
      </c>
      <c r="AG47" s="206" t="str">
        <f aca="false">IF(Model!AE50=0,"",Model!AE50)</f>
        <v/>
      </c>
      <c r="AH47" s="206" t="str">
        <f aca="false">IF(Model!AF50=0,"",Model!AF50)</f>
        <v/>
      </c>
      <c r="AI47" s="206" t="str">
        <f aca="false">IF(Model!AG50=0,"",Model!AG50)</f>
        <v/>
      </c>
      <c r="AJ47" s="206" t="str">
        <f aca="false">IF(Model!AH50=0,"",Model!AH50)</f>
        <v/>
      </c>
      <c r="AK47" s="206" t="str">
        <f aca="false">IF(Model!AI50=0,"",Model!AI50)</f>
        <v/>
      </c>
      <c r="AL47" s="206" t="str">
        <f aca="false">IF(Model!AJ50=0,"",Model!AJ50)</f>
        <v/>
      </c>
      <c r="AM47" s="206" t="str">
        <f aca="false">IF(Model!AK50=0,"",Model!AK50)</f>
        <v/>
      </c>
      <c r="AN47" s="206" t="str">
        <f aca="false">IF(Model!AL50=0,"",Model!AL50)</f>
        <v/>
      </c>
      <c r="AO47" s="206" t="str">
        <f aca="false">IF(Model!AM50=0,"",Model!AM50)</f>
        <v/>
      </c>
      <c r="AP47" s="206" t="str">
        <f aca="false">IF(Model!AN50=0,"",Model!AN50)</f>
        <v/>
      </c>
      <c r="AQ47" s="206" t="str">
        <f aca="false">IF(Model!AO50=0,"",Model!AO50)</f>
        <v/>
      </c>
      <c r="AR47" s="206" t="str">
        <f aca="false">IF(Model!AP50=0,"",Model!AP50)</f>
        <v/>
      </c>
      <c r="AS47" s="206" t="str">
        <f aca="false">IF(Model!AQ50=0,"",Model!AQ50)</f>
        <v/>
      </c>
      <c r="AT47" s="206" t="str">
        <f aca="false">IF(Model!AR50=0,"",Model!AR50)</f>
        <v/>
      </c>
      <c r="AU47" s="206" t="str">
        <f aca="false">IF(Model!AS50=0,"",Model!AS50)</f>
        <v/>
      </c>
      <c r="AV47" s="206" t="str">
        <f aca="false">IF(Model!AT50=0,"",Model!AT50)</f>
        <v/>
      </c>
      <c r="AW47" s="206" t="str">
        <f aca="false">IF(Model!AU50=0,"",Model!AU50)</f>
        <v/>
      </c>
      <c r="AX47" s="206" t="str">
        <f aca="false">IF(Model!AV50=0,"",Model!AV50)</f>
        <v/>
      </c>
      <c r="AY47" s="206" t="str">
        <f aca="false">IF(Model!AW50=0,"",Model!AW50)</f>
        <v/>
      </c>
      <c r="AZ47" s="206" t="str">
        <f aca="false">IF(Model!AX50=0,"",Model!AX50)</f>
        <v/>
      </c>
      <c r="BA47" s="206" t="str">
        <f aca="false">IF(Model!AY50=0,"",Model!AY50)</f>
        <v/>
      </c>
      <c r="BB47" s="206" t="str">
        <f aca="false">IF(Model!AZ50=0,"",Model!AZ50)</f>
        <v/>
      </c>
      <c r="BC47" s="206" t="str">
        <f aca="false">IF(Model!BA50=0,"",Model!BA50)</f>
        <v/>
      </c>
      <c r="BD47" s="206" t="str">
        <f aca="false">IF(Model!BB50=0,"",Model!BB50)</f>
        <v/>
      </c>
      <c r="BE47" s="206" t="str">
        <f aca="false">IF(Model!BC50=0,"",Model!BC50)</f>
        <v/>
      </c>
      <c r="BF47" s="206" t="str">
        <f aca="false">IF(Model!BD50=0,"",Model!BD50)</f>
        <v/>
      </c>
      <c r="BG47" s="206" t="str">
        <f aca="false">IF(Model!BE50=0,"",Model!BE50)</f>
        <v/>
      </c>
      <c r="BH47" s="206" t="str">
        <f aca="false">IF(Model!BF50=0,"",Model!BF50)</f>
        <v/>
      </c>
      <c r="BI47" s="206" t="str">
        <f aca="false">IF(Model!BG50=0,"",Model!BG50)</f>
        <v/>
      </c>
      <c r="BJ47" s="206" t="str">
        <f aca="false">IF(Model!BH50=0,"",Model!BH50)</f>
        <v/>
      </c>
      <c r="BK47" s="206" t="str">
        <f aca="false">IF(Model!BI50=0,"",Model!BI50)</f>
        <v/>
      </c>
      <c r="BL47" s="206" t="str">
        <f aca="false">IF(Model!BJ50=0,"",Model!BJ50)</f>
        <v/>
      </c>
      <c r="BM47" s="206" t="str">
        <f aca="false">IF(Model!BK50=0,"",Model!BK50)</f>
        <v/>
      </c>
      <c r="BN47" s="206" t="str">
        <f aca="false">IF(Model!BL50=0,"",Model!BL50)</f>
        <v/>
      </c>
      <c r="BO47" s="206" t="str">
        <f aca="false">IF(Model!BM50=0,"",Model!BM50)</f>
        <v/>
      </c>
      <c r="BP47" s="206" t="str">
        <f aca="false">IF(Model!BN50=0,"",Model!BN50)</f>
        <v/>
      </c>
      <c r="BQ47" s="206" t="str">
        <f aca="false">IF(Model!BO50=0,"",Model!BO50)</f>
        <v/>
      </c>
      <c r="BR47" s="206" t="str">
        <f aca="false">IF(Model!BP50=0,"",Model!BP50)</f>
        <v/>
      </c>
      <c r="BS47" s="206" t="str">
        <f aca="false">IF(Model!BQ50=0,"",Model!BQ50)</f>
        <v/>
      </c>
      <c r="BT47" s="206" t="str">
        <f aca="false">IF(Model!BR50=0,"",Model!BR50)</f>
        <v/>
      </c>
      <c r="BU47" s="206" t="str">
        <f aca="false">IF(Model!BS50=0,"",Model!BS50)</f>
        <v/>
      </c>
      <c r="BV47" s="206" t="str">
        <f aca="false">IF(Model!BT50=0,"",Model!BT50)</f>
        <v/>
      </c>
      <c r="BW47" s="206" t="str">
        <f aca="false">IF(Model!BU50=0,"",Model!BU50)</f>
        <v/>
      </c>
      <c r="BX47" s="206" t="str">
        <f aca="false">IF(Model!BV50=0,"",Model!BV50)</f>
        <v/>
      </c>
      <c r="BY47" s="206" t="str">
        <f aca="false">IF(Model!BW50=0,"",Model!BW50)</f>
        <v/>
      </c>
      <c r="BZ47" s="206" t="str">
        <f aca="false">IF(Model!BX50=0,"",Model!BX50)</f>
        <v/>
      </c>
      <c r="CA47" s="206" t="str">
        <f aca="false">IF(Model!BY50=0,"",Model!BY50)</f>
        <v/>
      </c>
      <c r="CB47" s="206" t="str">
        <f aca="false">IF(Model!BZ50=0,"",Model!BZ50)</f>
        <v/>
      </c>
      <c r="CC47" s="206" t="str">
        <f aca="false">IF(Model!CA50=0,"",Model!CA50)</f>
        <v/>
      </c>
      <c r="CD47" s="206" t="str">
        <f aca="false">IF(Model!CB50=0,"",Model!CB50)</f>
        <v/>
      </c>
      <c r="CE47" s="206" t="str">
        <f aca="false">IF(Model!CC50=0,"",Model!CC50)</f>
        <v/>
      </c>
      <c r="CF47" s="206" t="str">
        <f aca="false">IF(Model!CD50=0,"",Model!CD50)</f>
        <v/>
      </c>
      <c r="CG47" s="206" t="str">
        <f aca="false">IF(Model!CE50=0,"",Model!CE50)</f>
        <v/>
      </c>
      <c r="CH47" s="206" t="str">
        <f aca="false">IF(Model!CF50=0,"",Model!CF50)</f>
        <v/>
      </c>
      <c r="CI47" s="206" t="str">
        <f aca="false">IF(Model!CG50=0,"",Model!CG50)</f>
        <v/>
      </c>
      <c r="CJ47" s="206" t="str">
        <f aca="false">IF(Model!CH50=0,"",Model!CH50)</f>
        <v/>
      </c>
      <c r="CK47" s="206" t="str">
        <f aca="false">IF(Model!CI50=0,"",Model!CI50)</f>
        <v/>
      </c>
      <c r="CL47" s="206" t="str">
        <f aca="false">IF(Model!CJ50=0,"",Model!CJ50)</f>
        <v/>
      </c>
      <c r="CM47" s="206" t="str">
        <f aca="false">IF(Model!CK50=0,"",Model!CK50)</f>
        <v/>
      </c>
      <c r="CN47" s="206" t="str">
        <f aca="false">IF(Model!CL50=0,"",Model!CL50)</f>
        <v/>
      </c>
      <c r="CO47" s="206" t="str">
        <f aca="false">IF(Model!CM50=0,"",Model!CM50)</f>
        <v/>
      </c>
      <c r="CP47" s="206" t="str">
        <f aca="false">IF(Model!CN50=0,"",Model!CN50)</f>
        <v/>
      </c>
      <c r="CQ47" s="206" t="str">
        <f aca="false">IF(Model!CO50=0,"",Model!CO50)</f>
        <v/>
      </c>
      <c r="CR47" s="206" t="str">
        <f aca="false">IF(Model!CP50=0,"",Model!CP50)</f>
        <v/>
      </c>
      <c r="CS47" s="206" t="str">
        <f aca="false">IF(Model!CQ50=0,"",Model!CQ50)</f>
        <v/>
      </c>
      <c r="CT47" s="206" t="str">
        <f aca="false">IF(Model!CR50=0,"",Model!CR50)</f>
        <v/>
      </c>
      <c r="CU47" s="206" t="str">
        <f aca="false">IF(Model!CS50=0,"",Model!CS50)</f>
        <v/>
      </c>
      <c r="CV47" s="206" t="str">
        <f aca="false">IF(Model!CT50=0,"",Model!CT50)</f>
        <v/>
      </c>
      <c r="CW47" s="206" t="str">
        <f aca="false">IF(Model!CU50=0,"",Model!CU50)</f>
        <v/>
      </c>
      <c r="CX47" s="206" t="str">
        <f aca="false">IF(Model!CV50=0,"",Model!CV50)</f>
        <v/>
      </c>
      <c r="CY47" s="206" t="str">
        <f aca="false">IF(Model!CW50=0,"",Model!CW50)</f>
        <v/>
      </c>
      <c r="CZ47" s="206" t="str">
        <f aca="false">IF(Model!CX50=0,"",Model!CX50)</f>
        <v/>
      </c>
      <c r="DA47" s="206" t="str">
        <f aca="false">IF(Model!CY50=0,"",Model!CY50)</f>
        <v/>
      </c>
      <c r="DB47" s="206" t="str">
        <f aca="false">IF(Model!CZ50=0,"",Model!CZ50)</f>
        <v/>
      </c>
    </row>
    <row r="48" customFormat="false" ht="15" hidden="false" customHeight="true" outlineLevel="0" collapsed="false">
      <c r="A48" s="123" t="s">
        <v>45</v>
      </c>
      <c r="B48" s="203" t="n">
        <f aca="false">Projects!$B$42</f>
        <v>18000000</v>
      </c>
      <c r="C48" s="204" t="n">
        <f aca="false">EDATE(Model!$E$2,Projects!$C$42-1)</f>
        <v>48335</v>
      </c>
      <c r="D48" s="204" t="n">
        <f aca="false">EDATE(Model!$E$2,Projects!$C$42+Projects!$D$42-2)</f>
        <v>48884</v>
      </c>
      <c r="E48" s="205" t="n">
        <f aca="false">Projects!$D$42</f>
        <v>19</v>
      </c>
      <c r="F48" s="203" t="n">
        <f aca="false">SUM(G48:DB48)</f>
        <v>0</v>
      </c>
      <c r="G48" s="206" t="str">
        <f aca="false">IF(Model!E51=0,"",Model!E51)</f>
        <v/>
      </c>
      <c r="H48" s="206" t="str">
        <f aca="false">IF(Model!F51=0,"",Model!F51)</f>
        <v/>
      </c>
      <c r="I48" s="206" t="str">
        <f aca="false">IF(Model!G51=0,"",Model!G51)</f>
        <v/>
      </c>
      <c r="J48" s="206" t="str">
        <f aca="false">IF(Model!H51=0,"",Model!H51)</f>
        <v/>
      </c>
      <c r="K48" s="206" t="str">
        <f aca="false">IF(Model!I51=0,"",Model!I51)</f>
        <v/>
      </c>
      <c r="L48" s="206" t="str">
        <f aca="false">IF(Model!J51=0,"",Model!J51)</f>
        <v/>
      </c>
      <c r="M48" s="206" t="str">
        <f aca="false">IF(Model!K51=0,"",Model!K51)</f>
        <v/>
      </c>
      <c r="N48" s="206" t="str">
        <f aca="false">IF(Model!L51=0,"",Model!L51)</f>
        <v/>
      </c>
      <c r="O48" s="206" t="str">
        <f aca="false">IF(Model!M51=0,"",Model!M51)</f>
        <v/>
      </c>
      <c r="P48" s="206" t="str">
        <f aca="false">IF(Model!N51=0,"",Model!N51)</f>
        <v/>
      </c>
      <c r="Q48" s="206" t="str">
        <f aca="false">IF(Model!O51=0,"",Model!O51)</f>
        <v/>
      </c>
      <c r="R48" s="206" t="str">
        <f aca="false">IF(Model!P51=0,"",Model!P51)</f>
        <v/>
      </c>
      <c r="S48" s="206" t="str">
        <f aca="false">IF(Model!Q51=0,"",Model!Q51)</f>
        <v/>
      </c>
      <c r="T48" s="206" t="str">
        <f aca="false">IF(Model!R51=0,"",Model!R51)</f>
        <v/>
      </c>
      <c r="U48" s="206" t="str">
        <f aca="false">IF(Model!S51=0,"",Model!S51)</f>
        <v/>
      </c>
      <c r="V48" s="206" t="str">
        <f aca="false">IF(Model!T51=0,"",Model!T51)</f>
        <v/>
      </c>
      <c r="W48" s="206" t="str">
        <f aca="false">IF(Model!U51=0,"",Model!U51)</f>
        <v/>
      </c>
      <c r="X48" s="206" t="str">
        <f aca="false">IF(Model!V51=0,"",Model!V51)</f>
        <v/>
      </c>
      <c r="Y48" s="206" t="str">
        <f aca="false">IF(Model!W51=0,"",Model!W51)</f>
        <v/>
      </c>
      <c r="Z48" s="206" t="str">
        <f aca="false">IF(Model!X51=0,"",Model!X51)</f>
        <v/>
      </c>
      <c r="AA48" s="206" t="str">
        <f aca="false">IF(Model!Y51=0,"",Model!Y51)</f>
        <v/>
      </c>
      <c r="AB48" s="206" t="str">
        <f aca="false">IF(Model!Z51=0,"",Model!Z51)</f>
        <v/>
      </c>
      <c r="AC48" s="206" t="str">
        <f aca="false">IF(Model!AA51=0,"",Model!AA51)</f>
        <v/>
      </c>
      <c r="AD48" s="206" t="str">
        <f aca="false">IF(Model!AB51=0,"",Model!AB51)</f>
        <v/>
      </c>
      <c r="AE48" s="206" t="str">
        <f aca="false">IF(Model!AC51=0,"",Model!AC51)</f>
        <v/>
      </c>
      <c r="AF48" s="206" t="str">
        <f aca="false">IF(Model!AD51=0,"",Model!AD51)</f>
        <v/>
      </c>
      <c r="AG48" s="206" t="str">
        <f aca="false">IF(Model!AE51=0,"",Model!AE51)</f>
        <v/>
      </c>
      <c r="AH48" s="206" t="str">
        <f aca="false">IF(Model!AF51=0,"",Model!AF51)</f>
        <v/>
      </c>
      <c r="AI48" s="206" t="str">
        <f aca="false">IF(Model!AG51=0,"",Model!AG51)</f>
        <v/>
      </c>
      <c r="AJ48" s="206" t="str">
        <f aca="false">IF(Model!AH51=0,"",Model!AH51)</f>
        <v/>
      </c>
      <c r="AK48" s="206" t="str">
        <f aca="false">IF(Model!AI51=0,"",Model!AI51)</f>
        <v/>
      </c>
      <c r="AL48" s="206" t="str">
        <f aca="false">IF(Model!AJ51=0,"",Model!AJ51)</f>
        <v/>
      </c>
      <c r="AM48" s="206" t="str">
        <f aca="false">IF(Model!AK51=0,"",Model!AK51)</f>
        <v/>
      </c>
      <c r="AN48" s="206" t="str">
        <f aca="false">IF(Model!AL51=0,"",Model!AL51)</f>
        <v/>
      </c>
      <c r="AO48" s="206" t="str">
        <f aca="false">IF(Model!AM51=0,"",Model!AM51)</f>
        <v/>
      </c>
      <c r="AP48" s="206" t="str">
        <f aca="false">IF(Model!AN51=0,"",Model!AN51)</f>
        <v/>
      </c>
      <c r="AQ48" s="206" t="str">
        <f aca="false">IF(Model!AO51=0,"",Model!AO51)</f>
        <v/>
      </c>
      <c r="AR48" s="206" t="str">
        <f aca="false">IF(Model!AP51=0,"",Model!AP51)</f>
        <v/>
      </c>
      <c r="AS48" s="206" t="str">
        <f aca="false">IF(Model!AQ51=0,"",Model!AQ51)</f>
        <v/>
      </c>
      <c r="AT48" s="206" t="str">
        <f aca="false">IF(Model!AR51=0,"",Model!AR51)</f>
        <v/>
      </c>
      <c r="AU48" s="206" t="str">
        <f aca="false">IF(Model!AS51=0,"",Model!AS51)</f>
        <v/>
      </c>
      <c r="AV48" s="206" t="str">
        <f aca="false">IF(Model!AT51=0,"",Model!AT51)</f>
        <v/>
      </c>
      <c r="AW48" s="206" t="str">
        <f aca="false">IF(Model!AU51=0,"",Model!AU51)</f>
        <v/>
      </c>
      <c r="AX48" s="206" t="str">
        <f aca="false">IF(Model!AV51=0,"",Model!AV51)</f>
        <v/>
      </c>
      <c r="AY48" s="206" t="str">
        <f aca="false">IF(Model!AW51=0,"",Model!AW51)</f>
        <v/>
      </c>
      <c r="AZ48" s="206" t="str">
        <f aca="false">IF(Model!AX51=0,"",Model!AX51)</f>
        <v/>
      </c>
      <c r="BA48" s="206" t="str">
        <f aca="false">IF(Model!AY51=0,"",Model!AY51)</f>
        <v/>
      </c>
      <c r="BB48" s="206" t="str">
        <f aca="false">IF(Model!AZ51=0,"",Model!AZ51)</f>
        <v/>
      </c>
      <c r="BC48" s="206" t="str">
        <f aca="false">IF(Model!BA51=0,"",Model!BA51)</f>
        <v/>
      </c>
      <c r="BD48" s="206" t="str">
        <f aca="false">IF(Model!BB51=0,"",Model!BB51)</f>
        <v/>
      </c>
      <c r="BE48" s="206" t="str">
        <f aca="false">IF(Model!BC51=0,"",Model!BC51)</f>
        <v/>
      </c>
      <c r="BF48" s="206" t="str">
        <f aca="false">IF(Model!BD51=0,"",Model!BD51)</f>
        <v/>
      </c>
      <c r="BG48" s="206" t="str">
        <f aca="false">IF(Model!BE51=0,"",Model!BE51)</f>
        <v/>
      </c>
      <c r="BH48" s="206" t="str">
        <f aca="false">IF(Model!BF51=0,"",Model!BF51)</f>
        <v/>
      </c>
      <c r="BI48" s="206" t="str">
        <f aca="false">IF(Model!BG51=0,"",Model!BG51)</f>
        <v/>
      </c>
      <c r="BJ48" s="206" t="str">
        <f aca="false">IF(Model!BH51=0,"",Model!BH51)</f>
        <v/>
      </c>
      <c r="BK48" s="206" t="str">
        <f aca="false">IF(Model!BI51=0,"",Model!BI51)</f>
        <v/>
      </c>
      <c r="BL48" s="206" t="str">
        <f aca="false">IF(Model!BJ51=0,"",Model!BJ51)</f>
        <v/>
      </c>
      <c r="BM48" s="206" t="str">
        <f aca="false">IF(Model!BK51=0,"",Model!BK51)</f>
        <v/>
      </c>
      <c r="BN48" s="206" t="str">
        <f aca="false">IF(Model!BL51=0,"",Model!BL51)</f>
        <v/>
      </c>
      <c r="BO48" s="206" t="str">
        <f aca="false">IF(Model!BM51=0,"",Model!BM51)</f>
        <v/>
      </c>
      <c r="BP48" s="206" t="str">
        <f aca="false">IF(Model!BN51=0,"",Model!BN51)</f>
        <v/>
      </c>
      <c r="BQ48" s="206" t="str">
        <f aca="false">IF(Model!BO51=0,"",Model!BO51)</f>
        <v/>
      </c>
      <c r="BR48" s="206" t="str">
        <f aca="false">IF(Model!BP51=0,"",Model!BP51)</f>
        <v/>
      </c>
      <c r="BS48" s="206" t="str">
        <f aca="false">IF(Model!BQ51=0,"",Model!BQ51)</f>
        <v/>
      </c>
      <c r="BT48" s="206" t="str">
        <f aca="false">IF(Model!BR51=0,"",Model!BR51)</f>
        <v/>
      </c>
      <c r="BU48" s="206" t="str">
        <f aca="false">IF(Model!BS51=0,"",Model!BS51)</f>
        <v/>
      </c>
      <c r="BV48" s="206" t="str">
        <f aca="false">IF(Model!BT51=0,"",Model!BT51)</f>
        <v/>
      </c>
      <c r="BW48" s="206" t="str">
        <f aca="false">IF(Model!BU51=0,"",Model!BU51)</f>
        <v/>
      </c>
      <c r="BX48" s="206" t="str">
        <f aca="false">IF(Model!BV51=0,"",Model!BV51)</f>
        <v/>
      </c>
      <c r="BY48" s="206" t="str">
        <f aca="false">IF(Model!BW51=0,"",Model!BW51)</f>
        <v/>
      </c>
      <c r="BZ48" s="206" t="str">
        <f aca="false">IF(Model!BX51=0,"",Model!BX51)</f>
        <v/>
      </c>
      <c r="CA48" s="206" t="str">
        <f aca="false">IF(Model!BY51=0,"",Model!BY51)</f>
        <v/>
      </c>
      <c r="CB48" s="206" t="str">
        <f aca="false">IF(Model!BZ51=0,"",Model!BZ51)</f>
        <v/>
      </c>
      <c r="CC48" s="206" t="str">
        <f aca="false">IF(Model!CA51=0,"",Model!CA51)</f>
        <v/>
      </c>
      <c r="CD48" s="206" t="str">
        <f aca="false">IF(Model!CB51=0,"",Model!CB51)</f>
        <v/>
      </c>
      <c r="CE48" s="206" t="str">
        <f aca="false">IF(Model!CC51=0,"",Model!CC51)</f>
        <v/>
      </c>
      <c r="CF48" s="206" t="str">
        <f aca="false">IF(Model!CD51=0,"",Model!CD51)</f>
        <v/>
      </c>
      <c r="CG48" s="206" t="str">
        <f aca="false">IF(Model!CE51=0,"",Model!CE51)</f>
        <v/>
      </c>
      <c r="CH48" s="206" t="str">
        <f aca="false">IF(Model!CF51=0,"",Model!CF51)</f>
        <v/>
      </c>
      <c r="CI48" s="206" t="str">
        <f aca="false">IF(Model!CG51=0,"",Model!CG51)</f>
        <v/>
      </c>
      <c r="CJ48" s="206" t="str">
        <f aca="false">IF(Model!CH51=0,"",Model!CH51)</f>
        <v/>
      </c>
      <c r="CK48" s="206" t="str">
        <f aca="false">IF(Model!CI51=0,"",Model!CI51)</f>
        <v/>
      </c>
      <c r="CL48" s="206" t="str">
        <f aca="false">IF(Model!CJ51=0,"",Model!CJ51)</f>
        <v/>
      </c>
      <c r="CM48" s="206" t="str">
        <f aca="false">IF(Model!CK51=0,"",Model!CK51)</f>
        <v/>
      </c>
      <c r="CN48" s="206" t="str">
        <f aca="false">IF(Model!CL51=0,"",Model!CL51)</f>
        <v/>
      </c>
      <c r="CO48" s="206" t="str">
        <f aca="false">IF(Model!CM51=0,"",Model!CM51)</f>
        <v/>
      </c>
      <c r="CP48" s="206" t="str">
        <f aca="false">IF(Model!CN51=0,"",Model!CN51)</f>
        <v/>
      </c>
      <c r="CQ48" s="206" t="str">
        <f aca="false">IF(Model!CO51=0,"",Model!CO51)</f>
        <v/>
      </c>
      <c r="CR48" s="206" t="str">
        <f aca="false">IF(Model!CP51=0,"",Model!CP51)</f>
        <v/>
      </c>
      <c r="CS48" s="206" t="str">
        <f aca="false">IF(Model!CQ51=0,"",Model!CQ51)</f>
        <v/>
      </c>
      <c r="CT48" s="206" t="str">
        <f aca="false">IF(Model!CR51=0,"",Model!CR51)</f>
        <v/>
      </c>
      <c r="CU48" s="206" t="str">
        <f aca="false">IF(Model!CS51=0,"",Model!CS51)</f>
        <v/>
      </c>
      <c r="CV48" s="206" t="str">
        <f aca="false">IF(Model!CT51=0,"",Model!CT51)</f>
        <v/>
      </c>
      <c r="CW48" s="206" t="str">
        <f aca="false">IF(Model!CU51=0,"",Model!CU51)</f>
        <v/>
      </c>
      <c r="CX48" s="206" t="str">
        <f aca="false">IF(Model!CV51=0,"",Model!CV51)</f>
        <v/>
      </c>
      <c r="CY48" s="206" t="str">
        <f aca="false">IF(Model!CW51=0,"",Model!CW51)</f>
        <v/>
      </c>
      <c r="CZ48" s="206" t="str">
        <f aca="false">IF(Model!CX51=0,"",Model!CX51)</f>
        <v/>
      </c>
      <c r="DA48" s="206" t="str">
        <f aca="false">IF(Model!CY51=0,"",Model!CY51)</f>
        <v/>
      </c>
      <c r="DB48" s="206" t="str">
        <f aca="false">IF(Model!CZ51=0,"",Model!CZ51)</f>
        <v/>
      </c>
    </row>
    <row r="49" customFormat="false" ht="15" hidden="false" customHeight="true" outlineLevel="0" collapsed="false">
      <c r="A49" s="123" t="s">
        <v>46</v>
      </c>
      <c r="B49" s="203" t="n">
        <f aca="false">Projects!$B$43</f>
        <v>15000000</v>
      </c>
      <c r="C49" s="204" t="n">
        <f aca="false">EDATE(Model!$E$2,Projects!$C$43-1)</f>
        <v>48396</v>
      </c>
      <c r="D49" s="204" t="n">
        <f aca="false">EDATE(Model!$E$2,Projects!$C$43+Projects!$D$43-2)</f>
        <v>48945</v>
      </c>
      <c r="E49" s="205" t="n">
        <f aca="false">Projects!$D$43</f>
        <v>19</v>
      </c>
      <c r="F49" s="203" t="n">
        <f aca="false">SUM(G49:DB49)</f>
        <v>0</v>
      </c>
      <c r="G49" s="206" t="str">
        <f aca="false">IF(Model!E52=0,"",Model!E52)</f>
        <v/>
      </c>
      <c r="H49" s="206" t="str">
        <f aca="false">IF(Model!F52=0,"",Model!F52)</f>
        <v/>
      </c>
      <c r="I49" s="206" t="str">
        <f aca="false">IF(Model!G52=0,"",Model!G52)</f>
        <v/>
      </c>
      <c r="J49" s="206" t="str">
        <f aca="false">IF(Model!H52=0,"",Model!H52)</f>
        <v/>
      </c>
      <c r="K49" s="206" t="str">
        <f aca="false">IF(Model!I52=0,"",Model!I52)</f>
        <v/>
      </c>
      <c r="L49" s="206" t="str">
        <f aca="false">IF(Model!J52=0,"",Model!J52)</f>
        <v/>
      </c>
      <c r="M49" s="206" t="str">
        <f aca="false">IF(Model!K52=0,"",Model!K52)</f>
        <v/>
      </c>
      <c r="N49" s="206" t="str">
        <f aca="false">IF(Model!L52=0,"",Model!L52)</f>
        <v/>
      </c>
      <c r="O49" s="206" t="str">
        <f aca="false">IF(Model!M52=0,"",Model!M52)</f>
        <v/>
      </c>
      <c r="P49" s="206" t="str">
        <f aca="false">IF(Model!N52=0,"",Model!N52)</f>
        <v/>
      </c>
      <c r="Q49" s="206" t="str">
        <f aca="false">IF(Model!O52=0,"",Model!O52)</f>
        <v/>
      </c>
      <c r="R49" s="206" t="str">
        <f aca="false">IF(Model!P52=0,"",Model!P52)</f>
        <v/>
      </c>
      <c r="S49" s="206" t="str">
        <f aca="false">IF(Model!Q52=0,"",Model!Q52)</f>
        <v/>
      </c>
      <c r="T49" s="206" t="str">
        <f aca="false">IF(Model!R52=0,"",Model!R52)</f>
        <v/>
      </c>
      <c r="U49" s="206" t="str">
        <f aca="false">IF(Model!S52=0,"",Model!S52)</f>
        <v/>
      </c>
      <c r="V49" s="206" t="str">
        <f aca="false">IF(Model!T52=0,"",Model!T52)</f>
        <v/>
      </c>
      <c r="W49" s="206" t="str">
        <f aca="false">IF(Model!U52=0,"",Model!U52)</f>
        <v/>
      </c>
      <c r="X49" s="206" t="str">
        <f aca="false">IF(Model!V52=0,"",Model!V52)</f>
        <v/>
      </c>
      <c r="Y49" s="206" t="str">
        <f aca="false">IF(Model!W52=0,"",Model!W52)</f>
        <v/>
      </c>
      <c r="Z49" s="206" t="str">
        <f aca="false">IF(Model!X52=0,"",Model!X52)</f>
        <v/>
      </c>
      <c r="AA49" s="206" t="str">
        <f aca="false">IF(Model!Y52=0,"",Model!Y52)</f>
        <v/>
      </c>
      <c r="AB49" s="206" t="str">
        <f aca="false">IF(Model!Z52=0,"",Model!Z52)</f>
        <v/>
      </c>
      <c r="AC49" s="206" t="str">
        <f aca="false">IF(Model!AA52=0,"",Model!AA52)</f>
        <v/>
      </c>
      <c r="AD49" s="206" t="str">
        <f aca="false">IF(Model!AB52=0,"",Model!AB52)</f>
        <v/>
      </c>
      <c r="AE49" s="206" t="str">
        <f aca="false">IF(Model!AC52=0,"",Model!AC52)</f>
        <v/>
      </c>
      <c r="AF49" s="206" t="str">
        <f aca="false">IF(Model!AD52=0,"",Model!AD52)</f>
        <v/>
      </c>
      <c r="AG49" s="206" t="str">
        <f aca="false">IF(Model!AE52=0,"",Model!AE52)</f>
        <v/>
      </c>
      <c r="AH49" s="206" t="str">
        <f aca="false">IF(Model!AF52=0,"",Model!AF52)</f>
        <v/>
      </c>
      <c r="AI49" s="206" t="str">
        <f aca="false">IF(Model!AG52=0,"",Model!AG52)</f>
        <v/>
      </c>
      <c r="AJ49" s="206" t="str">
        <f aca="false">IF(Model!AH52=0,"",Model!AH52)</f>
        <v/>
      </c>
      <c r="AK49" s="206" t="str">
        <f aca="false">IF(Model!AI52=0,"",Model!AI52)</f>
        <v/>
      </c>
      <c r="AL49" s="206" t="str">
        <f aca="false">IF(Model!AJ52=0,"",Model!AJ52)</f>
        <v/>
      </c>
      <c r="AM49" s="206" t="str">
        <f aca="false">IF(Model!AK52=0,"",Model!AK52)</f>
        <v/>
      </c>
      <c r="AN49" s="206" t="str">
        <f aca="false">IF(Model!AL52=0,"",Model!AL52)</f>
        <v/>
      </c>
      <c r="AO49" s="206" t="str">
        <f aca="false">IF(Model!AM52=0,"",Model!AM52)</f>
        <v/>
      </c>
      <c r="AP49" s="206" t="str">
        <f aca="false">IF(Model!AN52=0,"",Model!AN52)</f>
        <v/>
      </c>
      <c r="AQ49" s="206" t="str">
        <f aca="false">IF(Model!AO52=0,"",Model!AO52)</f>
        <v/>
      </c>
      <c r="AR49" s="206" t="str">
        <f aca="false">IF(Model!AP52=0,"",Model!AP52)</f>
        <v/>
      </c>
      <c r="AS49" s="206" t="str">
        <f aca="false">IF(Model!AQ52=0,"",Model!AQ52)</f>
        <v/>
      </c>
      <c r="AT49" s="206" t="str">
        <f aca="false">IF(Model!AR52=0,"",Model!AR52)</f>
        <v/>
      </c>
      <c r="AU49" s="206" t="str">
        <f aca="false">IF(Model!AS52=0,"",Model!AS52)</f>
        <v/>
      </c>
      <c r="AV49" s="206" t="str">
        <f aca="false">IF(Model!AT52=0,"",Model!AT52)</f>
        <v/>
      </c>
      <c r="AW49" s="206" t="str">
        <f aca="false">IF(Model!AU52=0,"",Model!AU52)</f>
        <v/>
      </c>
      <c r="AX49" s="206" t="str">
        <f aca="false">IF(Model!AV52=0,"",Model!AV52)</f>
        <v/>
      </c>
      <c r="AY49" s="206" t="str">
        <f aca="false">IF(Model!AW52=0,"",Model!AW52)</f>
        <v/>
      </c>
      <c r="AZ49" s="206" t="str">
        <f aca="false">IF(Model!AX52=0,"",Model!AX52)</f>
        <v/>
      </c>
      <c r="BA49" s="206" t="str">
        <f aca="false">IF(Model!AY52=0,"",Model!AY52)</f>
        <v/>
      </c>
      <c r="BB49" s="206" t="str">
        <f aca="false">IF(Model!AZ52=0,"",Model!AZ52)</f>
        <v/>
      </c>
      <c r="BC49" s="206" t="str">
        <f aca="false">IF(Model!BA52=0,"",Model!BA52)</f>
        <v/>
      </c>
      <c r="BD49" s="206" t="str">
        <f aca="false">IF(Model!BB52=0,"",Model!BB52)</f>
        <v/>
      </c>
      <c r="BE49" s="206" t="str">
        <f aca="false">IF(Model!BC52=0,"",Model!BC52)</f>
        <v/>
      </c>
      <c r="BF49" s="206" t="str">
        <f aca="false">IF(Model!BD52=0,"",Model!BD52)</f>
        <v/>
      </c>
      <c r="BG49" s="206" t="str">
        <f aca="false">IF(Model!BE52=0,"",Model!BE52)</f>
        <v/>
      </c>
      <c r="BH49" s="206" t="str">
        <f aca="false">IF(Model!BF52=0,"",Model!BF52)</f>
        <v/>
      </c>
      <c r="BI49" s="206" t="str">
        <f aca="false">IF(Model!BG52=0,"",Model!BG52)</f>
        <v/>
      </c>
      <c r="BJ49" s="206" t="str">
        <f aca="false">IF(Model!BH52=0,"",Model!BH52)</f>
        <v/>
      </c>
      <c r="BK49" s="206" t="str">
        <f aca="false">IF(Model!BI52=0,"",Model!BI52)</f>
        <v/>
      </c>
      <c r="BL49" s="206" t="str">
        <f aca="false">IF(Model!BJ52=0,"",Model!BJ52)</f>
        <v/>
      </c>
      <c r="BM49" s="206" t="str">
        <f aca="false">IF(Model!BK52=0,"",Model!BK52)</f>
        <v/>
      </c>
      <c r="BN49" s="206" t="str">
        <f aca="false">IF(Model!BL52=0,"",Model!BL52)</f>
        <v/>
      </c>
      <c r="BO49" s="206" t="str">
        <f aca="false">IF(Model!BM52=0,"",Model!BM52)</f>
        <v/>
      </c>
      <c r="BP49" s="206" t="str">
        <f aca="false">IF(Model!BN52=0,"",Model!BN52)</f>
        <v/>
      </c>
      <c r="BQ49" s="206" t="str">
        <f aca="false">IF(Model!BO52=0,"",Model!BO52)</f>
        <v/>
      </c>
      <c r="BR49" s="206" t="str">
        <f aca="false">IF(Model!BP52=0,"",Model!BP52)</f>
        <v/>
      </c>
      <c r="BS49" s="206" t="str">
        <f aca="false">IF(Model!BQ52=0,"",Model!BQ52)</f>
        <v/>
      </c>
      <c r="BT49" s="206" t="str">
        <f aca="false">IF(Model!BR52=0,"",Model!BR52)</f>
        <v/>
      </c>
      <c r="BU49" s="206" t="str">
        <f aca="false">IF(Model!BS52=0,"",Model!BS52)</f>
        <v/>
      </c>
      <c r="BV49" s="206" t="str">
        <f aca="false">IF(Model!BT52=0,"",Model!BT52)</f>
        <v/>
      </c>
      <c r="BW49" s="206" t="str">
        <f aca="false">IF(Model!BU52=0,"",Model!BU52)</f>
        <v/>
      </c>
      <c r="BX49" s="206" t="str">
        <f aca="false">IF(Model!BV52=0,"",Model!BV52)</f>
        <v/>
      </c>
      <c r="BY49" s="206" t="str">
        <f aca="false">IF(Model!BW52=0,"",Model!BW52)</f>
        <v/>
      </c>
      <c r="BZ49" s="206" t="str">
        <f aca="false">IF(Model!BX52=0,"",Model!BX52)</f>
        <v/>
      </c>
      <c r="CA49" s="206" t="str">
        <f aca="false">IF(Model!BY52=0,"",Model!BY52)</f>
        <v/>
      </c>
      <c r="CB49" s="206" t="str">
        <f aca="false">IF(Model!BZ52=0,"",Model!BZ52)</f>
        <v/>
      </c>
      <c r="CC49" s="206" t="str">
        <f aca="false">IF(Model!CA52=0,"",Model!CA52)</f>
        <v/>
      </c>
      <c r="CD49" s="206" t="str">
        <f aca="false">IF(Model!CB52=0,"",Model!CB52)</f>
        <v/>
      </c>
      <c r="CE49" s="206" t="str">
        <f aca="false">IF(Model!CC52=0,"",Model!CC52)</f>
        <v/>
      </c>
      <c r="CF49" s="206" t="str">
        <f aca="false">IF(Model!CD52=0,"",Model!CD52)</f>
        <v/>
      </c>
      <c r="CG49" s="206" t="str">
        <f aca="false">IF(Model!CE52=0,"",Model!CE52)</f>
        <v/>
      </c>
      <c r="CH49" s="206" t="str">
        <f aca="false">IF(Model!CF52=0,"",Model!CF52)</f>
        <v/>
      </c>
      <c r="CI49" s="206" t="str">
        <f aca="false">IF(Model!CG52=0,"",Model!CG52)</f>
        <v/>
      </c>
      <c r="CJ49" s="206" t="str">
        <f aca="false">IF(Model!CH52=0,"",Model!CH52)</f>
        <v/>
      </c>
      <c r="CK49" s="206" t="str">
        <f aca="false">IF(Model!CI52=0,"",Model!CI52)</f>
        <v/>
      </c>
      <c r="CL49" s="206" t="str">
        <f aca="false">IF(Model!CJ52=0,"",Model!CJ52)</f>
        <v/>
      </c>
      <c r="CM49" s="206" t="str">
        <f aca="false">IF(Model!CK52=0,"",Model!CK52)</f>
        <v/>
      </c>
      <c r="CN49" s="206" t="str">
        <f aca="false">IF(Model!CL52=0,"",Model!CL52)</f>
        <v/>
      </c>
      <c r="CO49" s="206" t="str">
        <f aca="false">IF(Model!CM52=0,"",Model!CM52)</f>
        <v/>
      </c>
      <c r="CP49" s="206" t="str">
        <f aca="false">IF(Model!CN52=0,"",Model!CN52)</f>
        <v/>
      </c>
      <c r="CQ49" s="206" t="str">
        <f aca="false">IF(Model!CO52=0,"",Model!CO52)</f>
        <v/>
      </c>
      <c r="CR49" s="206" t="str">
        <f aca="false">IF(Model!CP52=0,"",Model!CP52)</f>
        <v/>
      </c>
      <c r="CS49" s="206" t="str">
        <f aca="false">IF(Model!CQ52=0,"",Model!CQ52)</f>
        <v/>
      </c>
      <c r="CT49" s="206" t="str">
        <f aca="false">IF(Model!CR52=0,"",Model!CR52)</f>
        <v/>
      </c>
      <c r="CU49" s="206" t="str">
        <f aca="false">IF(Model!CS52=0,"",Model!CS52)</f>
        <v/>
      </c>
      <c r="CV49" s="206" t="str">
        <f aca="false">IF(Model!CT52=0,"",Model!CT52)</f>
        <v/>
      </c>
      <c r="CW49" s="206" t="str">
        <f aca="false">IF(Model!CU52=0,"",Model!CU52)</f>
        <v/>
      </c>
      <c r="CX49" s="206" t="str">
        <f aca="false">IF(Model!CV52=0,"",Model!CV52)</f>
        <v/>
      </c>
      <c r="CY49" s="206" t="str">
        <f aca="false">IF(Model!CW52=0,"",Model!CW52)</f>
        <v/>
      </c>
      <c r="CZ49" s="206" t="str">
        <f aca="false">IF(Model!CX52=0,"",Model!CX52)</f>
        <v/>
      </c>
      <c r="DA49" s="206" t="str">
        <f aca="false">IF(Model!CY52=0,"",Model!CY52)</f>
        <v/>
      </c>
      <c r="DB49" s="206" t="str">
        <f aca="false">IF(Model!CZ52=0,"",Model!CZ52)</f>
        <v/>
      </c>
    </row>
    <row r="50" customFormat="false" ht="15" hidden="false" customHeight="true" outlineLevel="0" collapsed="false">
      <c r="A50" s="123" t="s">
        <v>47</v>
      </c>
      <c r="B50" s="203" t="n">
        <f aca="false">Projects!$B$44</f>
        <v>15000000</v>
      </c>
      <c r="C50" s="204" t="n">
        <f aca="false">EDATE(Model!$E$2,Projects!$C$44-1)</f>
        <v>48458</v>
      </c>
      <c r="D50" s="204" t="n">
        <f aca="false">EDATE(Model!$E$2,Projects!$C$44+Projects!$D$44-2)</f>
        <v>49004</v>
      </c>
      <c r="E50" s="205" t="n">
        <f aca="false">Projects!$D$44</f>
        <v>19</v>
      </c>
      <c r="F50" s="203" t="n">
        <f aca="false">SUM(G50:DB50)</f>
        <v>0</v>
      </c>
      <c r="G50" s="206" t="str">
        <f aca="false">IF(Model!E53=0,"",Model!E53)</f>
        <v/>
      </c>
      <c r="H50" s="206" t="str">
        <f aca="false">IF(Model!F53=0,"",Model!F53)</f>
        <v/>
      </c>
      <c r="I50" s="206" t="str">
        <f aca="false">IF(Model!G53=0,"",Model!G53)</f>
        <v/>
      </c>
      <c r="J50" s="206" t="str">
        <f aca="false">IF(Model!H53=0,"",Model!H53)</f>
        <v/>
      </c>
      <c r="K50" s="206" t="str">
        <f aca="false">IF(Model!I53=0,"",Model!I53)</f>
        <v/>
      </c>
      <c r="L50" s="206" t="str">
        <f aca="false">IF(Model!J53=0,"",Model!J53)</f>
        <v/>
      </c>
      <c r="M50" s="206" t="str">
        <f aca="false">IF(Model!K53=0,"",Model!K53)</f>
        <v/>
      </c>
      <c r="N50" s="206" t="str">
        <f aca="false">IF(Model!L53=0,"",Model!L53)</f>
        <v/>
      </c>
      <c r="O50" s="206" t="str">
        <f aca="false">IF(Model!M53=0,"",Model!M53)</f>
        <v/>
      </c>
      <c r="P50" s="206" t="str">
        <f aca="false">IF(Model!N53=0,"",Model!N53)</f>
        <v/>
      </c>
      <c r="Q50" s="206" t="str">
        <f aca="false">IF(Model!O53=0,"",Model!O53)</f>
        <v/>
      </c>
      <c r="R50" s="206" t="str">
        <f aca="false">IF(Model!P53=0,"",Model!P53)</f>
        <v/>
      </c>
      <c r="S50" s="206" t="str">
        <f aca="false">IF(Model!Q53=0,"",Model!Q53)</f>
        <v/>
      </c>
      <c r="T50" s="206" t="str">
        <f aca="false">IF(Model!R53=0,"",Model!R53)</f>
        <v/>
      </c>
      <c r="U50" s="206" t="str">
        <f aca="false">IF(Model!S53=0,"",Model!S53)</f>
        <v/>
      </c>
      <c r="V50" s="206" t="str">
        <f aca="false">IF(Model!T53=0,"",Model!T53)</f>
        <v/>
      </c>
      <c r="W50" s="206" t="str">
        <f aca="false">IF(Model!U53=0,"",Model!U53)</f>
        <v/>
      </c>
      <c r="X50" s="206" t="str">
        <f aca="false">IF(Model!V53=0,"",Model!V53)</f>
        <v/>
      </c>
      <c r="Y50" s="206" t="str">
        <f aca="false">IF(Model!W53=0,"",Model!W53)</f>
        <v/>
      </c>
      <c r="Z50" s="206" t="str">
        <f aca="false">IF(Model!X53=0,"",Model!X53)</f>
        <v/>
      </c>
      <c r="AA50" s="206" t="str">
        <f aca="false">IF(Model!Y53=0,"",Model!Y53)</f>
        <v/>
      </c>
      <c r="AB50" s="206" t="str">
        <f aca="false">IF(Model!Z53=0,"",Model!Z53)</f>
        <v/>
      </c>
      <c r="AC50" s="206" t="str">
        <f aca="false">IF(Model!AA53=0,"",Model!AA53)</f>
        <v/>
      </c>
      <c r="AD50" s="206" t="str">
        <f aca="false">IF(Model!AB53=0,"",Model!AB53)</f>
        <v/>
      </c>
      <c r="AE50" s="206" t="str">
        <f aca="false">IF(Model!AC53=0,"",Model!AC53)</f>
        <v/>
      </c>
      <c r="AF50" s="206" t="str">
        <f aca="false">IF(Model!AD53=0,"",Model!AD53)</f>
        <v/>
      </c>
      <c r="AG50" s="206" t="str">
        <f aca="false">IF(Model!AE53=0,"",Model!AE53)</f>
        <v/>
      </c>
      <c r="AH50" s="206" t="str">
        <f aca="false">IF(Model!AF53=0,"",Model!AF53)</f>
        <v/>
      </c>
      <c r="AI50" s="206" t="str">
        <f aca="false">IF(Model!AG53=0,"",Model!AG53)</f>
        <v/>
      </c>
      <c r="AJ50" s="206" t="str">
        <f aca="false">IF(Model!AH53=0,"",Model!AH53)</f>
        <v/>
      </c>
      <c r="AK50" s="206" t="str">
        <f aca="false">IF(Model!AI53=0,"",Model!AI53)</f>
        <v/>
      </c>
      <c r="AL50" s="206" t="str">
        <f aca="false">IF(Model!AJ53=0,"",Model!AJ53)</f>
        <v/>
      </c>
      <c r="AM50" s="206" t="str">
        <f aca="false">IF(Model!AK53=0,"",Model!AK53)</f>
        <v/>
      </c>
      <c r="AN50" s="206" t="str">
        <f aca="false">IF(Model!AL53=0,"",Model!AL53)</f>
        <v/>
      </c>
      <c r="AO50" s="206" t="str">
        <f aca="false">IF(Model!AM53=0,"",Model!AM53)</f>
        <v/>
      </c>
      <c r="AP50" s="206" t="str">
        <f aca="false">IF(Model!AN53=0,"",Model!AN53)</f>
        <v/>
      </c>
      <c r="AQ50" s="206" t="str">
        <f aca="false">IF(Model!AO53=0,"",Model!AO53)</f>
        <v/>
      </c>
      <c r="AR50" s="206" t="str">
        <f aca="false">IF(Model!AP53=0,"",Model!AP53)</f>
        <v/>
      </c>
      <c r="AS50" s="206" t="str">
        <f aca="false">IF(Model!AQ53=0,"",Model!AQ53)</f>
        <v/>
      </c>
      <c r="AT50" s="206" t="str">
        <f aca="false">IF(Model!AR53=0,"",Model!AR53)</f>
        <v/>
      </c>
      <c r="AU50" s="206" t="str">
        <f aca="false">IF(Model!AS53=0,"",Model!AS53)</f>
        <v/>
      </c>
      <c r="AV50" s="206" t="str">
        <f aca="false">IF(Model!AT53=0,"",Model!AT53)</f>
        <v/>
      </c>
      <c r="AW50" s="206" t="str">
        <f aca="false">IF(Model!AU53=0,"",Model!AU53)</f>
        <v/>
      </c>
      <c r="AX50" s="206" t="str">
        <f aca="false">IF(Model!AV53=0,"",Model!AV53)</f>
        <v/>
      </c>
      <c r="AY50" s="206" t="str">
        <f aca="false">IF(Model!AW53=0,"",Model!AW53)</f>
        <v/>
      </c>
      <c r="AZ50" s="206" t="str">
        <f aca="false">IF(Model!AX53=0,"",Model!AX53)</f>
        <v/>
      </c>
      <c r="BA50" s="206" t="str">
        <f aca="false">IF(Model!AY53=0,"",Model!AY53)</f>
        <v/>
      </c>
      <c r="BB50" s="206" t="str">
        <f aca="false">IF(Model!AZ53=0,"",Model!AZ53)</f>
        <v/>
      </c>
      <c r="BC50" s="206" t="str">
        <f aca="false">IF(Model!BA53=0,"",Model!BA53)</f>
        <v/>
      </c>
      <c r="BD50" s="206" t="str">
        <f aca="false">IF(Model!BB53=0,"",Model!BB53)</f>
        <v/>
      </c>
      <c r="BE50" s="206" t="str">
        <f aca="false">IF(Model!BC53=0,"",Model!BC53)</f>
        <v/>
      </c>
      <c r="BF50" s="206" t="str">
        <f aca="false">IF(Model!BD53=0,"",Model!BD53)</f>
        <v/>
      </c>
      <c r="BG50" s="206" t="str">
        <f aca="false">IF(Model!BE53=0,"",Model!BE53)</f>
        <v/>
      </c>
      <c r="BH50" s="206" t="str">
        <f aca="false">IF(Model!BF53=0,"",Model!BF53)</f>
        <v/>
      </c>
      <c r="BI50" s="206" t="str">
        <f aca="false">IF(Model!BG53=0,"",Model!BG53)</f>
        <v/>
      </c>
      <c r="BJ50" s="206" t="str">
        <f aca="false">IF(Model!BH53=0,"",Model!BH53)</f>
        <v/>
      </c>
      <c r="BK50" s="206" t="str">
        <f aca="false">IF(Model!BI53=0,"",Model!BI53)</f>
        <v/>
      </c>
      <c r="BL50" s="206" t="str">
        <f aca="false">IF(Model!BJ53=0,"",Model!BJ53)</f>
        <v/>
      </c>
      <c r="BM50" s="206" t="str">
        <f aca="false">IF(Model!BK53=0,"",Model!BK53)</f>
        <v/>
      </c>
      <c r="BN50" s="206" t="str">
        <f aca="false">IF(Model!BL53=0,"",Model!BL53)</f>
        <v/>
      </c>
      <c r="BO50" s="206" t="str">
        <f aca="false">IF(Model!BM53=0,"",Model!BM53)</f>
        <v/>
      </c>
      <c r="BP50" s="206" t="str">
        <f aca="false">IF(Model!BN53=0,"",Model!BN53)</f>
        <v/>
      </c>
      <c r="BQ50" s="206" t="str">
        <f aca="false">IF(Model!BO53=0,"",Model!BO53)</f>
        <v/>
      </c>
      <c r="BR50" s="206" t="str">
        <f aca="false">IF(Model!BP53=0,"",Model!BP53)</f>
        <v/>
      </c>
      <c r="BS50" s="206" t="str">
        <f aca="false">IF(Model!BQ53=0,"",Model!BQ53)</f>
        <v/>
      </c>
      <c r="BT50" s="206" t="str">
        <f aca="false">IF(Model!BR53=0,"",Model!BR53)</f>
        <v/>
      </c>
      <c r="BU50" s="206" t="str">
        <f aca="false">IF(Model!BS53=0,"",Model!BS53)</f>
        <v/>
      </c>
      <c r="BV50" s="206" t="str">
        <f aca="false">IF(Model!BT53=0,"",Model!BT53)</f>
        <v/>
      </c>
      <c r="BW50" s="206" t="str">
        <f aca="false">IF(Model!BU53=0,"",Model!BU53)</f>
        <v/>
      </c>
      <c r="BX50" s="206" t="str">
        <f aca="false">IF(Model!BV53=0,"",Model!BV53)</f>
        <v/>
      </c>
      <c r="BY50" s="206" t="str">
        <f aca="false">IF(Model!BW53=0,"",Model!BW53)</f>
        <v/>
      </c>
      <c r="BZ50" s="206" t="str">
        <f aca="false">IF(Model!BX53=0,"",Model!BX53)</f>
        <v/>
      </c>
      <c r="CA50" s="206" t="str">
        <f aca="false">IF(Model!BY53=0,"",Model!BY53)</f>
        <v/>
      </c>
      <c r="CB50" s="206" t="str">
        <f aca="false">IF(Model!BZ53=0,"",Model!BZ53)</f>
        <v/>
      </c>
      <c r="CC50" s="206" t="str">
        <f aca="false">IF(Model!CA53=0,"",Model!CA53)</f>
        <v/>
      </c>
      <c r="CD50" s="206" t="str">
        <f aca="false">IF(Model!CB53=0,"",Model!CB53)</f>
        <v/>
      </c>
      <c r="CE50" s="206" t="str">
        <f aca="false">IF(Model!CC53=0,"",Model!CC53)</f>
        <v/>
      </c>
      <c r="CF50" s="206" t="str">
        <f aca="false">IF(Model!CD53=0,"",Model!CD53)</f>
        <v/>
      </c>
      <c r="CG50" s="206" t="str">
        <f aca="false">IF(Model!CE53=0,"",Model!CE53)</f>
        <v/>
      </c>
      <c r="CH50" s="206" t="str">
        <f aca="false">IF(Model!CF53=0,"",Model!CF53)</f>
        <v/>
      </c>
      <c r="CI50" s="206" t="str">
        <f aca="false">IF(Model!CG53=0,"",Model!CG53)</f>
        <v/>
      </c>
      <c r="CJ50" s="206" t="str">
        <f aca="false">IF(Model!CH53=0,"",Model!CH53)</f>
        <v/>
      </c>
      <c r="CK50" s="206" t="str">
        <f aca="false">IF(Model!CI53=0,"",Model!CI53)</f>
        <v/>
      </c>
      <c r="CL50" s="206" t="str">
        <f aca="false">IF(Model!CJ53=0,"",Model!CJ53)</f>
        <v/>
      </c>
      <c r="CM50" s="206" t="str">
        <f aca="false">IF(Model!CK53=0,"",Model!CK53)</f>
        <v/>
      </c>
      <c r="CN50" s="206" t="str">
        <f aca="false">IF(Model!CL53=0,"",Model!CL53)</f>
        <v/>
      </c>
      <c r="CO50" s="206" t="str">
        <f aca="false">IF(Model!CM53=0,"",Model!CM53)</f>
        <v/>
      </c>
      <c r="CP50" s="206" t="str">
        <f aca="false">IF(Model!CN53=0,"",Model!CN53)</f>
        <v/>
      </c>
      <c r="CQ50" s="206" t="str">
        <f aca="false">IF(Model!CO53=0,"",Model!CO53)</f>
        <v/>
      </c>
      <c r="CR50" s="206" t="str">
        <f aca="false">IF(Model!CP53=0,"",Model!CP53)</f>
        <v/>
      </c>
      <c r="CS50" s="206" t="str">
        <f aca="false">IF(Model!CQ53=0,"",Model!CQ53)</f>
        <v/>
      </c>
      <c r="CT50" s="206" t="str">
        <f aca="false">IF(Model!CR53=0,"",Model!CR53)</f>
        <v/>
      </c>
      <c r="CU50" s="206" t="str">
        <f aca="false">IF(Model!CS53=0,"",Model!CS53)</f>
        <v/>
      </c>
      <c r="CV50" s="206" t="str">
        <f aca="false">IF(Model!CT53=0,"",Model!CT53)</f>
        <v/>
      </c>
      <c r="CW50" s="206" t="str">
        <f aca="false">IF(Model!CU53=0,"",Model!CU53)</f>
        <v/>
      </c>
      <c r="CX50" s="206" t="str">
        <f aca="false">IF(Model!CV53=0,"",Model!CV53)</f>
        <v/>
      </c>
      <c r="CY50" s="206" t="str">
        <f aca="false">IF(Model!CW53=0,"",Model!CW53)</f>
        <v/>
      </c>
      <c r="CZ50" s="206" t="str">
        <f aca="false">IF(Model!CX53=0,"",Model!CX53)</f>
        <v/>
      </c>
      <c r="DA50" s="206" t="str">
        <f aca="false">IF(Model!CY53=0,"",Model!CY53)</f>
        <v/>
      </c>
      <c r="DB50" s="206" t="str">
        <f aca="false">IF(Model!CZ53=0,"",Model!CZ53)</f>
        <v/>
      </c>
    </row>
    <row r="51" customFormat="false" ht="15" hidden="false" customHeight="true" outlineLevel="0" collapsed="false">
      <c r="A51" s="123" t="s">
        <v>48</v>
      </c>
      <c r="B51" s="203" t="n">
        <f aca="false">Projects!$B$45</f>
        <v>18000000</v>
      </c>
      <c r="C51" s="204" t="n">
        <f aca="false">EDATE(Model!$E$2,Projects!$C$45-1)</f>
        <v>48519</v>
      </c>
      <c r="D51" s="204" t="n">
        <f aca="false">EDATE(Model!$E$2,Projects!$C$45+Projects!$D$45-2)</f>
        <v>49065</v>
      </c>
      <c r="E51" s="205" t="n">
        <f aca="false">Projects!$D$45</f>
        <v>19</v>
      </c>
      <c r="F51" s="203" t="n">
        <f aca="false">SUM(G51:DB51)</f>
        <v>0</v>
      </c>
      <c r="G51" s="206" t="str">
        <f aca="false">IF(Model!E54=0,"",Model!E54)</f>
        <v/>
      </c>
      <c r="H51" s="206" t="str">
        <f aca="false">IF(Model!F54=0,"",Model!F54)</f>
        <v/>
      </c>
      <c r="I51" s="206" t="str">
        <f aca="false">IF(Model!G54=0,"",Model!G54)</f>
        <v/>
      </c>
      <c r="J51" s="206" t="str">
        <f aca="false">IF(Model!H54=0,"",Model!H54)</f>
        <v/>
      </c>
      <c r="K51" s="206" t="str">
        <f aca="false">IF(Model!I54=0,"",Model!I54)</f>
        <v/>
      </c>
      <c r="L51" s="206" t="str">
        <f aca="false">IF(Model!J54=0,"",Model!J54)</f>
        <v/>
      </c>
      <c r="M51" s="206" t="str">
        <f aca="false">IF(Model!K54=0,"",Model!K54)</f>
        <v/>
      </c>
      <c r="N51" s="206" t="str">
        <f aca="false">IF(Model!L54=0,"",Model!L54)</f>
        <v/>
      </c>
      <c r="O51" s="206" t="str">
        <f aca="false">IF(Model!M54=0,"",Model!M54)</f>
        <v/>
      </c>
      <c r="P51" s="206" t="str">
        <f aca="false">IF(Model!N54=0,"",Model!N54)</f>
        <v/>
      </c>
      <c r="Q51" s="206" t="str">
        <f aca="false">IF(Model!O54=0,"",Model!O54)</f>
        <v/>
      </c>
      <c r="R51" s="206" t="str">
        <f aca="false">IF(Model!P54=0,"",Model!P54)</f>
        <v/>
      </c>
      <c r="S51" s="206" t="str">
        <f aca="false">IF(Model!Q54=0,"",Model!Q54)</f>
        <v/>
      </c>
      <c r="T51" s="206" t="str">
        <f aca="false">IF(Model!R54=0,"",Model!R54)</f>
        <v/>
      </c>
      <c r="U51" s="206" t="str">
        <f aca="false">IF(Model!S54=0,"",Model!S54)</f>
        <v/>
      </c>
      <c r="V51" s="206" t="str">
        <f aca="false">IF(Model!T54=0,"",Model!T54)</f>
        <v/>
      </c>
      <c r="W51" s="206" t="str">
        <f aca="false">IF(Model!U54=0,"",Model!U54)</f>
        <v/>
      </c>
      <c r="X51" s="206" t="str">
        <f aca="false">IF(Model!V54=0,"",Model!V54)</f>
        <v/>
      </c>
      <c r="Y51" s="206" t="str">
        <f aca="false">IF(Model!W54=0,"",Model!W54)</f>
        <v/>
      </c>
      <c r="Z51" s="206" t="str">
        <f aca="false">IF(Model!X54=0,"",Model!X54)</f>
        <v/>
      </c>
      <c r="AA51" s="206" t="str">
        <f aca="false">IF(Model!Y54=0,"",Model!Y54)</f>
        <v/>
      </c>
      <c r="AB51" s="206" t="str">
        <f aca="false">IF(Model!Z54=0,"",Model!Z54)</f>
        <v/>
      </c>
      <c r="AC51" s="206" t="str">
        <f aca="false">IF(Model!AA54=0,"",Model!AA54)</f>
        <v/>
      </c>
      <c r="AD51" s="206" t="str">
        <f aca="false">IF(Model!AB54=0,"",Model!AB54)</f>
        <v/>
      </c>
      <c r="AE51" s="206" t="str">
        <f aca="false">IF(Model!AC54=0,"",Model!AC54)</f>
        <v/>
      </c>
      <c r="AF51" s="206" t="str">
        <f aca="false">IF(Model!AD54=0,"",Model!AD54)</f>
        <v/>
      </c>
      <c r="AG51" s="206" t="str">
        <f aca="false">IF(Model!AE54=0,"",Model!AE54)</f>
        <v/>
      </c>
      <c r="AH51" s="206" t="str">
        <f aca="false">IF(Model!AF54=0,"",Model!AF54)</f>
        <v/>
      </c>
      <c r="AI51" s="206" t="str">
        <f aca="false">IF(Model!AG54=0,"",Model!AG54)</f>
        <v/>
      </c>
      <c r="AJ51" s="206" t="str">
        <f aca="false">IF(Model!AH54=0,"",Model!AH54)</f>
        <v/>
      </c>
      <c r="AK51" s="206" t="str">
        <f aca="false">IF(Model!AI54=0,"",Model!AI54)</f>
        <v/>
      </c>
      <c r="AL51" s="206" t="str">
        <f aca="false">IF(Model!AJ54=0,"",Model!AJ54)</f>
        <v/>
      </c>
      <c r="AM51" s="206" t="str">
        <f aca="false">IF(Model!AK54=0,"",Model!AK54)</f>
        <v/>
      </c>
      <c r="AN51" s="206" t="str">
        <f aca="false">IF(Model!AL54=0,"",Model!AL54)</f>
        <v/>
      </c>
      <c r="AO51" s="206" t="str">
        <f aca="false">IF(Model!AM54=0,"",Model!AM54)</f>
        <v/>
      </c>
      <c r="AP51" s="206" t="str">
        <f aca="false">IF(Model!AN54=0,"",Model!AN54)</f>
        <v/>
      </c>
      <c r="AQ51" s="206" t="str">
        <f aca="false">IF(Model!AO54=0,"",Model!AO54)</f>
        <v/>
      </c>
      <c r="AR51" s="206" t="str">
        <f aca="false">IF(Model!AP54=0,"",Model!AP54)</f>
        <v/>
      </c>
      <c r="AS51" s="206" t="str">
        <f aca="false">IF(Model!AQ54=0,"",Model!AQ54)</f>
        <v/>
      </c>
      <c r="AT51" s="206" t="str">
        <f aca="false">IF(Model!AR54=0,"",Model!AR54)</f>
        <v/>
      </c>
      <c r="AU51" s="206" t="str">
        <f aca="false">IF(Model!AS54=0,"",Model!AS54)</f>
        <v/>
      </c>
      <c r="AV51" s="206" t="str">
        <f aca="false">IF(Model!AT54=0,"",Model!AT54)</f>
        <v/>
      </c>
      <c r="AW51" s="206" t="str">
        <f aca="false">IF(Model!AU54=0,"",Model!AU54)</f>
        <v/>
      </c>
      <c r="AX51" s="206" t="str">
        <f aca="false">IF(Model!AV54=0,"",Model!AV54)</f>
        <v/>
      </c>
      <c r="AY51" s="206" t="str">
        <f aca="false">IF(Model!AW54=0,"",Model!AW54)</f>
        <v/>
      </c>
      <c r="AZ51" s="206" t="str">
        <f aca="false">IF(Model!AX54=0,"",Model!AX54)</f>
        <v/>
      </c>
      <c r="BA51" s="206" t="str">
        <f aca="false">IF(Model!AY54=0,"",Model!AY54)</f>
        <v/>
      </c>
      <c r="BB51" s="206" t="str">
        <f aca="false">IF(Model!AZ54=0,"",Model!AZ54)</f>
        <v/>
      </c>
      <c r="BC51" s="206" t="str">
        <f aca="false">IF(Model!BA54=0,"",Model!BA54)</f>
        <v/>
      </c>
      <c r="BD51" s="206" t="str">
        <f aca="false">IF(Model!BB54=0,"",Model!BB54)</f>
        <v/>
      </c>
      <c r="BE51" s="206" t="str">
        <f aca="false">IF(Model!BC54=0,"",Model!BC54)</f>
        <v/>
      </c>
      <c r="BF51" s="206" t="str">
        <f aca="false">IF(Model!BD54=0,"",Model!BD54)</f>
        <v/>
      </c>
      <c r="BG51" s="206" t="str">
        <f aca="false">IF(Model!BE54=0,"",Model!BE54)</f>
        <v/>
      </c>
      <c r="BH51" s="206" t="str">
        <f aca="false">IF(Model!BF54=0,"",Model!BF54)</f>
        <v/>
      </c>
      <c r="BI51" s="206" t="str">
        <f aca="false">IF(Model!BG54=0,"",Model!BG54)</f>
        <v/>
      </c>
      <c r="BJ51" s="206" t="str">
        <f aca="false">IF(Model!BH54=0,"",Model!BH54)</f>
        <v/>
      </c>
      <c r="BK51" s="206" t="str">
        <f aca="false">IF(Model!BI54=0,"",Model!BI54)</f>
        <v/>
      </c>
      <c r="BL51" s="206" t="str">
        <f aca="false">IF(Model!BJ54=0,"",Model!BJ54)</f>
        <v/>
      </c>
      <c r="BM51" s="206" t="str">
        <f aca="false">IF(Model!BK54=0,"",Model!BK54)</f>
        <v/>
      </c>
      <c r="BN51" s="206" t="str">
        <f aca="false">IF(Model!BL54=0,"",Model!BL54)</f>
        <v/>
      </c>
      <c r="BO51" s="206" t="str">
        <f aca="false">IF(Model!BM54=0,"",Model!BM54)</f>
        <v/>
      </c>
      <c r="BP51" s="206" t="str">
        <f aca="false">IF(Model!BN54=0,"",Model!BN54)</f>
        <v/>
      </c>
      <c r="BQ51" s="206" t="str">
        <f aca="false">IF(Model!BO54=0,"",Model!BO54)</f>
        <v/>
      </c>
      <c r="BR51" s="206" t="str">
        <f aca="false">IF(Model!BP54=0,"",Model!BP54)</f>
        <v/>
      </c>
      <c r="BS51" s="206" t="str">
        <f aca="false">IF(Model!BQ54=0,"",Model!BQ54)</f>
        <v/>
      </c>
      <c r="BT51" s="206" t="str">
        <f aca="false">IF(Model!BR54=0,"",Model!BR54)</f>
        <v/>
      </c>
      <c r="BU51" s="206" t="str">
        <f aca="false">IF(Model!BS54=0,"",Model!BS54)</f>
        <v/>
      </c>
      <c r="BV51" s="206" t="str">
        <f aca="false">IF(Model!BT54=0,"",Model!BT54)</f>
        <v/>
      </c>
      <c r="BW51" s="206" t="str">
        <f aca="false">IF(Model!BU54=0,"",Model!BU54)</f>
        <v/>
      </c>
      <c r="BX51" s="206" t="str">
        <f aca="false">IF(Model!BV54=0,"",Model!BV54)</f>
        <v/>
      </c>
      <c r="BY51" s="206" t="str">
        <f aca="false">IF(Model!BW54=0,"",Model!BW54)</f>
        <v/>
      </c>
      <c r="BZ51" s="206" t="str">
        <f aca="false">IF(Model!BX54=0,"",Model!BX54)</f>
        <v/>
      </c>
      <c r="CA51" s="206" t="str">
        <f aca="false">IF(Model!BY54=0,"",Model!BY54)</f>
        <v/>
      </c>
      <c r="CB51" s="206" t="str">
        <f aca="false">IF(Model!BZ54=0,"",Model!BZ54)</f>
        <v/>
      </c>
      <c r="CC51" s="206" t="str">
        <f aca="false">IF(Model!CA54=0,"",Model!CA54)</f>
        <v/>
      </c>
      <c r="CD51" s="206" t="str">
        <f aca="false">IF(Model!CB54=0,"",Model!CB54)</f>
        <v/>
      </c>
      <c r="CE51" s="206" t="str">
        <f aca="false">IF(Model!CC54=0,"",Model!CC54)</f>
        <v/>
      </c>
      <c r="CF51" s="206" t="str">
        <f aca="false">IF(Model!CD54=0,"",Model!CD54)</f>
        <v/>
      </c>
      <c r="CG51" s="206" t="str">
        <f aca="false">IF(Model!CE54=0,"",Model!CE54)</f>
        <v/>
      </c>
      <c r="CH51" s="206" t="str">
        <f aca="false">IF(Model!CF54=0,"",Model!CF54)</f>
        <v/>
      </c>
      <c r="CI51" s="206" t="str">
        <f aca="false">IF(Model!CG54=0,"",Model!CG54)</f>
        <v/>
      </c>
      <c r="CJ51" s="206" t="str">
        <f aca="false">IF(Model!CH54=0,"",Model!CH54)</f>
        <v/>
      </c>
      <c r="CK51" s="206" t="str">
        <f aca="false">IF(Model!CI54=0,"",Model!CI54)</f>
        <v/>
      </c>
      <c r="CL51" s="206" t="str">
        <f aca="false">IF(Model!CJ54=0,"",Model!CJ54)</f>
        <v/>
      </c>
      <c r="CM51" s="206" t="str">
        <f aca="false">IF(Model!CK54=0,"",Model!CK54)</f>
        <v/>
      </c>
      <c r="CN51" s="206" t="str">
        <f aca="false">IF(Model!CL54=0,"",Model!CL54)</f>
        <v/>
      </c>
      <c r="CO51" s="206" t="str">
        <f aca="false">IF(Model!CM54=0,"",Model!CM54)</f>
        <v/>
      </c>
      <c r="CP51" s="206" t="str">
        <f aca="false">IF(Model!CN54=0,"",Model!CN54)</f>
        <v/>
      </c>
      <c r="CQ51" s="206" t="str">
        <f aca="false">IF(Model!CO54=0,"",Model!CO54)</f>
        <v/>
      </c>
      <c r="CR51" s="206" t="str">
        <f aca="false">IF(Model!CP54=0,"",Model!CP54)</f>
        <v/>
      </c>
      <c r="CS51" s="206" t="str">
        <f aca="false">IF(Model!CQ54=0,"",Model!CQ54)</f>
        <v/>
      </c>
      <c r="CT51" s="206" t="str">
        <f aca="false">IF(Model!CR54=0,"",Model!CR54)</f>
        <v/>
      </c>
      <c r="CU51" s="206" t="str">
        <f aca="false">IF(Model!CS54=0,"",Model!CS54)</f>
        <v/>
      </c>
      <c r="CV51" s="206" t="str">
        <f aca="false">IF(Model!CT54=0,"",Model!CT54)</f>
        <v/>
      </c>
      <c r="CW51" s="206" t="str">
        <f aca="false">IF(Model!CU54=0,"",Model!CU54)</f>
        <v/>
      </c>
      <c r="CX51" s="206" t="str">
        <f aca="false">IF(Model!CV54=0,"",Model!CV54)</f>
        <v/>
      </c>
      <c r="CY51" s="206" t="str">
        <f aca="false">IF(Model!CW54=0,"",Model!CW54)</f>
        <v/>
      </c>
      <c r="CZ51" s="206" t="str">
        <f aca="false">IF(Model!CX54=0,"",Model!CX54)</f>
        <v/>
      </c>
      <c r="DA51" s="206" t="str">
        <f aca="false">IF(Model!CY54=0,"",Model!CY54)</f>
        <v/>
      </c>
      <c r="DB51" s="206" t="str">
        <f aca="false">IF(Model!CZ54=0,"",Model!CZ54)</f>
        <v/>
      </c>
    </row>
    <row r="52" customFormat="false" ht="15" hidden="false" customHeight="true" outlineLevel="0" collapsed="false">
      <c r="A52" s="123" t="s">
        <v>49</v>
      </c>
      <c r="B52" s="203" t="n">
        <f aca="false">Projects!$B$46</f>
        <v>15000000</v>
      </c>
      <c r="C52" s="204" t="n">
        <f aca="false">EDATE(Model!$E$2,Projects!$C$46-1)</f>
        <v>48580</v>
      </c>
      <c r="D52" s="204" t="n">
        <f aca="false">EDATE(Model!$E$2,Projects!$C$46+Projects!$D$46-2)</f>
        <v>49126</v>
      </c>
      <c r="E52" s="205" t="n">
        <f aca="false">Projects!$D$46</f>
        <v>19</v>
      </c>
      <c r="F52" s="203" t="n">
        <f aca="false">SUM(G52:DB52)</f>
        <v>0</v>
      </c>
      <c r="G52" s="206" t="str">
        <f aca="false">IF(Model!E55=0,"",Model!E55)</f>
        <v/>
      </c>
      <c r="H52" s="206" t="str">
        <f aca="false">IF(Model!F55=0,"",Model!F55)</f>
        <v/>
      </c>
      <c r="I52" s="206" t="str">
        <f aca="false">IF(Model!G55=0,"",Model!G55)</f>
        <v/>
      </c>
      <c r="J52" s="206" t="str">
        <f aca="false">IF(Model!H55=0,"",Model!H55)</f>
        <v/>
      </c>
      <c r="K52" s="206" t="str">
        <f aca="false">IF(Model!I55=0,"",Model!I55)</f>
        <v/>
      </c>
      <c r="L52" s="206" t="str">
        <f aca="false">IF(Model!J55=0,"",Model!J55)</f>
        <v/>
      </c>
      <c r="M52" s="206" t="str">
        <f aca="false">IF(Model!K55=0,"",Model!K55)</f>
        <v/>
      </c>
      <c r="N52" s="206" t="str">
        <f aca="false">IF(Model!L55=0,"",Model!L55)</f>
        <v/>
      </c>
      <c r="O52" s="206" t="str">
        <f aca="false">IF(Model!M55=0,"",Model!M55)</f>
        <v/>
      </c>
      <c r="P52" s="206" t="str">
        <f aca="false">IF(Model!N55=0,"",Model!N55)</f>
        <v/>
      </c>
      <c r="Q52" s="206" t="str">
        <f aca="false">IF(Model!O55=0,"",Model!O55)</f>
        <v/>
      </c>
      <c r="R52" s="206" t="str">
        <f aca="false">IF(Model!P55=0,"",Model!P55)</f>
        <v/>
      </c>
      <c r="S52" s="206" t="str">
        <f aca="false">IF(Model!Q55=0,"",Model!Q55)</f>
        <v/>
      </c>
      <c r="T52" s="206" t="str">
        <f aca="false">IF(Model!R55=0,"",Model!R55)</f>
        <v/>
      </c>
      <c r="U52" s="206" t="str">
        <f aca="false">IF(Model!S55=0,"",Model!S55)</f>
        <v/>
      </c>
      <c r="V52" s="206" t="str">
        <f aca="false">IF(Model!T55=0,"",Model!T55)</f>
        <v/>
      </c>
      <c r="W52" s="206" t="str">
        <f aca="false">IF(Model!U55=0,"",Model!U55)</f>
        <v/>
      </c>
      <c r="X52" s="206" t="str">
        <f aca="false">IF(Model!V55=0,"",Model!V55)</f>
        <v/>
      </c>
      <c r="Y52" s="206" t="str">
        <f aca="false">IF(Model!W55=0,"",Model!W55)</f>
        <v/>
      </c>
      <c r="Z52" s="206" t="str">
        <f aca="false">IF(Model!X55=0,"",Model!X55)</f>
        <v/>
      </c>
      <c r="AA52" s="206" t="str">
        <f aca="false">IF(Model!Y55=0,"",Model!Y55)</f>
        <v/>
      </c>
      <c r="AB52" s="206" t="str">
        <f aca="false">IF(Model!Z55=0,"",Model!Z55)</f>
        <v/>
      </c>
      <c r="AC52" s="206" t="str">
        <f aca="false">IF(Model!AA55=0,"",Model!AA55)</f>
        <v/>
      </c>
      <c r="AD52" s="206" t="str">
        <f aca="false">IF(Model!AB55=0,"",Model!AB55)</f>
        <v/>
      </c>
      <c r="AE52" s="206" t="str">
        <f aca="false">IF(Model!AC55=0,"",Model!AC55)</f>
        <v/>
      </c>
      <c r="AF52" s="206" t="str">
        <f aca="false">IF(Model!AD55=0,"",Model!AD55)</f>
        <v/>
      </c>
      <c r="AG52" s="206" t="str">
        <f aca="false">IF(Model!AE55=0,"",Model!AE55)</f>
        <v/>
      </c>
      <c r="AH52" s="206" t="str">
        <f aca="false">IF(Model!AF55=0,"",Model!AF55)</f>
        <v/>
      </c>
      <c r="AI52" s="206" t="str">
        <f aca="false">IF(Model!AG55=0,"",Model!AG55)</f>
        <v/>
      </c>
      <c r="AJ52" s="206" t="str">
        <f aca="false">IF(Model!AH55=0,"",Model!AH55)</f>
        <v/>
      </c>
      <c r="AK52" s="206" t="str">
        <f aca="false">IF(Model!AI55=0,"",Model!AI55)</f>
        <v/>
      </c>
      <c r="AL52" s="206" t="str">
        <f aca="false">IF(Model!AJ55=0,"",Model!AJ55)</f>
        <v/>
      </c>
      <c r="AM52" s="206" t="str">
        <f aca="false">IF(Model!AK55=0,"",Model!AK55)</f>
        <v/>
      </c>
      <c r="AN52" s="206" t="str">
        <f aca="false">IF(Model!AL55=0,"",Model!AL55)</f>
        <v/>
      </c>
      <c r="AO52" s="206" t="str">
        <f aca="false">IF(Model!AM55=0,"",Model!AM55)</f>
        <v/>
      </c>
      <c r="AP52" s="206" t="str">
        <f aca="false">IF(Model!AN55=0,"",Model!AN55)</f>
        <v/>
      </c>
      <c r="AQ52" s="206" t="str">
        <f aca="false">IF(Model!AO55=0,"",Model!AO55)</f>
        <v/>
      </c>
      <c r="AR52" s="206" t="str">
        <f aca="false">IF(Model!AP55=0,"",Model!AP55)</f>
        <v/>
      </c>
      <c r="AS52" s="206" t="str">
        <f aca="false">IF(Model!AQ55=0,"",Model!AQ55)</f>
        <v/>
      </c>
      <c r="AT52" s="206" t="str">
        <f aca="false">IF(Model!AR55=0,"",Model!AR55)</f>
        <v/>
      </c>
      <c r="AU52" s="206" t="str">
        <f aca="false">IF(Model!AS55=0,"",Model!AS55)</f>
        <v/>
      </c>
      <c r="AV52" s="206" t="str">
        <f aca="false">IF(Model!AT55=0,"",Model!AT55)</f>
        <v/>
      </c>
      <c r="AW52" s="206" t="str">
        <f aca="false">IF(Model!AU55=0,"",Model!AU55)</f>
        <v/>
      </c>
      <c r="AX52" s="206" t="str">
        <f aca="false">IF(Model!AV55=0,"",Model!AV55)</f>
        <v/>
      </c>
      <c r="AY52" s="206" t="str">
        <f aca="false">IF(Model!AW55=0,"",Model!AW55)</f>
        <v/>
      </c>
      <c r="AZ52" s="206" t="str">
        <f aca="false">IF(Model!AX55=0,"",Model!AX55)</f>
        <v/>
      </c>
      <c r="BA52" s="206" t="str">
        <f aca="false">IF(Model!AY55=0,"",Model!AY55)</f>
        <v/>
      </c>
      <c r="BB52" s="206" t="str">
        <f aca="false">IF(Model!AZ55=0,"",Model!AZ55)</f>
        <v/>
      </c>
      <c r="BC52" s="206" t="str">
        <f aca="false">IF(Model!BA55=0,"",Model!BA55)</f>
        <v/>
      </c>
      <c r="BD52" s="206" t="str">
        <f aca="false">IF(Model!BB55=0,"",Model!BB55)</f>
        <v/>
      </c>
      <c r="BE52" s="206" t="str">
        <f aca="false">IF(Model!BC55=0,"",Model!BC55)</f>
        <v/>
      </c>
      <c r="BF52" s="206" t="str">
        <f aca="false">IF(Model!BD55=0,"",Model!BD55)</f>
        <v/>
      </c>
      <c r="BG52" s="206" t="str">
        <f aca="false">IF(Model!BE55=0,"",Model!BE55)</f>
        <v/>
      </c>
      <c r="BH52" s="206" t="str">
        <f aca="false">IF(Model!BF55=0,"",Model!BF55)</f>
        <v/>
      </c>
      <c r="BI52" s="206" t="str">
        <f aca="false">IF(Model!BG55=0,"",Model!BG55)</f>
        <v/>
      </c>
      <c r="BJ52" s="206" t="str">
        <f aca="false">IF(Model!BH55=0,"",Model!BH55)</f>
        <v/>
      </c>
      <c r="BK52" s="206" t="str">
        <f aca="false">IF(Model!BI55=0,"",Model!BI55)</f>
        <v/>
      </c>
      <c r="BL52" s="206" t="str">
        <f aca="false">IF(Model!BJ55=0,"",Model!BJ55)</f>
        <v/>
      </c>
      <c r="BM52" s="206" t="str">
        <f aca="false">IF(Model!BK55=0,"",Model!BK55)</f>
        <v/>
      </c>
      <c r="BN52" s="206" t="str">
        <f aca="false">IF(Model!BL55=0,"",Model!BL55)</f>
        <v/>
      </c>
      <c r="BO52" s="206" t="str">
        <f aca="false">IF(Model!BM55=0,"",Model!BM55)</f>
        <v/>
      </c>
      <c r="BP52" s="206" t="str">
        <f aca="false">IF(Model!BN55=0,"",Model!BN55)</f>
        <v/>
      </c>
      <c r="BQ52" s="206" t="str">
        <f aca="false">IF(Model!BO55=0,"",Model!BO55)</f>
        <v/>
      </c>
      <c r="BR52" s="206" t="str">
        <f aca="false">IF(Model!BP55=0,"",Model!BP55)</f>
        <v/>
      </c>
      <c r="BS52" s="206" t="str">
        <f aca="false">IF(Model!BQ55=0,"",Model!BQ55)</f>
        <v/>
      </c>
      <c r="BT52" s="206" t="str">
        <f aca="false">IF(Model!BR55=0,"",Model!BR55)</f>
        <v/>
      </c>
      <c r="BU52" s="206" t="str">
        <f aca="false">IF(Model!BS55=0,"",Model!BS55)</f>
        <v/>
      </c>
      <c r="BV52" s="206" t="str">
        <f aca="false">IF(Model!BT55=0,"",Model!BT55)</f>
        <v/>
      </c>
      <c r="BW52" s="206" t="str">
        <f aca="false">IF(Model!BU55=0,"",Model!BU55)</f>
        <v/>
      </c>
      <c r="BX52" s="206" t="str">
        <f aca="false">IF(Model!BV55=0,"",Model!BV55)</f>
        <v/>
      </c>
      <c r="BY52" s="206" t="str">
        <f aca="false">IF(Model!BW55=0,"",Model!BW55)</f>
        <v/>
      </c>
      <c r="BZ52" s="206" t="str">
        <f aca="false">IF(Model!BX55=0,"",Model!BX55)</f>
        <v/>
      </c>
      <c r="CA52" s="206" t="str">
        <f aca="false">IF(Model!BY55=0,"",Model!BY55)</f>
        <v/>
      </c>
      <c r="CB52" s="206" t="str">
        <f aca="false">IF(Model!BZ55=0,"",Model!BZ55)</f>
        <v/>
      </c>
      <c r="CC52" s="206" t="str">
        <f aca="false">IF(Model!CA55=0,"",Model!CA55)</f>
        <v/>
      </c>
      <c r="CD52" s="206" t="str">
        <f aca="false">IF(Model!CB55=0,"",Model!CB55)</f>
        <v/>
      </c>
      <c r="CE52" s="206" t="str">
        <f aca="false">IF(Model!CC55=0,"",Model!CC55)</f>
        <v/>
      </c>
      <c r="CF52" s="206" t="str">
        <f aca="false">IF(Model!CD55=0,"",Model!CD55)</f>
        <v/>
      </c>
      <c r="CG52" s="206" t="str">
        <f aca="false">IF(Model!CE55=0,"",Model!CE55)</f>
        <v/>
      </c>
      <c r="CH52" s="206" t="str">
        <f aca="false">IF(Model!CF55=0,"",Model!CF55)</f>
        <v/>
      </c>
      <c r="CI52" s="206" t="str">
        <f aca="false">IF(Model!CG55=0,"",Model!CG55)</f>
        <v/>
      </c>
      <c r="CJ52" s="206" t="str">
        <f aca="false">IF(Model!CH55=0,"",Model!CH55)</f>
        <v/>
      </c>
      <c r="CK52" s="206" t="str">
        <f aca="false">IF(Model!CI55=0,"",Model!CI55)</f>
        <v/>
      </c>
      <c r="CL52" s="206" t="str">
        <f aca="false">IF(Model!CJ55=0,"",Model!CJ55)</f>
        <v/>
      </c>
      <c r="CM52" s="206" t="str">
        <f aca="false">IF(Model!CK55=0,"",Model!CK55)</f>
        <v/>
      </c>
      <c r="CN52" s="206" t="str">
        <f aca="false">IF(Model!CL55=0,"",Model!CL55)</f>
        <v/>
      </c>
      <c r="CO52" s="206" t="str">
        <f aca="false">IF(Model!CM55=0,"",Model!CM55)</f>
        <v/>
      </c>
      <c r="CP52" s="206" t="str">
        <f aca="false">IF(Model!CN55=0,"",Model!CN55)</f>
        <v/>
      </c>
      <c r="CQ52" s="206" t="str">
        <f aca="false">IF(Model!CO55=0,"",Model!CO55)</f>
        <v/>
      </c>
      <c r="CR52" s="206" t="str">
        <f aca="false">IF(Model!CP55=0,"",Model!CP55)</f>
        <v/>
      </c>
      <c r="CS52" s="206" t="str">
        <f aca="false">IF(Model!CQ55=0,"",Model!CQ55)</f>
        <v/>
      </c>
      <c r="CT52" s="206" t="str">
        <f aca="false">IF(Model!CR55=0,"",Model!CR55)</f>
        <v/>
      </c>
      <c r="CU52" s="206" t="str">
        <f aca="false">IF(Model!CS55=0,"",Model!CS55)</f>
        <v/>
      </c>
      <c r="CV52" s="206" t="str">
        <f aca="false">IF(Model!CT55=0,"",Model!CT55)</f>
        <v/>
      </c>
      <c r="CW52" s="206" t="str">
        <f aca="false">IF(Model!CU55=0,"",Model!CU55)</f>
        <v/>
      </c>
      <c r="CX52" s="206" t="str">
        <f aca="false">IF(Model!CV55=0,"",Model!CV55)</f>
        <v/>
      </c>
      <c r="CY52" s="206" t="str">
        <f aca="false">IF(Model!CW55=0,"",Model!CW55)</f>
        <v/>
      </c>
      <c r="CZ52" s="206" t="str">
        <f aca="false">IF(Model!CX55=0,"",Model!CX55)</f>
        <v/>
      </c>
      <c r="DA52" s="206" t="str">
        <f aca="false">IF(Model!CY55=0,"",Model!CY55)</f>
        <v/>
      </c>
      <c r="DB52" s="206" t="str">
        <f aca="false">IF(Model!CZ55=0,"",Model!CZ55)</f>
        <v/>
      </c>
    </row>
    <row r="53" customFormat="false" ht="15" hidden="false" customHeight="true" outlineLevel="0" collapsed="false">
      <c r="A53" s="94" t="s">
        <v>629</v>
      </c>
      <c r="G53" s="207" t="n">
        <f aca="false">SUM(G28:G52)</f>
        <v>0</v>
      </c>
      <c r="H53" s="207" t="n">
        <f aca="false">SUM(H28:H52)</f>
        <v>0</v>
      </c>
      <c r="I53" s="207" t="n">
        <f aca="false">SUM(I28:I52)</f>
        <v>0</v>
      </c>
      <c r="J53" s="207" t="n">
        <f aca="false">SUM(J28:J52)</f>
        <v>0</v>
      </c>
      <c r="K53" s="207" t="n">
        <f aca="false">SUM(K28:K52)</f>
        <v>0</v>
      </c>
      <c r="L53" s="207" t="n">
        <f aca="false">SUM(L28:L52)</f>
        <v>0</v>
      </c>
      <c r="M53" s="207" t="n">
        <f aca="false">SUM(M28:M52)</f>
        <v>0</v>
      </c>
      <c r="N53" s="207" t="n">
        <f aca="false">SUM(N28:N52)</f>
        <v>0</v>
      </c>
      <c r="O53" s="207" t="n">
        <f aca="false">SUM(O28:O52)</f>
        <v>0</v>
      </c>
      <c r="P53" s="207" t="n">
        <f aca="false">SUM(P28:P52)</f>
        <v>0</v>
      </c>
      <c r="Q53" s="207" t="n">
        <f aca="false">SUM(Q28:Q52)</f>
        <v>0</v>
      </c>
      <c r="R53" s="207" t="n">
        <f aca="false">SUM(R28:R52)</f>
        <v>0</v>
      </c>
      <c r="S53" s="207" t="n">
        <f aca="false">SUM(S28:S52)</f>
        <v>0</v>
      </c>
      <c r="T53" s="207" t="n">
        <f aca="false">SUM(T28:T52)</f>
        <v>0</v>
      </c>
      <c r="U53" s="207" t="n">
        <f aca="false">SUM(U28:U52)</f>
        <v>0</v>
      </c>
      <c r="V53" s="207" t="n">
        <f aca="false">SUM(V28:V52)</f>
        <v>0</v>
      </c>
      <c r="W53" s="207" t="n">
        <f aca="false">SUM(W28:W52)</f>
        <v>0</v>
      </c>
      <c r="X53" s="207" t="n">
        <f aca="false">SUM(X28:X52)</f>
        <v>0</v>
      </c>
      <c r="Y53" s="207" t="n">
        <f aca="false">SUM(Y28:Y52)</f>
        <v>280938.0497</v>
      </c>
      <c r="Z53" s="207" t="n">
        <f aca="false">SUM(Z28:Z52)</f>
        <v>366518.3137</v>
      </c>
      <c r="AA53" s="207" t="n">
        <f aca="false">SUM(AA28:AA52)</f>
        <v>458636.3397</v>
      </c>
      <c r="AB53" s="207" t="n">
        <f aca="false">SUM(AB28:AB52)</f>
        <v>553618.9197</v>
      </c>
      <c r="AC53" s="207" t="n">
        <f aca="false">SUM(AC28:AC52)</f>
        <v>646901.9557</v>
      </c>
      <c r="AD53" s="207" t="n">
        <f aca="false">SUM(AD28:AD52)</f>
        <v>733304.5797</v>
      </c>
      <c r="AE53" s="207" t="n">
        <f aca="false">SUM(AE28:AE52)</f>
        <v>807522.5697</v>
      </c>
      <c r="AF53" s="207" t="n">
        <f aca="false">SUM(AF28:AF52)</f>
        <v>864635.4717</v>
      </c>
      <c r="AG53" s="207" t="n">
        <f aca="false">SUM(AG28:AG52)</f>
        <v>900654.8397</v>
      </c>
      <c r="AH53" s="207" t="n">
        <f aca="false">SUM(AH28:AH52)</f>
        <v>912962.8277</v>
      </c>
      <c r="AI53" s="207" t="n">
        <f aca="false">SUM(AI28:AI52)</f>
        <v>900654.8397</v>
      </c>
      <c r="AJ53" s="207" t="n">
        <f aca="false">SUM(AJ28:AJ52)</f>
        <v>864635.4717</v>
      </c>
      <c r="AK53" s="207" t="n">
        <f aca="false">SUM(AK28:AK52)</f>
        <v>807522.5697</v>
      </c>
      <c r="AL53" s="207" t="n">
        <f aca="false">SUM(AL28:AL52)</f>
        <v>733304.5797</v>
      </c>
      <c r="AM53" s="207" t="n">
        <f aca="false">SUM(AM28:AM52)</f>
        <v>646901.9557</v>
      </c>
      <c r="AN53" s="207" t="n">
        <f aca="false">SUM(AN28:AN52)</f>
        <v>553618.9197</v>
      </c>
      <c r="AO53" s="207" t="n">
        <f aca="false">SUM(AO28:AO52)</f>
        <v>458636.3397</v>
      </c>
      <c r="AP53" s="207" t="n">
        <f aca="false">SUM(AP28:AP52)</f>
        <v>366518.3137</v>
      </c>
      <c r="AQ53" s="207" t="n">
        <f aca="false">SUM(AQ28:AQ52)</f>
        <v>198434.0974</v>
      </c>
      <c r="AR53" s="207" t="n">
        <f aca="false">SUM(AR28:AR52)</f>
        <v>0</v>
      </c>
      <c r="AS53" s="207" t="n">
        <f aca="false">SUM(AS28:AS52)</f>
        <v>0</v>
      </c>
      <c r="AT53" s="207" t="n">
        <f aca="false">SUM(AT28:AT52)</f>
        <v>0</v>
      </c>
      <c r="AU53" s="207" t="n">
        <f aca="false">SUM(AU28:AU52)</f>
        <v>0</v>
      </c>
      <c r="AV53" s="207" t="n">
        <f aca="false">SUM(AV28:AV52)</f>
        <v>0</v>
      </c>
      <c r="AW53" s="207" t="n">
        <f aca="false">SUM(AW28:AW52)</f>
        <v>0</v>
      </c>
      <c r="AX53" s="207" t="n">
        <f aca="false">SUM(AX28:AX52)</f>
        <v>0</v>
      </c>
      <c r="AY53" s="207" t="n">
        <f aca="false">SUM(AY28:AY52)</f>
        <v>0</v>
      </c>
      <c r="AZ53" s="207" t="n">
        <f aca="false">SUM(AZ28:AZ52)</f>
        <v>0</v>
      </c>
      <c r="BA53" s="207" t="n">
        <f aca="false">SUM(BA28:BA52)</f>
        <v>0</v>
      </c>
      <c r="BB53" s="207" t="n">
        <f aca="false">SUM(BB28:BB52)</f>
        <v>0</v>
      </c>
      <c r="BC53" s="207" t="n">
        <f aca="false">SUM(BC28:BC52)</f>
        <v>0</v>
      </c>
      <c r="BD53" s="207" t="n">
        <f aca="false">SUM(BD28:BD52)</f>
        <v>0</v>
      </c>
      <c r="BE53" s="207" t="n">
        <f aca="false">SUM(BE28:BE52)</f>
        <v>0</v>
      </c>
      <c r="BF53" s="207" t="n">
        <f aca="false">SUM(BF28:BF52)</f>
        <v>0</v>
      </c>
      <c r="BG53" s="207" t="n">
        <f aca="false">SUM(BG28:BG52)</f>
        <v>0</v>
      </c>
      <c r="BH53" s="207" t="n">
        <f aca="false">SUM(BH28:BH52)</f>
        <v>0</v>
      </c>
      <c r="BI53" s="207" t="n">
        <f aca="false">SUM(BI28:BI52)</f>
        <v>0</v>
      </c>
      <c r="BJ53" s="207" t="n">
        <f aca="false">SUM(BJ28:BJ52)</f>
        <v>0</v>
      </c>
      <c r="BK53" s="207" t="n">
        <f aca="false">SUM(BK28:BK52)</f>
        <v>0</v>
      </c>
      <c r="BL53" s="207" t="n">
        <f aca="false">SUM(BL28:BL52)</f>
        <v>0</v>
      </c>
      <c r="BM53" s="207" t="n">
        <f aca="false">SUM(BM28:BM52)</f>
        <v>0</v>
      </c>
      <c r="BN53" s="207" t="n">
        <f aca="false">SUM(BN28:BN52)</f>
        <v>0</v>
      </c>
      <c r="BO53" s="207" t="n">
        <f aca="false">SUM(BO28:BO52)</f>
        <v>0</v>
      </c>
      <c r="BP53" s="207" t="n">
        <f aca="false">SUM(BP28:BP52)</f>
        <v>0</v>
      </c>
      <c r="BQ53" s="207" t="n">
        <f aca="false">SUM(BQ28:BQ52)</f>
        <v>0</v>
      </c>
      <c r="BR53" s="207" t="n">
        <f aca="false">SUM(BR28:BR52)</f>
        <v>0</v>
      </c>
      <c r="BS53" s="207" t="n">
        <f aca="false">SUM(BS28:BS52)</f>
        <v>0</v>
      </c>
      <c r="BT53" s="207" t="n">
        <f aca="false">SUM(BT28:BT52)</f>
        <v>0</v>
      </c>
      <c r="BU53" s="207" t="n">
        <f aca="false">SUM(BU28:BU52)</f>
        <v>0</v>
      </c>
      <c r="BV53" s="207" t="n">
        <f aca="false">SUM(BV28:BV52)</f>
        <v>0</v>
      </c>
      <c r="BW53" s="207" t="n">
        <f aca="false">SUM(BW28:BW52)</f>
        <v>0</v>
      </c>
      <c r="BX53" s="207" t="n">
        <f aca="false">SUM(BX28:BX52)</f>
        <v>0</v>
      </c>
      <c r="BY53" s="207" t="n">
        <f aca="false">SUM(BY28:BY52)</f>
        <v>0</v>
      </c>
      <c r="BZ53" s="207" t="n">
        <f aca="false">SUM(BZ28:BZ52)</f>
        <v>0</v>
      </c>
      <c r="CA53" s="207" t="n">
        <f aca="false">SUM(CA28:CA52)</f>
        <v>0</v>
      </c>
      <c r="CB53" s="207" t="n">
        <f aca="false">SUM(CB28:CB52)</f>
        <v>0</v>
      </c>
      <c r="CC53" s="207" t="n">
        <f aca="false">SUM(CC28:CC52)</f>
        <v>0</v>
      </c>
      <c r="CD53" s="207" t="n">
        <f aca="false">SUM(CD28:CD52)</f>
        <v>0</v>
      </c>
      <c r="CE53" s="207" t="n">
        <f aca="false">SUM(CE28:CE52)</f>
        <v>0</v>
      </c>
      <c r="CF53" s="207" t="n">
        <f aca="false">SUM(CF28:CF52)</f>
        <v>0</v>
      </c>
      <c r="CG53" s="207" t="n">
        <f aca="false">SUM(CG28:CG52)</f>
        <v>0</v>
      </c>
      <c r="CH53" s="207" t="n">
        <f aca="false">SUM(CH28:CH52)</f>
        <v>0</v>
      </c>
      <c r="CI53" s="207" t="n">
        <f aca="false">SUM(CI28:CI52)</f>
        <v>0</v>
      </c>
      <c r="CJ53" s="207" t="n">
        <f aca="false">SUM(CJ28:CJ52)</f>
        <v>0</v>
      </c>
      <c r="CK53" s="207" t="n">
        <f aca="false">SUM(CK28:CK52)</f>
        <v>0</v>
      </c>
      <c r="CL53" s="207" t="n">
        <f aca="false">SUM(CL28:CL52)</f>
        <v>0</v>
      </c>
      <c r="CM53" s="207" t="n">
        <f aca="false">SUM(CM28:CM52)</f>
        <v>0</v>
      </c>
      <c r="CN53" s="207" t="n">
        <f aca="false">SUM(CN28:CN52)</f>
        <v>0</v>
      </c>
      <c r="CO53" s="207" t="n">
        <f aca="false">SUM(CO28:CO52)</f>
        <v>0</v>
      </c>
      <c r="CP53" s="207" t="n">
        <f aca="false">SUM(CP28:CP52)</f>
        <v>0</v>
      </c>
      <c r="CQ53" s="207" t="n">
        <f aca="false">SUM(CQ28:CQ52)</f>
        <v>0</v>
      </c>
      <c r="CR53" s="207" t="n">
        <f aca="false">SUM(CR28:CR52)</f>
        <v>0</v>
      </c>
      <c r="CS53" s="207" t="n">
        <f aca="false">SUM(CS28:CS52)</f>
        <v>0</v>
      </c>
      <c r="CT53" s="207" t="n">
        <f aca="false">SUM(CT28:CT52)</f>
        <v>0</v>
      </c>
      <c r="CU53" s="207" t="n">
        <f aca="false">SUM(CU28:CU52)</f>
        <v>0</v>
      </c>
      <c r="CV53" s="207" t="n">
        <f aca="false">SUM(CV28:CV52)</f>
        <v>0</v>
      </c>
      <c r="CW53" s="207" t="n">
        <f aca="false">SUM(CW28:CW52)</f>
        <v>0</v>
      </c>
      <c r="CX53" s="207" t="n">
        <f aca="false">SUM(CX28:CX52)</f>
        <v>0</v>
      </c>
      <c r="CY53" s="207" t="n">
        <f aca="false">SUM(CY28:CY52)</f>
        <v>0</v>
      </c>
      <c r="CZ53" s="207" t="n">
        <f aca="false">SUM(CZ28:CZ52)</f>
        <v>0</v>
      </c>
      <c r="DA53" s="207" t="n">
        <f aca="false">SUM(DA28:DA52)</f>
        <v>0</v>
      </c>
      <c r="DB53" s="207" t="n">
        <f aca="false">SUM(DB28:DB52)</f>
        <v>0</v>
      </c>
    </row>
    <row r="54" customFormat="false" ht="15" hidden="false" customHeight="true" outlineLevel="0" collapsed="false">
      <c r="A54" s="94" t="s">
        <v>630</v>
      </c>
      <c r="G54" s="208" t="n">
        <f aca="false">COUNT(G28:G52)</f>
        <v>0</v>
      </c>
      <c r="H54" s="208" t="n">
        <f aca="false">COUNT(H28:H52)</f>
        <v>0</v>
      </c>
      <c r="I54" s="208" t="n">
        <f aca="false">COUNT(I28:I52)</f>
        <v>0</v>
      </c>
      <c r="J54" s="208" t="n">
        <f aca="false">COUNT(J28:J52)</f>
        <v>0</v>
      </c>
      <c r="K54" s="208" t="n">
        <f aca="false">COUNT(K28:K52)</f>
        <v>0</v>
      </c>
      <c r="L54" s="208" t="n">
        <f aca="false">COUNT(L28:L52)</f>
        <v>0</v>
      </c>
      <c r="M54" s="208" t="n">
        <f aca="false">COUNT(M28:M52)</f>
        <v>0</v>
      </c>
      <c r="N54" s="208" t="n">
        <f aca="false">COUNT(N28:N52)</f>
        <v>0</v>
      </c>
      <c r="O54" s="208" t="n">
        <f aca="false">COUNT(O28:O52)</f>
        <v>0</v>
      </c>
      <c r="P54" s="208" t="n">
        <f aca="false">COUNT(P28:P52)</f>
        <v>0</v>
      </c>
      <c r="Q54" s="208" t="n">
        <f aca="false">COUNT(Q28:Q52)</f>
        <v>0</v>
      </c>
      <c r="R54" s="208" t="n">
        <f aca="false">COUNT(R28:R52)</f>
        <v>0</v>
      </c>
      <c r="S54" s="208" t="n">
        <f aca="false">COUNT(S28:S52)</f>
        <v>0</v>
      </c>
      <c r="T54" s="208" t="n">
        <f aca="false">COUNT(T28:T52)</f>
        <v>0</v>
      </c>
      <c r="U54" s="208" t="n">
        <f aca="false">COUNT(U28:U52)</f>
        <v>0</v>
      </c>
      <c r="V54" s="208" t="n">
        <f aca="false">COUNT(V28:V52)</f>
        <v>0</v>
      </c>
      <c r="W54" s="208" t="n">
        <f aca="false">COUNT(W28:W52)</f>
        <v>0</v>
      </c>
      <c r="X54" s="208" t="n">
        <f aca="false">COUNT(X28:X52)</f>
        <v>0</v>
      </c>
      <c r="Y54" s="208" t="n">
        <f aca="false">COUNT(Y28:Y52)</f>
        <v>1</v>
      </c>
      <c r="Z54" s="208" t="n">
        <f aca="false">COUNT(Z28:Z52)</f>
        <v>1</v>
      </c>
      <c r="AA54" s="208" t="n">
        <f aca="false">COUNT(AA28:AA52)</f>
        <v>1</v>
      </c>
      <c r="AB54" s="208" t="n">
        <f aca="false">COUNT(AB28:AB52)</f>
        <v>1</v>
      </c>
      <c r="AC54" s="208" t="n">
        <f aca="false">COUNT(AC28:AC52)</f>
        <v>1</v>
      </c>
      <c r="AD54" s="208" t="n">
        <f aca="false">COUNT(AD28:AD52)</f>
        <v>1</v>
      </c>
      <c r="AE54" s="208" t="n">
        <f aca="false">COUNT(AE28:AE52)</f>
        <v>1</v>
      </c>
      <c r="AF54" s="208" t="n">
        <f aca="false">COUNT(AF28:AF52)</f>
        <v>1</v>
      </c>
      <c r="AG54" s="208" t="n">
        <f aca="false">COUNT(AG28:AG52)</f>
        <v>1</v>
      </c>
      <c r="AH54" s="208" t="n">
        <f aca="false">COUNT(AH28:AH52)</f>
        <v>1</v>
      </c>
      <c r="AI54" s="208" t="n">
        <f aca="false">COUNT(AI28:AI52)</f>
        <v>1</v>
      </c>
      <c r="AJ54" s="208" t="n">
        <f aca="false">COUNT(AJ28:AJ52)</f>
        <v>1</v>
      </c>
      <c r="AK54" s="208" t="n">
        <f aca="false">COUNT(AK28:AK52)</f>
        <v>1</v>
      </c>
      <c r="AL54" s="208" t="n">
        <f aca="false">COUNT(AL28:AL52)</f>
        <v>1</v>
      </c>
      <c r="AM54" s="208" t="n">
        <f aca="false">COUNT(AM28:AM52)</f>
        <v>1</v>
      </c>
      <c r="AN54" s="208" t="n">
        <f aca="false">COUNT(AN28:AN52)</f>
        <v>1</v>
      </c>
      <c r="AO54" s="208" t="n">
        <f aca="false">COUNT(AO28:AO52)</f>
        <v>1</v>
      </c>
      <c r="AP54" s="208" t="n">
        <f aca="false">COUNT(AP28:AP52)</f>
        <v>1</v>
      </c>
      <c r="AQ54" s="208" t="n">
        <f aca="false">COUNT(AQ28:AQ52)</f>
        <v>1</v>
      </c>
      <c r="AR54" s="208" t="n">
        <f aca="false">COUNT(AR28:AR52)</f>
        <v>0</v>
      </c>
      <c r="AS54" s="208" t="n">
        <f aca="false">COUNT(AS28:AS52)</f>
        <v>0</v>
      </c>
      <c r="AT54" s="208" t="n">
        <f aca="false">COUNT(AT28:AT52)</f>
        <v>0</v>
      </c>
      <c r="AU54" s="208" t="n">
        <f aca="false">COUNT(AU28:AU52)</f>
        <v>0</v>
      </c>
      <c r="AV54" s="208" t="n">
        <f aca="false">COUNT(AV28:AV52)</f>
        <v>0</v>
      </c>
      <c r="AW54" s="208" t="n">
        <f aca="false">COUNT(AW28:AW52)</f>
        <v>0</v>
      </c>
      <c r="AX54" s="208" t="n">
        <f aca="false">COUNT(AX28:AX52)</f>
        <v>0</v>
      </c>
      <c r="AY54" s="208" t="n">
        <f aca="false">COUNT(AY28:AY52)</f>
        <v>0</v>
      </c>
      <c r="AZ54" s="208" t="n">
        <f aca="false">COUNT(AZ28:AZ52)</f>
        <v>0</v>
      </c>
      <c r="BA54" s="208" t="n">
        <f aca="false">COUNT(BA28:BA52)</f>
        <v>0</v>
      </c>
      <c r="BB54" s="208" t="n">
        <f aca="false">COUNT(BB28:BB52)</f>
        <v>0</v>
      </c>
      <c r="BC54" s="208" t="n">
        <f aca="false">COUNT(BC28:BC52)</f>
        <v>0</v>
      </c>
      <c r="BD54" s="208" t="n">
        <f aca="false">COUNT(BD28:BD52)</f>
        <v>0</v>
      </c>
      <c r="BE54" s="208" t="n">
        <f aca="false">COUNT(BE28:BE52)</f>
        <v>0</v>
      </c>
      <c r="BF54" s="208" t="n">
        <f aca="false">COUNT(BF28:BF52)</f>
        <v>0</v>
      </c>
      <c r="BG54" s="208" t="n">
        <f aca="false">COUNT(BG28:BG52)</f>
        <v>0</v>
      </c>
      <c r="BH54" s="208" t="n">
        <f aca="false">COUNT(BH28:BH52)</f>
        <v>0</v>
      </c>
      <c r="BI54" s="208" t="n">
        <f aca="false">COUNT(BI28:BI52)</f>
        <v>0</v>
      </c>
      <c r="BJ54" s="208" t="n">
        <f aca="false">COUNT(BJ28:BJ52)</f>
        <v>0</v>
      </c>
      <c r="BK54" s="208" t="n">
        <f aca="false">COUNT(BK28:BK52)</f>
        <v>0</v>
      </c>
      <c r="BL54" s="208" t="n">
        <f aca="false">COUNT(BL28:BL52)</f>
        <v>0</v>
      </c>
      <c r="BM54" s="208" t="n">
        <f aca="false">COUNT(BM28:BM52)</f>
        <v>0</v>
      </c>
      <c r="BN54" s="208" t="n">
        <f aca="false">COUNT(BN28:BN52)</f>
        <v>0</v>
      </c>
      <c r="BO54" s="208" t="n">
        <f aca="false">COUNT(BO28:BO52)</f>
        <v>0</v>
      </c>
      <c r="BP54" s="208" t="n">
        <f aca="false">COUNT(BP28:BP52)</f>
        <v>0</v>
      </c>
      <c r="BQ54" s="208" t="n">
        <f aca="false">COUNT(BQ28:BQ52)</f>
        <v>0</v>
      </c>
      <c r="BR54" s="208" t="n">
        <f aca="false">COUNT(BR28:BR52)</f>
        <v>0</v>
      </c>
      <c r="BS54" s="208" t="n">
        <f aca="false">COUNT(BS28:BS52)</f>
        <v>0</v>
      </c>
      <c r="BT54" s="208" t="n">
        <f aca="false">COUNT(BT28:BT52)</f>
        <v>0</v>
      </c>
      <c r="BU54" s="208" t="n">
        <f aca="false">COUNT(BU28:BU52)</f>
        <v>0</v>
      </c>
      <c r="BV54" s="208" t="n">
        <f aca="false">COUNT(BV28:BV52)</f>
        <v>0</v>
      </c>
      <c r="BW54" s="208" t="n">
        <f aca="false">COUNT(BW28:BW52)</f>
        <v>0</v>
      </c>
      <c r="BX54" s="208" t="n">
        <f aca="false">COUNT(BX28:BX52)</f>
        <v>0</v>
      </c>
      <c r="BY54" s="208" t="n">
        <f aca="false">COUNT(BY28:BY52)</f>
        <v>0</v>
      </c>
      <c r="BZ54" s="208" t="n">
        <f aca="false">COUNT(BZ28:BZ52)</f>
        <v>0</v>
      </c>
      <c r="CA54" s="208" t="n">
        <f aca="false">COUNT(CA28:CA52)</f>
        <v>0</v>
      </c>
      <c r="CB54" s="208" t="n">
        <f aca="false">COUNT(CB28:CB52)</f>
        <v>0</v>
      </c>
      <c r="CC54" s="208" t="n">
        <f aca="false">COUNT(CC28:CC52)</f>
        <v>0</v>
      </c>
      <c r="CD54" s="208" t="n">
        <f aca="false">COUNT(CD28:CD52)</f>
        <v>0</v>
      </c>
      <c r="CE54" s="208" t="n">
        <f aca="false">COUNT(CE28:CE52)</f>
        <v>0</v>
      </c>
      <c r="CF54" s="208" t="n">
        <f aca="false">COUNT(CF28:CF52)</f>
        <v>0</v>
      </c>
      <c r="CG54" s="208" t="n">
        <f aca="false">COUNT(CG28:CG52)</f>
        <v>0</v>
      </c>
      <c r="CH54" s="208" t="n">
        <f aca="false">COUNT(CH28:CH52)</f>
        <v>0</v>
      </c>
      <c r="CI54" s="208" t="n">
        <f aca="false">COUNT(CI28:CI52)</f>
        <v>0</v>
      </c>
      <c r="CJ54" s="208" t="n">
        <f aca="false">COUNT(CJ28:CJ52)</f>
        <v>0</v>
      </c>
      <c r="CK54" s="208" t="n">
        <f aca="false">COUNT(CK28:CK52)</f>
        <v>0</v>
      </c>
      <c r="CL54" s="208" t="n">
        <f aca="false">COUNT(CL28:CL52)</f>
        <v>0</v>
      </c>
      <c r="CM54" s="208" t="n">
        <f aca="false">COUNT(CM28:CM52)</f>
        <v>0</v>
      </c>
      <c r="CN54" s="208" t="n">
        <f aca="false">COUNT(CN28:CN52)</f>
        <v>0</v>
      </c>
      <c r="CO54" s="208" t="n">
        <f aca="false">COUNT(CO28:CO52)</f>
        <v>0</v>
      </c>
      <c r="CP54" s="208" t="n">
        <f aca="false">COUNT(CP28:CP52)</f>
        <v>0</v>
      </c>
      <c r="CQ54" s="208" t="n">
        <f aca="false">COUNT(CQ28:CQ52)</f>
        <v>0</v>
      </c>
      <c r="CR54" s="208" t="n">
        <f aca="false">COUNT(CR28:CR52)</f>
        <v>0</v>
      </c>
      <c r="CS54" s="208" t="n">
        <f aca="false">COUNT(CS28:CS52)</f>
        <v>0</v>
      </c>
      <c r="CT54" s="208" t="n">
        <f aca="false">COUNT(CT28:CT52)</f>
        <v>0</v>
      </c>
      <c r="CU54" s="208" t="n">
        <f aca="false">COUNT(CU28:CU52)</f>
        <v>0</v>
      </c>
      <c r="CV54" s="208" t="n">
        <f aca="false">COUNT(CV28:CV52)</f>
        <v>0</v>
      </c>
      <c r="CW54" s="208" t="n">
        <f aca="false">COUNT(CW28:CW52)</f>
        <v>0</v>
      </c>
      <c r="CX54" s="208" t="n">
        <f aca="false">COUNT(CX28:CX52)</f>
        <v>0</v>
      </c>
      <c r="CY54" s="208" t="n">
        <f aca="false">COUNT(CY28:CY52)</f>
        <v>0</v>
      </c>
      <c r="CZ54" s="208" t="n">
        <f aca="false">COUNT(CZ28:CZ52)</f>
        <v>0</v>
      </c>
      <c r="DA54" s="208" t="n">
        <f aca="false">COUNT(DA28:DA52)</f>
        <v>0</v>
      </c>
      <c r="DB54" s="208" t="n">
        <f aca="false">COUNT(DB28:DB52)</f>
        <v>0</v>
      </c>
    </row>
    <row r="55" customFormat="false" ht="13.5" hidden="false" customHeight="true" outlineLevel="0" collapsed="false">
      <c r="A55" s="209" t="s">
        <v>631</v>
      </c>
      <c r="G55" s="210" t="n">
        <f aca="false">Model!E10+Model!E11+Model!E56</f>
        <v>379597.99</v>
      </c>
      <c r="H55" s="210" t="n">
        <f aca="false">Model!F10+Model!F11+Model!F56</f>
        <v>476783.4</v>
      </c>
      <c r="I55" s="210" t="n">
        <f aca="false">Model!G10+Model!G11+Model!G56</f>
        <v>667740.25</v>
      </c>
      <c r="J55" s="210" t="n">
        <f aca="false">Model!H10+Model!H11+Model!H56</f>
        <v>616538.58</v>
      </c>
      <c r="K55" s="210" t="n">
        <f aca="false">Model!I10+Model!I11+Model!I56</f>
        <v>760604.39</v>
      </c>
      <c r="L55" s="210" t="n">
        <f aca="false">Model!J10+Model!J11+Model!J56</f>
        <v>750022.66</v>
      </c>
      <c r="M55" s="210" t="n">
        <f aca="false">Model!K10+Model!K11+Model!K56</f>
        <v>702745.4</v>
      </c>
      <c r="N55" s="210" t="n">
        <f aca="false">Model!L10+Model!L11+Model!L56</f>
        <v>568759.87</v>
      </c>
      <c r="O55" s="210" t="n">
        <f aca="false">Model!M10+Model!M11+Model!M56</f>
        <v>601723.91</v>
      </c>
      <c r="P55" s="210" t="n">
        <f aca="false">Model!N10+Model!N11+Model!N56</f>
        <v>729468.98671865</v>
      </c>
      <c r="Q55" s="210" t="n">
        <f aca="false">Model!O10+Model!O11+Model!O56</f>
        <v>748142.8531996</v>
      </c>
      <c r="R55" s="210" t="n">
        <f aca="false">Model!P10+Model!P11+Model!P56</f>
        <v>777487.7531996</v>
      </c>
      <c r="S55" s="210" t="n">
        <f aca="false">Model!Q10+Model!Q11+Model!Q56</f>
        <v>860953.402927281</v>
      </c>
      <c r="T55" s="210" t="n">
        <f aca="false">Model!R10+Model!R11+Model!R56</f>
        <v>905139.332323031</v>
      </c>
      <c r="U55" s="210" t="n">
        <f aca="false">Model!S10+Model!S11+Model!S56</f>
        <v>1187324.25562138</v>
      </c>
      <c r="V55" s="210" t="n">
        <f aca="false">Model!T10+Model!T11+Model!T56</f>
        <v>1281039.24562138</v>
      </c>
      <c r="W55" s="210" t="n">
        <f aca="false">Model!U10+Model!U11+Model!U56</f>
        <v>1171298.79562138</v>
      </c>
      <c r="X55" s="210" t="n">
        <f aca="false">Model!V10+Model!V11+Model!V56</f>
        <v>1308387.61772613</v>
      </c>
      <c r="Y55" s="210" t="n">
        <f aca="false">Model!W10+Model!W11+Model!W56</f>
        <v>1312692.91488505</v>
      </c>
      <c r="Z55" s="210" t="n">
        <f aca="false">Model!X10+Model!X11+Model!X56</f>
        <v>1460388.59488505</v>
      </c>
      <c r="AA55" s="210" t="n">
        <f aca="false">Model!Y10+Model!Y11+Model!Y56</f>
        <v>1276861.67488505</v>
      </c>
      <c r="AB55" s="210" t="n">
        <f aca="false">Model!Z10+Model!Z11+Model!Z56</f>
        <v>1376788.67488505</v>
      </c>
      <c r="AC55" s="210" t="n">
        <f aca="false">Model!AA10+Model!AA11+Model!AA56</f>
        <v>1286621.73488505</v>
      </c>
      <c r="AD55" s="210" t="n">
        <f aca="false">Model!AB10+Model!AB11+Model!AB56</f>
        <v>1148487.46488505</v>
      </c>
      <c r="AE55" s="210" t="n">
        <f aca="false">Model!AC10+Model!AC11+Model!AC56</f>
        <v>1052250.62488505</v>
      </c>
      <c r="AF55" s="210" t="n">
        <f aca="false">Model!AD10+Model!AD11+Model!AD56</f>
        <v>1074816.66488505</v>
      </c>
      <c r="AG55" s="210" t="n">
        <f aca="false">Model!AE10+Model!AE11+Model!AE56</f>
        <v>1223559.98575359</v>
      </c>
      <c r="AH55" s="210" t="n">
        <f aca="false">Model!AF10+Model!AF11+Model!AF56</f>
        <v>1381944.11247224</v>
      </c>
      <c r="AI55" s="210" t="n">
        <f aca="false">Model!AG10+Model!AG11+Model!AG56</f>
        <v>1315343.61551589</v>
      </c>
      <c r="AJ55" s="210" t="n">
        <f aca="false">Model!AH10+Model!AH11+Model!AH56</f>
        <v>1291962.49019074</v>
      </c>
      <c r="AK55" s="210" t="n">
        <f aca="false">Model!AI10+Model!AI11+Model!AI56</f>
        <v>1053714.82282631</v>
      </c>
      <c r="AL55" s="210" t="n">
        <f aca="false">Model!AJ10+Model!AJ11+Model!AJ56</f>
        <v>1002591.84222206</v>
      </c>
      <c r="AM55" s="210" t="n">
        <f aca="false">Model!AK10+Model!AK11+Model!AK56</f>
        <v>839100.233430563</v>
      </c>
      <c r="AN55" s="210" t="n">
        <f aca="false">Model!AL10+Model!AL11+Model!AL56</f>
        <v>853170.943430563</v>
      </c>
      <c r="AO55" s="210" t="n">
        <f aca="false">Model!AM10+Model!AM11+Model!AM56</f>
        <v>864853.983430563</v>
      </c>
      <c r="AP55" s="210" t="n">
        <f aca="false">Model!AN10+Model!AN11+Model!AN56</f>
        <v>843781.735535313</v>
      </c>
      <c r="AQ55" s="210" t="n">
        <f aca="false">Model!AO10+Model!AO11+Model!AO56</f>
        <v>715834.423625813</v>
      </c>
      <c r="AR55" s="210" t="n">
        <f aca="false">Model!AP10+Model!AP11+Model!AP56</f>
        <v>678822.648593563</v>
      </c>
      <c r="AS55" s="210" t="n">
        <f aca="false">Model!AQ10+Model!AQ11+Model!AQ56</f>
        <v>449496.249784678</v>
      </c>
      <c r="AT55" s="210" t="n">
        <f aca="false">Model!AR10+Model!AR11+Model!AR56</f>
        <v>449496.249784678</v>
      </c>
      <c r="AU55" s="210" t="n">
        <f aca="false">Model!AS10+Model!AS11+Model!AS56</f>
        <v>449496.249784678</v>
      </c>
      <c r="AV55" s="210" t="n">
        <f aca="false">Model!AT10+Model!AT11+Model!AT56</f>
        <v>600143.498027517</v>
      </c>
      <c r="AW55" s="210" t="n">
        <f aca="false">Model!AU10+Model!AU11+Model!AU56</f>
        <v>330233.844925763</v>
      </c>
      <c r="AX55" s="210" t="n">
        <f aca="false">Model!AV10+Model!AV11+Model!AV56</f>
        <v>602719.430279263</v>
      </c>
      <c r="AY55" s="210" t="n">
        <f aca="false">Model!AW10+Model!AW11+Model!AW56</f>
        <v>157659.640868547</v>
      </c>
      <c r="AZ55" s="210" t="n">
        <f aca="false">Model!AX10+Model!AX11+Model!AX56</f>
        <v>157659.640868547</v>
      </c>
      <c r="BA55" s="210" t="n">
        <f aca="false">Model!AY10+Model!AY11+Model!AY56</f>
        <v>157659.640868547</v>
      </c>
      <c r="BB55" s="210" t="n">
        <f aca="false">Model!AZ10+Model!AZ11+Model!AZ56</f>
        <v>157659.640868547</v>
      </c>
      <c r="BC55" s="210" t="n">
        <f aca="false">Model!BA10+Model!BA11+Model!BA56</f>
        <v>157659.640868547</v>
      </c>
      <c r="BD55" s="210" t="n">
        <f aca="false">Model!BB10+Model!BB11+Model!BB56</f>
        <v>157659.640868547</v>
      </c>
      <c r="BE55" s="210" t="n">
        <f aca="false">Model!BC10+Model!BC11+Model!BC56</f>
        <v>157659.640868547</v>
      </c>
      <c r="BF55" s="210" t="n">
        <f aca="false">Model!BD10+Model!BD11+Model!BD56</f>
        <v>157659.640868547</v>
      </c>
      <c r="BG55" s="210" t="n">
        <f aca="false">Model!BE10+Model!BE11+Model!BE56</f>
        <v>157659.640868547</v>
      </c>
      <c r="BH55" s="210" t="n">
        <f aca="false">Model!BF10+Model!BF11+Model!BF56</f>
        <v>157659.640868547</v>
      </c>
      <c r="BI55" s="210" t="n">
        <f aca="false">Model!BG10+Model!BG11+Model!BG56</f>
        <v>157659.640868547</v>
      </c>
      <c r="BJ55" s="210" t="n">
        <f aca="false">Model!BH10+Model!BH11+Model!BH56</f>
        <v>406595.915924147</v>
      </c>
      <c r="BK55" s="210" t="n">
        <f aca="false">Model!BI10+Model!BI11+Model!BI56</f>
        <v>0</v>
      </c>
      <c r="BL55" s="210" t="n">
        <f aca="false">Model!BJ10+Model!BJ11+Model!BJ56</f>
        <v>0</v>
      </c>
      <c r="BM55" s="210" t="n">
        <f aca="false">Model!BK10+Model!BK11+Model!BK56</f>
        <v>0</v>
      </c>
      <c r="BN55" s="210" t="n">
        <f aca="false">Model!BL10+Model!BL11+Model!BL56</f>
        <v>0</v>
      </c>
      <c r="BO55" s="210" t="n">
        <f aca="false">Model!BM10+Model!BM11+Model!BM56</f>
        <v>0</v>
      </c>
      <c r="BP55" s="210" t="n">
        <f aca="false">Model!BN10+Model!BN11+Model!BN56</f>
        <v>0</v>
      </c>
      <c r="BQ55" s="210" t="n">
        <f aca="false">Model!BO10+Model!BO11+Model!BO56</f>
        <v>0</v>
      </c>
      <c r="BR55" s="210" t="n">
        <f aca="false">Model!BP10+Model!BP11+Model!BP56</f>
        <v>0</v>
      </c>
      <c r="BS55" s="210" t="n">
        <f aca="false">Model!BQ10+Model!BQ11+Model!BQ56</f>
        <v>0</v>
      </c>
      <c r="BT55" s="210" t="n">
        <f aca="false">Model!BR10+Model!BR11+Model!BR56</f>
        <v>0</v>
      </c>
      <c r="BU55" s="210" t="n">
        <f aca="false">Model!BS10+Model!BS11+Model!BS56</f>
        <v>0</v>
      </c>
      <c r="BV55" s="210" t="n">
        <f aca="false">Model!BT10+Model!BT11+Model!BT56</f>
        <v>0</v>
      </c>
      <c r="BW55" s="210" t="n">
        <f aca="false">Model!BU10+Model!BU11+Model!BU56</f>
        <v>0</v>
      </c>
      <c r="BX55" s="210" t="n">
        <f aca="false">Model!BV10+Model!BV11+Model!BV56</f>
        <v>0</v>
      </c>
      <c r="BY55" s="210" t="n">
        <f aca="false">Model!BW10+Model!BW11+Model!BW56</f>
        <v>0</v>
      </c>
      <c r="BZ55" s="210" t="n">
        <f aca="false">Model!BX10+Model!BX11+Model!BX56</f>
        <v>0</v>
      </c>
      <c r="CA55" s="210" t="n">
        <f aca="false">Model!BY10+Model!BY11+Model!BY56</f>
        <v>0</v>
      </c>
      <c r="CB55" s="210" t="n">
        <f aca="false">Model!BZ10+Model!BZ11+Model!BZ56</f>
        <v>0</v>
      </c>
      <c r="CC55" s="210" t="n">
        <f aca="false">Model!CA10+Model!CA11+Model!CA56</f>
        <v>0</v>
      </c>
      <c r="CD55" s="210" t="n">
        <f aca="false">Model!CB10+Model!CB11+Model!CB56</f>
        <v>0</v>
      </c>
      <c r="CE55" s="210" t="n">
        <f aca="false">Model!CC10+Model!CC11+Model!CC56</f>
        <v>0</v>
      </c>
      <c r="CF55" s="210" t="n">
        <f aca="false">Model!CD10+Model!CD11+Model!CD56</f>
        <v>0</v>
      </c>
      <c r="CG55" s="210" t="n">
        <f aca="false">Model!CE10+Model!CE11+Model!CE56</f>
        <v>0</v>
      </c>
      <c r="CH55" s="210" t="n">
        <f aca="false">Model!CF10+Model!CF11+Model!CF56</f>
        <v>0</v>
      </c>
      <c r="CI55" s="210" t="n">
        <f aca="false">Model!CG10+Model!CG11+Model!CG56</f>
        <v>0</v>
      </c>
      <c r="CJ55" s="210" t="n">
        <f aca="false">Model!CH10+Model!CH11+Model!CH56</f>
        <v>0</v>
      </c>
      <c r="CK55" s="210" t="n">
        <f aca="false">Model!CI10+Model!CI11+Model!CI56</f>
        <v>0</v>
      </c>
      <c r="CL55" s="210" t="n">
        <f aca="false">Model!CJ10+Model!CJ11+Model!CJ56</f>
        <v>0</v>
      </c>
      <c r="CM55" s="210" t="n">
        <f aca="false">Model!CK10+Model!CK11+Model!CK56</f>
        <v>0</v>
      </c>
      <c r="CN55" s="210" t="n">
        <f aca="false">Model!CL10+Model!CL11+Model!CL56</f>
        <v>0</v>
      </c>
      <c r="CO55" s="210" t="n">
        <f aca="false">Model!CM10+Model!CM11+Model!CM56</f>
        <v>0</v>
      </c>
      <c r="CP55" s="210" t="n">
        <f aca="false">Model!CN10+Model!CN11+Model!CN56</f>
        <v>0</v>
      </c>
      <c r="CQ55" s="210" t="n">
        <f aca="false">Model!CO10+Model!CO11+Model!CO56</f>
        <v>0</v>
      </c>
      <c r="CR55" s="210" t="n">
        <f aca="false">Model!CP10+Model!CP11+Model!CP56</f>
        <v>0</v>
      </c>
      <c r="CS55" s="210" t="n">
        <f aca="false">Model!CQ10+Model!CQ11+Model!CQ56</f>
        <v>0</v>
      </c>
      <c r="CT55" s="210" t="n">
        <f aca="false">Model!CR10+Model!CR11+Model!CR56</f>
        <v>0</v>
      </c>
      <c r="CU55" s="210" t="n">
        <f aca="false">Model!CS10+Model!CS11+Model!CS56</f>
        <v>0</v>
      </c>
      <c r="CV55" s="210" t="n">
        <f aca="false">Model!CT10+Model!CT11+Model!CT56</f>
        <v>0</v>
      </c>
      <c r="CW55" s="210" t="n">
        <f aca="false">Model!CU10+Model!CU11+Model!CU56</f>
        <v>0</v>
      </c>
      <c r="CX55" s="210" t="n">
        <f aca="false">Model!CV10+Model!CV11+Model!CV56</f>
        <v>0</v>
      </c>
      <c r="CY55" s="210" t="n">
        <f aca="false">Model!CW10+Model!CW11+Model!CW56</f>
        <v>0</v>
      </c>
      <c r="CZ55" s="210" t="n">
        <f aca="false">Model!CX10+Model!CX11+Model!CX56</f>
        <v>0</v>
      </c>
      <c r="DA55" s="210" t="n">
        <f aca="false">Model!CY10+Model!CY11+Model!CY56</f>
        <v>0</v>
      </c>
      <c r="DB55" s="210" t="n">
        <f aca="false">Model!CZ10+Model!CZ11+Model!CZ56</f>
        <v>0</v>
      </c>
    </row>
    <row r="56" customFormat="false" ht="15" hidden="false" customHeight="true" outlineLevel="0" collapsed="false">
      <c r="A56" s="211" t="s">
        <v>632</v>
      </c>
      <c r="B56" s="212"/>
      <c r="C56" s="212"/>
      <c r="D56" s="212"/>
      <c r="E56" s="212"/>
      <c r="F56" s="212"/>
      <c r="G56" s="213" t="n">
        <f aca="false">G21+G53+G55</f>
        <v>3692357.9</v>
      </c>
      <c r="H56" s="213" t="n">
        <f aca="false">H21+H53+H55</f>
        <v>4416061.63</v>
      </c>
      <c r="I56" s="213" t="n">
        <f aca="false">I21+I53+I55</f>
        <v>6252262.98</v>
      </c>
      <c r="J56" s="213" t="n">
        <f aca="false">J21+J53+J55</f>
        <v>7025595.65</v>
      </c>
      <c r="K56" s="213" t="n">
        <f aca="false">K21+K53+K55</f>
        <v>6064732.98</v>
      </c>
      <c r="L56" s="213" t="n">
        <f aca="false">L21+L53+L55</f>
        <v>6380882.05</v>
      </c>
      <c r="M56" s="213" t="n">
        <f aca="false">M21+M53+M55</f>
        <v>5863956.57</v>
      </c>
      <c r="N56" s="213" t="n">
        <f aca="false">N21+N53+N55</f>
        <v>4729790.82</v>
      </c>
      <c r="O56" s="213" t="n">
        <f aca="false">O21+O53+O55</f>
        <v>4696674.76099936</v>
      </c>
      <c r="P56" s="213" t="n">
        <f aca="false">P21+P53+P55</f>
        <v>5653414.31976768</v>
      </c>
      <c r="Q56" s="213" t="n">
        <f aca="false">Q21+Q53+Q55</f>
        <v>5737029.0785874</v>
      </c>
      <c r="R56" s="213" t="n">
        <f aca="false">R21+R53+R55</f>
        <v>6249137.2685729</v>
      </c>
      <c r="S56" s="213" t="n">
        <f aca="false">S21+S53+S55</f>
        <v>6690394.38083972</v>
      </c>
      <c r="T56" s="213" t="n">
        <f aca="false">T21+T53+T55</f>
        <v>7133494.69621321</v>
      </c>
      <c r="U56" s="213" t="n">
        <f aca="false">U21+U53+U55</f>
        <v>8768040.94323706</v>
      </c>
      <c r="V56" s="213" t="n">
        <f aca="false">V21+V53+V55</f>
        <v>10144347.3730913</v>
      </c>
      <c r="W56" s="213" t="n">
        <f aca="false">W21+W53+W55</f>
        <v>9796181.31484267</v>
      </c>
      <c r="X56" s="213" t="n">
        <f aca="false">X21+X53+X55</f>
        <v>11103411.537929</v>
      </c>
      <c r="Y56" s="213" t="n">
        <f aca="false">Y21+Y53+Y55</f>
        <v>10990981.1829161</v>
      </c>
      <c r="Z56" s="213" t="n">
        <f aca="false">Z21+Z53+Z55</f>
        <v>12901723.7996864</v>
      </c>
      <c r="AA56" s="213" t="n">
        <f aca="false">AA21+AA53+AA55</f>
        <v>11944082.569663</v>
      </c>
      <c r="AB56" s="213" t="n">
        <f aca="false">AB21+AB53+AB55</f>
        <v>13248868.2165287</v>
      </c>
      <c r="AC56" s="213" t="n">
        <f aca="false">AC21+AC53+AC55</f>
        <v>12830753.982837</v>
      </c>
      <c r="AD56" s="213" t="n">
        <f aca="false">AD21+AD53+AD55</f>
        <v>11867722.2593829</v>
      </c>
      <c r="AE56" s="213" t="n">
        <f aca="false">AE21+AE53+AE55</f>
        <v>11120389.0556282</v>
      </c>
      <c r="AF56" s="213" t="n">
        <f aca="false">AF21+AF53+AF55</f>
        <v>11218269.5727111</v>
      </c>
      <c r="AG56" s="213" t="n">
        <f aca="false">AG21+AG53+AG55</f>
        <v>11573978.5474931</v>
      </c>
      <c r="AH56" s="213" t="n">
        <f aca="false">AH21+AH53+AH55</f>
        <v>11576384.073042</v>
      </c>
      <c r="AI56" s="213" t="n">
        <f aca="false">AI21+AI53+AI55</f>
        <v>11775371.7106579</v>
      </c>
      <c r="AJ56" s="213" t="n">
        <f aca="false">AJ21+AJ53+AJ55</f>
        <v>11030742.349959</v>
      </c>
      <c r="AK56" s="213" t="n">
        <f aca="false">AK21+AK53+AK55</f>
        <v>10160868.4216285</v>
      </c>
      <c r="AL56" s="213" t="n">
        <f aca="false">AL21+AL53+AL55</f>
        <v>8777079.67418376</v>
      </c>
      <c r="AM56" s="213" t="n">
        <f aca="false">AM21+AM53+AM55</f>
        <v>7892614.61036044</v>
      </c>
      <c r="AN56" s="213" t="n">
        <f aca="false">AN21+AN53+AN55</f>
        <v>7590772.52029796</v>
      </c>
      <c r="AO56" s="213" t="n">
        <f aca="false">AO21+AO53+AO55</f>
        <v>7244307.35482756</v>
      </c>
      <c r="AP56" s="213" t="n">
        <f aca="false">AP21+AP53+AP55</f>
        <v>5902740.09075538</v>
      </c>
      <c r="AQ56" s="213" t="n">
        <f aca="false">AQ21+AQ53+AQ55</f>
        <v>4837953.56167786</v>
      </c>
      <c r="AR56" s="213" t="n">
        <f aca="false">AR21+AR53+AR55</f>
        <v>3678533.319865</v>
      </c>
      <c r="AS56" s="213" t="n">
        <f aca="false">AS21+AS53+AS55</f>
        <v>3172311.694126</v>
      </c>
      <c r="AT56" s="213" t="n">
        <f aca="false">AT21+AT53+AT55</f>
        <v>3083327.108166</v>
      </c>
      <c r="AU56" s="213" t="n">
        <f aca="false">AU21+AU53+AU55</f>
        <v>2977199.35625</v>
      </c>
      <c r="AV56" s="213" t="n">
        <f aca="false">AV21+AV53+AV55</f>
        <v>2855612.81203</v>
      </c>
      <c r="AW56" s="213" t="n">
        <f aca="false">AW21+AW53+AW55</f>
        <v>2720423.413076</v>
      </c>
      <c r="AX56" s="213" t="n">
        <f aca="false">AX21+AX53+AX55</f>
        <v>2573794.461186</v>
      </c>
      <c r="AY56" s="213" t="n">
        <f aca="false">AY21+AY53+AY55</f>
        <v>1790448.79244</v>
      </c>
      <c r="AZ56" s="213" t="n">
        <f aca="false">AZ21+AZ53+AZ55</f>
        <v>1720311.336568</v>
      </c>
      <c r="BA56" s="213" t="n">
        <f aca="false">BA21+BA53+BA55</f>
        <v>1636485.497504</v>
      </c>
      <c r="BB56" s="213" t="n">
        <f aca="false">BB21+BB53+BB55</f>
        <v>1541245.780008</v>
      </c>
      <c r="BC56" s="213" t="n">
        <f aca="false">BC21+BC53+BC55</f>
        <v>1437156.171264</v>
      </c>
      <c r="BD56" s="213" t="n">
        <f aca="false">BD21+BD53+BD55</f>
        <v>1326739.303824</v>
      </c>
      <c r="BE56" s="213" t="n">
        <f aca="false">BE21+BE53+BE55</f>
        <v>1212641.874136</v>
      </c>
      <c r="BF56" s="213" t="n">
        <f aca="false">BF21+BF53+BF55</f>
        <v>1097345.16012</v>
      </c>
      <c r="BG56" s="213" t="n">
        <f aca="false">BG21+BG53+BG55</f>
        <v>983123.666536</v>
      </c>
      <c r="BH56" s="213" t="n">
        <f aca="false">BH21+BH53+BH55</f>
        <v>872045.124984</v>
      </c>
      <c r="BI56" s="213" t="n">
        <f aca="false">BI21+BI53+BI55</f>
        <v>765805.075376</v>
      </c>
      <c r="BJ56" s="213" t="n">
        <f aca="false">BJ21+BJ53+BJ55</f>
        <v>665850.929832</v>
      </c>
      <c r="BK56" s="213" t="n">
        <f aca="false">BK21+BK53+BK55</f>
        <v>0</v>
      </c>
      <c r="BL56" s="213" t="n">
        <f aca="false">BL21+BL53+BL55</f>
        <v>0</v>
      </c>
      <c r="BM56" s="213" t="n">
        <f aca="false">BM21+BM53+BM55</f>
        <v>0</v>
      </c>
      <c r="BN56" s="213" t="n">
        <f aca="false">BN21+BN53+BN55</f>
        <v>0</v>
      </c>
      <c r="BO56" s="213" t="n">
        <f aca="false">BO21+BO53+BO55</f>
        <v>0</v>
      </c>
      <c r="BP56" s="213" t="n">
        <f aca="false">BP21+BP53+BP55</f>
        <v>0</v>
      </c>
      <c r="BQ56" s="213" t="n">
        <f aca="false">BQ21+BQ53+BQ55</f>
        <v>0</v>
      </c>
      <c r="BR56" s="213" t="n">
        <f aca="false">BR21+BR53+BR55</f>
        <v>0</v>
      </c>
      <c r="BS56" s="213" t="n">
        <f aca="false">BS21+BS53+BS55</f>
        <v>0</v>
      </c>
      <c r="BT56" s="213" t="n">
        <f aca="false">BT21+BT53+BT55</f>
        <v>0</v>
      </c>
      <c r="BU56" s="213" t="n">
        <f aca="false">BU21+BU53+BU55</f>
        <v>0</v>
      </c>
      <c r="BV56" s="213" t="n">
        <f aca="false">BV21+BV53+BV55</f>
        <v>0</v>
      </c>
      <c r="BW56" s="213" t="n">
        <f aca="false">BW21+BW53+BW55</f>
        <v>0</v>
      </c>
      <c r="BX56" s="213" t="n">
        <f aca="false">BX21+BX53+BX55</f>
        <v>0</v>
      </c>
      <c r="BY56" s="213" t="n">
        <f aca="false">BY21+BY53+BY55</f>
        <v>0</v>
      </c>
      <c r="BZ56" s="213" t="n">
        <f aca="false">BZ21+BZ53+BZ55</f>
        <v>0</v>
      </c>
      <c r="CA56" s="213" t="n">
        <f aca="false">CA21+CA53+CA55</f>
        <v>0</v>
      </c>
      <c r="CB56" s="213" t="n">
        <f aca="false">CB21+CB53+CB55</f>
        <v>0</v>
      </c>
      <c r="CC56" s="213" t="n">
        <f aca="false">CC21+CC53+CC55</f>
        <v>0</v>
      </c>
      <c r="CD56" s="213" t="n">
        <f aca="false">CD21+CD53+CD55</f>
        <v>0</v>
      </c>
      <c r="CE56" s="213" t="n">
        <f aca="false">CE21+CE53+CE55</f>
        <v>0</v>
      </c>
      <c r="CF56" s="213" t="n">
        <f aca="false">CF21+CF53+CF55</f>
        <v>0</v>
      </c>
      <c r="CG56" s="213" t="n">
        <f aca="false">CG21+CG53+CG55</f>
        <v>0</v>
      </c>
      <c r="CH56" s="213" t="n">
        <f aca="false">CH21+CH53+CH55</f>
        <v>0</v>
      </c>
      <c r="CI56" s="213" t="n">
        <f aca="false">CI21+CI53+CI55</f>
        <v>0</v>
      </c>
      <c r="CJ56" s="213" t="n">
        <f aca="false">CJ21+CJ53+CJ55</f>
        <v>0</v>
      </c>
      <c r="CK56" s="213" t="n">
        <f aca="false">CK21+CK53+CK55</f>
        <v>0</v>
      </c>
      <c r="CL56" s="213" t="n">
        <f aca="false">CL21+CL53+CL55</f>
        <v>0</v>
      </c>
      <c r="CM56" s="213" t="n">
        <f aca="false">CM21+CM53+CM55</f>
        <v>0</v>
      </c>
      <c r="CN56" s="213" t="n">
        <f aca="false">CN21+CN53+CN55</f>
        <v>0</v>
      </c>
      <c r="CO56" s="213" t="n">
        <f aca="false">CO21+CO53+CO55</f>
        <v>0</v>
      </c>
      <c r="CP56" s="213" t="n">
        <f aca="false">CP21+CP53+CP55</f>
        <v>0</v>
      </c>
      <c r="CQ56" s="213" t="n">
        <f aca="false">CQ21+CQ53+CQ55</f>
        <v>0</v>
      </c>
      <c r="CR56" s="213" t="n">
        <f aca="false">CR21+CR53+CR55</f>
        <v>0</v>
      </c>
      <c r="CS56" s="213" t="n">
        <f aca="false">CS21+CS53+CS55</f>
        <v>0</v>
      </c>
      <c r="CT56" s="213" t="n">
        <f aca="false">CT21+CT53+CT55</f>
        <v>0</v>
      </c>
      <c r="CU56" s="213" t="n">
        <f aca="false">CU21+CU53+CU55</f>
        <v>0</v>
      </c>
      <c r="CV56" s="213" t="n">
        <f aca="false">CV21+CV53+CV55</f>
        <v>0</v>
      </c>
      <c r="CW56" s="213" t="n">
        <f aca="false">CW21+CW53+CW55</f>
        <v>0</v>
      </c>
      <c r="CX56" s="213" t="n">
        <f aca="false">CX21+CX53+CX55</f>
        <v>0</v>
      </c>
      <c r="CY56" s="213" t="n">
        <f aca="false">CY21+CY53+CY55</f>
        <v>0</v>
      </c>
      <c r="CZ56" s="213" t="n">
        <f aca="false">CZ21+CZ53+CZ55</f>
        <v>0</v>
      </c>
      <c r="DA56" s="213" t="n">
        <f aca="false">DA21+DA53+DA55</f>
        <v>0</v>
      </c>
      <c r="DB56" s="213" t="n">
        <f aca="false">DB21+DB53+DB55</f>
        <v>0</v>
      </c>
    </row>
    <row r="57" customFormat="false" ht="15" hidden="false" customHeight="true" outlineLevel="0" collapsed="false">
      <c r="A57" s="211" t="s">
        <v>633</v>
      </c>
      <c r="B57" s="212"/>
      <c r="C57" s="212"/>
      <c r="D57" s="212"/>
      <c r="E57" s="212"/>
      <c r="F57" s="212"/>
      <c r="G57" s="214" t="n">
        <f aca="false">G22+G54</f>
        <v>5</v>
      </c>
      <c r="H57" s="214" t="n">
        <f aca="false">H22+H54</f>
        <v>5</v>
      </c>
      <c r="I57" s="214" t="n">
        <f aca="false">I22+I54</f>
        <v>5</v>
      </c>
      <c r="J57" s="214" t="n">
        <f aca="false">J22+J54</f>
        <v>7</v>
      </c>
      <c r="K57" s="214" t="n">
        <f aca="false">K22+K54</f>
        <v>8</v>
      </c>
      <c r="L57" s="214" t="n">
        <f aca="false">L22+L54</f>
        <v>8</v>
      </c>
      <c r="M57" s="214" t="n">
        <f aca="false">M22+M54</f>
        <v>8</v>
      </c>
      <c r="N57" s="214" t="n">
        <f aca="false">N22+N54</f>
        <v>8</v>
      </c>
      <c r="O57" s="214" t="n">
        <f aca="false">O22+O54</f>
        <v>9</v>
      </c>
      <c r="P57" s="214" t="n">
        <f aca="false">P22+P54</f>
        <v>9</v>
      </c>
      <c r="Q57" s="214" t="n">
        <f aca="false">Q22+Q54</f>
        <v>10</v>
      </c>
      <c r="R57" s="214" t="n">
        <f aca="false">R22+R54</f>
        <v>10</v>
      </c>
      <c r="S57" s="214" t="n">
        <f aca="false">S22+S54</f>
        <v>11</v>
      </c>
      <c r="T57" s="214" t="n">
        <f aca="false">T22+T54</f>
        <v>12</v>
      </c>
      <c r="U57" s="214" t="n">
        <f aca="false">U22+U54</f>
        <v>14</v>
      </c>
      <c r="V57" s="214" t="n">
        <f aca="false">V22+V54</f>
        <v>13</v>
      </c>
      <c r="W57" s="214" t="n">
        <f aca="false">W22+W54</f>
        <v>13</v>
      </c>
      <c r="X57" s="214" t="n">
        <f aca="false">X22+X54</f>
        <v>13</v>
      </c>
      <c r="Y57" s="214" t="n">
        <f aca="false">Y22+Y54</f>
        <v>14</v>
      </c>
      <c r="Z57" s="214" t="n">
        <f aca="false">Z22+Z54</f>
        <v>13</v>
      </c>
      <c r="AA57" s="214" t="n">
        <f aca="false">AA22+AA54</f>
        <v>13</v>
      </c>
      <c r="AB57" s="214" t="n">
        <f aca="false">AB22+AB54</f>
        <v>13</v>
      </c>
      <c r="AC57" s="214" t="n">
        <f aca="false">AC22+AC54</f>
        <v>13</v>
      </c>
      <c r="AD57" s="214" t="n">
        <f aca="false">AD22+AD54</f>
        <v>12</v>
      </c>
      <c r="AE57" s="214" t="n">
        <f aca="false">AE22+AE54</f>
        <v>11</v>
      </c>
      <c r="AF57" s="214" t="n">
        <f aca="false">AF22+AF54</f>
        <v>11</v>
      </c>
      <c r="AG57" s="214" t="n">
        <f aca="false">AG22+AG54</f>
        <v>12</v>
      </c>
      <c r="AH57" s="214" t="n">
        <f aca="false">AH22+AH54</f>
        <v>12</v>
      </c>
      <c r="AI57" s="214" t="n">
        <f aca="false">AI22+AI54</f>
        <v>10</v>
      </c>
      <c r="AJ57" s="214" t="n">
        <f aca="false">AJ22+AJ54</f>
        <v>9</v>
      </c>
      <c r="AK57" s="214" t="n">
        <f aca="false">AK22+AK54</f>
        <v>8</v>
      </c>
      <c r="AL57" s="214" t="n">
        <f aca="false">AL22+AL54</f>
        <v>8</v>
      </c>
      <c r="AM57" s="214" t="n">
        <f aca="false">AM22+AM54</f>
        <v>7</v>
      </c>
      <c r="AN57" s="214" t="n">
        <f aca="false">AN22+AN54</f>
        <v>7</v>
      </c>
      <c r="AO57" s="214" t="n">
        <f aca="false">AO22+AO54</f>
        <v>7</v>
      </c>
      <c r="AP57" s="214" t="n">
        <f aca="false">AP22+AP54</f>
        <v>7</v>
      </c>
      <c r="AQ57" s="214" t="n">
        <f aca="false">AQ22+AQ54</f>
        <v>5</v>
      </c>
      <c r="AR57" s="214" t="n">
        <f aca="false">AR22+AR54</f>
        <v>4</v>
      </c>
      <c r="AS57" s="214" t="n">
        <f aca="false">AS22+AS54</f>
        <v>3</v>
      </c>
      <c r="AT57" s="214" t="n">
        <f aca="false">AT22+AT54</f>
        <v>3</v>
      </c>
      <c r="AU57" s="214" t="n">
        <f aca="false">AU22+AU54</f>
        <v>3</v>
      </c>
      <c r="AV57" s="214" t="n">
        <f aca="false">AV22+AV54</f>
        <v>3</v>
      </c>
      <c r="AW57" s="214" t="n">
        <f aca="false">AW22+AW54</f>
        <v>2</v>
      </c>
      <c r="AX57" s="214" t="n">
        <f aca="false">AX22+AX54</f>
        <v>2</v>
      </c>
      <c r="AY57" s="214" t="n">
        <f aca="false">AY22+AY54</f>
        <v>1</v>
      </c>
      <c r="AZ57" s="214" t="n">
        <f aca="false">AZ22+AZ54</f>
        <v>1</v>
      </c>
      <c r="BA57" s="214" t="n">
        <f aca="false">BA22+BA54</f>
        <v>1</v>
      </c>
      <c r="BB57" s="214" t="n">
        <f aca="false">BB22+BB54</f>
        <v>1</v>
      </c>
      <c r="BC57" s="214" t="n">
        <f aca="false">BC22+BC54</f>
        <v>1</v>
      </c>
      <c r="BD57" s="214" t="n">
        <f aca="false">BD22+BD54</f>
        <v>1</v>
      </c>
      <c r="BE57" s="214" t="n">
        <f aca="false">BE22+BE54</f>
        <v>1</v>
      </c>
      <c r="BF57" s="214" t="n">
        <f aca="false">BF22+BF54</f>
        <v>1</v>
      </c>
      <c r="BG57" s="214" t="n">
        <f aca="false">BG22+BG54</f>
        <v>1</v>
      </c>
      <c r="BH57" s="214" t="n">
        <f aca="false">BH22+BH54</f>
        <v>1</v>
      </c>
      <c r="BI57" s="214" t="n">
        <f aca="false">BI22+BI54</f>
        <v>1</v>
      </c>
      <c r="BJ57" s="214" t="n">
        <f aca="false">BJ22+BJ54</f>
        <v>1</v>
      </c>
      <c r="BK57" s="214" t="n">
        <f aca="false">BK22+BK54</f>
        <v>0</v>
      </c>
      <c r="BL57" s="214" t="n">
        <f aca="false">BL22+BL54</f>
        <v>0</v>
      </c>
      <c r="BM57" s="214" t="n">
        <f aca="false">BM22+BM54</f>
        <v>0</v>
      </c>
      <c r="BN57" s="214" t="n">
        <f aca="false">BN22+BN54</f>
        <v>0</v>
      </c>
      <c r="BO57" s="214" t="n">
        <f aca="false">BO22+BO54</f>
        <v>0</v>
      </c>
      <c r="BP57" s="214" t="n">
        <f aca="false">BP22+BP54</f>
        <v>0</v>
      </c>
      <c r="BQ57" s="214" t="n">
        <f aca="false">BQ22+BQ54</f>
        <v>0</v>
      </c>
      <c r="BR57" s="214" t="n">
        <f aca="false">BR22+BR54</f>
        <v>0</v>
      </c>
      <c r="BS57" s="214" t="n">
        <f aca="false">BS22+BS54</f>
        <v>0</v>
      </c>
      <c r="BT57" s="214" t="n">
        <f aca="false">BT22+BT54</f>
        <v>0</v>
      </c>
      <c r="BU57" s="214" t="n">
        <f aca="false">BU22+BU54</f>
        <v>0</v>
      </c>
      <c r="BV57" s="214" t="n">
        <f aca="false">BV22+BV54</f>
        <v>0</v>
      </c>
      <c r="BW57" s="214" t="n">
        <f aca="false">BW22+BW54</f>
        <v>0</v>
      </c>
      <c r="BX57" s="214" t="n">
        <f aca="false">BX22+BX54</f>
        <v>0</v>
      </c>
      <c r="BY57" s="214" t="n">
        <f aca="false">BY22+BY54</f>
        <v>0</v>
      </c>
      <c r="BZ57" s="214" t="n">
        <f aca="false">BZ22+BZ54</f>
        <v>0</v>
      </c>
      <c r="CA57" s="214" t="n">
        <f aca="false">CA22+CA54</f>
        <v>0</v>
      </c>
      <c r="CB57" s="214" t="n">
        <f aca="false">CB22+CB54</f>
        <v>0</v>
      </c>
      <c r="CC57" s="214" t="n">
        <f aca="false">CC22+CC54</f>
        <v>0</v>
      </c>
      <c r="CD57" s="214" t="n">
        <f aca="false">CD22+CD54</f>
        <v>0</v>
      </c>
      <c r="CE57" s="214" t="n">
        <f aca="false">CE22+CE54</f>
        <v>0</v>
      </c>
      <c r="CF57" s="214" t="n">
        <f aca="false">CF22+CF54</f>
        <v>0</v>
      </c>
      <c r="CG57" s="214" t="n">
        <f aca="false">CG22+CG54</f>
        <v>0</v>
      </c>
      <c r="CH57" s="214" t="n">
        <f aca="false">CH22+CH54</f>
        <v>0</v>
      </c>
      <c r="CI57" s="214" t="n">
        <f aca="false">CI22+CI54</f>
        <v>0</v>
      </c>
      <c r="CJ57" s="214" t="n">
        <f aca="false">CJ22+CJ54</f>
        <v>0</v>
      </c>
      <c r="CK57" s="214" t="n">
        <f aca="false">CK22+CK54</f>
        <v>0</v>
      </c>
      <c r="CL57" s="214" t="n">
        <f aca="false">CL22+CL54</f>
        <v>0</v>
      </c>
      <c r="CM57" s="214" t="n">
        <f aca="false">CM22+CM54</f>
        <v>0</v>
      </c>
      <c r="CN57" s="214" t="n">
        <f aca="false">CN22+CN54</f>
        <v>0</v>
      </c>
      <c r="CO57" s="214" t="n">
        <f aca="false">CO22+CO54</f>
        <v>0</v>
      </c>
      <c r="CP57" s="214" t="n">
        <f aca="false">CP22+CP54</f>
        <v>0</v>
      </c>
      <c r="CQ57" s="214" t="n">
        <f aca="false">CQ22+CQ54</f>
        <v>0</v>
      </c>
      <c r="CR57" s="214" t="n">
        <f aca="false">CR22+CR54</f>
        <v>0</v>
      </c>
      <c r="CS57" s="214" t="n">
        <f aca="false">CS22+CS54</f>
        <v>0</v>
      </c>
      <c r="CT57" s="214" t="n">
        <f aca="false">CT22+CT54</f>
        <v>0</v>
      </c>
      <c r="CU57" s="214" t="n">
        <f aca="false">CU22+CU54</f>
        <v>0</v>
      </c>
      <c r="CV57" s="214" t="n">
        <f aca="false">CV22+CV54</f>
        <v>0</v>
      </c>
      <c r="CW57" s="214" t="n">
        <f aca="false">CW22+CW54</f>
        <v>0</v>
      </c>
      <c r="CX57" s="214" t="n">
        <f aca="false">CX22+CX54</f>
        <v>0</v>
      </c>
      <c r="CY57" s="214" t="n">
        <f aca="false">CY22+CY54</f>
        <v>0</v>
      </c>
      <c r="CZ57" s="214" t="n">
        <f aca="false">CZ22+CZ54</f>
        <v>0</v>
      </c>
      <c r="DA57" s="214" t="n">
        <f aca="false">DA22+DA54</f>
        <v>0</v>
      </c>
      <c r="DB57" s="214" t="n">
        <f aca="false">DB22+DB54</f>
        <v>0</v>
      </c>
    </row>
    <row r="59" customFormat="false" ht="15" hidden="false" customHeight="true" outlineLevel="0" collapsed="false">
      <c r="A59" s="94" t="s">
        <v>634</v>
      </c>
      <c r="G59" s="210" t="n">
        <f aca="false">-(Model!E236+Model!E292)</f>
        <v>269336.28</v>
      </c>
      <c r="H59" s="210" t="n">
        <f aca="false">-(Model!F236+Model!F292)</f>
        <v>687944.37</v>
      </c>
      <c r="I59" s="210" t="n">
        <f aca="false">-(Model!G236+Model!G292)</f>
        <v>471394.68</v>
      </c>
      <c r="J59" s="210" t="n">
        <f aca="false">-(Model!H236+Model!H292)</f>
        <v>518009.51</v>
      </c>
      <c r="K59" s="210" t="n">
        <f aca="false">-(Model!I236+Model!I292)</f>
        <v>569578.44</v>
      </c>
      <c r="L59" s="210" t="n">
        <f aca="false">-(Model!J236+Model!J292)</f>
        <v>598679.7</v>
      </c>
      <c r="M59" s="210" t="n">
        <f aca="false">-(Model!K236+Model!K292)</f>
        <v>600793.429666667</v>
      </c>
      <c r="N59" s="210" t="n">
        <f aca="false">-(Model!L236+Model!L292)</f>
        <v>593293.429666667</v>
      </c>
      <c r="O59" s="210" t="n">
        <f aca="false">-(Model!M236+Model!M292)</f>
        <v>695133.429666667</v>
      </c>
      <c r="P59" s="210" t="n">
        <f aca="false">-(Model!N236+Model!N292)</f>
        <v>615771.833</v>
      </c>
      <c r="Q59" s="210" t="n">
        <f aca="false">-(Model!O236+Model!O292)</f>
        <v>634990.583</v>
      </c>
      <c r="R59" s="210" t="n">
        <f aca="false">-(Model!P236+Model!P292)</f>
        <v>602115.583</v>
      </c>
      <c r="S59" s="210" t="n">
        <f aca="false">-(Model!Q236+Model!Q292)</f>
        <v>628955.583</v>
      </c>
      <c r="T59" s="210" t="n">
        <f aca="false">-(Model!R236+Model!R292)</f>
        <v>663014.333</v>
      </c>
      <c r="U59" s="210" t="n">
        <f aca="false">-(Model!S236+Model!S292)</f>
        <v>738095.583</v>
      </c>
      <c r="V59" s="210" t="n">
        <f aca="false">-(Model!T236+Model!T292)</f>
        <v>694970.583</v>
      </c>
      <c r="W59" s="210" t="n">
        <f aca="false">-(Model!U236+Model!U292)</f>
        <v>694970.583</v>
      </c>
      <c r="X59" s="210" t="n">
        <f aca="false">-(Model!V236+Model!V292)</f>
        <v>694970.583</v>
      </c>
      <c r="Y59" s="210" t="n">
        <f aca="false">-(Model!W236+Model!W292)</f>
        <v>788910.583</v>
      </c>
      <c r="Z59" s="210" t="n">
        <f aca="false">-(Model!X236+Model!X292)</f>
        <v>809476.40945</v>
      </c>
      <c r="AA59" s="210" t="n">
        <f aca="false">-(Model!Y236+Model!Y292)</f>
        <v>946910.583</v>
      </c>
      <c r="AB59" s="210" t="n">
        <f aca="false">-(Model!Z236+Model!Z292)</f>
        <v>762676.03466</v>
      </c>
      <c r="AC59" s="210" t="n">
        <f aca="false">-(Model!AA236+Model!AA292)</f>
        <v>762676.03466</v>
      </c>
      <c r="AD59" s="210" t="n">
        <f aca="false">-(Model!AB236+Model!AB292)</f>
        <v>762676.03466</v>
      </c>
      <c r="AE59" s="210" t="n">
        <f aca="false">-(Model!AC236+Model!AC292)</f>
        <v>758167.144275385</v>
      </c>
      <c r="AF59" s="210" t="n">
        <f aca="false">-(Model!AD236+Model!AD292)</f>
        <v>733512.411583077</v>
      </c>
      <c r="AG59" s="210" t="n">
        <f aca="false">-(Model!AE236+Model!AE292)</f>
        <v>711589.33466</v>
      </c>
      <c r="AH59" s="210" t="n">
        <f aca="false">-(Model!AF236+Model!AF292)</f>
        <v>711589.33466</v>
      </c>
      <c r="AI59" s="210" t="n">
        <f aca="false">-(Model!AG236+Model!AG292)</f>
        <v>708406.588506154</v>
      </c>
      <c r="AJ59" s="210" t="n">
        <f aca="false">-(Model!AH236+Model!AH292)</f>
        <v>691731.326967692</v>
      </c>
      <c r="AK59" s="210" t="n">
        <f aca="false">-(Model!AI236+Model!AI292)</f>
        <v>679423.63466</v>
      </c>
      <c r="AL59" s="210" t="n">
        <f aca="false">-(Model!AJ236+Model!AJ292)</f>
        <v>679423.63466</v>
      </c>
      <c r="AM59" s="210" t="n">
        <f aca="false">-(Model!AK236+Model!AK292)</f>
        <v>879423.63466</v>
      </c>
      <c r="AN59" s="210" t="n">
        <f aca="false">-(Model!AL236+Model!AL292)</f>
        <v>692258.3473532</v>
      </c>
      <c r="AO59" s="210" t="n">
        <f aca="false">-(Model!AM236+Model!AM292)</f>
        <v>685994.659968585</v>
      </c>
      <c r="AP59" s="210" t="n">
        <f aca="false">-(Model!AN236+Model!AN292)</f>
        <v>658932.522468585</v>
      </c>
      <c r="AQ59" s="210" t="n">
        <f aca="false">-(Model!AO236+Model!AO292)</f>
        <v>643640.671160892</v>
      </c>
      <c r="AR59" s="210" t="n">
        <f aca="false">-(Model!AP236+Model!AP292)</f>
        <v>621332.9788532</v>
      </c>
      <c r="AS59" s="210" t="n">
        <f aca="false">-(Model!AQ236+Model!AQ292)</f>
        <v>618886.225968585</v>
      </c>
      <c r="AT59" s="210" t="n">
        <f aca="false">-(Model!AR236+Model!AR292)</f>
        <v>609270.8413532</v>
      </c>
      <c r="AU59" s="210" t="n">
        <f aca="false">-(Model!AS236+Model!AS292)</f>
        <v>609270.8413532</v>
      </c>
      <c r="AV59" s="210" t="n">
        <f aca="false">-(Model!AT236+Model!AT292)</f>
        <v>744844.97387277</v>
      </c>
      <c r="AW59" s="210" t="n">
        <f aca="false">-(Model!AU236+Model!AU292)</f>
        <v>606824.088468585</v>
      </c>
      <c r="AX59" s="210" t="n">
        <f aca="false">-(Model!AV236+Model!AV292)</f>
        <v>597208.7038532</v>
      </c>
      <c r="AY59" s="210" t="n">
        <f aca="false">-(Model!AW236+Model!AW292)</f>
        <v>878890.7038532</v>
      </c>
      <c r="AZ59" s="210" t="n">
        <f aca="false">-(Model!AX236+Model!AX292)</f>
        <v>608399.117930264</v>
      </c>
      <c r="BA59" s="210" t="n">
        <f aca="false">-(Model!AY236+Model!AY292)</f>
        <v>608399.117930264</v>
      </c>
      <c r="BB59" s="210" t="n">
        <f aca="false">-(Model!AZ236+Model!AZ292)</f>
        <v>690081.117930264</v>
      </c>
      <c r="BC59" s="210" t="n">
        <f aca="false">-(Model!BA236+Model!BA292)</f>
        <v>608399.117930264</v>
      </c>
      <c r="BD59" s="210" t="n">
        <f aca="false">-(Model!BB236+Model!BB292)</f>
        <v>608399.117930264</v>
      </c>
      <c r="BE59" s="210" t="n">
        <f aca="false">-(Model!BC236+Model!BC292)</f>
        <v>1541920.11793026</v>
      </c>
      <c r="BF59" s="210" t="n">
        <f aca="false">-(Model!BD236+Model!BD292)</f>
        <v>608399.117930264</v>
      </c>
      <c r="BG59" s="210" t="n">
        <f aca="false">-(Model!BE236+Model!BE292)</f>
        <v>608399.117930264</v>
      </c>
      <c r="BH59" s="210" t="n">
        <f aca="false">-(Model!BF236+Model!BF292)</f>
        <v>739277.117930264</v>
      </c>
      <c r="BI59" s="210" t="n">
        <f aca="false">-(Model!BG236+Model!BG292)</f>
        <v>608399.117930264</v>
      </c>
      <c r="BJ59" s="210" t="n">
        <f aca="false">-(Model!BH236+Model!BH292)</f>
        <v>608399.117930264</v>
      </c>
      <c r="BK59" s="210" t="n">
        <f aca="false">-(Model!BI236+Model!BI292)</f>
        <v>939275.117930264</v>
      </c>
      <c r="BL59" s="210" t="n">
        <f aca="false">-(Model!BJ236+Model!BJ292)</f>
        <v>619813.340288869</v>
      </c>
      <c r="BM59" s="210" t="n">
        <f aca="false">-(Model!BK236+Model!BK292)</f>
        <v>619813.340288869</v>
      </c>
      <c r="BN59" s="210" t="n">
        <f aca="false">-(Model!BL236+Model!BL292)</f>
        <v>750689.340288869</v>
      </c>
      <c r="BO59" s="210" t="n">
        <f aca="false">-(Model!BM236+Model!BM292)</f>
        <v>619813.340288869</v>
      </c>
      <c r="BP59" s="210" t="n">
        <f aca="false">-(Model!BN236+Model!BN292)</f>
        <v>619813.340288869</v>
      </c>
      <c r="BQ59" s="210" t="n">
        <f aca="false">-(Model!BO236+Model!BO292)</f>
        <v>750689.340288869</v>
      </c>
      <c r="BR59" s="210" t="n">
        <f aca="false">-(Model!BP236+Model!BP292)</f>
        <v>619813.340288869</v>
      </c>
      <c r="BS59" s="210" t="n">
        <f aca="false">-(Model!BQ236+Model!BQ292)</f>
        <v>619813.340288869</v>
      </c>
      <c r="BT59" s="210" t="n">
        <f aca="false">-(Model!BR236+Model!BR292)</f>
        <v>708968.990288869</v>
      </c>
      <c r="BU59" s="210" t="n">
        <f aca="false">-(Model!BS236+Model!BS292)</f>
        <v>619813.340288869</v>
      </c>
      <c r="BV59" s="210" t="n">
        <f aca="false">-(Model!BT236+Model!BT292)</f>
        <v>619813.340288869</v>
      </c>
      <c r="BW59" s="210" t="n">
        <f aca="false">-(Model!BU236+Model!BU292)</f>
        <v>894453.340288869</v>
      </c>
      <c r="BX59" s="210" t="n">
        <f aca="false">-(Model!BV236+Model!BV292)</f>
        <v>631455.847094647</v>
      </c>
      <c r="BY59" s="210" t="n">
        <f aca="false">-(Model!BW236+Model!BW292)</f>
        <v>631455.847094647</v>
      </c>
      <c r="BZ59" s="210" t="n">
        <f aca="false">-(Model!BX236+Model!BX292)</f>
        <v>706095.847094647</v>
      </c>
      <c r="CA59" s="210" t="n">
        <f aca="false">-(Model!BY236+Model!BY292)</f>
        <v>631455.847094647</v>
      </c>
      <c r="CB59" s="210" t="n">
        <f aca="false">-(Model!BZ236+Model!BZ292)</f>
        <v>631455.847094647</v>
      </c>
      <c r="CC59" s="210" t="n">
        <f aca="false">-(Model!CA236+Model!CA292)</f>
        <v>779251.847094647</v>
      </c>
      <c r="CD59" s="210" t="n">
        <f aca="false">-(Model!CB236+Model!CB292)</f>
        <v>631455.847094647</v>
      </c>
      <c r="CE59" s="210" t="n">
        <f aca="false">-(Model!CC236+Model!CC292)</f>
        <v>631455.847094647</v>
      </c>
      <c r="CF59" s="210" t="n">
        <f aca="false">-(Model!CD236+Model!CD292)</f>
        <v>785973.847094647</v>
      </c>
      <c r="CG59" s="210" t="n">
        <f aca="false">-(Model!CE236+Model!CE292)</f>
        <v>631455.847094647</v>
      </c>
      <c r="CH59" s="210" t="n">
        <f aca="false">-(Model!CF236+Model!CF292)</f>
        <v>631455.847094647</v>
      </c>
      <c r="CI59" s="210" t="n">
        <f aca="false">-(Model!CG236+Model!CG292)</f>
        <v>985972.847094647</v>
      </c>
      <c r="CJ59" s="210" t="n">
        <f aca="false">-(Model!CH236+Model!CH292)</f>
        <v>643331.20403654</v>
      </c>
      <c r="CK59" s="210" t="n">
        <f aca="false">-(Model!CI236+Model!CI292)</f>
        <v>643331.20403654</v>
      </c>
      <c r="CL59" s="210" t="n">
        <f aca="false">-(Model!CJ236+Model!CJ292)</f>
        <v>791240.177430061</v>
      </c>
      <c r="CM59" s="210" t="n">
        <f aca="false">-(Model!CK236+Model!CK292)</f>
        <v>716486.20403654</v>
      </c>
      <c r="CN59" s="210" t="n">
        <f aca="false">-(Model!CL236+Model!CL292)</f>
        <v>716486.20403654</v>
      </c>
      <c r="CO59" s="210" t="n">
        <f aca="false">-(Model!CM236+Model!CM292)</f>
        <v>716486.20403654</v>
      </c>
      <c r="CP59" s="210" t="n">
        <f aca="false">-(Model!CN236+Model!CN292)</f>
        <v>716486.20403654</v>
      </c>
      <c r="CQ59" s="210" t="n">
        <f aca="false">-(Model!CO236+Model!CO292)</f>
        <v>716486.20403654</v>
      </c>
      <c r="CR59" s="210" t="n">
        <f aca="false">-(Model!CP236+Model!CP292)</f>
        <v>716486.20403654</v>
      </c>
      <c r="CS59" s="210" t="n">
        <f aca="false">-(Model!CQ236+Model!CQ292)</f>
        <v>716486.20403654</v>
      </c>
      <c r="CT59" s="210" t="n">
        <f aca="false">-(Model!CR236+Model!CR292)</f>
        <v>716486.20403654</v>
      </c>
      <c r="CU59" s="210" t="n">
        <f aca="false">-(Model!CS236+Model!CS292)</f>
        <v>916486.20403654</v>
      </c>
      <c r="CV59" s="210" t="n">
        <f aca="false">-(Model!CT236+Model!CT292)</f>
        <v>682077.812039968</v>
      </c>
      <c r="CW59" s="210" t="n">
        <f aca="false">-(Model!CU236+Model!CU292)</f>
        <v>682077.812039968</v>
      </c>
      <c r="CX59" s="210" t="n">
        <f aca="false">-(Model!CV236+Model!CV292)</f>
        <v>682077.812039968</v>
      </c>
      <c r="CY59" s="210" t="n">
        <f aca="false">-(Model!CW236+Model!CW292)</f>
        <v>626369.660976375</v>
      </c>
      <c r="CZ59" s="210" t="n">
        <f aca="false">-(Model!CX236+Model!CX292)</f>
        <v>608922.812039968</v>
      </c>
      <c r="DA59" s="210" t="n">
        <f aca="false">-(Model!CY236+Model!CY292)</f>
        <v>608922.812039968</v>
      </c>
      <c r="DB59" s="210" t="n">
        <f aca="false">-(Model!CZ236+Model!CZ292)</f>
        <v>608922.812039968</v>
      </c>
    </row>
    <row r="60" customFormat="false" ht="15" hidden="false" customHeight="true" outlineLevel="0" collapsed="false">
      <c r="A60" s="94" t="s">
        <v>635</v>
      </c>
      <c r="G60" s="210" t="n">
        <f aca="false">Model!E199</f>
        <v>447358.25</v>
      </c>
      <c r="H60" s="210" t="n">
        <f aca="false">Model!F199</f>
        <v>465536.7</v>
      </c>
      <c r="I60" s="210" t="n">
        <f aca="false">Model!G199</f>
        <v>641351.13</v>
      </c>
      <c r="J60" s="210" t="n">
        <f aca="false">Model!H199</f>
        <v>1766649.51</v>
      </c>
      <c r="K60" s="210" t="n">
        <f aca="false">Model!I199</f>
        <v>560735.39</v>
      </c>
      <c r="L60" s="210" t="n">
        <f aca="false">Model!J199</f>
        <v>343866.884875</v>
      </c>
      <c r="M60" s="210" t="n">
        <f aca="false">Model!K199</f>
        <v>506626.420000001</v>
      </c>
      <c r="N60" s="210" t="n">
        <f aca="false">Model!L199</f>
        <v>447906.98</v>
      </c>
      <c r="O60" s="210" t="n">
        <f aca="false">Model!M199</f>
        <v>155930.769815271</v>
      </c>
      <c r="P60" s="210" t="n">
        <f aca="false">Model!N199</f>
        <v>656618.90671865</v>
      </c>
      <c r="Q60" s="210" t="n">
        <f aca="false">Model!O199</f>
        <v>685879.923199601</v>
      </c>
      <c r="R60" s="210" t="n">
        <f aca="false">Model!P199</f>
        <v>704354.5431996</v>
      </c>
      <c r="S60" s="210" t="n">
        <f aca="false">Model!Q199</f>
        <v>465600.968358315</v>
      </c>
      <c r="T60" s="210" t="n">
        <f aca="false">Model!R199</f>
        <v>649732.106522535</v>
      </c>
      <c r="U60" s="210" t="n">
        <f aca="false">Model!S199</f>
        <v>552549.65611158</v>
      </c>
      <c r="V60" s="210" t="n">
        <f aca="false">Model!T199</f>
        <v>1219348.63562138</v>
      </c>
      <c r="W60" s="210" t="n">
        <f aca="false">Model!U199</f>
        <v>1115646.57562138</v>
      </c>
      <c r="X60" s="210" t="n">
        <f aca="false">Model!V199</f>
        <v>1035118.95433943</v>
      </c>
      <c r="Y60" s="210" t="n">
        <f aca="false">Model!W199</f>
        <v>1066831.35902298</v>
      </c>
      <c r="Z60" s="210" t="n">
        <f aca="false">Model!X199</f>
        <v>1460388.59488505</v>
      </c>
      <c r="AA60" s="210" t="n">
        <f aca="false">Model!Y199</f>
        <v>1276861.67488505</v>
      </c>
      <c r="AB60" s="210" t="n">
        <f aca="false">Model!Z199</f>
        <v>1376788.67488505</v>
      </c>
      <c r="AC60" s="210" t="n">
        <f aca="false">Model!AA199</f>
        <v>1286621.73488504</v>
      </c>
      <c r="AD60" s="210" t="n">
        <f aca="false">Model!AB199</f>
        <v>1148487.46488504</v>
      </c>
      <c r="AE60" s="210" t="n">
        <f aca="false">Model!AC199</f>
        <v>1052250.62488505</v>
      </c>
      <c r="AF60" s="210" t="n">
        <f aca="false">Model!AD199</f>
        <v>1074816.66488505</v>
      </c>
      <c r="AG60" s="210" t="n">
        <f aca="false">Model!AE199</f>
        <v>490686.642797927</v>
      </c>
      <c r="AH60" s="210" t="n">
        <f aca="false">Model!AF199</f>
        <v>1381944.11247225</v>
      </c>
      <c r="AI60" s="210" t="n">
        <f aca="false">Model!AG199</f>
        <v>1315343.61551589</v>
      </c>
      <c r="AJ60" s="210" t="n">
        <f aca="false">Model!AH199</f>
        <v>1291962.49019074</v>
      </c>
      <c r="AK60" s="210" t="n">
        <f aca="false">Model!AI199</f>
        <v>1053714.82282632</v>
      </c>
      <c r="AL60" s="210" t="n">
        <f aca="false">Model!AJ199</f>
        <v>1002591.84222206</v>
      </c>
      <c r="AM60" s="210" t="n">
        <f aca="false">Model!AK199</f>
        <v>839100.233430564</v>
      </c>
      <c r="AN60" s="210" t="n">
        <f aca="false">Model!AL199</f>
        <v>853170.943430563</v>
      </c>
      <c r="AO60" s="210" t="n">
        <f aca="false">Model!AM199</f>
        <v>864853.983430562</v>
      </c>
      <c r="AP60" s="210" t="n">
        <f aca="false">Model!AN199</f>
        <v>843781.735535311</v>
      </c>
      <c r="AQ60" s="210" t="n">
        <f aca="false">Model!AO199</f>
        <v>715834.423625813</v>
      </c>
      <c r="AR60" s="210" t="n">
        <f aca="false">Model!AP199</f>
        <v>678822.648593563</v>
      </c>
      <c r="AS60" s="210" t="n">
        <f aca="false">Model!AQ199</f>
        <v>449496.249784677</v>
      </c>
      <c r="AT60" s="210" t="n">
        <f aca="false">Model!AR199</f>
        <v>449496.249784677</v>
      </c>
      <c r="AU60" s="210" t="n">
        <f aca="false">Model!AS199</f>
        <v>449496.249784677</v>
      </c>
      <c r="AV60" s="210" t="n">
        <f aca="false">Model!AT199</f>
        <v>600143.498027517</v>
      </c>
      <c r="AW60" s="210" t="n">
        <f aca="false">Model!AU199</f>
        <v>330233.844925764</v>
      </c>
      <c r="AX60" s="210" t="n">
        <f aca="false">Model!AV199</f>
        <v>602719.430279263</v>
      </c>
      <c r="AY60" s="210" t="n">
        <f aca="false">Model!AW199</f>
        <v>157659.640868547</v>
      </c>
      <c r="AZ60" s="210" t="n">
        <f aca="false">Model!AX199</f>
        <v>157659.640868547</v>
      </c>
      <c r="BA60" s="210" t="n">
        <f aca="false">Model!AY199</f>
        <v>157659.640868547</v>
      </c>
      <c r="BB60" s="210" t="n">
        <f aca="false">Model!AZ199</f>
        <v>157659.640868547</v>
      </c>
      <c r="BC60" s="210" t="n">
        <f aca="false">Model!BA199</f>
        <v>157659.640868547</v>
      </c>
      <c r="BD60" s="210" t="n">
        <f aca="false">Model!BB199</f>
        <v>157659.640868547</v>
      </c>
      <c r="BE60" s="210" t="n">
        <f aca="false">Model!BC199</f>
        <v>157659.640868547</v>
      </c>
      <c r="BF60" s="210" t="n">
        <f aca="false">Model!BD199</f>
        <v>157659.640868547</v>
      </c>
      <c r="BG60" s="210" t="n">
        <f aca="false">Model!BE199</f>
        <v>157659.640868547</v>
      </c>
      <c r="BH60" s="210" t="n">
        <f aca="false">Model!BF199</f>
        <v>157659.640868547</v>
      </c>
      <c r="BI60" s="210" t="n">
        <f aca="false">Model!BG199</f>
        <v>157659.640868547</v>
      </c>
      <c r="BJ60" s="210" t="n">
        <f aca="false">Model!BH199</f>
        <v>406595.915924147</v>
      </c>
      <c r="BK60" s="210" t="n">
        <f aca="false">Model!BI199</f>
        <v>0</v>
      </c>
      <c r="BL60" s="210" t="n">
        <f aca="false">Model!BJ199</f>
        <v>0</v>
      </c>
      <c r="BM60" s="210" t="n">
        <f aca="false">Model!BK199</f>
        <v>0</v>
      </c>
      <c r="BN60" s="210" t="n">
        <f aca="false">Model!BL199</f>
        <v>0</v>
      </c>
      <c r="BO60" s="210" t="n">
        <f aca="false">Model!BM199</f>
        <v>0</v>
      </c>
      <c r="BP60" s="210" t="n">
        <f aca="false">Model!BN199</f>
        <v>0</v>
      </c>
      <c r="BQ60" s="210" t="n">
        <f aca="false">Model!BO199</f>
        <v>0</v>
      </c>
      <c r="BR60" s="210" t="n">
        <f aca="false">Model!BP199</f>
        <v>0</v>
      </c>
      <c r="BS60" s="210" t="n">
        <f aca="false">Model!BQ199</f>
        <v>0</v>
      </c>
      <c r="BT60" s="210" t="n">
        <f aca="false">Model!BR199</f>
        <v>0</v>
      </c>
      <c r="BU60" s="210" t="n">
        <f aca="false">Model!BS199</f>
        <v>0</v>
      </c>
      <c r="BV60" s="210" t="n">
        <f aca="false">Model!BT199</f>
        <v>0</v>
      </c>
      <c r="BW60" s="210" t="n">
        <f aca="false">Model!BU199</f>
        <v>0</v>
      </c>
      <c r="BX60" s="210" t="n">
        <f aca="false">Model!BV199</f>
        <v>0</v>
      </c>
      <c r="BY60" s="210" t="n">
        <f aca="false">Model!BW199</f>
        <v>0</v>
      </c>
      <c r="BZ60" s="210" t="n">
        <f aca="false">Model!BX199</f>
        <v>0</v>
      </c>
      <c r="CA60" s="210" t="n">
        <f aca="false">Model!BY199</f>
        <v>0</v>
      </c>
      <c r="CB60" s="210" t="n">
        <f aca="false">Model!BZ199</f>
        <v>0</v>
      </c>
      <c r="CC60" s="210" t="n">
        <f aca="false">Model!CA199</f>
        <v>0</v>
      </c>
      <c r="CD60" s="210" t="n">
        <f aca="false">Model!CB199</f>
        <v>0</v>
      </c>
      <c r="CE60" s="210" t="n">
        <f aca="false">Model!CC199</f>
        <v>0</v>
      </c>
      <c r="CF60" s="210" t="n">
        <f aca="false">Model!CD199</f>
        <v>0</v>
      </c>
      <c r="CG60" s="210" t="n">
        <f aca="false">Model!CE199</f>
        <v>0</v>
      </c>
      <c r="CH60" s="210" t="n">
        <f aca="false">Model!CF199</f>
        <v>0</v>
      </c>
      <c r="CI60" s="210" t="n">
        <f aca="false">Model!CG199</f>
        <v>0</v>
      </c>
      <c r="CJ60" s="210" t="n">
        <f aca="false">Model!CH199</f>
        <v>0</v>
      </c>
      <c r="CK60" s="210" t="n">
        <f aca="false">Model!CI199</f>
        <v>0</v>
      </c>
      <c r="CL60" s="210" t="n">
        <f aca="false">Model!CJ199</f>
        <v>0</v>
      </c>
      <c r="CM60" s="210" t="n">
        <f aca="false">Model!CK199</f>
        <v>0</v>
      </c>
      <c r="CN60" s="210" t="n">
        <f aca="false">Model!CL199</f>
        <v>0</v>
      </c>
      <c r="CO60" s="210" t="n">
        <f aca="false">Model!CM199</f>
        <v>0</v>
      </c>
      <c r="CP60" s="210" t="n">
        <f aca="false">Model!CN199</f>
        <v>0</v>
      </c>
      <c r="CQ60" s="210" t="n">
        <f aca="false">Model!CO199</f>
        <v>0</v>
      </c>
      <c r="CR60" s="210" t="n">
        <f aca="false">Model!CP199</f>
        <v>0</v>
      </c>
      <c r="CS60" s="210" t="n">
        <f aca="false">Model!CQ199</f>
        <v>0</v>
      </c>
      <c r="CT60" s="210" t="n">
        <f aca="false">Model!CR199</f>
        <v>0</v>
      </c>
      <c r="CU60" s="210" t="n">
        <f aca="false">Model!CS199</f>
        <v>0</v>
      </c>
      <c r="CV60" s="210" t="n">
        <f aca="false">Model!CT199</f>
        <v>0</v>
      </c>
      <c r="CW60" s="210" t="n">
        <f aca="false">Model!CU199</f>
        <v>0</v>
      </c>
      <c r="CX60" s="210" t="n">
        <f aca="false">Model!CV199</f>
        <v>0</v>
      </c>
      <c r="CY60" s="210" t="n">
        <f aca="false">Model!CW199</f>
        <v>0</v>
      </c>
      <c r="CZ60" s="210" t="n">
        <f aca="false">Model!CX199</f>
        <v>0</v>
      </c>
      <c r="DA60" s="210" t="n">
        <f aca="false">Model!CY199</f>
        <v>0</v>
      </c>
      <c r="DB60" s="210" t="n">
        <f aca="false">Model!CZ199</f>
        <v>0</v>
      </c>
    </row>
    <row r="61" customFormat="false" ht="15" hidden="false" customHeight="true" outlineLevel="0" collapsed="false">
      <c r="A61" s="94" t="s">
        <v>636</v>
      </c>
      <c r="G61" s="215" t="n">
        <f aca="false">IFERROR(G60/G56,0)</f>
        <v>0.121157878546931</v>
      </c>
      <c r="H61" s="215" t="n">
        <f aca="false">IFERROR(H60/H56,0)</f>
        <v>0.105418977135063</v>
      </c>
      <c r="I61" s="215" t="n">
        <f aca="false">IFERROR(I60/I56,0)</f>
        <v>0.1025790393097</v>
      </c>
      <c r="J61" s="215" t="n">
        <f aca="false">IFERROR(J60/J56,0)</f>
        <v>0.251459036074756</v>
      </c>
      <c r="K61" s="215" t="n">
        <f aca="false">IFERROR(K60/K56,0)</f>
        <v>0.0924583805831464</v>
      </c>
      <c r="L61" s="215" t="n">
        <f aca="false">IFERROR(L60/L56,0)</f>
        <v>0.0538901804140071</v>
      </c>
      <c r="M61" s="215" t="n">
        <f aca="false">IFERROR(M60/M56,0)</f>
        <v>0.086396686938628</v>
      </c>
      <c r="N61" s="215" t="n">
        <f aca="false">IFERROR(N60/N56,0)</f>
        <v>0.0946991097589387</v>
      </c>
      <c r="O61" s="215" t="n">
        <f aca="false">IFERROR(O60/O56,0)</f>
        <v>0.0332002486333741</v>
      </c>
      <c r="P61" s="215" t="n">
        <f aca="false">IFERROR(P60/P56,0)</f>
        <v>0.116145548438352</v>
      </c>
      <c r="Q61" s="215" t="n">
        <f aca="false">IFERROR(Q60/Q56,0)</f>
        <v>0.119553154394762</v>
      </c>
      <c r="R61" s="215" t="n">
        <f aca="false">IFERROR(R60/R56,0)</f>
        <v>0.112712285380867</v>
      </c>
      <c r="S61" s="215" t="n">
        <f aca="false">IFERROR(S60/S56,0)</f>
        <v>0.0695924547724311</v>
      </c>
      <c r="T61" s="215" t="n">
        <f aca="false">IFERROR(T60/T56,0)</f>
        <v>0.0910818798067437</v>
      </c>
      <c r="U61" s="215" t="n">
        <f aca="false">IFERROR(U60/U56,0)</f>
        <v>0.0630185989879269</v>
      </c>
      <c r="V61" s="215" t="n">
        <f aca="false">IFERROR(V60/V56,0)</f>
        <v>0.120199810867656</v>
      </c>
      <c r="W61" s="215" t="n">
        <f aca="false">IFERROR(W60/W56,0)</f>
        <v>0.113885864273563</v>
      </c>
      <c r="X61" s="215" t="n">
        <f aca="false">IFERROR(X60/X56,0)</f>
        <v>0.0932253074474898</v>
      </c>
      <c r="Y61" s="215" t="n">
        <f aca="false">IFERROR(Y60/Y56,0)</f>
        <v>0.0970642512500349</v>
      </c>
      <c r="Z61" s="215" t="n">
        <f aca="false">IFERROR(Z60/Z56,0)</f>
        <v>0.113193292428144</v>
      </c>
      <c r="AA61" s="215" t="n">
        <f aca="false">IFERROR(AA60/AA56,0)</f>
        <v>0.10690328599437</v>
      </c>
      <c r="AB61" s="215" t="n">
        <f aca="false">IFERROR(AB60/AB56,0)</f>
        <v>0.103917455618392</v>
      </c>
      <c r="AC61" s="215" t="n">
        <f aca="false">IFERROR(AC60/AC56,0)</f>
        <v>0.100276393468855</v>
      </c>
      <c r="AD61" s="215" t="n">
        <f aca="false">IFERROR(AD60/AD56,0)</f>
        <v>0.0967740430542199</v>
      </c>
      <c r="AE61" s="215" t="n">
        <f aca="false">IFERROR(AE60/AE56,0)</f>
        <v>0.0946235441603087</v>
      </c>
      <c r="AF61" s="215" t="n">
        <f aca="false">IFERROR(AF60/AF56,0)</f>
        <v>0.0958094880782313</v>
      </c>
      <c r="AG61" s="215" t="n">
        <f aca="false">IFERROR(AG60/AG56,0)</f>
        <v>0.0423956758503073</v>
      </c>
      <c r="AH61" s="215" t="n">
        <f aca="false">IFERROR(AH60/AH56,0)</f>
        <v>0.119376145759572</v>
      </c>
      <c r="AI61" s="215" t="n">
        <f aca="false">IFERROR(AI60/AI56,0)</f>
        <v>0.111702937948479</v>
      </c>
      <c r="AJ61" s="215" t="n">
        <f aca="false">IFERROR(AJ60/AJ56,0)</f>
        <v>0.117123802660076</v>
      </c>
      <c r="AK61" s="215" t="n">
        <f aca="false">IFERROR(AK60/AK56,0)</f>
        <v>0.103703224872332</v>
      </c>
      <c r="AL61" s="215" t="n">
        <f aca="false">IFERROR(AL60/AL56,0)</f>
        <v>0.114228408472924</v>
      </c>
      <c r="AM61" s="215" t="n">
        <f aca="false">IFERROR(AM60/AM56,0)</f>
        <v>0.106314608637941</v>
      </c>
      <c r="AN61" s="215" t="n">
        <f aca="false">IFERROR(AN60/AN56,0)</f>
        <v>0.112395799129688</v>
      </c>
      <c r="AO61" s="215" t="n">
        <f aca="false">IFERROR(AO60/AO56,0)</f>
        <v>0.119383943981094</v>
      </c>
      <c r="AP61" s="215" t="n">
        <f aca="false">IFERROR(AP60/AP56,0)</f>
        <v>0.142947465509587</v>
      </c>
      <c r="AQ61" s="215" t="n">
        <f aca="false">IFERROR(AQ60/AQ56,0)</f>
        <v>0.1479622353749</v>
      </c>
      <c r="AR61" s="215" t="n">
        <f aca="false">IFERROR(AR60/AR56,0)</f>
        <v>0.184536223969415</v>
      </c>
      <c r="AS61" s="215" t="n">
        <f aca="false">IFERROR(AS60/AS56,0)</f>
        <v>0.141693595436093</v>
      </c>
      <c r="AT61" s="215" t="n">
        <f aca="false">IFERROR(AT60/AT56,0)</f>
        <v>0.145782861829423</v>
      </c>
      <c r="AU61" s="215" t="n">
        <f aca="false">IFERROR(AU60/AU56,0)</f>
        <v>0.150979560317671</v>
      </c>
      <c r="AV61" s="215" t="n">
        <f aca="false">IFERROR(AV60/AV56,0)</f>
        <v>0.210162769791219</v>
      </c>
      <c r="AW61" s="215" t="n">
        <f aca="false">IFERROR(AW60/AW56,0)</f>
        <v>0.121390605351527</v>
      </c>
      <c r="AX61" s="215" t="n">
        <f aca="false">IFERROR(AX60/AX56,0)</f>
        <v>0.234175432175548</v>
      </c>
      <c r="AY61" s="215" t="n">
        <f aca="false">IFERROR(AY60/AY56,0)</f>
        <v>0.0880559340955461</v>
      </c>
      <c r="AZ61" s="215" t="n">
        <f aca="false">IFERROR(AZ60/AZ56,0)</f>
        <v>0.0916459930927827</v>
      </c>
      <c r="BA61" s="215" t="n">
        <f aca="false">IFERROR(BA60/BA56,0)</f>
        <v>0.0963403837730382</v>
      </c>
      <c r="BB61" s="215" t="n">
        <f aca="false">IFERROR(BB60/BB56,0)</f>
        <v>0.102293639933099</v>
      </c>
      <c r="BC61" s="215" t="n">
        <f aca="false">IFERROR(BC60/BC56,0)</f>
        <v>0.109702511126458</v>
      </c>
      <c r="BD61" s="215" t="n">
        <f aca="false">IFERROR(BD60/BD56,0)</f>
        <v>0.118832419009621</v>
      </c>
      <c r="BE61" s="215" t="n">
        <f aca="false">IFERROR(BE60/BE56,0)</f>
        <v>0.130013356978026</v>
      </c>
      <c r="BF61" s="215" t="n">
        <f aca="false">IFERROR(BF60/BF56,0)</f>
        <v>0.143673701400666</v>
      </c>
      <c r="BG61" s="215" t="n">
        <f aca="false">IFERROR(BG60/BG56,0)</f>
        <v>0.160366031492309</v>
      </c>
      <c r="BH61" s="215" t="n">
        <f aca="false">IFERROR(BH60/BH56,0)</f>
        <v>0.180792984619276</v>
      </c>
      <c r="BI61" s="215" t="n">
        <f aca="false">IFERROR(BI60/BI56,0)</f>
        <v>0.205874374482486</v>
      </c>
      <c r="BJ61" s="215" t="n">
        <f aca="false">IFERROR(BJ60/BJ56,0)</f>
        <v>0.610641057491253</v>
      </c>
      <c r="BK61" s="215" t="n">
        <f aca="false">IFERROR(BK60/BK56,0)</f>
        <v>0</v>
      </c>
      <c r="BL61" s="215" t="n">
        <f aca="false">IFERROR(BL60/BL56,0)</f>
        <v>0</v>
      </c>
      <c r="BM61" s="215" t="n">
        <f aca="false">IFERROR(BM60/BM56,0)</f>
        <v>0</v>
      </c>
      <c r="BN61" s="215" t="n">
        <f aca="false">IFERROR(BN60/BN56,0)</f>
        <v>0</v>
      </c>
      <c r="BO61" s="215" t="n">
        <f aca="false">IFERROR(BO60/BO56,0)</f>
        <v>0</v>
      </c>
      <c r="BP61" s="215" t="n">
        <f aca="false">IFERROR(BP60/BP56,0)</f>
        <v>0</v>
      </c>
      <c r="BQ61" s="215" t="n">
        <f aca="false">IFERROR(BQ60/BQ56,0)</f>
        <v>0</v>
      </c>
      <c r="BR61" s="215" t="n">
        <f aca="false">IFERROR(BR60/BR56,0)</f>
        <v>0</v>
      </c>
      <c r="BS61" s="215" t="n">
        <f aca="false">IFERROR(BS60/BS56,0)</f>
        <v>0</v>
      </c>
      <c r="BT61" s="215" t="n">
        <f aca="false">IFERROR(BT60/BT56,0)</f>
        <v>0</v>
      </c>
      <c r="BU61" s="215" t="n">
        <f aca="false">IFERROR(BU60/BU56,0)</f>
        <v>0</v>
      </c>
      <c r="BV61" s="215" t="n">
        <f aca="false">IFERROR(BV60/BV56,0)</f>
        <v>0</v>
      </c>
      <c r="BW61" s="215" t="n">
        <f aca="false">IFERROR(BW60/BW56,0)</f>
        <v>0</v>
      </c>
      <c r="BX61" s="215" t="n">
        <f aca="false">IFERROR(BX60/BX56,0)</f>
        <v>0</v>
      </c>
      <c r="BY61" s="215" t="n">
        <f aca="false">IFERROR(BY60/BY56,0)</f>
        <v>0</v>
      </c>
      <c r="BZ61" s="215" t="n">
        <f aca="false">IFERROR(BZ60/BZ56,0)</f>
        <v>0</v>
      </c>
      <c r="CA61" s="215" t="n">
        <f aca="false">IFERROR(CA60/CA56,0)</f>
        <v>0</v>
      </c>
      <c r="CB61" s="215" t="n">
        <f aca="false">IFERROR(CB60/CB56,0)</f>
        <v>0</v>
      </c>
      <c r="CC61" s="215" t="n">
        <f aca="false">IFERROR(CC60/CC56,0)</f>
        <v>0</v>
      </c>
      <c r="CD61" s="215" t="n">
        <f aca="false">IFERROR(CD60/CD56,0)</f>
        <v>0</v>
      </c>
      <c r="CE61" s="215" t="n">
        <f aca="false">IFERROR(CE60/CE56,0)</f>
        <v>0</v>
      </c>
      <c r="CF61" s="215" t="n">
        <f aca="false">IFERROR(CF60/CF56,0)</f>
        <v>0</v>
      </c>
      <c r="CG61" s="215" t="n">
        <f aca="false">IFERROR(CG60/CG56,0)</f>
        <v>0</v>
      </c>
      <c r="CH61" s="215" t="n">
        <f aca="false">IFERROR(CH60/CH56,0)</f>
        <v>0</v>
      </c>
      <c r="CI61" s="215" t="n">
        <f aca="false">IFERROR(CI60/CI56,0)</f>
        <v>0</v>
      </c>
      <c r="CJ61" s="215" t="n">
        <f aca="false">IFERROR(CJ60/CJ56,0)</f>
        <v>0</v>
      </c>
      <c r="CK61" s="215" t="n">
        <f aca="false">IFERROR(CK60/CK56,0)</f>
        <v>0</v>
      </c>
      <c r="CL61" s="215" t="n">
        <f aca="false">IFERROR(CL60/CL56,0)</f>
        <v>0</v>
      </c>
      <c r="CM61" s="215" t="n">
        <f aca="false">IFERROR(CM60/CM56,0)</f>
        <v>0</v>
      </c>
      <c r="CN61" s="215" t="n">
        <f aca="false">IFERROR(CN60/CN56,0)</f>
        <v>0</v>
      </c>
      <c r="CO61" s="215" t="n">
        <f aca="false">IFERROR(CO60/CO56,0)</f>
        <v>0</v>
      </c>
      <c r="CP61" s="215" t="n">
        <f aca="false">IFERROR(CP60/CP56,0)</f>
        <v>0</v>
      </c>
      <c r="CQ61" s="215" t="n">
        <f aca="false">IFERROR(CQ60/CQ56,0)</f>
        <v>0</v>
      </c>
      <c r="CR61" s="215" t="n">
        <f aca="false">IFERROR(CR60/CR56,0)</f>
        <v>0</v>
      </c>
      <c r="CS61" s="215" t="n">
        <f aca="false">IFERROR(CS60/CS56,0)</f>
        <v>0</v>
      </c>
      <c r="CT61" s="215" t="n">
        <f aca="false">IFERROR(CT60/CT56,0)</f>
        <v>0</v>
      </c>
      <c r="CU61" s="215" t="n">
        <f aca="false">IFERROR(CU60/CU56,0)</f>
        <v>0</v>
      </c>
      <c r="CV61" s="215" t="n">
        <f aca="false">IFERROR(CV60/CV56,0)</f>
        <v>0</v>
      </c>
      <c r="CW61" s="215" t="n">
        <f aca="false">IFERROR(CW60/CW56,0)</f>
        <v>0</v>
      </c>
      <c r="CX61" s="215" t="n">
        <f aca="false">IFERROR(CX60/CX56,0)</f>
        <v>0</v>
      </c>
      <c r="CY61" s="215" t="n">
        <f aca="false">IFERROR(CY60/CY56,0)</f>
        <v>0</v>
      </c>
      <c r="CZ61" s="215" t="n">
        <f aca="false">IFERROR(CZ60/CZ56,0)</f>
        <v>0</v>
      </c>
      <c r="DA61" s="215" t="n">
        <f aca="false">IFERROR(DA60/DA56,0)</f>
        <v>0</v>
      </c>
      <c r="DB61" s="215" t="n">
        <f aca="false">IFERROR(DB60/DB56,0)</f>
        <v>0</v>
      </c>
    </row>
    <row r="62" customFormat="false" ht="13.5" hidden="false" customHeight="true" outlineLevel="0" collapsed="false">
      <c r="A62" s="94" t="s">
        <v>637</v>
      </c>
      <c r="G62" s="210" t="n">
        <f aca="false">IF(G61&gt;0,G59/G61,"n/m")</f>
        <v>2223019.11547314</v>
      </c>
      <c r="H62" s="210" t="n">
        <f aca="false">IF(H61&gt;0,H59/H61,"n/m")</f>
        <v>6525811.46863721</v>
      </c>
      <c r="I62" s="210" t="n">
        <f aca="false">IF(I61&gt;0,I59/I61,"n/m")</f>
        <v>4595428.88266674</v>
      </c>
      <c r="J62" s="210" t="n">
        <f aca="false">IF(J61&gt;0,J59/J61,"n/m")</f>
        <v>2060015.49232854</v>
      </c>
      <c r="K62" s="210" t="n">
        <f aca="false">IF(K61&gt;0,K59/K61,"n/m")</f>
        <v>6160376.55437613</v>
      </c>
      <c r="L62" s="210" t="n">
        <f aca="false">IF(L61&gt;0,L59/L61,"n/m")</f>
        <v>11109253.9568561</v>
      </c>
      <c r="M62" s="210" t="n">
        <f aca="false">IF(M61&gt;0,M59/M61,"n/m")</f>
        <v>6953894.30955195</v>
      </c>
      <c r="N62" s="210" t="n">
        <f aca="false">IF(N61&gt;0,N59/N61,"n/m")</f>
        <v>6265037.03336731</v>
      </c>
      <c r="O62" s="210" t="n">
        <f aca="false">IF(O61&gt;0,O59/O61,"n/m")</f>
        <v>20937597.104857</v>
      </c>
      <c r="P62" s="210" t="n">
        <f aca="false">IF(P61&gt;0,P59/P61,"n/m")</f>
        <v>5301725.64751236</v>
      </c>
      <c r="Q62" s="210" t="n">
        <f aca="false">IF(Q61&gt;0,Q59/Q61,"n/m")</f>
        <v>5311366.19702457</v>
      </c>
      <c r="R62" s="210" t="n">
        <f aca="false">IF(R61&gt;0,R59/R61,"n/m")</f>
        <v>5342058.15244884</v>
      </c>
      <c r="S62" s="210" t="n">
        <f aca="false">IF(S61&gt;0,S59/S61,"n/m")</f>
        <v>9037697.90930207</v>
      </c>
      <c r="T62" s="210" t="n">
        <f aca="false">IF(T61&gt;0,T59/T61,"n/m")</f>
        <v>7279322.01670382</v>
      </c>
      <c r="U62" s="210" t="n">
        <f aca="false">IF(U61&gt;0,U59/U61,"n/m")</f>
        <v>11712345.1624401</v>
      </c>
      <c r="V62" s="210" t="n">
        <f aca="false">IF(V61&gt;0,V59/V61,"n/m")</f>
        <v>5781794.31384618</v>
      </c>
      <c r="W62" s="210" t="n">
        <f aca="false">IF(W61&gt;0,W59/W61,"n/m")</f>
        <v>6102342.79234714</v>
      </c>
      <c r="X62" s="210" t="n">
        <f aca="false">IF(X61&gt;0,X59/X61,"n/m")</f>
        <v>7454741.65790711</v>
      </c>
      <c r="Y62" s="210" t="n">
        <f aca="false">IF(Y61&gt;0,Y59/Y61,"n/m")</f>
        <v>8127715.12518844</v>
      </c>
      <c r="Z62" s="210" t="n">
        <f aca="false">IF(Z61&gt;0,Z59/Z61,"n/m")</f>
        <v>7151275.41646394</v>
      </c>
      <c r="AA62" s="210" t="n">
        <f aca="false">IF(AA61&gt;0,AA59/AA61,"n/m")</f>
        <v>8857637.76288288</v>
      </c>
      <c r="AB62" s="210" t="n">
        <f aca="false">IF(AB61&gt;0,AB59/AB61,"n/m")</f>
        <v>7339248.54223446</v>
      </c>
      <c r="AC62" s="210" t="n">
        <f aca="false">IF(AC61&gt;0,AC59/AC61,"n/m")</f>
        <v>7605738.58190145</v>
      </c>
      <c r="AD62" s="210" t="n">
        <f aca="false">IF(AD61&gt;0,AD59/AD61,"n/m")</f>
        <v>7880997.94727697</v>
      </c>
      <c r="AE62" s="210" t="n">
        <f aca="false">IF(AE61&gt;0,AE59/AE61,"n/m")</f>
        <v>8012457.69225171</v>
      </c>
      <c r="AF62" s="210" t="n">
        <f aca="false">IF(AF61&gt;0,AF59/AF61,"n/m")</f>
        <v>7655947.50891626</v>
      </c>
      <c r="AG62" s="210" t="n">
        <f aca="false">IF(AG61&gt;0,AG59/AG61,"n/m")</f>
        <v>16784479.0863227</v>
      </c>
      <c r="AH62" s="210" t="n">
        <f aca="false">IF(AH61&gt;0,AH59/AH61,"n/m")</f>
        <v>5960900.56461674</v>
      </c>
      <c r="AI62" s="210" t="n">
        <f aca="false">IF(AI61&gt;0,AI59/AI61,"n/m")</f>
        <v>6341879.64539387</v>
      </c>
      <c r="AJ62" s="210" t="n">
        <f aca="false">IF(AJ61&gt;0,AJ59/AJ61,"n/m")</f>
        <v>5905984.19157615</v>
      </c>
      <c r="AK62" s="210" t="n">
        <f aca="false">IF(AK61&gt;0,AK59/AK61,"n/m")</f>
        <v>6551615.29929691</v>
      </c>
      <c r="AL62" s="210" t="n">
        <f aca="false">IF(AL61&gt;0,AL59/AL61,"n/m")</f>
        <v>5947939.25384198</v>
      </c>
      <c r="AM62" s="210" t="n">
        <f aca="false">IF(AM61&gt;0,AM59/AM61,"n/m")</f>
        <v>8271898.33953034</v>
      </c>
      <c r="AN62" s="210" t="n">
        <f aca="false">IF(AN61&gt;0,AN59/AN61,"n/m")</f>
        <v>6159112.28634478</v>
      </c>
      <c r="AO62" s="210" t="n">
        <f aca="false">IF(AO61&gt;0,AO59/AO61,"n/m")</f>
        <v>5746121.60641317</v>
      </c>
      <c r="AP62" s="210" t="n">
        <f aca="false">IF(AP61&gt;0,AP59/AP61,"n/m")</f>
        <v>4609613.18984975</v>
      </c>
      <c r="AQ62" s="210" t="n">
        <f aca="false">IF(AQ61&gt;0,AQ59/AQ61,"n/m")</f>
        <v>4350033.43609987</v>
      </c>
      <c r="AR62" s="210" t="n">
        <f aca="false">IF(AR61&gt;0,AR59/AR61,"n/m")</f>
        <v>3366997.35958714</v>
      </c>
      <c r="AS62" s="210" t="n">
        <f aca="false">IF(AS61&gt;0,AS59/AS61,"n/m")</f>
        <v>4367778.40285459</v>
      </c>
      <c r="AT62" s="210" t="n">
        <f aca="false">IF(AT61&gt;0,AT59/AT61,"n/m")</f>
        <v>4179303.61434456</v>
      </c>
      <c r="AU62" s="210" t="n">
        <f aca="false">IF(AU61&gt;0,AU59/AU61,"n/m")</f>
        <v>4035452.48158926</v>
      </c>
      <c r="AV62" s="210" t="n">
        <f aca="false">IF(AV61&gt;0,AV59/AV61,"n/m")</f>
        <v>3544133.79026512</v>
      </c>
      <c r="AW62" s="210" t="n">
        <f aca="false">IF(AW61&gt;0,AW59/AW61,"n/m")</f>
        <v>4998937.8231645</v>
      </c>
      <c r="AX62" s="210" t="n">
        <f aca="false">IF(AX61&gt;0,AX59/AX61,"n/m")</f>
        <v>2550261.99078606</v>
      </c>
      <c r="AY62" s="210" t="n">
        <f aca="false">IF(AY61&gt;0,AY59/AY61,"n/m")</f>
        <v>9981050.25948109</v>
      </c>
      <c r="AZ62" s="210" t="n">
        <f aca="false">IF(AZ61&gt;0,AZ59/AZ61,"n/m")</f>
        <v>6638578.48443324</v>
      </c>
      <c r="BA62" s="210" t="n">
        <f aca="false">IF(BA61&gt;0,BA59/BA61,"n/m")</f>
        <v>6315099.58859569</v>
      </c>
      <c r="BB62" s="210" t="n">
        <f aca="false">IF(BB61&gt;0,BB59/BB61,"n/m")</f>
        <v>6746080.38565822</v>
      </c>
      <c r="BC62" s="210" t="n">
        <f aca="false">IF(BC61&gt;0,BC59/BC61,"n/m")</f>
        <v>5545899.64881425</v>
      </c>
      <c r="BD62" s="210" t="n">
        <f aca="false">IF(BD61&gt;0,BD59/BD61,"n/m")</f>
        <v>5119807.56598926</v>
      </c>
      <c r="BE62" s="210" t="n">
        <f aca="false">IF(BE61&gt;0,BE59/BE61,"n/m")</f>
        <v>11859705.4469632</v>
      </c>
      <c r="BF62" s="210" t="n">
        <f aca="false">IF(BF61&gt;0,BF59/BF61,"n/m")</f>
        <v>4234589.29504161</v>
      </c>
      <c r="BG62" s="210" t="n">
        <f aca="false">IF(BG61&gt;0,BG59/BG61,"n/m")</f>
        <v>3793815.38763988</v>
      </c>
      <c r="BH62" s="210" t="n">
        <f aca="false">IF(BH61&gt;0,BH59/BH61,"n/m")</f>
        <v>4089080.7764863</v>
      </c>
      <c r="BI62" s="210" t="n">
        <f aca="false">IF(BI61&gt;0,BI59/BI61,"n/m")</f>
        <v>2955195.95121841</v>
      </c>
      <c r="BJ62" s="210" t="n">
        <f aca="false">IF(BJ61&gt;0,BJ59/BJ61,"n/m")</f>
        <v>996328.547624689</v>
      </c>
      <c r="BK62" s="210" t="str">
        <f aca="false">IF(BK61&gt;0,BK59/BK61,"n/m")</f>
        <v>n/m</v>
      </c>
      <c r="BL62" s="210" t="str">
        <f aca="false">IF(BL61&gt;0,BL59/BL61,"n/m")</f>
        <v>n/m</v>
      </c>
      <c r="BM62" s="210" t="str">
        <f aca="false">IF(BM61&gt;0,BM59/BM61,"n/m")</f>
        <v>n/m</v>
      </c>
      <c r="BN62" s="210" t="str">
        <f aca="false">IF(BN61&gt;0,BN59/BN61,"n/m")</f>
        <v>n/m</v>
      </c>
      <c r="BO62" s="210" t="str">
        <f aca="false">IF(BO61&gt;0,BO59/BO61,"n/m")</f>
        <v>n/m</v>
      </c>
      <c r="BP62" s="210" t="str">
        <f aca="false">IF(BP61&gt;0,BP59/BP61,"n/m")</f>
        <v>n/m</v>
      </c>
      <c r="BQ62" s="210" t="str">
        <f aca="false">IF(BQ61&gt;0,BQ59/BQ61,"n/m")</f>
        <v>n/m</v>
      </c>
      <c r="BR62" s="210" t="str">
        <f aca="false">IF(BR61&gt;0,BR59/BR61,"n/m")</f>
        <v>n/m</v>
      </c>
      <c r="BS62" s="210" t="str">
        <f aca="false">IF(BS61&gt;0,BS59/BS61,"n/m")</f>
        <v>n/m</v>
      </c>
      <c r="BT62" s="210" t="str">
        <f aca="false">IF(BT61&gt;0,BT59/BT61,"n/m")</f>
        <v>n/m</v>
      </c>
      <c r="BU62" s="210" t="str">
        <f aca="false">IF(BU61&gt;0,BU59/BU61,"n/m")</f>
        <v>n/m</v>
      </c>
      <c r="BV62" s="210" t="str">
        <f aca="false">IF(BV61&gt;0,BV59/BV61,"n/m")</f>
        <v>n/m</v>
      </c>
      <c r="BW62" s="210" t="str">
        <f aca="false">IF(BW61&gt;0,BW59/BW61,"n/m")</f>
        <v>n/m</v>
      </c>
      <c r="BX62" s="210" t="str">
        <f aca="false">IF(BX61&gt;0,BX59/BX61,"n/m")</f>
        <v>n/m</v>
      </c>
      <c r="BY62" s="210" t="str">
        <f aca="false">IF(BY61&gt;0,BY59/BY61,"n/m")</f>
        <v>n/m</v>
      </c>
      <c r="BZ62" s="210" t="str">
        <f aca="false">IF(BZ61&gt;0,BZ59/BZ61,"n/m")</f>
        <v>n/m</v>
      </c>
      <c r="CA62" s="210" t="str">
        <f aca="false">IF(CA61&gt;0,CA59/CA61,"n/m")</f>
        <v>n/m</v>
      </c>
      <c r="CB62" s="210" t="str">
        <f aca="false">IF(CB61&gt;0,CB59/CB61,"n/m")</f>
        <v>n/m</v>
      </c>
      <c r="CC62" s="210" t="str">
        <f aca="false">IF(CC61&gt;0,CC59/CC61,"n/m")</f>
        <v>n/m</v>
      </c>
      <c r="CD62" s="210" t="str">
        <f aca="false">IF(CD61&gt;0,CD59/CD61,"n/m")</f>
        <v>n/m</v>
      </c>
      <c r="CE62" s="210" t="str">
        <f aca="false">IF(CE61&gt;0,CE59/CE61,"n/m")</f>
        <v>n/m</v>
      </c>
      <c r="CF62" s="210" t="str">
        <f aca="false">IF(CF61&gt;0,CF59/CF61,"n/m")</f>
        <v>n/m</v>
      </c>
      <c r="CG62" s="210" t="str">
        <f aca="false">IF(CG61&gt;0,CG59/CG61,"n/m")</f>
        <v>n/m</v>
      </c>
      <c r="CH62" s="210" t="str">
        <f aca="false">IF(CH61&gt;0,CH59/CH61,"n/m")</f>
        <v>n/m</v>
      </c>
      <c r="CI62" s="210" t="str">
        <f aca="false">IF(CI61&gt;0,CI59/CI61,"n/m")</f>
        <v>n/m</v>
      </c>
      <c r="CJ62" s="210" t="str">
        <f aca="false">IF(CJ61&gt;0,CJ59/CJ61,"n/m")</f>
        <v>n/m</v>
      </c>
      <c r="CK62" s="210" t="str">
        <f aca="false">IF(CK61&gt;0,CK59/CK61,"n/m")</f>
        <v>n/m</v>
      </c>
      <c r="CL62" s="210" t="str">
        <f aca="false">IF(CL61&gt;0,CL59/CL61,"n/m")</f>
        <v>n/m</v>
      </c>
      <c r="CM62" s="210" t="str">
        <f aca="false">IF(CM61&gt;0,CM59/CM61,"n/m")</f>
        <v>n/m</v>
      </c>
      <c r="CN62" s="210" t="str">
        <f aca="false">IF(CN61&gt;0,CN59/CN61,"n/m")</f>
        <v>n/m</v>
      </c>
      <c r="CO62" s="210" t="str">
        <f aca="false">IF(CO61&gt;0,CO59/CO61,"n/m")</f>
        <v>n/m</v>
      </c>
      <c r="CP62" s="210" t="str">
        <f aca="false">IF(CP61&gt;0,CP59/CP61,"n/m")</f>
        <v>n/m</v>
      </c>
      <c r="CQ62" s="210" t="str">
        <f aca="false">IF(CQ61&gt;0,CQ59/CQ61,"n/m")</f>
        <v>n/m</v>
      </c>
      <c r="CR62" s="210" t="str">
        <f aca="false">IF(CR61&gt;0,CR59/CR61,"n/m")</f>
        <v>n/m</v>
      </c>
      <c r="CS62" s="210" t="str">
        <f aca="false">IF(CS61&gt;0,CS59/CS61,"n/m")</f>
        <v>n/m</v>
      </c>
      <c r="CT62" s="210" t="str">
        <f aca="false">IF(CT61&gt;0,CT59/CT61,"n/m")</f>
        <v>n/m</v>
      </c>
      <c r="CU62" s="210" t="str">
        <f aca="false">IF(CU61&gt;0,CU59/CU61,"n/m")</f>
        <v>n/m</v>
      </c>
      <c r="CV62" s="210" t="str">
        <f aca="false">IF(CV61&gt;0,CV59/CV61,"n/m")</f>
        <v>n/m</v>
      </c>
      <c r="CW62" s="210" t="str">
        <f aca="false">IF(CW61&gt;0,CW59/CW61,"n/m")</f>
        <v>n/m</v>
      </c>
      <c r="CX62" s="210" t="str">
        <f aca="false">IF(CX61&gt;0,CX59/CX61,"n/m")</f>
        <v>n/m</v>
      </c>
      <c r="CY62" s="210" t="str">
        <f aca="false">IF(CY61&gt;0,CY59/CY61,"n/m")</f>
        <v>n/m</v>
      </c>
      <c r="CZ62" s="210" t="str">
        <f aca="false">IF(CZ61&gt;0,CZ59/CZ61,"n/m")</f>
        <v>n/m</v>
      </c>
      <c r="DA62" s="210" t="str">
        <f aca="false">IF(DA61&gt;0,DA59/DA61,"n/m")</f>
        <v>n/m</v>
      </c>
      <c r="DB62" s="210" t="str">
        <f aca="false">IF(DB61&gt;0,DB59/DB61,"n/m")</f>
        <v>n/m</v>
      </c>
    </row>
    <row r="63" customFormat="false" ht="13.5" hidden="false" customHeight="true" outlineLevel="0" collapsed="false">
      <c r="A63" s="94" t="s">
        <v>638</v>
      </c>
      <c r="G63" s="215" t="n">
        <f aca="false">IF(ISNUMBER(G62),G56-G62,G60-G59)</f>
        <v>1469338.78452686</v>
      </c>
      <c r="H63" s="215" t="n">
        <f aca="false">IF(ISNUMBER(H62),H56-H62,H60-H59)</f>
        <v>-2109749.83863721</v>
      </c>
      <c r="I63" s="215" t="n">
        <f aca="false">IF(ISNUMBER(I62),I56-I62,I60-I59)</f>
        <v>1656834.09733327</v>
      </c>
      <c r="J63" s="215" t="n">
        <f aca="false">IF(ISNUMBER(J62),J56-J62,J60-J59)</f>
        <v>4965580.15767146</v>
      </c>
      <c r="K63" s="215" t="n">
        <f aca="false">IF(ISNUMBER(K62),K56-K62,K60-K59)</f>
        <v>-95643.5743761258</v>
      </c>
      <c r="L63" s="215" t="n">
        <f aca="false">IF(ISNUMBER(L62),L56-L62,L60-L59)</f>
        <v>-4728371.90685615</v>
      </c>
      <c r="M63" s="215" t="n">
        <f aca="false">IF(ISNUMBER(M62),M56-M62,M60-M59)</f>
        <v>-1089937.73955195</v>
      </c>
      <c r="N63" s="215" t="n">
        <f aca="false">IF(ISNUMBER(N62),N56-N62,N60-N59)</f>
        <v>-1535246.21336731</v>
      </c>
      <c r="O63" s="215" t="n">
        <f aca="false">IF(ISNUMBER(O62),O56-O62,O60-O59)</f>
        <v>-16240922.3438577</v>
      </c>
      <c r="P63" s="215" t="n">
        <f aca="false">IF(ISNUMBER(P62),P56-P62,P60-P59)</f>
        <v>351688.67225532</v>
      </c>
      <c r="Q63" s="215" t="n">
        <f aca="false">IF(ISNUMBER(Q62),Q56-Q62,Q60-Q59)</f>
        <v>425662.88156283</v>
      </c>
      <c r="R63" s="215" t="n">
        <f aca="false">IF(ISNUMBER(R62),R56-R62,R60-R59)</f>
        <v>907079.116124063</v>
      </c>
      <c r="S63" s="215" t="n">
        <f aca="false">IF(ISNUMBER(S62),S56-S62,S60-S59)</f>
        <v>-2347303.52846236</v>
      </c>
      <c r="T63" s="215" t="n">
        <f aca="false">IF(ISNUMBER(T62),T56-T62,T60-T59)</f>
        <v>-145827.320490605</v>
      </c>
      <c r="U63" s="215" t="n">
        <f aca="false">IF(ISNUMBER(U62),U56-U62,U60-U59)</f>
        <v>-2944304.21920308</v>
      </c>
      <c r="V63" s="215" t="n">
        <f aca="false">IF(ISNUMBER(V62),V56-V62,V60-V59)</f>
        <v>4362553.05924515</v>
      </c>
      <c r="W63" s="215" t="n">
        <f aca="false">IF(ISNUMBER(W62),W56-W62,W60-W59)</f>
        <v>3693838.52249553</v>
      </c>
      <c r="X63" s="215" t="n">
        <f aca="false">IF(ISNUMBER(X62),X56-X62,X60-X59)</f>
        <v>3648669.88002185</v>
      </c>
      <c r="Y63" s="215" t="n">
        <f aca="false">IF(ISNUMBER(Y62),Y56-Y62,Y60-Y59)</f>
        <v>2863266.05772767</v>
      </c>
      <c r="Z63" s="215" t="n">
        <f aca="false">IF(ISNUMBER(Z62),Z56-Z62,Z60-Z59)</f>
        <v>5750448.38322246</v>
      </c>
      <c r="AA63" s="215" t="n">
        <f aca="false">IF(ISNUMBER(AA62),AA56-AA62,AA60-AA59)</f>
        <v>3086444.80678007</v>
      </c>
      <c r="AB63" s="215" t="n">
        <f aca="false">IF(ISNUMBER(AB62),AB56-AB62,AB60-AB59)</f>
        <v>5909619.67429422</v>
      </c>
      <c r="AC63" s="215" t="n">
        <f aca="false">IF(ISNUMBER(AC62),AC56-AC62,AC60-AC59)</f>
        <v>5225015.40093559</v>
      </c>
      <c r="AD63" s="215" t="n">
        <f aca="false">IF(ISNUMBER(AD62),AD56-AD62,AD60-AD59)</f>
        <v>3986724.31210593</v>
      </c>
      <c r="AE63" s="215" t="n">
        <f aca="false">IF(ISNUMBER(AE62),AE56-AE62,AE60-AE59)</f>
        <v>3107931.36337648</v>
      </c>
      <c r="AF63" s="215" t="n">
        <f aca="false">IF(ISNUMBER(AF62),AF56-AF62,AF60-AF59)</f>
        <v>3562322.06379481</v>
      </c>
      <c r="AG63" s="215" t="n">
        <f aca="false">IF(ISNUMBER(AG62),AG56-AG62,AG60-AG59)</f>
        <v>-5210500.53882964</v>
      </c>
      <c r="AH63" s="215" t="n">
        <f aca="false">IF(ISNUMBER(AH62),AH56-AH62,AH60-AH59)</f>
        <v>5615483.50842527</v>
      </c>
      <c r="AI63" s="215" t="n">
        <f aca="false">IF(ISNUMBER(AI62),AI56-AI62,AI60-AI59)</f>
        <v>5433492.06526401</v>
      </c>
      <c r="AJ63" s="215" t="n">
        <f aca="false">IF(ISNUMBER(AJ62),AJ56-AJ62,AJ60-AJ59)</f>
        <v>5124758.15838286</v>
      </c>
      <c r="AK63" s="215" t="n">
        <f aca="false">IF(ISNUMBER(AK62),AK56-AK62,AK60-AK59)</f>
        <v>3609253.12233155</v>
      </c>
      <c r="AL63" s="215" t="n">
        <f aca="false">IF(ISNUMBER(AL62),AL56-AL62,AL60-AL59)</f>
        <v>2829140.42034178</v>
      </c>
      <c r="AM63" s="215" t="n">
        <f aca="false">IF(ISNUMBER(AM62),AM56-AM62,AM60-AM59)</f>
        <v>-379283.729169899</v>
      </c>
      <c r="AN63" s="215" t="n">
        <f aca="false">IF(ISNUMBER(AN62),AN56-AN62,AN60-AN59)</f>
        <v>1431660.23395318</v>
      </c>
      <c r="AO63" s="215" t="n">
        <f aca="false">IF(ISNUMBER(AO62),AO56-AO62,AO60-AO59)</f>
        <v>1498185.74841439</v>
      </c>
      <c r="AP63" s="215" t="n">
        <f aca="false">IF(ISNUMBER(AP62),AP56-AP62,AP60-AP59)</f>
        <v>1293126.90090563</v>
      </c>
      <c r="AQ63" s="215" t="n">
        <f aca="false">IF(ISNUMBER(AQ62),AQ56-AQ62,AQ60-AQ59)</f>
        <v>487920.125577989</v>
      </c>
      <c r="AR63" s="215" t="n">
        <f aca="false">IF(ISNUMBER(AR62),AR56-AR62,AR60-AR59)</f>
        <v>311535.960277864</v>
      </c>
      <c r="AS63" s="215" t="n">
        <f aca="false">IF(ISNUMBER(AS62),AS56-AS62,AS60-AS59)</f>
        <v>-1195466.70872859</v>
      </c>
      <c r="AT63" s="215" t="n">
        <f aca="false">IF(ISNUMBER(AT62),AT56-AT62,AT60-AT59)</f>
        <v>-1095976.50617856</v>
      </c>
      <c r="AU63" s="215" t="n">
        <f aca="false">IF(ISNUMBER(AU62),AU56-AU62,AU60-AU59)</f>
        <v>-1058253.12533926</v>
      </c>
      <c r="AV63" s="215" t="n">
        <f aca="false">IF(ISNUMBER(AV62),AV56-AV62,AV60-AV59)</f>
        <v>-688520.978235124</v>
      </c>
      <c r="AW63" s="215" t="n">
        <f aca="false">IF(ISNUMBER(AW62),AW56-AW62,AW60-AW59)</f>
        <v>-2278514.4100885</v>
      </c>
      <c r="AX63" s="215" t="n">
        <f aca="false">IF(ISNUMBER(AX62),AX56-AX62,AX60-AX59)</f>
        <v>23532.4703999362</v>
      </c>
      <c r="AY63" s="215" t="n">
        <f aca="false">IF(ISNUMBER(AY62),AY56-AY62,AY60-AY59)</f>
        <v>-8190601.46704109</v>
      </c>
      <c r="AZ63" s="215" t="n">
        <f aca="false">IF(ISNUMBER(AZ62),AZ56-AZ62,AZ60-AZ59)</f>
        <v>-4918267.14786524</v>
      </c>
      <c r="BA63" s="215" t="n">
        <f aca="false">IF(ISNUMBER(BA62),BA56-BA62,BA60-BA59)</f>
        <v>-4678614.09109169</v>
      </c>
      <c r="BB63" s="215" t="n">
        <f aca="false">IF(ISNUMBER(BB62),BB56-BB62,BB60-BB59)</f>
        <v>-5204834.60565022</v>
      </c>
      <c r="BC63" s="215" t="n">
        <f aca="false">IF(ISNUMBER(BC62),BC56-BC62,BC60-BC59)</f>
        <v>-4108743.47755025</v>
      </c>
      <c r="BD63" s="215" t="n">
        <f aca="false">IF(ISNUMBER(BD62),BD56-BD62,BD60-BD59)</f>
        <v>-3793068.26216526</v>
      </c>
      <c r="BE63" s="215" t="n">
        <f aca="false">IF(ISNUMBER(BE62),BE56-BE62,BE60-BE59)</f>
        <v>-10647063.5728272</v>
      </c>
      <c r="BF63" s="215" t="n">
        <f aca="false">IF(ISNUMBER(BF62),BF56-BF62,BF60-BF59)</f>
        <v>-3137244.13492161</v>
      </c>
      <c r="BG63" s="215" t="n">
        <f aca="false">IF(ISNUMBER(BG62),BG56-BG62,BG60-BG59)</f>
        <v>-2810691.72110388</v>
      </c>
      <c r="BH63" s="215" t="n">
        <f aca="false">IF(ISNUMBER(BH62),BH56-BH62,BH60-BH59)</f>
        <v>-3217035.6515023</v>
      </c>
      <c r="BI63" s="215" t="n">
        <f aca="false">IF(ISNUMBER(BI62),BI56-BI62,BI60-BI59)</f>
        <v>-2189390.87584241</v>
      </c>
      <c r="BJ63" s="215" t="n">
        <f aca="false">IF(ISNUMBER(BJ62),BJ56-BJ62,BJ60-BJ59)</f>
        <v>-330477.617792688</v>
      </c>
      <c r="BK63" s="215" t="n">
        <f aca="false">IF(ISNUMBER(BK62),BK56-BK62,BK60-BK59)</f>
        <v>-939275.117930264</v>
      </c>
      <c r="BL63" s="215" t="n">
        <f aca="false">IF(ISNUMBER(BL62),BL56-BL62,BL60-BL59)</f>
        <v>-619813.340288869</v>
      </c>
      <c r="BM63" s="215" t="n">
        <f aca="false">IF(ISNUMBER(BM62),BM56-BM62,BM60-BM59)</f>
        <v>-619813.340288869</v>
      </c>
      <c r="BN63" s="215" t="n">
        <f aca="false">IF(ISNUMBER(BN62),BN56-BN62,BN60-BN59)</f>
        <v>-750689.340288869</v>
      </c>
      <c r="BO63" s="215" t="n">
        <f aca="false">IF(ISNUMBER(BO62),BO56-BO62,BO60-BO59)</f>
        <v>-619813.340288869</v>
      </c>
      <c r="BP63" s="215" t="n">
        <f aca="false">IF(ISNUMBER(BP62),BP56-BP62,BP60-BP59)</f>
        <v>-619813.340288869</v>
      </c>
      <c r="BQ63" s="215" t="n">
        <f aca="false">IF(ISNUMBER(BQ62),BQ56-BQ62,BQ60-BQ59)</f>
        <v>-750689.340288869</v>
      </c>
      <c r="BR63" s="215" t="n">
        <f aca="false">IF(ISNUMBER(BR62),BR56-BR62,BR60-BR59)</f>
        <v>-619813.340288869</v>
      </c>
      <c r="BS63" s="215" t="n">
        <f aca="false">IF(ISNUMBER(BS62),BS56-BS62,BS60-BS59)</f>
        <v>-619813.340288869</v>
      </c>
      <c r="BT63" s="215" t="n">
        <f aca="false">IF(ISNUMBER(BT62),BT56-BT62,BT60-BT59)</f>
        <v>-708968.990288869</v>
      </c>
      <c r="BU63" s="215" t="n">
        <f aca="false">IF(ISNUMBER(BU62),BU56-BU62,BU60-BU59)</f>
        <v>-619813.340288869</v>
      </c>
      <c r="BV63" s="215" t="n">
        <f aca="false">IF(ISNUMBER(BV62),BV56-BV62,BV60-BV59)</f>
        <v>-619813.340288869</v>
      </c>
      <c r="BW63" s="215" t="n">
        <f aca="false">IF(ISNUMBER(BW62),BW56-BW62,BW60-BW59)</f>
        <v>-894453.340288869</v>
      </c>
      <c r="BX63" s="215" t="n">
        <f aca="false">IF(ISNUMBER(BX62),BX56-BX62,BX60-BX59)</f>
        <v>-631455.847094647</v>
      </c>
      <c r="BY63" s="215" t="n">
        <f aca="false">IF(ISNUMBER(BY62),BY56-BY62,BY60-BY59)</f>
        <v>-631455.847094647</v>
      </c>
      <c r="BZ63" s="215" t="n">
        <f aca="false">IF(ISNUMBER(BZ62),BZ56-BZ62,BZ60-BZ59)</f>
        <v>-706095.847094647</v>
      </c>
      <c r="CA63" s="215" t="n">
        <f aca="false">IF(ISNUMBER(CA62),CA56-CA62,CA60-CA59)</f>
        <v>-631455.847094647</v>
      </c>
      <c r="CB63" s="215" t="n">
        <f aca="false">IF(ISNUMBER(CB62),CB56-CB62,CB60-CB59)</f>
        <v>-631455.847094647</v>
      </c>
      <c r="CC63" s="215" t="n">
        <f aca="false">IF(ISNUMBER(CC62),CC56-CC62,CC60-CC59)</f>
        <v>-779251.847094647</v>
      </c>
      <c r="CD63" s="215" t="n">
        <f aca="false">IF(ISNUMBER(CD62),CD56-CD62,CD60-CD59)</f>
        <v>-631455.847094647</v>
      </c>
      <c r="CE63" s="215" t="n">
        <f aca="false">IF(ISNUMBER(CE62),CE56-CE62,CE60-CE59)</f>
        <v>-631455.847094647</v>
      </c>
      <c r="CF63" s="215" t="n">
        <f aca="false">IF(ISNUMBER(CF62),CF56-CF62,CF60-CF59)</f>
        <v>-785973.847094647</v>
      </c>
      <c r="CG63" s="215" t="n">
        <f aca="false">IF(ISNUMBER(CG62),CG56-CG62,CG60-CG59)</f>
        <v>-631455.847094647</v>
      </c>
      <c r="CH63" s="215" t="n">
        <f aca="false">IF(ISNUMBER(CH62),CH56-CH62,CH60-CH59)</f>
        <v>-631455.847094647</v>
      </c>
      <c r="CI63" s="215" t="n">
        <f aca="false">IF(ISNUMBER(CI62),CI56-CI62,CI60-CI59)</f>
        <v>-985972.847094647</v>
      </c>
      <c r="CJ63" s="215" t="n">
        <f aca="false">IF(ISNUMBER(CJ62),CJ56-CJ62,CJ60-CJ59)</f>
        <v>-643331.20403654</v>
      </c>
      <c r="CK63" s="215" t="n">
        <f aca="false">IF(ISNUMBER(CK62),CK56-CK62,CK60-CK59)</f>
        <v>-643331.20403654</v>
      </c>
      <c r="CL63" s="215" t="n">
        <f aca="false">IF(ISNUMBER(CL62),CL56-CL62,CL60-CL59)</f>
        <v>-791240.177430061</v>
      </c>
      <c r="CM63" s="215" t="n">
        <f aca="false">IF(ISNUMBER(CM62),CM56-CM62,CM60-CM59)</f>
        <v>-716486.20403654</v>
      </c>
      <c r="CN63" s="215" t="n">
        <f aca="false">IF(ISNUMBER(CN62),CN56-CN62,CN60-CN59)</f>
        <v>-716486.20403654</v>
      </c>
      <c r="CO63" s="215" t="n">
        <f aca="false">IF(ISNUMBER(CO62),CO56-CO62,CO60-CO59)</f>
        <v>-716486.20403654</v>
      </c>
      <c r="CP63" s="215" t="n">
        <f aca="false">IF(ISNUMBER(CP62),CP56-CP62,CP60-CP59)</f>
        <v>-716486.20403654</v>
      </c>
      <c r="CQ63" s="215" t="n">
        <f aca="false">IF(ISNUMBER(CQ62),CQ56-CQ62,CQ60-CQ59)</f>
        <v>-716486.20403654</v>
      </c>
      <c r="CR63" s="215" t="n">
        <f aca="false">IF(ISNUMBER(CR62),CR56-CR62,CR60-CR59)</f>
        <v>-716486.20403654</v>
      </c>
      <c r="CS63" s="215" t="n">
        <f aca="false">IF(ISNUMBER(CS62),CS56-CS62,CS60-CS59)</f>
        <v>-716486.20403654</v>
      </c>
      <c r="CT63" s="215" t="n">
        <f aca="false">IF(ISNUMBER(CT62),CT56-CT62,CT60-CT59)</f>
        <v>-716486.20403654</v>
      </c>
      <c r="CU63" s="215" t="n">
        <f aca="false">IF(ISNUMBER(CU62),CU56-CU62,CU60-CU59)</f>
        <v>-916486.20403654</v>
      </c>
      <c r="CV63" s="215" t="n">
        <f aca="false">IF(ISNUMBER(CV62),CV56-CV62,CV60-CV59)</f>
        <v>-682077.812039968</v>
      </c>
      <c r="CW63" s="215" t="n">
        <f aca="false">IF(ISNUMBER(CW62),CW56-CW62,CW60-CW59)</f>
        <v>-682077.812039968</v>
      </c>
      <c r="CX63" s="215" t="n">
        <f aca="false">IF(ISNUMBER(CX62),CX56-CX62,CX60-CX59)</f>
        <v>-682077.812039968</v>
      </c>
      <c r="CY63" s="215" t="n">
        <f aca="false">IF(ISNUMBER(CY62),CY56-CY62,CY60-CY59)</f>
        <v>-626369.660976375</v>
      </c>
      <c r="CZ63" s="215" t="n">
        <f aca="false">IF(ISNUMBER(CZ62),CZ56-CZ62,CZ60-CZ59)</f>
        <v>-608922.812039968</v>
      </c>
      <c r="DA63" s="215" t="n">
        <f aca="false">IF(ISNUMBER(DA62),DA56-DA62,DA60-DA59)</f>
        <v>-608922.812039968</v>
      </c>
      <c r="DB63" s="215" t="n">
        <f aca="false">IF(ISNUMBER(DB62),DB56-DB62,DB60-DB59)</f>
        <v>-608922.812039968</v>
      </c>
    </row>
    <row r="64" customFormat="false" ht="13.5" hidden="false" customHeight="true" outlineLevel="0" collapsed="false">
      <c r="A64" s="94" t="s">
        <v>639</v>
      </c>
      <c r="G64" s="216" t="n">
        <f aca="false">IFERROR(G60/G59,"")</f>
        <v>1.66096542953664</v>
      </c>
      <c r="H64" s="216" t="n">
        <f aca="false">IFERROR(H60/H59,"")</f>
        <v>0.676706897099834</v>
      </c>
      <c r="I64" s="216" t="n">
        <f aca="false">IFERROR(I60/I59,"")</f>
        <v>1.36053960133789</v>
      </c>
      <c r="J64" s="216" t="n">
        <f aca="false">IFERROR(J60/J59,"")</f>
        <v>3.41045767673262</v>
      </c>
      <c r="K64" s="216" t="n">
        <f aca="false">IFERROR(K60/K59,"")</f>
        <v>0.984474394782218</v>
      </c>
      <c r="L64" s="216" t="n">
        <f aca="false">IFERROR(L60/L59,"")</f>
        <v>0.574375387832592</v>
      </c>
      <c r="M64" s="216" t="n">
        <f aca="false">IFERROR(M60/M59,"")</f>
        <v>0.843262251188546</v>
      </c>
      <c r="N64" s="216" t="n">
        <f aca="false">IFERROR(N60/N59,"")</f>
        <v>0.754950177438591</v>
      </c>
      <c r="O64" s="216" t="n">
        <f aca="false">IFERROR(O60/O59,"")</f>
        <v>0.224317754204461</v>
      </c>
      <c r="P64" s="216" t="n">
        <f aca="false">IFERROR(P60/P59,"")</f>
        <v>1.06633475506609</v>
      </c>
      <c r="Q64" s="216" t="n">
        <f aca="false">IFERROR(Q60/Q59,"")</f>
        <v>1.08014188172551</v>
      </c>
      <c r="R64" s="216" t="n">
        <f aca="false">IFERROR(R60/R59,"")</f>
        <v>1.16979955856681</v>
      </c>
      <c r="S64" s="216" t="n">
        <f aca="false">IFERROR(S60/S59,"")</f>
        <v>0.740276389848527</v>
      </c>
      <c r="T64" s="216" t="n">
        <f aca="false">IFERROR(T60/T59,"")</f>
        <v>0.979966908984659</v>
      </c>
      <c r="U64" s="216" t="n">
        <f aca="false">IFERROR(U60/U59,"")</f>
        <v>0.748615313298224</v>
      </c>
      <c r="V64" s="216" t="n">
        <f aca="false">IFERROR(V60/V59,"")</f>
        <v>1.75453273195793</v>
      </c>
      <c r="W64" s="216" t="n">
        <f aca="false">IFERROR(W60/W59,"")</f>
        <v>1.60531481894592</v>
      </c>
      <c r="X64" s="216" t="n">
        <f aca="false">IFERROR(X60/X59,"")</f>
        <v>1.48944283349535</v>
      </c>
      <c r="Y64" s="216" t="n">
        <f aca="false">IFERROR(Y60/Y59,"")</f>
        <v>1.35228425376945</v>
      </c>
      <c r="Z64" s="216" t="n">
        <f aca="false">IFERROR(Z60/Z59,"")</f>
        <v>1.80411507714883</v>
      </c>
      <c r="AA64" s="216" t="n">
        <f aca="false">IFERROR(AA60/AA59,"")</f>
        <v>1.34845010480261</v>
      </c>
      <c r="AB64" s="216" t="n">
        <f aca="false">IFERROR(AB60/AB59,"")</f>
        <v>1.80520773213861</v>
      </c>
      <c r="AC64" s="216" t="n">
        <f aca="false">IFERROR(AC60/AC59,"")</f>
        <v>1.68698330144675</v>
      </c>
      <c r="AD64" s="216" t="n">
        <f aca="false">IFERROR(AD60/AD59,"")</f>
        <v>1.50586541688967</v>
      </c>
      <c r="AE64" s="216" t="n">
        <f aca="false">IFERROR(AE60/AE59,"")</f>
        <v>1.38788739769346</v>
      </c>
      <c r="AF64" s="216" t="n">
        <f aca="false">IFERROR(AF60/AF59,"")</f>
        <v>1.46530126540785</v>
      </c>
      <c r="AG64" s="216" t="n">
        <f aca="false">IFERROR(AG60/AG59,"")</f>
        <v>0.689564358117283</v>
      </c>
      <c r="AH64" s="216" t="n">
        <f aca="false">IFERROR(AH60/AH59,"")</f>
        <v>1.9420528739832</v>
      </c>
      <c r="AI64" s="216" t="n">
        <f aca="false">IFERROR(AI60/AI59,"")</f>
        <v>1.85676366772592</v>
      </c>
      <c r="AJ64" s="216" t="n">
        <f aca="false">IFERROR(AJ60/AJ59,"")</f>
        <v>1.86772297252208</v>
      </c>
      <c r="AK64" s="216" t="n">
        <f aca="false">IFERROR(AK60/AK59,"")</f>
        <v>1.5508951544696</v>
      </c>
      <c r="AL64" s="216" t="n">
        <f aca="false">IFERROR(AL60/AL59,"")</f>
        <v>1.47565052358501</v>
      </c>
      <c r="AM64" s="216" t="n">
        <f aca="false">IFERROR(AM60/AM59,"")</f>
        <v>0.954147921843122</v>
      </c>
      <c r="AN64" s="216" t="n">
        <f aca="false">IFERROR(AN60/AN59,"")</f>
        <v>1.23244587326769</v>
      </c>
      <c r="AO64" s="216" t="n">
        <f aca="false">IFERROR(AO60/AO59,"")</f>
        <v>1.26072990636715</v>
      </c>
      <c r="AP64" s="216" t="n">
        <f aca="false">IFERROR(AP60/AP59,"")</f>
        <v>1.28052828895775</v>
      </c>
      <c r="AQ64" s="216" t="n">
        <f aca="false">IFERROR(AQ60/AQ59,"")</f>
        <v>1.11216468396056</v>
      </c>
      <c r="AR64" s="216" t="n">
        <f aca="false">IFERROR(AR60/AR59,"")</f>
        <v>1.09252634528827</v>
      </c>
      <c r="AS64" s="216" t="n">
        <f aca="false">IFERROR(AS60/AS59,"")</f>
        <v>0.726298681282162</v>
      </c>
      <c r="AT64" s="216" t="n">
        <f aca="false">IFERROR(AT60/AT59,"")</f>
        <v>0.737760974719124</v>
      </c>
      <c r="AU64" s="216" t="n">
        <f aca="false">IFERROR(AU60/AU59,"")</f>
        <v>0.737760974719124</v>
      </c>
      <c r="AV64" s="216" t="n">
        <f aca="false">IFERROR(AV60/AV59,"")</f>
        <v>0.805729405552825</v>
      </c>
      <c r="AW64" s="216" t="n">
        <f aca="false">IFERROR(AW60/AW59,"")</f>
        <v>0.544200290003583</v>
      </c>
      <c r="AX64" s="216" t="n">
        <f aca="false">IFERROR(AX60/AX59,"")</f>
        <v>1.00922747172054</v>
      </c>
      <c r="AY64" s="216" t="n">
        <f aca="false">IFERROR(AY60/AY59,"")</f>
        <v>0.179384808801983</v>
      </c>
      <c r="AZ64" s="216" t="n">
        <f aca="false">IFERROR(AZ60/AZ59,"")</f>
        <v>0.259138509938829</v>
      </c>
      <c r="BA64" s="216" t="n">
        <f aca="false">IFERROR(BA60/BA59,"")</f>
        <v>0.259138509938829</v>
      </c>
      <c r="BB64" s="216" t="n">
        <f aca="false">IFERROR(BB60/BB59,"")</f>
        <v>0.22846537424674</v>
      </c>
      <c r="BC64" s="216" t="n">
        <f aca="false">IFERROR(BC60/BC59,"")</f>
        <v>0.259138509938829</v>
      </c>
      <c r="BD64" s="216" t="n">
        <f aca="false">IFERROR(BD60/BD59,"")</f>
        <v>0.259138509938829</v>
      </c>
      <c r="BE64" s="216" t="n">
        <f aca="false">IFERROR(BE60/BE59,"")</f>
        <v>0.102248903192323</v>
      </c>
      <c r="BF64" s="216" t="n">
        <f aca="false">IFERROR(BF60/BF59,"")</f>
        <v>0.259138509938829</v>
      </c>
      <c r="BG64" s="216" t="n">
        <f aca="false">IFERROR(BG60/BG59,"")</f>
        <v>0.259138509938829</v>
      </c>
      <c r="BH64" s="216" t="n">
        <f aca="false">IFERROR(BH60/BH59,"")</f>
        <v>0.213261897392337</v>
      </c>
      <c r="BI64" s="216" t="n">
        <f aca="false">IFERROR(BI60/BI59,"")</f>
        <v>0.259138509938829</v>
      </c>
      <c r="BJ64" s="216" t="n">
        <f aca="false">IFERROR(BJ60/BJ59,"")</f>
        <v>0.668304578263296</v>
      </c>
      <c r="BK64" s="216" t="n">
        <f aca="false">IFERROR(BK60/BK59,"")</f>
        <v>0</v>
      </c>
      <c r="BL64" s="216" t="n">
        <f aca="false">IFERROR(BL60/BL59,"")</f>
        <v>0</v>
      </c>
      <c r="BM64" s="216" t="n">
        <f aca="false">IFERROR(BM60/BM59,"")</f>
        <v>0</v>
      </c>
      <c r="BN64" s="216" t="n">
        <f aca="false">IFERROR(BN60/BN59,"")</f>
        <v>0</v>
      </c>
      <c r="BO64" s="216" t="n">
        <f aca="false">IFERROR(BO60/BO59,"")</f>
        <v>0</v>
      </c>
      <c r="BP64" s="216" t="n">
        <f aca="false">IFERROR(BP60/BP59,"")</f>
        <v>0</v>
      </c>
      <c r="BQ64" s="216" t="n">
        <f aca="false">IFERROR(BQ60/BQ59,"")</f>
        <v>0</v>
      </c>
      <c r="BR64" s="216" t="n">
        <f aca="false">IFERROR(BR60/BR59,"")</f>
        <v>0</v>
      </c>
      <c r="BS64" s="216" t="n">
        <f aca="false">IFERROR(BS60/BS59,"")</f>
        <v>0</v>
      </c>
      <c r="BT64" s="216" t="n">
        <f aca="false">IFERROR(BT60/BT59,"")</f>
        <v>0</v>
      </c>
      <c r="BU64" s="216" t="n">
        <f aca="false">IFERROR(BU60/BU59,"")</f>
        <v>0</v>
      </c>
      <c r="BV64" s="216" t="n">
        <f aca="false">IFERROR(BV60/BV59,"")</f>
        <v>0</v>
      </c>
      <c r="BW64" s="216" t="n">
        <f aca="false">IFERROR(BW60/BW59,"")</f>
        <v>0</v>
      </c>
      <c r="BX64" s="216" t="n">
        <f aca="false">IFERROR(BX60/BX59,"")</f>
        <v>0</v>
      </c>
      <c r="BY64" s="216" t="n">
        <f aca="false">IFERROR(BY60/BY59,"")</f>
        <v>0</v>
      </c>
      <c r="BZ64" s="216" t="n">
        <f aca="false">IFERROR(BZ60/BZ59,"")</f>
        <v>0</v>
      </c>
      <c r="CA64" s="216" t="n">
        <f aca="false">IFERROR(CA60/CA59,"")</f>
        <v>0</v>
      </c>
      <c r="CB64" s="216" t="n">
        <f aca="false">IFERROR(CB60/CB59,"")</f>
        <v>0</v>
      </c>
      <c r="CC64" s="216" t="n">
        <f aca="false">IFERROR(CC60/CC59,"")</f>
        <v>0</v>
      </c>
      <c r="CD64" s="216" t="n">
        <f aca="false">IFERROR(CD60/CD59,"")</f>
        <v>0</v>
      </c>
      <c r="CE64" s="216" t="n">
        <f aca="false">IFERROR(CE60/CE59,"")</f>
        <v>0</v>
      </c>
      <c r="CF64" s="216" t="n">
        <f aca="false">IFERROR(CF60/CF59,"")</f>
        <v>0</v>
      </c>
      <c r="CG64" s="216" t="n">
        <f aca="false">IFERROR(CG60/CG59,"")</f>
        <v>0</v>
      </c>
      <c r="CH64" s="216" t="n">
        <f aca="false">IFERROR(CH60/CH59,"")</f>
        <v>0</v>
      </c>
      <c r="CI64" s="216" t="n">
        <f aca="false">IFERROR(CI60/CI59,"")</f>
        <v>0</v>
      </c>
      <c r="CJ64" s="216" t="n">
        <f aca="false">IFERROR(CJ60/CJ59,"")</f>
        <v>0</v>
      </c>
      <c r="CK64" s="216" t="n">
        <f aca="false">IFERROR(CK60/CK59,"")</f>
        <v>0</v>
      </c>
      <c r="CL64" s="216" t="n">
        <f aca="false">IFERROR(CL60/CL59,"")</f>
        <v>0</v>
      </c>
      <c r="CM64" s="216" t="n">
        <f aca="false">IFERROR(CM60/CM59,"")</f>
        <v>0</v>
      </c>
      <c r="CN64" s="216" t="n">
        <f aca="false">IFERROR(CN60/CN59,"")</f>
        <v>0</v>
      </c>
      <c r="CO64" s="216" t="n">
        <f aca="false">IFERROR(CO60/CO59,"")</f>
        <v>0</v>
      </c>
      <c r="CP64" s="216" t="n">
        <f aca="false">IFERROR(CP60/CP59,"")</f>
        <v>0</v>
      </c>
      <c r="CQ64" s="216" t="n">
        <f aca="false">IFERROR(CQ60/CQ59,"")</f>
        <v>0</v>
      </c>
      <c r="CR64" s="216" t="n">
        <f aca="false">IFERROR(CR60/CR59,"")</f>
        <v>0</v>
      </c>
      <c r="CS64" s="216" t="n">
        <f aca="false">IFERROR(CS60/CS59,"")</f>
        <v>0</v>
      </c>
      <c r="CT64" s="216" t="n">
        <f aca="false">IFERROR(CT60/CT59,"")</f>
        <v>0</v>
      </c>
      <c r="CU64" s="216" t="n">
        <f aca="false">IFERROR(CU60/CU59,"")</f>
        <v>0</v>
      </c>
      <c r="CV64" s="216" t="n">
        <f aca="false">IFERROR(CV60/CV59,"")</f>
        <v>0</v>
      </c>
      <c r="CW64" s="216" t="n">
        <f aca="false">IFERROR(CW60/CW59,"")</f>
        <v>0</v>
      </c>
      <c r="CX64" s="216" t="n">
        <f aca="false">IFERROR(CX60/CX59,"")</f>
        <v>0</v>
      </c>
      <c r="CY64" s="216" t="n">
        <f aca="false">IFERROR(CY60/CY59,"")</f>
        <v>0</v>
      </c>
      <c r="CZ64" s="216" t="n">
        <f aca="false">IFERROR(CZ60/CZ59,"")</f>
        <v>0</v>
      </c>
      <c r="DA64" s="216" t="n">
        <f aca="false">IFERROR(DA60/DA59,"")</f>
        <v>0</v>
      </c>
      <c r="DB64" s="216" t="n">
        <f aca="false">IFERROR(DB60/DB59,"")</f>
        <v>0</v>
      </c>
    </row>
    <row r="65" customFormat="false" ht="13.5" hidden="false" customHeight="true" outlineLevel="0" collapsed="false">
      <c r="A65" s="94" t="s">
        <v>640</v>
      </c>
      <c r="G65" s="217" t="n">
        <f aca="false">ROUND(G56-Model!E58,0)</f>
        <v>0</v>
      </c>
      <c r="H65" s="217" t="n">
        <f aca="false">ROUND(H56-Model!F58,0)</f>
        <v>0</v>
      </c>
      <c r="I65" s="217" t="n">
        <f aca="false">ROUND(I56-Model!G58,0)</f>
        <v>0</v>
      </c>
      <c r="J65" s="217" t="n">
        <f aca="false">ROUND(J56-Model!H58,0)</f>
        <v>0</v>
      </c>
      <c r="K65" s="217" t="n">
        <f aca="false">ROUND(K56-Model!I58,0)</f>
        <v>0</v>
      </c>
      <c r="L65" s="217" t="n">
        <f aca="false">ROUND(L56-Model!J58,0)</f>
        <v>0</v>
      </c>
      <c r="M65" s="217" t="n">
        <f aca="false">ROUND(M56-Model!K58,0)</f>
        <v>0</v>
      </c>
      <c r="N65" s="217" t="n">
        <f aca="false">ROUND(N56-Model!L58,0)</f>
        <v>0</v>
      </c>
      <c r="O65" s="217" t="n">
        <f aca="false">ROUND(O56-Model!M58,0)</f>
        <v>0</v>
      </c>
      <c r="P65" s="217" t="n">
        <f aca="false">ROUND(P56-Model!N58,0)</f>
        <v>0</v>
      </c>
      <c r="Q65" s="217" t="n">
        <f aca="false">ROUND(Q56-Model!O58,0)</f>
        <v>0</v>
      </c>
      <c r="R65" s="217" t="n">
        <f aca="false">ROUND(R56-Model!P58,0)</f>
        <v>0</v>
      </c>
      <c r="S65" s="217" t="n">
        <f aca="false">ROUND(S56-Model!Q58,0)</f>
        <v>0</v>
      </c>
      <c r="T65" s="217" t="n">
        <f aca="false">ROUND(T56-Model!R58,0)</f>
        <v>0</v>
      </c>
      <c r="U65" s="217" t="n">
        <f aca="false">ROUND(U56-Model!S58,0)</f>
        <v>0</v>
      </c>
      <c r="V65" s="217" t="n">
        <f aca="false">ROUND(V56-Model!T58,0)</f>
        <v>0</v>
      </c>
      <c r="W65" s="217" t="n">
        <f aca="false">ROUND(W56-Model!U58,0)</f>
        <v>0</v>
      </c>
      <c r="X65" s="217" t="n">
        <f aca="false">ROUND(X56-Model!V58,0)</f>
        <v>0</v>
      </c>
      <c r="Y65" s="217" t="n">
        <f aca="false">ROUND(Y56-Model!W58,0)</f>
        <v>0</v>
      </c>
      <c r="Z65" s="217" t="n">
        <f aca="false">ROUND(Z56-Model!X58,0)</f>
        <v>0</v>
      </c>
      <c r="AA65" s="217" t="n">
        <f aca="false">ROUND(AA56-Model!Y58,0)</f>
        <v>0</v>
      </c>
      <c r="AB65" s="217" t="n">
        <f aca="false">ROUND(AB56-Model!Z58,0)</f>
        <v>0</v>
      </c>
      <c r="AC65" s="217" t="n">
        <f aca="false">ROUND(AC56-Model!AA58,0)</f>
        <v>0</v>
      </c>
      <c r="AD65" s="217" t="n">
        <f aca="false">ROUND(AD56-Model!AB58,0)</f>
        <v>0</v>
      </c>
      <c r="AE65" s="217" t="n">
        <f aca="false">ROUND(AE56-Model!AC58,0)</f>
        <v>0</v>
      </c>
      <c r="AF65" s="217" t="n">
        <f aca="false">ROUND(AF56-Model!AD58,0)</f>
        <v>0</v>
      </c>
      <c r="AG65" s="217" t="n">
        <f aca="false">ROUND(AG56-Model!AE58,0)</f>
        <v>0</v>
      </c>
      <c r="AH65" s="217" t="n">
        <f aca="false">ROUND(AH56-Model!AF58,0)</f>
        <v>0</v>
      </c>
      <c r="AI65" s="217" t="n">
        <f aca="false">ROUND(AI56-Model!AG58,0)</f>
        <v>0</v>
      </c>
      <c r="AJ65" s="217" t="n">
        <f aca="false">ROUND(AJ56-Model!AH58,0)</f>
        <v>0</v>
      </c>
      <c r="AK65" s="217" t="n">
        <f aca="false">ROUND(AK56-Model!AI58,0)</f>
        <v>0</v>
      </c>
      <c r="AL65" s="217" t="n">
        <f aca="false">ROUND(AL56-Model!AJ58,0)</f>
        <v>0</v>
      </c>
      <c r="AM65" s="217" t="n">
        <f aca="false">ROUND(AM56-Model!AK58,0)</f>
        <v>0</v>
      </c>
      <c r="AN65" s="217" t="n">
        <f aca="false">ROUND(AN56-Model!AL58,0)</f>
        <v>0</v>
      </c>
      <c r="AO65" s="217" t="n">
        <f aca="false">ROUND(AO56-Model!AM58,0)</f>
        <v>0</v>
      </c>
      <c r="AP65" s="217" t="n">
        <f aca="false">ROUND(AP56-Model!AN58,0)</f>
        <v>0</v>
      </c>
      <c r="AQ65" s="217" t="n">
        <f aca="false">ROUND(AQ56-Model!AO58,0)</f>
        <v>0</v>
      </c>
      <c r="AR65" s="217" t="n">
        <f aca="false">ROUND(AR56-Model!AP58,0)</f>
        <v>0</v>
      </c>
      <c r="AS65" s="217" t="n">
        <f aca="false">ROUND(AS56-Model!AQ58,0)</f>
        <v>0</v>
      </c>
      <c r="AT65" s="217" t="n">
        <f aca="false">ROUND(AT56-Model!AR58,0)</f>
        <v>0</v>
      </c>
      <c r="AU65" s="217" t="n">
        <f aca="false">ROUND(AU56-Model!AS58,0)</f>
        <v>0</v>
      </c>
      <c r="AV65" s="217" t="n">
        <f aca="false">ROUND(AV56-Model!AT58,0)</f>
        <v>0</v>
      </c>
      <c r="AW65" s="217" t="n">
        <f aca="false">ROUND(AW56-Model!AU58,0)</f>
        <v>0</v>
      </c>
      <c r="AX65" s="217" t="n">
        <f aca="false">ROUND(AX56-Model!AV58,0)</f>
        <v>0</v>
      </c>
      <c r="AY65" s="217" t="n">
        <f aca="false">ROUND(AY56-Model!AW58,0)</f>
        <v>0</v>
      </c>
      <c r="AZ65" s="217" t="n">
        <f aca="false">ROUND(AZ56-Model!AX58,0)</f>
        <v>0</v>
      </c>
      <c r="BA65" s="217" t="n">
        <f aca="false">ROUND(BA56-Model!AY58,0)</f>
        <v>0</v>
      </c>
      <c r="BB65" s="217" t="n">
        <f aca="false">ROUND(BB56-Model!AZ58,0)</f>
        <v>0</v>
      </c>
      <c r="BC65" s="217" t="n">
        <f aca="false">ROUND(BC56-Model!BA58,0)</f>
        <v>0</v>
      </c>
      <c r="BD65" s="217" t="n">
        <f aca="false">ROUND(BD56-Model!BB58,0)</f>
        <v>0</v>
      </c>
      <c r="BE65" s="217" t="n">
        <f aca="false">ROUND(BE56-Model!BC58,0)</f>
        <v>0</v>
      </c>
      <c r="BF65" s="217" t="n">
        <f aca="false">ROUND(BF56-Model!BD58,0)</f>
        <v>0</v>
      </c>
      <c r="BG65" s="217" t="n">
        <f aca="false">ROUND(BG56-Model!BE58,0)</f>
        <v>0</v>
      </c>
      <c r="BH65" s="217" t="n">
        <f aca="false">ROUND(BH56-Model!BF58,0)</f>
        <v>0</v>
      </c>
      <c r="BI65" s="217" t="n">
        <f aca="false">ROUND(BI56-Model!BG58,0)</f>
        <v>0</v>
      </c>
      <c r="BJ65" s="217" t="n">
        <f aca="false">ROUND(BJ56-Model!BH58,0)</f>
        <v>0</v>
      </c>
      <c r="BK65" s="217" t="n">
        <f aca="false">ROUND(BK56-Model!BI58,0)</f>
        <v>0</v>
      </c>
      <c r="BL65" s="217" t="n">
        <f aca="false">ROUND(BL56-Model!BJ58,0)</f>
        <v>0</v>
      </c>
      <c r="BM65" s="217" t="n">
        <f aca="false">ROUND(BM56-Model!BK58,0)</f>
        <v>0</v>
      </c>
      <c r="BN65" s="217" t="n">
        <f aca="false">ROUND(BN56-Model!BL58,0)</f>
        <v>0</v>
      </c>
      <c r="BO65" s="217" t="n">
        <f aca="false">ROUND(BO56-Model!BM58,0)</f>
        <v>0</v>
      </c>
      <c r="BP65" s="217" t="n">
        <f aca="false">ROUND(BP56-Model!BN58,0)</f>
        <v>0</v>
      </c>
      <c r="BQ65" s="217" t="n">
        <f aca="false">ROUND(BQ56-Model!BO58,0)</f>
        <v>0</v>
      </c>
      <c r="BR65" s="217" t="n">
        <f aca="false">ROUND(BR56-Model!BP58,0)</f>
        <v>0</v>
      </c>
      <c r="BS65" s="217" t="n">
        <f aca="false">ROUND(BS56-Model!BQ58,0)</f>
        <v>0</v>
      </c>
      <c r="BT65" s="217" t="n">
        <f aca="false">ROUND(BT56-Model!BR58,0)</f>
        <v>0</v>
      </c>
      <c r="BU65" s="217" t="n">
        <f aca="false">ROUND(BU56-Model!BS58,0)</f>
        <v>0</v>
      </c>
      <c r="BV65" s="217" t="n">
        <f aca="false">ROUND(BV56-Model!BT58,0)</f>
        <v>0</v>
      </c>
      <c r="BW65" s="217" t="n">
        <f aca="false">ROUND(BW56-Model!BU58,0)</f>
        <v>0</v>
      </c>
      <c r="BX65" s="217" t="n">
        <f aca="false">ROUND(BX56-Model!BV58,0)</f>
        <v>0</v>
      </c>
      <c r="BY65" s="217" t="n">
        <f aca="false">ROUND(BY56-Model!BW58,0)</f>
        <v>0</v>
      </c>
      <c r="BZ65" s="217" t="n">
        <f aca="false">ROUND(BZ56-Model!BX58,0)</f>
        <v>0</v>
      </c>
      <c r="CA65" s="217" t="n">
        <f aca="false">ROUND(CA56-Model!BY58,0)</f>
        <v>0</v>
      </c>
      <c r="CB65" s="217" t="n">
        <f aca="false">ROUND(CB56-Model!BZ58,0)</f>
        <v>0</v>
      </c>
      <c r="CC65" s="217" t="n">
        <f aca="false">ROUND(CC56-Model!CA58,0)</f>
        <v>0</v>
      </c>
      <c r="CD65" s="217" t="n">
        <f aca="false">ROUND(CD56-Model!CB58,0)</f>
        <v>0</v>
      </c>
      <c r="CE65" s="217" t="n">
        <f aca="false">ROUND(CE56-Model!CC58,0)</f>
        <v>0</v>
      </c>
      <c r="CF65" s="217" t="n">
        <f aca="false">ROUND(CF56-Model!CD58,0)</f>
        <v>0</v>
      </c>
      <c r="CG65" s="217" t="n">
        <f aca="false">ROUND(CG56-Model!CE58,0)</f>
        <v>0</v>
      </c>
      <c r="CH65" s="217" t="n">
        <f aca="false">ROUND(CH56-Model!CF58,0)</f>
        <v>0</v>
      </c>
      <c r="CI65" s="217" t="n">
        <f aca="false">ROUND(CI56-Model!CG58,0)</f>
        <v>0</v>
      </c>
      <c r="CJ65" s="217" t="n">
        <f aca="false">ROUND(CJ56-Model!CH58,0)</f>
        <v>0</v>
      </c>
      <c r="CK65" s="217" t="n">
        <f aca="false">ROUND(CK56-Model!CI58,0)</f>
        <v>0</v>
      </c>
      <c r="CL65" s="217" t="n">
        <f aca="false">ROUND(CL56-Model!CJ58,0)</f>
        <v>0</v>
      </c>
      <c r="CM65" s="217" t="n">
        <f aca="false">ROUND(CM56-Model!CK58,0)</f>
        <v>0</v>
      </c>
      <c r="CN65" s="217" t="n">
        <f aca="false">ROUND(CN56-Model!CL58,0)</f>
        <v>0</v>
      </c>
      <c r="CO65" s="217" t="n">
        <f aca="false">ROUND(CO56-Model!CM58,0)</f>
        <v>0</v>
      </c>
      <c r="CP65" s="217" t="n">
        <f aca="false">ROUND(CP56-Model!CN58,0)</f>
        <v>0</v>
      </c>
      <c r="CQ65" s="217" t="n">
        <f aca="false">ROUND(CQ56-Model!CO58,0)</f>
        <v>0</v>
      </c>
      <c r="CR65" s="217" t="n">
        <f aca="false">ROUND(CR56-Model!CP58,0)</f>
        <v>0</v>
      </c>
      <c r="CS65" s="217" t="n">
        <f aca="false">ROUND(CS56-Model!CQ58,0)</f>
        <v>0</v>
      </c>
      <c r="CT65" s="217" t="n">
        <f aca="false">ROUND(CT56-Model!CR58,0)</f>
        <v>0</v>
      </c>
      <c r="CU65" s="217" t="n">
        <f aca="false">ROUND(CU56-Model!CS58,0)</f>
        <v>0</v>
      </c>
      <c r="CV65" s="217" t="n">
        <f aca="false">ROUND(CV56-Model!CT58,0)</f>
        <v>0</v>
      </c>
      <c r="CW65" s="217" t="n">
        <f aca="false">ROUND(CW56-Model!CU58,0)</f>
        <v>0</v>
      </c>
      <c r="CX65" s="217" t="n">
        <f aca="false">ROUND(CX56-Model!CV58,0)</f>
        <v>0</v>
      </c>
      <c r="CY65" s="217" t="n">
        <f aca="false">ROUND(CY56-Model!CW58,0)</f>
        <v>0</v>
      </c>
      <c r="CZ65" s="217" t="n">
        <f aca="false">ROUND(CZ56-Model!CX58,0)</f>
        <v>0</v>
      </c>
      <c r="DA65" s="217" t="n">
        <f aca="false">ROUND(DA56-Model!CY58,0)</f>
        <v>0</v>
      </c>
      <c r="DB65" s="217" t="n">
        <f aca="false">ROUND(DB56-Model!CZ58,0)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09375" defaultRowHeight="13.5" customHeight="false"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18" t="s">
        <v>641</v>
      </c>
    </row>
    <row r="2" customFormat="false" ht="13.5" hidden="false" customHeight="true" outlineLevel="0" collapsed="false">
      <c r="A2" s="219" t="s">
        <v>642</v>
      </c>
    </row>
    <row r="3" customFormat="false" ht="13.5" hidden="false" customHeight="true" outlineLevel="0" collapsed="false">
      <c r="C3" s="220" t="s">
        <v>643</v>
      </c>
      <c r="D3" s="220" t="s">
        <v>644</v>
      </c>
    </row>
    <row r="4" customFormat="false" ht="13.5" hidden="false" customHeight="true" outlineLevel="0" collapsed="false">
      <c r="A4" s="123" t="s">
        <v>645</v>
      </c>
      <c r="C4" s="118" t="n">
        <f aca="false">COUNTIFS($F$9:$F$100,"GC",$L$9:$L$100,"Current*")-COUNTIFS($A$9:$A$100,"*(Corporate)*",$F$9:$F$100,"GC")</f>
        <v>26</v>
      </c>
      <c r="D4" s="221" t="n">
        <f aca="false">SUMIFS($C$9:$C$100,$F$9:$F$100,"GC",$L$9:$L$100,"Current*")</f>
        <v>3540572</v>
      </c>
    </row>
    <row r="5" customFormat="false" ht="13.5" hidden="false" customHeight="true" outlineLevel="0" collapsed="false">
      <c r="A5" s="123" t="s">
        <v>646</v>
      </c>
      <c r="C5" s="118" t="n">
        <f aca="false">COUNTIFS($F$9:$F$100,"SixPeak",$L$9:$L$100,"Current*")</f>
        <v>8</v>
      </c>
      <c r="D5" s="221" t="n">
        <f aca="false">SUMIFS($C$9:$C$100,$F$9:$F$100,"SixPeak",$L$9:$L$100,"Current*")</f>
        <v>1794500</v>
      </c>
    </row>
    <row r="6" customFormat="false" ht="13.5" hidden="false" customHeight="true" outlineLevel="0" collapsed="false">
      <c r="A6" s="222" t="s">
        <v>647</v>
      </c>
    </row>
    <row r="8" customFormat="false" ht="27" hidden="false" customHeight="true" outlineLevel="0" collapsed="false">
      <c r="A8" s="187" t="s">
        <v>648</v>
      </c>
      <c r="B8" s="187" t="s">
        <v>649</v>
      </c>
      <c r="C8" s="187" t="s">
        <v>650</v>
      </c>
      <c r="D8" s="187" t="s">
        <v>651</v>
      </c>
      <c r="E8" s="187" t="s">
        <v>591</v>
      </c>
      <c r="F8" s="187" t="s">
        <v>600</v>
      </c>
      <c r="G8" s="187" t="s">
        <v>595</v>
      </c>
      <c r="H8" s="187" t="s">
        <v>652</v>
      </c>
      <c r="I8" s="187" t="s">
        <v>653</v>
      </c>
      <c r="J8" s="187" t="s">
        <v>654</v>
      </c>
      <c r="K8" s="187" t="s">
        <v>609</v>
      </c>
      <c r="L8" s="187" t="s">
        <v>655</v>
      </c>
      <c r="M8" s="187" t="s">
        <v>656</v>
      </c>
      <c r="N8" s="187" t="s">
        <v>657</v>
      </c>
      <c r="O8" s="187" t="s">
        <v>658</v>
      </c>
      <c r="P8" s="187" t="s">
        <v>659</v>
      </c>
      <c r="Q8" s="187" t="s">
        <v>660</v>
      </c>
    </row>
    <row r="9" customFormat="false" ht="13.5" hidden="false" customHeight="true" outlineLevel="0" collapsed="false">
      <c r="A9" s="223" t="s">
        <v>661</v>
      </c>
      <c r="B9" s="224"/>
      <c r="C9" s="224"/>
      <c r="D9" s="224"/>
      <c r="E9" s="224"/>
      <c r="F9" s="224"/>
      <c r="G9" s="224"/>
      <c r="H9" s="224"/>
      <c r="I9" s="224"/>
      <c r="J9" s="224"/>
      <c r="K9" s="224"/>
      <c r="L9" s="224"/>
      <c r="M9" s="224"/>
      <c r="N9" s="224"/>
      <c r="O9" s="224"/>
      <c r="P9" s="224"/>
    </row>
    <row r="10" customFormat="false" ht="13.5" hidden="false" customHeight="true" outlineLevel="0" collapsed="false">
      <c r="A10" s="109" t="s">
        <v>662</v>
      </c>
      <c r="B10" s="109" t="s">
        <v>663</v>
      </c>
      <c r="C10" s="225" t="n">
        <v>70000</v>
      </c>
      <c r="D10" s="225" t="n">
        <f aca="false">C10/12</f>
        <v>5833.33333333333</v>
      </c>
      <c r="E10" s="194" t="n">
        <v>1</v>
      </c>
      <c r="F10" s="109" t="s">
        <v>664</v>
      </c>
      <c r="G10" s="194" t="s">
        <v>612</v>
      </c>
      <c r="H10" s="226" t="n">
        <v>0</v>
      </c>
      <c r="I10" s="226" t="n">
        <v>0</v>
      </c>
      <c r="J10" s="109" t="s">
        <v>665</v>
      </c>
      <c r="K10" s="194"/>
      <c r="L10" s="109" t="s">
        <v>666</v>
      </c>
      <c r="M10" s="109"/>
      <c r="N10" s="109"/>
      <c r="O10" s="109" t="s">
        <v>664</v>
      </c>
      <c r="P10" s="109" t="s">
        <v>667</v>
      </c>
      <c r="Q10" s="1" t="s">
        <v>612</v>
      </c>
    </row>
    <row r="11" customFormat="false" ht="13.5" hidden="false" customHeight="true" outlineLevel="0" collapsed="false">
      <c r="A11" s="227" t="s">
        <v>668</v>
      </c>
      <c r="B11" s="227" t="s">
        <v>669</v>
      </c>
      <c r="C11" s="228" t="n">
        <v>80000</v>
      </c>
      <c r="D11" s="228" t="n">
        <f aca="false">C11/12</f>
        <v>6666.66666666667</v>
      </c>
      <c r="E11" s="229" t="n">
        <v>1</v>
      </c>
      <c r="F11" s="227" t="s">
        <v>664</v>
      </c>
      <c r="G11" s="229" t="s">
        <v>612</v>
      </c>
      <c r="H11" s="230" t="n">
        <v>0.5</v>
      </c>
      <c r="I11" s="230" t="n">
        <v>0</v>
      </c>
      <c r="J11" s="227" t="s">
        <v>665</v>
      </c>
      <c r="K11" s="229"/>
      <c r="L11" s="227" t="s">
        <v>666</v>
      </c>
      <c r="M11" s="227"/>
      <c r="N11" s="227"/>
      <c r="O11" s="227" t="s">
        <v>664</v>
      </c>
      <c r="P11" s="227" t="s">
        <v>667</v>
      </c>
      <c r="Q11" s="1" t="s">
        <v>612</v>
      </c>
    </row>
    <row r="12" customFormat="false" ht="13.5" hidden="false" customHeight="true" outlineLevel="0" collapsed="false">
      <c r="A12" s="109" t="s">
        <v>670</v>
      </c>
      <c r="B12" s="109" t="s">
        <v>671</v>
      </c>
      <c r="C12" s="225" t="n">
        <v>25000</v>
      </c>
      <c r="D12" s="225" t="n">
        <f aca="false">C12/12</f>
        <v>2083.33333333333</v>
      </c>
      <c r="E12" s="194" t="n">
        <v>1</v>
      </c>
      <c r="F12" s="109" t="s">
        <v>664</v>
      </c>
      <c r="G12" s="194" t="s">
        <v>612</v>
      </c>
      <c r="H12" s="226" t="n">
        <v>0.5</v>
      </c>
      <c r="I12" s="226" t="n">
        <v>0</v>
      </c>
      <c r="J12" s="109" t="s">
        <v>665</v>
      </c>
      <c r="K12" s="194" t="n">
        <v>9</v>
      </c>
      <c r="L12" s="109" t="s">
        <v>672</v>
      </c>
      <c r="M12" s="109"/>
      <c r="N12" s="109" t="s">
        <v>673</v>
      </c>
      <c r="O12" s="109" t="s">
        <v>664</v>
      </c>
      <c r="P12" s="109" t="s">
        <v>667</v>
      </c>
      <c r="Q12" s="1" t="s">
        <v>612</v>
      </c>
    </row>
    <row r="13" customFormat="false" ht="13.5" hidden="false" customHeight="true" outlineLevel="0" collapsed="false">
      <c r="A13" s="227" t="s">
        <v>674</v>
      </c>
      <c r="B13" s="227" t="s">
        <v>671</v>
      </c>
      <c r="C13" s="228" t="n">
        <v>10000</v>
      </c>
      <c r="D13" s="228" t="n">
        <f aca="false">C13/12</f>
        <v>833.333333333333</v>
      </c>
      <c r="E13" s="229" t="n">
        <v>1</v>
      </c>
      <c r="F13" s="227" t="s">
        <v>664</v>
      </c>
      <c r="G13" s="229" t="s">
        <v>612</v>
      </c>
      <c r="H13" s="230" t="n">
        <v>0</v>
      </c>
      <c r="I13" s="230" t="n">
        <v>0</v>
      </c>
      <c r="J13" s="227" t="s">
        <v>665</v>
      </c>
      <c r="K13" s="229"/>
      <c r="L13" s="227" t="s">
        <v>666</v>
      </c>
      <c r="M13" s="227"/>
      <c r="N13" s="227"/>
      <c r="O13" s="227" t="s">
        <v>664</v>
      </c>
      <c r="P13" s="227" t="s">
        <v>667</v>
      </c>
      <c r="Q13" s="1" t="s">
        <v>612</v>
      </c>
    </row>
    <row r="14" customFormat="false" ht="13.5" hidden="false" customHeight="true" outlineLevel="0" collapsed="false">
      <c r="A14" s="109" t="s">
        <v>675</v>
      </c>
      <c r="B14" s="109" t="s">
        <v>676</v>
      </c>
      <c r="C14" s="225" t="n">
        <v>20000</v>
      </c>
      <c r="D14" s="225" t="n">
        <f aca="false">C14/12</f>
        <v>1666.66666666667</v>
      </c>
      <c r="E14" s="194" t="n">
        <v>1</v>
      </c>
      <c r="F14" s="109" t="s">
        <v>664</v>
      </c>
      <c r="G14" s="194" t="s">
        <v>612</v>
      </c>
      <c r="H14" s="226" t="n">
        <v>0</v>
      </c>
      <c r="I14" s="226" t="n">
        <v>0</v>
      </c>
      <c r="J14" s="109" t="s">
        <v>665</v>
      </c>
      <c r="K14" s="194"/>
      <c r="L14" s="109" t="s">
        <v>666</v>
      </c>
      <c r="M14" s="109"/>
      <c r="N14" s="109"/>
      <c r="O14" s="109" t="s">
        <v>664</v>
      </c>
      <c r="P14" s="109" t="s">
        <v>667</v>
      </c>
      <c r="Q14" s="1" t="s">
        <v>612</v>
      </c>
    </row>
    <row r="16" customFormat="false" ht="13.5" hidden="false" customHeight="true" outlineLevel="0" collapsed="false">
      <c r="A16" s="223" t="s">
        <v>677</v>
      </c>
      <c r="B16" s="224"/>
      <c r="C16" s="224"/>
      <c r="D16" s="224"/>
      <c r="E16" s="224"/>
      <c r="F16" s="224"/>
      <c r="G16" s="224"/>
      <c r="H16" s="224"/>
      <c r="I16" s="224"/>
      <c r="J16" s="224"/>
      <c r="K16" s="224"/>
      <c r="L16" s="224"/>
      <c r="M16" s="224"/>
      <c r="N16" s="224"/>
      <c r="O16" s="224"/>
      <c r="P16" s="224"/>
    </row>
    <row r="17" customFormat="false" ht="13.5" hidden="false" customHeight="true" outlineLevel="0" collapsed="false">
      <c r="A17" s="109" t="s">
        <v>678</v>
      </c>
      <c r="B17" s="109" t="s">
        <v>669</v>
      </c>
      <c r="C17" s="225" t="n">
        <v>320000</v>
      </c>
      <c r="D17" s="225" t="n">
        <f aca="false">C17/12</f>
        <v>26666.6666666667</v>
      </c>
      <c r="E17" s="194" t="n">
        <v>1</v>
      </c>
      <c r="F17" s="109" t="s">
        <v>664</v>
      </c>
      <c r="G17" s="194" t="s">
        <v>612</v>
      </c>
      <c r="H17" s="226" t="n">
        <v>0.5</v>
      </c>
      <c r="I17" s="226" t="n">
        <v>0</v>
      </c>
      <c r="J17" s="109" t="s">
        <v>679</v>
      </c>
      <c r="K17" s="194"/>
      <c r="L17" s="109" t="s">
        <v>666</v>
      </c>
      <c r="M17" s="109"/>
      <c r="N17" s="109"/>
      <c r="O17" s="109" t="s">
        <v>664</v>
      </c>
      <c r="P17" s="109" t="s">
        <v>667</v>
      </c>
      <c r="Q17" s="1" t="s">
        <v>612</v>
      </c>
    </row>
    <row r="18" customFormat="false" ht="13.5" hidden="false" customHeight="true" outlineLevel="0" collapsed="false">
      <c r="A18" s="227" t="s">
        <v>680</v>
      </c>
      <c r="B18" s="227" t="s">
        <v>671</v>
      </c>
      <c r="C18" s="228" t="n">
        <v>225000</v>
      </c>
      <c r="D18" s="228" t="n">
        <f aca="false">C18/12</f>
        <v>18750</v>
      </c>
      <c r="E18" s="229" t="n">
        <v>1</v>
      </c>
      <c r="F18" s="227" t="s">
        <v>664</v>
      </c>
      <c r="G18" s="229" t="s">
        <v>612</v>
      </c>
      <c r="H18" s="230" t="n">
        <v>0.5</v>
      </c>
      <c r="I18" s="230" t="n">
        <v>0</v>
      </c>
      <c r="J18" s="227" t="s">
        <v>679</v>
      </c>
      <c r="K18" s="229" t="n">
        <v>9</v>
      </c>
      <c r="L18" s="227" t="s">
        <v>672</v>
      </c>
      <c r="M18" s="227"/>
      <c r="N18" s="227" t="s">
        <v>673</v>
      </c>
      <c r="O18" s="227" t="s">
        <v>664</v>
      </c>
      <c r="P18" s="227" t="s">
        <v>667</v>
      </c>
      <c r="Q18" s="1" t="s">
        <v>612</v>
      </c>
    </row>
    <row r="19" customFormat="false" ht="13.5" hidden="false" customHeight="true" outlineLevel="0" collapsed="false">
      <c r="A19" s="109" t="s">
        <v>681</v>
      </c>
      <c r="B19" s="109" t="s">
        <v>671</v>
      </c>
      <c r="C19" s="225" t="n">
        <v>180000</v>
      </c>
      <c r="D19" s="225" t="n">
        <f aca="false">C19/12</f>
        <v>15000</v>
      </c>
      <c r="E19" s="194" t="n">
        <v>1</v>
      </c>
      <c r="F19" s="109" t="s">
        <v>664</v>
      </c>
      <c r="G19" s="194" t="s">
        <v>612</v>
      </c>
      <c r="H19" s="226" t="n">
        <v>0</v>
      </c>
      <c r="I19" s="226" t="n">
        <v>0</v>
      </c>
      <c r="J19" s="109" t="s">
        <v>679</v>
      </c>
      <c r="K19" s="194"/>
      <c r="L19" s="109" t="s">
        <v>666</v>
      </c>
      <c r="M19" s="109"/>
      <c r="N19" s="109"/>
      <c r="O19" s="109" t="s">
        <v>664</v>
      </c>
      <c r="P19" s="109" t="s">
        <v>682</v>
      </c>
      <c r="Q19" s="1" t="s">
        <v>612</v>
      </c>
    </row>
    <row r="20" customFormat="false" ht="13.5" hidden="false" customHeight="true" outlineLevel="0" collapsed="false">
      <c r="A20" s="227" t="s">
        <v>683</v>
      </c>
      <c r="B20" s="227" t="s">
        <v>676</v>
      </c>
      <c r="C20" s="228" t="n">
        <v>180000</v>
      </c>
      <c r="D20" s="228" t="n">
        <f aca="false">C20/12</f>
        <v>15000</v>
      </c>
      <c r="E20" s="229" t="n">
        <v>1</v>
      </c>
      <c r="F20" s="227" t="s">
        <v>664</v>
      </c>
      <c r="G20" s="229" t="s">
        <v>612</v>
      </c>
      <c r="H20" s="230" t="n">
        <v>0</v>
      </c>
      <c r="I20" s="230" t="n">
        <v>0</v>
      </c>
      <c r="J20" s="227" t="s">
        <v>679</v>
      </c>
      <c r="K20" s="229"/>
      <c r="L20" s="227" t="s">
        <v>666</v>
      </c>
      <c r="M20" s="227"/>
      <c r="N20" s="227"/>
      <c r="O20" s="227" t="s">
        <v>664</v>
      </c>
      <c r="P20" s="227" t="s">
        <v>682</v>
      </c>
      <c r="Q20" s="1" t="s">
        <v>612</v>
      </c>
    </row>
    <row r="21" customFormat="false" ht="13.5" hidden="false" customHeight="true" outlineLevel="0" collapsed="false">
      <c r="A21" s="109" t="s">
        <v>684</v>
      </c>
      <c r="B21" s="109" t="s">
        <v>685</v>
      </c>
      <c r="C21" s="225" t="n">
        <v>105000</v>
      </c>
      <c r="D21" s="225" t="n">
        <f aca="false">C21/12</f>
        <v>8750</v>
      </c>
      <c r="E21" s="194" t="n">
        <v>3</v>
      </c>
      <c r="F21" s="109" t="s">
        <v>664</v>
      </c>
      <c r="G21" s="194" t="s">
        <v>612</v>
      </c>
      <c r="H21" s="226" t="n">
        <v>0</v>
      </c>
      <c r="I21" s="226" t="n">
        <v>0</v>
      </c>
      <c r="J21" s="109" t="s">
        <v>679</v>
      </c>
      <c r="K21" s="194"/>
      <c r="L21" s="109" t="s">
        <v>666</v>
      </c>
      <c r="M21" s="109"/>
      <c r="N21" s="109"/>
      <c r="O21" s="109" t="s">
        <v>664</v>
      </c>
      <c r="P21" s="109" t="s">
        <v>686</v>
      </c>
      <c r="Q21" s="1" t="s">
        <v>612</v>
      </c>
    </row>
    <row r="22" customFormat="false" ht="13.5" hidden="false" customHeight="true" outlineLevel="0" collapsed="false">
      <c r="A22" s="227" t="s">
        <v>687</v>
      </c>
      <c r="B22" s="227" t="s">
        <v>688</v>
      </c>
      <c r="C22" s="228" t="n">
        <v>155000</v>
      </c>
      <c r="D22" s="228" t="n">
        <f aca="false">C22/12</f>
        <v>12916.6666666667</v>
      </c>
      <c r="E22" s="229" t="n">
        <v>1</v>
      </c>
      <c r="F22" s="227" t="s">
        <v>664</v>
      </c>
      <c r="G22" s="229" t="s">
        <v>612</v>
      </c>
      <c r="H22" s="230" t="n">
        <v>0</v>
      </c>
      <c r="I22" s="230" t="n">
        <v>0</v>
      </c>
      <c r="J22" s="227" t="s">
        <v>679</v>
      </c>
      <c r="K22" s="229"/>
      <c r="L22" s="227" t="s">
        <v>666</v>
      </c>
      <c r="M22" s="227"/>
      <c r="N22" s="227"/>
      <c r="O22" s="227" t="s">
        <v>664</v>
      </c>
      <c r="P22" s="227" t="s">
        <v>682</v>
      </c>
      <c r="Q22" s="1" t="s">
        <v>612</v>
      </c>
    </row>
    <row r="23" customFormat="false" ht="13.5" hidden="false" customHeight="true" outlineLevel="0" collapsed="false">
      <c r="A23" s="109" t="s">
        <v>689</v>
      </c>
      <c r="B23" s="109" t="s">
        <v>690</v>
      </c>
      <c r="C23" s="225" t="n">
        <v>185000</v>
      </c>
      <c r="D23" s="225" t="n">
        <f aca="false">C23/12</f>
        <v>15416.6666666667</v>
      </c>
      <c r="E23" s="194" t="n">
        <v>1</v>
      </c>
      <c r="F23" s="109" t="s">
        <v>664</v>
      </c>
      <c r="G23" s="194" t="s">
        <v>612</v>
      </c>
      <c r="H23" s="226" t="n">
        <v>0</v>
      </c>
      <c r="I23" s="226" t="n">
        <v>0</v>
      </c>
      <c r="J23" s="109" t="s">
        <v>679</v>
      </c>
      <c r="K23" s="194"/>
      <c r="L23" s="109" t="s">
        <v>666</v>
      </c>
      <c r="M23" s="109"/>
      <c r="N23" s="109"/>
      <c r="O23" s="109" t="s">
        <v>664</v>
      </c>
      <c r="P23" s="109" t="s">
        <v>691</v>
      </c>
      <c r="Q23" s="1" t="s">
        <v>612</v>
      </c>
    </row>
    <row r="24" customFormat="false" ht="13.5" hidden="false" customHeight="true" outlineLevel="0" collapsed="false">
      <c r="A24" s="227" t="s">
        <v>692</v>
      </c>
      <c r="B24" s="227" t="s">
        <v>693</v>
      </c>
      <c r="C24" s="228" t="n">
        <v>90000</v>
      </c>
      <c r="D24" s="228" t="n">
        <f aca="false">C24/12</f>
        <v>7500</v>
      </c>
      <c r="E24" s="229" t="n">
        <v>3</v>
      </c>
      <c r="F24" s="227" t="s">
        <v>664</v>
      </c>
      <c r="G24" s="229" t="s">
        <v>612</v>
      </c>
      <c r="H24" s="230" t="n">
        <v>0</v>
      </c>
      <c r="I24" s="230" t="n">
        <v>0</v>
      </c>
      <c r="J24" s="227" t="s">
        <v>679</v>
      </c>
      <c r="K24" s="229"/>
      <c r="L24" s="227" t="s">
        <v>666</v>
      </c>
      <c r="M24" s="227"/>
      <c r="N24" s="227"/>
      <c r="O24" s="227" t="s">
        <v>664</v>
      </c>
      <c r="P24" s="227" t="s">
        <v>694</v>
      </c>
      <c r="Q24" s="1" t="s">
        <v>612</v>
      </c>
    </row>
    <row r="25" customFormat="false" ht="13.5" hidden="false" customHeight="true" outlineLevel="0" collapsed="false">
      <c r="A25" s="109" t="s">
        <v>695</v>
      </c>
      <c r="B25" s="109" t="s">
        <v>693</v>
      </c>
      <c r="C25" s="225" t="n">
        <v>97500</v>
      </c>
      <c r="D25" s="225" t="n">
        <f aca="false">C25/12</f>
        <v>8125</v>
      </c>
      <c r="E25" s="194" t="n">
        <v>1</v>
      </c>
      <c r="F25" s="109" t="s">
        <v>664</v>
      </c>
      <c r="G25" s="194" t="s">
        <v>612</v>
      </c>
      <c r="H25" s="226" t="n">
        <v>0</v>
      </c>
      <c r="I25" s="226" t="n">
        <v>0</v>
      </c>
      <c r="J25" s="109" t="s">
        <v>679</v>
      </c>
      <c r="K25" s="194"/>
      <c r="L25" s="109" t="s">
        <v>666</v>
      </c>
      <c r="M25" s="109"/>
      <c r="N25" s="109"/>
      <c r="O25" s="109" t="s">
        <v>664</v>
      </c>
      <c r="P25" s="109" t="s">
        <v>694</v>
      </c>
      <c r="Q25" s="1" t="s">
        <v>612</v>
      </c>
    </row>
    <row r="26" customFormat="false" ht="13.5" hidden="false" customHeight="true" outlineLevel="0" collapsed="false">
      <c r="A26" s="227" t="s">
        <v>696</v>
      </c>
      <c r="B26" s="227" t="s">
        <v>690</v>
      </c>
      <c r="C26" s="228" t="n">
        <v>150000</v>
      </c>
      <c r="D26" s="228" t="n">
        <f aca="false">C26/12</f>
        <v>12500</v>
      </c>
      <c r="E26" s="229" t="n">
        <v>1</v>
      </c>
      <c r="F26" s="227" t="s">
        <v>664</v>
      </c>
      <c r="G26" s="229" t="s">
        <v>612</v>
      </c>
      <c r="H26" s="230" t="n">
        <v>0</v>
      </c>
      <c r="I26" s="230" t="n">
        <v>0</v>
      </c>
      <c r="J26" s="227" t="s">
        <v>679</v>
      </c>
      <c r="K26" s="229"/>
      <c r="L26" s="227" t="s">
        <v>666</v>
      </c>
      <c r="M26" s="227"/>
      <c r="N26" s="227"/>
      <c r="O26" s="227" t="s">
        <v>664</v>
      </c>
      <c r="P26" s="227" t="s">
        <v>691</v>
      </c>
      <c r="Q26" s="1" t="s">
        <v>612</v>
      </c>
    </row>
    <row r="27" customFormat="false" ht="13.5" hidden="false" customHeight="true" outlineLevel="0" collapsed="false">
      <c r="A27" s="109" t="s">
        <v>697</v>
      </c>
      <c r="B27" s="109" t="s">
        <v>690</v>
      </c>
      <c r="C27" s="225" t="n">
        <v>150000</v>
      </c>
      <c r="D27" s="225" t="n">
        <f aca="false">C27/12</f>
        <v>12500</v>
      </c>
      <c r="E27" s="194" t="n">
        <v>1</v>
      </c>
      <c r="F27" s="109" t="s">
        <v>664</v>
      </c>
      <c r="G27" s="194" t="s">
        <v>612</v>
      </c>
      <c r="H27" s="226" t="n">
        <v>0</v>
      </c>
      <c r="I27" s="226" t="n">
        <v>0</v>
      </c>
      <c r="J27" s="109" t="s">
        <v>679</v>
      </c>
      <c r="K27" s="194"/>
      <c r="L27" s="109" t="s">
        <v>666</v>
      </c>
      <c r="M27" s="109"/>
      <c r="N27" s="109"/>
      <c r="O27" s="109" t="s">
        <v>664</v>
      </c>
      <c r="P27" s="109" t="s">
        <v>691</v>
      </c>
      <c r="Q27" s="1" t="s">
        <v>612</v>
      </c>
    </row>
    <row r="28" customFormat="false" ht="13.5" hidden="false" customHeight="true" outlineLevel="0" collapsed="false">
      <c r="A28" s="227" t="s">
        <v>698</v>
      </c>
      <c r="B28" s="227" t="s">
        <v>690</v>
      </c>
      <c r="C28" s="228" t="n">
        <v>170000</v>
      </c>
      <c r="D28" s="228" t="n">
        <f aca="false">C28/12</f>
        <v>14166.6666666667</v>
      </c>
      <c r="E28" s="229" t="n">
        <v>2</v>
      </c>
      <c r="F28" s="227" t="s">
        <v>664</v>
      </c>
      <c r="G28" s="229" t="s">
        <v>612</v>
      </c>
      <c r="H28" s="230" t="n">
        <v>0</v>
      </c>
      <c r="I28" s="230" t="n">
        <v>0</v>
      </c>
      <c r="J28" s="227" t="s">
        <v>679</v>
      </c>
      <c r="K28" s="229"/>
      <c r="L28" s="227" t="s">
        <v>666</v>
      </c>
      <c r="M28" s="227"/>
      <c r="N28" s="227"/>
      <c r="O28" s="227" t="s">
        <v>664</v>
      </c>
      <c r="P28" s="227" t="s">
        <v>691</v>
      </c>
      <c r="Q28" s="1" t="s">
        <v>612</v>
      </c>
    </row>
    <row r="29" customFormat="false" ht="13.5" hidden="false" customHeight="true" outlineLevel="0" collapsed="false">
      <c r="A29" s="109" t="s">
        <v>699</v>
      </c>
      <c r="B29" s="109" t="s">
        <v>690</v>
      </c>
      <c r="C29" s="225" t="n">
        <v>170000</v>
      </c>
      <c r="D29" s="225" t="n">
        <f aca="false">C29/12</f>
        <v>14166.6666666667</v>
      </c>
      <c r="E29" s="194" t="n">
        <v>4</v>
      </c>
      <c r="F29" s="109" t="s">
        <v>664</v>
      </c>
      <c r="G29" s="194" t="s">
        <v>612</v>
      </c>
      <c r="H29" s="226" t="n">
        <v>0</v>
      </c>
      <c r="I29" s="226" t="n">
        <v>0</v>
      </c>
      <c r="J29" s="109" t="s">
        <v>679</v>
      </c>
      <c r="K29" s="194"/>
      <c r="L29" s="109" t="s">
        <v>666</v>
      </c>
      <c r="M29" s="109"/>
      <c r="N29" s="109"/>
      <c r="O29" s="109" t="s">
        <v>664</v>
      </c>
      <c r="P29" s="109" t="s">
        <v>691</v>
      </c>
      <c r="Q29" s="1" t="s">
        <v>612</v>
      </c>
    </row>
    <row r="30" customFormat="false" ht="13.5" hidden="false" customHeight="true" outlineLevel="0" collapsed="false">
      <c r="A30" s="227" t="s">
        <v>700</v>
      </c>
      <c r="B30" s="227" t="s">
        <v>690</v>
      </c>
      <c r="C30" s="228" t="n">
        <v>130000</v>
      </c>
      <c r="D30" s="228" t="n">
        <f aca="false">C30/12</f>
        <v>10833.3333333333</v>
      </c>
      <c r="E30" s="229" t="n">
        <v>5</v>
      </c>
      <c r="F30" s="227" t="s">
        <v>664</v>
      </c>
      <c r="G30" s="229" t="s">
        <v>612</v>
      </c>
      <c r="H30" s="230" t="n">
        <v>0</v>
      </c>
      <c r="I30" s="230" t="n">
        <v>0</v>
      </c>
      <c r="J30" s="227" t="s">
        <v>679</v>
      </c>
      <c r="K30" s="229"/>
      <c r="L30" s="227" t="s">
        <v>666</v>
      </c>
      <c r="M30" s="227"/>
      <c r="N30" s="227"/>
      <c r="O30" s="227" t="s">
        <v>664</v>
      </c>
      <c r="P30" s="227" t="s">
        <v>691</v>
      </c>
      <c r="Q30" s="1" t="s">
        <v>612</v>
      </c>
    </row>
    <row r="31" customFormat="false" ht="13.5" hidden="false" customHeight="true" outlineLevel="0" collapsed="false">
      <c r="A31" s="109" t="s">
        <v>701</v>
      </c>
      <c r="B31" s="109" t="s">
        <v>690</v>
      </c>
      <c r="C31" s="225" t="n">
        <v>160000</v>
      </c>
      <c r="D31" s="225" t="n">
        <f aca="false">C31/12</f>
        <v>13333.3333333333</v>
      </c>
      <c r="E31" s="194" t="n">
        <v>6</v>
      </c>
      <c r="F31" s="109" t="s">
        <v>664</v>
      </c>
      <c r="G31" s="194" t="s">
        <v>612</v>
      </c>
      <c r="H31" s="226" t="n">
        <v>0</v>
      </c>
      <c r="I31" s="226" t="n">
        <v>0</v>
      </c>
      <c r="J31" s="109" t="s">
        <v>679</v>
      </c>
      <c r="K31" s="194"/>
      <c r="L31" s="109" t="s">
        <v>666</v>
      </c>
      <c r="M31" s="109" t="s">
        <v>15</v>
      </c>
      <c r="N31" s="109" t="s">
        <v>702</v>
      </c>
      <c r="O31" s="109" t="s">
        <v>664</v>
      </c>
      <c r="P31" s="109" t="s">
        <v>691</v>
      </c>
      <c r="Q31" s="1" t="s">
        <v>611</v>
      </c>
    </row>
    <row r="32" customFormat="false" ht="13.5" hidden="false" customHeight="true" outlineLevel="0" collapsed="false">
      <c r="A32" s="227" t="s">
        <v>703</v>
      </c>
      <c r="B32" s="227" t="s">
        <v>704</v>
      </c>
      <c r="C32" s="228" t="n">
        <v>75000</v>
      </c>
      <c r="D32" s="228" t="n">
        <f aca="false">C32/12</f>
        <v>6250</v>
      </c>
      <c r="E32" s="229" t="n">
        <v>1</v>
      </c>
      <c r="F32" s="227" t="s">
        <v>664</v>
      </c>
      <c r="G32" s="229" t="s">
        <v>612</v>
      </c>
      <c r="H32" s="230" t="n">
        <v>0</v>
      </c>
      <c r="I32" s="230" t="n">
        <v>0</v>
      </c>
      <c r="J32" s="227" t="s">
        <v>679</v>
      </c>
      <c r="K32" s="229"/>
      <c r="L32" s="227" t="s">
        <v>666</v>
      </c>
      <c r="M32" s="227"/>
      <c r="N32" s="227"/>
      <c r="O32" s="227" t="s">
        <v>664</v>
      </c>
      <c r="P32" s="227" t="s">
        <v>686</v>
      </c>
      <c r="Q32" s="1" t="s">
        <v>612</v>
      </c>
    </row>
    <row r="33" customFormat="false" ht="13.5" hidden="false" customHeight="true" outlineLevel="0" collapsed="false">
      <c r="A33" s="109" t="s">
        <v>705</v>
      </c>
      <c r="B33" s="109" t="s">
        <v>685</v>
      </c>
      <c r="C33" s="225" t="n">
        <v>105000</v>
      </c>
      <c r="D33" s="225" t="n">
        <f aca="false">C33/12</f>
        <v>8750</v>
      </c>
      <c r="E33" s="194" t="n">
        <v>3</v>
      </c>
      <c r="F33" s="109" t="s">
        <v>664</v>
      </c>
      <c r="G33" s="194" t="s">
        <v>612</v>
      </c>
      <c r="H33" s="226" t="n">
        <v>0</v>
      </c>
      <c r="I33" s="226" t="n">
        <v>0</v>
      </c>
      <c r="J33" s="109" t="s">
        <v>679</v>
      </c>
      <c r="K33" s="194"/>
      <c r="L33" s="109" t="s">
        <v>666</v>
      </c>
      <c r="M33" s="109"/>
      <c r="N33" s="109"/>
      <c r="O33" s="109" t="s">
        <v>664</v>
      </c>
      <c r="P33" s="109" t="s">
        <v>686</v>
      </c>
      <c r="Q33" s="1" t="s">
        <v>612</v>
      </c>
    </row>
    <row r="34" customFormat="false" ht="13.5" hidden="false" customHeight="true" outlineLevel="0" collapsed="false">
      <c r="A34" s="227" t="s">
        <v>706</v>
      </c>
      <c r="B34" s="227" t="s">
        <v>707</v>
      </c>
      <c r="C34" s="228" t="n">
        <v>62400</v>
      </c>
      <c r="D34" s="228" t="n">
        <f aca="false">C34/12</f>
        <v>5200</v>
      </c>
      <c r="E34" s="229" t="n">
        <v>1</v>
      </c>
      <c r="F34" s="227" t="s">
        <v>664</v>
      </c>
      <c r="G34" s="229" t="s">
        <v>612</v>
      </c>
      <c r="H34" s="230" t="n">
        <v>0</v>
      </c>
      <c r="I34" s="230" t="n">
        <v>0</v>
      </c>
      <c r="J34" s="227" t="s">
        <v>679</v>
      </c>
      <c r="K34" s="229"/>
      <c r="L34" s="227" t="s">
        <v>666</v>
      </c>
      <c r="M34" s="227"/>
      <c r="N34" s="227"/>
      <c r="O34" s="227" t="s">
        <v>664</v>
      </c>
      <c r="P34" s="227" t="s">
        <v>708</v>
      </c>
      <c r="Q34" s="1" t="s">
        <v>612</v>
      </c>
    </row>
    <row r="35" customFormat="false" ht="13.5" hidden="false" customHeight="true" outlineLevel="0" collapsed="false">
      <c r="A35" s="109" t="s">
        <v>709</v>
      </c>
      <c r="B35" s="109" t="s">
        <v>710</v>
      </c>
      <c r="C35" s="225" t="n">
        <v>115000</v>
      </c>
      <c r="D35" s="225" t="n">
        <f aca="false">C35/12</f>
        <v>9583.33333333333</v>
      </c>
      <c r="E35" s="194" t="n">
        <v>1</v>
      </c>
      <c r="F35" s="109" t="s">
        <v>664</v>
      </c>
      <c r="G35" s="194" t="s">
        <v>612</v>
      </c>
      <c r="H35" s="226" t="n">
        <v>0</v>
      </c>
      <c r="I35" s="226" t="n">
        <v>0</v>
      </c>
      <c r="J35" s="109" t="s">
        <v>679</v>
      </c>
      <c r="K35" s="194"/>
      <c r="L35" s="109" t="s">
        <v>666</v>
      </c>
      <c r="M35" s="109"/>
      <c r="N35" s="109"/>
      <c r="O35" s="109" t="s">
        <v>664</v>
      </c>
      <c r="P35" s="109" t="s">
        <v>711</v>
      </c>
      <c r="Q35" s="1" t="s">
        <v>612</v>
      </c>
    </row>
    <row r="36" customFormat="false" ht="13.5" hidden="false" customHeight="true" outlineLevel="0" collapsed="false">
      <c r="A36" s="227" t="s">
        <v>712</v>
      </c>
      <c r="B36" s="227" t="s">
        <v>713</v>
      </c>
      <c r="C36" s="228" t="n">
        <v>69992</v>
      </c>
      <c r="D36" s="228" t="n">
        <f aca="false">C36/12</f>
        <v>5832.66666666667</v>
      </c>
      <c r="E36" s="229" t="n">
        <v>1</v>
      </c>
      <c r="F36" s="227" t="s">
        <v>664</v>
      </c>
      <c r="G36" s="229" t="s">
        <v>612</v>
      </c>
      <c r="H36" s="230" t="n">
        <v>0</v>
      </c>
      <c r="I36" s="230" t="n">
        <v>0</v>
      </c>
      <c r="J36" s="227" t="s">
        <v>679</v>
      </c>
      <c r="K36" s="229"/>
      <c r="L36" s="227" t="s">
        <v>666</v>
      </c>
      <c r="M36" s="227"/>
      <c r="N36" s="227"/>
      <c r="O36" s="227" t="s">
        <v>664</v>
      </c>
      <c r="P36" s="227" t="s">
        <v>714</v>
      </c>
      <c r="Q36" s="1" t="s">
        <v>612</v>
      </c>
    </row>
    <row r="37" customFormat="false" ht="13.5" hidden="false" customHeight="true" outlineLevel="0" collapsed="false">
      <c r="A37" s="109" t="s">
        <v>715</v>
      </c>
      <c r="B37" s="109" t="s">
        <v>713</v>
      </c>
      <c r="C37" s="225" t="n">
        <v>52000</v>
      </c>
      <c r="D37" s="225" t="n">
        <f aca="false">C37/12</f>
        <v>4333.33333333333</v>
      </c>
      <c r="E37" s="194" t="n">
        <v>1</v>
      </c>
      <c r="F37" s="109" t="s">
        <v>664</v>
      </c>
      <c r="G37" s="194" t="s">
        <v>612</v>
      </c>
      <c r="H37" s="226" t="n">
        <v>0</v>
      </c>
      <c r="I37" s="226" t="n">
        <v>0</v>
      </c>
      <c r="J37" s="109" t="s">
        <v>679</v>
      </c>
      <c r="K37" s="194"/>
      <c r="L37" s="109" t="s">
        <v>666</v>
      </c>
      <c r="M37" s="109"/>
      <c r="N37" s="109"/>
      <c r="O37" s="109" t="s">
        <v>664</v>
      </c>
      <c r="P37" s="109" t="s">
        <v>714</v>
      </c>
      <c r="Q37" s="1" t="s">
        <v>612</v>
      </c>
    </row>
    <row r="38" customFormat="false" ht="13.5" hidden="false" customHeight="true" outlineLevel="0" collapsed="false">
      <c r="A38" s="227" t="s">
        <v>716</v>
      </c>
      <c r="B38" s="227" t="s">
        <v>717</v>
      </c>
      <c r="C38" s="228" t="n">
        <v>43680</v>
      </c>
      <c r="D38" s="228" t="n">
        <f aca="false">C38/12</f>
        <v>3640</v>
      </c>
      <c r="E38" s="229" t="n">
        <v>1</v>
      </c>
      <c r="F38" s="227" t="s">
        <v>664</v>
      </c>
      <c r="G38" s="229" t="s">
        <v>612</v>
      </c>
      <c r="H38" s="230" t="n">
        <v>0</v>
      </c>
      <c r="I38" s="230" t="n">
        <v>0</v>
      </c>
      <c r="J38" s="227" t="s">
        <v>679</v>
      </c>
      <c r="K38" s="229"/>
      <c r="L38" s="227" t="s">
        <v>666</v>
      </c>
      <c r="M38" s="227"/>
      <c r="N38" s="227"/>
      <c r="O38" s="227" t="s">
        <v>664</v>
      </c>
      <c r="P38" s="227" t="s">
        <v>714</v>
      </c>
      <c r="Q38" s="1" t="s">
        <v>612</v>
      </c>
    </row>
    <row r="40" customFormat="false" ht="13.5" hidden="false" customHeight="true" outlineLevel="0" collapsed="false">
      <c r="A40" s="223" t="s">
        <v>718</v>
      </c>
      <c r="B40" s="224"/>
      <c r="C40" s="224"/>
      <c r="D40" s="224"/>
      <c r="E40" s="224"/>
      <c r="F40" s="224"/>
      <c r="G40" s="224"/>
      <c r="H40" s="224"/>
      <c r="I40" s="224"/>
      <c r="J40" s="224"/>
      <c r="K40" s="224"/>
      <c r="L40" s="224"/>
      <c r="M40" s="224"/>
      <c r="N40" s="224"/>
      <c r="O40" s="224"/>
      <c r="P40" s="224"/>
    </row>
    <row r="41" customFormat="false" ht="13.5" hidden="false" customHeight="true" outlineLevel="0" collapsed="false">
      <c r="A41" s="109" t="s">
        <v>719</v>
      </c>
      <c r="B41" s="109" t="s">
        <v>693</v>
      </c>
      <c r="C41" s="225" t="n">
        <v>100000</v>
      </c>
      <c r="D41" s="225" t="n">
        <f aca="false">C41/12</f>
        <v>8333.33333333333</v>
      </c>
      <c r="E41" s="194" t="n">
        <v>7</v>
      </c>
      <c r="F41" s="109" t="s">
        <v>664</v>
      </c>
      <c r="G41" s="194" t="s">
        <v>612</v>
      </c>
      <c r="H41" s="226" t="n">
        <v>0</v>
      </c>
      <c r="I41" s="226" t="n">
        <v>0</v>
      </c>
      <c r="J41" s="109" t="s">
        <v>679</v>
      </c>
      <c r="K41" s="194"/>
      <c r="L41" s="109" t="s">
        <v>666</v>
      </c>
      <c r="M41" s="109"/>
      <c r="N41" s="109" t="s">
        <v>720</v>
      </c>
      <c r="O41" s="109" t="s">
        <v>664</v>
      </c>
      <c r="P41" s="109" t="s">
        <v>694</v>
      </c>
      <c r="Q41" s="1" t="s">
        <v>612</v>
      </c>
    </row>
    <row r="43" customFormat="false" ht="13.5" hidden="false" customHeight="true" outlineLevel="0" collapsed="false">
      <c r="A43" s="223" t="s">
        <v>721</v>
      </c>
      <c r="B43" s="224"/>
      <c r="C43" s="224"/>
      <c r="D43" s="224"/>
      <c r="E43" s="224"/>
      <c r="F43" s="224"/>
      <c r="G43" s="224"/>
      <c r="H43" s="224"/>
      <c r="I43" s="224"/>
      <c r="J43" s="224"/>
      <c r="K43" s="224"/>
      <c r="L43" s="224"/>
      <c r="M43" s="224"/>
      <c r="N43" s="224"/>
      <c r="O43" s="224"/>
      <c r="P43" s="224"/>
    </row>
    <row r="44" customFormat="false" ht="13.5" hidden="false" customHeight="true" outlineLevel="0" collapsed="false">
      <c r="A44" s="109" t="s">
        <v>722</v>
      </c>
      <c r="B44" s="109" t="s">
        <v>723</v>
      </c>
      <c r="C44" s="225" t="n">
        <v>400000</v>
      </c>
      <c r="D44" s="225" t="n">
        <f aca="false">C44/12</f>
        <v>33333.3333333333</v>
      </c>
      <c r="E44" s="194" t="n">
        <v>1</v>
      </c>
      <c r="F44" s="109" t="s">
        <v>724</v>
      </c>
      <c r="G44" s="194" t="s">
        <v>612</v>
      </c>
      <c r="H44" s="226" t="n">
        <v>1</v>
      </c>
      <c r="I44" s="226" t="n">
        <v>0</v>
      </c>
      <c r="J44" s="109" t="s">
        <v>725</v>
      </c>
      <c r="K44" s="194"/>
      <c r="L44" s="109" t="s">
        <v>666</v>
      </c>
      <c r="M44" s="109"/>
      <c r="N44" s="109"/>
      <c r="O44" s="109" t="s">
        <v>726</v>
      </c>
      <c r="P44" s="109" t="s">
        <v>725</v>
      </c>
      <c r="Q44" s="1" t="s">
        <v>612</v>
      </c>
    </row>
    <row r="45" customFormat="false" ht="13.5" hidden="false" customHeight="true" outlineLevel="0" collapsed="false">
      <c r="A45" s="227" t="s">
        <v>727</v>
      </c>
      <c r="B45" s="227" t="s">
        <v>723</v>
      </c>
      <c r="C45" s="228" t="n">
        <v>400000</v>
      </c>
      <c r="D45" s="228" t="n">
        <f aca="false">C45/12</f>
        <v>33333.3333333333</v>
      </c>
      <c r="E45" s="229" t="n">
        <v>1</v>
      </c>
      <c r="F45" s="227" t="s">
        <v>724</v>
      </c>
      <c r="G45" s="229" t="s">
        <v>612</v>
      </c>
      <c r="H45" s="230" t="n">
        <v>1</v>
      </c>
      <c r="I45" s="230" t="n">
        <v>0</v>
      </c>
      <c r="J45" s="227" t="s">
        <v>725</v>
      </c>
      <c r="K45" s="229"/>
      <c r="L45" s="227" t="s">
        <v>666</v>
      </c>
      <c r="M45" s="227"/>
      <c r="N45" s="227"/>
      <c r="O45" s="227" t="s">
        <v>726</v>
      </c>
      <c r="P45" s="227" t="s">
        <v>725</v>
      </c>
      <c r="Q45" s="1" t="s">
        <v>612</v>
      </c>
    </row>
    <row r="46" customFormat="false" ht="13.5" hidden="false" customHeight="true" outlineLevel="0" collapsed="false">
      <c r="A46" s="109" t="s">
        <v>728</v>
      </c>
      <c r="B46" s="109" t="s">
        <v>729</v>
      </c>
      <c r="C46" s="225" t="n">
        <v>222000</v>
      </c>
      <c r="D46" s="225" t="n">
        <f aca="false">C46/12</f>
        <v>18500</v>
      </c>
      <c r="E46" s="194" t="n">
        <v>1</v>
      </c>
      <c r="F46" s="109" t="s">
        <v>724</v>
      </c>
      <c r="G46" s="194" t="s">
        <v>612</v>
      </c>
      <c r="H46" s="226" t="n">
        <v>1</v>
      </c>
      <c r="I46" s="226" t="n">
        <v>0</v>
      </c>
      <c r="J46" s="109" t="s">
        <v>725</v>
      </c>
      <c r="K46" s="194"/>
      <c r="L46" s="109" t="s">
        <v>666</v>
      </c>
      <c r="M46" s="109"/>
      <c r="N46" s="109"/>
      <c r="O46" s="109" t="s">
        <v>730</v>
      </c>
      <c r="P46" s="109" t="s">
        <v>725</v>
      </c>
      <c r="Q46" s="1" t="s">
        <v>612</v>
      </c>
    </row>
    <row r="47" customFormat="false" ht="13.5" hidden="false" customHeight="true" outlineLevel="0" collapsed="false">
      <c r="A47" s="227" t="s">
        <v>731</v>
      </c>
      <c r="B47" s="227" t="s">
        <v>732</v>
      </c>
      <c r="C47" s="228" t="n">
        <v>115000</v>
      </c>
      <c r="D47" s="228" t="n">
        <f aca="false">C47/12</f>
        <v>9583.33333333333</v>
      </c>
      <c r="E47" s="229" t="n">
        <v>1</v>
      </c>
      <c r="F47" s="227" t="s">
        <v>724</v>
      </c>
      <c r="G47" s="229" t="s">
        <v>612</v>
      </c>
      <c r="H47" s="230" t="n">
        <v>1</v>
      </c>
      <c r="I47" s="230" t="n">
        <v>0</v>
      </c>
      <c r="J47" s="227" t="s">
        <v>725</v>
      </c>
      <c r="K47" s="229"/>
      <c r="L47" s="227" t="s">
        <v>666</v>
      </c>
      <c r="M47" s="227"/>
      <c r="N47" s="227"/>
      <c r="O47" s="227" t="s">
        <v>730</v>
      </c>
      <c r="P47" s="227" t="s">
        <v>725</v>
      </c>
      <c r="Q47" s="1" t="s">
        <v>612</v>
      </c>
    </row>
    <row r="48" customFormat="false" ht="13.5" hidden="false" customHeight="true" outlineLevel="0" collapsed="false">
      <c r="A48" s="109" t="s">
        <v>733</v>
      </c>
      <c r="B48" s="109" t="s">
        <v>734</v>
      </c>
      <c r="C48" s="225" t="n">
        <v>250000</v>
      </c>
      <c r="D48" s="225" t="n">
        <f aca="false">C48/12</f>
        <v>20833.3333333333</v>
      </c>
      <c r="E48" s="194" t="n">
        <v>1</v>
      </c>
      <c r="F48" s="109" t="s">
        <v>724</v>
      </c>
      <c r="G48" s="194" t="s">
        <v>612</v>
      </c>
      <c r="H48" s="226" t="n">
        <v>0</v>
      </c>
      <c r="I48" s="226" t="n">
        <v>0</v>
      </c>
      <c r="J48" s="109" t="s">
        <v>725</v>
      </c>
      <c r="K48" s="194"/>
      <c r="L48" s="109" t="s">
        <v>666</v>
      </c>
      <c r="M48" s="109"/>
      <c r="N48" s="109"/>
      <c r="O48" s="109" t="s">
        <v>735</v>
      </c>
      <c r="P48" s="109" t="s">
        <v>725</v>
      </c>
      <c r="Q48" s="1" t="s">
        <v>612</v>
      </c>
    </row>
    <row r="49" customFormat="false" ht="13.5" hidden="false" customHeight="true" outlineLevel="0" collapsed="false">
      <c r="A49" s="227" t="s">
        <v>736</v>
      </c>
      <c r="B49" s="227" t="s">
        <v>737</v>
      </c>
      <c r="C49" s="228" t="n">
        <v>150000</v>
      </c>
      <c r="D49" s="228" t="n">
        <f aca="false">C49/12</f>
        <v>12500</v>
      </c>
      <c r="E49" s="229" t="n">
        <v>1</v>
      </c>
      <c r="F49" s="227" t="s">
        <v>724</v>
      </c>
      <c r="G49" s="229" t="s">
        <v>612</v>
      </c>
      <c r="H49" s="230" t="n">
        <v>0</v>
      </c>
      <c r="I49" s="230" t="n">
        <v>0</v>
      </c>
      <c r="J49" s="227" t="s">
        <v>725</v>
      </c>
      <c r="K49" s="229"/>
      <c r="L49" s="227" t="s">
        <v>666</v>
      </c>
      <c r="M49" s="227"/>
      <c r="N49" s="227"/>
      <c r="O49" s="227" t="s">
        <v>735</v>
      </c>
      <c r="P49" s="227" t="s">
        <v>725</v>
      </c>
      <c r="Q49" s="1" t="s">
        <v>612</v>
      </c>
    </row>
    <row r="50" customFormat="false" ht="13.5" hidden="false" customHeight="true" outlineLevel="0" collapsed="false">
      <c r="A50" s="109" t="s">
        <v>738</v>
      </c>
      <c r="B50" s="109" t="s">
        <v>739</v>
      </c>
      <c r="C50" s="225" t="n">
        <v>250000</v>
      </c>
      <c r="D50" s="225" t="n">
        <f aca="false">C50/12</f>
        <v>20833.3333333333</v>
      </c>
      <c r="E50" s="194" t="n">
        <v>1</v>
      </c>
      <c r="F50" s="109" t="s">
        <v>724</v>
      </c>
      <c r="G50" s="194" t="s">
        <v>612</v>
      </c>
      <c r="H50" s="226" t="n">
        <v>0</v>
      </c>
      <c r="I50" s="226" t="n">
        <v>0</v>
      </c>
      <c r="J50" s="109" t="s">
        <v>725</v>
      </c>
      <c r="K50" s="194"/>
      <c r="L50" s="109" t="s">
        <v>666</v>
      </c>
      <c r="M50" s="109"/>
      <c r="N50" s="109"/>
      <c r="O50" s="109" t="s">
        <v>735</v>
      </c>
      <c r="P50" s="109" t="s">
        <v>725</v>
      </c>
      <c r="Q50" s="1" t="s">
        <v>612</v>
      </c>
    </row>
    <row r="52" customFormat="false" ht="13.5" hidden="false" customHeight="true" outlineLevel="0" collapsed="false">
      <c r="A52" s="223" t="s">
        <v>740</v>
      </c>
      <c r="B52" s="224"/>
      <c r="C52" s="224"/>
      <c r="D52" s="224"/>
      <c r="E52" s="224"/>
      <c r="F52" s="224"/>
      <c r="G52" s="224"/>
      <c r="H52" s="224"/>
      <c r="I52" s="224"/>
      <c r="J52" s="224"/>
      <c r="K52" s="224"/>
      <c r="L52" s="224"/>
      <c r="M52" s="224"/>
      <c r="N52" s="224"/>
      <c r="O52" s="224"/>
      <c r="P52" s="224"/>
    </row>
    <row r="53" customFormat="false" ht="13.5" hidden="false" customHeight="true" outlineLevel="0" collapsed="false">
      <c r="A53" s="109" t="s">
        <v>741</v>
      </c>
      <c r="B53" s="109" t="s">
        <v>742</v>
      </c>
      <c r="C53" s="225" t="n">
        <v>125000</v>
      </c>
      <c r="D53" s="225" t="n">
        <f aca="false">C53/12</f>
        <v>10416.6666666667</v>
      </c>
      <c r="E53" s="194" t="n">
        <v>2</v>
      </c>
      <c r="F53" s="109" t="s">
        <v>664</v>
      </c>
      <c r="G53" s="194" t="s">
        <v>612</v>
      </c>
      <c r="H53" s="226" t="n">
        <v>0</v>
      </c>
      <c r="I53" s="226" t="n">
        <v>0</v>
      </c>
      <c r="J53" s="109" t="s">
        <v>679</v>
      </c>
      <c r="K53" s="194" t="n">
        <v>4</v>
      </c>
      <c r="L53" s="109" t="s">
        <v>743</v>
      </c>
      <c r="M53" s="109"/>
      <c r="N53" s="109" t="s">
        <v>744</v>
      </c>
      <c r="O53" s="109" t="s">
        <v>664</v>
      </c>
      <c r="P53" s="109" t="s">
        <v>711</v>
      </c>
      <c r="Q53" s="1" t="s">
        <v>612</v>
      </c>
    </row>
    <row r="54" customFormat="false" ht="13.5" hidden="false" customHeight="true" outlineLevel="0" collapsed="false">
      <c r="A54" s="227" t="s">
        <v>745</v>
      </c>
      <c r="B54" s="227" t="s">
        <v>746</v>
      </c>
      <c r="C54" s="228" t="n">
        <v>110000</v>
      </c>
      <c r="D54" s="228" t="n">
        <f aca="false">C54/12</f>
        <v>9166.66666666667</v>
      </c>
      <c r="E54" s="229" t="n">
        <v>1</v>
      </c>
      <c r="F54" s="227" t="s">
        <v>664</v>
      </c>
      <c r="G54" s="229" t="s">
        <v>612</v>
      </c>
      <c r="H54" s="230" t="n">
        <v>0</v>
      </c>
      <c r="I54" s="230" t="n">
        <v>0</v>
      </c>
      <c r="J54" s="227" t="s">
        <v>679</v>
      </c>
      <c r="K54" s="229" t="n">
        <v>4</v>
      </c>
      <c r="L54" s="227" t="s">
        <v>743</v>
      </c>
      <c r="M54" s="227"/>
      <c r="N54" s="227" t="s">
        <v>744</v>
      </c>
      <c r="O54" s="227" t="s">
        <v>664</v>
      </c>
      <c r="P54" s="227" t="s">
        <v>691</v>
      </c>
      <c r="Q54" s="1" t="s">
        <v>612</v>
      </c>
    </row>
    <row r="56" customFormat="false" ht="13.5" hidden="false" customHeight="true" outlineLevel="0" collapsed="false">
      <c r="A56" s="223" t="s">
        <v>747</v>
      </c>
      <c r="B56" s="224"/>
      <c r="C56" s="224"/>
      <c r="D56" s="224"/>
      <c r="E56" s="224"/>
      <c r="F56" s="224"/>
      <c r="G56" s="224"/>
      <c r="H56" s="224"/>
      <c r="I56" s="224"/>
      <c r="J56" s="224"/>
      <c r="K56" s="224"/>
      <c r="L56" s="224"/>
      <c r="M56" s="224"/>
      <c r="N56" s="224"/>
      <c r="O56" s="224"/>
      <c r="P56" s="224"/>
    </row>
    <row r="57" customFormat="false" ht="13.5" hidden="false" customHeight="true" outlineLevel="0" collapsed="false">
      <c r="A57" s="227" t="s">
        <v>748</v>
      </c>
      <c r="B57" s="227" t="s">
        <v>685</v>
      </c>
      <c r="C57" s="228" t="n">
        <v>120000</v>
      </c>
      <c r="D57" s="228" t="n">
        <f aca="false">C57/12</f>
        <v>10000</v>
      </c>
      <c r="E57" s="229" t="n">
        <v>5</v>
      </c>
      <c r="F57" s="227" t="s">
        <v>664</v>
      </c>
      <c r="G57" s="229" t="s">
        <v>612</v>
      </c>
      <c r="H57" s="230" t="n">
        <v>0</v>
      </c>
      <c r="I57" s="230" t="n">
        <v>0</v>
      </c>
      <c r="J57" s="227" t="s">
        <v>679</v>
      </c>
      <c r="K57" s="229"/>
      <c r="L57" s="227" t="s">
        <v>666</v>
      </c>
      <c r="M57" s="227"/>
      <c r="N57" s="227" t="s">
        <v>749</v>
      </c>
      <c r="O57" s="227" t="s">
        <v>664</v>
      </c>
      <c r="P57" s="227" t="s">
        <v>686</v>
      </c>
      <c r="Q57" s="1" t="s">
        <v>611</v>
      </c>
    </row>
    <row r="58" customFormat="false" ht="13.5" hidden="false" customHeight="true" outlineLevel="0" collapsed="false">
      <c r="A58" s="227" t="s">
        <v>750</v>
      </c>
      <c r="B58" s="227" t="s">
        <v>710</v>
      </c>
      <c r="C58" s="228" t="n">
        <v>125000</v>
      </c>
      <c r="D58" s="228" t="n">
        <f aca="false">C58/12</f>
        <v>10416.6666666667</v>
      </c>
      <c r="E58" s="229" t="n">
        <v>6</v>
      </c>
      <c r="F58" s="227" t="s">
        <v>664</v>
      </c>
      <c r="G58" s="229" t="s">
        <v>612</v>
      </c>
      <c r="H58" s="230" t="n">
        <v>0</v>
      </c>
      <c r="I58" s="230" t="n">
        <v>0</v>
      </c>
      <c r="J58" s="227" t="s">
        <v>679</v>
      </c>
      <c r="K58" s="229"/>
      <c r="L58" s="227" t="s">
        <v>666</v>
      </c>
      <c r="M58" s="227"/>
      <c r="N58" s="227" t="s">
        <v>749</v>
      </c>
      <c r="O58" s="227" t="s">
        <v>664</v>
      </c>
      <c r="P58" s="227" t="s">
        <v>711</v>
      </c>
      <c r="Q58" s="1" t="s">
        <v>611</v>
      </c>
    </row>
    <row r="59" customFormat="false" ht="13.5" hidden="false" customHeight="true" outlineLevel="0" collapsed="false">
      <c r="A59" s="109"/>
      <c r="B59" s="109"/>
      <c r="C59" s="225"/>
      <c r="D59" s="225"/>
      <c r="E59" s="194"/>
      <c r="F59" s="109"/>
      <c r="G59" s="194"/>
      <c r="H59" s="226"/>
      <c r="I59" s="226"/>
      <c r="J59" s="109"/>
      <c r="K59" s="194"/>
      <c r="L59" s="109"/>
      <c r="M59" s="109"/>
      <c r="N59" s="109"/>
      <c r="O59" s="109"/>
      <c r="P59" s="109"/>
    </row>
    <row r="60" customFormat="false" ht="13.5" hidden="false" customHeight="true" outlineLevel="0" collapsed="false">
      <c r="A60" s="223" t="s">
        <v>751</v>
      </c>
      <c r="B60" s="227"/>
      <c r="C60" s="228"/>
      <c r="D60" s="228"/>
      <c r="E60" s="229"/>
      <c r="F60" s="227"/>
      <c r="G60" s="229"/>
      <c r="H60" s="230"/>
      <c r="I60" s="230"/>
      <c r="J60" s="227"/>
      <c r="K60" s="229"/>
      <c r="L60" s="227"/>
      <c r="M60" s="227"/>
      <c r="N60" s="227"/>
      <c r="O60" s="227"/>
      <c r="P60" s="227"/>
    </row>
    <row r="61" customFormat="false" ht="13.5" hidden="false" customHeight="true" outlineLevel="0" collapsed="false">
      <c r="A61" s="227" t="s">
        <v>752</v>
      </c>
      <c r="B61" s="227" t="s">
        <v>737</v>
      </c>
      <c r="C61" s="228" t="n">
        <v>7500</v>
      </c>
      <c r="D61" s="228" t="n">
        <f aca="false">C61/12</f>
        <v>625</v>
      </c>
      <c r="E61" s="229" t="n">
        <v>10</v>
      </c>
      <c r="F61" s="227" t="s">
        <v>724</v>
      </c>
      <c r="G61" s="229" t="s">
        <v>612</v>
      </c>
      <c r="H61" s="230" t="n">
        <v>0</v>
      </c>
      <c r="I61" s="230" t="n">
        <v>0</v>
      </c>
      <c r="J61" s="227" t="s">
        <v>725</v>
      </c>
      <c r="K61" s="229"/>
      <c r="L61" s="227" t="s">
        <v>666</v>
      </c>
      <c r="M61" s="227"/>
      <c r="N61" s="227" t="s">
        <v>753</v>
      </c>
      <c r="O61" s="227" t="s">
        <v>735</v>
      </c>
      <c r="P61" s="227" t="s">
        <v>725</v>
      </c>
      <c r="Q61" s="1" t="s">
        <v>611</v>
      </c>
    </row>
    <row r="62" customFormat="false" ht="13.5" hidden="false" customHeight="true" outlineLevel="0" collapsed="false">
      <c r="A62" s="227"/>
      <c r="B62" s="227"/>
      <c r="C62" s="228"/>
      <c r="D62" s="228"/>
      <c r="E62" s="229"/>
      <c r="F62" s="227"/>
      <c r="G62" s="229"/>
      <c r="H62" s="230"/>
      <c r="I62" s="230"/>
      <c r="J62" s="227"/>
      <c r="K62" s="229"/>
      <c r="L62" s="227"/>
      <c r="M62" s="227"/>
      <c r="N62" s="227"/>
      <c r="O62" s="227"/>
      <c r="P62" s="227"/>
    </row>
    <row r="63" customFormat="false" ht="13.5" hidden="false" customHeight="true" outlineLevel="0" collapsed="false">
      <c r="A63" s="109"/>
      <c r="B63" s="109"/>
      <c r="C63" s="225"/>
      <c r="D63" s="225"/>
      <c r="E63" s="194"/>
      <c r="F63" s="109"/>
      <c r="G63" s="194"/>
      <c r="H63" s="226"/>
      <c r="I63" s="226"/>
      <c r="J63" s="109"/>
      <c r="K63" s="194"/>
      <c r="L63" s="109"/>
      <c r="M63" s="109"/>
      <c r="N63" s="109"/>
      <c r="O63" s="109"/>
      <c r="P63"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65625" defaultRowHeight="13.5" customHeight="false"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754</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755</v>
      </c>
      <c r="B4" s="3"/>
      <c r="C4" s="231" t="n">
        <f aca="false">Model!E246</f>
        <v>9375</v>
      </c>
      <c r="D4" s="231" t="n">
        <f aca="false">Model!F246</f>
        <v>9375</v>
      </c>
      <c r="E4" s="231" t="n">
        <f aca="false">Model!G246</f>
        <v>9375</v>
      </c>
      <c r="F4" s="231" t="n">
        <f aca="false">Model!H246</f>
        <v>9375</v>
      </c>
      <c r="G4" s="231" t="n">
        <f aca="false">Model!I246</f>
        <v>9375</v>
      </c>
      <c r="H4" s="231" t="n">
        <f aca="false">Model!J246</f>
        <v>9375</v>
      </c>
      <c r="I4" s="231" t="n">
        <f aca="false">Model!K246</f>
        <v>9375</v>
      </c>
      <c r="J4" s="231" t="n">
        <f aca="false">Model!L246</f>
        <v>0</v>
      </c>
      <c r="K4" s="231" t="n">
        <f aca="false">Model!M246</f>
        <v>0</v>
      </c>
      <c r="L4" s="231" t="n">
        <f aca="false">Model!N246</f>
        <v>0</v>
      </c>
      <c r="M4" s="231" t="n">
        <f aca="false">Model!O246</f>
        <v>0</v>
      </c>
      <c r="N4" s="231" t="n">
        <f aca="false">Model!P246</f>
        <v>0</v>
      </c>
      <c r="O4" s="231" t="n">
        <f aca="false">Model!Q246</f>
        <v>0</v>
      </c>
      <c r="P4" s="231" t="n">
        <f aca="false">Model!R246</f>
        <v>0</v>
      </c>
      <c r="Q4" s="231" t="n">
        <f aca="false">Model!S246</f>
        <v>0</v>
      </c>
      <c r="R4" s="231" t="n">
        <f aca="false">Model!T246</f>
        <v>0</v>
      </c>
      <c r="S4" s="231" t="n">
        <f aca="false">Model!U246</f>
        <v>0</v>
      </c>
      <c r="T4" s="231" t="n">
        <f aca="false">Model!V246</f>
        <v>0</v>
      </c>
      <c r="U4" s="231" t="n">
        <f aca="false">Model!W246</f>
        <v>0</v>
      </c>
      <c r="V4" s="231" t="n">
        <f aca="false">Model!X246</f>
        <v>0</v>
      </c>
      <c r="W4" s="231" t="n">
        <f aca="false">Model!Y246</f>
        <v>0</v>
      </c>
      <c r="X4" s="231" t="n">
        <f aca="false">Model!Z246</f>
        <v>0</v>
      </c>
      <c r="Y4" s="231" t="n">
        <f aca="false">Model!AA246</f>
        <v>0</v>
      </c>
      <c r="Z4" s="231" t="n">
        <f aca="false">Model!AB246</f>
        <v>0</v>
      </c>
      <c r="AA4" s="231" t="n">
        <f aca="false">Model!AC246</f>
        <v>0</v>
      </c>
      <c r="AB4" s="231" t="n">
        <f aca="false">Model!AD246</f>
        <v>0</v>
      </c>
      <c r="AC4" s="231" t="n">
        <f aca="false">Model!AE246</f>
        <v>0</v>
      </c>
      <c r="AD4" s="231" t="n">
        <f aca="false">Model!AF246</f>
        <v>0</v>
      </c>
      <c r="AE4" s="231" t="n">
        <f aca="false">Model!AG246</f>
        <v>0</v>
      </c>
      <c r="AF4" s="231" t="n">
        <f aca="false">Model!AH246</f>
        <v>0</v>
      </c>
      <c r="AG4" s="231" t="n">
        <f aca="false">Model!AI246</f>
        <v>0</v>
      </c>
      <c r="AH4" s="231" t="n">
        <f aca="false">Model!AJ246</f>
        <v>0</v>
      </c>
      <c r="AI4" s="231" t="n">
        <f aca="false">Model!AK246</f>
        <v>0</v>
      </c>
      <c r="AJ4" s="231" t="n">
        <f aca="false">Model!AL246</f>
        <v>0</v>
      </c>
      <c r="AK4" s="231" t="n">
        <f aca="false">Model!AM246</f>
        <v>0</v>
      </c>
      <c r="AL4" s="231" t="n">
        <f aca="false">Model!AN246</f>
        <v>0</v>
      </c>
      <c r="AM4" s="231" t="n">
        <f aca="false">Model!AO246</f>
        <v>0</v>
      </c>
      <c r="AN4" s="231" t="n">
        <f aca="false">Model!AP246</f>
        <v>0</v>
      </c>
      <c r="AO4" s="231" t="n">
        <f aca="false">Model!AQ246</f>
        <v>0</v>
      </c>
      <c r="AP4" s="231" t="n">
        <f aca="false">Model!AR246</f>
        <v>0</v>
      </c>
      <c r="AQ4" s="231" t="n">
        <f aca="false">Model!AS246</f>
        <v>0</v>
      </c>
      <c r="AR4" s="231" t="n">
        <f aca="false">Model!AT246</f>
        <v>0</v>
      </c>
      <c r="AS4" s="231" t="n">
        <f aca="false">Model!AU246</f>
        <v>0</v>
      </c>
      <c r="AT4" s="231" t="n">
        <f aca="false">Model!AV246</f>
        <v>0</v>
      </c>
      <c r="AU4" s="231" t="n">
        <f aca="false">Model!AW246</f>
        <v>0</v>
      </c>
      <c r="AV4" s="231" t="n">
        <f aca="false">Model!AX246</f>
        <v>0</v>
      </c>
      <c r="AW4" s="231" t="n">
        <f aca="false">Model!AY246</f>
        <v>0</v>
      </c>
      <c r="AX4" s="231" t="n">
        <f aca="false">Model!AZ246</f>
        <v>0</v>
      </c>
      <c r="AY4" s="231" t="n">
        <f aca="false">Model!BA246</f>
        <v>0</v>
      </c>
      <c r="AZ4" s="231" t="n">
        <f aca="false">Model!BB246</f>
        <v>0</v>
      </c>
      <c r="BA4" s="231" t="n">
        <f aca="false">Model!BC246</f>
        <v>0</v>
      </c>
      <c r="BB4" s="231" t="n">
        <f aca="false">Model!BD246</f>
        <v>0</v>
      </c>
      <c r="BC4" s="231" t="n">
        <f aca="false">Model!BE246</f>
        <v>0</v>
      </c>
      <c r="BD4" s="231" t="n">
        <f aca="false">Model!BF246</f>
        <v>0</v>
      </c>
      <c r="BE4" s="231" t="n">
        <f aca="false">Model!BG246</f>
        <v>0</v>
      </c>
      <c r="BF4" s="231" t="n">
        <f aca="false">Model!BH246</f>
        <v>0</v>
      </c>
      <c r="BG4" s="231" t="n">
        <f aca="false">Model!BI246</f>
        <v>0</v>
      </c>
      <c r="BH4" s="231" t="n">
        <f aca="false">Model!BJ246</f>
        <v>0</v>
      </c>
      <c r="BI4" s="231" t="n">
        <f aca="false">Model!BK246</f>
        <v>0</v>
      </c>
      <c r="BJ4" s="231" t="n">
        <f aca="false">Model!BL246</f>
        <v>0</v>
      </c>
      <c r="BK4" s="231" t="n">
        <f aca="false">Model!BM246</f>
        <v>0</v>
      </c>
      <c r="BL4" s="231" t="n">
        <f aca="false">Model!BN246</f>
        <v>0</v>
      </c>
      <c r="BM4" s="231" t="n">
        <f aca="false">Model!BO246</f>
        <v>0</v>
      </c>
      <c r="BN4" s="231" t="n">
        <f aca="false">Model!BP246</f>
        <v>0</v>
      </c>
      <c r="BO4" s="231" t="n">
        <f aca="false">Model!BQ246</f>
        <v>0</v>
      </c>
      <c r="BP4" s="231" t="n">
        <f aca="false">Model!BR246</f>
        <v>0</v>
      </c>
      <c r="BQ4" s="231" t="n">
        <f aca="false">Model!BS246</f>
        <v>0</v>
      </c>
      <c r="BR4" s="231" t="n">
        <f aca="false">Model!BT246</f>
        <v>0</v>
      </c>
      <c r="BS4" s="231" t="n">
        <f aca="false">Model!BU246</f>
        <v>0</v>
      </c>
      <c r="BT4" s="231" t="n">
        <f aca="false">Model!BV246</f>
        <v>0</v>
      </c>
      <c r="BU4" s="231" t="n">
        <f aca="false">Model!BW246</f>
        <v>0</v>
      </c>
      <c r="BV4" s="231" t="n">
        <f aca="false">Model!BX246</f>
        <v>0</v>
      </c>
      <c r="BW4" s="231" t="n">
        <f aca="false">Model!BY246</f>
        <v>0</v>
      </c>
      <c r="BX4" s="231" t="n">
        <f aca="false">Model!BZ246</f>
        <v>0</v>
      </c>
      <c r="BY4" s="231" t="n">
        <f aca="false">Model!CA246</f>
        <v>0</v>
      </c>
      <c r="BZ4" s="231" t="n">
        <f aca="false">Model!CB246</f>
        <v>0</v>
      </c>
      <c r="CA4" s="231" t="n">
        <f aca="false">Model!CC246</f>
        <v>0</v>
      </c>
      <c r="CB4" s="231" t="n">
        <f aca="false">Model!CD246</f>
        <v>0</v>
      </c>
      <c r="CC4" s="231" t="n">
        <f aca="false">Model!CE246</f>
        <v>0</v>
      </c>
      <c r="CD4" s="231" t="n">
        <f aca="false">Model!CF246</f>
        <v>0</v>
      </c>
      <c r="CE4" s="231" t="n">
        <f aca="false">Model!CG246</f>
        <v>0</v>
      </c>
      <c r="CF4" s="231" t="n">
        <f aca="false">Model!CH246</f>
        <v>0</v>
      </c>
      <c r="CG4" s="231" t="n">
        <f aca="false">Model!CI246</f>
        <v>0</v>
      </c>
      <c r="CH4" s="231" t="n">
        <f aca="false">Model!CJ246</f>
        <v>0</v>
      </c>
    </row>
    <row r="5" customFormat="false" ht="15" hidden="false" customHeight="true" outlineLevel="0" collapsed="false">
      <c r="A5" s="232" t="s">
        <v>756</v>
      </c>
      <c r="B5" s="232"/>
      <c r="C5" s="233" t="n">
        <f aca="false">C4</f>
        <v>9375</v>
      </c>
      <c r="D5" s="233" t="n">
        <f aca="false">D4</f>
        <v>9375</v>
      </c>
      <c r="E5" s="233" t="n">
        <f aca="false">E4</f>
        <v>9375</v>
      </c>
      <c r="F5" s="233" t="n">
        <f aca="false">F4</f>
        <v>9375</v>
      </c>
      <c r="G5" s="233" t="n">
        <f aca="false">G4</f>
        <v>9375</v>
      </c>
      <c r="H5" s="233" t="n">
        <f aca="false">H4</f>
        <v>9375</v>
      </c>
      <c r="I5" s="233" t="n">
        <f aca="false">I4</f>
        <v>9375</v>
      </c>
      <c r="J5" s="233" t="n">
        <f aca="false">J4</f>
        <v>0</v>
      </c>
      <c r="K5" s="233" t="n">
        <f aca="false">K4</f>
        <v>0</v>
      </c>
      <c r="L5" s="233" t="n">
        <f aca="false">L4</f>
        <v>0</v>
      </c>
      <c r="M5" s="233" t="n">
        <f aca="false">M4</f>
        <v>0</v>
      </c>
      <c r="N5" s="233" t="n">
        <f aca="false">N4</f>
        <v>0</v>
      </c>
      <c r="O5" s="233" t="n">
        <f aca="false">O4</f>
        <v>0</v>
      </c>
      <c r="P5" s="233" t="n">
        <f aca="false">P4</f>
        <v>0</v>
      </c>
      <c r="Q5" s="233" t="n">
        <f aca="false">Q4</f>
        <v>0</v>
      </c>
      <c r="R5" s="233" t="n">
        <f aca="false">R4</f>
        <v>0</v>
      </c>
      <c r="S5" s="233" t="n">
        <f aca="false">S4</f>
        <v>0</v>
      </c>
      <c r="T5" s="233" t="n">
        <f aca="false">T4</f>
        <v>0</v>
      </c>
      <c r="U5" s="233" t="n">
        <f aca="false">U4</f>
        <v>0</v>
      </c>
      <c r="V5" s="233" t="n">
        <f aca="false">V4</f>
        <v>0</v>
      </c>
      <c r="W5" s="233" t="n">
        <f aca="false">W4</f>
        <v>0</v>
      </c>
      <c r="X5" s="233" t="n">
        <f aca="false">X4</f>
        <v>0</v>
      </c>
      <c r="Y5" s="233" t="n">
        <f aca="false">Y4</f>
        <v>0</v>
      </c>
      <c r="Z5" s="233" t="n">
        <f aca="false">Z4</f>
        <v>0</v>
      </c>
      <c r="AA5" s="233" t="n">
        <f aca="false">AA4</f>
        <v>0</v>
      </c>
      <c r="AB5" s="233" t="n">
        <f aca="false">AB4</f>
        <v>0</v>
      </c>
      <c r="AC5" s="233" t="n">
        <f aca="false">AC4</f>
        <v>0</v>
      </c>
      <c r="AD5" s="233" t="n">
        <f aca="false">AD4</f>
        <v>0</v>
      </c>
      <c r="AE5" s="233" t="n">
        <f aca="false">AE4</f>
        <v>0</v>
      </c>
      <c r="AF5" s="233" t="n">
        <f aca="false">AF4</f>
        <v>0</v>
      </c>
      <c r="AG5" s="233" t="n">
        <f aca="false">AG4</f>
        <v>0</v>
      </c>
      <c r="AH5" s="233" t="n">
        <f aca="false">AH4</f>
        <v>0</v>
      </c>
      <c r="AI5" s="233" t="n">
        <f aca="false">AI4</f>
        <v>0</v>
      </c>
      <c r="AJ5" s="233" t="n">
        <f aca="false">AJ4</f>
        <v>0</v>
      </c>
      <c r="AK5" s="233" t="n">
        <f aca="false">AK4</f>
        <v>0</v>
      </c>
      <c r="AL5" s="233" t="n">
        <f aca="false">AL4</f>
        <v>0</v>
      </c>
      <c r="AM5" s="233" t="n">
        <f aca="false">AM4</f>
        <v>0</v>
      </c>
      <c r="AN5" s="233" t="n">
        <f aca="false">AN4</f>
        <v>0</v>
      </c>
      <c r="AO5" s="233" t="n">
        <f aca="false">AO4</f>
        <v>0</v>
      </c>
      <c r="AP5" s="233" t="n">
        <f aca="false">AP4</f>
        <v>0</v>
      </c>
      <c r="AQ5" s="233" t="n">
        <f aca="false">AQ4</f>
        <v>0</v>
      </c>
      <c r="AR5" s="233" t="n">
        <f aca="false">AR4</f>
        <v>0</v>
      </c>
      <c r="AS5" s="233" t="n">
        <f aca="false">AS4</f>
        <v>0</v>
      </c>
      <c r="AT5" s="233" t="n">
        <f aca="false">AT4</f>
        <v>0</v>
      </c>
      <c r="AU5" s="233" t="n">
        <f aca="false">AU4</f>
        <v>0</v>
      </c>
      <c r="AV5" s="233" t="n">
        <f aca="false">AV4</f>
        <v>0</v>
      </c>
      <c r="AW5" s="233" t="n">
        <f aca="false">AW4</f>
        <v>0</v>
      </c>
      <c r="AX5" s="233" t="n">
        <f aca="false">AX4</f>
        <v>0</v>
      </c>
      <c r="AY5" s="233" t="n">
        <f aca="false">AY4</f>
        <v>0</v>
      </c>
      <c r="AZ5" s="233" t="n">
        <f aca="false">AZ4</f>
        <v>0</v>
      </c>
      <c r="BA5" s="233" t="n">
        <f aca="false">BA4</f>
        <v>0</v>
      </c>
      <c r="BB5" s="233" t="n">
        <f aca="false">BB4</f>
        <v>0</v>
      </c>
      <c r="BC5" s="233" t="n">
        <f aca="false">BC4</f>
        <v>0</v>
      </c>
      <c r="BD5" s="233" t="n">
        <f aca="false">BD4</f>
        <v>0</v>
      </c>
      <c r="BE5" s="233" t="n">
        <f aca="false">BE4</f>
        <v>0</v>
      </c>
      <c r="BF5" s="233" t="n">
        <f aca="false">BF4</f>
        <v>0</v>
      </c>
      <c r="BG5" s="233" t="n">
        <f aca="false">BG4</f>
        <v>0</v>
      </c>
      <c r="BH5" s="233" t="n">
        <f aca="false">BH4</f>
        <v>0</v>
      </c>
      <c r="BI5" s="233" t="n">
        <f aca="false">BI4</f>
        <v>0</v>
      </c>
      <c r="BJ5" s="233" t="n">
        <f aca="false">BJ4</f>
        <v>0</v>
      </c>
      <c r="BK5" s="233" t="n">
        <f aca="false">BK4</f>
        <v>0</v>
      </c>
      <c r="BL5" s="233" t="n">
        <f aca="false">BL4</f>
        <v>0</v>
      </c>
      <c r="BM5" s="233" t="n">
        <f aca="false">BM4</f>
        <v>0</v>
      </c>
      <c r="BN5" s="233" t="n">
        <f aca="false">BN4</f>
        <v>0</v>
      </c>
      <c r="BO5" s="233" t="n">
        <f aca="false">BO4</f>
        <v>0</v>
      </c>
      <c r="BP5" s="233" t="n">
        <f aca="false">BP4</f>
        <v>0</v>
      </c>
      <c r="BQ5" s="233" t="n">
        <f aca="false">BQ4</f>
        <v>0</v>
      </c>
      <c r="BR5" s="233" t="n">
        <f aca="false">BR4</f>
        <v>0</v>
      </c>
      <c r="BS5" s="233" t="n">
        <f aca="false">BS4</f>
        <v>0</v>
      </c>
      <c r="BT5" s="233" t="n">
        <f aca="false">BT4</f>
        <v>0</v>
      </c>
      <c r="BU5" s="233" t="n">
        <f aca="false">BU4</f>
        <v>0</v>
      </c>
      <c r="BV5" s="233" t="n">
        <f aca="false">BV4</f>
        <v>0</v>
      </c>
      <c r="BW5" s="233" t="n">
        <f aca="false">BW4</f>
        <v>0</v>
      </c>
      <c r="BX5" s="233" t="n">
        <f aca="false">BX4</f>
        <v>0</v>
      </c>
      <c r="BY5" s="233" t="n">
        <f aca="false">BY4</f>
        <v>0</v>
      </c>
      <c r="BZ5" s="233" t="n">
        <f aca="false">BZ4</f>
        <v>0</v>
      </c>
      <c r="CA5" s="233" t="n">
        <f aca="false">CA4</f>
        <v>0</v>
      </c>
      <c r="CB5" s="233" t="n">
        <f aca="false">CB4</f>
        <v>0</v>
      </c>
      <c r="CC5" s="233" t="n">
        <f aca="false">CC4</f>
        <v>0</v>
      </c>
      <c r="CD5" s="233" t="n">
        <f aca="false">CD4</f>
        <v>0</v>
      </c>
      <c r="CE5" s="233" t="n">
        <f aca="false">CE4</f>
        <v>0</v>
      </c>
      <c r="CF5" s="233" t="n">
        <f aca="false">CF4</f>
        <v>0</v>
      </c>
      <c r="CG5" s="233" t="n">
        <f aca="false">CG4</f>
        <v>0</v>
      </c>
      <c r="CH5" s="233" t="n">
        <f aca="false">CH4</f>
        <v>0</v>
      </c>
    </row>
    <row r="6" customFormat="false" ht="15" hidden="false" customHeight="true" outlineLevel="0" collapsed="false">
      <c r="A6" s="2" t="s">
        <v>757</v>
      </c>
      <c r="B6" s="3"/>
      <c r="C6" s="234" t="n">
        <f aca="false">C5</f>
        <v>9375</v>
      </c>
      <c r="D6" s="234" t="n">
        <f aca="false">C6+D5</f>
        <v>18750</v>
      </c>
      <c r="E6" s="234" t="n">
        <f aca="false">D6+E5</f>
        <v>28125</v>
      </c>
      <c r="F6" s="234" t="n">
        <f aca="false">E6+F5</f>
        <v>37500</v>
      </c>
      <c r="G6" s="234" t="n">
        <f aca="false">F6+G5</f>
        <v>46875</v>
      </c>
      <c r="H6" s="234" t="n">
        <f aca="false">G6+H5</f>
        <v>56250</v>
      </c>
      <c r="I6" s="234" t="n">
        <f aca="false">H6+I5</f>
        <v>65625</v>
      </c>
      <c r="J6" s="234" t="n">
        <f aca="false">I6+J5</f>
        <v>65625</v>
      </c>
      <c r="K6" s="234" t="n">
        <f aca="false">J6+K5</f>
        <v>65625</v>
      </c>
      <c r="L6" s="234" t="n">
        <f aca="false">K6+L5</f>
        <v>65625</v>
      </c>
      <c r="M6" s="234" t="n">
        <f aca="false">L6+M5</f>
        <v>65625</v>
      </c>
      <c r="N6" s="234" t="n">
        <f aca="false">M6+N5</f>
        <v>65625</v>
      </c>
      <c r="O6" s="234" t="n">
        <f aca="false">N6+O5</f>
        <v>65625</v>
      </c>
      <c r="P6" s="234" t="n">
        <f aca="false">O6+P5</f>
        <v>65625</v>
      </c>
      <c r="Q6" s="234" t="n">
        <f aca="false">P6+Q5</f>
        <v>65625</v>
      </c>
      <c r="R6" s="234" t="n">
        <f aca="false">Q6+R5</f>
        <v>65625</v>
      </c>
      <c r="S6" s="234" t="n">
        <f aca="false">R6+S5</f>
        <v>65625</v>
      </c>
      <c r="T6" s="234" t="n">
        <f aca="false">S6+T5</f>
        <v>65625</v>
      </c>
      <c r="U6" s="234" t="n">
        <f aca="false">T6+U5</f>
        <v>65625</v>
      </c>
      <c r="V6" s="234" t="n">
        <f aca="false">U6+V5</f>
        <v>65625</v>
      </c>
      <c r="W6" s="234" t="n">
        <f aca="false">V6+W5</f>
        <v>65625</v>
      </c>
      <c r="X6" s="234" t="n">
        <f aca="false">W6+X5</f>
        <v>65625</v>
      </c>
      <c r="Y6" s="234" t="n">
        <f aca="false">X6+Y5</f>
        <v>65625</v>
      </c>
      <c r="Z6" s="234" t="n">
        <f aca="false">Y6+Z5</f>
        <v>65625</v>
      </c>
      <c r="AA6" s="234" t="n">
        <f aca="false">Z6+AA5</f>
        <v>65625</v>
      </c>
      <c r="AB6" s="234" t="n">
        <f aca="false">AA6+AB5</f>
        <v>65625</v>
      </c>
      <c r="AC6" s="234" t="n">
        <f aca="false">AB6+AC5</f>
        <v>65625</v>
      </c>
      <c r="AD6" s="234" t="n">
        <f aca="false">AC6+AD5</f>
        <v>65625</v>
      </c>
      <c r="AE6" s="234" t="n">
        <f aca="false">AD6+AE5</f>
        <v>65625</v>
      </c>
      <c r="AF6" s="234" t="n">
        <f aca="false">AE6+AF5</f>
        <v>65625</v>
      </c>
      <c r="AG6" s="234" t="n">
        <f aca="false">AF6+AG5</f>
        <v>65625</v>
      </c>
      <c r="AH6" s="234" t="n">
        <f aca="false">AG6+AH5</f>
        <v>65625</v>
      </c>
      <c r="AI6" s="234" t="n">
        <f aca="false">AH6+AI5</f>
        <v>65625</v>
      </c>
      <c r="AJ6" s="234" t="n">
        <f aca="false">AI6+AJ5</f>
        <v>65625</v>
      </c>
      <c r="AK6" s="234" t="n">
        <f aca="false">AJ6+AK5</f>
        <v>65625</v>
      </c>
      <c r="AL6" s="234" t="n">
        <f aca="false">AK6+AL5</f>
        <v>65625</v>
      </c>
      <c r="AM6" s="234" t="n">
        <f aca="false">AL6+AM5</f>
        <v>65625</v>
      </c>
      <c r="AN6" s="234" t="n">
        <f aca="false">AM6+AN5</f>
        <v>65625</v>
      </c>
      <c r="AO6" s="234" t="n">
        <f aca="false">AN6+AO5</f>
        <v>65625</v>
      </c>
      <c r="AP6" s="234" t="n">
        <f aca="false">AO6+AP5</f>
        <v>65625</v>
      </c>
      <c r="AQ6" s="234" t="n">
        <f aca="false">AP6+AQ5</f>
        <v>65625</v>
      </c>
      <c r="AR6" s="234" t="n">
        <f aca="false">AQ6+AR5</f>
        <v>65625</v>
      </c>
      <c r="AS6" s="234" t="n">
        <f aca="false">AR6+AS5</f>
        <v>65625</v>
      </c>
      <c r="AT6" s="234" t="n">
        <f aca="false">AS6+AT5</f>
        <v>65625</v>
      </c>
      <c r="AU6" s="234" t="n">
        <f aca="false">AT6+AU5</f>
        <v>65625</v>
      </c>
      <c r="AV6" s="234" t="n">
        <f aca="false">AU6+AV5</f>
        <v>65625</v>
      </c>
      <c r="AW6" s="234" t="n">
        <f aca="false">AV6+AW5</f>
        <v>65625</v>
      </c>
      <c r="AX6" s="234" t="n">
        <f aca="false">AW6+AX5</f>
        <v>65625</v>
      </c>
      <c r="AY6" s="234" t="n">
        <f aca="false">AX6+AY5</f>
        <v>65625</v>
      </c>
      <c r="AZ6" s="234" t="n">
        <f aca="false">AY6+AZ5</f>
        <v>65625</v>
      </c>
      <c r="BA6" s="234" t="n">
        <f aca="false">AZ6+BA5</f>
        <v>65625</v>
      </c>
      <c r="BB6" s="234" t="n">
        <f aca="false">BA6+BB5</f>
        <v>65625</v>
      </c>
      <c r="BC6" s="234" t="n">
        <f aca="false">BB6+BC5</f>
        <v>65625</v>
      </c>
      <c r="BD6" s="234" t="n">
        <f aca="false">BC6+BD5</f>
        <v>65625</v>
      </c>
      <c r="BE6" s="234" t="n">
        <f aca="false">BD6+BE5</f>
        <v>65625</v>
      </c>
      <c r="BF6" s="234" t="n">
        <f aca="false">BE6+BF5</f>
        <v>65625</v>
      </c>
      <c r="BG6" s="234" t="n">
        <f aca="false">BF6+BG5</f>
        <v>65625</v>
      </c>
      <c r="BH6" s="234" t="n">
        <f aca="false">BG6+BH5</f>
        <v>65625</v>
      </c>
      <c r="BI6" s="234" t="n">
        <f aca="false">BH6+BI5</f>
        <v>65625</v>
      </c>
      <c r="BJ6" s="234" t="n">
        <f aca="false">BI6+BJ5</f>
        <v>65625</v>
      </c>
      <c r="BK6" s="234" t="n">
        <f aca="false">BJ6+BK5</f>
        <v>65625</v>
      </c>
      <c r="BL6" s="234" t="n">
        <f aca="false">BK6+BL5</f>
        <v>65625</v>
      </c>
      <c r="BM6" s="234" t="n">
        <f aca="false">BL6+BM5</f>
        <v>65625</v>
      </c>
      <c r="BN6" s="234" t="n">
        <f aca="false">BM6+BN5</f>
        <v>65625</v>
      </c>
      <c r="BO6" s="234" t="n">
        <f aca="false">BN6+BO5</f>
        <v>65625</v>
      </c>
      <c r="BP6" s="234" t="n">
        <f aca="false">BO6+BP5</f>
        <v>65625</v>
      </c>
      <c r="BQ6" s="234" t="n">
        <f aca="false">BP6+BQ5</f>
        <v>65625</v>
      </c>
      <c r="BR6" s="234" t="n">
        <f aca="false">BQ6+BR5</f>
        <v>65625</v>
      </c>
      <c r="BS6" s="234" t="n">
        <f aca="false">BR6+BS5</f>
        <v>65625</v>
      </c>
      <c r="BT6" s="234" t="n">
        <f aca="false">BS6+BT5</f>
        <v>65625</v>
      </c>
      <c r="BU6" s="234" t="n">
        <f aca="false">BT6+BU5</f>
        <v>65625</v>
      </c>
      <c r="BV6" s="234" t="n">
        <f aca="false">BU6+BV5</f>
        <v>65625</v>
      </c>
      <c r="BW6" s="234" t="n">
        <f aca="false">BV6+BW5</f>
        <v>65625</v>
      </c>
      <c r="BX6" s="234" t="n">
        <f aca="false">BW6+BX5</f>
        <v>65625</v>
      </c>
      <c r="BY6" s="234" t="n">
        <f aca="false">BX6+BY5</f>
        <v>65625</v>
      </c>
      <c r="BZ6" s="234" t="n">
        <f aca="false">BY6+BZ5</f>
        <v>65625</v>
      </c>
      <c r="CA6" s="234" t="n">
        <f aca="false">BZ6+CA5</f>
        <v>65625</v>
      </c>
      <c r="CB6" s="234" t="n">
        <f aca="false">CA6+CB5</f>
        <v>65625</v>
      </c>
      <c r="CC6" s="234" t="n">
        <f aca="false">CB6+CC5</f>
        <v>65625</v>
      </c>
      <c r="CD6" s="234" t="n">
        <f aca="false">CC6+CD5</f>
        <v>65625</v>
      </c>
      <c r="CE6" s="234" t="n">
        <f aca="false">CD6+CE5</f>
        <v>65625</v>
      </c>
      <c r="CF6" s="234" t="n">
        <f aca="false">CE6+CF5</f>
        <v>65625</v>
      </c>
      <c r="CG6" s="234" t="n">
        <f aca="false">CF6+CG5</f>
        <v>65625</v>
      </c>
      <c r="CH6" s="234" t="n">
        <f aca="false">CG6+CH5</f>
        <v>65625</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755</v>
      </c>
      <c r="B9" s="3"/>
      <c r="C9" s="231" t="n">
        <f aca="false">Model!E242+Model!E243+Model!E244+Model!E245</f>
        <v>23906.25</v>
      </c>
      <c r="D9" s="231" t="n">
        <f aca="false">Model!F242+Model!F243+Model!F244+Model!F245</f>
        <v>23906.25</v>
      </c>
      <c r="E9" s="231" t="n">
        <f aca="false">Model!G242+Model!G243+Model!G244+Model!G245</f>
        <v>23906.25</v>
      </c>
      <c r="F9" s="231" t="n">
        <f aca="false">Model!H242+Model!H243+Model!H244+Model!H245</f>
        <v>23906.25</v>
      </c>
      <c r="G9" s="231" t="n">
        <f aca="false">Model!I242+Model!I243+Model!I244+Model!I245</f>
        <v>23906.25</v>
      </c>
      <c r="H9" s="231" t="n">
        <f aca="false">Model!J242+Model!J243+Model!J244+Model!J245</f>
        <v>23906.25</v>
      </c>
      <c r="I9" s="231" t="n">
        <f aca="false">Model!K242+Model!K243+Model!K244+Model!K245</f>
        <v>23906.25</v>
      </c>
      <c r="J9" s="231" t="n">
        <f aca="false">Model!L242+Model!L243+Model!L244+Model!L245</f>
        <v>23906.25</v>
      </c>
      <c r="K9" s="231" t="n">
        <f aca="false">Model!M242+Model!M243+Model!M244+Model!M245</f>
        <v>23906.25</v>
      </c>
      <c r="L9" s="231" t="n">
        <f aca="false">Model!N242+Model!N243+Model!N244+Model!N245</f>
        <v>23906.25</v>
      </c>
      <c r="M9" s="231" t="n">
        <f aca="false">Model!O242+Model!O243+Model!O244+Model!O245</f>
        <v>23906.25</v>
      </c>
      <c r="N9" s="231" t="n">
        <f aca="false">Model!P242+Model!P243+Model!P244+Model!P245</f>
        <v>23906.25</v>
      </c>
      <c r="O9" s="231" t="n">
        <f aca="false">Model!Q242+Model!Q243+Model!Q244+Model!Q245</f>
        <v>23906.25</v>
      </c>
      <c r="P9" s="231" t="n">
        <f aca="false">Model!R242+Model!R243+Model!R244+Model!R245</f>
        <v>23906.25</v>
      </c>
      <c r="Q9" s="231" t="n">
        <f aca="false">Model!S242+Model!S243+Model!S244+Model!S245</f>
        <v>23906.25</v>
      </c>
      <c r="R9" s="231" t="n">
        <f aca="false">Model!T242+Model!T243+Model!T244+Model!T245</f>
        <v>0</v>
      </c>
      <c r="S9" s="231" t="n">
        <f aca="false">Model!U242+Model!U243+Model!U244+Model!U245</f>
        <v>0</v>
      </c>
      <c r="T9" s="231" t="n">
        <f aca="false">Model!V242+Model!V243+Model!V244+Model!V245</f>
        <v>0</v>
      </c>
      <c r="U9" s="231" t="n">
        <f aca="false">Model!W242+Model!W243+Model!W244+Model!W245</f>
        <v>0</v>
      </c>
      <c r="V9" s="231" t="n">
        <f aca="false">Model!X242+Model!X243+Model!X244+Model!X245</f>
        <v>0</v>
      </c>
      <c r="W9" s="231" t="n">
        <f aca="false">Model!Y242+Model!Y243+Model!Y244+Model!Y245</f>
        <v>57375</v>
      </c>
      <c r="X9" s="231" t="n">
        <f aca="false">Model!Z242+Model!Z243+Model!Z244+Model!Z245</f>
        <v>0</v>
      </c>
      <c r="Y9" s="231" t="n">
        <f aca="false">Model!AA242+Model!AA243+Model!AA244+Model!AA245</f>
        <v>0</v>
      </c>
      <c r="Z9" s="231" t="n">
        <f aca="false">Model!AB242+Model!AB243+Model!AB244+Model!AB245</f>
        <v>57375</v>
      </c>
      <c r="AA9" s="231" t="n">
        <f aca="false">Model!AC242+Model!AC243+Model!AC244+Model!AC245</f>
        <v>0</v>
      </c>
      <c r="AB9" s="231" t="n">
        <f aca="false">Model!AD242+Model!AD243+Model!AD244+Model!AD245</f>
        <v>0</v>
      </c>
      <c r="AC9" s="231" t="n">
        <f aca="false">Model!AE242+Model!AE243+Model!AE244+Model!AE245</f>
        <v>57375</v>
      </c>
      <c r="AD9" s="231" t="n">
        <f aca="false">Model!AF242+Model!AF243+Model!AF244+Model!AF245</f>
        <v>0</v>
      </c>
      <c r="AE9" s="231" t="n">
        <f aca="false">Model!AG242+Model!AG243+Model!AG244+Model!AG245</f>
        <v>0</v>
      </c>
      <c r="AF9" s="231" t="n">
        <f aca="false">Model!AH242+Model!AH243+Model!AH244+Model!AH245</f>
        <v>0</v>
      </c>
      <c r="AG9" s="231" t="n">
        <f aca="false">Model!AI242+Model!AI243+Model!AI244+Model!AI245</f>
        <v>0</v>
      </c>
      <c r="AH9" s="231" t="n">
        <f aca="false">Model!AJ242+Model!AJ243+Model!AJ244+Model!AJ245</f>
        <v>0</v>
      </c>
      <c r="AI9" s="231" t="n">
        <f aca="false">Model!AK242+Model!AK243+Model!AK244+Model!AK245</f>
        <v>0</v>
      </c>
      <c r="AJ9" s="231" t="n">
        <f aca="false">Model!AL242+Model!AL243+Model!AL244+Model!AL245</f>
        <v>0</v>
      </c>
      <c r="AK9" s="231" t="n">
        <f aca="false">Model!AM242+Model!AM243+Model!AM244+Model!AM245</f>
        <v>0</v>
      </c>
      <c r="AL9" s="231" t="n">
        <f aca="false">Model!AN242+Model!AN243+Model!AN244+Model!AN245</f>
        <v>0</v>
      </c>
      <c r="AM9" s="231" t="n">
        <f aca="false">Model!AO242+Model!AO243+Model!AO244+Model!AO245</f>
        <v>0</v>
      </c>
      <c r="AN9" s="231" t="n">
        <f aca="false">Model!AP242+Model!AP243+Model!AP244+Model!AP245</f>
        <v>0</v>
      </c>
      <c r="AO9" s="231" t="n">
        <f aca="false">Model!AQ242+Model!AQ243+Model!AQ244+Model!AQ245</f>
        <v>0</v>
      </c>
      <c r="AP9" s="231" t="n">
        <f aca="false">Model!AR242+Model!AR243+Model!AR244+Model!AR245</f>
        <v>0</v>
      </c>
      <c r="AQ9" s="231" t="n">
        <f aca="false">Model!AS242+Model!AS243+Model!AS244+Model!AS245</f>
        <v>0</v>
      </c>
      <c r="AR9" s="231" t="n">
        <f aca="false">Model!AT242+Model!AT243+Model!AT244+Model!AT245</f>
        <v>0</v>
      </c>
      <c r="AS9" s="231" t="n">
        <f aca="false">Model!AU242+Model!AU243+Model!AU244+Model!AU245</f>
        <v>0</v>
      </c>
      <c r="AT9" s="231" t="n">
        <f aca="false">Model!AV242+Model!AV243+Model!AV244+Model!AV245</f>
        <v>0</v>
      </c>
      <c r="AU9" s="231" t="n">
        <f aca="false">Model!AW242+Model!AW243+Model!AW244+Model!AW245</f>
        <v>0</v>
      </c>
      <c r="AV9" s="231" t="n">
        <f aca="false">Model!AX242+Model!AX243+Model!AX244+Model!AX245</f>
        <v>0</v>
      </c>
      <c r="AW9" s="231" t="n">
        <f aca="false">Model!AY242+Model!AY243+Model!AY244+Model!AY245</f>
        <v>0</v>
      </c>
      <c r="AX9" s="231" t="n">
        <f aca="false">Model!AZ242+Model!AZ243+Model!AZ244+Model!AZ245</f>
        <v>0</v>
      </c>
      <c r="AY9" s="231" t="n">
        <f aca="false">Model!BA242+Model!BA243+Model!BA244+Model!BA245</f>
        <v>0</v>
      </c>
      <c r="AZ9" s="231" t="n">
        <f aca="false">Model!BB242+Model!BB243+Model!BB244+Model!BB245</f>
        <v>0</v>
      </c>
      <c r="BA9" s="231" t="n">
        <f aca="false">Model!BC242+Model!BC243+Model!BC244+Model!BC245</f>
        <v>0</v>
      </c>
      <c r="BB9" s="231" t="n">
        <f aca="false">Model!BD242+Model!BD243+Model!BD244+Model!BD245</f>
        <v>0</v>
      </c>
      <c r="BC9" s="231" t="n">
        <f aca="false">Model!BE242+Model!BE243+Model!BE244+Model!BE245</f>
        <v>0</v>
      </c>
      <c r="BD9" s="231" t="n">
        <f aca="false">Model!BF242+Model!BF243+Model!BF244+Model!BF245</f>
        <v>0</v>
      </c>
      <c r="BE9" s="231" t="n">
        <f aca="false">Model!BG242+Model!BG243+Model!BG244+Model!BG245</f>
        <v>0</v>
      </c>
      <c r="BF9" s="231" t="n">
        <f aca="false">Model!BH242+Model!BH243+Model!BH244+Model!BH245</f>
        <v>0</v>
      </c>
      <c r="BG9" s="231" t="n">
        <f aca="false">Model!BI242+Model!BI243+Model!BI244+Model!BI245</f>
        <v>0</v>
      </c>
      <c r="BH9" s="231" t="n">
        <f aca="false">Model!BJ242+Model!BJ243+Model!BJ244+Model!BJ245</f>
        <v>0</v>
      </c>
      <c r="BI9" s="231" t="n">
        <f aca="false">Model!BK242+Model!BK243+Model!BK244+Model!BK245</f>
        <v>0</v>
      </c>
      <c r="BJ9" s="231" t="n">
        <f aca="false">Model!BL242+Model!BL243+Model!BL244+Model!BL245</f>
        <v>0</v>
      </c>
      <c r="BK9" s="231" t="n">
        <f aca="false">Model!BM242+Model!BM243+Model!BM244+Model!BM245</f>
        <v>0</v>
      </c>
      <c r="BL9" s="231" t="n">
        <f aca="false">Model!BN242+Model!BN243+Model!BN244+Model!BN245</f>
        <v>0</v>
      </c>
      <c r="BM9" s="231" t="n">
        <f aca="false">Model!BO242+Model!BO243+Model!BO244+Model!BO245</f>
        <v>0</v>
      </c>
      <c r="BN9" s="231" t="n">
        <f aca="false">Model!BP242+Model!BP243+Model!BP244+Model!BP245</f>
        <v>0</v>
      </c>
      <c r="BO9" s="231" t="n">
        <f aca="false">Model!BQ242+Model!BQ243+Model!BQ244+Model!BQ245</f>
        <v>0</v>
      </c>
      <c r="BP9" s="231" t="n">
        <f aca="false">Model!BR242+Model!BR243+Model!BR244+Model!BR245</f>
        <v>0</v>
      </c>
      <c r="BQ9" s="231" t="n">
        <f aca="false">Model!BS242+Model!BS243+Model!BS244+Model!BS245</f>
        <v>0</v>
      </c>
      <c r="BR9" s="231" t="n">
        <f aca="false">Model!BT242+Model!BT243+Model!BT244+Model!BT245</f>
        <v>0</v>
      </c>
      <c r="BS9" s="231" t="n">
        <f aca="false">Model!BU242+Model!BU243+Model!BU244+Model!BU245</f>
        <v>0</v>
      </c>
      <c r="BT9" s="231" t="n">
        <f aca="false">Model!BV242+Model!BV243+Model!BV244+Model!BV245</f>
        <v>0</v>
      </c>
      <c r="BU9" s="231" t="n">
        <f aca="false">Model!BW242+Model!BW243+Model!BW244+Model!BW245</f>
        <v>0</v>
      </c>
      <c r="BV9" s="231" t="n">
        <f aca="false">Model!BX242+Model!BX243+Model!BX244+Model!BX245</f>
        <v>0</v>
      </c>
      <c r="BW9" s="231" t="n">
        <f aca="false">Model!BY242+Model!BY243+Model!BY244+Model!BY245</f>
        <v>0</v>
      </c>
      <c r="BX9" s="231" t="n">
        <f aca="false">Model!BZ242+Model!BZ243+Model!BZ244+Model!BZ245</f>
        <v>0</v>
      </c>
      <c r="BY9" s="231" t="n">
        <f aca="false">Model!CA242+Model!CA243+Model!CA244+Model!CA245</f>
        <v>0</v>
      </c>
      <c r="BZ9" s="231" t="n">
        <f aca="false">Model!CB242+Model!CB243+Model!CB244+Model!CB245</f>
        <v>0</v>
      </c>
      <c r="CA9" s="231" t="n">
        <f aca="false">Model!CC242+Model!CC243+Model!CC244+Model!CC245</f>
        <v>0</v>
      </c>
      <c r="CB9" s="231" t="n">
        <f aca="false">Model!CD242+Model!CD243+Model!CD244+Model!CD245</f>
        <v>0</v>
      </c>
      <c r="CC9" s="231" t="n">
        <f aca="false">Model!CE242+Model!CE243+Model!CE244+Model!CE245</f>
        <v>0</v>
      </c>
      <c r="CD9" s="231" t="n">
        <f aca="false">Model!CF242+Model!CF243+Model!CF244+Model!CF245</f>
        <v>0</v>
      </c>
      <c r="CE9" s="231" t="n">
        <f aca="false">Model!CG242+Model!CG243+Model!CG244+Model!CG245</f>
        <v>0</v>
      </c>
      <c r="CF9" s="231" t="n">
        <f aca="false">Model!CH242+Model!CH243+Model!CH244+Model!CH245</f>
        <v>0</v>
      </c>
      <c r="CG9" s="231" t="n">
        <f aca="false">Model!CI242+Model!CI243+Model!CI244+Model!CI245</f>
        <v>0</v>
      </c>
      <c r="CH9" s="231" t="n">
        <f aca="false">Model!CJ242+Model!CJ243+Model!CJ244+Model!CJ245</f>
        <v>0</v>
      </c>
    </row>
    <row r="10" customFormat="false" ht="15" hidden="false" customHeight="true" outlineLevel="0" collapsed="false">
      <c r="A10" s="232" t="s">
        <v>756</v>
      </c>
      <c r="B10" s="232"/>
      <c r="C10" s="233" t="n">
        <f aca="false">C9</f>
        <v>23906.25</v>
      </c>
      <c r="D10" s="233" t="n">
        <f aca="false">D9</f>
        <v>23906.25</v>
      </c>
      <c r="E10" s="233" t="n">
        <f aca="false">E9</f>
        <v>23906.25</v>
      </c>
      <c r="F10" s="233" t="n">
        <f aca="false">F9</f>
        <v>23906.25</v>
      </c>
      <c r="G10" s="233" t="n">
        <f aca="false">G9</f>
        <v>23906.25</v>
      </c>
      <c r="H10" s="233" t="n">
        <f aca="false">H9</f>
        <v>23906.25</v>
      </c>
      <c r="I10" s="233" t="n">
        <f aca="false">I9</f>
        <v>23906.25</v>
      </c>
      <c r="J10" s="233" t="n">
        <f aca="false">J9</f>
        <v>23906.25</v>
      </c>
      <c r="K10" s="233" t="n">
        <f aca="false">K9</f>
        <v>23906.25</v>
      </c>
      <c r="L10" s="233" t="n">
        <f aca="false">L9</f>
        <v>23906.25</v>
      </c>
      <c r="M10" s="233" t="n">
        <f aca="false">M9</f>
        <v>23906.25</v>
      </c>
      <c r="N10" s="233" t="n">
        <f aca="false">N9</f>
        <v>23906.25</v>
      </c>
      <c r="O10" s="233" t="n">
        <f aca="false">O9</f>
        <v>23906.25</v>
      </c>
      <c r="P10" s="233" t="n">
        <f aca="false">P9</f>
        <v>23906.25</v>
      </c>
      <c r="Q10" s="233" t="n">
        <f aca="false">Q9</f>
        <v>23906.25</v>
      </c>
      <c r="R10" s="233" t="n">
        <f aca="false">R9</f>
        <v>0</v>
      </c>
      <c r="S10" s="233" t="n">
        <f aca="false">S9</f>
        <v>0</v>
      </c>
      <c r="T10" s="233" t="n">
        <f aca="false">T9</f>
        <v>0</v>
      </c>
      <c r="U10" s="233" t="n">
        <f aca="false">U9</f>
        <v>0</v>
      </c>
      <c r="V10" s="233" t="n">
        <f aca="false">V9</f>
        <v>0</v>
      </c>
      <c r="W10" s="233" t="n">
        <f aca="false">W9</f>
        <v>57375</v>
      </c>
      <c r="X10" s="233" t="n">
        <f aca="false">X9</f>
        <v>0</v>
      </c>
      <c r="Y10" s="233" t="n">
        <f aca="false">Y9</f>
        <v>0</v>
      </c>
      <c r="Z10" s="233" t="n">
        <f aca="false">Z9</f>
        <v>57375</v>
      </c>
      <c r="AA10" s="233" t="n">
        <f aca="false">AA9</f>
        <v>0</v>
      </c>
      <c r="AB10" s="233" t="n">
        <f aca="false">AB9</f>
        <v>0</v>
      </c>
      <c r="AC10" s="233" t="n">
        <f aca="false">AC9</f>
        <v>57375</v>
      </c>
      <c r="AD10" s="233" t="n">
        <f aca="false">AD9</f>
        <v>0</v>
      </c>
      <c r="AE10" s="233" t="n">
        <f aca="false">AE9</f>
        <v>0</v>
      </c>
      <c r="AF10" s="233" t="n">
        <f aca="false">AF9</f>
        <v>0</v>
      </c>
      <c r="AG10" s="233" t="n">
        <f aca="false">AG9</f>
        <v>0</v>
      </c>
      <c r="AH10" s="233" t="n">
        <f aca="false">AH9</f>
        <v>0</v>
      </c>
      <c r="AI10" s="233" t="n">
        <f aca="false">AI9</f>
        <v>0</v>
      </c>
      <c r="AJ10" s="233" t="n">
        <f aca="false">AJ9</f>
        <v>0</v>
      </c>
      <c r="AK10" s="233" t="n">
        <f aca="false">AK9</f>
        <v>0</v>
      </c>
      <c r="AL10" s="233" t="n">
        <f aca="false">AL9</f>
        <v>0</v>
      </c>
      <c r="AM10" s="233" t="n">
        <f aca="false">AM9</f>
        <v>0</v>
      </c>
      <c r="AN10" s="233" t="n">
        <f aca="false">AN9</f>
        <v>0</v>
      </c>
      <c r="AO10" s="233" t="n">
        <f aca="false">AO9</f>
        <v>0</v>
      </c>
      <c r="AP10" s="233" t="n">
        <f aca="false">AP9</f>
        <v>0</v>
      </c>
      <c r="AQ10" s="233" t="n">
        <f aca="false">AQ9</f>
        <v>0</v>
      </c>
      <c r="AR10" s="233" t="n">
        <f aca="false">AR9</f>
        <v>0</v>
      </c>
      <c r="AS10" s="233" t="n">
        <f aca="false">AS9</f>
        <v>0</v>
      </c>
      <c r="AT10" s="233" t="n">
        <f aca="false">AT9</f>
        <v>0</v>
      </c>
      <c r="AU10" s="233" t="n">
        <f aca="false">AU9</f>
        <v>0</v>
      </c>
      <c r="AV10" s="233" t="n">
        <f aca="false">AV9</f>
        <v>0</v>
      </c>
      <c r="AW10" s="233" t="n">
        <f aca="false">AW9</f>
        <v>0</v>
      </c>
      <c r="AX10" s="233" t="n">
        <f aca="false">AX9</f>
        <v>0</v>
      </c>
      <c r="AY10" s="233" t="n">
        <f aca="false">AY9</f>
        <v>0</v>
      </c>
      <c r="AZ10" s="233" t="n">
        <f aca="false">AZ9</f>
        <v>0</v>
      </c>
      <c r="BA10" s="233" t="n">
        <f aca="false">BA9</f>
        <v>0</v>
      </c>
      <c r="BB10" s="233" t="n">
        <f aca="false">BB9</f>
        <v>0</v>
      </c>
      <c r="BC10" s="233" t="n">
        <f aca="false">BC9</f>
        <v>0</v>
      </c>
      <c r="BD10" s="233" t="n">
        <f aca="false">BD9</f>
        <v>0</v>
      </c>
      <c r="BE10" s="233" t="n">
        <f aca="false">BE9</f>
        <v>0</v>
      </c>
      <c r="BF10" s="233" t="n">
        <f aca="false">BF9</f>
        <v>0</v>
      </c>
      <c r="BG10" s="233" t="n">
        <f aca="false">BG9</f>
        <v>0</v>
      </c>
      <c r="BH10" s="233" t="n">
        <f aca="false">BH9</f>
        <v>0</v>
      </c>
      <c r="BI10" s="233" t="n">
        <f aca="false">BI9</f>
        <v>0</v>
      </c>
      <c r="BJ10" s="233" t="n">
        <f aca="false">BJ9</f>
        <v>0</v>
      </c>
      <c r="BK10" s="233" t="n">
        <f aca="false">BK9</f>
        <v>0</v>
      </c>
      <c r="BL10" s="233" t="n">
        <f aca="false">BL9</f>
        <v>0</v>
      </c>
      <c r="BM10" s="233" t="n">
        <f aca="false">BM9</f>
        <v>0</v>
      </c>
      <c r="BN10" s="233" t="n">
        <f aca="false">BN9</f>
        <v>0</v>
      </c>
      <c r="BO10" s="233" t="n">
        <f aca="false">BO9</f>
        <v>0</v>
      </c>
      <c r="BP10" s="233" t="n">
        <f aca="false">BP9</f>
        <v>0</v>
      </c>
      <c r="BQ10" s="233" t="n">
        <f aca="false">BQ9</f>
        <v>0</v>
      </c>
      <c r="BR10" s="233" t="n">
        <f aca="false">BR9</f>
        <v>0</v>
      </c>
      <c r="BS10" s="233" t="n">
        <f aca="false">BS9</f>
        <v>0</v>
      </c>
      <c r="BT10" s="233" t="n">
        <f aca="false">BT9</f>
        <v>0</v>
      </c>
      <c r="BU10" s="233" t="n">
        <f aca="false">BU9</f>
        <v>0</v>
      </c>
      <c r="BV10" s="233" t="n">
        <f aca="false">BV9</f>
        <v>0</v>
      </c>
      <c r="BW10" s="233" t="n">
        <f aca="false">BW9</f>
        <v>0</v>
      </c>
      <c r="BX10" s="233" t="n">
        <f aca="false">BX9</f>
        <v>0</v>
      </c>
      <c r="BY10" s="233" t="n">
        <f aca="false">BY9</f>
        <v>0</v>
      </c>
      <c r="BZ10" s="233" t="n">
        <f aca="false">BZ9</f>
        <v>0</v>
      </c>
      <c r="CA10" s="233" t="n">
        <f aca="false">CA9</f>
        <v>0</v>
      </c>
      <c r="CB10" s="233" t="n">
        <f aca="false">CB9</f>
        <v>0</v>
      </c>
      <c r="CC10" s="233" t="n">
        <f aca="false">CC9</f>
        <v>0</v>
      </c>
      <c r="CD10" s="233" t="n">
        <f aca="false">CD9</f>
        <v>0</v>
      </c>
      <c r="CE10" s="233" t="n">
        <f aca="false">CE9</f>
        <v>0</v>
      </c>
      <c r="CF10" s="233" t="n">
        <f aca="false">CF9</f>
        <v>0</v>
      </c>
      <c r="CG10" s="233" t="n">
        <f aca="false">CG9</f>
        <v>0</v>
      </c>
      <c r="CH10" s="233" t="n">
        <f aca="false">CH9</f>
        <v>0</v>
      </c>
    </row>
    <row r="11" customFormat="false" ht="15" hidden="false" customHeight="true" outlineLevel="0" collapsed="false">
      <c r="A11" s="2" t="s">
        <v>757</v>
      </c>
      <c r="B11" s="3"/>
      <c r="C11" s="234" t="n">
        <f aca="false">C10</f>
        <v>23906.25</v>
      </c>
      <c r="D11" s="234" t="n">
        <f aca="false">C11+D10</f>
        <v>47812.5</v>
      </c>
      <c r="E11" s="234" t="n">
        <f aca="false">D11+E10</f>
        <v>71718.75</v>
      </c>
      <c r="F11" s="234" t="n">
        <f aca="false">E11+F10</f>
        <v>95625</v>
      </c>
      <c r="G11" s="234" t="n">
        <f aca="false">F11+G10</f>
        <v>119531.25</v>
      </c>
      <c r="H11" s="234" t="n">
        <f aca="false">G11+H10</f>
        <v>143437.5</v>
      </c>
      <c r="I11" s="234" t="n">
        <f aca="false">H11+I10</f>
        <v>167343.75</v>
      </c>
      <c r="J11" s="234" t="n">
        <f aca="false">I11+J10</f>
        <v>191250</v>
      </c>
      <c r="K11" s="234" t="n">
        <f aca="false">J11+K10</f>
        <v>215156.25</v>
      </c>
      <c r="L11" s="234" t="n">
        <f aca="false">K11+L10</f>
        <v>239062.5</v>
      </c>
      <c r="M11" s="234" t="n">
        <f aca="false">L11+M10</f>
        <v>262968.75</v>
      </c>
      <c r="N11" s="234" t="n">
        <f aca="false">M11+N10</f>
        <v>286875</v>
      </c>
      <c r="O11" s="234" t="n">
        <f aca="false">N11+O10</f>
        <v>310781.25</v>
      </c>
      <c r="P11" s="234" t="n">
        <f aca="false">O11+P10</f>
        <v>334687.5</v>
      </c>
      <c r="Q11" s="234" t="n">
        <f aca="false">P11+Q10</f>
        <v>358593.75</v>
      </c>
      <c r="R11" s="234" t="n">
        <f aca="false">Q11+R10</f>
        <v>358593.75</v>
      </c>
      <c r="S11" s="234" t="n">
        <f aca="false">R11+S10</f>
        <v>358593.75</v>
      </c>
      <c r="T11" s="234" t="n">
        <f aca="false">S11+T10</f>
        <v>358593.75</v>
      </c>
      <c r="U11" s="234" t="n">
        <f aca="false">T11+U10</f>
        <v>358593.75</v>
      </c>
      <c r="V11" s="234" t="n">
        <f aca="false">U11+V10</f>
        <v>358593.75</v>
      </c>
      <c r="W11" s="234" t="n">
        <f aca="false">V11+W10</f>
        <v>415968.75</v>
      </c>
      <c r="X11" s="234" t="n">
        <f aca="false">W11+X10</f>
        <v>415968.75</v>
      </c>
      <c r="Y11" s="234" t="n">
        <f aca="false">X11+Y10</f>
        <v>415968.75</v>
      </c>
      <c r="Z11" s="234" t="n">
        <f aca="false">Y11+Z10</f>
        <v>473343.75</v>
      </c>
      <c r="AA11" s="234" t="n">
        <f aca="false">Z11+AA10</f>
        <v>473343.75</v>
      </c>
      <c r="AB11" s="234" t="n">
        <f aca="false">AA11+AB10</f>
        <v>473343.75</v>
      </c>
      <c r="AC11" s="234" t="n">
        <f aca="false">AB11+AC10</f>
        <v>530718.75</v>
      </c>
      <c r="AD11" s="234" t="n">
        <f aca="false">AC11+AD10</f>
        <v>530718.75</v>
      </c>
      <c r="AE11" s="234" t="n">
        <f aca="false">AD11+AE10</f>
        <v>530718.75</v>
      </c>
      <c r="AF11" s="234" t="n">
        <f aca="false">AE11+AF10</f>
        <v>530718.75</v>
      </c>
      <c r="AG11" s="234" t="n">
        <f aca="false">AF11+AG10</f>
        <v>530718.75</v>
      </c>
      <c r="AH11" s="234" t="n">
        <f aca="false">AG11+AH10</f>
        <v>530718.75</v>
      </c>
      <c r="AI11" s="234" t="n">
        <f aca="false">AH11+AI10</f>
        <v>530718.75</v>
      </c>
      <c r="AJ11" s="234" t="n">
        <f aca="false">AI11+AJ10</f>
        <v>530718.75</v>
      </c>
      <c r="AK11" s="234" t="n">
        <f aca="false">AJ11+AK10</f>
        <v>530718.75</v>
      </c>
      <c r="AL11" s="234" t="n">
        <f aca="false">AK11+AL10</f>
        <v>530718.75</v>
      </c>
      <c r="AM11" s="234" t="n">
        <f aca="false">AL11+AM10</f>
        <v>530718.75</v>
      </c>
      <c r="AN11" s="234" t="n">
        <f aca="false">AM11+AN10</f>
        <v>530718.75</v>
      </c>
      <c r="AO11" s="234" t="n">
        <f aca="false">AN11+AO10</f>
        <v>530718.75</v>
      </c>
      <c r="AP11" s="234" t="n">
        <f aca="false">AO11+AP10</f>
        <v>530718.75</v>
      </c>
      <c r="AQ11" s="234" t="n">
        <f aca="false">AP11+AQ10</f>
        <v>530718.75</v>
      </c>
      <c r="AR11" s="234" t="n">
        <f aca="false">AQ11+AR10</f>
        <v>530718.75</v>
      </c>
      <c r="AS11" s="234" t="n">
        <f aca="false">AR11+AS10</f>
        <v>530718.75</v>
      </c>
      <c r="AT11" s="234" t="n">
        <f aca="false">AS11+AT10</f>
        <v>530718.75</v>
      </c>
      <c r="AU11" s="234" t="n">
        <f aca="false">AT11+AU10</f>
        <v>530718.75</v>
      </c>
      <c r="AV11" s="234" t="n">
        <f aca="false">AU11+AV10</f>
        <v>530718.75</v>
      </c>
      <c r="AW11" s="234" t="n">
        <f aca="false">AV11+AW10</f>
        <v>530718.75</v>
      </c>
      <c r="AX11" s="234" t="n">
        <f aca="false">AW11+AX10</f>
        <v>530718.75</v>
      </c>
      <c r="AY11" s="234" t="n">
        <f aca="false">AX11+AY10</f>
        <v>530718.75</v>
      </c>
      <c r="AZ11" s="234" t="n">
        <f aca="false">AY11+AZ10</f>
        <v>530718.75</v>
      </c>
      <c r="BA11" s="234" t="n">
        <f aca="false">AZ11+BA10</f>
        <v>530718.75</v>
      </c>
      <c r="BB11" s="234" t="n">
        <f aca="false">BA11+BB10</f>
        <v>530718.75</v>
      </c>
      <c r="BC11" s="234" t="n">
        <f aca="false">BB11+BC10</f>
        <v>530718.75</v>
      </c>
      <c r="BD11" s="234" t="n">
        <f aca="false">BC11+BD10</f>
        <v>530718.75</v>
      </c>
      <c r="BE11" s="234" t="n">
        <f aca="false">BD11+BE10</f>
        <v>530718.75</v>
      </c>
      <c r="BF11" s="234" t="n">
        <f aca="false">BE11+BF10</f>
        <v>530718.75</v>
      </c>
      <c r="BG11" s="234" t="n">
        <f aca="false">BF11+BG10</f>
        <v>530718.75</v>
      </c>
      <c r="BH11" s="234" t="n">
        <f aca="false">BG11+BH10</f>
        <v>530718.75</v>
      </c>
      <c r="BI11" s="234" t="n">
        <f aca="false">BH11+BI10</f>
        <v>530718.75</v>
      </c>
      <c r="BJ11" s="234" t="n">
        <f aca="false">BI11+BJ10</f>
        <v>530718.75</v>
      </c>
      <c r="BK11" s="234" t="n">
        <f aca="false">BJ11+BK10</f>
        <v>530718.75</v>
      </c>
      <c r="BL11" s="234" t="n">
        <f aca="false">BK11+BL10</f>
        <v>530718.75</v>
      </c>
      <c r="BM11" s="234" t="n">
        <f aca="false">BL11+BM10</f>
        <v>530718.75</v>
      </c>
      <c r="BN11" s="234" t="n">
        <f aca="false">BM11+BN10</f>
        <v>530718.75</v>
      </c>
      <c r="BO11" s="234" t="n">
        <f aca="false">BN11+BO10</f>
        <v>530718.75</v>
      </c>
      <c r="BP11" s="234" t="n">
        <f aca="false">BO11+BP10</f>
        <v>530718.75</v>
      </c>
      <c r="BQ11" s="234" t="n">
        <f aca="false">BP11+BQ10</f>
        <v>530718.75</v>
      </c>
      <c r="BR11" s="234" t="n">
        <f aca="false">BQ11+BR10</f>
        <v>530718.75</v>
      </c>
      <c r="BS11" s="234" t="n">
        <f aca="false">BR11+BS10</f>
        <v>530718.75</v>
      </c>
      <c r="BT11" s="234" t="n">
        <f aca="false">BS11+BT10</f>
        <v>530718.75</v>
      </c>
      <c r="BU11" s="234" t="n">
        <f aca="false">BT11+BU10</f>
        <v>530718.75</v>
      </c>
      <c r="BV11" s="234" t="n">
        <f aca="false">BU11+BV10</f>
        <v>530718.75</v>
      </c>
      <c r="BW11" s="234" t="n">
        <f aca="false">BV11+BW10</f>
        <v>530718.75</v>
      </c>
      <c r="BX11" s="234" t="n">
        <f aca="false">BW11+BX10</f>
        <v>530718.75</v>
      </c>
      <c r="BY11" s="234" t="n">
        <f aca="false">BX11+BY10</f>
        <v>530718.75</v>
      </c>
      <c r="BZ11" s="234" t="n">
        <f aca="false">BY11+BZ10</f>
        <v>530718.75</v>
      </c>
      <c r="CA11" s="234" t="n">
        <f aca="false">BZ11+CA10</f>
        <v>530718.75</v>
      </c>
      <c r="CB11" s="234" t="n">
        <f aca="false">CA11+CB10</f>
        <v>530718.75</v>
      </c>
      <c r="CC11" s="234" t="n">
        <f aca="false">CB11+CC10</f>
        <v>530718.75</v>
      </c>
      <c r="CD11" s="234" t="n">
        <f aca="false">CC11+CD10</f>
        <v>530718.75</v>
      </c>
      <c r="CE11" s="234" t="n">
        <f aca="false">CD11+CE10</f>
        <v>530718.75</v>
      </c>
      <c r="CF11" s="234" t="n">
        <f aca="false">CE11+CF10</f>
        <v>530718.75</v>
      </c>
      <c r="CG11" s="234" t="n">
        <f aca="false">CF11+CG10</f>
        <v>530718.75</v>
      </c>
      <c r="CH11" s="234" t="n">
        <f aca="false">CG11+CH10</f>
        <v>530718.75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755</v>
      </c>
      <c r="B14" s="3"/>
      <c r="C14" s="231" t="n">
        <f aca="false">Model!E248+Model!E249+Model!E250</f>
        <v>0</v>
      </c>
      <c r="D14" s="231" t="n">
        <f aca="false">Model!F248+Model!F249+Model!F250</f>
        <v>0</v>
      </c>
      <c r="E14" s="231" t="n">
        <f aca="false">Model!G248+Model!G249+Model!G250</f>
        <v>0</v>
      </c>
      <c r="F14" s="231" t="n">
        <f aca="false">Model!H248+Model!H249+Model!H250</f>
        <v>0</v>
      </c>
      <c r="G14" s="231" t="n">
        <f aca="false">Model!I248+Model!I249+Model!I250</f>
        <v>0</v>
      </c>
      <c r="H14" s="231" t="n">
        <f aca="false">Model!J248+Model!J249+Model!J250</f>
        <v>0</v>
      </c>
      <c r="I14" s="231" t="n">
        <f aca="false">Model!K248+Model!K249+Model!K250</f>
        <v>0</v>
      </c>
      <c r="J14" s="231" t="n">
        <f aca="false">Model!L248+Model!L249+Model!L250</f>
        <v>0</v>
      </c>
      <c r="K14" s="231" t="n">
        <f aca="false">Model!M248+Model!M249+Model!M250</f>
        <v>0</v>
      </c>
      <c r="L14" s="231" t="n">
        <f aca="false">Model!N248+Model!N249+Model!N250</f>
        <v>0</v>
      </c>
      <c r="M14" s="231" t="n">
        <f aca="false">Model!O248+Model!O249+Model!O250</f>
        <v>3157.89473684211</v>
      </c>
      <c r="N14" s="231" t="n">
        <f aca="false">Model!P248+Model!P249+Model!P250</f>
        <v>3157.89473684211</v>
      </c>
      <c r="O14" s="231" t="n">
        <f aca="false">Model!Q248+Model!Q249+Model!Q250</f>
        <v>3157.89473684211</v>
      </c>
      <c r="P14" s="231" t="n">
        <f aca="false">Model!R248+Model!R249+Model!R250</f>
        <v>3157.89473684211</v>
      </c>
      <c r="Q14" s="231" t="n">
        <f aca="false">Model!S248+Model!S249+Model!S250</f>
        <v>3157.89473684211</v>
      </c>
      <c r="R14" s="231" t="n">
        <f aca="false">Model!T248+Model!T249+Model!T250</f>
        <v>3157.89473684211</v>
      </c>
      <c r="S14" s="231" t="n">
        <f aca="false">Model!U248+Model!U249+Model!U250</f>
        <v>3157.89473684211</v>
      </c>
      <c r="T14" s="231" t="n">
        <f aca="false">Model!V248+Model!V249+Model!V250</f>
        <v>3157.89473684211</v>
      </c>
      <c r="U14" s="231" t="n">
        <f aca="false">Model!W248+Model!W249+Model!W250</f>
        <v>3157.89473684211</v>
      </c>
      <c r="V14" s="231" t="n">
        <f aca="false">Model!X248+Model!X249+Model!X250</f>
        <v>3157.89473684211</v>
      </c>
      <c r="W14" s="231" t="n">
        <f aca="false">Model!Y248+Model!Y249+Model!Y250</f>
        <v>3157.89473684211</v>
      </c>
      <c r="X14" s="231" t="n">
        <f aca="false">Model!Z248+Model!Z249+Model!Z250</f>
        <v>3157.89473684211</v>
      </c>
      <c r="Y14" s="231" t="n">
        <f aca="false">Model!AA248+Model!AA249+Model!AA250</f>
        <v>3157.89473684211</v>
      </c>
      <c r="Z14" s="231" t="n">
        <f aca="false">Model!AB248+Model!AB249+Model!AB250</f>
        <v>3157.89473684211</v>
      </c>
      <c r="AA14" s="231" t="n">
        <f aca="false">Model!AC248+Model!AC249+Model!AC250</f>
        <v>3157.89473684211</v>
      </c>
      <c r="AB14" s="231" t="n">
        <f aca="false">Model!AD248+Model!AD249+Model!AD250</f>
        <v>3157.89473684211</v>
      </c>
      <c r="AC14" s="231" t="n">
        <f aca="false">Model!AE248+Model!AE249+Model!AE250</f>
        <v>3157.89473684211</v>
      </c>
      <c r="AD14" s="231" t="n">
        <f aca="false">Model!AF248+Model!AF249+Model!AF250</f>
        <v>3157.89473684211</v>
      </c>
      <c r="AE14" s="231" t="n">
        <f aca="false">Model!AG248+Model!AG249+Model!AG250</f>
        <v>3157.89473684211</v>
      </c>
      <c r="AF14" s="231" t="n">
        <f aca="false">Model!AH248+Model!AH249+Model!AH250</f>
        <v>0</v>
      </c>
      <c r="AG14" s="231" t="n">
        <f aca="false">Model!AI248+Model!AI249+Model!AI250</f>
        <v>0</v>
      </c>
      <c r="AH14" s="231" t="n">
        <f aca="false">Model!AJ248+Model!AJ249+Model!AJ250</f>
        <v>0</v>
      </c>
      <c r="AI14" s="231" t="n">
        <f aca="false">Model!AK248+Model!AK249+Model!AK250</f>
        <v>0</v>
      </c>
      <c r="AJ14" s="231" t="n">
        <f aca="false">Model!AL248+Model!AL249+Model!AL250</f>
        <v>0</v>
      </c>
      <c r="AK14" s="231" t="n">
        <f aca="false">Model!AM248+Model!AM249+Model!AM250</f>
        <v>0</v>
      </c>
      <c r="AL14" s="231" t="n">
        <f aca="false">Model!AN248+Model!AN249+Model!AN250</f>
        <v>0</v>
      </c>
      <c r="AM14" s="231" t="n">
        <f aca="false">Model!AO248+Model!AO249+Model!AO250</f>
        <v>0</v>
      </c>
      <c r="AN14" s="231" t="n">
        <f aca="false">Model!AP248+Model!AP249+Model!AP250</f>
        <v>0</v>
      </c>
      <c r="AO14" s="231" t="n">
        <f aca="false">Model!AQ248+Model!AQ249+Model!AQ250</f>
        <v>0</v>
      </c>
      <c r="AP14" s="231" t="n">
        <f aca="false">Model!AR248+Model!AR249+Model!AR250</f>
        <v>0</v>
      </c>
      <c r="AQ14" s="231" t="n">
        <f aca="false">Model!AS248+Model!AS249+Model!AS250</f>
        <v>0</v>
      </c>
      <c r="AR14" s="231" t="n">
        <f aca="false">Model!AT248+Model!AT249+Model!AT250</f>
        <v>0</v>
      </c>
      <c r="AS14" s="231" t="n">
        <f aca="false">Model!AU248+Model!AU249+Model!AU250</f>
        <v>0</v>
      </c>
      <c r="AT14" s="231" t="n">
        <f aca="false">Model!AV248+Model!AV249+Model!AV250</f>
        <v>0</v>
      </c>
      <c r="AU14" s="231" t="n">
        <f aca="false">Model!AW248+Model!AW249+Model!AW250</f>
        <v>0</v>
      </c>
      <c r="AV14" s="231" t="n">
        <f aca="false">Model!AX248+Model!AX249+Model!AX250</f>
        <v>0</v>
      </c>
      <c r="AW14" s="231" t="n">
        <f aca="false">Model!AY248+Model!AY249+Model!AY250</f>
        <v>0</v>
      </c>
      <c r="AX14" s="231" t="n">
        <f aca="false">Model!AZ248+Model!AZ249+Model!AZ250</f>
        <v>0</v>
      </c>
      <c r="AY14" s="231" t="n">
        <f aca="false">Model!BA248+Model!BA249+Model!BA250</f>
        <v>0</v>
      </c>
      <c r="AZ14" s="231" t="n">
        <f aca="false">Model!BB248+Model!BB249+Model!BB250</f>
        <v>0</v>
      </c>
      <c r="BA14" s="231" t="n">
        <f aca="false">Model!BC248+Model!BC249+Model!BC250</f>
        <v>0</v>
      </c>
      <c r="BB14" s="231" t="n">
        <f aca="false">Model!BD248+Model!BD249+Model!BD250</f>
        <v>0</v>
      </c>
      <c r="BC14" s="231" t="n">
        <f aca="false">Model!BE248+Model!BE249+Model!BE250</f>
        <v>0</v>
      </c>
      <c r="BD14" s="231" t="n">
        <f aca="false">Model!BF248+Model!BF249+Model!BF250</f>
        <v>0</v>
      </c>
      <c r="BE14" s="231" t="n">
        <f aca="false">Model!BG248+Model!BG249+Model!BG250</f>
        <v>0</v>
      </c>
      <c r="BF14" s="231" t="n">
        <f aca="false">Model!BH248+Model!BH249+Model!BH250</f>
        <v>0</v>
      </c>
      <c r="BG14" s="231" t="n">
        <f aca="false">Model!BI248+Model!BI249+Model!BI250</f>
        <v>0</v>
      </c>
      <c r="BH14" s="231" t="n">
        <f aca="false">Model!BJ248+Model!BJ249+Model!BJ250</f>
        <v>0</v>
      </c>
      <c r="BI14" s="231" t="n">
        <f aca="false">Model!BK248+Model!BK249+Model!BK250</f>
        <v>0</v>
      </c>
      <c r="BJ14" s="231" t="n">
        <f aca="false">Model!BL248+Model!BL249+Model!BL250</f>
        <v>0</v>
      </c>
      <c r="BK14" s="231" t="n">
        <f aca="false">Model!BM248+Model!BM249+Model!BM250</f>
        <v>0</v>
      </c>
      <c r="BL14" s="231" t="n">
        <f aca="false">Model!BN248+Model!BN249+Model!BN250</f>
        <v>0</v>
      </c>
      <c r="BM14" s="231" t="n">
        <f aca="false">Model!BO248+Model!BO249+Model!BO250</f>
        <v>0</v>
      </c>
      <c r="BN14" s="231" t="n">
        <f aca="false">Model!BP248+Model!BP249+Model!BP250</f>
        <v>0</v>
      </c>
      <c r="BO14" s="231" t="n">
        <f aca="false">Model!BQ248+Model!BQ249+Model!BQ250</f>
        <v>0</v>
      </c>
      <c r="BP14" s="231" t="n">
        <f aca="false">Model!BR248+Model!BR249+Model!BR250</f>
        <v>0</v>
      </c>
      <c r="BQ14" s="231" t="n">
        <f aca="false">Model!BS248+Model!BS249+Model!BS250</f>
        <v>0</v>
      </c>
      <c r="BR14" s="231" t="n">
        <f aca="false">Model!BT248+Model!BT249+Model!BT250</f>
        <v>0</v>
      </c>
      <c r="BS14" s="231" t="n">
        <f aca="false">Model!BU248+Model!BU249+Model!BU250</f>
        <v>0</v>
      </c>
      <c r="BT14" s="231" t="n">
        <f aca="false">Model!BV248+Model!BV249+Model!BV250</f>
        <v>0</v>
      </c>
      <c r="BU14" s="231" t="n">
        <f aca="false">Model!BW248+Model!BW249+Model!BW250</f>
        <v>0</v>
      </c>
      <c r="BV14" s="231" t="n">
        <f aca="false">Model!BX248+Model!BX249+Model!BX250</f>
        <v>0</v>
      </c>
      <c r="BW14" s="231" t="n">
        <f aca="false">Model!BY248+Model!BY249+Model!BY250</f>
        <v>0</v>
      </c>
      <c r="BX14" s="231" t="n">
        <f aca="false">Model!BZ248+Model!BZ249+Model!BZ250</f>
        <v>0</v>
      </c>
      <c r="BY14" s="231" t="n">
        <f aca="false">Model!CA248+Model!CA249+Model!CA250</f>
        <v>0</v>
      </c>
      <c r="BZ14" s="231" t="n">
        <f aca="false">Model!CB248+Model!CB249+Model!CB250</f>
        <v>0</v>
      </c>
      <c r="CA14" s="231" t="n">
        <f aca="false">Model!CC248+Model!CC249+Model!CC250</f>
        <v>0</v>
      </c>
      <c r="CB14" s="231" t="n">
        <f aca="false">Model!CD248+Model!CD249+Model!CD250</f>
        <v>0</v>
      </c>
      <c r="CC14" s="231" t="n">
        <f aca="false">Model!CE248+Model!CE249+Model!CE250</f>
        <v>0</v>
      </c>
      <c r="CD14" s="231" t="n">
        <f aca="false">Model!CF248+Model!CF249+Model!CF250</f>
        <v>0</v>
      </c>
      <c r="CE14" s="231" t="n">
        <f aca="false">Model!CG248+Model!CG249+Model!CG250</f>
        <v>0</v>
      </c>
      <c r="CF14" s="231" t="n">
        <f aca="false">Model!CH248+Model!CH249+Model!CH250</f>
        <v>0</v>
      </c>
      <c r="CG14" s="231" t="n">
        <f aca="false">Model!CI248+Model!CI249+Model!CI250</f>
        <v>0</v>
      </c>
      <c r="CH14" s="231" t="n">
        <f aca="false">Model!CJ248+Model!CJ249+Model!CJ250</f>
        <v>0</v>
      </c>
    </row>
    <row r="15" customFormat="false" ht="15" hidden="false" customHeight="true" outlineLevel="0" collapsed="false">
      <c r="A15" s="235" t="s">
        <v>758</v>
      </c>
      <c r="B15" s="3"/>
      <c r="C15" s="236" t="n">
        <f aca="false">IF(AND(Projects!$G$11="Yes",1=Projects!$C$11),-155771,0)</f>
        <v>0</v>
      </c>
      <c r="D15" s="236" t="n">
        <f aca="false">IF(AND(Projects!$G$11="Yes",2=Projects!$C$11),-155771,0)</f>
        <v>0</v>
      </c>
      <c r="E15" s="236" t="n">
        <f aca="false">IF(AND(Projects!$G$11="Yes",3=Projects!$C$11),-155771,0)</f>
        <v>0</v>
      </c>
      <c r="F15" s="236" t="n">
        <f aca="false">IF(AND(Projects!$G$11="Yes",4=Projects!$C$11),-155771,0)</f>
        <v>0</v>
      </c>
      <c r="G15" s="236" t="n">
        <f aca="false">IF(AND(Projects!$G$11="Yes",5=Projects!$C$11),-155771,0)</f>
        <v>0</v>
      </c>
      <c r="H15" s="236" t="n">
        <f aca="false">IF(AND(Projects!$G$11="Yes",6=Projects!$C$11),-155771,0)</f>
        <v>0</v>
      </c>
      <c r="I15" s="236" t="n">
        <f aca="false">IF(AND(Projects!$G$11="Yes",7=Projects!$C$11),-155771,0)</f>
        <v>0</v>
      </c>
      <c r="J15" s="236" t="n">
        <f aca="false">IF(AND(Projects!$G$11="Yes",8=Projects!$C$11),-155771,0)</f>
        <v>0</v>
      </c>
      <c r="K15" s="236" t="n">
        <f aca="false">IF(AND(Projects!$G$11="Yes",9=Projects!$C$11),-155771,0)</f>
        <v>0</v>
      </c>
      <c r="L15" s="236" t="n">
        <f aca="false">IF(AND(Projects!$G$11="Yes",10=Projects!$C$11),-155771,0)</f>
        <v>0</v>
      </c>
      <c r="M15" s="236" t="n">
        <f aca="false">IF(AND(Projects!$G$11="Yes",11=Projects!$C$11),-155771,0)</f>
        <v>-155771</v>
      </c>
      <c r="N15" s="236" t="n">
        <f aca="false">IF(AND(Projects!$G$11="Yes",12=Projects!$C$11),-155771,0)</f>
        <v>0</v>
      </c>
      <c r="O15" s="236" t="n">
        <f aca="false">IF(AND(Projects!$G$11="Yes",13=Projects!$C$11),-155771,0)</f>
        <v>0</v>
      </c>
      <c r="P15" s="236" t="n">
        <f aca="false">IF(AND(Projects!$G$11="Yes",14=Projects!$C$11),-155771,0)</f>
        <v>0</v>
      </c>
      <c r="Q15" s="236" t="n">
        <f aca="false">IF(AND(Projects!$G$11="Yes",15=Projects!$C$11),-155771,0)</f>
        <v>0</v>
      </c>
      <c r="R15" s="236" t="n">
        <f aca="false">IF(AND(Projects!$G$11="Yes",16=Projects!$C$11),-155771,0)</f>
        <v>0</v>
      </c>
      <c r="S15" s="236" t="n">
        <f aca="false">IF(AND(Projects!$G$11="Yes",17=Projects!$C$11),-155771,0)</f>
        <v>0</v>
      </c>
      <c r="T15" s="236" t="n">
        <f aca="false">IF(AND(Projects!$G$11="Yes",18=Projects!$C$11),-155771,0)</f>
        <v>0</v>
      </c>
      <c r="U15" s="236" t="n">
        <f aca="false">IF(AND(Projects!$G$11="Yes",19=Projects!$C$11),-155771,0)</f>
        <v>0</v>
      </c>
      <c r="V15" s="236" t="n">
        <f aca="false">IF(AND(Projects!$G$11="Yes",20=Projects!$C$11),-155771,0)</f>
        <v>0</v>
      </c>
      <c r="W15" s="236" t="n">
        <f aca="false">IF(AND(Projects!$G$11="Yes",21=Projects!$C$11),-155771,0)</f>
        <v>0</v>
      </c>
      <c r="X15" s="236" t="n">
        <f aca="false">IF(AND(Projects!$G$11="Yes",22=Projects!$C$11),-155771,0)</f>
        <v>0</v>
      </c>
      <c r="Y15" s="236" t="n">
        <f aca="false">IF(AND(Projects!$G$11="Yes",23=Projects!$C$11),-155771,0)</f>
        <v>0</v>
      </c>
      <c r="Z15" s="236" t="n">
        <f aca="false">IF(AND(Projects!$G$11="Yes",24=Projects!$C$11),-155771,0)</f>
        <v>0</v>
      </c>
      <c r="AA15" s="236" t="n">
        <f aca="false">IF(AND(Projects!$G$11="Yes",25=Projects!$C$11),-155771,0)</f>
        <v>0</v>
      </c>
      <c r="AB15" s="236" t="n">
        <f aca="false">IF(AND(Projects!$G$11="Yes",26=Projects!$C$11),-155771,0)</f>
        <v>0</v>
      </c>
      <c r="AC15" s="236" t="n">
        <f aca="false">IF(AND(Projects!$G$11="Yes",27=Projects!$C$11),-155771,0)</f>
        <v>0</v>
      </c>
      <c r="AD15" s="236" t="n">
        <f aca="false">IF(AND(Projects!$G$11="Yes",28=Projects!$C$11),-155771,0)</f>
        <v>0</v>
      </c>
      <c r="AE15" s="236" t="n">
        <f aca="false">IF(AND(Projects!$G$11="Yes",29=Projects!$C$11),-155771,0)</f>
        <v>0</v>
      </c>
      <c r="AF15" s="236" t="n">
        <f aca="false">IF(AND(Projects!$G$11="Yes",30=Projects!$C$11),-155771,0)</f>
        <v>0</v>
      </c>
      <c r="AG15" s="236" t="n">
        <f aca="false">IF(AND(Projects!$G$11="Yes",31=Projects!$C$11),-155771,0)</f>
        <v>0</v>
      </c>
      <c r="AH15" s="236" t="n">
        <f aca="false">IF(AND(Projects!$G$11="Yes",32=Projects!$C$11),-155771,0)</f>
        <v>0</v>
      </c>
      <c r="AI15" s="236" t="n">
        <f aca="false">IF(AND(Projects!$G$11="Yes",33=Projects!$C$11),-155771,0)</f>
        <v>0</v>
      </c>
      <c r="AJ15" s="236" t="n">
        <f aca="false">IF(AND(Projects!$G$11="Yes",34=Projects!$C$11),-155771,0)</f>
        <v>0</v>
      </c>
      <c r="AK15" s="236" t="n">
        <f aca="false">IF(AND(Projects!$G$11="Yes",35=Projects!$C$11),-155771,0)</f>
        <v>0</v>
      </c>
      <c r="AL15" s="236" t="n">
        <f aca="false">IF(AND(Projects!$G$11="Yes",36=Projects!$C$11),-155771,0)</f>
        <v>0</v>
      </c>
      <c r="AM15" s="236" t="n">
        <f aca="false">IF(AND(Projects!$G$11="Yes",37=Projects!$C$11),-155771,0)</f>
        <v>0</v>
      </c>
      <c r="AN15" s="236" t="n">
        <f aca="false">IF(AND(Projects!$G$11="Yes",38=Projects!$C$11),-155771,0)</f>
        <v>0</v>
      </c>
      <c r="AO15" s="236" t="n">
        <f aca="false">IF(AND(Projects!$G$11="Yes",39=Projects!$C$11),-155771,0)</f>
        <v>0</v>
      </c>
      <c r="AP15" s="236" t="n">
        <f aca="false">IF(AND(Projects!$G$11="Yes",40=Projects!$C$11),-155771,0)</f>
        <v>0</v>
      </c>
      <c r="AQ15" s="236" t="n">
        <f aca="false">IF(AND(Projects!$G$11="Yes",41=Projects!$C$11),-155771,0)</f>
        <v>0</v>
      </c>
      <c r="AR15" s="236" t="n">
        <f aca="false">IF(AND(Projects!$G$11="Yes",42=Projects!$C$11),-155771,0)</f>
        <v>0</v>
      </c>
      <c r="AS15" s="236" t="n">
        <f aca="false">IF(AND(Projects!$G$11="Yes",43=Projects!$C$11),-155771,0)</f>
        <v>0</v>
      </c>
      <c r="AT15" s="236" t="n">
        <f aca="false">IF(AND(Projects!$G$11="Yes",44=Projects!$C$11),-155771,0)</f>
        <v>0</v>
      </c>
      <c r="AU15" s="236" t="n">
        <f aca="false">IF(AND(Projects!$G$11="Yes",45=Projects!$C$11),-155771,0)</f>
        <v>0</v>
      </c>
      <c r="AV15" s="236" t="n">
        <f aca="false">IF(AND(Projects!$G$11="Yes",46=Projects!$C$11),-155771,0)</f>
        <v>0</v>
      </c>
      <c r="AW15" s="236" t="n">
        <f aca="false">IF(AND(Projects!$G$11="Yes",47=Projects!$C$11),-155771,0)</f>
        <v>0</v>
      </c>
      <c r="AX15" s="236" t="n">
        <f aca="false">IF(AND(Projects!$G$11="Yes",48=Projects!$C$11),-155771,0)</f>
        <v>0</v>
      </c>
      <c r="AY15" s="236" t="n">
        <f aca="false">IF(AND(Projects!$G$11="Yes",49=Projects!$C$11),-155771,0)</f>
        <v>0</v>
      </c>
      <c r="AZ15" s="236" t="n">
        <f aca="false">IF(AND(Projects!$G$11="Yes",50=Projects!$C$11),-155771,0)</f>
        <v>0</v>
      </c>
      <c r="BA15" s="236" t="n">
        <f aca="false">IF(AND(Projects!$G$11="Yes",51=Projects!$C$11),-155771,0)</f>
        <v>0</v>
      </c>
      <c r="BB15" s="236" t="n">
        <f aca="false">IF(AND(Projects!$G$11="Yes",52=Projects!$C$11),-155771,0)</f>
        <v>0</v>
      </c>
      <c r="BC15" s="236" t="n">
        <f aca="false">IF(AND(Projects!$G$11="Yes",53=Projects!$C$11),-155771,0)</f>
        <v>0</v>
      </c>
      <c r="BD15" s="236" t="n">
        <f aca="false">IF(AND(Projects!$G$11="Yes",54=Projects!$C$11),-155771,0)</f>
        <v>0</v>
      </c>
      <c r="BE15" s="236" t="n">
        <f aca="false">IF(AND(Projects!$G$11="Yes",55=Projects!$C$11),-155771,0)</f>
        <v>0</v>
      </c>
      <c r="BF15" s="236" t="n">
        <f aca="false">IF(AND(Projects!$G$11="Yes",56=Projects!$C$11),-155771,0)</f>
        <v>0</v>
      </c>
      <c r="BG15" s="236" t="n">
        <f aca="false">IF(AND(Projects!$G$11="Yes",57=Projects!$C$11),-155771,0)</f>
        <v>0</v>
      </c>
      <c r="BH15" s="236" t="n">
        <f aca="false">IF(AND(Projects!$G$11="Yes",58=Projects!$C$11),-155771,0)</f>
        <v>0</v>
      </c>
      <c r="BI15" s="236" t="n">
        <f aca="false">IF(AND(Projects!$G$11="Yes",59=Projects!$C$11),-155771,0)</f>
        <v>0</v>
      </c>
      <c r="BJ15" s="236" t="n">
        <f aca="false">IF(AND(Projects!$G$11="Yes",60=Projects!$C$11),-155771,0)</f>
        <v>0</v>
      </c>
      <c r="BK15" s="236" t="n">
        <f aca="false">IF(AND(Projects!$G$11="Yes",61=Projects!$C$11),-155771,0)</f>
        <v>0</v>
      </c>
      <c r="BL15" s="236" t="n">
        <f aca="false">IF(AND(Projects!$G$11="Yes",62=Projects!$C$11),-155771,0)</f>
        <v>0</v>
      </c>
      <c r="BM15" s="236" t="n">
        <f aca="false">IF(AND(Projects!$G$11="Yes",63=Projects!$C$11),-155771,0)</f>
        <v>0</v>
      </c>
      <c r="BN15" s="236" t="n">
        <f aca="false">IF(AND(Projects!$G$11="Yes",64=Projects!$C$11),-155771,0)</f>
        <v>0</v>
      </c>
      <c r="BO15" s="236" t="n">
        <f aca="false">IF(AND(Projects!$G$11="Yes",65=Projects!$C$11),-155771,0)</f>
        <v>0</v>
      </c>
      <c r="BP15" s="236" t="n">
        <f aca="false">IF(AND(Projects!$G$11="Yes",66=Projects!$C$11),-155771,0)</f>
        <v>0</v>
      </c>
      <c r="BQ15" s="236" t="n">
        <f aca="false">IF(AND(Projects!$G$11="Yes",67=Projects!$C$11),-155771,0)</f>
        <v>0</v>
      </c>
      <c r="BR15" s="236" t="n">
        <f aca="false">IF(AND(Projects!$G$11="Yes",68=Projects!$C$11),-155771,0)</f>
        <v>0</v>
      </c>
      <c r="BS15" s="236" t="n">
        <f aca="false">IF(AND(Projects!$G$11="Yes",69=Projects!$C$11),-155771,0)</f>
        <v>0</v>
      </c>
      <c r="BT15" s="236" t="n">
        <f aca="false">IF(AND(Projects!$G$11="Yes",70=Projects!$C$11),-155771,0)</f>
        <v>0</v>
      </c>
      <c r="BU15" s="236" t="n">
        <f aca="false">IF(AND(Projects!$G$11="Yes",71=Projects!$C$11),-155771,0)</f>
        <v>0</v>
      </c>
      <c r="BV15" s="236" t="n">
        <f aca="false">IF(AND(Projects!$G$11="Yes",72=Projects!$C$11),-155771,0)</f>
        <v>0</v>
      </c>
      <c r="BW15" s="236" t="n">
        <f aca="false">IF(AND(Projects!$G$11="Yes",73=Projects!$C$11),-155771,0)</f>
        <v>0</v>
      </c>
      <c r="BX15" s="236" t="n">
        <f aca="false">IF(AND(Projects!$G$11="Yes",74=Projects!$C$11),-155771,0)</f>
        <v>0</v>
      </c>
      <c r="BY15" s="236" t="n">
        <f aca="false">IF(AND(Projects!$G$11="Yes",75=Projects!$C$11),-155771,0)</f>
        <v>0</v>
      </c>
      <c r="BZ15" s="236" t="n">
        <f aca="false">IF(AND(Projects!$G$11="Yes",76=Projects!$C$11),-155771,0)</f>
        <v>0</v>
      </c>
      <c r="CA15" s="236" t="n">
        <f aca="false">IF(AND(Projects!$G$11="Yes",77=Projects!$C$11),-155771,0)</f>
        <v>0</v>
      </c>
      <c r="CB15" s="236" t="n">
        <f aca="false">IF(AND(Projects!$G$11="Yes",78=Projects!$C$11),-155771,0)</f>
        <v>0</v>
      </c>
      <c r="CC15" s="236" t="n">
        <f aca="false">IF(AND(Projects!$G$11="Yes",79=Projects!$C$11),-155771,0)</f>
        <v>0</v>
      </c>
      <c r="CD15" s="236" t="n">
        <f aca="false">IF(AND(Projects!$G$11="Yes",80=Projects!$C$11),-155771,0)</f>
        <v>0</v>
      </c>
      <c r="CE15" s="236" t="n">
        <f aca="false">IF(AND(Projects!$G$11="Yes",81=Projects!$C$11),-155771,0)</f>
        <v>0</v>
      </c>
      <c r="CF15" s="236" t="n">
        <f aca="false">IF(AND(Projects!$G$11="Yes",82=Projects!$C$11),-155771,0)</f>
        <v>0</v>
      </c>
      <c r="CG15" s="236" t="n">
        <f aca="false">IF(AND(Projects!$G$11="Yes",83=Projects!$C$11),-155771,0)</f>
        <v>0</v>
      </c>
      <c r="CH15" s="236" t="n">
        <f aca="false">IF(AND(Projects!$G$11="Yes",84=Projects!$C$11),-155771,0)</f>
        <v>0</v>
      </c>
    </row>
    <row r="16" customFormat="false" ht="15" hidden="false" customHeight="true" outlineLevel="0" collapsed="false">
      <c r="A16" s="232" t="s">
        <v>756</v>
      </c>
      <c r="B16" s="232"/>
      <c r="C16" s="233" t="n">
        <f aca="false">C14+C15</f>
        <v>0</v>
      </c>
      <c r="D16" s="233" t="n">
        <f aca="false">D14+D15</f>
        <v>0</v>
      </c>
      <c r="E16" s="233" t="n">
        <f aca="false">E14+E15</f>
        <v>0</v>
      </c>
      <c r="F16" s="233" t="n">
        <f aca="false">F14+F15</f>
        <v>0</v>
      </c>
      <c r="G16" s="233" t="n">
        <f aca="false">G14+G15</f>
        <v>0</v>
      </c>
      <c r="H16" s="233" t="n">
        <f aca="false">H14+H15</f>
        <v>0</v>
      </c>
      <c r="I16" s="233" t="n">
        <f aca="false">I14+I15</f>
        <v>0</v>
      </c>
      <c r="J16" s="233" t="n">
        <f aca="false">J14+J15</f>
        <v>0</v>
      </c>
      <c r="K16" s="233" t="n">
        <f aca="false">K14+K15</f>
        <v>0</v>
      </c>
      <c r="L16" s="233" t="n">
        <f aca="false">L14+L15</f>
        <v>0</v>
      </c>
      <c r="M16" s="233" t="n">
        <f aca="false">M14+M15</f>
        <v>-152613.105263158</v>
      </c>
      <c r="N16" s="233" t="n">
        <f aca="false">N14+N15</f>
        <v>3157.89473684211</v>
      </c>
      <c r="O16" s="233" t="n">
        <f aca="false">O14+O15</f>
        <v>3157.89473684211</v>
      </c>
      <c r="P16" s="233" t="n">
        <f aca="false">P14+P15</f>
        <v>3157.89473684211</v>
      </c>
      <c r="Q16" s="233" t="n">
        <f aca="false">Q14+Q15</f>
        <v>3157.89473684211</v>
      </c>
      <c r="R16" s="233" t="n">
        <f aca="false">R14+R15</f>
        <v>3157.89473684211</v>
      </c>
      <c r="S16" s="233" t="n">
        <f aca="false">S14+S15</f>
        <v>3157.89473684211</v>
      </c>
      <c r="T16" s="233" t="n">
        <f aca="false">T14+T15</f>
        <v>3157.89473684211</v>
      </c>
      <c r="U16" s="233" t="n">
        <f aca="false">U14+U15</f>
        <v>3157.89473684211</v>
      </c>
      <c r="V16" s="233" t="n">
        <f aca="false">V14+V15</f>
        <v>3157.89473684211</v>
      </c>
      <c r="W16" s="233" t="n">
        <f aca="false">W14+W15</f>
        <v>3157.89473684211</v>
      </c>
      <c r="X16" s="233" t="n">
        <f aca="false">X14+X15</f>
        <v>3157.89473684211</v>
      </c>
      <c r="Y16" s="233" t="n">
        <f aca="false">Y14+Y15</f>
        <v>3157.89473684211</v>
      </c>
      <c r="Z16" s="233" t="n">
        <f aca="false">Z14+Z15</f>
        <v>3157.89473684211</v>
      </c>
      <c r="AA16" s="233" t="n">
        <f aca="false">AA14+AA15</f>
        <v>3157.89473684211</v>
      </c>
      <c r="AB16" s="233" t="n">
        <f aca="false">AB14+AB15</f>
        <v>3157.89473684211</v>
      </c>
      <c r="AC16" s="233" t="n">
        <f aca="false">AC14+AC15</f>
        <v>3157.89473684211</v>
      </c>
      <c r="AD16" s="233" t="n">
        <f aca="false">AD14+AD15</f>
        <v>3157.89473684211</v>
      </c>
      <c r="AE16" s="233" t="n">
        <f aca="false">AE14+AE15</f>
        <v>3157.89473684211</v>
      </c>
      <c r="AF16" s="233" t="n">
        <f aca="false">AF14+AF15</f>
        <v>0</v>
      </c>
      <c r="AG16" s="233" t="n">
        <f aca="false">AG14+AG15</f>
        <v>0</v>
      </c>
      <c r="AH16" s="233" t="n">
        <f aca="false">AH14+AH15</f>
        <v>0</v>
      </c>
      <c r="AI16" s="233" t="n">
        <f aca="false">AI14+AI15</f>
        <v>0</v>
      </c>
      <c r="AJ16" s="233" t="n">
        <f aca="false">AJ14+AJ15</f>
        <v>0</v>
      </c>
      <c r="AK16" s="233" t="n">
        <f aca="false">AK14+AK15</f>
        <v>0</v>
      </c>
      <c r="AL16" s="233" t="n">
        <f aca="false">AL14+AL15</f>
        <v>0</v>
      </c>
      <c r="AM16" s="233" t="n">
        <f aca="false">AM14+AM15</f>
        <v>0</v>
      </c>
      <c r="AN16" s="233" t="n">
        <f aca="false">AN14+AN15</f>
        <v>0</v>
      </c>
      <c r="AO16" s="233" t="n">
        <f aca="false">AO14+AO15</f>
        <v>0</v>
      </c>
      <c r="AP16" s="233" t="n">
        <f aca="false">AP14+AP15</f>
        <v>0</v>
      </c>
      <c r="AQ16" s="233" t="n">
        <f aca="false">AQ14+AQ15</f>
        <v>0</v>
      </c>
      <c r="AR16" s="233" t="n">
        <f aca="false">AR14+AR15</f>
        <v>0</v>
      </c>
      <c r="AS16" s="233" t="n">
        <f aca="false">AS14+AS15</f>
        <v>0</v>
      </c>
      <c r="AT16" s="233" t="n">
        <f aca="false">AT14+AT15</f>
        <v>0</v>
      </c>
      <c r="AU16" s="233" t="n">
        <f aca="false">AU14+AU15</f>
        <v>0</v>
      </c>
      <c r="AV16" s="233" t="n">
        <f aca="false">AV14+AV15</f>
        <v>0</v>
      </c>
      <c r="AW16" s="233" t="n">
        <f aca="false">AW14+AW15</f>
        <v>0</v>
      </c>
      <c r="AX16" s="233" t="n">
        <f aca="false">AX14+AX15</f>
        <v>0</v>
      </c>
      <c r="AY16" s="233" t="n">
        <f aca="false">AY14+AY15</f>
        <v>0</v>
      </c>
      <c r="AZ16" s="233" t="n">
        <f aca="false">AZ14+AZ15</f>
        <v>0</v>
      </c>
      <c r="BA16" s="233" t="n">
        <f aca="false">BA14+BA15</f>
        <v>0</v>
      </c>
      <c r="BB16" s="233" t="n">
        <f aca="false">BB14+BB15</f>
        <v>0</v>
      </c>
      <c r="BC16" s="233" t="n">
        <f aca="false">BC14+BC15</f>
        <v>0</v>
      </c>
      <c r="BD16" s="233" t="n">
        <f aca="false">BD14+BD15</f>
        <v>0</v>
      </c>
      <c r="BE16" s="233" t="n">
        <f aca="false">BE14+BE15</f>
        <v>0</v>
      </c>
      <c r="BF16" s="233" t="n">
        <f aca="false">BF14+BF15</f>
        <v>0</v>
      </c>
      <c r="BG16" s="233" t="n">
        <f aca="false">BG14+BG15</f>
        <v>0</v>
      </c>
      <c r="BH16" s="233" t="n">
        <f aca="false">BH14+BH15</f>
        <v>0</v>
      </c>
      <c r="BI16" s="233" t="n">
        <f aca="false">BI14+BI15</f>
        <v>0</v>
      </c>
      <c r="BJ16" s="233" t="n">
        <f aca="false">BJ14+BJ15</f>
        <v>0</v>
      </c>
      <c r="BK16" s="233" t="n">
        <f aca="false">BK14+BK15</f>
        <v>0</v>
      </c>
      <c r="BL16" s="233" t="n">
        <f aca="false">BL14+BL15</f>
        <v>0</v>
      </c>
      <c r="BM16" s="233" t="n">
        <f aca="false">BM14+BM15</f>
        <v>0</v>
      </c>
      <c r="BN16" s="233" t="n">
        <f aca="false">BN14+BN15</f>
        <v>0</v>
      </c>
      <c r="BO16" s="233" t="n">
        <f aca="false">BO14+BO15</f>
        <v>0</v>
      </c>
      <c r="BP16" s="233" t="n">
        <f aca="false">BP14+BP15</f>
        <v>0</v>
      </c>
      <c r="BQ16" s="233" t="n">
        <f aca="false">BQ14+BQ15</f>
        <v>0</v>
      </c>
      <c r="BR16" s="233" t="n">
        <f aca="false">BR14+BR15</f>
        <v>0</v>
      </c>
      <c r="BS16" s="233" t="n">
        <f aca="false">BS14+BS15</f>
        <v>0</v>
      </c>
      <c r="BT16" s="233" t="n">
        <f aca="false">BT14+BT15</f>
        <v>0</v>
      </c>
      <c r="BU16" s="233" t="n">
        <f aca="false">BU14+BU15</f>
        <v>0</v>
      </c>
      <c r="BV16" s="233" t="n">
        <f aca="false">BV14+BV15</f>
        <v>0</v>
      </c>
      <c r="BW16" s="233" t="n">
        <f aca="false">BW14+BW15</f>
        <v>0</v>
      </c>
      <c r="BX16" s="233" t="n">
        <f aca="false">BX14+BX15</f>
        <v>0</v>
      </c>
      <c r="BY16" s="233" t="n">
        <f aca="false">BY14+BY15</f>
        <v>0</v>
      </c>
      <c r="BZ16" s="233" t="n">
        <f aca="false">BZ14+BZ15</f>
        <v>0</v>
      </c>
      <c r="CA16" s="233" t="n">
        <f aca="false">CA14+CA15</f>
        <v>0</v>
      </c>
      <c r="CB16" s="233" t="n">
        <f aca="false">CB14+CB15</f>
        <v>0</v>
      </c>
      <c r="CC16" s="233" t="n">
        <f aca="false">CC14+CC15</f>
        <v>0</v>
      </c>
      <c r="CD16" s="233" t="n">
        <f aca="false">CD14+CD15</f>
        <v>0</v>
      </c>
      <c r="CE16" s="233" t="n">
        <f aca="false">CE14+CE15</f>
        <v>0</v>
      </c>
      <c r="CF16" s="233" t="n">
        <f aca="false">CF14+CF15</f>
        <v>0</v>
      </c>
      <c r="CG16" s="233" t="n">
        <f aca="false">CG14+CG15</f>
        <v>0</v>
      </c>
      <c r="CH16" s="233" t="n">
        <f aca="false">CH14+CH15</f>
        <v>0</v>
      </c>
    </row>
    <row r="17" customFormat="false" ht="15" hidden="false" customHeight="true" outlineLevel="0" collapsed="false">
      <c r="A17" s="2" t="s">
        <v>757</v>
      </c>
      <c r="B17" s="3"/>
      <c r="C17" s="234" t="n">
        <f aca="false">C16</f>
        <v>0</v>
      </c>
      <c r="D17" s="234" t="n">
        <f aca="false">C17+D16</f>
        <v>0</v>
      </c>
      <c r="E17" s="234" t="n">
        <f aca="false">D17+E16</f>
        <v>0</v>
      </c>
      <c r="F17" s="234" t="n">
        <f aca="false">E17+F16</f>
        <v>0</v>
      </c>
      <c r="G17" s="234" t="n">
        <f aca="false">F17+G16</f>
        <v>0</v>
      </c>
      <c r="H17" s="234" t="n">
        <f aca="false">G17+H16</f>
        <v>0</v>
      </c>
      <c r="I17" s="234" t="n">
        <f aca="false">H17+I16</f>
        <v>0</v>
      </c>
      <c r="J17" s="234" t="n">
        <f aca="false">I17+J16</f>
        <v>0</v>
      </c>
      <c r="K17" s="234" t="n">
        <f aca="false">J17+K16</f>
        <v>0</v>
      </c>
      <c r="L17" s="234" t="n">
        <f aca="false">K17+L16</f>
        <v>0</v>
      </c>
      <c r="M17" s="234" t="n">
        <f aca="false">L17+M16</f>
        <v>-152613.105263158</v>
      </c>
      <c r="N17" s="234" t="n">
        <f aca="false">M17+N16</f>
        <v>-149455.210526316</v>
      </c>
      <c r="O17" s="234" t="n">
        <f aca="false">N17+O16</f>
        <v>-146297.315789474</v>
      </c>
      <c r="P17" s="234" t="n">
        <f aca="false">O17+P16</f>
        <v>-143139.421052632</v>
      </c>
      <c r="Q17" s="234" t="n">
        <f aca="false">P17+Q16</f>
        <v>-139981.526315789</v>
      </c>
      <c r="R17" s="234" t="n">
        <f aca="false">Q17+R16</f>
        <v>-136823.631578947</v>
      </c>
      <c r="S17" s="234" t="n">
        <f aca="false">R17+S16</f>
        <v>-133665.736842105</v>
      </c>
      <c r="T17" s="234" t="n">
        <f aca="false">S17+T16</f>
        <v>-130507.842105263</v>
      </c>
      <c r="U17" s="234" t="n">
        <f aca="false">T17+U16</f>
        <v>-127349.947368421</v>
      </c>
      <c r="V17" s="234" t="n">
        <f aca="false">U17+V16</f>
        <v>-124192.052631579</v>
      </c>
      <c r="W17" s="234" t="n">
        <f aca="false">V17+W16</f>
        <v>-121034.157894737</v>
      </c>
      <c r="X17" s="234" t="n">
        <f aca="false">W17+X16</f>
        <v>-117876.263157895</v>
      </c>
      <c r="Y17" s="234" t="n">
        <f aca="false">X17+Y16</f>
        <v>-114718.368421053</v>
      </c>
      <c r="Z17" s="234" t="n">
        <f aca="false">Y17+Z16</f>
        <v>-111560.473684211</v>
      </c>
      <c r="AA17" s="234" t="n">
        <f aca="false">Z17+AA16</f>
        <v>-108402.578947368</v>
      </c>
      <c r="AB17" s="234" t="n">
        <f aca="false">AA17+AB16</f>
        <v>-105244.684210526</v>
      </c>
      <c r="AC17" s="234" t="n">
        <f aca="false">AB17+AC16</f>
        <v>-102086.789473684</v>
      </c>
      <c r="AD17" s="234" t="n">
        <f aca="false">AC17+AD16</f>
        <v>-98928.8947368421</v>
      </c>
      <c r="AE17" s="234" t="n">
        <f aca="false">AD17+AE16</f>
        <v>-95771</v>
      </c>
      <c r="AF17" s="234" t="n">
        <f aca="false">AE17+AF16</f>
        <v>-95771</v>
      </c>
      <c r="AG17" s="234" t="n">
        <f aca="false">AF17+AG16</f>
        <v>-95771</v>
      </c>
      <c r="AH17" s="234" t="n">
        <f aca="false">AG17+AH16</f>
        <v>-95771</v>
      </c>
      <c r="AI17" s="234" t="n">
        <f aca="false">AH17+AI16</f>
        <v>-95771</v>
      </c>
      <c r="AJ17" s="234" t="n">
        <f aca="false">AI17+AJ16</f>
        <v>-95771</v>
      </c>
      <c r="AK17" s="234" t="n">
        <f aca="false">AJ17+AK16</f>
        <v>-95771</v>
      </c>
      <c r="AL17" s="234" t="n">
        <f aca="false">AK17+AL16</f>
        <v>-95771</v>
      </c>
      <c r="AM17" s="234" t="n">
        <f aca="false">AL17+AM16</f>
        <v>-95771</v>
      </c>
      <c r="AN17" s="234" t="n">
        <f aca="false">AM17+AN16</f>
        <v>-95771</v>
      </c>
      <c r="AO17" s="234" t="n">
        <f aca="false">AN17+AO16</f>
        <v>-95771</v>
      </c>
      <c r="AP17" s="234" t="n">
        <f aca="false">AO17+AP16</f>
        <v>-95771</v>
      </c>
      <c r="AQ17" s="234" t="n">
        <f aca="false">AP17+AQ16</f>
        <v>-95771</v>
      </c>
      <c r="AR17" s="234" t="n">
        <f aca="false">AQ17+AR16</f>
        <v>-95771</v>
      </c>
      <c r="AS17" s="234" t="n">
        <f aca="false">AR17+AS16</f>
        <v>-95771</v>
      </c>
      <c r="AT17" s="234" t="n">
        <f aca="false">AS17+AT16</f>
        <v>-95771</v>
      </c>
      <c r="AU17" s="234" t="n">
        <f aca="false">AT17+AU16</f>
        <v>-95771</v>
      </c>
      <c r="AV17" s="234" t="n">
        <f aca="false">AU17+AV16</f>
        <v>-95771</v>
      </c>
      <c r="AW17" s="234" t="n">
        <f aca="false">AV17+AW16</f>
        <v>-95771</v>
      </c>
      <c r="AX17" s="234" t="n">
        <f aca="false">AW17+AX16</f>
        <v>-95771</v>
      </c>
      <c r="AY17" s="234" t="n">
        <f aca="false">AX17+AY16</f>
        <v>-95771</v>
      </c>
      <c r="AZ17" s="234" t="n">
        <f aca="false">AY17+AZ16</f>
        <v>-95771</v>
      </c>
      <c r="BA17" s="234" t="n">
        <f aca="false">AZ17+BA16</f>
        <v>-95771</v>
      </c>
      <c r="BB17" s="234" t="n">
        <f aca="false">BA17+BB16</f>
        <v>-95771</v>
      </c>
      <c r="BC17" s="234" t="n">
        <f aca="false">BB17+BC16</f>
        <v>-95771</v>
      </c>
      <c r="BD17" s="234" t="n">
        <f aca="false">BC17+BD16</f>
        <v>-95771</v>
      </c>
      <c r="BE17" s="234" t="n">
        <f aca="false">BD17+BE16</f>
        <v>-95771</v>
      </c>
      <c r="BF17" s="234" t="n">
        <f aca="false">BE17+BF16</f>
        <v>-95771</v>
      </c>
      <c r="BG17" s="234" t="n">
        <f aca="false">BF17+BG16</f>
        <v>-95771</v>
      </c>
      <c r="BH17" s="234" t="n">
        <f aca="false">BG17+BH16</f>
        <v>-95771</v>
      </c>
      <c r="BI17" s="234" t="n">
        <f aca="false">BH17+BI16</f>
        <v>-95771</v>
      </c>
      <c r="BJ17" s="234" t="n">
        <f aca="false">BI17+BJ16</f>
        <v>-95771</v>
      </c>
      <c r="BK17" s="234" t="n">
        <f aca="false">BJ17+BK16</f>
        <v>-95771</v>
      </c>
      <c r="BL17" s="234" t="n">
        <f aca="false">BK17+BL16</f>
        <v>-95771</v>
      </c>
      <c r="BM17" s="234" t="n">
        <f aca="false">BL17+BM16</f>
        <v>-95771</v>
      </c>
      <c r="BN17" s="234" t="n">
        <f aca="false">BM17+BN16</f>
        <v>-95771</v>
      </c>
      <c r="BO17" s="234" t="n">
        <f aca="false">BN17+BO16</f>
        <v>-95771</v>
      </c>
      <c r="BP17" s="234" t="n">
        <f aca="false">BO17+BP16</f>
        <v>-95771</v>
      </c>
      <c r="BQ17" s="234" t="n">
        <f aca="false">BP17+BQ16</f>
        <v>-95771</v>
      </c>
      <c r="BR17" s="234" t="n">
        <f aca="false">BQ17+BR16</f>
        <v>-95771</v>
      </c>
      <c r="BS17" s="234" t="n">
        <f aca="false">BR17+BS16</f>
        <v>-95771</v>
      </c>
      <c r="BT17" s="234" t="n">
        <f aca="false">BS17+BT16</f>
        <v>-95771</v>
      </c>
      <c r="BU17" s="234" t="n">
        <f aca="false">BT17+BU16</f>
        <v>-95771</v>
      </c>
      <c r="BV17" s="234" t="n">
        <f aca="false">BU17+BV16</f>
        <v>-95771</v>
      </c>
      <c r="BW17" s="234" t="n">
        <f aca="false">BV17+BW16</f>
        <v>-95771</v>
      </c>
      <c r="BX17" s="234" t="n">
        <f aca="false">BW17+BX16</f>
        <v>-95771</v>
      </c>
      <c r="BY17" s="234" t="n">
        <f aca="false">BX17+BY16</f>
        <v>-95771</v>
      </c>
      <c r="BZ17" s="234" t="n">
        <f aca="false">BY17+BZ16</f>
        <v>-95771</v>
      </c>
      <c r="CA17" s="234" t="n">
        <f aca="false">BZ17+CA16</f>
        <v>-95771</v>
      </c>
      <c r="CB17" s="234" t="n">
        <f aca="false">CA17+CB16</f>
        <v>-95771</v>
      </c>
      <c r="CC17" s="234" t="n">
        <f aca="false">CB17+CC16</f>
        <v>-95771</v>
      </c>
      <c r="CD17" s="234" t="n">
        <f aca="false">CC17+CD16</f>
        <v>-95771</v>
      </c>
      <c r="CE17" s="234" t="n">
        <f aca="false">CD17+CE16</f>
        <v>-95771</v>
      </c>
      <c r="CF17" s="234" t="n">
        <f aca="false">CE17+CF16</f>
        <v>-95771</v>
      </c>
      <c r="CG17" s="234" t="n">
        <f aca="false">CF17+CG16</f>
        <v>-95771</v>
      </c>
      <c r="CH17" s="234" t="n">
        <f aca="false">CG17+CH16</f>
        <v>-95771</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755</v>
      </c>
      <c r="B20" s="3"/>
      <c r="C20" s="231" t="n">
        <f aca="false">Model!E251+Model!E252+Model!E253</f>
        <v>0</v>
      </c>
      <c r="D20" s="231" t="n">
        <f aca="false">Model!F251+Model!F252+Model!F253</f>
        <v>0</v>
      </c>
      <c r="E20" s="231" t="n">
        <f aca="false">Model!G251+Model!G252+Model!G253</f>
        <v>0</v>
      </c>
      <c r="F20" s="231" t="n">
        <f aca="false">Model!H251+Model!H252+Model!H253</f>
        <v>0</v>
      </c>
      <c r="G20" s="231" t="n">
        <f aca="false">Model!I251+Model!I252+Model!I253</f>
        <v>0</v>
      </c>
      <c r="H20" s="231" t="n">
        <f aca="false">Model!J251+Model!J252+Model!J253</f>
        <v>0</v>
      </c>
      <c r="I20" s="231" t="n">
        <f aca="false">Model!K251+Model!K252+Model!K253</f>
        <v>0</v>
      </c>
      <c r="J20" s="231" t="n">
        <f aca="false">Model!L251+Model!L252+Model!L253</f>
        <v>0</v>
      </c>
      <c r="K20" s="231" t="n">
        <f aca="false">Model!M251+Model!M252+Model!M253</f>
        <v>0</v>
      </c>
      <c r="L20" s="231" t="n">
        <f aca="false">Model!N251+Model!N252+Model!N253</f>
        <v>3157.89473684211</v>
      </c>
      <c r="M20" s="231" t="n">
        <f aca="false">Model!O251+Model!O252+Model!O253</f>
        <v>3157.89473684211</v>
      </c>
      <c r="N20" s="231" t="n">
        <f aca="false">Model!P251+Model!P252+Model!P253</f>
        <v>3157.89473684211</v>
      </c>
      <c r="O20" s="231" t="n">
        <f aca="false">Model!Q251+Model!Q252+Model!Q253</f>
        <v>3157.89473684211</v>
      </c>
      <c r="P20" s="231" t="n">
        <f aca="false">Model!R251+Model!R252+Model!R253</f>
        <v>3157.89473684211</v>
      </c>
      <c r="Q20" s="231" t="n">
        <f aca="false">Model!S251+Model!S252+Model!S253</f>
        <v>3157.89473684211</v>
      </c>
      <c r="R20" s="231" t="n">
        <f aca="false">Model!T251+Model!T252+Model!T253</f>
        <v>3157.89473684211</v>
      </c>
      <c r="S20" s="231" t="n">
        <f aca="false">Model!U251+Model!U252+Model!U253</f>
        <v>3157.89473684211</v>
      </c>
      <c r="T20" s="231" t="n">
        <f aca="false">Model!V251+Model!V252+Model!V253</f>
        <v>3157.89473684211</v>
      </c>
      <c r="U20" s="231" t="n">
        <f aca="false">Model!W251+Model!W252+Model!W253</f>
        <v>3157.89473684211</v>
      </c>
      <c r="V20" s="231" t="n">
        <f aca="false">Model!X251+Model!X252+Model!X253</f>
        <v>3157.89473684211</v>
      </c>
      <c r="W20" s="231" t="n">
        <f aca="false">Model!Y251+Model!Y252+Model!Y253</f>
        <v>3157.89473684211</v>
      </c>
      <c r="X20" s="231" t="n">
        <f aca="false">Model!Z251+Model!Z252+Model!Z253</f>
        <v>3157.89473684211</v>
      </c>
      <c r="Y20" s="231" t="n">
        <f aca="false">Model!AA251+Model!AA252+Model!AA253</f>
        <v>3157.89473684211</v>
      </c>
      <c r="Z20" s="231" t="n">
        <f aca="false">Model!AB251+Model!AB252+Model!AB253</f>
        <v>3157.89473684211</v>
      </c>
      <c r="AA20" s="231" t="n">
        <f aca="false">Model!AC251+Model!AC252+Model!AC253</f>
        <v>3157.89473684211</v>
      </c>
      <c r="AB20" s="231" t="n">
        <f aca="false">Model!AD251+Model!AD252+Model!AD253</f>
        <v>3157.89473684211</v>
      </c>
      <c r="AC20" s="231" t="n">
        <f aca="false">Model!AE251+Model!AE252+Model!AE253</f>
        <v>3157.89473684211</v>
      </c>
      <c r="AD20" s="231" t="n">
        <f aca="false">Model!AF251+Model!AF252+Model!AF253</f>
        <v>3157.89473684211</v>
      </c>
      <c r="AE20" s="231" t="n">
        <f aca="false">Model!AG251+Model!AG252+Model!AG253</f>
        <v>0</v>
      </c>
      <c r="AF20" s="231" t="n">
        <f aca="false">Model!AH251+Model!AH252+Model!AH253</f>
        <v>0</v>
      </c>
      <c r="AG20" s="231" t="n">
        <f aca="false">Model!AI251+Model!AI252+Model!AI253</f>
        <v>0</v>
      </c>
      <c r="AH20" s="231" t="n">
        <f aca="false">Model!AJ251+Model!AJ252+Model!AJ253</f>
        <v>0</v>
      </c>
      <c r="AI20" s="231" t="n">
        <f aca="false">Model!AK251+Model!AK252+Model!AK253</f>
        <v>0</v>
      </c>
      <c r="AJ20" s="231" t="n">
        <f aca="false">Model!AL251+Model!AL252+Model!AL253</f>
        <v>0</v>
      </c>
      <c r="AK20" s="231" t="n">
        <f aca="false">Model!AM251+Model!AM252+Model!AM253</f>
        <v>0</v>
      </c>
      <c r="AL20" s="231" t="n">
        <f aca="false">Model!AN251+Model!AN252+Model!AN253</f>
        <v>0</v>
      </c>
      <c r="AM20" s="231" t="n">
        <f aca="false">Model!AO251+Model!AO252+Model!AO253</f>
        <v>0</v>
      </c>
      <c r="AN20" s="231" t="n">
        <f aca="false">Model!AP251+Model!AP252+Model!AP253</f>
        <v>0</v>
      </c>
      <c r="AO20" s="231" t="n">
        <f aca="false">Model!AQ251+Model!AQ252+Model!AQ253</f>
        <v>0</v>
      </c>
      <c r="AP20" s="231" t="n">
        <f aca="false">Model!AR251+Model!AR252+Model!AR253</f>
        <v>0</v>
      </c>
      <c r="AQ20" s="231" t="n">
        <f aca="false">Model!AS251+Model!AS252+Model!AS253</f>
        <v>0</v>
      </c>
      <c r="AR20" s="231" t="n">
        <f aca="false">Model!AT251+Model!AT252+Model!AT253</f>
        <v>0</v>
      </c>
      <c r="AS20" s="231" t="n">
        <f aca="false">Model!AU251+Model!AU252+Model!AU253</f>
        <v>0</v>
      </c>
      <c r="AT20" s="231" t="n">
        <f aca="false">Model!AV251+Model!AV252+Model!AV253</f>
        <v>0</v>
      </c>
      <c r="AU20" s="231" t="n">
        <f aca="false">Model!AW251+Model!AW252+Model!AW253</f>
        <v>0</v>
      </c>
      <c r="AV20" s="231" t="n">
        <f aca="false">Model!AX251+Model!AX252+Model!AX253</f>
        <v>0</v>
      </c>
      <c r="AW20" s="231" t="n">
        <f aca="false">Model!AY251+Model!AY252+Model!AY253</f>
        <v>0</v>
      </c>
      <c r="AX20" s="231" t="n">
        <f aca="false">Model!AZ251+Model!AZ252+Model!AZ253</f>
        <v>0</v>
      </c>
      <c r="AY20" s="231" t="n">
        <f aca="false">Model!BA251+Model!BA252+Model!BA253</f>
        <v>0</v>
      </c>
      <c r="AZ20" s="231" t="n">
        <f aca="false">Model!BB251+Model!BB252+Model!BB253</f>
        <v>0</v>
      </c>
      <c r="BA20" s="231" t="n">
        <f aca="false">Model!BC251+Model!BC252+Model!BC253</f>
        <v>0</v>
      </c>
      <c r="BB20" s="231" t="n">
        <f aca="false">Model!BD251+Model!BD252+Model!BD253</f>
        <v>0</v>
      </c>
      <c r="BC20" s="231" t="n">
        <f aca="false">Model!BE251+Model!BE252+Model!BE253</f>
        <v>0</v>
      </c>
      <c r="BD20" s="231" t="n">
        <f aca="false">Model!BF251+Model!BF252+Model!BF253</f>
        <v>0</v>
      </c>
      <c r="BE20" s="231" t="n">
        <f aca="false">Model!BG251+Model!BG252+Model!BG253</f>
        <v>0</v>
      </c>
      <c r="BF20" s="231" t="n">
        <f aca="false">Model!BH251+Model!BH252+Model!BH253</f>
        <v>0</v>
      </c>
      <c r="BG20" s="231" t="n">
        <f aca="false">Model!BI251+Model!BI252+Model!BI253</f>
        <v>0</v>
      </c>
      <c r="BH20" s="231" t="n">
        <f aca="false">Model!BJ251+Model!BJ252+Model!BJ253</f>
        <v>0</v>
      </c>
      <c r="BI20" s="231" t="n">
        <f aca="false">Model!BK251+Model!BK252+Model!BK253</f>
        <v>0</v>
      </c>
      <c r="BJ20" s="231" t="n">
        <f aca="false">Model!BL251+Model!BL252+Model!BL253</f>
        <v>0</v>
      </c>
      <c r="BK20" s="231" t="n">
        <f aca="false">Model!BM251+Model!BM252+Model!BM253</f>
        <v>0</v>
      </c>
      <c r="BL20" s="231" t="n">
        <f aca="false">Model!BN251+Model!BN252+Model!BN253</f>
        <v>0</v>
      </c>
      <c r="BM20" s="231" t="n">
        <f aca="false">Model!BO251+Model!BO252+Model!BO253</f>
        <v>0</v>
      </c>
      <c r="BN20" s="231" t="n">
        <f aca="false">Model!BP251+Model!BP252+Model!BP253</f>
        <v>0</v>
      </c>
      <c r="BO20" s="231" t="n">
        <f aca="false">Model!BQ251+Model!BQ252+Model!BQ253</f>
        <v>0</v>
      </c>
      <c r="BP20" s="231" t="n">
        <f aca="false">Model!BR251+Model!BR252+Model!BR253</f>
        <v>0</v>
      </c>
      <c r="BQ20" s="231" t="n">
        <f aca="false">Model!BS251+Model!BS252+Model!BS253</f>
        <v>0</v>
      </c>
      <c r="BR20" s="231" t="n">
        <f aca="false">Model!BT251+Model!BT252+Model!BT253</f>
        <v>0</v>
      </c>
      <c r="BS20" s="231" t="n">
        <f aca="false">Model!BU251+Model!BU252+Model!BU253</f>
        <v>0</v>
      </c>
      <c r="BT20" s="231" t="n">
        <f aca="false">Model!BV251+Model!BV252+Model!BV253</f>
        <v>0</v>
      </c>
      <c r="BU20" s="231" t="n">
        <f aca="false">Model!BW251+Model!BW252+Model!BW253</f>
        <v>0</v>
      </c>
      <c r="BV20" s="231" t="n">
        <f aca="false">Model!BX251+Model!BX252+Model!BX253</f>
        <v>0</v>
      </c>
      <c r="BW20" s="231" t="n">
        <f aca="false">Model!BY251+Model!BY252+Model!BY253</f>
        <v>0</v>
      </c>
      <c r="BX20" s="231" t="n">
        <f aca="false">Model!BZ251+Model!BZ252+Model!BZ253</f>
        <v>0</v>
      </c>
      <c r="BY20" s="231" t="n">
        <f aca="false">Model!CA251+Model!CA252+Model!CA253</f>
        <v>0</v>
      </c>
      <c r="BZ20" s="231" t="n">
        <f aca="false">Model!CB251+Model!CB252+Model!CB253</f>
        <v>0</v>
      </c>
      <c r="CA20" s="231" t="n">
        <f aca="false">Model!CC251+Model!CC252+Model!CC253</f>
        <v>0</v>
      </c>
      <c r="CB20" s="231" t="n">
        <f aca="false">Model!CD251+Model!CD252+Model!CD253</f>
        <v>0</v>
      </c>
      <c r="CC20" s="231" t="n">
        <f aca="false">Model!CE251+Model!CE252+Model!CE253</f>
        <v>0</v>
      </c>
      <c r="CD20" s="231" t="n">
        <f aca="false">Model!CF251+Model!CF252+Model!CF253</f>
        <v>0</v>
      </c>
      <c r="CE20" s="231" t="n">
        <f aca="false">Model!CG251+Model!CG252+Model!CG253</f>
        <v>0</v>
      </c>
      <c r="CF20" s="231" t="n">
        <f aca="false">Model!CH251+Model!CH252+Model!CH253</f>
        <v>0</v>
      </c>
      <c r="CG20" s="231" t="n">
        <f aca="false">Model!CI251+Model!CI252+Model!CI253</f>
        <v>0</v>
      </c>
      <c r="CH20" s="231" t="n">
        <f aca="false">Model!CJ251+Model!CJ252+Model!CJ253</f>
        <v>0</v>
      </c>
    </row>
    <row r="21" customFormat="false" ht="15" hidden="false" customHeight="true" outlineLevel="0" collapsed="false">
      <c r="A21" s="235" t="s">
        <v>758</v>
      </c>
      <c r="B21" s="3"/>
      <c r="C21" s="236" t="n">
        <f aca="false">IF(AND(Projects!$G$12="Yes",1=Projects!$C$12),-135452,0)</f>
        <v>0</v>
      </c>
      <c r="D21" s="236" t="n">
        <f aca="false">IF(AND(Projects!$G$12="Yes",2=Projects!$C$12),-135452,0)</f>
        <v>0</v>
      </c>
      <c r="E21" s="236" t="n">
        <f aca="false">IF(AND(Projects!$G$12="Yes",3=Projects!$C$12),-135452,0)</f>
        <v>0</v>
      </c>
      <c r="F21" s="236" t="n">
        <f aca="false">IF(AND(Projects!$G$12="Yes",4=Projects!$C$12),-135452,0)</f>
        <v>0</v>
      </c>
      <c r="G21" s="236" t="n">
        <f aca="false">IF(AND(Projects!$G$12="Yes",5=Projects!$C$12),-135452,0)</f>
        <v>0</v>
      </c>
      <c r="H21" s="236" t="n">
        <f aca="false">IF(AND(Projects!$G$12="Yes",6=Projects!$C$12),-135452,0)</f>
        <v>0</v>
      </c>
      <c r="I21" s="236" t="n">
        <f aca="false">IF(AND(Projects!$G$12="Yes",7=Projects!$C$12),-135452,0)</f>
        <v>0</v>
      </c>
      <c r="J21" s="236" t="n">
        <f aca="false">IF(AND(Projects!$G$12="Yes",8=Projects!$C$12),-135452,0)</f>
        <v>0</v>
      </c>
      <c r="K21" s="236" t="n">
        <f aca="false">IF(AND(Projects!$G$12="Yes",9=Projects!$C$12),-135452,0)</f>
        <v>0</v>
      </c>
      <c r="L21" s="236" t="n">
        <f aca="false">IF(AND(Projects!$G$12="Yes",10=Projects!$C$12),-135452,0)</f>
        <v>-135452</v>
      </c>
      <c r="M21" s="236" t="n">
        <f aca="false">IF(AND(Projects!$G$12="Yes",11=Projects!$C$12),-135452,0)</f>
        <v>0</v>
      </c>
      <c r="N21" s="236" t="n">
        <f aca="false">IF(AND(Projects!$G$12="Yes",12=Projects!$C$12),-135452,0)</f>
        <v>0</v>
      </c>
      <c r="O21" s="236" t="n">
        <f aca="false">IF(AND(Projects!$G$12="Yes",13=Projects!$C$12),-135452,0)</f>
        <v>0</v>
      </c>
      <c r="P21" s="236" t="n">
        <f aca="false">IF(AND(Projects!$G$12="Yes",14=Projects!$C$12),-135452,0)</f>
        <v>0</v>
      </c>
      <c r="Q21" s="236" t="n">
        <f aca="false">IF(AND(Projects!$G$12="Yes",15=Projects!$C$12),-135452,0)</f>
        <v>0</v>
      </c>
      <c r="R21" s="236" t="n">
        <f aca="false">IF(AND(Projects!$G$12="Yes",16=Projects!$C$12),-135452,0)</f>
        <v>0</v>
      </c>
      <c r="S21" s="236" t="n">
        <f aca="false">IF(AND(Projects!$G$12="Yes",17=Projects!$C$12),-135452,0)</f>
        <v>0</v>
      </c>
      <c r="T21" s="236" t="n">
        <f aca="false">IF(AND(Projects!$G$12="Yes",18=Projects!$C$12),-135452,0)</f>
        <v>0</v>
      </c>
      <c r="U21" s="236" t="n">
        <f aca="false">IF(AND(Projects!$G$12="Yes",19=Projects!$C$12),-135452,0)</f>
        <v>0</v>
      </c>
      <c r="V21" s="236" t="n">
        <f aca="false">IF(AND(Projects!$G$12="Yes",20=Projects!$C$12),-135452,0)</f>
        <v>0</v>
      </c>
      <c r="W21" s="236" t="n">
        <f aca="false">IF(AND(Projects!$G$12="Yes",21=Projects!$C$12),-135452,0)</f>
        <v>0</v>
      </c>
      <c r="X21" s="236" t="n">
        <f aca="false">IF(AND(Projects!$G$12="Yes",22=Projects!$C$12),-135452,0)</f>
        <v>0</v>
      </c>
      <c r="Y21" s="236" t="n">
        <f aca="false">IF(AND(Projects!$G$12="Yes",23=Projects!$C$12),-135452,0)</f>
        <v>0</v>
      </c>
      <c r="Z21" s="236" t="n">
        <f aca="false">IF(AND(Projects!$G$12="Yes",24=Projects!$C$12),-135452,0)</f>
        <v>0</v>
      </c>
      <c r="AA21" s="236" t="n">
        <f aca="false">IF(AND(Projects!$G$12="Yes",25=Projects!$C$12),-135452,0)</f>
        <v>0</v>
      </c>
      <c r="AB21" s="236" t="n">
        <f aca="false">IF(AND(Projects!$G$12="Yes",26=Projects!$C$12),-135452,0)</f>
        <v>0</v>
      </c>
      <c r="AC21" s="236" t="n">
        <f aca="false">IF(AND(Projects!$G$12="Yes",27=Projects!$C$12),-135452,0)</f>
        <v>0</v>
      </c>
      <c r="AD21" s="236" t="n">
        <f aca="false">IF(AND(Projects!$G$12="Yes",28=Projects!$C$12),-135452,0)</f>
        <v>0</v>
      </c>
      <c r="AE21" s="236" t="n">
        <f aca="false">IF(AND(Projects!$G$12="Yes",29=Projects!$C$12),-135452,0)</f>
        <v>0</v>
      </c>
      <c r="AF21" s="236" t="n">
        <f aca="false">IF(AND(Projects!$G$12="Yes",30=Projects!$C$12),-135452,0)</f>
        <v>0</v>
      </c>
      <c r="AG21" s="236" t="n">
        <f aca="false">IF(AND(Projects!$G$12="Yes",31=Projects!$C$12),-135452,0)</f>
        <v>0</v>
      </c>
      <c r="AH21" s="236" t="n">
        <f aca="false">IF(AND(Projects!$G$12="Yes",32=Projects!$C$12),-135452,0)</f>
        <v>0</v>
      </c>
      <c r="AI21" s="236" t="n">
        <f aca="false">IF(AND(Projects!$G$12="Yes",33=Projects!$C$12),-135452,0)</f>
        <v>0</v>
      </c>
      <c r="AJ21" s="236" t="n">
        <f aca="false">IF(AND(Projects!$G$12="Yes",34=Projects!$C$12),-135452,0)</f>
        <v>0</v>
      </c>
      <c r="AK21" s="236" t="n">
        <f aca="false">IF(AND(Projects!$G$12="Yes",35=Projects!$C$12),-135452,0)</f>
        <v>0</v>
      </c>
      <c r="AL21" s="236" t="n">
        <f aca="false">IF(AND(Projects!$G$12="Yes",36=Projects!$C$12),-135452,0)</f>
        <v>0</v>
      </c>
      <c r="AM21" s="236" t="n">
        <f aca="false">IF(AND(Projects!$G$12="Yes",37=Projects!$C$12),-135452,0)</f>
        <v>0</v>
      </c>
      <c r="AN21" s="236" t="n">
        <f aca="false">IF(AND(Projects!$G$12="Yes",38=Projects!$C$12),-135452,0)</f>
        <v>0</v>
      </c>
      <c r="AO21" s="236" t="n">
        <f aca="false">IF(AND(Projects!$G$12="Yes",39=Projects!$C$12),-135452,0)</f>
        <v>0</v>
      </c>
      <c r="AP21" s="236" t="n">
        <f aca="false">IF(AND(Projects!$G$12="Yes",40=Projects!$C$12),-135452,0)</f>
        <v>0</v>
      </c>
      <c r="AQ21" s="236" t="n">
        <f aca="false">IF(AND(Projects!$G$12="Yes",41=Projects!$C$12),-135452,0)</f>
        <v>0</v>
      </c>
      <c r="AR21" s="236" t="n">
        <f aca="false">IF(AND(Projects!$G$12="Yes",42=Projects!$C$12),-135452,0)</f>
        <v>0</v>
      </c>
      <c r="AS21" s="236" t="n">
        <f aca="false">IF(AND(Projects!$G$12="Yes",43=Projects!$C$12),-135452,0)</f>
        <v>0</v>
      </c>
      <c r="AT21" s="236" t="n">
        <f aca="false">IF(AND(Projects!$G$12="Yes",44=Projects!$C$12),-135452,0)</f>
        <v>0</v>
      </c>
      <c r="AU21" s="236" t="n">
        <f aca="false">IF(AND(Projects!$G$12="Yes",45=Projects!$C$12),-135452,0)</f>
        <v>0</v>
      </c>
      <c r="AV21" s="236" t="n">
        <f aca="false">IF(AND(Projects!$G$12="Yes",46=Projects!$C$12),-135452,0)</f>
        <v>0</v>
      </c>
      <c r="AW21" s="236" t="n">
        <f aca="false">IF(AND(Projects!$G$12="Yes",47=Projects!$C$12),-135452,0)</f>
        <v>0</v>
      </c>
      <c r="AX21" s="236" t="n">
        <f aca="false">IF(AND(Projects!$G$12="Yes",48=Projects!$C$12),-135452,0)</f>
        <v>0</v>
      </c>
      <c r="AY21" s="236" t="n">
        <f aca="false">IF(AND(Projects!$G$12="Yes",49=Projects!$C$12),-135452,0)</f>
        <v>0</v>
      </c>
      <c r="AZ21" s="236" t="n">
        <f aca="false">IF(AND(Projects!$G$12="Yes",50=Projects!$C$12),-135452,0)</f>
        <v>0</v>
      </c>
      <c r="BA21" s="236" t="n">
        <f aca="false">IF(AND(Projects!$G$12="Yes",51=Projects!$C$12),-135452,0)</f>
        <v>0</v>
      </c>
      <c r="BB21" s="236" t="n">
        <f aca="false">IF(AND(Projects!$G$12="Yes",52=Projects!$C$12),-135452,0)</f>
        <v>0</v>
      </c>
      <c r="BC21" s="236" t="n">
        <f aca="false">IF(AND(Projects!$G$12="Yes",53=Projects!$C$12),-135452,0)</f>
        <v>0</v>
      </c>
      <c r="BD21" s="236" t="n">
        <f aca="false">IF(AND(Projects!$G$12="Yes",54=Projects!$C$12),-135452,0)</f>
        <v>0</v>
      </c>
      <c r="BE21" s="236" t="n">
        <f aca="false">IF(AND(Projects!$G$12="Yes",55=Projects!$C$12),-135452,0)</f>
        <v>0</v>
      </c>
      <c r="BF21" s="236" t="n">
        <f aca="false">IF(AND(Projects!$G$12="Yes",56=Projects!$C$12),-135452,0)</f>
        <v>0</v>
      </c>
      <c r="BG21" s="236" t="n">
        <f aca="false">IF(AND(Projects!$G$12="Yes",57=Projects!$C$12),-135452,0)</f>
        <v>0</v>
      </c>
      <c r="BH21" s="236" t="n">
        <f aca="false">IF(AND(Projects!$G$12="Yes",58=Projects!$C$12),-135452,0)</f>
        <v>0</v>
      </c>
      <c r="BI21" s="236" t="n">
        <f aca="false">IF(AND(Projects!$G$12="Yes",59=Projects!$C$12),-135452,0)</f>
        <v>0</v>
      </c>
      <c r="BJ21" s="236" t="n">
        <f aca="false">IF(AND(Projects!$G$12="Yes",60=Projects!$C$12),-135452,0)</f>
        <v>0</v>
      </c>
      <c r="BK21" s="236" t="n">
        <f aca="false">IF(AND(Projects!$G$12="Yes",61=Projects!$C$12),-135452,0)</f>
        <v>0</v>
      </c>
      <c r="BL21" s="236" t="n">
        <f aca="false">IF(AND(Projects!$G$12="Yes",62=Projects!$C$12),-135452,0)</f>
        <v>0</v>
      </c>
      <c r="BM21" s="236" t="n">
        <f aca="false">IF(AND(Projects!$G$12="Yes",63=Projects!$C$12),-135452,0)</f>
        <v>0</v>
      </c>
      <c r="BN21" s="236" t="n">
        <f aca="false">IF(AND(Projects!$G$12="Yes",64=Projects!$C$12),-135452,0)</f>
        <v>0</v>
      </c>
      <c r="BO21" s="236" t="n">
        <f aca="false">IF(AND(Projects!$G$12="Yes",65=Projects!$C$12),-135452,0)</f>
        <v>0</v>
      </c>
      <c r="BP21" s="236" t="n">
        <f aca="false">IF(AND(Projects!$G$12="Yes",66=Projects!$C$12),-135452,0)</f>
        <v>0</v>
      </c>
      <c r="BQ21" s="236" t="n">
        <f aca="false">IF(AND(Projects!$G$12="Yes",67=Projects!$C$12),-135452,0)</f>
        <v>0</v>
      </c>
      <c r="BR21" s="236" t="n">
        <f aca="false">IF(AND(Projects!$G$12="Yes",68=Projects!$C$12),-135452,0)</f>
        <v>0</v>
      </c>
      <c r="BS21" s="236" t="n">
        <f aca="false">IF(AND(Projects!$G$12="Yes",69=Projects!$C$12),-135452,0)</f>
        <v>0</v>
      </c>
      <c r="BT21" s="236" t="n">
        <f aca="false">IF(AND(Projects!$G$12="Yes",70=Projects!$C$12),-135452,0)</f>
        <v>0</v>
      </c>
      <c r="BU21" s="236" t="n">
        <f aca="false">IF(AND(Projects!$G$12="Yes",71=Projects!$C$12),-135452,0)</f>
        <v>0</v>
      </c>
      <c r="BV21" s="236" t="n">
        <f aca="false">IF(AND(Projects!$G$12="Yes",72=Projects!$C$12),-135452,0)</f>
        <v>0</v>
      </c>
      <c r="BW21" s="236" t="n">
        <f aca="false">IF(AND(Projects!$G$12="Yes",73=Projects!$C$12),-135452,0)</f>
        <v>0</v>
      </c>
      <c r="BX21" s="236" t="n">
        <f aca="false">IF(AND(Projects!$G$12="Yes",74=Projects!$C$12),-135452,0)</f>
        <v>0</v>
      </c>
      <c r="BY21" s="236" t="n">
        <f aca="false">IF(AND(Projects!$G$12="Yes",75=Projects!$C$12),-135452,0)</f>
        <v>0</v>
      </c>
      <c r="BZ21" s="236" t="n">
        <f aca="false">IF(AND(Projects!$G$12="Yes",76=Projects!$C$12),-135452,0)</f>
        <v>0</v>
      </c>
      <c r="CA21" s="236" t="n">
        <f aca="false">IF(AND(Projects!$G$12="Yes",77=Projects!$C$12),-135452,0)</f>
        <v>0</v>
      </c>
      <c r="CB21" s="236" t="n">
        <f aca="false">IF(AND(Projects!$G$12="Yes",78=Projects!$C$12),-135452,0)</f>
        <v>0</v>
      </c>
      <c r="CC21" s="236" t="n">
        <f aca="false">IF(AND(Projects!$G$12="Yes",79=Projects!$C$12),-135452,0)</f>
        <v>0</v>
      </c>
      <c r="CD21" s="236" t="n">
        <f aca="false">IF(AND(Projects!$G$12="Yes",80=Projects!$C$12),-135452,0)</f>
        <v>0</v>
      </c>
      <c r="CE21" s="236" t="n">
        <f aca="false">IF(AND(Projects!$G$12="Yes",81=Projects!$C$12),-135452,0)</f>
        <v>0</v>
      </c>
      <c r="CF21" s="236" t="n">
        <f aca="false">IF(AND(Projects!$G$12="Yes",82=Projects!$C$12),-135452,0)</f>
        <v>0</v>
      </c>
      <c r="CG21" s="236" t="n">
        <f aca="false">IF(AND(Projects!$G$12="Yes",83=Projects!$C$12),-135452,0)</f>
        <v>0</v>
      </c>
      <c r="CH21" s="236" t="n">
        <f aca="false">IF(AND(Projects!$G$12="Yes",84=Projects!$C$12),-135452,0)</f>
        <v>0</v>
      </c>
    </row>
    <row r="22" customFormat="false" ht="15" hidden="false" customHeight="true" outlineLevel="0" collapsed="false">
      <c r="A22" s="232" t="s">
        <v>756</v>
      </c>
      <c r="B22" s="232"/>
      <c r="C22" s="233" t="n">
        <f aca="false">C20+C21</f>
        <v>0</v>
      </c>
      <c r="D22" s="233" t="n">
        <f aca="false">D20+D21</f>
        <v>0</v>
      </c>
      <c r="E22" s="233" t="n">
        <f aca="false">E20+E21</f>
        <v>0</v>
      </c>
      <c r="F22" s="233" t="n">
        <f aca="false">F20+F21</f>
        <v>0</v>
      </c>
      <c r="G22" s="233" t="n">
        <f aca="false">G20+G21</f>
        <v>0</v>
      </c>
      <c r="H22" s="233" t="n">
        <f aca="false">H20+H21</f>
        <v>0</v>
      </c>
      <c r="I22" s="233" t="n">
        <f aca="false">I20+I21</f>
        <v>0</v>
      </c>
      <c r="J22" s="233" t="n">
        <f aca="false">J20+J21</f>
        <v>0</v>
      </c>
      <c r="K22" s="233" t="n">
        <f aca="false">K20+K21</f>
        <v>0</v>
      </c>
      <c r="L22" s="233" t="n">
        <f aca="false">L20+L21</f>
        <v>-132294.105263158</v>
      </c>
      <c r="M22" s="233" t="n">
        <f aca="false">M20+M21</f>
        <v>3157.89473684211</v>
      </c>
      <c r="N22" s="233" t="n">
        <f aca="false">N20+N21</f>
        <v>3157.89473684211</v>
      </c>
      <c r="O22" s="233" t="n">
        <f aca="false">O20+O21</f>
        <v>3157.89473684211</v>
      </c>
      <c r="P22" s="233" t="n">
        <f aca="false">P20+P21</f>
        <v>3157.89473684211</v>
      </c>
      <c r="Q22" s="233" t="n">
        <f aca="false">Q20+Q21</f>
        <v>3157.89473684211</v>
      </c>
      <c r="R22" s="233" t="n">
        <f aca="false">R20+R21</f>
        <v>3157.89473684211</v>
      </c>
      <c r="S22" s="233" t="n">
        <f aca="false">S20+S21</f>
        <v>3157.89473684211</v>
      </c>
      <c r="T22" s="233" t="n">
        <f aca="false">T20+T21</f>
        <v>3157.89473684211</v>
      </c>
      <c r="U22" s="233" t="n">
        <f aca="false">U20+U21</f>
        <v>3157.89473684211</v>
      </c>
      <c r="V22" s="233" t="n">
        <f aca="false">V20+V21</f>
        <v>3157.89473684211</v>
      </c>
      <c r="W22" s="233" t="n">
        <f aca="false">W20+W21</f>
        <v>3157.89473684211</v>
      </c>
      <c r="X22" s="233" t="n">
        <f aca="false">X20+X21</f>
        <v>3157.89473684211</v>
      </c>
      <c r="Y22" s="233" t="n">
        <f aca="false">Y20+Y21</f>
        <v>3157.89473684211</v>
      </c>
      <c r="Z22" s="233" t="n">
        <f aca="false">Z20+Z21</f>
        <v>3157.89473684211</v>
      </c>
      <c r="AA22" s="233" t="n">
        <f aca="false">AA20+AA21</f>
        <v>3157.89473684211</v>
      </c>
      <c r="AB22" s="233" t="n">
        <f aca="false">AB20+AB21</f>
        <v>3157.89473684211</v>
      </c>
      <c r="AC22" s="233" t="n">
        <f aca="false">AC20+AC21</f>
        <v>3157.89473684211</v>
      </c>
      <c r="AD22" s="233" t="n">
        <f aca="false">AD20+AD21</f>
        <v>3157.89473684211</v>
      </c>
      <c r="AE22" s="233" t="n">
        <f aca="false">AE20+AE21</f>
        <v>0</v>
      </c>
      <c r="AF22" s="233" t="n">
        <f aca="false">AF20+AF21</f>
        <v>0</v>
      </c>
      <c r="AG22" s="233" t="n">
        <f aca="false">AG20+AG21</f>
        <v>0</v>
      </c>
      <c r="AH22" s="233" t="n">
        <f aca="false">AH20+AH21</f>
        <v>0</v>
      </c>
      <c r="AI22" s="233" t="n">
        <f aca="false">AI20+AI21</f>
        <v>0</v>
      </c>
      <c r="AJ22" s="233" t="n">
        <f aca="false">AJ20+AJ21</f>
        <v>0</v>
      </c>
      <c r="AK22" s="233" t="n">
        <f aca="false">AK20+AK21</f>
        <v>0</v>
      </c>
      <c r="AL22" s="233" t="n">
        <f aca="false">AL20+AL21</f>
        <v>0</v>
      </c>
      <c r="AM22" s="233" t="n">
        <f aca="false">AM20+AM21</f>
        <v>0</v>
      </c>
      <c r="AN22" s="233" t="n">
        <f aca="false">AN20+AN21</f>
        <v>0</v>
      </c>
      <c r="AO22" s="233" t="n">
        <f aca="false">AO20+AO21</f>
        <v>0</v>
      </c>
      <c r="AP22" s="233" t="n">
        <f aca="false">AP20+AP21</f>
        <v>0</v>
      </c>
      <c r="AQ22" s="233" t="n">
        <f aca="false">AQ20+AQ21</f>
        <v>0</v>
      </c>
      <c r="AR22" s="233" t="n">
        <f aca="false">AR20+AR21</f>
        <v>0</v>
      </c>
      <c r="AS22" s="233" t="n">
        <f aca="false">AS20+AS21</f>
        <v>0</v>
      </c>
      <c r="AT22" s="233" t="n">
        <f aca="false">AT20+AT21</f>
        <v>0</v>
      </c>
      <c r="AU22" s="233" t="n">
        <f aca="false">AU20+AU21</f>
        <v>0</v>
      </c>
      <c r="AV22" s="233" t="n">
        <f aca="false">AV20+AV21</f>
        <v>0</v>
      </c>
      <c r="AW22" s="233" t="n">
        <f aca="false">AW20+AW21</f>
        <v>0</v>
      </c>
      <c r="AX22" s="233" t="n">
        <f aca="false">AX20+AX21</f>
        <v>0</v>
      </c>
      <c r="AY22" s="233" t="n">
        <f aca="false">AY20+AY21</f>
        <v>0</v>
      </c>
      <c r="AZ22" s="233" t="n">
        <f aca="false">AZ20+AZ21</f>
        <v>0</v>
      </c>
      <c r="BA22" s="233" t="n">
        <f aca="false">BA20+BA21</f>
        <v>0</v>
      </c>
      <c r="BB22" s="233" t="n">
        <f aca="false">BB20+BB21</f>
        <v>0</v>
      </c>
      <c r="BC22" s="233" t="n">
        <f aca="false">BC20+BC21</f>
        <v>0</v>
      </c>
      <c r="BD22" s="233" t="n">
        <f aca="false">BD20+BD21</f>
        <v>0</v>
      </c>
      <c r="BE22" s="233" t="n">
        <f aca="false">BE20+BE21</f>
        <v>0</v>
      </c>
      <c r="BF22" s="233" t="n">
        <f aca="false">BF20+BF21</f>
        <v>0</v>
      </c>
      <c r="BG22" s="233" t="n">
        <f aca="false">BG20+BG21</f>
        <v>0</v>
      </c>
      <c r="BH22" s="233" t="n">
        <f aca="false">BH20+BH21</f>
        <v>0</v>
      </c>
      <c r="BI22" s="233" t="n">
        <f aca="false">BI20+BI21</f>
        <v>0</v>
      </c>
      <c r="BJ22" s="233" t="n">
        <f aca="false">BJ20+BJ21</f>
        <v>0</v>
      </c>
      <c r="BK22" s="233" t="n">
        <f aca="false">BK20+BK21</f>
        <v>0</v>
      </c>
      <c r="BL22" s="233" t="n">
        <f aca="false">BL20+BL21</f>
        <v>0</v>
      </c>
      <c r="BM22" s="233" t="n">
        <f aca="false">BM20+BM21</f>
        <v>0</v>
      </c>
      <c r="BN22" s="233" t="n">
        <f aca="false">BN20+BN21</f>
        <v>0</v>
      </c>
      <c r="BO22" s="233" t="n">
        <f aca="false">BO20+BO21</f>
        <v>0</v>
      </c>
      <c r="BP22" s="233" t="n">
        <f aca="false">BP20+BP21</f>
        <v>0</v>
      </c>
      <c r="BQ22" s="233" t="n">
        <f aca="false">BQ20+BQ21</f>
        <v>0</v>
      </c>
      <c r="BR22" s="233" t="n">
        <f aca="false">BR20+BR21</f>
        <v>0</v>
      </c>
      <c r="BS22" s="233" t="n">
        <f aca="false">BS20+BS21</f>
        <v>0</v>
      </c>
      <c r="BT22" s="233" t="n">
        <f aca="false">BT20+BT21</f>
        <v>0</v>
      </c>
      <c r="BU22" s="233" t="n">
        <f aca="false">BU20+BU21</f>
        <v>0</v>
      </c>
      <c r="BV22" s="233" t="n">
        <f aca="false">BV20+BV21</f>
        <v>0</v>
      </c>
      <c r="BW22" s="233" t="n">
        <f aca="false">BW20+BW21</f>
        <v>0</v>
      </c>
      <c r="BX22" s="233" t="n">
        <f aca="false">BX20+BX21</f>
        <v>0</v>
      </c>
      <c r="BY22" s="233" t="n">
        <f aca="false">BY20+BY21</f>
        <v>0</v>
      </c>
      <c r="BZ22" s="233" t="n">
        <f aca="false">BZ20+BZ21</f>
        <v>0</v>
      </c>
      <c r="CA22" s="233" t="n">
        <f aca="false">CA20+CA21</f>
        <v>0</v>
      </c>
      <c r="CB22" s="233" t="n">
        <f aca="false">CB20+CB21</f>
        <v>0</v>
      </c>
      <c r="CC22" s="233" t="n">
        <f aca="false">CC20+CC21</f>
        <v>0</v>
      </c>
      <c r="CD22" s="233" t="n">
        <f aca="false">CD20+CD21</f>
        <v>0</v>
      </c>
      <c r="CE22" s="233" t="n">
        <f aca="false">CE20+CE21</f>
        <v>0</v>
      </c>
      <c r="CF22" s="233" t="n">
        <f aca="false">CF20+CF21</f>
        <v>0</v>
      </c>
      <c r="CG22" s="233" t="n">
        <f aca="false">CG20+CG21</f>
        <v>0</v>
      </c>
      <c r="CH22" s="233" t="n">
        <f aca="false">CH20+CH21</f>
        <v>0</v>
      </c>
    </row>
    <row r="23" customFormat="false" ht="15" hidden="false" customHeight="true" outlineLevel="0" collapsed="false">
      <c r="A23" s="2" t="s">
        <v>757</v>
      </c>
      <c r="B23" s="3"/>
      <c r="C23" s="234" t="n">
        <f aca="false">C22</f>
        <v>0</v>
      </c>
      <c r="D23" s="234" t="n">
        <f aca="false">C23+D22</f>
        <v>0</v>
      </c>
      <c r="E23" s="234" t="n">
        <f aca="false">D23+E22</f>
        <v>0</v>
      </c>
      <c r="F23" s="234" t="n">
        <f aca="false">E23+F22</f>
        <v>0</v>
      </c>
      <c r="G23" s="234" t="n">
        <f aca="false">F23+G22</f>
        <v>0</v>
      </c>
      <c r="H23" s="234" t="n">
        <f aca="false">G23+H22</f>
        <v>0</v>
      </c>
      <c r="I23" s="234" t="n">
        <f aca="false">H23+I22</f>
        <v>0</v>
      </c>
      <c r="J23" s="234" t="n">
        <f aca="false">I23+J22</f>
        <v>0</v>
      </c>
      <c r="K23" s="234" t="n">
        <f aca="false">J23+K22</f>
        <v>0</v>
      </c>
      <c r="L23" s="234" t="n">
        <f aca="false">K23+L22</f>
        <v>-132294.105263158</v>
      </c>
      <c r="M23" s="234" t="n">
        <f aca="false">L23+M22</f>
        <v>-129136.210526316</v>
      </c>
      <c r="N23" s="234" t="n">
        <f aca="false">M23+N22</f>
        <v>-125978.315789474</v>
      </c>
      <c r="O23" s="234" t="n">
        <f aca="false">N23+O22</f>
        <v>-122820.421052632</v>
      </c>
      <c r="P23" s="234" t="n">
        <f aca="false">O23+P22</f>
        <v>-119662.526315789</v>
      </c>
      <c r="Q23" s="234" t="n">
        <f aca="false">P23+Q22</f>
        <v>-116504.631578947</v>
      </c>
      <c r="R23" s="234" t="n">
        <f aca="false">Q23+R22</f>
        <v>-113346.736842105</v>
      </c>
      <c r="S23" s="234" t="n">
        <f aca="false">R23+S22</f>
        <v>-110188.842105263</v>
      </c>
      <c r="T23" s="234" t="n">
        <f aca="false">S23+T22</f>
        <v>-107030.947368421</v>
      </c>
      <c r="U23" s="234" t="n">
        <f aca="false">T23+U22</f>
        <v>-103873.052631579</v>
      </c>
      <c r="V23" s="234" t="n">
        <f aca="false">U23+V22</f>
        <v>-100715.157894737</v>
      </c>
      <c r="W23" s="234" t="n">
        <f aca="false">V23+W22</f>
        <v>-97557.2631578947</v>
      </c>
      <c r="X23" s="234" t="n">
        <f aca="false">W23+X22</f>
        <v>-94399.3684210526</v>
      </c>
      <c r="Y23" s="234" t="n">
        <f aca="false">X23+Y22</f>
        <v>-91241.4736842105</v>
      </c>
      <c r="Z23" s="234" t="n">
        <f aca="false">Y23+Z22</f>
        <v>-88083.5789473684</v>
      </c>
      <c r="AA23" s="234" t="n">
        <f aca="false">Z23+AA22</f>
        <v>-84925.6842105263</v>
      </c>
      <c r="AB23" s="234" t="n">
        <f aca="false">AA23+AB22</f>
        <v>-81767.7894736842</v>
      </c>
      <c r="AC23" s="234" t="n">
        <f aca="false">AB23+AC22</f>
        <v>-78609.8947368421</v>
      </c>
      <c r="AD23" s="234" t="n">
        <f aca="false">AC23+AD22</f>
        <v>-75452</v>
      </c>
      <c r="AE23" s="234" t="n">
        <f aca="false">AD23+AE22</f>
        <v>-75452</v>
      </c>
      <c r="AF23" s="234" t="n">
        <f aca="false">AE23+AF22</f>
        <v>-75452</v>
      </c>
      <c r="AG23" s="234" t="n">
        <f aca="false">AF23+AG22</f>
        <v>-75452</v>
      </c>
      <c r="AH23" s="234" t="n">
        <f aca="false">AG23+AH22</f>
        <v>-75452</v>
      </c>
      <c r="AI23" s="234" t="n">
        <f aca="false">AH23+AI22</f>
        <v>-75452</v>
      </c>
      <c r="AJ23" s="234" t="n">
        <f aca="false">AI23+AJ22</f>
        <v>-75452</v>
      </c>
      <c r="AK23" s="234" t="n">
        <f aca="false">AJ23+AK22</f>
        <v>-75452</v>
      </c>
      <c r="AL23" s="234" t="n">
        <f aca="false">AK23+AL22</f>
        <v>-75452</v>
      </c>
      <c r="AM23" s="234" t="n">
        <f aca="false">AL23+AM22</f>
        <v>-75452</v>
      </c>
      <c r="AN23" s="234" t="n">
        <f aca="false">AM23+AN22</f>
        <v>-75452</v>
      </c>
      <c r="AO23" s="234" t="n">
        <f aca="false">AN23+AO22</f>
        <v>-75452</v>
      </c>
      <c r="AP23" s="234" t="n">
        <f aca="false">AO23+AP22</f>
        <v>-75452</v>
      </c>
      <c r="AQ23" s="234" t="n">
        <f aca="false">AP23+AQ22</f>
        <v>-75452</v>
      </c>
      <c r="AR23" s="234" t="n">
        <f aca="false">AQ23+AR22</f>
        <v>-75452</v>
      </c>
      <c r="AS23" s="234" t="n">
        <f aca="false">AR23+AS22</f>
        <v>-75452</v>
      </c>
      <c r="AT23" s="234" t="n">
        <f aca="false">AS23+AT22</f>
        <v>-75452</v>
      </c>
      <c r="AU23" s="234" t="n">
        <f aca="false">AT23+AU22</f>
        <v>-75452</v>
      </c>
      <c r="AV23" s="234" t="n">
        <f aca="false">AU23+AV22</f>
        <v>-75452</v>
      </c>
      <c r="AW23" s="234" t="n">
        <f aca="false">AV23+AW22</f>
        <v>-75452</v>
      </c>
      <c r="AX23" s="234" t="n">
        <f aca="false">AW23+AX22</f>
        <v>-75452</v>
      </c>
      <c r="AY23" s="234" t="n">
        <f aca="false">AX23+AY22</f>
        <v>-75452</v>
      </c>
      <c r="AZ23" s="234" t="n">
        <f aca="false">AY23+AZ22</f>
        <v>-75452</v>
      </c>
      <c r="BA23" s="234" t="n">
        <f aca="false">AZ23+BA22</f>
        <v>-75452</v>
      </c>
      <c r="BB23" s="234" t="n">
        <f aca="false">BA23+BB22</f>
        <v>-75452</v>
      </c>
      <c r="BC23" s="234" t="n">
        <f aca="false">BB23+BC22</f>
        <v>-75452</v>
      </c>
      <c r="BD23" s="234" t="n">
        <f aca="false">BC23+BD22</f>
        <v>-75452</v>
      </c>
      <c r="BE23" s="234" t="n">
        <f aca="false">BD23+BE22</f>
        <v>-75452</v>
      </c>
      <c r="BF23" s="234" t="n">
        <f aca="false">BE23+BF22</f>
        <v>-75452</v>
      </c>
      <c r="BG23" s="234" t="n">
        <f aca="false">BF23+BG22</f>
        <v>-75452</v>
      </c>
      <c r="BH23" s="234" t="n">
        <f aca="false">BG23+BH22</f>
        <v>-75452</v>
      </c>
      <c r="BI23" s="234" t="n">
        <f aca="false">BH23+BI22</f>
        <v>-75452</v>
      </c>
      <c r="BJ23" s="234" t="n">
        <f aca="false">BI23+BJ22</f>
        <v>-75452</v>
      </c>
      <c r="BK23" s="234" t="n">
        <f aca="false">BJ23+BK22</f>
        <v>-75452</v>
      </c>
      <c r="BL23" s="234" t="n">
        <f aca="false">BK23+BL22</f>
        <v>-75452</v>
      </c>
      <c r="BM23" s="234" t="n">
        <f aca="false">BL23+BM22</f>
        <v>-75452</v>
      </c>
      <c r="BN23" s="234" t="n">
        <f aca="false">BM23+BN22</f>
        <v>-75452</v>
      </c>
      <c r="BO23" s="234" t="n">
        <f aca="false">BN23+BO22</f>
        <v>-75452</v>
      </c>
      <c r="BP23" s="234" t="n">
        <f aca="false">BO23+BP22</f>
        <v>-75452</v>
      </c>
      <c r="BQ23" s="234" t="n">
        <f aca="false">BP23+BQ22</f>
        <v>-75452</v>
      </c>
      <c r="BR23" s="234" t="n">
        <f aca="false">BQ23+BR22</f>
        <v>-75452</v>
      </c>
      <c r="BS23" s="234" t="n">
        <f aca="false">BR23+BS22</f>
        <v>-75452</v>
      </c>
      <c r="BT23" s="234" t="n">
        <f aca="false">BS23+BT22</f>
        <v>-75452</v>
      </c>
      <c r="BU23" s="234" t="n">
        <f aca="false">BT23+BU22</f>
        <v>-75452</v>
      </c>
      <c r="BV23" s="234" t="n">
        <f aca="false">BU23+BV22</f>
        <v>-75452</v>
      </c>
      <c r="BW23" s="234" t="n">
        <f aca="false">BV23+BW22</f>
        <v>-75452</v>
      </c>
      <c r="BX23" s="234" t="n">
        <f aca="false">BW23+BX22</f>
        <v>-75452</v>
      </c>
      <c r="BY23" s="234" t="n">
        <f aca="false">BX23+BY22</f>
        <v>-75452</v>
      </c>
      <c r="BZ23" s="234" t="n">
        <f aca="false">BY23+BZ22</f>
        <v>-75452</v>
      </c>
      <c r="CA23" s="234" t="n">
        <f aca="false">BZ23+CA22</f>
        <v>-75452</v>
      </c>
      <c r="CB23" s="234" t="n">
        <f aca="false">CA23+CB22</f>
        <v>-75452</v>
      </c>
      <c r="CC23" s="234" t="n">
        <f aca="false">CB23+CC22</f>
        <v>-75452</v>
      </c>
      <c r="CD23" s="234" t="n">
        <f aca="false">CC23+CD22</f>
        <v>-75452</v>
      </c>
      <c r="CE23" s="234" t="n">
        <f aca="false">CD23+CE22</f>
        <v>-75452</v>
      </c>
      <c r="CF23" s="234" t="n">
        <f aca="false">CE23+CF22</f>
        <v>-75452</v>
      </c>
      <c r="CG23" s="234" t="n">
        <f aca="false">CF23+CG22</f>
        <v>-75452</v>
      </c>
      <c r="CH23" s="234" t="n">
        <f aca="false">CG23+CH22</f>
        <v>-75452</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755</v>
      </c>
      <c r="B26" s="3"/>
      <c r="C26" s="231" t="n">
        <f aca="false">Model!E254</f>
        <v>0</v>
      </c>
      <c r="D26" s="231" t="n">
        <f aca="false">Model!F254</f>
        <v>0</v>
      </c>
      <c r="E26" s="231" t="n">
        <f aca="false">Model!G254</f>
        <v>0</v>
      </c>
      <c r="F26" s="231" t="n">
        <f aca="false">Model!H254</f>
        <v>0</v>
      </c>
      <c r="G26" s="231" t="n">
        <f aca="false">Model!I254</f>
        <v>127514</v>
      </c>
      <c r="H26" s="231" t="n">
        <f aca="false">Model!J254</f>
        <v>0</v>
      </c>
      <c r="I26" s="231" t="n">
        <f aca="false">Model!K254</f>
        <v>0</v>
      </c>
      <c r="J26" s="231" t="n">
        <f aca="false">Model!L254</f>
        <v>0</v>
      </c>
      <c r="K26" s="231" t="n">
        <f aca="false">Model!M254</f>
        <v>0</v>
      </c>
      <c r="L26" s="231" t="n">
        <f aca="false">Model!N254</f>
        <v>0</v>
      </c>
      <c r="M26" s="231" t="n">
        <f aca="false">Model!O254</f>
        <v>0</v>
      </c>
      <c r="N26" s="231" t="n">
        <f aca="false">Model!P254</f>
        <v>0</v>
      </c>
      <c r="O26" s="231" t="n">
        <f aca="false">Model!Q254</f>
        <v>0</v>
      </c>
      <c r="P26" s="231" t="n">
        <f aca="false">Model!R254</f>
        <v>0</v>
      </c>
      <c r="Q26" s="231" t="n">
        <f aca="false">Model!S254</f>
        <v>0</v>
      </c>
      <c r="R26" s="231" t="n">
        <f aca="false">Model!T254</f>
        <v>0</v>
      </c>
      <c r="S26" s="231" t="n">
        <f aca="false">Model!U254</f>
        <v>0</v>
      </c>
      <c r="T26" s="231" t="n">
        <f aca="false">Model!V254</f>
        <v>0</v>
      </c>
      <c r="U26" s="231" t="n">
        <f aca="false">Model!W254</f>
        <v>0</v>
      </c>
      <c r="V26" s="231" t="n">
        <f aca="false">Model!X254</f>
        <v>0</v>
      </c>
      <c r="W26" s="231" t="n">
        <f aca="false">Model!Y254</f>
        <v>0</v>
      </c>
      <c r="X26" s="231" t="n">
        <f aca="false">Model!Z254</f>
        <v>0</v>
      </c>
      <c r="Y26" s="231" t="n">
        <f aca="false">Model!AA254</f>
        <v>0</v>
      </c>
      <c r="Z26" s="231" t="n">
        <f aca="false">Model!AB254</f>
        <v>0</v>
      </c>
      <c r="AA26" s="231" t="n">
        <f aca="false">Model!AC254</f>
        <v>0</v>
      </c>
      <c r="AB26" s="231" t="n">
        <f aca="false">Model!AD254</f>
        <v>0</v>
      </c>
      <c r="AC26" s="231" t="n">
        <f aca="false">Model!AE254</f>
        <v>0</v>
      </c>
      <c r="AD26" s="231" t="n">
        <f aca="false">Model!AF254</f>
        <v>0</v>
      </c>
      <c r="AE26" s="231" t="n">
        <f aca="false">Model!AG254</f>
        <v>0</v>
      </c>
      <c r="AF26" s="231" t="n">
        <f aca="false">Model!AH254</f>
        <v>0</v>
      </c>
      <c r="AG26" s="231" t="n">
        <f aca="false">Model!AI254</f>
        <v>0</v>
      </c>
      <c r="AH26" s="231" t="n">
        <f aca="false">Model!AJ254</f>
        <v>0</v>
      </c>
      <c r="AI26" s="231" t="n">
        <f aca="false">Model!AK254</f>
        <v>0</v>
      </c>
      <c r="AJ26" s="231" t="n">
        <f aca="false">Model!AL254</f>
        <v>0</v>
      </c>
      <c r="AK26" s="231" t="n">
        <f aca="false">Model!AM254</f>
        <v>0</v>
      </c>
      <c r="AL26" s="231" t="n">
        <f aca="false">Model!AN254</f>
        <v>0</v>
      </c>
      <c r="AM26" s="231" t="n">
        <f aca="false">Model!AO254</f>
        <v>0</v>
      </c>
      <c r="AN26" s="231" t="n">
        <f aca="false">Model!AP254</f>
        <v>0</v>
      </c>
      <c r="AO26" s="231" t="n">
        <f aca="false">Model!AQ254</f>
        <v>0</v>
      </c>
      <c r="AP26" s="231" t="n">
        <f aca="false">Model!AR254</f>
        <v>0</v>
      </c>
      <c r="AQ26" s="231" t="n">
        <f aca="false">Model!AS254</f>
        <v>0</v>
      </c>
      <c r="AR26" s="231" t="n">
        <f aca="false">Model!AT254</f>
        <v>81683</v>
      </c>
      <c r="AS26" s="231" t="n">
        <f aca="false">Model!AU254</f>
        <v>0</v>
      </c>
      <c r="AT26" s="231" t="n">
        <f aca="false">Model!AV254</f>
        <v>0</v>
      </c>
      <c r="AU26" s="231" t="n">
        <f aca="false">Model!AW254</f>
        <v>81682</v>
      </c>
      <c r="AV26" s="231" t="n">
        <f aca="false">Model!AX254</f>
        <v>0</v>
      </c>
      <c r="AW26" s="231" t="n">
        <f aca="false">Model!AY254</f>
        <v>0</v>
      </c>
      <c r="AX26" s="231" t="n">
        <f aca="false">Model!AZ254</f>
        <v>81682</v>
      </c>
      <c r="AY26" s="231" t="n">
        <f aca="false">Model!BA254</f>
        <v>0</v>
      </c>
      <c r="AZ26" s="231" t="n">
        <f aca="false">Model!BB254</f>
        <v>0</v>
      </c>
      <c r="BA26" s="231" t="n">
        <f aca="false">Model!BC254</f>
        <v>81682</v>
      </c>
      <c r="BB26" s="231" t="n">
        <f aca="false">Model!BD254</f>
        <v>0</v>
      </c>
      <c r="BC26" s="231" t="n">
        <f aca="false">Model!BE254</f>
        <v>0</v>
      </c>
      <c r="BD26" s="231" t="n">
        <f aca="false">Model!BF254</f>
        <v>59178</v>
      </c>
      <c r="BE26" s="231" t="n">
        <f aca="false">Model!BG254</f>
        <v>0</v>
      </c>
      <c r="BF26" s="231" t="n">
        <f aca="false">Model!BH254</f>
        <v>0</v>
      </c>
      <c r="BG26" s="231" t="n">
        <f aca="false">Model!BI254</f>
        <v>59176</v>
      </c>
      <c r="BH26" s="231" t="n">
        <f aca="false">Model!BJ254</f>
        <v>0</v>
      </c>
      <c r="BI26" s="231" t="n">
        <f aca="false">Model!BK254</f>
        <v>0</v>
      </c>
      <c r="BJ26" s="231" t="n">
        <f aca="false">Model!BL254</f>
        <v>59176</v>
      </c>
      <c r="BK26" s="231" t="n">
        <f aca="false">Model!BM254</f>
        <v>0</v>
      </c>
      <c r="BL26" s="231" t="n">
        <f aca="false">Model!BN254</f>
        <v>0</v>
      </c>
      <c r="BM26" s="231" t="n">
        <f aca="false">Model!BO254</f>
        <v>59176</v>
      </c>
      <c r="BN26" s="231" t="n">
        <f aca="false">Model!BP254</f>
        <v>0</v>
      </c>
      <c r="BO26" s="231" t="n">
        <f aca="false">Model!BQ254</f>
        <v>0</v>
      </c>
      <c r="BP26" s="231" t="n">
        <f aca="false">Model!BR254</f>
        <v>67763</v>
      </c>
      <c r="BQ26" s="231" t="n">
        <f aca="false">Model!BS254</f>
        <v>0</v>
      </c>
      <c r="BR26" s="231" t="n">
        <f aca="false">Model!BT254</f>
        <v>0</v>
      </c>
      <c r="BS26" s="231" t="n">
        <f aca="false">Model!BU254</f>
        <v>67762</v>
      </c>
      <c r="BT26" s="231" t="n">
        <f aca="false">Model!BV254</f>
        <v>0</v>
      </c>
      <c r="BU26" s="231" t="n">
        <f aca="false">Model!BW254</f>
        <v>0</v>
      </c>
      <c r="BV26" s="231" t="n">
        <f aca="false">Model!BX254</f>
        <v>67762</v>
      </c>
      <c r="BW26" s="231" t="n">
        <f aca="false">Model!BY254</f>
        <v>0</v>
      </c>
      <c r="BX26" s="231" t="n">
        <f aca="false">Model!BZ254</f>
        <v>0</v>
      </c>
      <c r="BY26" s="231" t="n">
        <f aca="false">Model!CA254</f>
        <v>67762</v>
      </c>
      <c r="BZ26" s="231" t="n">
        <f aca="false">Model!CB254</f>
        <v>0</v>
      </c>
      <c r="CA26" s="231" t="n">
        <f aca="false">Model!CC254</f>
        <v>0</v>
      </c>
      <c r="CB26" s="231" t="n">
        <f aca="false">Model!CD254</f>
        <v>76499</v>
      </c>
      <c r="CC26" s="231" t="n">
        <f aca="false">Model!CE254</f>
        <v>0</v>
      </c>
      <c r="CD26" s="231" t="n">
        <f aca="false">Model!CF254</f>
        <v>0</v>
      </c>
      <c r="CE26" s="231" t="n">
        <f aca="false">Model!CG254</f>
        <v>76499</v>
      </c>
      <c r="CF26" s="231" t="n">
        <f aca="false">Model!CH254</f>
        <v>0</v>
      </c>
      <c r="CG26" s="231" t="n">
        <f aca="false">Model!CI254</f>
        <v>0</v>
      </c>
      <c r="CH26" s="231" t="n">
        <f aca="false">Model!CJ254</f>
        <v>76499</v>
      </c>
    </row>
    <row r="27" customFormat="false" ht="15" hidden="false" customHeight="true" outlineLevel="0" collapsed="false">
      <c r="A27" s="235" t="s">
        <v>758</v>
      </c>
      <c r="B27" s="3"/>
      <c r="C27" s="236" t="n">
        <f aca="false">Model!E289</f>
        <v>-0</v>
      </c>
      <c r="D27" s="236" t="n">
        <f aca="false">Model!F289</f>
        <v>-0</v>
      </c>
      <c r="E27" s="236" t="n">
        <f aca="false">Model!G289</f>
        <v>-0</v>
      </c>
      <c r="F27" s="236" t="n">
        <f aca="false">Model!H289</f>
        <v>-0</v>
      </c>
      <c r="G27" s="236" t="n">
        <f aca="false">Model!I289</f>
        <v>0</v>
      </c>
      <c r="H27" s="236" t="n">
        <f aca="false">Model!J289</f>
        <v>-0</v>
      </c>
      <c r="I27" s="236" t="n">
        <f aca="false">Model!K289</f>
        <v>-0</v>
      </c>
      <c r="J27" s="236" t="n">
        <f aca="false">Model!L289</f>
        <v>-0</v>
      </c>
      <c r="K27" s="236" t="n">
        <f aca="false">Model!M289</f>
        <v>-0</v>
      </c>
      <c r="L27" s="236" t="n">
        <f aca="false">Model!N289</f>
        <v>-0</v>
      </c>
      <c r="M27" s="236" t="n">
        <f aca="false">Model!O289</f>
        <v>-0</v>
      </c>
      <c r="N27" s="236" t="n">
        <f aca="false">Model!P289</f>
        <v>-0</v>
      </c>
      <c r="O27" s="236" t="n">
        <f aca="false">Model!Q289</f>
        <v>-0</v>
      </c>
      <c r="P27" s="236" t="n">
        <f aca="false">Model!R289</f>
        <v>-0</v>
      </c>
      <c r="Q27" s="236" t="n">
        <f aca="false">Model!S289</f>
        <v>-0</v>
      </c>
      <c r="R27" s="236" t="n">
        <f aca="false">Model!T289</f>
        <v>-0</v>
      </c>
      <c r="S27" s="236" t="n">
        <f aca="false">Model!U289</f>
        <v>-0</v>
      </c>
      <c r="T27" s="236" t="n">
        <f aca="false">Model!V289</f>
        <v>-0</v>
      </c>
      <c r="U27" s="236" t="n">
        <f aca="false">Model!W289</f>
        <v>-0</v>
      </c>
      <c r="V27" s="236" t="n">
        <f aca="false">Model!X289</f>
        <v>-0</v>
      </c>
      <c r="W27" s="236" t="n">
        <f aca="false">Model!Y289</f>
        <v>-0</v>
      </c>
      <c r="X27" s="236" t="n">
        <f aca="false">Model!Z289</f>
        <v>-0</v>
      </c>
      <c r="Y27" s="236" t="n">
        <f aca="false">Model!AA289</f>
        <v>-0</v>
      </c>
      <c r="Z27" s="236" t="n">
        <f aca="false">Model!AB289</f>
        <v>-0</v>
      </c>
      <c r="AA27" s="236" t="n">
        <f aca="false">Model!AC289</f>
        <v>-0</v>
      </c>
      <c r="AB27" s="236" t="n">
        <f aca="false">Model!AD289</f>
        <v>-0</v>
      </c>
      <c r="AC27" s="236" t="n">
        <f aca="false">Model!AE289</f>
        <v>-0</v>
      </c>
      <c r="AD27" s="236" t="n">
        <f aca="false">Model!AF289</f>
        <v>-0</v>
      </c>
      <c r="AE27" s="236" t="n">
        <f aca="false">Model!AG289</f>
        <v>-0</v>
      </c>
      <c r="AF27" s="236" t="n">
        <f aca="false">Model!AH289</f>
        <v>-0</v>
      </c>
      <c r="AG27" s="236" t="n">
        <f aca="false">Model!AI289</f>
        <v>-0</v>
      </c>
      <c r="AH27" s="236" t="n">
        <f aca="false">Model!AJ289</f>
        <v>-0</v>
      </c>
      <c r="AI27" s="236" t="n">
        <f aca="false">Model!AK289</f>
        <v>-0</v>
      </c>
      <c r="AJ27" s="236" t="n">
        <f aca="false">Model!AL289</f>
        <v>-0</v>
      </c>
      <c r="AK27" s="236" t="n">
        <f aca="false">Model!AM289</f>
        <v>-0</v>
      </c>
      <c r="AL27" s="236" t="n">
        <f aca="false">Model!AN289</f>
        <v>-0</v>
      </c>
      <c r="AM27" s="236" t="n">
        <f aca="false">Model!AO289</f>
        <v>-0</v>
      </c>
      <c r="AN27" s="236" t="n">
        <f aca="false">Model!AP289</f>
        <v>-0</v>
      </c>
      <c r="AO27" s="236" t="n">
        <f aca="false">Model!AQ289</f>
        <v>-0</v>
      </c>
      <c r="AP27" s="236" t="n">
        <f aca="false">Model!AR289</f>
        <v>-0</v>
      </c>
      <c r="AQ27" s="236" t="n">
        <f aca="false">Model!AS289</f>
        <v>-0</v>
      </c>
      <c r="AR27" s="236" t="n">
        <f aca="false">Model!AT289</f>
        <v>-81683</v>
      </c>
      <c r="AS27" s="236" t="n">
        <f aca="false">Model!AU289</f>
        <v>-0</v>
      </c>
      <c r="AT27" s="236" t="n">
        <f aca="false">Model!AV289</f>
        <v>-0</v>
      </c>
      <c r="AU27" s="236" t="n">
        <f aca="false">Model!AW289</f>
        <v>-81682</v>
      </c>
      <c r="AV27" s="236" t="n">
        <f aca="false">Model!AX289</f>
        <v>-0</v>
      </c>
      <c r="AW27" s="236" t="n">
        <f aca="false">Model!AY289</f>
        <v>-0</v>
      </c>
      <c r="AX27" s="236" t="n">
        <f aca="false">Model!AZ289</f>
        <v>-81682</v>
      </c>
      <c r="AY27" s="236" t="n">
        <f aca="false">Model!BA289</f>
        <v>-0</v>
      </c>
      <c r="AZ27" s="236" t="n">
        <f aca="false">Model!BB289</f>
        <v>-0</v>
      </c>
      <c r="BA27" s="236" t="n">
        <f aca="false">Model!BC289</f>
        <v>-81682</v>
      </c>
      <c r="BB27" s="236" t="n">
        <f aca="false">Model!BD289</f>
        <v>-0</v>
      </c>
      <c r="BC27" s="236" t="n">
        <f aca="false">Model!BE289</f>
        <v>-0</v>
      </c>
      <c r="BD27" s="236" t="n">
        <f aca="false">Model!BF289</f>
        <v>-59178</v>
      </c>
      <c r="BE27" s="236" t="n">
        <f aca="false">Model!BG289</f>
        <v>-0</v>
      </c>
      <c r="BF27" s="236" t="n">
        <f aca="false">Model!BH289</f>
        <v>-0</v>
      </c>
      <c r="BG27" s="236" t="n">
        <f aca="false">Model!BI289</f>
        <v>-59176</v>
      </c>
      <c r="BH27" s="236" t="n">
        <f aca="false">Model!BJ289</f>
        <v>-0</v>
      </c>
      <c r="BI27" s="236" t="n">
        <f aca="false">Model!BK289</f>
        <v>-0</v>
      </c>
      <c r="BJ27" s="236" t="n">
        <f aca="false">Model!BL289</f>
        <v>-59176</v>
      </c>
      <c r="BK27" s="236" t="n">
        <f aca="false">Model!BM289</f>
        <v>-0</v>
      </c>
      <c r="BL27" s="236" t="n">
        <f aca="false">Model!BN289</f>
        <v>-0</v>
      </c>
      <c r="BM27" s="236" t="n">
        <f aca="false">Model!BO289</f>
        <v>-59176</v>
      </c>
      <c r="BN27" s="236" t="n">
        <f aca="false">Model!BP289</f>
        <v>-0</v>
      </c>
      <c r="BO27" s="236" t="n">
        <f aca="false">Model!BQ289</f>
        <v>-0</v>
      </c>
      <c r="BP27" s="236" t="n">
        <f aca="false">Model!BR289</f>
        <v>-14512.65</v>
      </c>
      <c r="BQ27" s="236" t="n">
        <f aca="false">Model!BS289</f>
        <v>-0</v>
      </c>
      <c r="BR27" s="236" t="n">
        <f aca="false">Model!BT289</f>
        <v>-0</v>
      </c>
      <c r="BS27" s="236" t="n">
        <f aca="false">Model!BU289</f>
        <v>-0</v>
      </c>
      <c r="BT27" s="236" t="n">
        <f aca="false">Model!BV289</f>
        <v>-0</v>
      </c>
      <c r="BU27" s="236" t="n">
        <f aca="false">Model!BW289</f>
        <v>-0</v>
      </c>
      <c r="BV27" s="236" t="n">
        <f aca="false">Model!BX289</f>
        <v>-0</v>
      </c>
      <c r="BW27" s="236" t="n">
        <f aca="false">Model!BY289</f>
        <v>-0</v>
      </c>
      <c r="BX27" s="236" t="n">
        <f aca="false">Model!BZ289</f>
        <v>-0</v>
      </c>
      <c r="BY27" s="236" t="n">
        <f aca="false">Model!CA289</f>
        <v>-0</v>
      </c>
      <c r="BZ27" s="236" t="n">
        <f aca="false">Model!CB289</f>
        <v>-0</v>
      </c>
      <c r="CA27" s="236" t="n">
        <f aca="false">Model!CC289</f>
        <v>-0</v>
      </c>
      <c r="CB27" s="236" t="n">
        <f aca="false">Model!CD289</f>
        <v>-0</v>
      </c>
      <c r="CC27" s="236" t="n">
        <f aca="false">Model!CE289</f>
        <v>-0</v>
      </c>
      <c r="CD27" s="236" t="n">
        <f aca="false">Model!CF289</f>
        <v>-0</v>
      </c>
      <c r="CE27" s="236" t="n">
        <f aca="false">Model!CG289</f>
        <v>-0</v>
      </c>
      <c r="CF27" s="236" t="n">
        <f aca="false">Model!CH289</f>
        <v>-0</v>
      </c>
      <c r="CG27" s="236" t="n">
        <f aca="false">Model!CI289</f>
        <v>-0</v>
      </c>
      <c r="CH27" s="236" t="n">
        <f aca="false">Model!CJ289</f>
        <v>-0</v>
      </c>
    </row>
    <row r="28" customFormat="false" ht="15" hidden="false" customHeight="true" outlineLevel="0" collapsed="false">
      <c r="A28" s="232" t="s">
        <v>756</v>
      </c>
      <c r="B28" s="232"/>
      <c r="C28" s="233" t="n">
        <f aca="false">C26+C27</f>
        <v>0</v>
      </c>
      <c r="D28" s="233" t="n">
        <f aca="false">D26+D27</f>
        <v>0</v>
      </c>
      <c r="E28" s="233" t="n">
        <f aca="false">E26+E27</f>
        <v>0</v>
      </c>
      <c r="F28" s="233" t="n">
        <f aca="false">F26+F27</f>
        <v>0</v>
      </c>
      <c r="G28" s="233" t="n">
        <f aca="false">G26+G27</f>
        <v>127514</v>
      </c>
      <c r="H28" s="233" t="n">
        <f aca="false">H26+H27</f>
        <v>0</v>
      </c>
      <c r="I28" s="233" t="n">
        <f aca="false">I26+I27</f>
        <v>0</v>
      </c>
      <c r="J28" s="233" t="n">
        <f aca="false">J26+J27</f>
        <v>0</v>
      </c>
      <c r="K28" s="233" t="n">
        <f aca="false">K26+K27</f>
        <v>0</v>
      </c>
      <c r="L28" s="233" t="n">
        <f aca="false">L26+L27</f>
        <v>0</v>
      </c>
      <c r="M28" s="233" t="n">
        <f aca="false">M26+M27</f>
        <v>0</v>
      </c>
      <c r="N28" s="233" t="n">
        <f aca="false">N26+N27</f>
        <v>0</v>
      </c>
      <c r="O28" s="233" t="n">
        <f aca="false">O26+O27</f>
        <v>0</v>
      </c>
      <c r="P28" s="233" t="n">
        <f aca="false">P26+P27</f>
        <v>0</v>
      </c>
      <c r="Q28" s="233" t="n">
        <f aca="false">Q26+Q27</f>
        <v>0</v>
      </c>
      <c r="R28" s="233" t="n">
        <f aca="false">R26+R27</f>
        <v>0</v>
      </c>
      <c r="S28" s="233" t="n">
        <f aca="false">S26+S27</f>
        <v>0</v>
      </c>
      <c r="T28" s="233" t="n">
        <f aca="false">T26+T27</f>
        <v>0</v>
      </c>
      <c r="U28" s="233" t="n">
        <f aca="false">U26+U27</f>
        <v>0</v>
      </c>
      <c r="V28" s="233" t="n">
        <f aca="false">V26+V27</f>
        <v>0</v>
      </c>
      <c r="W28" s="233" t="n">
        <f aca="false">W26+W27</f>
        <v>0</v>
      </c>
      <c r="X28" s="233" t="n">
        <f aca="false">X26+X27</f>
        <v>0</v>
      </c>
      <c r="Y28" s="233" t="n">
        <f aca="false">Y26+Y27</f>
        <v>0</v>
      </c>
      <c r="Z28" s="233" t="n">
        <f aca="false">Z26+Z27</f>
        <v>0</v>
      </c>
      <c r="AA28" s="233" t="n">
        <f aca="false">AA26+AA27</f>
        <v>0</v>
      </c>
      <c r="AB28" s="233" t="n">
        <f aca="false">AB26+AB27</f>
        <v>0</v>
      </c>
      <c r="AC28" s="233" t="n">
        <f aca="false">AC26+AC27</f>
        <v>0</v>
      </c>
      <c r="AD28" s="233" t="n">
        <f aca="false">AD26+AD27</f>
        <v>0</v>
      </c>
      <c r="AE28" s="233" t="n">
        <f aca="false">AE26+AE27</f>
        <v>0</v>
      </c>
      <c r="AF28" s="233" t="n">
        <f aca="false">AF26+AF27</f>
        <v>0</v>
      </c>
      <c r="AG28" s="233" t="n">
        <f aca="false">AG26+AG27</f>
        <v>0</v>
      </c>
      <c r="AH28" s="233" t="n">
        <f aca="false">AH26+AH27</f>
        <v>0</v>
      </c>
      <c r="AI28" s="233" t="n">
        <f aca="false">AI26+AI27</f>
        <v>0</v>
      </c>
      <c r="AJ28" s="233" t="n">
        <f aca="false">AJ26+AJ27</f>
        <v>0</v>
      </c>
      <c r="AK28" s="233" t="n">
        <f aca="false">AK26+AK27</f>
        <v>0</v>
      </c>
      <c r="AL28" s="233" t="n">
        <f aca="false">AL26+AL27</f>
        <v>0</v>
      </c>
      <c r="AM28" s="233" t="n">
        <f aca="false">AM26+AM27</f>
        <v>0</v>
      </c>
      <c r="AN28" s="233" t="n">
        <f aca="false">AN26+AN27</f>
        <v>0</v>
      </c>
      <c r="AO28" s="233" t="n">
        <f aca="false">AO26+AO27</f>
        <v>0</v>
      </c>
      <c r="AP28" s="233" t="n">
        <f aca="false">AP26+AP27</f>
        <v>0</v>
      </c>
      <c r="AQ28" s="233" t="n">
        <f aca="false">AQ26+AQ27</f>
        <v>0</v>
      </c>
      <c r="AR28" s="233" t="n">
        <f aca="false">AR26+AR27</f>
        <v>0</v>
      </c>
      <c r="AS28" s="233" t="n">
        <f aca="false">AS26+AS27</f>
        <v>0</v>
      </c>
      <c r="AT28" s="233" t="n">
        <f aca="false">AT26+AT27</f>
        <v>0</v>
      </c>
      <c r="AU28" s="233" t="n">
        <f aca="false">AU26+AU27</f>
        <v>0</v>
      </c>
      <c r="AV28" s="233" t="n">
        <f aca="false">AV26+AV27</f>
        <v>0</v>
      </c>
      <c r="AW28" s="233" t="n">
        <f aca="false">AW26+AW27</f>
        <v>0</v>
      </c>
      <c r="AX28" s="233" t="n">
        <f aca="false">AX26+AX27</f>
        <v>0</v>
      </c>
      <c r="AY28" s="233" t="n">
        <f aca="false">AY26+AY27</f>
        <v>0</v>
      </c>
      <c r="AZ28" s="233" t="n">
        <f aca="false">AZ26+AZ27</f>
        <v>0</v>
      </c>
      <c r="BA28" s="233" t="n">
        <f aca="false">BA26+BA27</f>
        <v>0</v>
      </c>
      <c r="BB28" s="233" t="n">
        <f aca="false">BB26+BB27</f>
        <v>0</v>
      </c>
      <c r="BC28" s="233" t="n">
        <f aca="false">BC26+BC27</f>
        <v>0</v>
      </c>
      <c r="BD28" s="233" t="n">
        <f aca="false">BD26+BD27</f>
        <v>0</v>
      </c>
      <c r="BE28" s="233" t="n">
        <f aca="false">BE26+BE27</f>
        <v>0</v>
      </c>
      <c r="BF28" s="233" t="n">
        <f aca="false">BF26+BF27</f>
        <v>0</v>
      </c>
      <c r="BG28" s="233" t="n">
        <f aca="false">BG26+BG27</f>
        <v>0</v>
      </c>
      <c r="BH28" s="233" t="n">
        <f aca="false">BH26+BH27</f>
        <v>0</v>
      </c>
      <c r="BI28" s="233" t="n">
        <f aca="false">BI26+BI27</f>
        <v>0</v>
      </c>
      <c r="BJ28" s="233" t="n">
        <f aca="false">BJ26+BJ27</f>
        <v>0</v>
      </c>
      <c r="BK28" s="233" t="n">
        <f aca="false">BK26+BK27</f>
        <v>0</v>
      </c>
      <c r="BL28" s="233" t="n">
        <f aca="false">BL26+BL27</f>
        <v>0</v>
      </c>
      <c r="BM28" s="233" t="n">
        <f aca="false">BM26+BM27</f>
        <v>0</v>
      </c>
      <c r="BN28" s="233" t="n">
        <f aca="false">BN26+BN27</f>
        <v>0</v>
      </c>
      <c r="BO28" s="233" t="n">
        <f aca="false">BO26+BO27</f>
        <v>0</v>
      </c>
      <c r="BP28" s="233" t="n">
        <f aca="false">BP26+BP27</f>
        <v>53250.35</v>
      </c>
      <c r="BQ28" s="233" t="n">
        <f aca="false">BQ26+BQ27</f>
        <v>0</v>
      </c>
      <c r="BR28" s="233" t="n">
        <f aca="false">BR26+BR27</f>
        <v>0</v>
      </c>
      <c r="BS28" s="233" t="n">
        <f aca="false">BS26+BS27</f>
        <v>67762</v>
      </c>
      <c r="BT28" s="233" t="n">
        <f aca="false">BT26+BT27</f>
        <v>0</v>
      </c>
      <c r="BU28" s="233" t="n">
        <f aca="false">BU26+BU27</f>
        <v>0</v>
      </c>
      <c r="BV28" s="233" t="n">
        <f aca="false">BV26+BV27</f>
        <v>67762</v>
      </c>
      <c r="BW28" s="233" t="n">
        <f aca="false">BW26+BW27</f>
        <v>0</v>
      </c>
      <c r="BX28" s="233" t="n">
        <f aca="false">BX26+BX27</f>
        <v>0</v>
      </c>
      <c r="BY28" s="233" t="n">
        <f aca="false">BY26+BY27</f>
        <v>67762</v>
      </c>
      <c r="BZ28" s="233" t="n">
        <f aca="false">BZ26+BZ27</f>
        <v>0</v>
      </c>
      <c r="CA28" s="233" t="n">
        <f aca="false">CA26+CA27</f>
        <v>0</v>
      </c>
      <c r="CB28" s="233" t="n">
        <f aca="false">CB26+CB27</f>
        <v>76499</v>
      </c>
      <c r="CC28" s="233" t="n">
        <f aca="false">CC26+CC27</f>
        <v>0</v>
      </c>
      <c r="CD28" s="233" t="n">
        <f aca="false">CD26+CD27</f>
        <v>0</v>
      </c>
      <c r="CE28" s="233" t="n">
        <f aca="false">CE26+CE27</f>
        <v>76499</v>
      </c>
      <c r="CF28" s="233" t="n">
        <f aca="false">CF26+CF27</f>
        <v>0</v>
      </c>
      <c r="CG28" s="233" t="n">
        <f aca="false">CG26+CG27</f>
        <v>0</v>
      </c>
      <c r="CH28" s="233" t="n">
        <f aca="false">CH26+CH27</f>
        <v>76499</v>
      </c>
    </row>
    <row r="29" customFormat="false" ht="15" hidden="false" customHeight="true" outlineLevel="0" collapsed="false">
      <c r="A29" s="2" t="s">
        <v>757</v>
      </c>
      <c r="B29" s="3"/>
      <c r="C29" s="234" t="n">
        <f aca="false">C28</f>
        <v>0</v>
      </c>
      <c r="D29" s="234" t="n">
        <f aca="false">C29+D28</f>
        <v>0</v>
      </c>
      <c r="E29" s="234" t="n">
        <f aca="false">D29+E28</f>
        <v>0</v>
      </c>
      <c r="F29" s="234" t="n">
        <f aca="false">E29+F28</f>
        <v>0</v>
      </c>
      <c r="G29" s="234" t="n">
        <f aca="false">F29+G28</f>
        <v>127514</v>
      </c>
      <c r="H29" s="234" t="n">
        <f aca="false">G29+H28</f>
        <v>127514</v>
      </c>
      <c r="I29" s="234" t="n">
        <f aca="false">H29+I28</f>
        <v>127514</v>
      </c>
      <c r="J29" s="234" t="n">
        <f aca="false">I29+J28</f>
        <v>127514</v>
      </c>
      <c r="K29" s="234" t="n">
        <f aca="false">J29+K28</f>
        <v>127514</v>
      </c>
      <c r="L29" s="234" t="n">
        <f aca="false">K29+L28</f>
        <v>127514</v>
      </c>
      <c r="M29" s="234" t="n">
        <f aca="false">L29+M28</f>
        <v>127514</v>
      </c>
      <c r="N29" s="234" t="n">
        <f aca="false">M29+N28</f>
        <v>127514</v>
      </c>
      <c r="O29" s="234" t="n">
        <f aca="false">N29+O28</f>
        <v>127514</v>
      </c>
      <c r="P29" s="234" t="n">
        <f aca="false">O29+P28</f>
        <v>127514</v>
      </c>
      <c r="Q29" s="234" t="n">
        <f aca="false">P29+Q28</f>
        <v>127514</v>
      </c>
      <c r="R29" s="234" t="n">
        <f aca="false">Q29+R28</f>
        <v>127514</v>
      </c>
      <c r="S29" s="234" t="n">
        <f aca="false">R29+S28</f>
        <v>127514</v>
      </c>
      <c r="T29" s="234" t="n">
        <f aca="false">S29+T28</f>
        <v>127514</v>
      </c>
      <c r="U29" s="234" t="n">
        <f aca="false">T29+U28</f>
        <v>127514</v>
      </c>
      <c r="V29" s="234" t="n">
        <f aca="false">U29+V28</f>
        <v>127514</v>
      </c>
      <c r="W29" s="234" t="n">
        <f aca="false">V29+W28</f>
        <v>127514</v>
      </c>
      <c r="X29" s="234" t="n">
        <f aca="false">W29+X28</f>
        <v>127514</v>
      </c>
      <c r="Y29" s="234" t="n">
        <f aca="false">X29+Y28</f>
        <v>127514</v>
      </c>
      <c r="Z29" s="234" t="n">
        <f aca="false">Y29+Z28</f>
        <v>127514</v>
      </c>
      <c r="AA29" s="234" t="n">
        <f aca="false">Z29+AA28</f>
        <v>127514</v>
      </c>
      <c r="AB29" s="234" t="n">
        <f aca="false">AA29+AB28</f>
        <v>127514</v>
      </c>
      <c r="AC29" s="234" t="n">
        <f aca="false">AB29+AC28</f>
        <v>127514</v>
      </c>
      <c r="AD29" s="234" t="n">
        <f aca="false">AC29+AD28</f>
        <v>127514</v>
      </c>
      <c r="AE29" s="234" t="n">
        <f aca="false">AD29+AE28</f>
        <v>127514</v>
      </c>
      <c r="AF29" s="234" t="n">
        <f aca="false">AE29+AF28</f>
        <v>127514</v>
      </c>
      <c r="AG29" s="234" t="n">
        <f aca="false">AF29+AG28</f>
        <v>127514</v>
      </c>
      <c r="AH29" s="234" t="n">
        <f aca="false">AG29+AH28</f>
        <v>127514</v>
      </c>
      <c r="AI29" s="234" t="n">
        <f aca="false">AH29+AI28</f>
        <v>127514</v>
      </c>
      <c r="AJ29" s="234" t="n">
        <f aca="false">AI29+AJ28</f>
        <v>127514</v>
      </c>
      <c r="AK29" s="234" t="n">
        <f aca="false">AJ29+AK28</f>
        <v>127514</v>
      </c>
      <c r="AL29" s="234" t="n">
        <f aca="false">AK29+AL28</f>
        <v>127514</v>
      </c>
      <c r="AM29" s="234" t="n">
        <f aca="false">AL29+AM28</f>
        <v>127514</v>
      </c>
      <c r="AN29" s="234" t="n">
        <f aca="false">AM29+AN28</f>
        <v>127514</v>
      </c>
      <c r="AO29" s="234" t="n">
        <f aca="false">AN29+AO28</f>
        <v>127514</v>
      </c>
      <c r="AP29" s="234" t="n">
        <f aca="false">AO29+AP28</f>
        <v>127514</v>
      </c>
      <c r="AQ29" s="234" t="n">
        <f aca="false">AP29+AQ28</f>
        <v>127514</v>
      </c>
      <c r="AR29" s="234" t="n">
        <f aca="false">AQ29+AR28</f>
        <v>127514</v>
      </c>
      <c r="AS29" s="234" t="n">
        <f aca="false">AR29+AS28</f>
        <v>127514</v>
      </c>
      <c r="AT29" s="234" t="n">
        <f aca="false">AS29+AT28</f>
        <v>127514</v>
      </c>
      <c r="AU29" s="234" t="n">
        <f aca="false">AT29+AU28</f>
        <v>127514</v>
      </c>
      <c r="AV29" s="234" t="n">
        <f aca="false">AU29+AV28</f>
        <v>127514</v>
      </c>
      <c r="AW29" s="234" t="n">
        <f aca="false">AV29+AW28</f>
        <v>127514</v>
      </c>
      <c r="AX29" s="234" t="n">
        <f aca="false">AW29+AX28</f>
        <v>127514</v>
      </c>
      <c r="AY29" s="234" t="n">
        <f aca="false">AX29+AY28</f>
        <v>127514</v>
      </c>
      <c r="AZ29" s="234" t="n">
        <f aca="false">AY29+AZ28</f>
        <v>127514</v>
      </c>
      <c r="BA29" s="234" t="n">
        <f aca="false">AZ29+BA28</f>
        <v>127514</v>
      </c>
      <c r="BB29" s="234" t="n">
        <f aca="false">BA29+BB28</f>
        <v>127514</v>
      </c>
      <c r="BC29" s="234" t="n">
        <f aca="false">BB29+BC28</f>
        <v>127514</v>
      </c>
      <c r="BD29" s="234" t="n">
        <f aca="false">BC29+BD28</f>
        <v>127514</v>
      </c>
      <c r="BE29" s="234" t="n">
        <f aca="false">BD29+BE28</f>
        <v>127514</v>
      </c>
      <c r="BF29" s="234" t="n">
        <f aca="false">BE29+BF28</f>
        <v>127514</v>
      </c>
      <c r="BG29" s="234" t="n">
        <f aca="false">BF29+BG28</f>
        <v>127514</v>
      </c>
      <c r="BH29" s="234" t="n">
        <f aca="false">BG29+BH28</f>
        <v>127514</v>
      </c>
      <c r="BI29" s="234" t="n">
        <f aca="false">BH29+BI28</f>
        <v>127514</v>
      </c>
      <c r="BJ29" s="234" t="n">
        <f aca="false">BI29+BJ28</f>
        <v>127514</v>
      </c>
      <c r="BK29" s="234" t="n">
        <f aca="false">BJ29+BK28</f>
        <v>127514</v>
      </c>
      <c r="BL29" s="234" t="n">
        <f aca="false">BK29+BL28</f>
        <v>127514</v>
      </c>
      <c r="BM29" s="234" t="n">
        <f aca="false">BL29+BM28</f>
        <v>127514</v>
      </c>
      <c r="BN29" s="234" t="n">
        <f aca="false">BM29+BN28</f>
        <v>127514</v>
      </c>
      <c r="BO29" s="234" t="n">
        <f aca="false">BN29+BO28</f>
        <v>127514</v>
      </c>
      <c r="BP29" s="234" t="n">
        <f aca="false">BO29+BP28</f>
        <v>180764.35</v>
      </c>
      <c r="BQ29" s="234" t="n">
        <f aca="false">BP29+BQ28</f>
        <v>180764.35</v>
      </c>
      <c r="BR29" s="234" t="n">
        <f aca="false">BQ29+BR28</f>
        <v>180764.35</v>
      </c>
      <c r="BS29" s="234" t="n">
        <f aca="false">BR29+BS28</f>
        <v>248526.35</v>
      </c>
      <c r="BT29" s="234" t="n">
        <f aca="false">BS29+BT28</f>
        <v>248526.35</v>
      </c>
      <c r="BU29" s="234" t="n">
        <f aca="false">BT29+BU28</f>
        <v>248526.35</v>
      </c>
      <c r="BV29" s="234" t="n">
        <f aca="false">BU29+BV28</f>
        <v>316288.35</v>
      </c>
      <c r="BW29" s="234" t="n">
        <f aca="false">BV29+BW28</f>
        <v>316288.35</v>
      </c>
      <c r="BX29" s="234" t="n">
        <f aca="false">BW29+BX28</f>
        <v>316288.35</v>
      </c>
      <c r="BY29" s="234" t="n">
        <f aca="false">BX29+BY28</f>
        <v>384050.35</v>
      </c>
      <c r="BZ29" s="234" t="n">
        <f aca="false">BY29+BZ28</f>
        <v>384050.35</v>
      </c>
      <c r="CA29" s="234" t="n">
        <f aca="false">BZ29+CA28</f>
        <v>384050.35</v>
      </c>
      <c r="CB29" s="234" t="n">
        <f aca="false">CA29+CB28</f>
        <v>460549.35</v>
      </c>
      <c r="CC29" s="234" t="n">
        <f aca="false">CB29+CC28</f>
        <v>460549.35</v>
      </c>
      <c r="CD29" s="234" t="n">
        <f aca="false">CC29+CD28</f>
        <v>460549.35</v>
      </c>
      <c r="CE29" s="234" t="n">
        <f aca="false">CD29+CE28</f>
        <v>537048.35</v>
      </c>
      <c r="CF29" s="234" t="n">
        <f aca="false">CE29+CF28</f>
        <v>537048.35</v>
      </c>
      <c r="CG29" s="234" t="n">
        <f aca="false">CF29+CG28</f>
        <v>537048.35</v>
      </c>
      <c r="CH29" s="234"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755</v>
      </c>
      <c r="B32" s="3"/>
      <c r="C32" s="231" t="n">
        <f aca="false">Model!E255</f>
        <v>0</v>
      </c>
      <c r="D32" s="231" t="n">
        <f aca="false">Model!F255</f>
        <v>0</v>
      </c>
      <c r="E32" s="231" t="n">
        <f aca="false">Model!G255</f>
        <v>0</v>
      </c>
      <c r="F32" s="231" t="n">
        <f aca="false">Model!H255</f>
        <v>0</v>
      </c>
      <c r="G32" s="231" t="n">
        <f aca="false">Model!I255</f>
        <v>0</v>
      </c>
      <c r="H32" s="231" t="n">
        <f aca="false">Model!J255</f>
        <v>0</v>
      </c>
      <c r="I32" s="231" t="n">
        <f aca="false">Model!K255</f>
        <v>0</v>
      </c>
      <c r="J32" s="231" t="n">
        <f aca="false">Model!L255</f>
        <v>0</v>
      </c>
      <c r="K32" s="231" t="n">
        <f aca="false">Model!M255</f>
        <v>0</v>
      </c>
      <c r="L32" s="231" t="n">
        <f aca="false">Model!N255</f>
        <v>0</v>
      </c>
      <c r="M32" s="231" t="n">
        <f aca="false">Model!O255</f>
        <v>0</v>
      </c>
      <c r="N32" s="231" t="n">
        <f aca="false">Model!P255</f>
        <v>0</v>
      </c>
      <c r="O32" s="231" t="n">
        <f aca="false">Model!Q255</f>
        <v>0</v>
      </c>
      <c r="P32" s="231" t="n">
        <f aca="false">Model!R255</f>
        <v>0</v>
      </c>
      <c r="Q32" s="231" t="n">
        <f aca="false">Model!S255</f>
        <v>0</v>
      </c>
      <c r="R32" s="231" t="n">
        <f aca="false">Model!T255</f>
        <v>0</v>
      </c>
      <c r="S32" s="231" t="n">
        <f aca="false">Model!U255</f>
        <v>0</v>
      </c>
      <c r="T32" s="231" t="n">
        <f aca="false">Model!V255</f>
        <v>0</v>
      </c>
      <c r="U32" s="231" t="n">
        <f aca="false">Model!W255</f>
        <v>0</v>
      </c>
      <c r="V32" s="231" t="n">
        <f aca="false">Model!X255</f>
        <v>0</v>
      </c>
      <c r="W32" s="231" t="n">
        <f aca="false">Model!Y255</f>
        <v>0</v>
      </c>
      <c r="X32" s="231" t="n">
        <f aca="false">Model!Z255</f>
        <v>0</v>
      </c>
      <c r="Y32" s="231" t="n">
        <f aca="false">Model!AA255</f>
        <v>0</v>
      </c>
      <c r="Z32" s="231" t="n">
        <f aca="false">Model!AB255</f>
        <v>0</v>
      </c>
      <c r="AA32" s="231" t="n">
        <f aca="false">Model!AC255</f>
        <v>0</v>
      </c>
      <c r="AB32" s="231" t="n">
        <f aca="false">Model!AD255</f>
        <v>0</v>
      </c>
      <c r="AC32" s="231" t="n">
        <f aca="false">Model!AE255</f>
        <v>0</v>
      </c>
      <c r="AD32" s="231" t="n">
        <f aca="false">Model!AF255</f>
        <v>0</v>
      </c>
      <c r="AE32" s="231" t="n">
        <f aca="false">Model!AG255</f>
        <v>0</v>
      </c>
      <c r="AF32" s="231" t="n">
        <f aca="false">Model!AH255</f>
        <v>0</v>
      </c>
      <c r="AG32" s="231" t="n">
        <f aca="false">Model!AI255</f>
        <v>0</v>
      </c>
      <c r="AH32" s="231" t="n">
        <f aca="false">Model!AJ255</f>
        <v>0</v>
      </c>
      <c r="AI32" s="231" t="n">
        <f aca="false">Model!AK255</f>
        <v>0</v>
      </c>
      <c r="AJ32" s="231" t="n">
        <f aca="false">Model!AL255</f>
        <v>0</v>
      </c>
      <c r="AK32" s="231" t="n">
        <f aca="false">Model!AM255</f>
        <v>0</v>
      </c>
      <c r="AL32" s="231" t="n">
        <f aca="false">Model!AN255</f>
        <v>0</v>
      </c>
      <c r="AM32" s="231" t="n">
        <f aca="false">Model!AO255</f>
        <v>0</v>
      </c>
      <c r="AN32" s="231" t="n">
        <f aca="false">Model!AP255</f>
        <v>0</v>
      </c>
      <c r="AO32" s="231" t="n">
        <f aca="false">Model!AQ255</f>
        <v>0</v>
      </c>
      <c r="AP32" s="231" t="n">
        <f aca="false">Model!AR255</f>
        <v>0</v>
      </c>
      <c r="AQ32" s="231" t="n">
        <f aca="false">Model!AS255</f>
        <v>0</v>
      </c>
      <c r="AR32" s="231" t="n">
        <f aca="false">Model!AT255</f>
        <v>0</v>
      </c>
      <c r="AS32" s="231" t="n">
        <f aca="false">Model!AU255</f>
        <v>0</v>
      </c>
      <c r="AT32" s="231" t="n">
        <f aca="false">Model!AV255</f>
        <v>0</v>
      </c>
      <c r="AU32" s="231" t="n">
        <f aca="false">Model!AW255</f>
        <v>0</v>
      </c>
      <c r="AV32" s="231" t="n">
        <f aca="false">Model!AX255</f>
        <v>0</v>
      </c>
      <c r="AW32" s="231" t="n">
        <f aca="false">Model!AY255</f>
        <v>0</v>
      </c>
      <c r="AX32" s="231" t="n">
        <f aca="false">Model!AZ255</f>
        <v>0</v>
      </c>
      <c r="AY32" s="231" t="n">
        <f aca="false">Model!BA255</f>
        <v>0</v>
      </c>
      <c r="AZ32" s="231" t="n">
        <f aca="false">Model!BB255</f>
        <v>0</v>
      </c>
      <c r="BA32" s="231" t="n">
        <f aca="false">Model!BC255</f>
        <v>851839</v>
      </c>
      <c r="BB32" s="231" t="n">
        <f aca="false">Model!BD255</f>
        <v>0</v>
      </c>
      <c r="BC32" s="231" t="n">
        <f aca="false">Model!BE255</f>
        <v>0</v>
      </c>
      <c r="BD32" s="231" t="n">
        <f aca="false">Model!BF255</f>
        <v>71700</v>
      </c>
      <c r="BE32" s="231" t="n">
        <f aca="false">Model!BG255</f>
        <v>0</v>
      </c>
      <c r="BF32" s="231" t="n">
        <f aca="false">Model!BH255</f>
        <v>0</v>
      </c>
      <c r="BG32" s="231" t="n">
        <f aca="false">Model!BI255</f>
        <v>71700</v>
      </c>
      <c r="BH32" s="231" t="n">
        <f aca="false">Model!BJ255</f>
        <v>0</v>
      </c>
      <c r="BI32" s="231" t="n">
        <f aca="false">Model!BK255</f>
        <v>0</v>
      </c>
      <c r="BJ32" s="231" t="n">
        <f aca="false">Model!BL255</f>
        <v>71700</v>
      </c>
      <c r="BK32" s="231" t="n">
        <f aca="false">Model!BM255</f>
        <v>0</v>
      </c>
      <c r="BL32" s="231" t="n">
        <f aca="false">Model!BN255</f>
        <v>0</v>
      </c>
      <c r="BM32" s="231" t="n">
        <f aca="false">Model!BO255</f>
        <v>71700</v>
      </c>
      <c r="BN32" s="231" t="n">
        <f aca="false">Model!BP255</f>
        <v>0</v>
      </c>
      <c r="BO32" s="231" t="n">
        <f aca="false">Model!BQ255</f>
        <v>0</v>
      </c>
      <c r="BP32" s="231" t="n">
        <f aca="false">Model!BR255</f>
        <v>74643</v>
      </c>
      <c r="BQ32" s="231" t="n">
        <f aca="false">Model!BS255</f>
        <v>0</v>
      </c>
      <c r="BR32" s="231" t="n">
        <f aca="false">Model!BT255</f>
        <v>0</v>
      </c>
      <c r="BS32" s="231" t="n">
        <f aca="false">Model!BU255</f>
        <v>74640</v>
      </c>
      <c r="BT32" s="231" t="n">
        <f aca="false">Model!BV255</f>
        <v>0</v>
      </c>
      <c r="BU32" s="231" t="n">
        <f aca="false">Model!BW255</f>
        <v>0</v>
      </c>
      <c r="BV32" s="231" t="n">
        <f aca="false">Model!BX255</f>
        <v>74640</v>
      </c>
      <c r="BW32" s="231" t="n">
        <f aca="false">Model!BY255</f>
        <v>0</v>
      </c>
      <c r="BX32" s="231" t="n">
        <f aca="false">Model!BZ255</f>
        <v>0</v>
      </c>
      <c r="BY32" s="231" t="n">
        <f aca="false">Model!CA255</f>
        <v>74640</v>
      </c>
      <c r="BZ32" s="231" t="n">
        <f aca="false">Model!CB255</f>
        <v>0</v>
      </c>
      <c r="CA32" s="231" t="n">
        <f aca="false">Model!CC255</f>
        <v>0</v>
      </c>
      <c r="CB32" s="231" t="n">
        <f aca="false">Model!CD255</f>
        <v>81363</v>
      </c>
      <c r="CC32" s="231" t="n">
        <f aca="false">Model!CE255</f>
        <v>0</v>
      </c>
      <c r="CD32" s="231" t="n">
        <f aca="false">Model!CF255</f>
        <v>0</v>
      </c>
      <c r="CE32" s="231" t="n">
        <f aca="false">Model!CG255</f>
        <v>81362</v>
      </c>
      <c r="CF32" s="231" t="n">
        <f aca="false">Model!CH255</f>
        <v>0</v>
      </c>
      <c r="CG32" s="231" t="n">
        <f aca="false">Model!CI255</f>
        <v>0</v>
      </c>
      <c r="CH32" s="231" t="n">
        <f aca="false">Model!CJ255</f>
        <v>81362</v>
      </c>
    </row>
    <row r="33" customFormat="false" ht="15" hidden="false" customHeight="true" outlineLevel="0" collapsed="false">
      <c r="A33" s="235" t="s">
        <v>758</v>
      </c>
      <c r="B33" s="3"/>
      <c r="C33" s="236" t="n">
        <f aca="false">Model!E290</f>
        <v>-0</v>
      </c>
      <c r="D33" s="236" t="n">
        <f aca="false">Model!F290</f>
        <v>-0</v>
      </c>
      <c r="E33" s="236" t="n">
        <f aca="false">Model!G290</f>
        <v>-0</v>
      </c>
      <c r="F33" s="236" t="n">
        <f aca="false">Model!H290</f>
        <v>-0</v>
      </c>
      <c r="G33" s="236" t="n">
        <f aca="false">Model!I290</f>
        <v>-0</v>
      </c>
      <c r="H33" s="236" t="n">
        <f aca="false">Model!J290</f>
        <v>-0</v>
      </c>
      <c r="I33" s="236" t="n">
        <f aca="false">Model!K290</f>
        <v>-0</v>
      </c>
      <c r="J33" s="236" t="n">
        <f aca="false">Model!L290</f>
        <v>-0</v>
      </c>
      <c r="K33" s="236" t="n">
        <f aca="false">Model!M290</f>
        <v>-0</v>
      </c>
      <c r="L33" s="236" t="n">
        <f aca="false">Model!N290</f>
        <v>-0</v>
      </c>
      <c r="M33" s="236" t="n">
        <f aca="false">Model!O290</f>
        <v>-0</v>
      </c>
      <c r="N33" s="236" t="n">
        <f aca="false">Model!P290</f>
        <v>-0</v>
      </c>
      <c r="O33" s="236" t="n">
        <f aca="false">Model!Q290</f>
        <v>-0</v>
      </c>
      <c r="P33" s="236" t="n">
        <f aca="false">Model!R290</f>
        <v>-0</v>
      </c>
      <c r="Q33" s="236" t="n">
        <f aca="false">Model!S290</f>
        <v>-0</v>
      </c>
      <c r="R33" s="236" t="n">
        <f aca="false">Model!T290</f>
        <v>-0</v>
      </c>
      <c r="S33" s="236" t="n">
        <f aca="false">Model!U290</f>
        <v>-0</v>
      </c>
      <c r="T33" s="236" t="n">
        <f aca="false">Model!V290</f>
        <v>-0</v>
      </c>
      <c r="U33" s="236" t="n">
        <f aca="false">Model!W290</f>
        <v>-0</v>
      </c>
      <c r="V33" s="236" t="n">
        <f aca="false">Model!X290</f>
        <v>-0</v>
      </c>
      <c r="W33" s="236" t="n">
        <f aca="false">Model!Y290</f>
        <v>-0</v>
      </c>
      <c r="X33" s="236" t="n">
        <f aca="false">Model!Z290</f>
        <v>-0</v>
      </c>
      <c r="Y33" s="236" t="n">
        <f aca="false">Model!AA290</f>
        <v>-0</v>
      </c>
      <c r="Z33" s="236" t="n">
        <f aca="false">Model!AB290</f>
        <v>-0</v>
      </c>
      <c r="AA33" s="236" t="n">
        <f aca="false">Model!AC290</f>
        <v>-0</v>
      </c>
      <c r="AB33" s="236" t="n">
        <f aca="false">Model!AD290</f>
        <v>-0</v>
      </c>
      <c r="AC33" s="236" t="n">
        <f aca="false">Model!AE290</f>
        <v>-0</v>
      </c>
      <c r="AD33" s="236" t="n">
        <f aca="false">Model!AF290</f>
        <v>-0</v>
      </c>
      <c r="AE33" s="236" t="n">
        <f aca="false">Model!AG290</f>
        <v>-0</v>
      </c>
      <c r="AF33" s="236" t="n">
        <f aca="false">Model!AH290</f>
        <v>-0</v>
      </c>
      <c r="AG33" s="236" t="n">
        <f aca="false">Model!AI290</f>
        <v>-0</v>
      </c>
      <c r="AH33" s="236" t="n">
        <f aca="false">Model!AJ290</f>
        <v>-0</v>
      </c>
      <c r="AI33" s="236" t="n">
        <f aca="false">Model!AK290</f>
        <v>-0</v>
      </c>
      <c r="AJ33" s="236" t="n">
        <f aca="false">Model!AL290</f>
        <v>-0</v>
      </c>
      <c r="AK33" s="236" t="n">
        <f aca="false">Model!AM290</f>
        <v>-0</v>
      </c>
      <c r="AL33" s="236" t="n">
        <f aca="false">Model!AN290</f>
        <v>-0</v>
      </c>
      <c r="AM33" s="236" t="n">
        <f aca="false">Model!AO290</f>
        <v>-0</v>
      </c>
      <c r="AN33" s="236" t="n">
        <f aca="false">Model!AP290</f>
        <v>-0</v>
      </c>
      <c r="AO33" s="236" t="n">
        <f aca="false">Model!AQ290</f>
        <v>-0</v>
      </c>
      <c r="AP33" s="236" t="n">
        <f aca="false">Model!AR290</f>
        <v>-0</v>
      </c>
      <c r="AQ33" s="236" t="n">
        <f aca="false">Model!AS290</f>
        <v>-0</v>
      </c>
      <c r="AR33" s="236" t="n">
        <f aca="false">Model!AT290</f>
        <v>-0</v>
      </c>
      <c r="AS33" s="236" t="n">
        <f aca="false">Model!AU290</f>
        <v>-0</v>
      </c>
      <c r="AT33" s="236" t="n">
        <f aca="false">Model!AV290</f>
        <v>-0</v>
      </c>
      <c r="AU33" s="236" t="n">
        <f aca="false">Model!AW290</f>
        <v>-0</v>
      </c>
      <c r="AV33" s="236" t="n">
        <f aca="false">Model!AX290</f>
        <v>-0</v>
      </c>
      <c r="AW33" s="236" t="n">
        <f aca="false">Model!AY290</f>
        <v>-0</v>
      </c>
      <c r="AX33" s="236" t="n">
        <f aca="false">Model!AZ290</f>
        <v>-0</v>
      </c>
      <c r="AY33" s="236" t="n">
        <f aca="false">Model!BA290</f>
        <v>-0</v>
      </c>
      <c r="AZ33" s="236" t="n">
        <f aca="false">Model!BB290</f>
        <v>-0</v>
      </c>
      <c r="BA33" s="236" t="n">
        <f aca="false">Model!BC290</f>
        <v>-851839</v>
      </c>
      <c r="BB33" s="236" t="n">
        <f aca="false">Model!BD290</f>
        <v>-0</v>
      </c>
      <c r="BC33" s="236" t="n">
        <f aca="false">Model!BE290</f>
        <v>-0</v>
      </c>
      <c r="BD33" s="236" t="n">
        <f aca="false">Model!BF290</f>
        <v>-71700</v>
      </c>
      <c r="BE33" s="236" t="n">
        <f aca="false">Model!BG290</f>
        <v>-0</v>
      </c>
      <c r="BF33" s="236" t="n">
        <f aca="false">Model!BH290</f>
        <v>-0</v>
      </c>
      <c r="BG33" s="236" t="n">
        <f aca="false">Model!BI290</f>
        <v>-71700</v>
      </c>
      <c r="BH33" s="236" t="n">
        <f aca="false">Model!BJ290</f>
        <v>-0</v>
      </c>
      <c r="BI33" s="236" t="n">
        <f aca="false">Model!BK290</f>
        <v>-0</v>
      </c>
      <c r="BJ33" s="236" t="n">
        <f aca="false">Model!BL290</f>
        <v>-71700</v>
      </c>
      <c r="BK33" s="236" t="n">
        <f aca="false">Model!BM290</f>
        <v>-0</v>
      </c>
      <c r="BL33" s="236" t="n">
        <f aca="false">Model!BN290</f>
        <v>-0</v>
      </c>
      <c r="BM33" s="236" t="n">
        <f aca="false">Model!BO290</f>
        <v>-71700</v>
      </c>
      <c r="BN33" s="236" t="n">
        <f aca="false">Model!BP290</f>
        <v>-0</v>
      </c>
      <c r="BO33" s="236" t="n">
        <f aca="false">Model!BQ290</f>
        <v>-0</v>
      </c>
      <c r="BP33" s="236" t="n">
        <f aca="false">Model!BR290</f>
        <v>-74643</v>
      </c>
      <c r="BQ33" s="236" t="n">
        <f aca="false">Model!BS290</f>
        <v>-0</v>
      </c>
      <c r="BR33" s="236" t="n">
        <f aca="false">Model!BT290</f>
        <v>-0</v>
      </c>
      <c r="BS33" s="236" t="n">
        <f aca="false">Model!BU290</f>
        <v>-74640</v>
      </c>
      <c r="BT33" s="236" t="n">
        <f aca="false">Model!BV290</f>
        <v>-0</v>
      </c>
      <c r="BU33" s="236" t="n">
        <f aca="false">Model!BW290</f>
        <v>-0</v>
      </c>
      <c r="BV33" s="236" t="n">
        <f aca="false">Model!BX290</f>
        <v>-74640</v>
      </c>
      <c r="BW33" s="236" t="n">
        <f aca="false">Model!BY290</f>
        <v>-0</v>
      </c>
      <c r="BX33" s="236" t="n">
        <f aca="false">Model!BZ290</f>
        <v>-0</v>
      </c>
      <c r="BY33" s="236" t="n">
        <f aca="false">Model!CA290</f>
        <v>-74640</v>
      </c>
      <c r="BZ33" s="236" t="n">
        <f aca="false">Model!CB290</f>
        <v>-0</v>
      </c>
      <c r="CA33" s="236" t="n">
        <f aca="false">Model!CC290</f>
        <v>-0</v>
      </c>
      <c r="CB33" s="236" t="n">
        <f aca="false">Model!CD290</f>
        <v>-81363</v>
      </c>
      <c r="CC33" s="236" t="n">
        <f aca="false">Model!CE290</f>
        <v>-0</v>
      </c>
      <c r="CD33" s="236" t="n">
        <f aca="false">Model!CF290</f>
        <v>-0</v>
      </c>
      <c r="CE33" s="236" t="n">
        <f aca="false">Model!CG290</f>
        <v>-81362</v>
      </c>
      <c r="CF33" s="236" t="n">
        <f aca="false">Model!CH290</f>
        <v>-0</v>
      </c>
      <c r="CG33" s="236" t="n">
        <f aca="false">Model!CI290</f>
        <v>-0</v>
      </c>
      <c r="CH33" s="236" t="n">
        <f aca="false">Model!CJ290</f>
        <v>-74753.9733935208</v>
      </c>
    </row>
    <row r="34" customFormat="false" ht="15" hidden="false" customHeight="true" outlineLevel="0" collapsed="false">
      <c r="A34" s="235" t="s">
        <v>309</v>
      </c>
      <c r="B34" s="3"/>
      <c r="C34" s="236" t="n">
        <f aca="false">Model!E379</f>
        <v>0</v>
      </c>
      <c r="D34" s="236" t="n">
        <f aca="false">Model!F379</f>
        <v>0</v>
      </c>
      <c r="E34" s="236" t="n">
        <f aca="false">Model!G379</f>
        <v>0</v>
      </c>
      <c r="F34" s="236" t="n">
        <f aca="false">Model!H379</f>
        <v>0</v>
      </c>
      <c r="G34" s="236" t="n">
        <f aca="false">Model!I379</f>
        <v>0</v>
      </c>
      <c r="H34" s="236" t="n">
        <f aca="false">Model!J379</f>
        <v>0</v>
      </c>
      <c r="I34" s="236" t="n">
        <f aca="false">Model!K379</f>
        <v>0</v>
      </c>
      <c r="J34" s="236" t="n">
        <f aca="false">Model!L379</f>
        <v>0</v>
      </c>
      <c r="K34" s="236" t="n">
        <f aca="false">Model!M379</f>
        <v>0</v>
      </c>
      <c r="L34" s="236" t="n">
        <f aca="false">Model!N379</f>
        <v>0</v>
      </c>
      <c r="M34" s="236" t="n">
        <f aca="false">Model!O379</f>
        <v>0</v>
      </c>
      <c r="N34" s="236" t="n">
        <f aca="false">Model!P379</f>
        <v>0</v>
      </c>
      <c r="O34" s="236" t="n">
        <f aca="false">Model!Q379</f>
        <v>0</v>
      </c>
      <c r="P34" s="236" t="n">
        <f aca="false">Model!R379</f>
        <v>0</v>
      </c>
      <c r="Q34" s="236" t="n">
        <f aca="false">Model!S379</f>
        <v>0</v>
      </c>
      <c r="R34" s="236" t="n">
        <f aca="false">Model!T379</f>
        <v>0</v>
      </c>
      <c r="S34" s="236" t="n">
        <f aca="false">Model!U379</f>
        <v>0</v>
      </c>
      <c r="T34" s="236" t="n">
        <f aca="false">Model!V379</f>
        <v>0</v>
      </c>
      <c r="U34" s="236" t="n">
        <f aca="false">Model!W379</f>
        <v>0</v>
      </c>
      <c r="V34" s="236" t="n">
        <f aca="false">Model!X379</f>
        <v>0</v>
      </c>
      <c r="W34" s="236" t="n">
        <f aca="false">Model!Y379</f>
        <v>0</v>
      </c>
      <c r="X34" s="236" t="n">
        <f aca="false">Model!Z379</f>
        <v>0</v>
      </c>
      <c r="Y34" s="236" t="n">
        <f aca="false">Model!AA379</f>
        <v>0</v>
      </c>
      <c r="Z34" s="236" t="n">
        <f aca="false">Model!AB379</f>
        <v>0</v>
      </c>
      <c r="AA34" s="236" t="n">
        <f aca="false">Model!AC379</f>
        <v>0</v>
      </c>
      <c r="AB34" s="236" t="n">
        <f aca="false">Model!AD379</f>
        <v>0</v>
      </c>
      <c r="AC34" s="236" t="n">
        <f aca="false">Model!AE379</f>
        <v>0</v>
      </c>
      <c r="AD34" s="236" t="n">
        <f aca="false">Model!AF379</f>
        <v>0</v>
      </c>
      <c r="AE34" s="236" t="n">
        <f aca="false">Model!AG379</f>
        <v>0</v>
      </c>
      <c r="AF34" s="236" t="n">
        <f aca="false">Model!AH379</f>
        <v>0</v>
      </c>
      <c r="AG34" s="236" t="n">
        <f aca="false">Model!AI379</f>
        <v>0</v>
      </c>
      <c r="AH34" s="236" t="n">
        <f aca="false">Model!AJ379</f>
        <v>0</v>
      </c>
      <c r="AI34" s="236" t="n">
        <f aca="false">Model!AK379</f>
        <v>0</v>
      </c>
      <c r="AJ34" s="236" t="n">
        <f aca="false">Model!AL379</f>
        <v>0</v>
      </c>
      <c r="AK34" s="236" t="n">
        <f aca="false">Model!AM379</f>
        <v>0</v>
      </c>
      <c r="AL34" s="236" t="n">
        <f aca="false">Model!AN379</f>
        <v>0</v>
      </c>
      <c r="AM34" s="236" t="n">
        <f aca="false">Model!AO379</f>
        <v>0</v>
      </c>
      <c r="AN34" s="236" t="n">
        <f aca="false">Model!AP379</f>
        <v>0</v>
      </c>
      <c r="AO34" s="236" t="n">
        <f aca="false">Model!AQ379</f>
        <v>0</v>
      </c>
      <c r="AP34" s="236" t="n">
        <f aca="false">Model!AR379</f>
        <v>0</v>
      </c>
      <c r="AQ34" s="236" t="n">
        <f aca="false">Model!AS379</f>
        <v>0</v>
      </c>
      <c r="AR34" s="236" t="n">
        <f aca="false">Model!AT379</f>
        <v>0</v>
      </c>
      <c r="AS34" s="236" t="n">
        <f aca="false">Model!AU379</f>
        <v>0</v>
      </c>
      <c r="AT34" s="236" t="n">
        <f aca="false">Model!AV379</f>
        <v>0</v>
      </c>
      <c r="AU34" s="236" t="n">
        <f aca="false">Model!AW379</f>
        <v>0</v>
      </c>
      <c r="AV34" s="236" t="n">
        <f aca="false">Model!AX379</f>
        <v>0</v>
      </c>
      <c r="AW34" s="236" t="n">
        <f aca="false">Model!AY379</f>
        <v>0</v>
      </c>
      <c r="AX34" s="236" t="n">
        <f aca="false">Model!AZ379</f>
        <v>0</v>
      </c>
      <c r="AY34" s="236" t="n">
        <f aca="false">Model!BA379</f>
        <v>0</v>
      </c>
      <c r="AZ34" s="236" t="n">
        <f aca="false">Model!BB379</f>
        <v>0</v>
      </c>
      <c r="BA34" s="236" t="n">
        <f aca="false">Model!BC379</f>
        <v>0</v>
      </c>
      <c r="BB34" s="236" t="n">
        <f aca="false">Model!BD379</f>
        <v>0</v>
      </c>
      <c r="BC34" s="236" t="n">
        <f aca="false">Model!BE379</f>
        <v>0</v>
      </c>
      <c r="BD34" s="236" t="n">
        <f aca="false">Model!BF379</f>
        <v>0</v>
      </c>
      <c r="BE34" s="236" t="n">
        <f aca="false">Model!BG379</f>
        <v>0</v>
      </c>
      <c r="BF34" s="236" t="n">
        <f aca="false">Model!BH379</f>
        <v>0</v>
      </c>
      <c r="BG34" s="236" t="n">
        <f aca="false">Model!BI379</f>
        <v>0</v>
      </c>
      <c r="BH34" s="236" t="n">
        <f aca="false">Model!BJ379</f>
        <v>0</v>
      </c>
      <c r="BI34" s="236" t="n">
        <f aca="false">Model!BK379</f>
        <v>0</v>
      </c>
      <c r="BJ34" s="236" t="n">
        <f aca="false">Model!BL379</f>
        <v>0</v>
      </c>
      <c r="BK34" s="236" t="n">
        <f aca="false">Model!BM379</f>
        <v>0</v>
      </c>
      <c r="BL34" s="236" t="n">
        <f aca="false">Model!BN379</f>
        <v>0</v>
      </c>
      <c r="BM34" s="236" t="n">
        <f aca="false">Model!BO379</f>
        <v>0</v>
      </c>
      <c r="BN34" s="236" t="n">
        <f aca="false">Model!BP379</f>
        <v>0</v>
      </c>
      <c r="BO34" s="236" t="n">
        <f aca="false">Model!BQ379</f>
        <v>0</v>
      </c>
      <c r="BP34" s="236" t="n">
        <f aca="false">Model!BR379</f>
        <v>0</v>
      </c>
      <c r="BQ34" s="236" t="n">
        <f aca="false">Model!BS379</f>
        <v>0</v>
      </c>
      <c r="BR34" s="236" t="n">
        <f aca="false">Model!BT379</f>
        <v>0</v>
      </c>
      <c r="BS34" s="236" t="n">
        <f aca="false">Model!BU379</f>
        <v>0</v>
      </c>
      <c r="BT34" s="236" t="n">
        <f aca="false">Model!BV379</f>
        <v>0</v>
      </c>
      <c r="BU34" s="236" t="n">
        <f aca="false">Model!BW379</f>
        <v>0</v>
      </c>
      <c r="BV34" s="236" t="n">
        <f aca="false">Model!BX379</f>
        <v>0</v>
      </c>
      <c r="BW34" s="236" t="n">
        <f aca="false">Model!BY379</f>
        <v>0</v>
      </c>
      <c r="BX34" s="236" t="n">
        <f aca="false">Model!BZ379</f>
        <v>0</v>
      </c>
      <c r="BY34" s="236" t="n">
        <f aca="false">Model!CA379</f>
        <v>0</v>
      </c>
      <c r="BZ34" s="236" t="n">
        <f aca="false">Model!CB379</f>
        <v>0</v>
      </c>
      <c r="CA34" s="236" t="n">
        <f aca="false">Model!CC379</f>
        <v>0</v>
      </c>
      <c r="CB34" s="236" t="n">
        <f aca="false">Model!CD379</f>
        <v>0</v>
      </c>
      <c r="CC34" s="236" t="n">
        <f aca="false">Model!CE379</f>
        <v>0</v>
      </c>
      <c r="CD34" s="236" t="n">
        <f aca="false">Model!CF379</f>
        <v>0</v>
      </c>
      <c r="CE34" s="236" t="n">
        <f aca="false">Model!CG379</f>
        <v>0</v>
      </c>
      <c r="CF34" s="236" t="n">
        <f aca="false">Model!CH379</f>
        <v>0</v>
      </c>
      <c r="CG34" s="236" t="n">
        <f aca="false">Model!CI379</f>
        <v>0</v>
      </c>
      <c r="CH34" s="236" t="n">
        <f aca="false">Model!CJ379</f>
        <v>0</v>
      </c>
    </row>
    <row r="35" customFormat="false" ht="15" hidden="false" customHeight="true" outlineLevel="0" collapsed="false">
      <c r="A35" s="232" t="s">
        <v>756</v>
      </c>
      <c r="B35" s="232"/>
      <c r="C35" s="233" t="n">
        <f aca="false">C32+C33+C34</f>
        <v>0</v>
      </c>
      <c r="D35" s="233" t="n">
        <f aca="false">D32+D33+D34</f>
        <v>0</v>
      </c>
      <c r="E35" s="233" t="n">
        <f aca="false">E32+E33+E34</f>
        <v>0</v>
      </c>
      <c r="F35" s="233" t="n">
        <f aca="false">F32+F33+F34</f>
        <v>0</v>
      </c>
      <c r="G35" s="233" t="n">
        <f aca="false">G32+G33+G34</f>
        <v>0</v>
      </c>
      <c r="H35" s="233" t="n">
        <f aca="false">H32+H33+H34</f>
        <v>0</v>
      </c>
      <c r="I35" s="233" t="n">
        <f aca="false">I32+I33+I34</f>
        <v>0</v>
      </c>
      <c r="J35" s="233" t="n">
        <f aca="false">J32+J33+J34</f>
        <v>0</v>
      </c>
      <c r="K35" s="233" t="n">
        <f aca="false">K32+K33+K34</f>
        <v>0</v>
      </c>
      <c r="L35" s="233" t="n">
        <f aca="false">L32+L33+L34</f>
        <v>0</v>
      </c>
      <c r="M35" s="233" t="n">
        <f aca="false">M32+M33+M34</f>
        <v>0</v>
      </c>
      <c r="N35" s="233" t="n">
        <f aca="false">N32+N33+N34</f>
        <v>0</v>
      </c>
      <c r="O35" s="233" t="n">
        <f aca="false">O32+O33+O34</f>
        <v>0</v>
      </c>
      <c r="P35" s="233" t="n">
        <f aca="false">P32+P33+P34</f>
        <v>0</v>
      </c>
      <c r="Q35" s="233" t="n">
        <f aca="false">Q32+Q33+Q34</f>
        <v>0</v>
      </c>
      <c r="R35" s="233" t="n">
        <f aca="false">R32+R33+R34</f>
        <v>0</v>
      </c>
      <c r="S35" s="233" t="n">
        <f aca="false">S32+S33+S34</f>
        <v>0</v>
      </c>
      <c r="T35" s="233" t="n">
        <f aca="false">T32+T33+T34</f>
        <v>0</v>
      </c>
      <c r="U35" s="233" t="n">
        <f aca="false">U32+U33+U34</f>
        <v>0</v>
      </c>
      <c r="V35" s="233" t="n">
        <f aca="false">V32+V33+V34</f>
        <v>0</v>
      </c>
      <c r="W35" s="233" t="n">
        <f aca="false">W32+W33+W34</f>
        <v>0</v>
      </c>
      <c r="X35" s="233" t="n">
        <f aca="false">X32+X33+X34</f>
        <v>0</v>
      </c>
      <c r="Y35" s="233" t="n">
        <f aca="false">Y32+Y33+Y34</f>
        <v>0</v>
      </c>
      <c r="Z35" s="233" t="n">
        <f aca="false">Z32+Z33+Z34</f>
        <v>0</v>
      </c>
      <c r="AA35" s="233" t="n">
        <f aca="false">AA32+AA33+AA34</f>
        <v>0</v>
      </c>
      <c r="AB35" s="233" t="n">
        <f aca="false">AB32+AB33+AB34</f>
        <v>0</v>
      </c>
      <c r="AC35" s="233" t="n">
        <f aca="false">AC32+AC33+AC34</f>
        <v>0</v>
      </c>
      <c r="AD35" s="233" t="n">
        <f aca="false">AD32+AD33+AD34</f>
        <v>0</v>
      </c>
      <c r="AE35" s="233" t="n">
        <f aca="false">AE32+AE33+AE34</f>
        <v>0</v>
      </c>
      <c r="AF35" s="233" t="n">
        <f aca="false">AF32+AF33+AF34</f>
        <v>0</v>
      </c>
      <c r="AG35" s="233" t="n">
        <f aca="false">AG32+AG33+AG34</f>
        <v>0</v>
      </c>
      <c r="AH35" s="233" t="n">
        <f aca="false">AH32+AH33+AH34</f>
        <v>0</v>
      </c>
      <c r="AI35" s="233" t="n">
        <f aca="false">AI32+AI33+AI34</f>
        <v>0</v>
      </c>
      <c r="AJ35" s="233" t="n">
        <f aca="false">AJ32+AJ33+AJ34</f>
        <v>0</v>
      </c>
      <c r="AK35" s="233" t="n">
        <f aca="false">AK32+AK33+AK34</f>
        <v>0</v>
      </c>
      <c r="AL35" s="233" t="n">
        <f aca="false">AL32+AL33+AL34</f>
        <v>0</v>
      </c>
      <c r="AM35" s="233" t="n">
        <f aca="false">AM32+AM33+AM34</f>
        <v>0</v>
      </c>
      <c r="AN35" s="233" t="n">
        <f aca="false">AN32+AN33+AN34</f>
        <v>0</v>
      </c>
      <c r="AO35" s="233" t="n">
        <f aca="false">AO32+AO33+AO34</f>
        <v>0</v>
      </c>
      <c r="AP35" s="233" t="n">
        <f aca="false">AP32+AP33+AP34</f>
        <v>0</v>
      </c>
      <c r="AQ35" s="233" t="n">
        <f aca="false">AQ32+AQ33+AQ34</f>
        <v>0</v>
      </c>
      <c r="AR35" s="233" t="n">
        <f aca="false">AR32+AR33+AR34</f>
        <v>0</v>
      </c>
      <c r="AS35" s="233" t="n">
        <f aca="false">AS32+AS33+AS34</f>
        <v>0</v>
      </c>
      <c r="AT35" s="233" t="n">
        <f aca="false">AT32+AT33+AT34</f>
        <v>0</v>
      </c>
      <c r="AU35" s="233" t="n">
        <f aca="false">AU32+AU33+AU34</f>
        <v>0</v>
      </c>
      <c r="AV35" s="233" t="n">
        <f aca="false">AV32+AV33+AV34</f>
        <v>0</v>
      </c>
      <c r="AW35" s="233" t="n">
        <f aca="false">AW32+AW33+AW34</f>
        <v>0</v>
      </c>
      <c r="AX35" s="233" t="n">
        <f aca="false">AX32+AX33+AX34</f>
        <v>0</v>
      </c>
      <c r="AY35" s="233" t="n">
        <f aca="false">AY32+AY33+AY34</f>
        <v>0</v>
      </c>
      <c r="AZ35" s="233" t="n">
        <f aca="false">AZ32+AZ33+AZ34</f>
        <v>0</v>
      </c>
      <c r="BA35" s="233" t="n">
        <f aca="false">BA32+BA33+BA34</f>
        <v>0</v>
      </c>
      <c r="BB35" s="233" t="n">
        <f aca="false">BB32+BB33+BB34</f>
        <v>0</v>
      </c>
      <c r="BC35" s="233" t="n">
        <f aca="false">BC32+BC33+BC34</f>
        <v>0</v>
      </c>
      <c r="BD35" s="233" t="n">
        <f aca="false">BD32+BD33+BD34</f>
        <v>0</v>
      </c>
      <c r="BE35" s="233" t="n">
        <f aca="false">BE32+BE33+BE34</f>
        <v>0</v>
      </c>
      <c r="BF35" s="233" t="n">
        <f aca="false">BF32+BF33+BF34</f>
        <v>0</v>
      </c>
      <c r="BG35" s="233" t="n">
        <f aca="false">BG32+BG33+BG34</f>
        <v>0</v>
      </c>
      <c r="BH35" s="233" t="n">
        <f aca="false">BH32+BH33+BH34</f>
        <v>0</v>
      </c>
      <c r="BI35" s="233" t="n">
        <f aca="false">BI32+BI33+BI34</f>
        <v>0</v>
      </c>
      <c r="BJ35" s="233" t="n">
        <f aca="false">BJ32+BJ33+BJ34</f>
        <v>0</v>
      </c>
      <c r="BK35" s="233" t="n">
        <f aca="false">BK32+BK33+BK34</f>
        <v>0</v>
      </c>
      <c r="BL35" s="233" t="n">
        <f aca="false">BL32+BL33+BL34</f>
        <v>0</v>
      </c>
      <c r="BM35" s="233" t="n">
        <f aca="false">BM32+BM33+BM34</f>
        <v>0</v>
      </c>
      <c r="BN35" s="233" t="n">
        <f aca="false">BN32+BN33+BN34</f>
        <v>0</v>
      </c>
      <c r="BO35" s="233" t="n">
        <f aca="false">BO32+BO33+BO34</f>
        <v>0</v>
      </c>
      <c r="BP35" s="233" t="n">
        <f aca="false">BP32+BP33+BP34</f>
        <v>0</v>
      </c>
      <c r="BQ35" s="233" t="n">
        <f aca="false">BQ32+BQ33+BQ34</f>
        <v>0</v>
      </c>
      <c r="BR35" s="233" t="n">
        <f aca="false">BR32+BR33+BR34</f>
        <v>0</v>
      </c>
      <c r="BS35" s="233" t="n">
        <f aca="false">BS32+BS33+BS34</f>
        <v>0</v>
      </c>
      <c r="BT35" s="233" t="n">
        <f aca="false">BT32+BT33+BT34</f>
        <v>0</v>
      </c>
      <c r="BU35" s="233" t="n">
        <f aca="false">BU32+BU33+BU34</f>
        <v>0</v>
      </c>
      <c r="BV35" s="233" t="n">
        <f aca="false">BV32+BV33+BV34</f>
        <v>0</v>
      </c>
      <c r="BW35" s="233" t="n">
        <f aca="false">BW32+BW33+BW34</f>
        <v>0</v>
      </c>
      <c r="BX35" s="233" t="n">
        <f aca="false">BX32+BX33+BX34</f>
        <v>0</v>
      </c>
      <c r="BY35" s="233" t="n">
        <f aca="false">BY32+BY33+BY34</f>
        <v>0</v>
      </c>
      <c r="BZ35" s="233" t="n">
        <f aca="false">BZ32+BZ33+BZ34</f>
        <v>0</v>
      </c>
      <c r="CA35" s="233" t="n">
        <f aca="false">CA32+CA33+CA34</f>
        <v>0</v>
      </c>
      <c r="CB35" s="233" t="n">
        <f aca="false">CB32+CB33+CB34</f>
        <v>0</v>
      </c>
      <c r="CC35" s="233" t="n">
        <f aca="false">CC32+CC33+CC34</f>
        <v>0</v>
      </c>
      <c r="CD35" s="233" t="n">
        <f aca="false">CD32+CD33+CD34</f>
        <v>0</v>
      </c>
      <c r="CE35" s="233" t="n">
        <f aca="false">CE32+CE33+CE34</f>
        <v>0</v>
      </c>
      <c r="CF35" s="233" t="n">
        <f aca="false">CF32+CF33+CF34</f>
        <v>0</v>
      </c>
      <c r="CG35" s="233" t="n">
        <f aca="false">CG32+CG33+CG34</f>
        <v>0</v>
      </c>
      <c r="CH35" s="233" t="n">
        <f aca="false">CH32+CH33+CH34</f>
        <v>6608.02660647922</v>
      </c>
    </row>
    <row r="36" customFormat="false" ht="15" hidden="false" customHeight="true" outlineLevel="0" collapsed="false">
      <c r="A36" s="2" t="s">
        <v>757</v>
      </c>
      <c r="B36" s="3"/>
      <c r="C36" s="234" t="n">
        <f aca="false">C35</f>
        <v>0</v>
      </c>
      <c r="D36" s="234" t="n">
        <f aca="false">C36+D35</f>
        <v>0</v>
      </c>
      <c r="E36" s="234" t="n">
        <f aca="false">D36+E35</f>
        <v>0</v>
      </c>
      <c r="F36" s="234" t="n">
        <f aca="false">E36+F35</f>
        <v>0</v>
      </c>
      <c r="G36" s="234" t="n">
        <f aca="false">F36+G35</f>
        <v>0</v>
      </c>
      <c r="H36" s="234" t="n">
        <f aca="false">G36+H35</f>
        <v>0</v>
      </c>
      <c r="I36" s="234" t="n">
        <f aca="false">H36+I35</f>
        <v>0</v>
      </c>
      <c r="J36" s="234" t="n">
        <f aca="false">I36+J35</f>
        <v>0</v>
      </c>
      <c r="K36" s="234" t="n">
        <f aca="false">J36+K35</f>
        <v>0</v>
      </c>
      <c r="L36" s="234" t="n">
        <f aca="false">K36+L35</f>
        <v>0</v>
      </c>
      <c r="M36" s="234" t="n">
        <f aca="false">L36+M35</f>
        <v>0</v>
      </c>
      <c r="N36" s="234" t="n">
        <f aca="false">M36+N35</f>
        <v>0</v>
      </c>
      <c r="O36" s="234" t="n">
        <f aca="false">N36+O35</f>
        <v>0</v>
      </c>
      <c r="P36" s="234" t="n">
        <f aca="false">O36+P35</f>
        <v>0</v>
      </c>
      <c r="Q36" s="234" t="n">
        <f aca="false">P36+Q35</f>
        <v>0</v>
      </c>
      <c r="R36" s="234" t="n">
        <f aca="false">Q36+R35</f>
        <v>0</v>
      </c>
      <c r="S36" s="234" t="n">
        <f aca="false">R36+S35</f>
        <v>0</v>
      </c>
      <c r="T36" s="234" t="n">
        <f aca="false">S36+T35</f>
        <v>0</v>
      </c>
      <c r="U36" s="234" t="n">
        <f aca="false">T36+U35</f>
        <v>0</v>
      </c>
      <c r="V36" s="234" t="n">
        <f aca="false">U36+V35</f>
        <v>0</v>
      </c>
      <c r="W36" s="234" t="n">
        <f aca="false">V36+W35</f>
        <v>0</v>
      </c>
      <c r="X36" s="234" t="n">
        <f aca="false">W36+X35</f>
        <v>0</v>
      </c>
      <c r="Y36" s="234" t="n">
        <f aca="false">X36+Y35</f>
        <v>0</v>
      </c>
      <c r="Z36" s="234" t="n">
        <f aca="false">Y36+Z35</f>
        <v>0</v>
      </c>
      <c r="AA36" s="234" t="n">
        <f aca="false">Z36+AA35</f>
        <v>0</v>
      </c>
      <c r="AB36" s="234" t="n">
        <f aca="false">AA36+AB35</f>
        <v>0</v>
      </c>
      <c r="AC36" s="234" t="n">
        <f aca="false">AB36+AC35</f>
        <v>0</v>
      </c>
      <c r="AD36" s="234" t="n">
        <f aca="false">AC36+AD35</f>
        <v>0</v>
      </c>
      <c r="AE36" s="234" t="n">
        <f aca="false">AD36+AE35</f>
        <v>0</v>
      </c>
      <c r="AF36" s="234" t="n">
        <f aca="false">AE36+AF35</f>
        <v>0</v>
      </c>
      <c r="AG36" s="234" t="n">
        <f aca="false">AF36+AG35</f>
        <v>0</v>
      </c>
      <c r="AH36" s="234" t="n">
        <f aca="false">AG36+AH35</f>
        <v>0</v>
      </c>
      <c r="AI36" s="234" t="n">
        <f aca="false">AH36+AI35</f>
        <v>0</v>
      </c>
      <c r="AJ36" s="234" t="n">
        <f aca="false">AI36+AJ35</f>
        <v>0</v>
      </c>
      <c r="AK36" s="234" t="n">
        <f aca="false">AJ36+AK35</f>
        <v>0</v>
      </c>
      <c r="AL36" s="234" t="n">
        <f aca="false">AK36+AL35</f>
        <v>0</v>
      </c>
      <c r="AM36" s="234" t="n">
        <f aca="false">AL36+AM35</f>
        <v>0</v>
      </c>
      <c r="AN36" s="234" t="n">
        <f aca="false">AM36+AN35</f>
        <v>0</v>
      </c>
      <c r="AO36" s="234" t="n">
        <f aca="false">AN36+AO35</f>
        <v>0</v>
      </c>
      <c r="AP36" s="234" t="n">
        <f aca="false">AO36+AP35</f>
        <v>0</v>
      </c>
      <c r="AQ36" s="234" t="n">
        <f aca="false">AP36+AQ35</f>
        <v>0</v>
      </c>
      <c r="AR36" s="234" t="n">
        <f aca="false">AQ36+AR35</f>
        <v>0</v>
      </c>
      <c r="AS36" s="234" t="n">
        <f aca="false">AR36+AS35</f>
        <v>0</v>
      </c>
      <c r="AT36" s="234" t="n">
        <f aca="false">AS36+AT35</f>
        <v>0</v>
      </c>
      <c r="AU36" s="234" t="n">
        <f aca="false">AT36+AU35</f>
        <v>0</v>
      </c>
      <c r="AV36" s="234" t="n">
        <f aca="false">AU36+AV35</f>
        <v>0</v>
      </c>
      <c r="AW36" s="234" t="n">
        <f aca="false">AV36+AW35</f>
        <v>0</v>
      </c>
      <c r="AX36" s="234" t="n">
        <f aca="false">AW36+AX35</f>
        <v>0</v>
      </c>
      <c r="AY36" s="234" t="n">
        <f aca="false">AX36+AY35</f>
        <v>0</v>
      </c>
      <c r="AZ36" s="234" t="n">
        <f aca="false">AY36+AZ35</f>
        <v>0</v>
      </c>
      <c r="BA36" s="234" t="n">
        <f aca="false">AZ36+BA35</f>
        <v>0</v>
      </c>
      <c r="BB36" s="234" t="n">
        <f aca="false">BA36+BB35</f>
        <v>0</v>
      </c>
      <c r="BC36" s="234" t="n">
        <f aca="false">BB36+BC35</f>
        <v>0</v>
      </c>
      <c r="BD36" s="234" t="n">
        <f aca="false">BC36+BD35</f>
        <v>0</v>
      </c>
      <c r="BE36" s="234" t="n">
        <f aca="false">BD36+BE35</f>
        <v>0</v>
      </c>
      <c r="BF36" s="234" t="n">
        <f aca="false">BE36+BF35</f>
        <v>0</v>
      </c>
      <c r="BG36" s="234" t="n">
        <f aca="false">BF36+BG35</f>
        <v>0</v>
      </c>
      <c r="BH36" s="234" t="n">
        <f aca="false">BG36+BH35</f>
        <v>0</v>
      </c>
      <c r="BI36" s="234" t="n">
        <f aca="false">BH36+BI35</f>
        <v>0</v>
      </c>
      <c r="BJ36" s="234" t="n">
        <f aca="false">BI36+BJ35</f>
        <v>0</v>
      </c>
      <c r="BK36" s="234" t="n">
        <f aca="false">BJ36+BK35</f>
        <v>0</v>
      </c>
      <c r="BL36" s="234" t="n">
        <f aca="false">BK36+BL35</f>
        <v>0</v>
      </c>
      <c r="BM36" s="234" t="n">
        <f aca="false">BL36+BM35</f>
        <v>0</v>
      </c>
      <c r="BN36" s="234" t="n">
        <f aca="false">BM36+BN35</f>
        <v>0</v>
      </c>
      <c r="BO36" s="234" t="n">
        <f aca="false">BN36+BO35</f>
        <v>0</v>
      </c>
      <c r="BP36" s="234" t="n">
        <f aca="false">BO36+BP35</f>
        <v>0</v>
      </c>
      <c r="BQ36" s="234" t="n">
        <f aca="false">BP36+BQ35</f>
        <v>0</v>
      </c>
      <c r="BR36" s="234" t="n">
        <f aca="false">BQ36+BR35</f>
        <v>0</v>
      </c>
      <c r="BS36" s="234" t="n">
        <f aca="false">BR36+BS35</f>
        <v>0</v>
      </c>
      <c r="BT36" s="234" t="n">
        <f aca="false">BS36+BT35</f>
        <v>0</v>
      </c>
      <c r="BU36" s="234" t="n">
        <f aca="false">BT36+BU35</f>
        <v>0</v>
      </c>
      <c r="BV36" s="234" t="n">
        <f aca="false">BU36+BV35</f>
        <v>0</v>
      </c>
      <c r="BW36" s="234" t="n">
        <f aca="false">BV36+BW35</f>
        <v>0</v>
      </c>
      <c r="BX36" s="234" t="n">
        <f aca="false">BW36+BX35</f>
        <v>0</v>
      </c>
      <c r="BY36" s="234" t="n">
        <f aca="false">BX36+BY35</f>
        <v>0</v>
      </c>
      <c r="BZ36" s="234" t="n">
        <f aca="false">BY36+BZ35</f>
        <v>0</v>
      </c>
      <c r="CA36" s="234" t="n">
        <f aca="false">BZ36+CA35</f>
        <v>0</v>
      </c>
      <c r="CB36" s="234" t="n">
        <f aca="false">CA36+CB35</f>
        <v>0</v>
      </c>
      <c r="CC36" s="234" t="n">
        <f aca="false">CB36+CC35</f>
        <v>0</v>
      </c>
      <c r="CD36" s="234" t="n">
        <f aca="false">CC36+CD35</f>
        <v>0</v>
      </c>
      <c r="CE36" s="234" t="n">
        <f aca="false">CD36+CE35</f>
        <v>0</v>
      </c>
      <c r="CF36" s="234" t="n">
        <f aca="false">CE36+CF35</f>
        <v>0</v>
      </c>
      <c r="CG36" s="234" t="n">
        <f aca="false">CF36+CG35</f>
        <v>0</v>
      </c>
      <c r="CH36" s="234"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755</v>
      </c>
      <c r="B39" s="3"/>
      <c r="C39" s="231" t="n">
        <v>0</v>
      </c>
      <c r="D39" s="231" t="n">
        <v>0</v>
      </c>
      <c r="E39" s="231" t="n">
        <v>0</v>
      </c>
      <c r="F39" s="231" t="n">
        <v>0</v>
      </c>
      <c r="G39" s="231" t="n">
        <v>0</v>
      </c>
      <c r="H39" s="231" t="n">
        <v>0</v>
      </c>
      <c r="I39" s="231" t="n">
        <v>0</v>
      </c>
      <c r="J39" s="231" t="n">
        <v>0</v>
      </c>
      <c r="K39" s="231" t="n">
        <v>0</v>
      </c>
      <c r="L39" s="231" t="n">
        <v>0</v>
      </c>
      <c r="M39" s="231" t="n">
        <v>0</v>
      </c>
      <c r="N39" s="231" t="n">
        <v>0</v>
      </c>
      <c r="O39" s="231" t="n">
        <v>0</v>
      </c>
      <c r="P39" s="231" t="n">
        <v>0</v>
      </c>
      <c r="Q39" s="231" t="n">
        <v>0</v>
      </c>
      <c r="R39" s="231" t="n">
        <v>0</v>
      </c>
      <c r="S39" s="231" t="n">
        <v>0</v>
      </c>
      <c r="T39" s="231" t="n">
        <v>0</v>
      </c>
      <c r="U39" s="231" t="n">
        <v>0</v>
      </c>
      <c r="V39" s="231" t="n">
        <v>0</v>
      </c>
      <c r="W39" s="231" t="n">
        <v>0</v>
      </c>
      <c r="X39" s="231" t="n">
        <v>0</v>
      </c>
      <c r="Y39" s="231" t="n">
        <v>0</v>
      </c>
      <c r="Z39" s="231" t="n">
        <v>0</v>
      </c>
      <c r="AA39" s="231" t="n">
        <v>0</v>
      </c>
      <c r="AB39" s="231" t="n">
        <v>0</v>
      </c>
      <c r="AC39" s="231" t="n">
        <v>0</v>
      </c>
      <c r="AD39" s="231" t="n">
        <v>0</v>
      </c>
      <c r="AE39" s="231" t="n">
        <v>0</v>
      </c>
      <c r="AF39" s="231" t="n">
        <v>0</v>
      </c>
      <c r="AG39" s="231" t="n">
        <v>0</v>
      </c>
      <c r="AH39" s="231" t="n">
        <v>0</v>
      </c>
      <c r="AI39" s="231" t="n">
        <v>0</v>
      </c>
      <c r="AJ39" s="231" t="n">
        <v>0</v>
      </c>
      <c r="AK39" s="231" t="n">
        <v>0</v>
      </c>
      <c r="AL39" s="231" t="n">
        <v>0</v>
      </c>
      <c r="AM39" s="231" t="n">
        <v>0</v>
      </c>
      <c r="AN39" s="231" t="n">
        <v>0</v>
      </c>
      <c r="AO39" s="231" t="n">
        <v>0</v>
      </c>
      <c r="AP39" s="231" t="n">
        <v>0</v>
      </c>
      <c r="AQ39" s="231" t="n">
        <v>0</v>
      </c>
      <c r="AR39" s="231" t="n">
        <v>0</v>
      </c>
      <c r="AS39" s="231" t="n">
        <v>0</v>
      </c>
      <c r="AT39" s="231" t="n">
        <v>0</v>
      </c>
      <c r="AU39" s="231" t="n">
        <v>0</v>
      </c>
      <c r="AV39" s="231" t="n">
        <v>0</v>
      </c>
      <c r="AW39" s="231" t="n">
        <v>0</v>
      </c>
      <c r="AX39" s="231" t="n">
        <v>0</v>
      </c>
      <c r="AY39" s="231" t="n">
        <v>0</v>
      </c>
      <c r="AZ39" s="231" t="n">
        <v>0</v>
      </c>
      <c r="BA39" s="231" t="n">
        <v>0</v>
      </c>
      <c r="BB39" s="231" t="n">
        <v>0</v>
      </c>
      <c r="BC39" s="231" t="n">
        <v>0</v>
      </c>
      <c r="BD39" s="231" t="n">
        <v>0</v>
      </c>
      <c r="BE39" s="231" t="n">
        <v>0</v>
      </c>
      <c r="BF39" s="231" t="n">
        <v>0</v>
      </c>
      <c r="BG39" s="231" t="n">
        <v>0</v>
      </c>
      <c r="BH39" s="231" t="n">
        <v>0</v>
      </c>
      <c r="BI39" s="231" t="n">
        <v>0</v>
      </c>
      <c r="BJ39" s="231" t="n">
        <v>0</v>
      </c>
      <c r="BK39" s="231" t="n">
        <v>0</v>
      </c>
      <c r="BL39" s="231" t="n">
        <v>0</v>
      </c>
      <c r="BM39" s="231" t="n">
        <v>0</v>
      </c>
      <c r="BN39" s="231" t="n">
        <v>0</v>
      </c>
      <c r="BO39" s="231" t="n">
        <v>0</v>
      </c>
      <c r="BP39" s="231" t="n">
        <v>0</v>
      </c>
      <c r="BQ39" s="231" t="n">
        <v>0</v>
      </c>
      <c r="BR39" s="231" t="n">
        <v>0</v>
      </c>
      <c r="BS39" s="231" t="n">
        <v>0</v>
      </c>
      <c r="BT39" s="231" t="n">
        <v>0</v>
      </c>
      <c r="BU39" s="231" t="n">
        <v>0</v>
      </c>
      <c r="BV39" s="231" t="n">
        <v>0</v>
      </c>
      <c r="BW39" s="231" t="n">
        <v>0</v>
      </c>
      <c r="BX39" s="231" t="n">
        <v>0</v>
      </c>
      <c r="BY39" s="231" t="n">
        <v>0</v>
      </c>
      <c r="BZ39" s="231" t="n">
        <v>0</v>
      </c>
      <c r="CA39" s="231" t="n">
        <v>0</v>
      </c>
      <c r="CB39" s="231" t="n">
        <v>0</v>
      </c>
      <c r="CC39" s="231" t="n">
        <v>0</v>
      </c>
      <c r="CD39" s="231" t="n">
        <v>0</v>
      </c>
      <c r="CE39" s="231" t="n">
        <v>0</v>
      </c>
      <c r="CF39" s="231" t="n">
        <v>0</v>
      </c>
      <c r="CG39" s="231" t="n">
        <v>0</v>
      </c>
      <c r="CH39" s="231" t="n">
        <v>0</v>
      </c>
    </row>
    <row r="40" customFormat="false" ht="15" hidden="false" customHeight="true" outlineLevel="0" collapsed="false">
      <c r="A40" s="235" t="s">
        <v>758</v>
      </c>
      <c r="B40" s="3"/>
      <c r="C40" s="236" t="n">
        <f aca="false">Model!E291</f>
        <v>-0</v>
      </c>
      <c r="D40" s="236" t="n">
        <f aca="false">Model!F291</f>
        <v>-0</v>
      </c>
      <c r="E40" s="236" t="n">
        <f aca="false">Model!G291</f>
        <v>-0</v>
      </c>
      <c r="F40" s="236" t="n">
        <f aca="false">Model!H291</f>
        <v>-0</v>
      </c>
      <c r="G40" s="236" t="n">
        <f aca="false">Model!I291</f>
        <v>-0</v>
      </c>
      <c r="H40" s="236" t="n">
        <f aca="false">Model!J291</f>
        <v>-0</v>
      </c>
      <c r="I40" s="236" t="n">
        <f aca="false">Model!K291</f>
        <v>-0</v>
      </c>
      <c r="J40" s="236" t="n">
        <f aca="false">Model!L291</f>
        <v>-0</v>
      </c>
      <c r="K40" s="236" t="n">
        <f aca="false">Model!M291</f>
        <v>-0</v>
      </c>
      <c r="L40" s="236" t="n">
        <f aca="false">Model!N291</f>
        <v>-0</v>
      </c>
      <c r="M40" s="236" t="n">
        <f aca="false">Model!O291</f>
        <v>-0</v>
      </c>
      <c r="N40" s="236" t="n">
        <f aca="false">Model!P291</f>
        <v>-0</v>
      </c>
      <c r="O40" s="236" t="n">
        <f aca="false">Model!Q291</f>
        <v>-0</v>
      </c>
      <c r="P40" s="236" t="n">
        <f aca="false">Model!R291</f>
        <v>-0</v>
      </c>
      <c r="Q40" s="236" t="n">
        <f aca="false">Model!S291</f>
        <v>-0</v>
      </c>
      <c r="R40" s="236" t="n">
        <f aca="false">Model!T291</f>
        <v>-0</v>
      </c>
      <c r="S40" s="236" t="n">
        <f aca="false">Model!U291</f>
        <v>-0</v>
      </c>
      <c r="T40" s="236" t="n">
        <f aca="false">Model!V291</f>
        <v>-0</v>
      </c>
      <c r="U40" s="236" t="n">
        <f aca="false">Model!W291</f>
        <v>-0</v>
      </c>
      <c r="V40" s="236" t="n">
        <f aca="false">Model!X291</f>
        <v>-0</v>
      </c>
      <c r="W40" s="236" t="n">
        <f aca="false">Model!Y291</f>
        <v>-0</v>
      </c>
      <c r="X40" s="236" t="n">
        <f aca="false">Model!Z291</f>
        <v>-0</v>
      </c>
      <c r="Y40" s="236" t="n">
        <f aca="false">Model!AA291</f>
        <v>-0</v>
      </c>
      <c r="Z40" s="236" t="n">
        <f aca="false">Model!AB291</f>
        <v>-0</v>
      </c>
      <c r="AA40" s="236" t="n">
        <f aca="false">Model!AC291</f>
        <v>-0</v>
      </c>
      <c r="AB40" s="236" t="n">
        <f aca="false">Model!AD291</f>
        <v>-0</v>
      </c>
      <c r="AC40" s="236" t="n">
        <f aca="false">Model!AE291</f>
        <v>-0</v>
      </c>
      <c r="AD40" s="236" t="n">
        <f aca="false">Model!AF291</f>
        <v>-0</v>
      </c>
      <c r="AE40" s="236" t="n">
        <f aca="false">Model!AG291</f>
        <v>-0</v>
      </c>
      <c r="AF40" s="236" t="n">
        <f aca="false">Model!AH291</f>
        <v>-0</v>
      </c>
      <c r="AG40" s="236" t="n">
        <f aca="false">Model!AI291</f>
        <v>-0</v>
      </c>
      <c r="AH40" s="236" t="n">
        <f aca="false">Model!AJ291</f>
        <v>-0</v>
      </c>
      <c r="AI40" s="236" t="n">
        <f aca="false">Model!AK291</f>
        <v>-0</v>
      </c>
      <c r="AJ40" s="236" t="n">
        <f aca="false">Model!AL291</f>
        <v>-0</v>
      </c>
      <c r="AK40" s="236" t="n">
        <f aca="false">Model!AM291</f>
        <v>-0</v>
      </c>
      <c r="AL40" s="236" t="n">
        <f aca="false">Model!AN291</f>
        <v>-0</v>
      </c>
      <c r="AM40" s="236" t="n">
        <f aca="false">Model!AO291</f>
        <v>-0</v>
      </c>
      <c r="AN40" s="236" t="n">
        <f aca="false">Model!AP291</f>
        <v>-0</v>
      </c>
      <c r="AO40" s="236" t="n">
        <f aca="false">Model!AQ291</f>
        <v>-0</v>
      </c>
      <c r="AP40" s="236" t="n">
        <f aca="false">Model!AR291</f>
        <v>-0</v>
      </c>
      <c r="AQ40" s="236" t="n">
        <f aca="false">Model!AS291</f>
        <v>-0</v>
      </c>
      <c r="AR40" s="236" t="n">
        <f aca="false">Model!AT291</f>
        <v>-0</v>
      </c>
      <c r="AS40" s="236" t="n">
        <f aca="false">Model!AU291</f>
        <v>-0</v>
      </c>
      <c r="AT40" s="236" t="n">
        <f aca="false">Model!AV291</f>
        <v>-0</v>
      </c>
      <c r="AU40" s="236" t="n">
        <f aca="false">Model!AW291</f>
        <v>-0</v>
      </c>
      <c r="AV40" s="236" t="n">
        <f aca="false">Model!AX291</f>
        <v>-0</v>
      </c>
      <c r="AW40" s="236" t="n">
        <f aca="false">Model!AY291</f>
        <v>-0</v>
      </c>
      <c r="AX40" s="236" t="n">
        <f aca="false">Model!AZ291</f>
        <v>-0</v>
      </c>
      <c r="AY40" s="236" t="n">
        <f aca="false">Model!BA291</f>
        <v>-0</v>
      </c>
      <c r="AZ40" s="236" t="n">
        <f aca="false">Model!BB291</f>
        <v>-0</v>
      </c>
      <c r="BA40" s="236" t="n">
        <f aca="false">Model!BC291</f>
        <v>-0</v>
      </c>
      <c r="BB40" s="236" t="n">
        <f aca="false">Model!BD291</f>
        <v>-0</v>
      </c>
      <c r="BC40" s="236" t="n">
        <f aca="false">Model!BE291</f>
        <v>-0</v>
      </c>
      <c r="BD40" s="236" t="n">
        <f aca="false">Model!BF291</f>
        <v>-0</v>
      </c>
      <c r="BE40" s="236" t="n">
        <f aca="false">Model!BG291</f>
        <v>-0</v>
      </c>
      <c r="BF40" s="236" t="n">
        <f aca="false">Model!BH291</f>
        <v>-0</v>
      </c>
      <c r="BG40" s="236" t="n">
        <f aca="false">Model!BI291</f>
        <v>-0</v>
      </c>
      <c r="BH40" s="236" t="n">
        <f aca="false">Model!BJ291</f>
        <v>-0</v>
      </c>
      <c r="BI40" s="236" t="n">
        <f aca="false">Model!BK291</f>
        <v>-0</v>
      </c>
      <c r="BJ40" s="236" t="n">
        <f aca="false">Model!BL291</f>
        <v>-0</v>
      </c>
      <c r="BK40" s="236" t="n">
        <f aca="false">Model!BM291</f>
        <v>-0</v>
      </c>
      <c r="BL40" s="236" t="n">
        <f aca="false">Model!BN291</f>
        <v>-0</v>
      </c>
      <c r="BM40" s="236" t="n">
        <f aca="false">Model!BO291</f>
        <v>-0</v>
      </c>
      <c r="BN40" s="236" t="n">
        <f aca="false">Model!BP291</f>
        <v>-0</v>
      </c>
      <c r="BO40" s="236" t="n">
        <f aca="false">Model!BQ291</f>
        <v>-0</v>
      </c>
      <c r="BP40" s="236" t="n">
        <f aca="false">Model!BR291</f>
        <v>-0</v>
      </c>
      <c r="BQ40" s="236" t="n">
        <f aca="false">Model!BS291</f>
        <v>-0</v>
      </c>
      <c r="BR40" s="236" t="n">
        <f aca="false">Model!BT291</f>
        <v>-0</v>
      </c>
      <c r="BS40" s="236" t="n">
        <f aca="false">Model!BU291</f>
        <v>-0</v>
      </c>
      <c r="BT40" s="236" t="n">
        <f aca="false">Model!BV291</f>
        <v>-0</v>
      </c>
      <c r="BU40" s="236" t="n">
        <f aca="false">Model!BW291</f>
        <v>-0</v>
      </c>
      <c r="BV40" s="236" t="n">
        <f aca="false">Model!BX291</f>
        <v>-0</v>
      </c>
      <c r="BW40" s="236" t="n">
        <f aca="false">Model!BY291</f>
        <v>-0</v>
      </c>
      <c r="BX40" s="236" t="n">
        <f aca="false">Model!BZ291</f>
        <v>-0</v>
      </c>
      <c r="BY40" s="236" t="n">
        <f aca="false">Model!CA291</f>
        <v>-73156</v>
      </c>
      <c r="BZ40" s="236" t="n">
        <f aca="false">Model!CB291</f>
        <v>-0</v>
      </c>
      <c r="CA40" s="236" t="n">
        <f aca="false">Model!CC291</f>
        <v>-0</v>
      </c>
      <c r="CB40" s="236" t="n">
        <f aca="false">Model!CD291</f>
        <v>-73155</v>
      </c>
      <c r="CC40" s="236" t="n">
        <f aca="false">Model!CE291</f>
        <v>-0</v>
      </c>
      <c r="CD40" s="236" t="n">
        <f aca="false">Model!CF291</f>
        <v>-0</v>
      </c>
      <c r="CE40" s="236" t="n">
        <f aca="false">Model!CG291</f>
        <v>-73155</v>
      </c>
      <c r="CF40" s="236" t="n">
        <f aca="false">Model!CH291</f>
        <v>-0</v>
      </c>
      <c r="CG40" s="236" t="n">
        <f aca="false">Model!CI291</f>
        <v>-0</v>
      </c>
      <c r="CH40" s="236" t="n">
        <f aca="false">Model!CJ291</f>
        <v>-73155</v>
      </c>
    </row>
    <row r="41" customFormat="false" ht="15" hidden="false" customHeight="true" outlineLevel="0" collapsed="false">
      <c r="A41" s="232" t="s">
        <v>756</v>
      </c>
      <c r="B41" s="232"/>
      <c r="C41" s="233" t="n">
        <f aca="false">C39+C40</f>
        <v>0</v>
      </c>
      <c r="D41" s="233" t="n">
        <f aca="false">D39+D40</f>
        <v>0</v>
      </c>
      <c r="E41" s="233" t="n">
        <f aca="false">E39+E40</f>
        <v>0</v>
      </c>
      <c r="F41" s="233" t="n">
        <f aca="false">F39+F40</f>
        <v>0</v>
      </c>
      <c r="G41" s="233" t="n">
        <f aca="false">G39+G40</f>
        <v>0</v>
      </c>
      <c r="H41" s="233" t="n">
        <f aca="false">H39+H40</f>
        <v>0</v>
      </c>
      <c r="I41" s="233" t="n">
        <f aca="false">I39+I40</f>
        <v>0</v>
      </c>
      <c r="J41" s="233" t="n">
        <f aca="false">J39+J40</f>
        <v>0</v>
      </c>
      <c r="K41" s="233" t="n">
        <f aca="false">K39+K40</f>
        <v>0</v>
      </c>
      <c r="L41" s="233" t="n">
        <f aca="false">L39+L40</f>
        <v>0</v>
      </c>
      <c r="M41" s="233" t="n">
        <f aca="false">M39+M40</f>
        <v>0</v>
      </c>
      <c r="N41" s="233" t="n">
        <f aca="false">N39+N40</f>
        <v>0</v>
      </c>
      <c r="O41" s="233" t="n">
        <f aca="false">O39+O40</f>
        <v>0</v>
      </c>
      <c r="P41" s="233" t="n">
        <f aca="false">P39+P40</f>
        <v>0</v>
      </c>
      <c r="Q41" s="233" t="n">
        <f aca="false">Q39+Q40</f>
        <v>0</v>
      </c>
      <c r="R41" s="233" t="n">
        <f aca="false">R39+R40</f>
        <v>0</v>
      </c>
      <c r="S41" s="233" t="n">
        <f aca="false">S39+S40</f>
        <v>0</v>
      </c>
      <c r="T41" s="233" t="n">
        <f aca="false">T39+T40</f>
        <v>0</v>
      </c>
      <c r="U41" s="233" t="n">
        <f aca="false">U39+U40</f>
        <v>0</v>
      </c>
      <c r="V41" s="233" t="n">
        <f aca="false">V39+V40</f>
        <v>0</v>
      </c>
      <c r="W41" s="233" t="n">
        <f aca="false">W39+W40</f>
        <v>0</v>
      </c>
      <c r="X41" s="233" t="n">
        <f aca="false">X39+X40</f>
        <v>0</v>
      </c>
      <c r="Y41" s="233" t="n">
        <f aca="false">Y39+Y40</f>
        <v>0</v>
      </c>
      <c r="Z41" s="233" t="n">
        <f aca="false">Z39+Z40</f>
        <v>0</v>
      </c>
      <c r="AA41" s="233" t="n">
        <f aca="false">AA39+AA40</f>
        <v>0</v>
      </c>
      <c r="AB41" s="233" t="n">
        <f aca="false">AB39+AB40</f>
        <v>0</v>
      </c>
      <c r="AC41" s="233" t="n">
        <f aca="false">AC39+AC40</f>
        <v>0</v>
      </c>
      <c r="AD41" s="233" t="n">
        <f aca="false">AD39+AD40</f>
        <v>0</v>
      </c>
      <c r="AE41" s="233" t="n">
        <f aca="false">AE39+AE40</f>
        <v>0</v>
      </c>
      <c r="AF41" s="233" t="n">
        <f aca="false">AF39+AF40</f>
        <v>0</v>
      </c>
      <c r="AG41" s="233" t="n">
        <f aca="false">AG39+AG40</f>
        <v>0</v>
      </c>
      <c r="AH41" s="233" t="n">
        <f aca="false">AH39+AH40</f>
        <v>0</v>
      </c>
      <c r="AI41" s="233" t="n">
        <f aca="false">AI39+AI40</f>
        <v>0</v>
      </c>
      <c r="AJ41" s="233" t="n">
        <f aca="false">AJ39+AJ40</f>
        <v>0</v>
      </c>
      <c r="AK41" s="233" t="n">
        <f aca="false">AK39+AK40</f>
        <v>0</v>
      </c>
      <c r="AL41" s="233" t="n">
        <f aca="false">AL39+AL40</f>
        <v>0</v>
      </c>
      <c r="AM41" s="233" t="n">
        <f aca="false">AM39+AM40</f>
        <v>0</v>
      </c>
      <c r="AN41" s="233" t="n">
        <f aca="false">AN39+AN40</f>
        <v>0</v>
      </c>
      <c r="AO41" s="233" t="n">
        <f aca="false">AO39+AO40</f>
        <v>0</v>
      </c>
      <c r="AP41" s="233" t="n">
        <f aca="false">AP39+AP40</f>
        <v>0</v>
      </c>
      <c r="AQ41" s="233" t="n">
        <f aca="false">AQ39+AQ40</f>
        <v>0</v>
      </c>
      <c r="AR41" s="233" t="n">
        <f aca="false">AR39+AR40</f>
        <v>0</v>
      </c>
      <c r="AS41" s="233" t="n">
        <f aca="false">AS39+AS40</f>
        <v>0</v>
      </c>
      <c r="AT41" s="233" t="n">
        <f aca="false">AT39+AT40</f>
        <v>0</v>
      </c>
      <c r="AU41" s="233" t="n">
        <f aca="false">AU39+AU40</f>
        <v>0</v>
      </c>
      <c r="AV41" s="233" t="n">
        <f aca="false">AV39+AV40</f>
        <v>0</v>
      </c>
      <c r="AW41" s="233" t="n">
        <f aca="false">AW39+AW40</f>
        <v>0</v>
      </c>
      <c r="AX41" s="233" t="n">
        <f aca="false">AX39+AX40</f>
        <v>0</v>
      </c>
      <c r="AY41" s="233" t="n">
        <f aca="false">AY39+AY40</f>
        <v>0</v>
      </c>
      <c r="AZ41" s="233" t="n">
        <f aca="false">AZ39+AZ40</f>
        <v>0</v>
      </c>
      <c r="BA41" s="233" t="n">
        <f aca="false">BA39+BA40</f>
        <v>0</v>
      </c>
      <c r="BB41" s="233" t="n">
        <f aca="false">BB39+BB40</f>
        <v>0</v>
      </c>
      <c r="BC41" s="233" t="n">
        <f aca="false">BC39+BC40</f>
        <v>0</v>
      </c>
      <c r="BD41" s="233" t="n">
        <f aca="false">BD39+BD40</f>
        <v>0</v>
      </c>
      <c r="BE41" s="233" t="n">
        <f aca="false">BE39+BE40</f>
        <v>0</v>
      </c>
      <c r="BF41" s="233" t="n">
        <f aca="false">BF39+BF40</f>
        <v>0</v>
      </c>
      <c r="BG41" s="233" t="n">
        <f aca="false">BG39+BG40</f>
        <v>0</v>
      </c>
      <c r="BH41" s="233" t="n">
        <f aca="false">BH39+BH40</f>
        <v>0</v>
      </c>
      <c r="BI41" s="233" t="n">
        <f aca="false">BI39+BI40</f>
        <v>0</v>
      </c>
      <c r="BJ41" s="233" t="n">
        <f aca="false">BJ39+BJ40</f>
        <v>0</v>
      </c>
      <c r="BK41" s="233" t="n">
        <f aca="false">BK39+BK40</f>
        <v>0</v>
      </c>
      <c r="BL41" s="233" t="n">
        <f aca="false">BL39+BL40</f>
        <v>0</v>
      </c>
      <c r="BM41" s="233" t="n">
        <f aca="false">BM39+BM40</f>
        <v>0</v>
      </c>
      <c r="BN41" s="233" t="n">
        <f aca="false">BN39+BN40</f>
        <v>0</v>
      </c>
      <c r="BO41" s="233" t="n">
        <f aca="false">BO39+BO40</f>
        <v>0</v>
      </c>
      <c r="BP41" s="233" t="n">
        <f aca="false">BP39+BP40</f>
        <v>0</v>
      </c>
      <c r="BQ41" s="233" t="n">
        <f aca="false">BQ39+BQ40</f>
        <v>0</v>
      </c>
      <c r="BR41" s="233" t="n">
        <f aca="false">BR39+BR40</f>
        <v>0</v>
      </c>
      <c r="BS41" s="233" t="n">
        <f aca="false">BS39+BS40</f>
        <v>0</v>
      </c>
      <c r="BT41" s="233" t="n">
        <f aca="false">BT39+BT40</f>
        <v>0</v>
      </c>
      <c r="BU41" s="233" t="n">
        <f aca="false">BU39+BU40</f>
        <v>0</v>
      </c>
      <c r="BV41" s="233" t="n">
        <f aca="false">BV39+BV40</f>
        <v>0</v>
      </c>
      <c r="BW41" s="233" t="n">
        <f aca="false">BW39+BW40</f>
        <v>0</v>
      </c>
      <c r="BX41" s="233" t="n">
        <f aca="false">BX39+BX40</f>
        <v>0</v>
      </c>
      <c r="BY41" s="233" t="n">
        <f aca="false">BY39+BY40</f>
        <v>-73156</v>
      </c>
      <c r="BZ41" s="233" t="n">
        <f aca="false">BZ39+BZ40</f>
        <v>0</v>
      </c>
      <c r="CA41" s="233" t="n">
        <f aca="false">CA39+CA40</f>
        <v>0</v>
      </c>
      <c r="CB41" s="233" t="n">
        <f aca="false">CB39+CB40</f>
        <v>-73155</v>
      </c>
      <c r="CC41" s="233" t="n">
        <f aca="false">CC39+CC40</f>
        <v>0</v>
      </c>
      <c r="CD41" s="233" t="n">
        <f aca="false">CD39+CD40</f>
        <v>0</v>
      </c>
      <c r="CE41" s="233" t="n">
        <f aca="false">CE39+CE40</f>
        <v>-73155</v>
      </c>
      <c r="CF41" s="233" t="n">
        <f aca="false">CF39+CF40</f>
        <v>0</v>
      </c>
      <c r="CG41" s="233" t="n">
        <f aca="false">CG39+CG40</f>
        <v>0</v>
      </c>
      <c r="CH41" s="233" t="n">
        <f aca="false">CH39+CH40</f>
        <v>-73155</v>
      </c>
    </row>
    <row r="42" customFormat="false" ht="15" hidden="false" customHeight="true" outlineLevel="0" collapsed="false">
      <c r="A42" s="2" t="s">
        <v>757</v>
      </c>
      <c r="B42" s="3"/>
      <c r="C42" s="234" t="n">
        <f aca="false">C41</f>
        <v>0</v>
      </c>
      <c r="D42" s="234" t="n">
        <f aca="false">C42+D41</f>
        <v>0</v>
      </c>
      <c r="E42" s="234" t="n">
        <f aca="false">D42+E41</f>
        <v>0</v>
      </c>
      <c r="F42" s="234" t="n">
        <f aca="false">E42+F41</f>
        <v>0</v>
      </c>
      <c r="G42" s="234" t="n">
        <f aca="false">F42+G41</f>
        <v>0</v>
      </c>
      <c r="H42" s="234" t="n">
        <f aca="false">G42+H41</f>
        <v>0</v>
      </c>
      <c r="I42" s="234" t="n">
        <f aca="false">H42+I41</f>
        <v>0</v>
      </c>
      <c r="J42" s="234" t="n">
        <f aca="false">I42+J41</f>
        <v>0</v>
      </c>
      <c r="K42" s="234" t="n">
        <f aca="false">J42+K41</f>
        <v>0</v>
      </c>
      <c r="L42" s="234" t="n">
        <f aca="false">K42+L41</f>
        <v>0</v>
      </c>
      <c r="M42" s="234" t="n">
        <f aca="false">L42+M41</f>
        <v>0</v>
      </c>
      <c r="N42" s="234" t="n">
        <f aca="false">M42+N41</f>
        <v>0</v>
      </c>
      <c r="O42" s="234" t="n">
        <f aca="false">N42+O41</f>
        <v>0</v>
      </c>
      <c r="P42" s="234" t="n">
        <f aca="false">O42+P41</f>
        <v>0</v>
      </c>
      <c r="Q42" s="234" t="n">
        <f aca="false">P42+Q41</f>
        <v>0</v>
      </c>
      <c r="R42" s="234" t="n">
        <f aca="false">Q42+R41</f>
        <v>0</v>
      </c>
      <c r="S42" s="234" t="n">
        <f aca="false">R42+S41</f>
        <v>0</v>
      </c>
      <c r="T42" s="234" t="n">
        <f aca="false">S42+T41</f>
        <v>0</v>
      </c>
      <c r="U42" s="234" t="n">
        <f aca="false">T42+U41</f>
        <v>0</v>
      </c>
      <c r="V42" s="234" t="n">
        <f aca="false">U42+V41</f>
        <v>0</v>
      </c>
      <c r="W42" s="234" t="n">
        <f aca="false">V42+W41</f>
        <v>0</v>
      </c>
      <c r="X42" s="234" t="n">
        <f aca="false">W42+X41</f>
        <v>0</v>
      </c>
      <c r="Y42" s="234" t="n">
        <f aca="false">X42+Y41</f>
        <v>0</v>
      </c>
      <c r="Z42" s="234" t="n">
        <f aca="false">Y42+Z41</f>
        <v>0</v>
      </c>
      <c r="AA42" s="234" t="n">
        <f aca="false">Z42+AA41</f>
        <v>0</v>
      </c>
      <c r="AB42" s="234" t="n">
        <f aca="false">AA42+AB41</f>
        <v>0</v>
      </c>
      <c r="AC42" s="234" t="n">
        <f aca="false">AB42+AC41</f>
        <v>0</v>
      </c>
      <c r="AD42" s="234" t="n">
        <f aca="false">AC42+AD41</f>
        <v>0</v>
      </c>
      <c r="AE42" s="234" t="n">
        <f aca="false">AD42+AE41</f>
        <v>0</v>
      </c>
      <c r="AF42" s="234" t="n">
        <f aca="false">AE42+AF41</f>
        <v>0</v>
      </c>
      <c r="AG42" s="234" t="n">
        <f aca="false">AF42+AG41</f>
        <v>0</v>
      </c>
      <c r="AH42" s="234" t="n">
        <f aca="false">AG42+AH41</f>
        <v>0</v>
      </c>
      <c r="AI42" s="234" t="n">
        <f aca="false">AH42+AI41</f>
        <v>0</v>
      </c>
      <c r="AJ42" s="234" t="n">
        <f aca="false">AI42+AJ41</f>
        <v>0</v>
      </c>
      <c r="AK42" s="234" t="n">
        <f aca="false">AJ42+AK41</f>
        <v>0</v>
      </c>
      <c r="AL42" s="234" t="n">
        <f aca="false">AK42+AL41</f>
        <v>0</v>
      </c>
      <c r="AM42" s="234" t="n">
        <f aca="false">AL42+AM41</f>
        <v>0</v>
      </c>
      <c r="AN42" s="234" t="n">
        <f aca="false">AM42+AN41</f>
        <v>0</v>
      </c>
      <c r="AO42" s="234" t="n">
        <f aca="false">AN42+AO41</f>
        <v>0</v>
      </c>
      <c r="AP42" s="234" t="n">
        <f aca="false">AO42+AP41</f>
        <v>0</v>
      </c>
      <c r="AQ42" s="234" t="n">
        <f aca="false">AP42+AQ41</f>
        <v>0</v>
      </c>
      <c r="AR42" s="234" t="n">
        <f aca="false">AQ42+AR41</f>
        <v>0</v>
      </c>
      <c r="AS42" s="234" t="n">
        <f aca="false">AR42+AS41</f>
        <v>0</v>
      </c>
      <c r="AT42" s="234" t="n">
        <f aca="false">AS42+AT41</f>
        <v>0</v>
      </c>
      <c r="AU42" s="234" t="n">
        <f aca="false">AT42+AU41</f>
        <v>0</v>
      </c>
      <c r="AV42" s="234" t="n">
        <f aca="false">AU42+AV41</f>
        <v>0</v>
      </c>
      <c r="AW42" s="234" t="n">
        <f aca="false">AV42+AW41</f>
        <v>0</v>
      </c>
      <c r="AX42" s="234" t="n">
        <f aca="false">AW42+AX41</f>
        <v>0</v>
      </c>
      <c r="AY42" s="234" t="n">
        <f aca="false">AX42+AY41</f>
        <v>0</v>
      </c>
      <c r="AZ42" s="234" t="n">
        <f aca="false">AY42+AZ41</f>
        <v>0</v>
      </c>
      <c r="BA42" s="234" t="n">
        <f aca="false">AZ42+BA41</f>
        <v>0</v>
      </c>
      <c r="BB42" s="234" t="n">
        <f aca="false">BA42+BB41</f>
        <v>0</v>
      </c>
      <c r="BC42" s="234" t="n">
        <f aca="false">BB42+BC41</f>
        <v>0</v>
      </c>
      <c r="BD42" s="234" t="n">
        <f aca="false">BC42+BD41</f>
        <v>0</v>
      </c>
      <c r="BE42" s="234" t="n">
        <f aca="false">BD42+BE41</f>
        <v>0</v>
      </c>
      <c r="BF42" s="234" t="n">
        <f aca="false">BE42+BF41</f>
        <v>0</v>
      </c>
      <c r="BG42" s="234" t="n">
        <f aca="false">BF42+BG41</f>
        <v>0</v>
      </c>
      <c r="BH42" s="234" t="n">
        <f aca="false">BG42+BH41</f>
        <v>0</v>
      </c>
      <c r="BI42" s="234" t="n">
        <f aca="false">BH42+BI41</f>
        <v>0</v>
      </c>
      <c r="BJ42" s="234" t="n">
        <f aca="false">BI42+BJ41</f>
        <v>0</v>
      </c>
      <c r="BK42" s="234" t="n">
        <f aca="false">BJ42+BK41</f>
        <v>0</v>
      </c>
      <c r="BL42" s="234" t="n">
        <f aca="false">BK42+BL41</f>
        <v>0</v>
      </c>
      <c r="BM42" s="234" t="n">
        <f aca="false">BL42+BM41</f>
        <v>0</v>
      </c>
      <c r="BN42" s="234" t="n">
        <f aca="false">BM42+BN41</f>
        <v>0</v>
      </c>
      <c r="BO42" s="234" t="n">
        <f aca="false">BN42+BO41</f>
        <v>0</v>
      </c>
      <c r="BP42" s="234" t="n">
        <f aca="false">BO42+BP41</f>
        <v>0</v>
      </c>
      <c r="BQ42" s="234" t="n">
        <f aca="false">BP42+BQ41</f>
        <v>0</v>
      </c>
      <c r="BR42" s="234" t="n">
        <f aca="false">BQ42+BR41</f>
        <v>0</v>
      </c>
      <c r="BS42" s="234" t="n">
        <f aca="false">BR42+BS41</f>
        <v>0</v>
      </c>
      <c r="BT42" s="234" t="n">
        <f aca="false">BS42+BT41</f>
        <v>0</v>
      </c>
      <c r="BU42" s="234" t="n">
        <f aca="false">BT42+BU41</f>
        <v>0</v>
      </c>
      <c r="BV42" s="234" t="n">
        <f aca="false">BU42+BV41</f>
        <v>0</v>
      </c>
      <c r="BW42" s="234" t="n">
        <f aca="false">BV42+BW41</f>
        <v>0</v>
      </c>
      <c r="BX42" s="234" t="n">
        <f aca="false">BW42+BX41</f>
        <v>0</v>
      </c>
      <c r="BY42" s="234" t="n">
        <f aca="false">BX42+BY41</f>
        <v>-73156</v>
      </c>
      <c r="BZ42" s="234" t="n">
        <f aca="false">BY42+BZ41</f>
        <v>-73156</v>
      </c>
      <c r="CA42" s="234" t="n">
        <f aca="false">BZ42+CA41</f>
        <v>-73156</v>
      </c>
      <c r="CB42" s="234" t="n">
        <f aca="false">CA42+CB41</f>
        <v>-146311</v>
      </c>
      <c r="CC42" s="234" t="n">
        <f aca="false">CB42+CC41</f>
        <v>-146311</v>
      </c>
      <c r="CD42" s="234" t="n">
        <f aca="false">CC42+CD41</f>
        <v>-146311</v>
      </c>
      <c r="CE42" s="234" t="n">
        <f aca="false">CD42+CE41</f>
        <v>-219466</v>
      </c>
      <c r="CF42" s="234" t="n">
        <f aca="false">CE42+CF41</f>
        <v>-219466</v>
      </c>
      <c r="CG42" s="234" t="n">
        <f aca="false">CF42+CG41</f>
        <v>-219466</v>
      </c>
      <c r="CH42" s="234"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759</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32" t="s">
        <v>760</v>
      </c>
      <c r="B45" s="232"/>
      <c r="C45" s="233" t="n">
        <f aca="false">C5+C10+C16+C22+C28+C35+C41</f>
        <v>33281.25</v>
      </c>
      <c r="D45" s="233" t="n">
        <f aca="false">D5+D10+D16+D22+D28+D35+D41</f>
        <v>33281.25</v>
      </c>
      <c r="E45" s="233" t="n">
        <f aca="false">E5+E10+E16+E22+E28+E35+E41</f>
        <v>33281.25</v>
      </c>
      <c r="F45" s="233" t="n">
        <f aca="false">F5+F10+F16+F22+F28+F35+F41</f>
        <v>33281.25</v>
      </c>
      <c r="G45" s="233" t="n">
        <f aca="false">G5+G10+G16+G22+G28+G35+G41</f>
        <v>160795.25</v>
      </c>
      <c r="H45" s="233" t="n">
        <f aca="false">H5+H10+H16+H22+H28+H35+H41</f>
        <v>33281.25</v>
      </c>
      <c r="I45" s="233" t="n">
        <f aca="false">I5+I10+I16+I22+I28+I35+I41</f>
        <v>33281.25</v>
      </c>
      <c r="J45" s="233" t="n">
        <f aca="false">J5+J10+J16+J22+J28+J35+J41</f>
        <v>23906.25</v>
      </c>
      <c r="K45" s="233" t="n">
        <f aca="false">K5+K10+K16+K22+K28+K35+K41</f>
        <v>23906.25</v>
      </c>
      <c r="L45" s="233" t="n">
        <f aca="false">L5+L10+L16+L22+L28+L35+L41</f>
        <v>-108387.855263158</v>
      </c>
      <c r="M45" s="233" t="n">
        <f aca="false">M5+M10+M16+M22+M28+M35+M41</f>
        <v>-125548.960526316</v>
      </c>
      <c r="N45" s="233" t="n">
        <f aca="false">N5+N10+N16+N22+N28+N35+N41</f>
        <v>30222.0394736842</v>
      </c>
      <c r="O45" s="233" t="n">
        <f aca="false">O5+O10+O16+O22+O28+O35+O41</f>
        <v>30222.0394736842</v>
      </c>
      <c r="P45" s="233" t="n">
        <f aca="false">P5+P10+P16+P22+P28+P35+P41</f>
        <v>30222.0394736842</v>
      </c>
      <c r="Q45" s="233" t="n">
        <f aca="false">Q5+Q10+Q16+Q22+Q28+Q35+Q41</f>
        <v>30222.0394736842</v>
      </c>
      <c r="R45" s="233" t="n">
        <f aca="false">R5+R10+R16+R22+R28+R35+R41</f>
        <v>6315.78947368421</v>
      </c>
      <c r="S45" s="233" t="n">
        <f aca="false">S5+S10+S16+S22+S28+S35+S41</f>
        <v>6315.78947368421</v>
      </c>
      <c r="T45" s="233" t="n">
        <f aca="false">T5+T10+T16+T22+T28+T35+T41</f>
        <v>6315.78947368421</v>
      </c>
      <c r="U45" s="233" t="n">
        <f aca="false">U5+U10+U16+U22+U28+U35+U41</f>
        <v>6315.78947368421</v>
      </c>
      <c r="V45" s="233" t="n">
        <f aca="false">V5+V10+V16+V22+V28+V35+V41</f>
        <v>6315.78947368421</v>
      </c>
      <c r="W45" s="233" t="n">
        <f aca="false">W5+W10+W16+W22+W28+W35+W41</f>
        <v>63690.7894736842</v>
      </c>
      <c r="X45" s="233" t="n">
        <f aca="false">X5+X10+X16+X22+X28+X35+X41</f>
        <v>6315.78947368421</v>
      </c>
      <c r="Y45" s="233" t="n">
        <f aca="false">Y5+Y10+Y16+Y22+Y28+Y35+Y41</f>
        <v>6315.78947368421</v>
      </c>
      <c r="Z45" s="233" t="n">
        <f aca="false">Z5+Z10+Z16+Z22+Z28+Z35+Z41</f>
        <v>63690.7894736842</v>
      </c>
      <c r="AA45" s="233" t="n">
        <f aca="false">AA5+AA10+AA16+AA22+AA28+AA35+AA41</f>
        <v>6315.78947368421</v>
      </c>
      <c r="AB45" s="233" t="n">
        <f aca="false">AB5+AB10+AB16+AB22+AB28+AB35+AB41</f>
        <v>6315.78947368421</v>
      </c>
      <c r="AC45" s="233" t="n">
        <f aca="false">AC5+AC10+AC16+AC22+AC28+AC35+AC41</f>
        <v>63690.7894736842</v>
      </c>
      <c r="AD45" s="233" t="n">
        <f aca="false">AD5+AD10+AD16+AD22+AD28+AD35+AD41</f>
        <v>6315.78947368421</v>
      </c>
      <c r="AE45" s="233" t="n">
        <f aca="false">AE5+AE10+AE16+AE22+AE28+AE35+AE41</f>
        <v>3157.89473684211</v>
      </c>
      <c r="AF45" s="233" t="n">
        <f aca="false">AF5+AF10+AF16+AF22+AF28+AF35+AF41</f>
        <v>0</v>
      </c>
      <c r="AG45" s="233" t="n">
        <f aca="false">AG5+AG10+AG16+AG22+AG28+AG35+AG41</f>
        <v>0</v>
      </c>
      <c r="AH45" s="233" t="n">
        <f aca="false">AH5+AH10+AH16+AH22+AH28+AH35+AH41</f>
        <v>0</v>
      </c>
      <c r="AI45" s="233" t="n">
        <f aca="false">AI5+AI10+AI16+AI22+AI28+AI35+AI41</f>
        <v>0</v>
      </c>
      <c r="AJ45" s="233" t="n">
        <f aca="false">AJ5+AJ10+AJ16+AJ22+AJ28+AJ35+AJ41</f>
        <v>0</v>
      </c>
      <c r="AK45" s="233" t="n">
        <f aca="false">AK5+AK10+AK16+AK22+AK28+AK35+AK41</f>
        <v>0</v>
      </c>
      <c r="AL45" s="233" t="n">
        <f aca="false">AL5+AL10+AL16+AL22+AL28+AL35+AL41</f>
        <v>0</v>
      </c>
      <c r="AM45" s="233" t="n">
        <f aca="false">AM5+AM10+AM16+AM22+AM28+AM35+AM41</f>
        <v>0</v>
      </c>
      <c r="AN45" s="233" t="n">
        <f aca="false">AN5+AN10+AN16+AN22+AN28+AN35+AN41</f>
        <v>0</v>
      </c>
      <c r="AO45" s="233" t="n">
        <f aca="false">AO5+AO10+AO16+AO22+AO28+AO35+AO41</f>
        <v>0</v>
      </c>
      <c r="AP45" s="233" t="n">
        <f aca="false">AP5+AP10+AP16+AP22+AP28+AP35+AP41</f>
        <v>0</v>
      </c>
      <c r="AQ45" s="233" t="n">
        <f aca="false">AQ5+AQ10+AQ16+AQ22+AQ28+AQ35+AQ41</f>
        <v>0</v>
      </c>
      <c r="AR45" s="233" t="n">
        <f aca="false">AR5+AR10+AR16+AR22+AR28+AR35+AR41</f>
        <v>0</v>
      </c>
      <c r="AS45" s="233" t="n">
        <f aca="false">AS5+AS10+AS16+AS22+AS28+AS35+AS41</f>
        <v>0</v>
      </c>
      <c r="AT45" s="233" t="n">
        <f aca="false">AT5+AT10+AT16+AT22+AT28+AT35+AT41</f>
        <v>0</v>
      </c>
      <c r="AU45" s="233" t="n">
        <f aca="false">AU5+AU10+AU16+AU22+AU28+AU35+AU41</f>
        <v>0</v>
      </c>
      <c r="AV45" s="233" t="n">
        <f aca="false">AV5+AV10+AV16+AV22+AV28+AV35+AV41</f>
        <v>0</v>
      </c>
      <c r="AW45" s="233" t="n">
        <f aca="false">AW5+AW10+AW16+AW22+AW28+AW35+AW41</f>
        <v>0</v>
      </c>
      <c r="AX45" s="233" t="n">
        <f aca="false">AX5+AX10+AX16+AX22+AX28+AX35+AX41</f>
        <v>0</v>
      </c>
      <c r="AY45" s="233" t="n">
        <f aca="false">AY5+AY10+AY16+AY22+AY28+AY35+AY41</f>
        <v>0</v>
      </c>
      <c r="AZ45" s="233" t="n">
        <f aca="false">AZ5+AZ10+AZ16+AZ22+AZ28+AZ35+AZ41</f>
        <v>0</v>
      </c>
      <c r="BA45" s="233" t="n">
        <f aca="false">BA5+BA10+BA16+BA22+BA28+BA35+BA41</f>
        <v>0</v>
      </c>
      <c r="BB45" s="233" t="n">
        <f aca="false">BB5+BB10+BB16+BB22+BB28+BB35+BB41</f>
        <v>0</v>
      </c>
      <c r="BC45" s="233" t="n">
        <f aca="false">BC5+BC10+BC16+BC22+BC28+BC35+BC41</f>
        <v>0</v>
      </c>
      <c r="BD45" s="233" t="n">
        <f aca="false">BD5+BD10+BD16+BD22+BD28+BD35+BD41</f>
        <v>0</v>
      </c>
      <c r="BE45" s="233" t="n">
        <f aca="false">BE5+BE10+BE16+BE22+BE28+BE35+BE41</f>
        <v>0</v>
      </c>
      <c r="BF45" s="233" t="n">
        <f aca="false">BF5+BF10+BF16+BF22+BF28+BF35+BF41</f>
        <v>0</v>
      </c>
      <c r="BG45" s="233" t="n">
        <f aca="false">BG5+BG10+BG16+BG22+BG28+BG35+BG41</f>
        <v>0</v>
      </c>
      <c r="BH45" s="233" t="n">
        <f aca="false">BH5+BH10+BH16+BH22+BH28+BH35+BH41</f>
        <v>0</v>
      </c>
      <c r="BI45" s="233" t="n">
        <f aca="false">BI5+BI10+BI16+BI22+BI28+BI35+BI41</f>
        <v>0</v>
      </c>
      <c r="BJ45" s="233" t="n">
        <f aca="false">BJ5+BJ10+BJ16+BJ22+BJ28+BJ35+BJ41</f>
        <v>0</v>
      </c>
      <c r="BK45" s="233" t="n">
        <f aca="false">BK5+BK10+BK16+BK22+BK28+BK35+BK41</f>
        <v>0</v>
      </c>
      <c r="BL45" s="233" t="n">
        <f aca="false">BL5+BL10+BL16+BL22+BL28+BL35+BL41</f>
        <v>0</v>
      </c>
      <c r="BM45" s="233" t="n">
        <f aca="false">BM5+BM10+BM16+BM22+BM28+BM35+BM41</f>
        <v>0</v>
      </c>
      <c r="BN45" s="233" t="n">
        <f aca="false">BN5+BN10+BN16+BN22+BN28+BN35+BN41</f>
        <v>0</v>
      </c>
      <c r="BO45" s="233" t="n">
        <f aca="false">BO5+BO10+BO16+BO22+BO28+BO35+BO41</f>
        <v>0</v>
      </c>
      <c r="BP45" s="233" t="n">
        <f aca="false">BP5+BP10+BP16+BP22+BP28+BP35+BP41</f>
        <v>53250.35</v>
      </c>
      <c r="BQ45" s="233" t="n">
        <f aca="false">BQ5+BQ10+BQ16+BQ22+BQ28+BQ35+BQ41</f>
        <v>0</v>
      </c>
      <c r="BR45" s="233" t="n">
        <f aca="false">BR5+BR10+BR16+BR22+BR28+BR35+BR41</f>
        <v>0</v>
      </c>
      <c r="BS45" s="233" t="n">
        <f aca="false">BS5+BS10+BS16+BS22+BS28+BS35+BS41</f>
        <v>67762</v>
      </c>
      <c r="BT45" s="233" t="n">
        <f aca="false">BT5+BT10+BT16+BT22+BT28+BT35+BT41</f>
        <v>0</v>
      </c>
      <c r="BU45" s="233" t="n">
        <f aca="false">BU5+BU10+BU16+BU22+BU28+BU35+BU41</f>
        <v>0</v>
      </c>
      <c r="BV45" s="233" t="n">
        <f aca="false">BV5+BV10+BV16+BV22+BV28+BV35+BV41</f>
        <v>67762</v>
      </c>
      <c r="BW45" s="233" t="n">
        <f aca="false">BW5+BW10+BW16+BW22+BW28+BW35+BW41</f>
        <v>0</v>
      </c>
      <c r="BX45" s="233" t="n">
        <f aca="false">BX5+BX10+BX16+BX22+BX28+BX35+BX41</f>
        <v>0</v>
      </c>
      <c r="BY45" s="233" t="n">
        <f aca="false">BY5+BY10+BY16+BY22+BY28+BY35+BY41</f>
        <v>-5394</v>
      </c>
      <c r="BZ45" s="233" t="n">
        <f aca="false">BZ5+BZ10+BZ16+BZ22+BZ28+BZ35+BZ41</f>
        <v>0</v>
      </c>
      <c r="CA45" s="233" t="n">
        <f aca="false">CA5+CA10+CA16+CA22+CA28+CA35+CA41</f>
        <v>0</v>
      </c>
      <c r="CB45" s="233" t="n">
        <f aca="false">CB5+CB10+CB16+CB22+CB28+CB35+CB41</f>
        <v>3344</v>
      </c>
      <c r="CC45" s="233" t="n">
        <f aca="false">CC5+CC10+CC16+CC22+CC28+CC35+CC41</f>
        <v>0</v>
      </c>
      <c r="CD45" s="233" t="n">
        <f aca="false">CD5+CD10+CD16+CD22+CD28+CD35+CD41</f>
        <v>0</v>
      </c>
      <c r="CE45" s="233" t="n">
        <f aca="false">CE5+CE10+CE16+CE22+CE28+CE35+CE41</f>
        <v>3344</v>
      </c>
      <c r="CF45" s="233" t="n">
        <f aca="false">CF5+CF10+CF16+CF22+CF28+CF35+CF41</f>
        <v>0</v>
      </c>
      <c r="CG45" s="233" t="n">
        <f aca="false">CG5+CG10+CG16+CG22+CG28+CG35+CG41</f>
        <v>0</v>
      </c>
      <c r="CH45" s="233" t="n">
        <f aca="false">CH5+CH10+CH16+CH22+CH28+CH35+CH41</f>
        <v>9952.02660647922</v>
      </c>
    </row>
    <row r="46" customFormat="false" ht="15" hidden="false" customHeight="true" outlineLevel="0" collapsed="false">
      <c r="A46" s="2" t="s">
        <v>761</v>
      </c>
      <c r="B46" s="3"/>
      <c r="C46" s="234" t="n">
        <f aca="false">C45</f>
        <v>33281.25</v>
      </c>
      <c r="D46" s="234" t="n">
        <f aca="false">C46+D45</f>
        <v>66562.5</v>
      </c>
      <c r="E46" s="234" t="n">
        <f aca="false">D46+E45</f>
        <v>99843.75</v>
      </c>
      <c r="F46" s="234" t="n">
        <f aca="false">E46+F45</f>
        <v>133125</v>
      </c>
      <c r="G46" s="234" t="n">
        <f aca="false">F46+G45</f>
        <v>293920.25</v>
      </c>
      <c r="H46" s="234" t="n">
        <f aca="false">G46+H45</f>
        <v>327201.5</v>
      </c>
      <c r="I46" s="234" t="n">
        <f aca="false">H46+I45</f>
        <v>360482.75</v>
      </c>
      <c r="J46" s="234" t="n">
        <f aca="false">I46+J45</f>
        <v>384389</v>
      </c>
      <c r="K46" s="234" t="n">
        <f aca="false">J46+K45</f>
        <v>408295.25</v>
      </c>
      <c r="L46" s="234" t="n">
        <f aca="false">K46+L45</f>
        <v>299907.394736842</v>
      </c>
      <c r="M46" s="234" t="n">
        <f aca="false">L46+M45</f>
        <v>174358.434210526</v>
      </c>
      <c r="N46" s="234" t="n">
        <f aca="false">M46+N45</f>
        <v>204580.473684211</v>
      </c>
      <c r="O46" s="234" t="n">
        <f aca="false">N46+O45</f>
        <v>234802.513157895</v>
      </c>
      <c r="P46" s="234" t="n">
        <f aca="false">O46+P45</f>
        <v>265024.552631579</v>
      </c>
      <c r="Q46" s="234" t="n">
        <f aca="false">P46+Q45</f>
        <v>295246.592105263</v>
      </c>
      <c r="R46" s="234" t="n">
        <f aca="false">Q46+R45</f>
        <v>301562.381578947</v>
      </c>
      <c r="S46" s="234" t="n">
        <f aca="false">R46+S45</f>
        <v>307878.171052632</v>
      </c>
      <c r="T46" s="234" t="n">
        <f aca="false">S46+T45</f>
        <v>314193.960526316</v>
      </c>
      <c r="U46" s="234" t="n">
        <f aca="false">T46+U45</f>
        <v>320509.75</v>
      </c>
      <c r="V46" s="234" t="n">
        <f aca="false">U46+V45</f>
        <v>326825.539473684</v>
      </c>
      <c r="W46" s="234" t="n">
        <f aca="false">V46+W45</f>
        <v>390516.328947369</v>
      </c>
      <c r="X46" s="234" t="n">
        <f aca="false">W46+X45</f>
        <v>396832.118421053</v>
      </c>
      <c r="Y46" s="234" t="n">
        <f aca="false">X46+Y45</f>
        <v>403147.907894737</v>
      </c>
      <c r="Z46" s="234" t="n">
        <f aca="false">Y46+Z45</f>
        <v>466838.697368421</v>
      </c>
      <c r="AA46" s="234" t="n">
        <f aca="false">Z46+AA45</f>
        <v>473154.486842105</v>
      </c>
      <c r="AB46" s="234" t="n">
        <f aca="false">AA46+AB45</f>
        <v>479470.27631579</v>
      </c>
      <c r="AC46" s="234" t="n">
        <f aca="false">AB46+AC45</f>
        <v>543161.065789474</v>
      </c>
      <c r="AD46" s="234" t="n">
        <f aca="false">AC46+AD45</f>
        <v>549476.855263158</v>
      </c>
      <c r="AE46" s="234" t="n">
        <f aca="false">AD46+AE45</f>
        <v>552634.75</v>
      </c>
      <c r="AF46" s="234" t="n">
        <f aca="false">AE46+AF45</f>
        <v>552634.75</v>
      </c>
      <c r="AG46" s="234" t="n">
        <f aca="false">AF46+AG45</f>
        <v>552634.75</v>
      </c>
      <c r="AH46" s="234" t="n">
        <f aca="false">AG46+AH45</f>
        <v>552634.75</v>
      </c>
      <c r="AI46" s="234" t="n">
        <f aca="false">AH46+AI45</f>
        <v>552634.75</v>
      </c>
      <c r="AJ46" s="234" t="n">
        <f aca="false">AI46+AJ45</f>
        <v>552634.75</v>
      </c>
      <c r="AK46" s="234" t="n">
        <f aca="false">AJ46+AK45</f>
        <v>552634.75</v>
      </c>
      <c r="AL46" s="234" t="n">
        <f aca="false">AK46+AL45</f>
        <v>552634.75</v>
      </c>
      <c r="AM46" s="234" t="n">
        <f aca="false">AL46+AM45</f>
        <v>552634.75</v>
      </c>
      <c r="AN46" s="234" t="n">
        <f aca="false">AM46+AN45</f>
        <v>552634.75</v>
      </c>
      <c r="AO46" s="234" t="n">
        <f aca="false">AN46+AO45</f>
        <v>552634.75</v>
      </c>
      <c r="AP46" s="234" t="n">
        <f aca="false">AO46+AP45</f>
        <v>552634.75</v>
      </c>
      <c r="AQ46" s="234" t="n">
        <f aca="false">AP46+AQ45</f>
        <v>552634.75</v>
      </c>
      <c r="AR46" s="234" t="n">
        <f aca="false">AQ46+AR45</f>
        <v>552634.75</v>
      </c>
      <c r="AS46" s="234" t="n">
        <f aca="false">AR46+AS45</f>
        <v>552634.75</v>
      </c>
      <c r="AT46" s="234" t="n">
        <f aca="false">AS46+AT45</f>
        <v>552634.75</v>
      </c>
      <c r="AU46" s="234" t="n">
        <f aca="false">AT46+AU45</f>
        <v>552634.75</v>
      </c>
      <c r="AV46" s="234" t="n">
        <f aca="false">AU46+AV45</f>
        <v>552634.75</v>
      </c>
      <c r="AW46" s="234" t="n">
        <f aca="false">AV46+AW45</f>
        <v>552634.75</v>
      </c>
      <c r="AX46" s="234" t="n">
        <f aca="false">AW46+AX45</f>
        <v>552634.75</v>
      </c>
      <c r="AY46" s="234" t="n">
        <f aca="false">AX46+AY45</f>
        <v>552634.75</v>
      </c>
      <c r="AZ46" s="234" t="n">
        <f aca="false">AY46+AZ45</f>
        <v>552634.75</v>
      </c>
      <c r="BA46" s="234" t="n">
        <f aca="false">AZ46+BA45</f>
        <v>552634.75</v>
      </c>
      <c r="BB46" s="234" t="n">
        <f aca="false">BA46+BB45</f>
        <v>552634.75</v>
      </c>
      <c r="BC46" s="234" t="n">
        <f aca="false">BB46+BC45</f>
        <v>552634.75</v>
      </c>
      <c r="BD46" s="234" t="n">
        <f aca="false">BC46+BD45</f>
        <v>552634.75</v>
      </c>
      <c r="BE46" s="234" t="n">
        <f aca="false">BD46+BE45</f>
        <v>552634.75</v>
      </c>
      <c r="BF46" s="234" t="n">
        <f aca="false">BE46+BF45</f>
        <v>552634.75</v>
      </c>
      <c r="BG46" s="234" t="n">
        <f aca="false">BF46+BG45</f>
        <v>552634.75</v>
      </c>
      <c r="BH46" s="234" t="n">
        <f aca="false">BG46+BH45</f>
        <v>552634.75</v>
      </c>
      <c r="BI46" s="234" t="n">
        <f aca="false">BH46+BI45</f>
        <v>552634.75</v>
      </c>
      <c r="BJ46" s="234" t="n">
        <f aca="false">BI46+BJ45</f>
        <v>552634.75</v>
      </c>
      <c r="BK46" s="234" t="n">
        <f aca="false">BJ46+BK45</f>
        <v>552634.75</v>
      </c>
      <c r="BL46" s="234" t="n">
        <f aca="false">BK46+BL45</f>
        <v>552634.75</v>
      </c>
      <c r="BM46" s="234" t="n">
        <f aca="false">BL46+BM45</f>
        <v>552634.75</v>
      </c>
      <c r="BN46" s="234" t="n">
        <f aca="false">BM46+BN45</f>
        <v>552634.75</v>
      </c>
      <c r="BO46" s="234" t="n">
        <f aca="false">BN46+BO45</f>
        <v>552634.75</v>
      </c>
      <c r="BP46" s="234" t="n">
        <f aca="false">BO46+BP45</f>
        <v>605885.1</v>
      </c>
      <c r="BQ46" s="234" t="n">
        <f aca="false">BP46+BQ45</f>
        <v>605885.1</v>
      </c>
      <c r="BR46" s="234" t="n">
        <f aca="false">BQ46+BR45</f>
        <v>605885.1</v>
      </c>
      <c r="BS46" s="234" t="n">
        <f aca="false">BR46+BS45</f>
        <v>673647.1</v>
      </c>
      <c r="BT46" s="234" t="n">
        <f aca="false">BS46+BT45</f>
        <v>673647.1</v>
      </c>
      <c r="BU46" s="234" t="n">
        <f aca="false">BT46+BU45</f>
        <v>673647.1</v>
      </c>
      <c r="BV46" s="234" t="n">
        <f aca="false">BU46+BV45</f>
        <v>741409.1</v>
      </c>
      <c r="BW46" s="234" t="n">
        <f aca="false">BV46+BW45</f>
        <v>741409.1</v>
      </c>
      <c r="BX46" s="234" t="n">
        <f aca="false">BW46+BX45</f>
        <v>741409.1</v>
      </c>
      <c r="BY46" s="234" t="n">
        <f aca="false">BX46+BY45</f>
        <v>736015.1</v>
      </c>
      <c r="BZ46" s="234" t="n">
        <f aca="false">BY46+BZ45</f>
        <v>736015.1</v>
      </c>
      <c r="CA46" s="234" t="n">
        <f aca="false">BZ46+CA45</f>
        <v>736015.1</v>
      </c>
      <c r="CB46" s="234" t="n">
        <f aca="false">CA46+CB45</f>
        <v>739359.1</v>
      </c>
      <c r="CC46" s="234" t="n">
        <f aca="false">CB46+CC45</f>
        <v>739359.1</v>
      </c>
      <c r="CD46" s="234" t="n">
        <f aca="false">CC46+CD45</f>
        <v>739359.1</v>
      </c>
      <c r="CE46" s="234" t="n">
        <f aca="false">CD46+CE45</f>
        <v>742703.1</v>
      </c>
      <c r="CF46" s="234" t="n">
        <f aca="false">CE46+CF45</f>
        <v>742703.1</v>
      </c>
      <c r="CG46" s="234" t="n">
        <f aca="false">CF46+CG45</f>
        <v>742703.1</v>
      </c>
      <c r="CH46" s="234" t="n">
        <f aca="false">CG46+CH45</f>
        <v>752655.126606479</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762</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763</v>
      </c>
      <c r="B49" s="237"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764</v>
      </c>
      <c r="B50" s="237"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765</v>
      </c>
      <c r="B51" s="237"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766</v>
      </c>
      <c r="B52" s="237"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767</v>
      </c>
      <c r="B53" s="237"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768</v>
      </c>
      <c r="B54" s="237"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769</v>
      </c>
      <c r="B55" s="238" t="s">
        <v>770</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771</v>
      </c>
      <c r="B56" s="239"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772</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773</v>
      </c>
      <c r="B3" s="4"/>
      <c r="C3" s="4"/>
      <c r="D3" s="4"/>
      <c r="E3" s="4"/>
      <c r="F3" s="4"/>
      <c r="G3" s="4"/>
      <c r="H3" s="3"/>
      <c r="I3" s="3"/>
    </row>
    <row r="4" customFormat="false" ht="15" hidden="false" customHeight="true" outlineLevel="0" collapsed="false">
      <c r="A4" s="23" t="s">
        <v>774</v>
      </c>
      <c r="B4" s="23" t="s">
        <v>775</v>
      </c>
      <c r="C4" s="23" t="s">
        <v>776</v>
      </c>
      <c r="D4" s="23" t="s">
        <v>777</v>
      </c>
      <c r="E4" s="23" t="s">
        <v>778</v>
      </c>
      <c r="F4" s="23" t="s">
        <v>779</v>
      </c>
      <c r="G4" s="23" t="s">
        <v>780</v>
      </c>
      <c r="H4" s="3"/>
      <c r="I4" s="3"/>
    </row>
    <row r="5" customFormat="false" ht="15" hidden="false" customHeight="true" outlineLevel="0" collapsed="false">
      <c r="A5" s="79" t="s">
        <v>781</v>
      </c>
      <c r="B5" s="240" t="n">
        <f aca="false">Assumptions!B4</f>
        <v>0.06</v>
      </c>
      <c r="C5" s="241" t="n">
        <v>0.06</v>
      </c>
      <c r="D5" s="242" t="n">
        <v>0.04</v>
      </c>
      <c r="E5" s="242" t="n">
        <v>0.08</v>
      </c>
      <c r="F5" s="79" t="s">
        <v>782</v>
      </c>
      <c r="G5" s="69" t="s">
        <v>783</v>
      </c>
      <c r="H5" s="3"/>
      <c r="I5" s="3"/>
    </row>
    <row r="6" customFormat="false" ht="15" hidden="false" customHeight="true" outlineLevel="0" collapsed="false">
      <c r="A6" s="79" t="s">
        <v>784</v>
      </c>
      <c r="B6" s="240" t="n">
        <f aca="false">Assumptions!B5</f>
        <v>0.06</v>
      </c>
      <c r="C6" s="241" t="n">
        <v>0.06</v>
      </c>
      <c r="D6" s="242" t="n">
        <v>0.04</v>
      </c>
      <c r="E6" s="242" t="n">
        <v>0.08</v>
      </c>
      <c r="F6" s="79" t="s">
        <v>782</v>
      </c>
      <c r="G6" s="69" t="s">
        <v>783</v>
      </c>
      <c r="H6" s="3"/>
      <c r="I6" s="3"/>
    </row>
    <row r="7" customFormat="false" ht="15" hidden="false" customHeight="true" outlineLevel="0" collapsed="false">
      <c r="A7" s="79" t="s">
        <v>785</v>
      </c>
      <c r="B7" s="240" t="n">
        <f aca="false">Assumptions!B6</f>
        <v>0.02</v>
      </c>
      <c r="C7" s="241" t="n">
        <v>0.02</v>
      </c>
      <c r="D7" s="242" t="n">
        <v>0.01</v>
      </c>
      <c r="E7" s="242" t="n">
        <v>0.03</v>
      </c>
      <c r="F7" s="79" t="s">
        <v>782</v>
      </c>
      <c r="G7" s="69" t="s">
        <v>786</v>
      </c>
      <c r="H7" s="3"/>
      <c r="I7" s="3"/>
    </row>
    <row r="8" customFormat="false" ht="15" hidden="false" customHeight="true" outlineLevel="0" collapsed="false">
      <c r="A8" s="79"/>
      <c r="B8" s="240"/>
      <c r="C8" s="241"/>
      <c r="D8" s="242"/>
      <c r="E8" s="242"/>
      <c r="F8" s="79"/>
      <c r="G8" s="69"/>
      <c r="H8" s="3"/>
      <c r="I8" s="3"/>
    </row>
    <row r="9" customFormat="false" ht="15" hidden="false" customHeight="true" outlineLevel="0" collapsed="false">
      <c r="A9" s="79" t="s">
        <v>787</v>
      </c>
      <c r="B9" s="240" t="n">
        <f aca="false">Assumptions!B26</f>
        <v>0.02</v>
      </c>
      <c r="C9" s="241" t="n">
        <v>0.02</v>
      </c>
      <c r="D9" s="242" t="n">
        <v>0</v>
      </c>
      <c r="E9" s="242" t="n">
        <v>0.04</v>
      </c>
      <c r="F9" s="79" t="s">
        <v>782</v>
      </c>
      <c r="G9" s="69" t="s">
        <v>788</v>
      </c>
      <c r="H9" s="3"/>
      <c r="I9" s="3"/>
    </row>
    <row r="10" customFormat="false" ht="15" hidden="false" customHeight="true" outlineLevel="0" collapsed="false">
      <c r="A10" s="79" t="s">
        <v>789</v>
      </c>
      <c r="B10" s="240" t="n">
        <f aca="false">Assumptions!B15</f>
        <v>0.015</v>
      </c>
      <c r="C10" s="241" t="n">
        <v>0.015</v>
      </c>
      <c r="D10" s="242" t="n">
        <v>0.01</v>
      </c>
      <c r="E10" s="242" t="n">
        <v>0.02</v>
      </c>
      <c r="F10" s="79" t="s">
        <v>782</v>
      </c>
      <c r="G10" s="69" t="s">
        <v>790</v>
      </c>
      <c r="H10" s="3"/>
      <c r="I10" s="3"/>
    </row>
    <row r="11" customFormat="false" ht="15" hidden="false" customHeight="true" outlineLevel="0" collapsed="false">
      <c r="A11" s="79" t="s">
        <v>791</v>
      </c>
      <c r="B11" s="240" t="n">
        <f aca="false">Assumptions!B16</f>
        <v>0.0074</v>
      </c>
      <c r="C11" s="241" t="n">
        <v>0.0074</v>
      </c>
      <c r="D11" s="242" t="n">
        <v>0.005</v>
      </c>
      <c r="E11" s="242" t="n">
        <v>0.015</v>
      </c>
      <c r="F11" s="79" t="s">
        <v>782</v>
      </c>
      <c r="G11" s="69" t="s">
        <v>792</v>
      </c>
      <c r="H11" s="3"/>
      <c r="I11" s="3"/>
    </row>
    <row r="12" customFormat="false" ht="15" hidden="false" customHeight="true" outlineLevel="0" collapsed="false">
      <c r="A12" s="79" t="s">
        <v>793</v>
      </c>
      <c r="B12" s="240" t="n">
        <f aca="false">Assumptions!B17</f>
        <v>0.0325</v>
      </c>
      <c r="C12" s="241" t="n">
        <v>0.0325</v>
      </c>
      <c r="D12" s="242" t="n">
        <v>0.02</v>
      </c>
      <c r="E12" s="242" t="n">
        <v>0.05</v>
      </c>
      <c r="F12" s="79" t="s">
        <v>782</v>
      </c>
      <c r="G12" s="69" t="s">
        <v>794</v>
      </c>
      <c r="H12" s="3"/>
      <c r="I12" s="3"/>
    </row>
    <row r="13" customFormat="false" ht="15" hidden="false" customHeight="true" outlineLevel="0" collapsed="false">
      <c r="A13" s="79" t="s">
        <v>795</v>
      </c>
      <c r="B13" s="240" t="n">
        <f aca="false">Assumptions!B34</f>
        <v>0.15</v>
      </c>
      <c r="C13" s="241" t="n">
        <v>0.15</v>
      </c>
      <c r="D13" s="242" t="n">
        <v>0.1</v>
      </c>
      <c r="E13" s="242" t="n">
        <v>0.2</v>
      </c>
      <c r="F13" s="79" t="s">
        <v>782</v>
      </c>
      <c r="G13" s="69" t="s">
        <v>796</v>
      </c>
      <c r="H13" s="3"/>
      <c r="I13" s="3"/>
    </row>
    <row r="14" customFormat="false" ht="15" hidden="false" customHeight="true" outlineLevel="0" collapsed="false">
      <c r="A14" s="79" t="s">
        <v>797</v>
      </c>
      <c r="B14" s="231" t="n">
        <f aca="false">Assumptions!B36</f>
        <v>112000</v>
      </c>
      <c r="C14" s="243" t="n">
        <v>130000</v>
      </c>
      <c r="D14" s="244" t="n">
        <v>100000</v>
      </c>
      <c r="E14" s="244" t="n">
        <v>175000</v>
      </c>
      <c r="F14" s="79" t="s">
        <v>798</v>
      </c>
      <c r="G14" s="69" t="s">
        <v>799</v>
      </c>
      <c r="H14" s="3"/>
      <c r="I14" s="3"/>
    </row>
    <row r="15" customFormat="false" ht="15" hidden="false" customHeight="true" outlineLevel="0" collapsed="false">
      <c r="A15" s="79" t="s">
        <v>800</v>
      </c>
      <c r="B15" s="240" t="n">
        <f aca="false">Assumptions!B58</f>
        <v>0.15</v>
      </c>
      <c r="C15" s="241" t="n">
        <v>0.15</v>
      </c>
      <c r="D15" s="242" t="n">
        <v>0.1</v>
      </c>
      <c r="E15" s="242" t="n">
        <v>0.2</v>
      </c>
      <c r="F15" s="79" t="s">
        <v>782</v>
      </c>
      <c r="G15" s="69" t="s">
        <v>801</v>
      </c>
      <c r="H15" s="3"/>
      <c r="I15" s="3"/>
    </row>
    <row r="16" customFormat="false" ht="15" hidden="false" customHeight="true" outlineLevel="0" collapsed="false">
      <c r="A16" s="79" t="s">
        <v>802</v>
      </c>
      <c r="B16" s="240" t="n">
        <f aca="false">Assumptions!B47</f>
        <v>0.01</v>
      </c>
      <c r="C16" s="241" t="n">
        <v>0.01</v>
      </c>
      <c r="D16" s="242" t="n">
        <v>0.005</v>
      </c>
      <c r="E16" s="242" t="n">
        <v>0.02</v>
      </c>
      <c r="F16" s="79" t="s">
        <v>782</v>
      </c>
      <c r="G16" s="69" t="s">
        <v>803</v>
      </c>
      <c r="H16" s="3"/>
      <c r="I16" s="3"/>
    </row>
    <row r="17" customFormat="false" ht="15" hidden="false" customHeight="true" outlineLevel="0" collapsed="false">
      <c r="A17" s="79" t="s">
        <v>804</v>
      </c>
      <c r="B17" s="240" t="n">
        <f aca="false">Assumptions!B48</f>
        <v>0.03</v>
      </c>
      <c r="C17" s="241" t="n">
        <v>0.03</v>
      </c>
      <c r="D17" s="242" t="n">
        <v>0.02</v>
      </c>
      <c r="E17" s="242" t="n">
        <v>0.05</v>
      </c>
      <c r="F17" s="79" t="s">
        <v>782</v>
      </c>
      <c r="G17" s="69" t="s">
        <v>805</v>
      </c>
      <c r="H17" s="3"/>
      <c r="I17" s="3"/>
    </row>
    <row r="18" customFormat="false" ht="15" hidden="false" customHeight="true" outlineLevel="0" collapsed="false">
      <c r="A18" s="79" t="s">
        <v>806</v>
      </c>
      <c r="B18" s="245" t="n">
        <v>10</v>
      </c>
      <c r="C18" s="246" t="n">
        <v>10</v>
      </c>
      <c r="D18" s="247" t="n">
        <v>5</v>
      </c>
      <c r="E18" s="247" t="n">
        <v>15</v>
      </c>
      <c r="F18" s="79" t="s">
        <v>807</v>
      </c>
      <c r="G18" s="69" t="s">
        <v>808</v>
      </c>
      <c r="H18" s="3"/>
      <c r="I18" s="3"/>
    </row>
    <row r="19" customFormat="false" ht="15" hidden="false" customHeight="true" outlineLevel="0" collapsed="false">
      <c r="A19" s="79" t="s">
        <v>809</v>
      </c>
      <c r="B19" s="248" t="n">
        <v>18700</v>
      </c>
      <c r="C19" s="243" t="n">
        <v>18700</v>
      </c>
      <c r="D19" s="244" t="n">
        <v>15000</v>
      </c>
      <c r="E19" s="244" t="n">
        <v>25000</v>
      </c>
      <c r="F19" s="79" t="s">
        <v>798</v>
      </c>
      <c r="G19" s="69" t="s">
        <v>810</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811</v>
      </c>
      <c r="B22" s="4"/>
      <c r="C22" s="4"/>
      <c r="D22" s="4"/>
      <c r="E22" s="4"/>
      <c r="F22" s="4"/>
      <c r="G22" s="4"/>
      <c r="H22" s="3"/>
      <c r="I22" s="3"/>
    </row>
    <row r="23" customFormat="false" ht="15" hidden="false" customHeight="true" outlineLevel="0" collapsed="false">
      <c r="A23" s="23" t="s">
        <v>589</v>
      </c>
      <c r="B23" s="23" t="s">
        <v>595</v>
      </c>
      <c r="C23" s="23" t="s">
        <v>812</v>
      </c>
      <c r="D23" s="23" t="s">
        <v>600</v>
      </c>
      <c r="E23" s="23" t="s">
        <v>592</v>
      </c>
      <c r="F23" s="23" t="s">
        <v>813</v>
      </c>
      <c r="G23" s="23" t="s">
        <v>599</v>
      </c>
      <c r="H23" s="3"/>
      <c r="I23" s="3"/>
    </row>
    <row r="24" customFormat="false" ht="15" hidden="false" customHeight="true" outlineLevel="0" collapsed="false">
      <c r="A24" s="79" t="s">
        <v>7</v>
      </c>
      <c r="B24" s="249" t="str">
        <f aca="false">Projects!$G$2</f>
        <v>Yes</v>
      </c>
      <c r="C24" s="248" t="n">
        <v>5321971</v>
      </c>
      <c r="D24" s="79" t="s">
        <v>814</v>
      </c>
      <c r="E24" s="79" t="s">
        <v>815</v>
      </c>
      <c r="F24" s="79" t="s">
        <v>611</v>
      </c>
      <c r="G24" s="79" t="s">
        <v>611</v>
      </c>
      <c r="H24" s="3"/>
      <c r="I24" s="3"/>
    </row>
    <row r="25" customFormat="false" ht="15" hidden="false" customHeight="true" outlineLevel="0" collapsed="false">
      <c r="A25" s="79" t="s">
        <v>8</v>
      </c>
      <c r="B25" s="249" t="str">
        <f aca="false">Projects!$G$3</f>
        <v>Yes</v>
      </c>
      <c r="C25" s="248" t="n">
        <v>19982132</v>
      </c>
      <c r="D25" s="79" t="s">
        <v>814</v>
      </c>
      <c r="E25" s="79" t="s">
        <v>816</v>
      </c>
      <c r="F25" s="79" t="s">
        <v>611</v>
      </c>
      <c r="G25" s="79" t="s">
        <v>611</v>
      </c>
      <c r="H25" s="3"/>
      <c r="I25" s="3"/>
    </row>
    <row r="26" customFormat="false" ht="15" hidden="false" customHeight="true" outlineLevel="0" collapsed="false">
      <c r="A26" s="79" t="s">
        <v>9</v>
      </c>
      <c r="B26" s="249" t="str">
        <f aca="false">Projects!$G$4</f>
        <v>Yes</v>
      </c>
      <c r="C26" s="248" t="n">
        <v>11673185</v>
      </c>
      <c r="D26" s="79" t="s">
        <v>817</v>
      </c>
      <c r="E26" s="79" t="s">
        <v>818</v>
      </c>
      <c r="F26" s="79" t="s">
        <v>611</v>
      </c>
      <c r="G26" s="79" t="s">
        <v>612</v>
      </c>
      <c r="H26" s="3"/>
      <c r="I26" s="3"/>
    </row>
    <row r="27" customFormat="false" ht="15" hidden="false" customHeight="true" outlineLevel="0" collapsed="false">
      <c r="A27" s="79" t="s">
        <v>10</v>
      </c>
      <c r="B27" s="249" t="str">
        <f aca="false">Projects!$G$5</f>
        <v>Yes</v>
      </c>
      <c r="C27" s="248" t="n">
        <v>13492534</v>
      </c>
      <c r="D27" s="79" t="s">
        <v>817</v>
      </c>
      <c r="E27" s="79" t="s">
        <v>818</v>
      </c>
      <c r="F27" s="79" t="s">
        <v>611</v>
      </c>
      <c r="G27" s="79" t="s">
        <v>612</v>
      </c>
      <c r="H27" s="3"/>
      <c r="I27" s="3"/>
    </row>
    <row r="28" customFormat="false" ht="15" hidden="false" customHeight="true" outlineLevel="0" collapsed="false">
      <c r="A28" s="79" t="s">
        <v>11</v>
      </c>
      <c r="B28" s="249" t="str">
        <f aca="false">Projects!$G$6</f>
        <v>Yes</v>
      </c>
      <c r="C28" s="248" t="n">
        <v>4052747</v>
      </c>
      <c r="D28" s="79" t="s">
        <v>817</v>
      </c>
      <c r="E28" s="79" t="s">
        <v>819</v>
      </c>
      <c r="F28" s="79" t="s">
        <v>611</v>
      </c>
      <c r="G28" s="79" t="s">
        <v>612</v>
      </c>
      <c r="H28" s="3"/>
      <c r="I28" s="3"/>
    </row>
    <row r="29" customFormat="false" ht="15" hidden="false" customHeight="true" outlineLevel="0" collapsed="false">
      <c r="A29" s="79" t="s">
        <v>12</v>
      </c>
      <c r="B29" s="249" t="str">
        <f aca="false">Projects!$G$7</f>
        <v>Yes</v>
      </c>
      <c r="C29" s="248" t="n">
        <v>42794765</v>
      </c>
      <c r="D29" s="79" t="s">
        <v>814</v>
      </c>
      <c r="E29" s="79" t="s">
        <v>820</v>
      </c>
      <c r="F29" s="79" t="s">
        <v>612</v>
      </c>
      <c r="G29" s="79" t="s">
        <v>612</v>
      </c>
      <c r="H29" s="3"/>
      <c r="I29" s="3"/>
    </row>
    <row r="30" customFormat="false" ht="15" hidden="false" customHeight="true" outlineLevel="0" collapsed="false">
      <c r="A30" s="79" t="s">
        <v>13</v>
      </c>
      <c r="B30" s="249" t="str">
        <f aca="false">Projects!$G$8</f>
        <v>Yes</v>
      </c>
      <c r="C30" s="248" t="n">
        <v>12993776.05</v>
      </c>
      <c r="D30" s="79" t="s">
        <v>817</v>
      </c>
      <c r="E30" s="79" t="s">
        <v>819</v>
      </c>
      <c r="F30" s="79" t="s">
        <v>611</v>
      </c>
      <c r="G30" s="79" t="s">
        <v>612</v>
      </c>
      <c r="H30" s="3"/>
      <c r="I30" s="3"/>
    </row>
    <row r="31" customFormat="false" ht="15" hidden="false" customHeight="true" outlineLevel="0" collapsed="false">
      <c r="A31" s="79" t="s">
        <v>14</v>
      </c>
      <c r="B31" s="249" t="str">
        <f aca="false">Projects!$G$9</f>
        <v>Yes</v>
      </c>
      <c r="C31" s="248" t="n">
        <v>14337010.8</v>
      </c>
      <c r="D31" s="79" t="s">
        <v>817</v>
      </c>
      <c r="E31" s="79" t="s">
        <v>821</v>
      </c>
      <c r="F31" s="79" t="s">
        <v>611</v>
      </c>
      <c r="G31" s="79" t="s">
        <v>612</v>
      </c>
      <c r="H31" s="3"/>
      <c r="I31" s="3"/>
    </row>
    <row r="32" customFormat="false" ht="15" hidden="false" customHeight="true" outlineLevel="0" collapsed="false">
      <c r="A32" s="79" t="s">
        <v>15</v>
      </c>
      <c r="B32" s="249" t="str">
        <f aca="false">Projects!$G$10</f>
        <v>Yes</v>
      </c>
      <c r="C32" s="248" t="n">
        <v>21263405</v>
      </c>
      <c r="D32" s="79" t="s">
        <v>817</v>
      </c>
      <c r="E32" s="79" t="s">
        <v>819</v>
      </c>
      <c r="F32" s="79" t="s">
        <v>611</v>
      </c>
      <c r="G32" s="79" t="s">
        <v>612</v>
      </c>
      <c r="H32" s="3"/>
      <c r="I32" s="3"/>
    </row>
    <row r="33" customFormat="false" ht="15" hidden="false" customHeight="true" outlineLevel="0" collapsed="false">
      <c r="A33" s="79" t="s">
        <v>16</v>
      </c>
      <c r="B33" s="249" t="str">
        <f aca="false">Projects!$G$11</f>
        <v>Yes</v>
      </c>
      <c r="C33" s="248" t="n">
        <v>9577109</v>
      </c>
      <c r="D33" s="79" t="s">
        <v>814</v>
      </c>
      <c r="E33" s="79" t="s">
        <v>819</v>
      </c>
      <c r="F33" s="79" t="s">
        <v>612</v>
      </c>
      <c r="G33" s="79" t="s">
        <v>611</v>
      </c>
      <c r="H33" s="3"/>
      <c r="I33" s="3"/>
    </row>
    <row r="34" customFormat="false" ht="15" hidden="false" customHeight="true" outlineLevel="0" collapsed="false">
      <c r="A34" s="79" t="s">
        <v>17</v>
      </c>
      <c r="B34" s="249" t="str">
        <f aca="false">Projects!$G$12</f>
        <v>Yes</v>
      </c>
      <c r="C34" s="248" t="n">
        <v>7545203</v>
      </c>
      <c r="D34" s="79" t="s">
        <v>814</v>
      </c>
      <c r="E34" s="79" t="s">
        <v>819</v>
      </c>
      <c r="F34" s="79" t="s">
        <v>612</v>
      </c>
      <c r="G34" s="79" t="s">
        <v>611</v>
      </c>
      <c r="H34" s="3"/>
      <c r="I34" s="3"/>
    </row>
    <row r="35" customFormat="false" ht="15" hidden="false" customHeight="true" outlineLevel="0" collapsed="false">
      <c r="A35" s="79" t="s">
        <v>18</v>
      </c>
      <c r="B35" s="249" t="str">
        <f aca="false">Projects!$G$13</f>
        <v>Yes</v>
      </c>
      <c r="C35" s="248" t="n">
        <v>45266770</v>
      </c>
      <c r="D35" s="79" t="s">
        <v>814</v>
      </c>
      <c r="E35" s="79" t="s">
        <v>821</v>
      </c>
      <c r="F35" s="79" t="s">
        <v>612</v>
      </c>
      <c r="G35" s="79" t="s">
        <v>612</v>
      </c>
      <c r="H35" s="3"/>
      <c r="I35" s="3"/>
    </row>
    <row r="36" customFormat="false" ht="15" hidden="false" customHeight="true" outlineLevel="0" collapsed="false">
      <c r="A36" s="79" t="s">
        <v>19</v>
      </c>
      <c r="B36" s="249" t="str">
        <f aca="false">Projects!$G$14</f>
        <v>Yes</v>
      </c>
      <c r="C36" s="248" t="n">
        <v>41354632</v>
      </c>
      <c r="D36" s="79" t="s">
        <v>814</v>
      </c>
      <c r="E36" s="79" t="s">
        <v>821</v>
      </c>
      <c r="F36" s="79" t="s">
        <v>612</v>
      </c>
      <c r="G36" s="79" t="s">
        <v>612</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822</v>
      </c>
      <c r="B39" s="4"/>
      <c r="C39" s="4"/>
      <c r="D39" s="4"/>
      <c r="E39" s="4"/>
      <c r="F39" s="4"/>
      <c r="G39" s="4"/>
      <c r="H39" s="4"/>
      <c r="I39" s="4"/>
    </row>
    <row r="40" customFormat="false" ht="15" hidden="false" customHeight="true" outlineLevel="0" collapsed="false">
      <c r="A40" s="23" t="s">
        <v>823</v>
      </c>
      <c r="B40" s="250" t="s">
        <v>276</v>
      </c>
      <c r="C40" s="250" t="s">
        <v>277</v>
      </c>
      <c r="D40" s="250" t="s">
        <v>278</v>
      </c>
      <c r="E40" s="250" t="s">
        <v>279</v>
      </c>
      <c r="F40" s="250" t="s">
        <v>280</v>
      </c>
      <c r="G40" s="250" t="s">
        <v>281</v>
      </c>
      <c r="H40" s="250" t="s">
        <v>282</v>
      </c>
      <c r="I40" s="250" t="s">
        <v>283</v>
      </c>
    </row>
    <row r="41" customFormat="false" ht="15" hidden="false" customHeight="true" outlineLevel="0" collapsed="false">
      <c r="A41" s="232" t="s">
        <v>824</v>
      </c>
      <c r="B41" s="233" t="n">
        <f aca="false">'Annual Summary'!B7</f>
        <v>56270843.8809994</v>
      </c>
      <c r="C41" s="233" t="n">
        <f aca="false">'Annual Summary'!C7</f>
        <v>107112238.465346</v>
      </c>
      <c r="D41" s="233" t="n">
        <f aca="false">'Annual Summary'!D7</f>
        <v>133073042.474413</v>
      </c>
      <c r="E41" s="233" t="n">
        <f aca="false">'Annual Summary'!E7</f>
        <v>48427424.4846978</v>
      </c>
      <c r="F41" s="233" t="n">
        <f aca="false">'Annual Summary'!F7</f>
        <v>13258749.920152</v>
      </c>
      <c r="G41" s="233" t="n">
        <f aca="false">'Annual Summary'!G7</f>
        <v>0</v>
      </c>
      <c r="H41" s="233" t="n">
        <f aca="false">'Annual Summary'!H7</f>
        <v>0</v>
      </c>
      <c r="I41" s="233" t="n">
        <f aca="false">'Annual Summary'!I7</f>
        <v>0</v>
      </c>
    </row>
    <row r="42" customFormat="false" ht="15" hidden="false" customHeight="true" outlineLevel="0" collapsed="false">
      <c r="A42" s="251" t="s">
        <v>98</v>
      </c>
      <c r="B42" s="252" t="n">
        <f aca="false">'Annual Summary'!B22</f>
        <v>2006265.42569027</v>
      </c>
      <c r="C42" s="252" t="n">
        <f aca="false">'Annual Summary'!C22</f>
        <v>4738017.01603555</v>
      </c>
      <c r="D42" s="252" t="n">
        <f aca="false">'Annual Summary'!D22</f>
        <v>6869458.35406867</v>
      </c>
      <c r="E42" s="252" t="n">
        <f aca="false">'Annual Summary'!E22</f>
        <v>1631978.68991973</v>
      </c>
      <c r="F42" s="252" t="n">
        <f aca="false">'Annual Summary'!F22</f>
        <v>-3032644.65317004</v>
      </c>
      <c r="G42" s="252" t="n">
        <f aca="false">'Annual Summary'!G22</f>
        <v>-5107221.71733524</v>
      </c>
      <c r="H42" s="252" t="n">
        <f aca="false">'Annual Summary'!H22</f>
        <v>-5200434.15168195</v>
      </c>
      <c r="I42" s="252" t="n">
        <f aca="false">'Annual Summary'!I22</f>
        <v>-5295510.83471559</v>
      </c>
    </row>
    <row r="43" customFormat="false" ht="15" hidden="false" customHeight="true" outlineLevel="0" collapsed="false">
      <c r="A43" s="79" t="s">
        <v>825</v>
      </c>
      <c r="B43" s="240" t="n">
        <f aca="false">'Annual Summary'!B23</f>
        <v>0.0356537291307216</v>
      </c>
      <c r="C43" s="240" t="n">
        <f aca="false">'Annual Summary'!C23</f>
        <v>0.0442341331291328</v>
      </c>
      <c r="D43" s="240" t="n">
        <f aca="false">'Annual Summary'!D23</f>
        <v>0.0516217126048617</v>
      </c>
      <c r="E43" s="240" t="n">
        <f aca="false">'Annual Summary'!E23</f>
        <v>0.0336994731246839</v>
      </c>
      <c r="F43" s="240" t="n">
        <f aca="false">'Annual Summary'!F23</f>
        <v>-0.22872779646901</v>
      </c>
      <c r="G43" s="240" t="n">
        <f aca="false">'Annual Summary'!G23</f>
        <v>0</v>
      </c>
      <c r="H43" s="240" t="n">
        <f aca="false">'Annual Summary'!H23</f>
        <v>0</v>
      </c>
      <c r="I43" s="240"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32" t="s">
        <v>100</v>
      </c>
      <c r="B45" s="233" t="n">
        <f aca="false">'Annual Summary'!B25</f>
        <v>913272.31</v>
      </c>
      <c r="C45" s="233" t="n">
        <f aca="false">'Annual Summary'!C25</f>
        <v>387444.078947368</v>
      </c>
      <c r="D45" s="233" t="n">
        <f aca="false">'Annual Summary'!D25</f>
        <v>247618.421052632</v>
      </c>
      <c r="E45" s="233" t="n">
        <f aca="false">'Annual Summary'!E25</f>
        <v>163365</v>
      </c>
      <c r="F45" s="233" t="n">
        <f aca="false">'Annual Summary'!F25</f>
        <v>1276957</v>
      </c>
      <c r="G45" s="233" t="n">
        <f aca="false">'Annual Summary'!G25</f>
        <v>546560</v>
      </c>
      <c r="H45" s="233" t="n">
        <f aca="false">'Annual Summary'!H25</f>
        <v>819993</v>
      </c>
      <c r="I45" s="233" t="n">
        <f aca="false">'Annual Summary'!I25</f>
        <v>2310160</v>
      </c>
    </row>
    <row r="46" customFormat="false" ht="15" hidden="false" customHeight="true" outlineLevel="0" collapsed="false">
      <c r="A46" s="251" t="s">
        <v>140</v>
      </c>
      <c r="B46" s="252" t="n">
        <f aca="false">'Annual Summary'!B27</f>
        <v>-1518455.34</v>
      </c>
      <c r="C46" s="252" t="n">
        <f aca="false">'Annual Summary'!C27</f>
        <v>-1974793.86105263</v>
      </c>
      <c r="D46" s="252" t="n">
        <f aca="false">'Annual Summary'!D27</f>
        <v>-2148826.15774737</v>
      </c>
      <c r="E46" s="252" t="n">
        <f aca="false">'Annual Summary'!E27</f>
        <v>-2440260.350376</v>
      </c>
      <c r="F46" s="252" t="n">
        <f aca="false">'Annual Summary'!F27</f>
        <v>-2484952.43738352</v>
      </c>
      <c r="G46" s="252" t="n">
        <f aca="false">'Annual Summary'!G27</f>
        <v>-2409526.01613119</v>
      </c>
      <c r="H46" s="252" t="n">
        <f aca="false">'Annual Summary'!H27</f>
        <v>-2288514.01345381</v>
      </c>
      <c r="I46" s="252" t="n">
        <f aca="false">'Annual Summary'!I27</f>
        <v>-1120607.58711641</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251" t="s">
        <v>151</v>
      </c>
      <c r="B48" s="252" t="n">
        <f aca="false">'Annual Summary'!B30</f>
        <v>491134.274340273</v>
      </c>
      <c r="C48" s="252" t="n">
        <f aca="false">'Annual Summary'!C30</f>
        <v>2764138.53801592</v>
      </c>
      <c r="D48" s="252" t="n">
        <f aca="false">'Annual Summary'!D30</f>
        <v>4720632.1963213</v>
      </c>
      <c r="E48" s="252" t="n">
        <f aca="false">'Annual Summary'!E30</f>
        <v>-808281.660456267</v>
      </c>
      <c r="F48" s="252" t="n">
        <f aca="false">'Annual Summary'!F30</f>
        <v>-5517597.09055356</v>
      </c>
      <c r="G48" s="252" t="n">
        <f aca="false">'Annual Summary'!G30</f>
        <v>-7516747.73346643</v>
      </c>
      <c r="H48" s="252" t="n">
        <f aca="false">'Annual Summary'!H30</f>
        <v>-7488948.16513576</v>
      </c>
      <c r="I48" s="252" t="n">
        <f aca="false">'Annual Summary'!I30</f>
        <v>-6416118.421832</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53" t="s">
        <v>826</v>
      </c>
      <c r="B50" s="254" t="n">
        <f aca="false">'Annual Summary'!B52</f>
        <v>2154079.30210215</v>
      </c>
      <c r="C50" s="254" t="n">
        <f aca="false">'Annual Summary'!C52</f>
        <v>1458833.04559731</v>
      </c>
      <c r="D50" s="254" t="n">
        <f aca="false">'Annual Summary'!D52</f>
        <v>3467386.80276313</v>
      </c>
      <c r="E50" s="254" t="n">
        <f aca="false">'Annual Summary'!E52</f>
        <v>1049746.29070024</v>
      </c>
      <c r="F50" s="254" t="n">
        <f aca="false">'Annual Summary'!F52</f>
        <v>-4160414.50015963</v>
      </c>
      <c r="G50" s="254" t="n">
        <f aca="false">'Annual Summary'!G52</f>
        <v>-11677162.2336261</v>
      </c>
      <c r="H50" s="254" t="n">
        <f aca="false">'Annual Summary'!H52</f>
        <v>-19166110.3987618</v>
      </c>
      <c r="I50" s="254" t="n">
        <f aca="false">'Annual Summary'!I52</f>
        <v>-25582228.8205939</v>
      </c>
    </row>
    <row r="51" customFormat="false" ht="15" hidden="false" customHeight="true" outlineLevel="0" collapsed="false">
      <c r="A51" s="253" t="s">
        <v>195</v>
      </c>
      <c r="B51" s="254" t="n">
        <f aca="false">'Annual Summary'!B49</f>
        <v>2335079.76345215</v>
      </c>
      <c r="C51" s="254" t="n">
        <f aca="false">'Annual Summary'!C49</f>
        <v>4420752.5249601</v>
      </c>
      <c r="D51" s="254" t="n">
        <f aca="false">'Annual Summary'!D49</f>
        <v>11562494.1244953</v>
      </c>
      <c r="E51" s="254" t="n">
        <f aca="false">'Annual Summary'!E49</f>
        <v>14503711.1656423</v>
      </c>
      <c r="F51" s="254" t="n">
        <f aca="false">'Annual Summary'!F49</f>
        <v>11778502.812166</v>
      </c>
      <c r="G51" s="254" t="n">
        <f aca="false">'Annual Summary'!G49</f>
        <v>6671281.09483074</v>
      </c>
      <c r="H51" s="254" t="n">
        <f aca="false">'Annual Summary'!H49</f>
        <v>1470846.9431488</v>
      </c>
      <c r="I51" s="254" t="n">
        <f aca="false">'Annual Summary'!I49</f>
        <v>-3824663.89156679</v>
      </c>
    </row>
    <row r="52" customFormat="false" ht="15" hidden="false" customHeight="true" outlineLevel="0" collapsed="false">
      <c r="A52" s="253" t="s">
        <v>312</v>
      </c>
      <c r="B52" s="254" t="n">
        <f aca="false">'Annual Summary'!B50</f>
        <v>-181000.46135</v>
      </c>
      <c r="C52" s="254" t="n">
        <f aca="false">'Annual Summary'!C50</f>
        <v>-2961919.47936279</v>
      </c>
      <c r="D52" s="254" t="n">
        <f aca="false">'Annual Summary'!D50</f>
        <v>-8095107.32173216</v>
      </c>
      <c r="E52" s="254" t="n">
        <f aca="false">'Annual Summary'!E50</f>
        <v>-13453964.8749421</v>
      </c>
      <c r="F52" s="254" t="n">
        <f aca="false">'Annual Summary'!F50</f>
        <v>-15938917.3123256</v>
      </c>
      <c r="G52" s="254" t="n">
        <f aca="false">'Annual Summary'!G50</f>
        <v>-18348443.3284568</v>
      </c>
      <c r="H52" s="254" t="n">
        <f aca="false">'Annual Summary'!H50</f>
        <v>-20636957.3419106</v>
      </c>
      <c r="I52" s="254" t="n">
        <f aca="false">'Annual Summary'!I50</f>
        <v>-21757564.9290271</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183</v>
      </c>
      <c r="B54" s="231" t="n">
        <f aca="false">'Annual Summary'!B47</f>
        <v>73141594.1403182</v>
      </c>
      <c r="C54" s="231" t="n">
        <f aca="false">'Annual Summary'!C47</f>
        <v>123836403.431</v>
      </c>
      <c r="D54" s="231" t="n">
        <f aca="false">'Annual Summary'!D47</f>
        <v>55038862.430782</v>
      </c>
      <c r="E54" s="231" t="n">
        <f aca="false">'Annual Summary'!E47</f>
        <v>13258584.501624</v>
      </c>
      <c r="F54" s="231" t="n">
        <f aca="false">'Annual Summary'!F47</f>
        <v>0</v>
      </c>
      <c r="G54" s="231" t="n">
        <f aca="false">'Annual Summary'!G47</f>
        <v>0</v>
      </c>
      <c r="H54" s="231" t="n">
        <f aca="false">'Annual Summary'!H47</f>
        <v>0</v>
      </c>
      <c r="I54" s="231" t="n">
        <f aca="false">'Annual Summary'!I47</f>
        <v>0</v>
      </c>
    </row>
    <row r="55" customFormat="false" ht="15" hidden="false" customHeight="true" outlineLevel="0" collapsed="false">
      <c r="A55" s="79" t="s">
        <v>827</v>
      </c>
      <c r="B55" s="231" t="n">
        <f aca="false">'Annual Summary'!B45</f>
        <v>2378399.92018311</v>
      </c>
      <c r="C55" s="231" t="n">
        <f aca="false">'Annual Summary'!C45</f>
        <v>1714451.09866009</v>
      </c>
      <c r="D55" s="231" t="n">
        <f aca="false">'Annual Summary'!D45</f>
        <v>1035128.51554915</v>
      </c>
      <c r="E55" s="231" t="n">
        <f aca="false">'Annual Summary'!E45</f>
        <v>1199352.08415979</v>
      </c>
      <c r="F55" s="231" t="n">
        <f aca="false">'Annual Summary'!F45</f>
        <v>975331.495449082</v>
      </c>
      <c r="G55" s="231" t="n">
        <f aca="false">'Annual Summary'!G45</f>
        <v>820735.28594806</v>
      </c>
      <c r="H55" s="231" t="n">
        <f aca="false">'Annual Summary'!H45</f>
        <v>621470.381107174</v>
      </c>
      <c r="I55" s="231" t="n">
        <f aca="false">'Annual Summary'!I45</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828</v>
      </c>
      <c r="B58" s="4"/>
      <c r="C58" s="4"/>
      <c r="D58" s="4"/>
      <c r="E58" s="4"/>
      <c r="F58" s="4"/>
      <c r="G58" s="4"/>
      <c r="H58" s="3"/>
      <c r="I58" s="3"/>
    </row>
    <row r="59" customFormat="false" ht="15" hidden="false" customHeight="true" outlineLevel="0" collapsed="false">
      <c r="A59" s="69" t="s">
        <v>829</v>
      </c>
      <c r="B59" s="3"/>
      <c r="C59" s="3"/>
      <c r="D59" s="3"/>
      <c r="E59" s="3"/>
      <c r="F59" s="3"/>
      <c r="G59" s="3"/>
      <c r="H59" s="3"/>
      <c r="I59" s="3"/>
    </row>
    <row r="60" customFormat="false" ht="15" hidden="false" customHeight="true" outlineLevel="0" collapsed="false">
      <c r="A60" s="255" t="s">
        <v>830</v>
      </c>
      <c r="B60" s="256" t="n">
        <v>0.07</v>
      </c>
      <c r="C60" s="256" t="n">
        <v>0.08</v>
      </c>
      <c r="D60" s="256" t="n">
        <v>0.092</v>
      </c>
      <c r="E60" s="256" t="n">
        <v>0.1</v>
      </c>
      <c r="F60" s="256" t="n">
        <v>0.12</v>
      </c>
      <c r="G60" s="3"/>
      <c r="H60" s="3"/>
      <c r="I60" s="3"/>
    </row>
    <row r="61" customFormat="false" ht="15" hidden="false" customHeight="true" outlineLevel="0" collapsed="false">
      <c r="A61" s="257" t="n">
        <v>0.1</v>
      </c>
      <c r="B61" s="244" t="n">
        <v>21535794</v>
      </c>
      <c r="C61" s="244" t="n">
        <v>21353287</v>
      </c>
      <c r="D61" s="244" t="n">
        <v>21138321</v>
      </c>
      <c r="E61" s="244" t="n">
        <v>20997399</v>
      </c>
      <c r="F61" s="244" t="n">
        <v>20653180</v>
      </c>
      <c r="G61" s="3"/>
      <c r="H61" s="3"/>
      <c r="I61" s="3"/>
    </row>
    <row r="62" customFormat="false" ht="15" hidden="false" customHeight="true" outlineLevel="0" collapsed="false">
      <c r="A62" s="257" t="n">
        <v>0.12</v>
      </c>
      <c r="B62" s="244" t="n">
        <v>25408618</v>
      </c>
      <c r="C62" s="244" t="n">
        <v>25196879</v>
      </c>
      <c r="D62" s="244" t="n">
        <v>24947405</v>
      </c>
      <c r="E62" s="244" t="n">
        <v>24783816</v>
      </c>
      <c r="F62" s="244" t="n">
        <v>24384077</v>
      </c>
      <c r="G62" s="3"/>
      <c r="H62" s="3"/>
      <c r="I62" s="3"/>
    </row>
    <row r="63" customFormat="false" ht="15" hidden="false" customHeight="true" outlineLevel="0" collapsed="false">
      <c r="A63" s="257" t="n">
        <v>0.14</v>
      </c>
      <c r="B63" s="244" t="n">
        <v>29153414</v>
      </c>
      <c r="C63" s="244" t="n">
        <v>28914451</v>
      </c>
      <c r="D63" s="258" t="n">
        <v>28632817</v>
      </c>
      <c r="E63" s="244" t="n">
        <v>28448089</v>
      </c>
      <c r="F63" s="244" t="n">
        <v>27996532</v>
      </c>
      <c r="G63" s="3"/>
      <c r="H63" s="3"/>
      <c r="I63" s="3"/>
    </row>
    <row r="64" customFormat="false" ht="15" hidden="false" customHeight="true" outlineLevel="0" collapsed="false">
      <c r="A64" s="257" t="n">
        <v>0.16</v>
      </c>
      <c r="B64" s="244" t="n">
        <v>32776428</v>
      </c>
      <c r="C64" s="244" t="n">
        <v>32512102</v>
      </c>
      <c r="D64" s="244" t="n">
        <v>32200484</v>
      </c>
      <c r="E64" s="244" t="n">
        <v>31996037</v>
      </c>
      <c r="F64" s="244" t="n">
        <v>31496099</v>
      </c>
      <c r="G64" s="3"/>
      <c r="H64" s="3"/>
      <c r="I64" s="3"/>
    </row>
    <row r="65" customFormat="false" ht="15" hidden="false" customHeight="true" outlineLevel="0" collapsed="false">
      <c r="A65" s="257" t="n">
        <v>0.18</v>
      </c>
      <c r="B65" s="244" t="n">
        <v>36283506</v>
      </c>
      <c r="C65" s="244" t="n">
        <v>35995542</v>
      </c>
      <c r="D65" s="244" t="n">
        <v>35655961</v>
      </c>
      <c r="E65" s="244" t="n">
        <v>35433111</v>
      </c>
      <c r="F65" s="244"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831</v>
      </c>
      <c r="B68" s="4"/>
      <c r="C68" s="4"/>
      <c r="D68" s="4"/>
      <c r="E68" s="4"/>
      <c r="F68" s="4"/>
      <c r="G68" s="3"/>
      <c r="H68" s="3"/>
      <c r="I68" s="3"/>
    </row>
    <row r="69" customFormat="false" ht="15" hidden="false" customHeight="true" outlineLevel="0" collapsed="false">
      <c r="A69" s="23" t="s">
        <v>832</v>
      </c>
      <c r="B69" s="23" t="s">
        <v>833</v>
      </c>
      <c r="C69" s="23" t="s">
        <v>834</v>
      </c>
      <c r="D69" s="23" t="s">
        <v>835</v>
      </c>
      <c r="E69" s="23" t="s">
        <v>836</v>
      </c>
      <c r="F69" s="23" t="s">
        <v>837</v>
      </c>
      <c r="G69" s="3"/>
      <c r="H69" s="3"/>
      <c r="I69" s="3"/>
    </row>
    <row r="70" customFormat="false" ht="15" hidden="false" customHeight="true" outlineLevel="0" collapsed="false">
      <c r="A70" s="79" t="s">
        <v>838</v>
      </c>
      <c r="B70" s="248" t="n">
        <f aca="false">'Annual Summary'!B49</f>
        <v>2335079.76345215</v>
      </c>
      <c r="C70" s="244" t="n">
        <f aca="false">'Annual Summary'!C49</f>
        <v>4420752.5249601</v>
      </c>
      <c r="D70" s="244" t="n">
        <f aca="false">'Annual Summary'!E49</f>
        <v>14503711.1656423</v>
      </c>
      <c r="E70" s="244" t="n">
        <f aca="false">'Annual Summary'!G49</f>
        <v>6671281.09483074</v>
      </c>
      <c r="F70" s="244" t="n">
        <f aca="false">'Annual Summary'!I49</f>
        <v>-3824663.89156679</v>
      </c>
      <c r="G70" s="3"/>
      <c r="H70" s="3"/>
      <c r="I70" s="3"/>
    </row>
    <row r="71" customFormat="false" ht="15" hidden="false" customHeight="true" outlineLevel="0" collapsed="false">
      <c r="A71" s="79" t="s">
        <v>839</v>
      </c>
      <c r="B71" s="248" t="n">
        <f aca="false">'Annual Summary'!B50</f>
        <v>-181000.46135</v>
      </c>
      <c r="C71" s="244" t="n">
        <f aca="false">'Annual Summary'!C50</f>
        <v>-2961919.47936279</v>
      </c>
      <c r="D71" s="244" t="n">
        <f aca="false">'Annual Summary'!E50</f>
        <v>-13453964.8749421</v>
      </c>
      <c r="E71" s="244" t="n">
        <f aca="false">'Annual Summary'!G50</f>
        <v>-18348443.3284568</v>
      </c>
      <c r="F71" s="244" t="n">
        <f aca="false">'Annual Summary'!I50</f>
        <v>-21757564.9290271</v>
      </c>
      <c r="G71" s="3"/>
      <c r="H71" s="3"/>
      <c r="I71" s="3"/>
    </row>
    <row r="72" customFormat="false" ht="15" hidden="false" customHeight="true" outlineLevel="0" collapsed="false">
      <c r="A72" s="253" t="s">
        <v>840</v>
      </c>
      <c r="B72" s="259" t="n">
        <f aca="false">'Annual Summary'!B52</f>
        <v>2154079.30210215</v>
      </c>
      <c r="C72" s="260" t="n">
        <f aca="false">'Annual Summary'!C52</f>
        <v>1458833.04559731</v>
      </c>
      <c r="D72" s="260" t="n">
        <f aca="false">'Annual Summary'!E52</f>
        <v>1049746.29070024</v>
      </c>
      <c r="E72" s="260" t="n">
        <f aca="false">'Annual Summary'!G52</f>
        <v>-11677162.2336261</v>
      </c>
      <c r="F72" s="260" t="n">
        <f aca="false">'Annual Summary'!I52</f>
        <v>-25582228.8205939</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841</v>
      </c>
      <c r="B75" s="4"/>
      <c r="C75" s="4"/>
      <c r="D75" s="4"/>
      <c r="E75" s="4"/>
      <c r="F75" s="4"/>
      <c r="G75" s="3"/>
      <c r="H75" s="3"/>
      <c r="I75" s="3"/>
    </row>
    <row r="76" customFormat="false" ht="15" hidden="false" customHeight="true" outlineLevel="0" collapsed="false">
      <c r="A76" s="23" t="s">
        <v>589</v>
      </c>
      <c r="B76" s="23" t="s">
        <v>842</v>
      </c>
      <c r="C76" s="23" t="s">
        <v>843</v>
      </c>
      <c r="D76" s="23" t="s">
        <v>844</v>
      </c>
      <c r="E76" s="23" t="s">
        <v>845</v>
      </c>
      <c r="F76" s="23" t="s">
        <v>846</v>
      </c>
      <c r="G76" s="3"/>
      <c r="H76" s="3"/>
      <c r="I76" s="3"/>
    </row>
    <row r="77" customFormat="false" ht="15" hidden="false" customHeight="true" outlineLevel="0" collapsed="false">
      <c r="A77" s="79" t="s">
        <v>16</v>
      </c>
      <c r="B77" s="236" t="n">
        <v>95771</v>
      </c>
      <c r="C77" s="236" t="n">
        <v>60000</v>
      </c>
      <c r="D77" s="236" t="n">
        <v>0</v>
      </c>
      <c r="E77" s="234" t="n">
        <v>155771</v>
      </c>
      <c r="F77" s="69" t="s">
        <v>847</v>
      </c>
      <c r="G77" s="3"/>
      <c r="H77" s="3"/>
      <c r="I77" s="3"/>
    </row>
    <row r="78" customFormat="false" ht="15" hidden="false" customHeight="true" outlineLevel="0" collapsed="false">
      <c r="A78" s="79" t="s">
        <v>17</v>
      </c>
      <c r="B78" s="236" t="n">
        <v>75452</v>
      </c>
      <c r="C78" s="236" t="n">
        <v>60000</v>
      </c>
      <c r="D78" s="236" t="n">
        <v>0</v>
      </c>
      <c r="E78" s="234" t="n">
        <v>135452</v>
      </c>
      <c r="F78" s="69" t="s">
        <v>847</v>
      </c>
      <c r="G78" s="3"/>
      <c r="H78" s="3"/>
      <c r="I78" s="3"/>
    </row>
    <row r="79" customFormat="false" ht="15" hidden="false" customHeight="true" outlineLevel="0" collapsed="false">
      <c r="A79" s="79" t="s">
        <v>12</v>
      </c>
      <c r="B79" s="236" t="n">
        <v>579684</v>
      </c>
      <c r="C79" s="236" t="n">
        <v>150000</v>
      </c>
      <c r="D79" s="236" t="n">
        <v>0</v>
      </c>
      <c r="E79" s="234" t="n">
        <v>729684</v>
      </c>
      <c r="F79" s="69" t="s">
        <v>848</v>
      </c>
      <c r="G79" s="3"/>
      <c r="H79" s="3"/>
      <c r="I79" s="3"/>
    </row>
    <row r="80" customFormat="false" ht="15" hidden="false" customHeight="true" outlineLevel="0" collapsed="false">
      <c r="A80" s="79" t="s">
        <v>18</v>
      </c>
      <c r="B80" s="236" t="n">
        <v>602668</v>
      </c>
      <c r="C80" s="236" t="n">
        <v>150000</v>
      </c>
      <c r="D80" s="236" t="n">
        <v>1450000</v>
      </c>
      <c r="E80" s="234" t="n">
        <v>752668</v>
      </c>
      <c r="F80" s="69" t="s">
        <v>848</v>
      </c>
      <c r="G80" s="3"/>
      <c r="H80" s="3"/>
      <c r="I80" s="3"/>
    </row>
    <row r="81" customFormat="false" ht="15" hidden="false" customHeight="true" outlineLevel="0" collapsed="false">
      <c r="A81" s="79" t="s">
        <v>19</v>
      </c>
      <c r="B81" s="236" t="n">
        <v>563546</v>
      </c>
      <c r="C81" s="236" t="n">
        <v>150000</v>
      </c>
      <c r="D81" s="236" t="n">
        <v>0</v>
      </c>
      <c r="E81" s="234" t="n">
        <v>713546</v>
      </c>
      <c r="F81" s="69" t="s">
        <v>849</v>
      </c>
      <c r="G81" s="3"/>
      <c r="H81" s="3"/>
      <c r="I81" s="3"/>
    </row>
    <row r="82" customFormat="false" ht="15" hidden="false" customHeight="true" outlineLevel="0" collapsed="false">
      <c r="A82" s="232" t="s">
        <v>578</v>
      </c>
      <c r="B82" s="233" t="n">
        <v>1917121</v>
      </c>
      <c r="C82" s="233" t="n">
        <v>570000</v>
      </c>
      <c r="D82" s="233" t="n">
        <v>1450000</v>
      </c>
      <c r="E82" s="233" t="n">
        <v>2487121</v>
      </c>
      <c r="F82" s="232"/>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850</v>
      </c>
      <c r="B85" s="4"/>
      <c r="C85" s="4"/>
      <c r="D85" s="4"/>
      <c r="E85" s="4"/>
      <c r="F85" s="4"/>
      <c r="G85" s="4"/>
      <c r="H85" s="3"/>
      <c r="I85" s="3"/>
    </row>
    <row r="86" customFormat="false" ht="15" hidden="false" customHeight="true" outlineLevel="0" collapsed="false">
      <c r="A86" s="79" t="s">
        <v>851</v>
      </c>
      <c r="B86" s="248" t="n">
        <v>86621402</v>
      </c>
      <c r="C86" s="3"/>
      <c r="D86" s="3"/>
      <c r="E86" s="3"/>
      <c r="F86" s="3"/>
      <c r="G86" s="3"/>
      <c r="H86" s="3"/>
      <c r="I86" s="3"/>
    </row>
    <row r="87" customFormat="false" ht="15" hidden="false" customHeight="true" outlineLevel="0" collapsed="false">
      <c r="A87" s="79" t="s">
        <v>852</v>
      </c>
      <c r="B87" s="261" t="n">
        <v>0.0325</v>
      </c>
      <c r="C87" s="3"/>
      <c r="D87" s="3"/>
      <c r="E87" s="3"/>
      <c r="F87" s="3"/>
      <c r="G87" s="3"/>
      <c r="H87" s="3"/>
      <c r="I87" s="3"/>
    </row>
    <row r="88" customFormat="false" ht="15" hidden="false" customHeight="true" outlineLevel="0" collapsed="false">
      <c r="A88" s="79" t="s">
        <v>853</v>
      </c>
      <c r="B88" s="241" t="n">
        <v>0.015</v>
      </c>
      <c r="C88" s="3"/>
      <c r="D88" s="3"/>
      <c r="E88" s="3"/>
      <c r="F88" s="3"/>
      <c r="G88" s="3"/>
      <c r="H88" s="3"/>
      <c r="I88" s="3"/>
    </row>
    <row r="89" customFormat="false" ht="15" hidden="false" customHeight="true" outlineLevel="0" collapsed="false">
      <c r="A89" s="23"/>
      <c r="B89" s="23" t="s">
        <v>276</v>
      </c>
      <c r="C89" s="23" t="s">
        <v>277</v>
      </c>
      <c r="D89" s="23" t="s">
        <v>278</v>
      </c>
      <c r="E89" s="23" t="s">
        <v>279</v>
      </c>
      <c r="F89" s="23" t="s">
        <v>489</v>
      </c>
      <c r="G89" s="3"/>
      <c r="H89" s="3"/>
      <c r="I89" s="3"/>
    </row>
    <row r="90" customFormat="false" ht="15" hidden="false" customHeight="true" outlineLevel="0" collapsed="false">
      <c r="A90" s="235" t="s">
        <v>854</v>
      </c>
      <c r="B90" s="236" t="n">
        <v>0</v>
      </c>
      <c r="C90" s="236" t="n">
        <v>-956261</v>
      </c>
      <c r="D90" s="236" t="n">
        <v>-1465718</v>
      </c>
      <c r="E90" s="236" t="n">
        <v>-967911</v>
      </c>
      <c r="F90" s="236" t="n">
        <v>-3389890</v>
      </c>
      <c r="G90" s="3"/>
      <c r="H90" s="3"/>
      <c r="I90" s="3"/>
    </row>
    <row r="91" customFormat="false" ht="15" hidden="false" customHeight="true" outlineLevel="0" collapsed="false">
      <c r="A91" s="249" t="s">
        <v>855</v>
      </c>
      <c r="B91" s="231" t="n">
        <v>0</v>
      </c>
      <c r="C91" s="231" t="n">
        <v>-441351</v>
      </c>
      <c r="D91" s="231" t="n">
        <v>-676485</v>
      </c>
      <c r="E91" s="231" t="n">
        <v>-446728</v>
      </c>
      <c r="F91" s="231" t="n">
        <v>-1564564</v>
      </c>
      <c r="G91" s="3"/>
      <c r="H91" s="3"/>
      <c r="I91" s="3"/>
    </row>
    <row r="92" customFormat="false" ht="15" hidden="false" customHeight="true" outlineLevel="0" collapsed="false">
      <c r="A92" s="232" t="s">
        <v>856</v>
      </c>
      <c r="B92" s="233" t="n">
        <v>0</v>
      </c>
      <c r="C92" s="233" t="n">
        <v>514910</v>
      </c>
      <c r="D92" s="233" t="n">
        <v>789233</v>
      </c>
      <c r="E92" s="233" t="n">
        <v>521183</v>
      </c>
      <c r="F92" s="233"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857</v>
      </c>
      <c r="B95" s="4"/>
      <c r="C95" s="4"/>
      <c r="D95" s="4"/>
      <c r="E95" s="4"/>
      <c r="F95" s="4"/>
      <c r="G95" s="4"/>
      <c r="H95" s="3"/>
      <c r="I95" s="3"/>
    </row>
    <row r="96" customFormat="false" ht="15" hidden="false" customHeight="true" outlineLevel="0" collapsed="false">
      <c r="A96" s="69" t="s">
        <v>858</v>
      </c>
      <c r="B96" s="3"/>
      <c r="C96" s="3"/>
      <c r="D96" s="3"/>
      <c r="E96" s="3"/>
      <c r="F96" s="3"/>
      <c r="G96" s="3"/>
      <c r="H96" s="3"/>
      <c r="I96" s="3"/>
    </row>
    <row r="97" customFormat="false" ht="15" hidden="false" customHeight="true" outlineLevel="0" collapsed="false">
      <c r="A97" s="23"/>
      <c r="B97" s="23" t="s">
        <v>276</v>
      </c>
      <c r="C97" s="23" t="s">
        <v>277</v>
      </c>
      <c r="D97" s="23" t="s">
        <v>278</v>
      </c>
      <c r="E97" s="23" t="s">
        <v>279</v>
      </c>
      <c r="F97" s="3"/>
      <c r="G97" s="3"/>
      <c r="H97" s="3"/>
      <c r="I97" s="3"/>
    </row>
    <row r="98" customFormat="false" ht="15" hidden="false" customHeight="true" outlineLevel="0" collapsed="false">
      <c r="A98" s="79" t="s">
        <v>859</v>
      </c>
      <c r="B98" s="244" t="n">
        <f aca="false">'Annual Summary'!B47</f>
        <v>73141594.1403182</v>
      </c>
      <c r="C98" s="244" t="n">
        <f aca="false">'Annual Summary'!C47</f>
        <v>123836403.431</v>
      </c>
      <c r="D98" s="244" t="n">
        <f aca="false">'Annual Summary'!D47</f>
        <v>55038862.430782</v>
      </c>
      <c r="E98" s="244" t="n">
        <f aca="false">'Annual Summary'!E47</f>
        <v>13258584.501624</v>
      </c>
      <c r="F98" s="3"/>
      <c r="G98" s="3"/>
      <c r="H98" s="3"/>
      <c r="I98" s="3"/>
    </row>
    <row r="99" customFormat="false" ht="15" hidden="false" customHeight="true" outlineLevel="0" collapsed="false">
      <c r="A99" s="235" t="s">
        <v>860</v>
      </c>
      <c r="B99" s="236" t="n">
        <f aca="false">B98*0.025</f>
        <v>1828539.85350796</v>
      </c>
      <c r="C99" s="236" t="n">
        <f aca="false">C98*0.025</f>
        <v>3095910.085775</v>
      </c>
      <c r="D99" s="236" t="n">
        <f aca="false">D98*0.025</f>
        <v>1375971.56076955</v>
      </c>
      <c r="E99" s="236" t="n">
        <f aca="false">E98*0.025</f>
        <v>331464.6125406</v>
      </c>
      <c r="F99" s="3"/>
      <c r="G99" s="3"/>
      <c r="H99" s="3"/>
      <c r="I99" s="3"/>
    </row>
    <row r="100" customFormat="false" ht="15" hidden="false" customHeight="true" outlineLevel="0" collapsed="false">
      <c r="A100" s="79" t="s">
        <v>861</v>
      </c>
      <c r="B100" s="244" t="n">
        <f aca="false">'Annual Summary'!B52</f>
        <v>2154079.30210215</v>
      </c>
      <c r="C100" s="244" t="n">
        <f aca="false">'Annual Summary'!C52</f>
        <v>1458833.04559731</v>
      </c>
      <c r="D100" s="244" t="n">
        <f aca="false">'Annual Summary'!D52</f>
        <v>3467386.80276313</v>
      </c>
      <c r="E100" s="244" t="n">
        <f aca="false">'Annual Summary'!E52</f>
        <v>1049746.29070024</v>
      </c>
      <c r="F100" s="3"/>
      <c r="G100" s="3"/>
      <c r="H100" s="3"/>
      <c r="I100" s="3"/>
    </row>
    <row r="101" customFormat="false" ht="15" hidden="false" customHeight="true" outlineLevel="0" collapsed="false">
      <c r="A101" s="79" t="s">
        <v>862</v>
      </c>
      <c r="B101" s="244" t="n">
        <f aca="false">'Annual Summary'!B22*0.05</f>
        <v>100313.271284514</v>
      </c>
      <c r="C101" s="244" t="n">
        <f aca="false">'Annual Summary'!C22*0.05</f>
        <v>236900.850801778</v>
      </c>
      <c r="D101" s="244" t="n">
        <f aca="false">'Annual Summary'!D22*0.05</f>
        <v>343472.917703434</v>
      </c>
      <c r="E101" s="244" t="n">
        <f aca="false">'Annual Summary'!E22*0.05</f>
        <v>81598.9344959867</v>
      </c>
      <c r="F101" s="3"/>
      <c r="G101" s="3"/>
      <c r="H101" s="3"/>
      <c r="I101" s="3"/>
    </row>
    <row r="102" customFormat="false" ht="15" hidden="false" customHeight="true" outlineLevel="0" collapsed="false">
      <c r="A102" s="79" t="s">
        <v>863</v>
      </c>
      <c r="B102" s="244" t="n">
        <f aca="false">B100+B101</f>
        <v>2254392.57338667</v>
      </c>
      <c r="C102" s="244" t="n">
        <f aca="false">C100+C101</f>
        <v>1695733.89639909</v>
      </c>
      <c r="D102" s="244" t="n">
        <f aca="false">D100+D101</f>
        <v>3810859.72046657</v>
      </c>
      <c r="E102" s="244" t="n">
        <f aca="false">E100+E101</f>
        <v>1131345.22519623</v>
      </c>
      <c r="F102" s="3"/>
      <c r="G102" s="3"/>
      <c r="H102" s="3"/>
      <c r="I102" s="3"/>
    </row>
    <row r="103" customFormat="false" ht="15" hidden="false" customHeight="true" outlineLevel="0" collapsed="false">
      <c r="A103" s="232" t="s">
        <v>864</v>
      </c>
      <c r="B103" s="233" t="n">
        <f aca="false">B102-B99</f>
        <v>425852.719878713</v>
      </c>
      <c r="C103" s="233" t="n">
        <f aca="false">C102-C99</f>
        <v>-1400176.18937591</v>
      </c>
      <c r="D103" s="233" t="n">
        <f aca="false">D102-D99</f>
        <v>2434888.15969702</v>
      </c>
      <c r="E103" s="233" t="n">
        <f aca="false">E102-E99</f>
        <v>799880.612655629</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865</v>
      </c>
      <c r="B106" s="4"/>
      <c r="C106" s="4"/>
      <c r="D106" s="4"/>
      <c r="E106" s="4"/>
      <c r="F106" s="4"/>
      <c r="G106" s="4"/>
      <c r="H106" s="3"/>
      <c r="I106" s="3"/>
    </row>
    <row r="107" customFormat="false" ht="15" hidden="false" customHeight="true" outlineLevel="0" collapsed="false">
      <c r="A107" s="79" t="s">
        <v>866</v>
      </c>
      <c r="B107" s="248" t="n">
        <v>15179956</v>
      </c>
      <c r="C107" s="3"/>
      <c r="D107" s="3"/>
      <c r="E107" s="3"/>
      <c r="F107" s="3"/>
      <c r="G107" s="3"/>
      <c r="H107" s="3"/>
      <c r="I107" s="3"/>
    </row>
    <row r="108" customFormat="false" ht="15" hidden="false" customHeight="true" outlineLevel="0" collapsed="false">
      <c r="A108" s="79" t="s">
        <v>867</v>
      </c>
      <c r="B108" s="261" t="n">
        <v>0.1136</v>
      </c>
      <c r="C108" s="3"/>
      <c r="D108" s="3"/>
      <c r="E108" s="3"/>
      <c r="F108" s="3"/>
      <c r="G108" s="3"/>
      <c r="H108" s="3"/>
      <c r="I108" s="3"/>
    </row>
    <row r="109" customFormat="false" ht="15" hidden="false" customHeight="true" outlineLevel="0" collapsed="false">
      <c r="A109" s="79" t="s">
        <v>868</v>
      </c>
      <c r="B109" s="234" t="n">
        <v>1724443</v>
      </c>
      <c r="C109" s="3"/>
      <c r="D109" s="3"/>
      <c r="E109" s="3"/>
      <c r="F109" s="3"/>
      <c r="G109" s="3"/>
      <c r="H109" s="3"/>
      <c r="I109" s="3"/>
    </row>
    <row r="110" customFormat="false" ht="15" hidden="false" customHeight="true" outlineLevel="0" collapsed="false">
      <c r="A110" s="79" t="s">
        <v>869</v>
      </c>
      <c r="B110" s="262" t="n">
        <v>3</v>
      </c>
      <c r="C110" s="3"/>
      <c r="D110" s="3"/>
      <c r="E110" s="3"/>
      <c r="F110" s="3"/>
      <c r="G110" s="3"/>
      <c r="H110" s="3"/>
      <c r="I110" s="3"/>
    </row>
    <row r="111" customFormat="false" ht="15" hidden="false" customHeight="true" outlineLevel="0" collapsed="false">
      <c r="A111" s="232" t="s">
        <v>870</v>
      </c>
      <c r="B111" s="233" t="n">
        <v>45539868</v>
      </c>
      <c r="C111" s="232"/>
      <c r="D111" s="232"/>
      <c r="E111" s="232"/>
      <c r="F111" s="232"/>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871</v>
      </c>
      <c r="B113" s="3"/>
      <c r="C113" s="3"/>
      <c r="D113" s="3"/>
      <c r="E113" s="3"/>
      <c r="F113" s="3"/>
      <c r="G113" s="3"/>
      <c r="H113" s="3"/>
      <c r="I113" s="3"/>
    </row>
    <row r="114" customFormat="false" ht="15" hidden="false" customHeight="true" outlineLevel="0" collapsed="false">
      <c r="A114" s="23"/>
      <c r="B114" s="23" t="s">
        <v>277</v>
      </c>
      <c r="C114" s="23" t="s">
        <v>278</v>
      </c>
      <c r="D114" s="23" t="s">
        <v>279</v>
      </c>
      <c r="E114" s="23" t="s">
        <v>280</v>
      </c>
      <c r="F114" s="23" t="s">
        <v>489</v>
      </c>
      <c r="G114" s="3"/>
      <c r="H114" s="3"/>
      <c r="I114" s="3"/>
    </row>
    <row r="115" customFormat="false" ht="15" hidden="false" customHeight="true" outlineLevel="0" collapsed="false">
      <c r="A115" s="79" t="s">
        <v>872</v>
      </c>
      <c r="B115" s="244" t="n">
        <v>0</v>
      </c>
      <c r="C115" s="244" t="n">
        <v>1896887</v>
      </c>
      <c r="D115" s="244" t="n">
        <v>1379554</v>
      </c>
      <c r="E115" s="244" t="n">
        <v>172444</v>
      </c>
      <c r="F115" s="234" t="n">
        <v>3448885</v>
      </c>
      <c r="G115" s="3"/>
      <c r="H115" s="3"/>
      <c r="I115" s="3"/>
    </row>
    <row r="116" customFormat="false" ht="15" hidden="false" customHeight="true" outlineLevel="0" collapsed="false">
      <c r="A116" s="79" t="s">
        <v>873</v>
      </c>
      <c r="B116" s="244" t="n">
        <v>0</v>
      </c>
      <c r="C116" s="244" t="n">
        <v>603555</v>
      </c>
      <c r="D116" s="244" t="n">
        <v>948444</v>
      </c>
      <c r="E116" s="244" t="n">
        <v>172444</v>
      </c>
      <c r="F116" s="234" t="n">
        <v>1724443</v>
      </c>
      <c r="G116" s="3"/>
      <c r="H116" s="3"/>
      <c r="I116" s="3"/>
    </row>
    <row r="117" customFormat="false" ht="15" hidden="false" customHeight="true" outlineLevel="0" collapsed="false">
      <c r="A117" s="232" t="s">
        <v>874</v>
      </c>
      <c r="B117" s="233" t="n">
        <v>0</v>
      </c>
      <c r="C117" s="233" t="n">
        <v>2500442</v>
      </c>
      <c r="D117" s="233" t="n">
        <v>2327998</v>
      </c>
      <c r="E117" s="233" t="n">
        <v>344888</v>
      </c>
      <c r="F117" s="233"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875</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876</v>
      </c>
      <c r="B122" s="4"/>
      <c r="C122" s="4"/>
      <c r="D122" s="4"/>
      <c r="E122" s="4"/>
      <c r="F122" s="4"/>
      <c r="G122" s="4"/>
      <c r="H122" s="3"/>
      <c r="I122" s="3"/>
    </row>
    <row r="123" customFormat="false" ht="15" hidden="false" customHeight="true" outlineLevel="0" collapsed="false">
      <c r="A123" s="69" t="s">
        <v>877</v>
      </c>
      <c r="B123" s="3"/>
      <c r="C123" s="3"/>
      <c r="D123" s="3"/>
      <c r="E123" s="3"/>
      <c r="F123" s="3"/>
      <c r="G123" s="3"/>
      <c r="H123" s="3"/>
      <c r="I123" s="3"/>
    </row>
    <row r="124" customFormat="false" ht="15" hidden="false" customHeight="true" outlineLevel="0" collapsed="false">
      <c r="A124" s="23"/>
      <c r="B124" s="23" t="s">
        <v>878</v>
      </c>
      <c r="C124" s="23" t="s">
        <v>879</v>
      </c>
      <c r="D124" s="23" t="s">
        <v>780</v>
      </c>
      <c r="E124" s="3"/>
      <c r="F124" s="3"/>
      <c r="G124" s="3"/>
      <c r="H124" s="3"/>
      <c r="I124" s="3"/>
    </row>
    <row r="125" customFormat="false" ht="15" hidden="false" customHeight="true" outlineLevel="0" collapsed="false">
      <c r="A125" s="79" t="s">
        <v>880</v>
      </c>
      <c r="B125" s="248" t="n">
        <v>1450000</v>
      </c>
      <c r="C125" s="263" t="s">
        <v>881</v>
      </c>
      <c r="D125" s="69" t="s">
        <v>882</v>
      </c>
      <c r="E125" s="3"/>
      <c r="F125" s="3"/>
      <c r="G125" s="3"/>
      <c r="H125" s="3"/>
      <c r="I125" s="3"/>
    </row>
    <row r="126" customFormat="false" ht="15" hidden="false" customHeight="true" outlineLevel="0" collapsed="false">
      <c r="A126" s="79" t="s">
        <v>883</v>
      </c>
      <c r="B126" s="236" t="n">
        <v>-1450000</v>
      </c>
      <c r="C126" s="263" t="s">
        <v>884</v>
      </c>
      <c r="D126" s="69" t="s">
        <v>885</v>
      </c>
      <c r="E126" s="3"/>
      <c r="F126" s="3"/>
      <c r="G126" s="3"/>
      <c r="H126" s="3"/>
      <c r="I126" s="3"/>
    </row>
    <row r="127" customFormat="false" ht="15" hidden="false" customHeight="true" outlineLevel="0" collapsed="false">
      <c r="A127" s="79" t="s">
        <v>886</v>
      </c>
      <c r="B127" s="3"/>
      <c r="C127" s="263" t="s">
        <v>887</v>
      </c>
      <c r="D127" s="69" t="s">
        <v>888</v>
      </c>
      <c r="E127" s="3"/>
      <c r="F127" s="3"/>
      <c r="G127" s="3"/>
      <c r="H127" s="3"/>
      <c r="I127" s="3"/>
    </row>
    <row r="128" customFormat="false" ht="15" hidden="false" customHeight="true" outlineLevel="0" collapsed="false">
      <c r="A128" s="232" t="s">
        <v>889</v>
      </c>
      <c r="B128" s="233" t="n">
        <v>0</v>
      </c>
      <c r="C128" s="232" t="s">
        <v>890</v>
      </c>
      <c r="D128" s="232" t="s">
        <v>891</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892</v>
      </c>
      <c r="B130" s="234" t="n">
        <v>362885</v>
      </c>
      <c r="C130" s="263" t="s">
        <v>893</v>
      </c>
      <c r="D130" s="69" t="s">
        <v>894</v>
      </c>
      <c r="E130" s="3"/>
      <c r="F130" s="3"/>
      <c r="G130" s="3"/>
      <c r="H130" s="3"/>
      <c r="I130" s="3"/>
    </row>
    <row r="131" customFormat="false" ht="15" hidden="false" customHeight="true" outlineLevel="0" collapsed="false">
      <c r="A131" s="232" t="s">
        <v>895</v>
      </c>
      <c r="B131" s="233" t="n">
        <v>1812885</v>
      </c>
      <c r="C131" s="232" t="s">
        <v>896</v>
      </c>
      <c r="D131" s="232" t="s">
        <v>897</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1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65625" defaultRowHeight="13.5" customHeight="false" zeroHeight="false" outlineLevelRow="0" outlineLevelCol="0"/>
  <cols>
    <col collapsed="false" customWidth="true" hidden="false" outlineLevel="0" max="1" min="1" style="1" width="20"/>
  </cols>
  <sheetData>
    <row r="1" customFormat="false" ht="15" hidden="false" customHeight="true" outlineLevel="0" collapsed="false">
      <c r="A1" s="4" t="s">
        <v>593</v>
      </c>
      <c r="B1" s="49" t="s">
        <v>898</v>
      </c>
      <c r="C1" s="49" t="s">
        <v>899</v>
      </c>
      <c r="D1" s="49" t="s">
        <v>900</v>
      </c>
      <c r="E1" s="49" t="s">
        <v>901</v>
      </c>
      <c r="F1" s="49" t="s">
        <v>902</v>
      </c>
      <c r="G1" s="49" t="s">
        <v>903</v>
      </c>
      <c r="H1" s="49" t="s">
        <v>904</v>
      </c>
      <c r="I1" s="49" t="s">
        <v>905</v>
      </c>
      <c r="J1" s="49" t="s">
        <v>906</v>
      </c>
      <c r="K1" s="49" t="s">
        <v>907</v>
      </c>
      <c r="L1" s="49" t="s">
        <v>908</v>
      </c>
      <c r="M1" s="49" t="s">
        <v>909</v>
      </c>
      <c r="N1" s="49" t="s">
        <v>910</v>
      </c>
      <c r="O1" s="49" t="s">
        <v>911</v>
      </c>
      <c r="P1" s="49" t="s">
        <v>912</v>
      </c>
      <c r="Q1" s="49" t="s">
        <v>913</v>
      </c>
      <c r="R1" s="49" t="s">
        <v>914</v>
      </c>
      <c r="S1" s="49" t="s">
        <v>915</v>
      </c>
      <c r="T1" s="49" t="s">
        <v>916</v>
      </c>
      <c r="U1" s="49" t="s">
        <v>917</v>
      </c>
      <c r="V1" s="49" t="s">
        <v>918</v>
      </c>
      <c r="W1" s="49" t="s">
        <v>919</v>
      </c>
      <c r="X1" s="49" t="s">
        <v>920</v>
      </c>
      <c r="Y1" s="49" t="s">
        <v>921</v>
      </c>
      <c r="Z1" s="49" t="s">
        <v>922</v>
      </c>
      <c r="AA1" s="49" t="s">
        <v>923</v>
      </c>
      <c r="AB1" s="49" t="s">
        <v>924</v>
      </c>
      <c r="AC1" s="49" t="s">
        <v>925</v>
      </c>
      <c r="AD1" s="49" t="s">
        <v>926</v>
      </c>
      <c r="AE1" s="49" t="s">
        <v>927</v>
      </c>
      <c r="AF1" s="49" t="s">
        <v>928</v>
      </c>
      <c r="AG1" s="49" t="s">
        <v>929</v>
      </c>
      <c r="AH1" s="49" t="s">
        <v>930</v>
      </c>
      <c r="AI1" s="49" t="s">
        <v>931</v>
      </c>
      <c r="AJ1" s="49" t="s">
        <v>932</v>
      </c>
      <c r="AK1" s="49" t="s">
        <v>933</v>
      </c>
      <c r="AL1" s="49" t="s">
        <v>934</v>
      </c>
      <c r="AM1" s="49" t="s">
        <v>935</v>
      </c>
      <c r="AN1" s="49" t="s">
        <v>936</v>
      </c>
      <c r="AO1" s="49" t="s">
        <v>937</v>
      </c>
    </row>
    <row r="2" customFormat="false" ht="15" hidden="false" customHeight="true" outlineLevel="0" collapsed="false">
      <c r="A2" s="189" t="s">
        <v>938</v>
      </c>
      <c r="B2" s="264" t="n">
        <v>0.016101</v>
      </c>
      <c r="C2" s="264" t="n">
        <v>0.018518</v>
      </c>
      <c r="D2" s="264" t="n">
        <v>0.021087</v>
      </c>
      <c r="E2" s="264" t="n">
        <v>0.023773</v>
      </c>
      <c r="F2" s="264" t="n">
        <v>0.026535</v>
      </c>
      <c r="G2" s="264" t="n">
        <v>0.029323</v>
      </c>
      <c r="H2" s="264" t="n">
        <v>0.032082</v>
      </c>
      <c r="I2" s="264" t="n">
        <v>0.034752</v>
      </c>
      <c r="J2" s="264" t="n">
        <v>0.037269</v>
      </c>
      <c r="K2" s="264" t="n">
        <v>0.039572</v>
      </c>
      <c r="L2" s="264" t="n">
        <v>0.041599</v>
      </c>
      <c r="M2" s="264" t="n">
        <v>0.043295</v>
      </c>
      <c r="N2" s="264" t="n">
        <v>0.044613</v>
      </c>
      <c r="O2" s="264" t="n">
        <v>0.045513</v>
      </c>
      <c r="P2" s="264" t="n">
        <v>0.04597</v>
      </c>
      <c r="Q2" s="264" t="n">
        <v>0.04597</v>
      </c>
      <c r="R2" s="264" t="n">
        <v>0.045513</v>
      </c>
      <c r="S2" s="264" t="n">
        <v>0.044613</v>
      </c>
      <c r="T2" s="264" t="n">
        <v>0.043295</v>
      </c>
      <c r="U2" s="264" t="n">
        <v>0.041599</v>
      </c>
      <c r="V2" s="264" t="n">
        <v>0.039572</v>
      </c>
      <c r="W2" s="264" t="n">
        <v>0.037269</v>
      </c>
      <c r="X2" s="264" t="n">
        <v>0.034752</v>
      </c>
      <c r="Y2" s="264" t="n">
        <v>0.032082</v>
      </c>
      <c r="Z2" s="264" t="n">
        <v>0.029323</v>
      </c>
      <c r="AA2" s="264" t="n">
        <v>0.026535</v>
      </c>
      <c r="AB2" s="264" t="n">
        <v>0.023773</v>
      </c>
      <c r="AC2" s="264" t="n">
        <v>0.021087</v>
      </c>
      <c r="AD2" s="264" t="n">
        <v>0.018518</v>
      </c>
      <c r="AE2" s="264" t="n">
        <v>0.016101</v>
      </c>
    </row>
    <row r="3" customFormat="false" ht="15" hidden="false" customHeight="true" outlineLevel="0" collapsed="false">
      <c r="A3" s="189" t="s">
        <v>939</v>
      </c>
      <c r="B3" s="264" t="n">
        <v>0.020497</v>
      </c>
      <c r="C3" s="264" t="n">
        <v>0.024336</v>
      </c>
      <c r="D3" s="264" t="n">
        <v>0.028445</v>
      </c>
      <c r="E3" s="264" t="n">
        <v>0.032735</v>
      </c>
      <c r="F3" s="264" t="n">
        <v>0.037087</v>
      </c>
      <c r="G3" s="264" t="n">
        <v>0.041368</v>
      </c>
      <c r="H3" s="264" t="n">
        <v>0.045428</v>
      </c>
      <c r="I3" s="264" t="n">
        <v>0.049114</v>
      </c>
      <c r="J3" s="264" t="n">
        <v>0.052278</v>
      </c>
      <c r="K3" s="264" t="n">
        <v>0.054783</v>
      </c>
      <c r="L3" s="264" t="n">
        <v>0.05652</v>
      </c>
      <c r="M3" s="264" t="n">
        <v>0.057409</v>
      </c>
      <c r="N3" s="264" t="n">
        <v>0.057409</v>
      </c>
      <c r="O3" s="264" t="n">
        <v>0.05652</v>
      </c>
      <c r="P3" s="264" t="n">
        <v>0.054783</v>
      </c>
      <c r="Q3" s="264" t="n">
        <v>0.052278</v>
      </c>
      <c r="R3" s="264" t="n">
        <v>0.049114</v>
      </c>
      <c r="S3" s="264" t="n">
        <v>0.045428</v>
      </c>
      <c r="T3" s="264" t="n">
        <v>0.041368</v>
      </c>
      <c r="U3" s="264" t="n">
        <v>0.037087</v>
      </c>
      <c r="V3" s="264" t="n">
        <v>0.032735</v>
      </c>
      <c r="W3" s="264" t="n">
        <v>0.028445</v>
      </c>
      <c r="X3" s="264" t="n">
        <v>0.024336</v>
      </c>
      <c r="Y3" s="264" t="n">
        <v>0.020497</v>
      </c>
    </row>
    <row r="4" customFormat="false" ht="15" hidden="false" customHeight="true" outlineLevel="0" collapsed="false">
      <c r="A4" s="189" t="s">
        <v>940</v>
      </c>
      <c r="B4" s="264" t="n">
        <v>0.026517</v>
      </c>
      <c r="C4" s="264" t="n">
        <v>0.032761</v>
      </c>
      <c r="D4" s="264" t="n">
        <v>0.039482</v>
      </c>
      <c r="E4" s="264" t="n">
        <v>0.046412</v>
      </c>
      <c r="F4" s="264" t="n">
        <v>0.053218</v>
      </c>
      <c r="G4" s="264" t="n">
        <v>0.059522</v>
      </c>
      <c r="H4" s="264" t="n">
        <v>0.064937</v>
      </c>
      <c r="I4" s="264" t="n">
        <v>0.069104</v>
      </c>
      <c r="J4" s="264" t="n">
        <v>0.071732</v>
      </c>
      <c r="K4" s="264" t="n">
        <v>0.07263</v>
      </c>
      <c r="L4" s="264" t="n">
        <v>0.071732</v>
      </c>
      <c r="M4" s="264" t="n">
        <v>0.069104</v>
      </c>
      <c r="N4" s="264" t="n">
        <v>0.064937</v>
      </c>
      <c r="O4" s="264" t="n">
        <v>0.059522</v>
      </c>
      <c r="P4" s="264" t="n">
        <v>0.053218</v>
      </c>
      <c r="Q4" s="264" t="n">
        <v>0.046412</v>
      </c>
      <c r="R4" s="264" t="n">
        <v>0.039482</v>
      </c>
      <c r="S4" s="264" t="n">
        <v>0.032761</v>
      </c>
      <c r="T4" s="264" t="n">
        <v>0.026517</v>
      </c>
    </row>
    <row r="5" customFormat="false" ht="15" hidden="false" customHeight="true" outlineLevel="0" collapsed="false">
      <c r="A5" s="265" t="s">
        <v>941</v>
      </c>
    </row>
    <row r="6" customFormat="false" ht="15" hidden="false" customHeight="true" outlineLevel="0" collapsed="false">
      <c r="A6" s="189" t="s">
        <v>7</v>
      </c>
      <c r="B6" s="264" t="n">
        <v>0.176029532991649</v>
      </c>
      <c r="C6" s="264" t="n">
        <v>0.162818536970001</v>
      </c>
      <c r="D6" s="264" t="n">
        <v>0.148267087201176</v>
      </c>
      <c r="E6" s="264" t="n">
        <v>0.1329235511272</v>
      </c>
      <c r="F6" s="264" t="n">
        <v>0.117325543887316</v>
      </c>
      <c r="G6" s="264" t="n">
        <v>0.101949750904986</v>
      </c>
      <c r="H6" s="264" t="n">
        <v>0.0872226801906742</v>
      </c>
      <c r="I6" s="264" t="n">
        <v>0.073463316726999</v>
      </c>
    </row>
    <row r="7" customFormat="false" ht="15" hidden="false" customHeight="true" outlineLevel="0" collapsed="false">
      <c r="A7" s="189" t="s">
        <v>8</v>
      </c>
      <c r="B7" s="264" t="n">
        <v>0.0725086339616361</v>
      </c>
      <c r="C7" s="264" t="n">
        <v>0.0759830233429035</v>
      </c>
      <c r="D7" s="264" t="n">
        <v>0.0783922107102734</v>
      </c>
      <c r="E7" s="264" t="n">
        <v>0.0796252375206314</v>
      </c>
      <c r="F7" s="264" t="n">
        <v>0.0796252375206314</v>
      </c>
      <c r="G7" s="264" t="n">
        <v>0.0783922107102734</v>
      </c>
      <c r="H7" s="264" t="n">
        <v>0.0759830233429035</v>
      </c>
      <c r="I7" s="264" t="n">
        <v>0.0725086339616361</v>
      </c>
      <c r="J7" s="264" t="n">
        <v>0.0681202235814644</v>
      </c>
      <c r="K7" s="264" t="n">
        <v>0.0630078087074717</v>
      </c>
      <c r="L7" s="264" t="n">
        <v>0.0573766626444195</v>
      </c>
      <c r="M7" s="264" t="n">
        <v>0.051438993606014</v>
      </c>
      <c r="N7" s="264" t="n">
        <v>0.0454028488605945</v>
      </c>
      <c r="O7" s="264" t="n">
        <v>0.0394526969860886</v>
      </c>
      <c r="P7" s="264" t="n">
        <v>0.0337535888153789</v>
      </c>
      <c r="Q7" s="264" t="n">
        <v>0.02842896572768</v>
      </c>
    </row>
    <row r="8" customFormat="false" ht="15" hidden="false" customHeight="true" outlineLevel="0" collapsed="false">
      <c r="A8" s="189" t="s">
        <v>9</v>
      </c>
      <c r="B8" s="264" t="n">
        <v>0.0622557988273664</v>
      </c>
      <c r="C8" s="264" t="n">
        <v>0.0696303817844058</v>
      </c>
      <c r="D8" s="264" t="n">
        <v>0.0759649894481697</v>
      </c>
      <c r="E8" s="264" t="n">
        <v>0.0808396542930274</v>
      </c>
      <c r="F8" s="264" t="n">
        <v>0.0839139569597627</v>
      </c>
      <c r="G8" s="264" t="n">
        <v>0.0849644606868282</v>
      </c>
      <c r="H8" s="264" t="n">
        <v>0.0839139569597627</v>
      </c>
      <c r="I8" s="264" t="n">
        <v>0.0808396542930274</v>
      </c>
      <c r="J8" s="264" t="n">
        <v>0.0759649894481697</v>
      </c>
      <c r="K8" s="264" t="n">
        <v>0.0696303817844058</v>
      </c>
      <c r="L8" s="264" t="n">
        <v>0.0622557988273664</v>
      </c>
      <c r="M8" s="264" t="n">
        <v>0.0542939632300299</v>
      </c>
      <c r="N8" s="264" t="n">
        <v>0.0461870692115841</v>
      </c>
      <c r="O8" s="264" t="n">
        <v>0.038324668822266</v>
      </c>
      <c r="P8" s="264" t="n">
        <v>0.031020275423828</v>
      </c>
    </row>
    <row r="9" customFormat="false" ht="15" hidden="false" customHeight="true" outlineLevel="0" collapsed="false">
      <c r="A9" s="189" t="s">
        <v>10</v>
      </c>
      <c r="B9" s="264" t="n">
        <v>0.0622557988273664</v>
      </c>
      <c r="C9" s="264" t="n">
        <v>0.0696303817844058</v>
      </c>
      <c r="D9" s="264" t="n">
        <v>0.0759649894481697</v>
      </c>
      <c r="E9" s="264" t="n">
        <v>0.0808396542930274</v>
      </c>
      <c r="F9" s="264" t="n">
        <v>0.0839139569597627</v>
      </c>
      <c r="G9" s="264" t="n">
        <v>0.0849644606868282</v>
      </c>
      <c r="H9" s="264" t="n">
        <v>0.0839139569597627</v>
      </c>
      <c r="I9" s="264" t="n">
        <v>0.0808396542930274</v>
      </c>
      <c r="J9" s="264" t="n">
        <v>0.0759649894481697</v>
      </c>
      <c r="K9" s="264" t="n">
        <v>0.0696303817844058</v>
      </c>
      <c r="L9" s="264" t="n">
        <v>0.0622557988273664</v>
      </c>
      <c r="M9" s="264" t="n">
        <v>0.0542939632300299</v>
      </c>
      <c r="N9" s="264" t="n">
        <v>0.0461870692115841</v>
      </c>
      <c r="O9" s="264" t="n">
        <v>0.038324668822266</v>
      </c>
      <c r="P9" s="264" t="n">
        <v>0.031020275423828</v>
      </c>
    </row>
    <row r="10" customFormat="false" ht="13.5" hidden="false" customHeight="true" outlineLevel="0" collapsed="false">
      <c r="A10" s="189" t="s">
        <v>942</v>
      </c>
      <c r="B10" s="264" t="n">
        <v>0.0282164578932967</v>
      </c>
      <c r="C10" s="264" t="n">
        <v>0.0352262004025838</v>
      </c>
      <c r="D10" s="264" t="n">
        <v>0.0427568950243905</v>
      </c>
      <c r="E10" s="264" t="n">
        <v>0.0504646370129604</v>
      </c>
      <c r="F10" s="264" t="n">
        <v>0.0579268208524386</v>
      </c>
      <c r="G10" s="264" t="n">
        <v>0.0646743253479264</v>
      </c>
      <c r="H10" s="264" t="n">
        <v>0.0702405254110397</v>
      </c>
      <c r="I10" s="264" t="n">
        <v>0.0742125943902679</v>
      </c>
      <c r="J10" s="264" t="n">
        <v>0.0762815436650961</v>
      </c>
      <c r="K10" s="264" t="n">
        <v>0.0762815436650961</v>
      </c>
      <c r="L10" s="264" t="n">
        <v>0.0742125943902679</v>
      </c>
      <c r="M10" s="264" t="n">
        <v>0.0702405254110397</v>
      </c>
      <c r="N10" s="264" t="n">
        <v>0.0646743253479264</v>
      </c>
      <c r="O10" s="264" t="n">
        <v>0.0579268208524386</v>
      </c>
      <c r="P10" s="264" t="n">
        <v>0.0504646370129604</v>
      </c>
      <c r="Q10" s="264" t="n">
        <v>0.0427568950243905</v>
      </c>
      <c r="R10" s="264" t="n">
        <v>0.0352262004025838</v>
      </c>
      <c r="S10" s="264" t="n">
        <v>0.0282164578932967</v>
      </c>
    </row>
    <row r="11" customFormat="false" ht="13.5" hidden="false" customHeight="true" outlineLevel="0" collapsed="false">
      <c r="A11" s="189" t="s">
        <v>943</v>
      </c>
      <c r="B11" s="264" t="n">
        <v>0.025222436982787</v>
      </c>
      <c r="C11" s="264" t="n">
        <v>0.0307161666385355</v>
      </c>
      <c r="D11" s="264" t="n">
        <v>0.0367553741782341</v>
      </c>
      <c r="E11" s="264" t="n">
        <v>0.0429926173697717</v>
      </c>
      <c r="F11" s="264" t="n">
        <v>0.0491633017489297</v>
      </c>
      <c r="G11" s="264" t="n">
        <v>0.0549671636058411</v>
      </c>
      <c r="H11" s="264" t="n">
        <v>0.0600928104259969</v>
      </c>
      <c r="I11" s="264" t="n">
        <v>0.0642439972345396</v>
      </c>
      <c r="J11" s="264" t="n">
        <v>0.0671676626233437</v>
      </c>
      <c r="K11" s="264" t="n">
        <v>0.0686784691920207</v>
      </c>
      <c r="L11" s="264" t="n">
        <v>0.0686784691920207</v>
      </c>
      <c r="M11" s="264" t="n">
        <v>0.0671676626233437</v>
      </c>
      <c r="N11" s="264" t="n">
        <v>0.0642439972345396</v>
      </c>
      <c r="O11" s="264" t="n">
        <v>0.0600928104259969</v>
      </c>
      <c r="P11" s="264" t="n">
        <v>0.0549671636058411</v>
      </c>
      <c r="Q11" s="264" t="n">
        <v>0.0491633017489297</v>
      </c>
      <c r="R11" s="264" t="n">
        <v>0.0429926173697717</v>
      </c>
      <c r="S11" s="264" t="n">
        <v>0.0367553741782341</v>
      </c>
      <c r="T11" s="264" t="n">
        <v>0.0307161666385355</v>
      </c>
      <c r="U11" s="1" t="n">
        <v>0.025222436982787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I274" activeCellId="0" sqref="I274"/>
    </sheetView>
  </sheetViews>
  <sheetFormatPr defaultColWidth="8.7265625" defaultRowHeight="13.5" customHeight="false"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66" t="s">
        <v>944</v>
      </c>
      <c r="B1" s="266"/>
      <c r="C1" s="266"/>
      <c r="D1" s="266"/>
    </row>
    <row r="3" customFormat="false" ht="15" hidden="false" customHeight="true" outlineLevel="0" collapsed="false">
      <c r="A3" s="23" t="s">
        <v>945</v>
      </c>
      <c r="B3" s="23"/>
      <c r="C3" s="23"/>
      <c r="D3" s="23"/>
    </row>
    <row r="4" customFormat="false" ht="15" hidden="false" customHeight="true" outlineLevel="0" collapsed="false">
      <c r="A4" s="189" t="s">
        <v>946</v>
      </c>
      <c r="B4" s="264" t="n">
        <v>0.06</v>
      </c>
    </row>
    <row r="5" customFormat="false" ht="15" hidden="false" customHeight="true" outlineLevel="0" collapsed="false">
      <c r="A5" s="189" t="s">
        <v>784</v>
      </c>
      <c r="B5" s="264" t="n">
        <v>0.06</v>
      </c>
    </row>
    <row r="6" customFormat="false" ht="15" hidden="false" customHeight="true" outlineLevel="0" collapsed="false">
      <c r="A6" s="189" t="s">
        <v>947</v>
      </c>
      <c r="B6" s="264" t="n">
        <v>0.02</v>
      </c>
    </row>
    <row r="7" customFormat="false" ht="15" hidden="false" customHeight="true" outlineLevel="0" collapsed="false">
      <c r="A7" s="189" t="s">
        <v>948</v>
      </c>
      <c r="B7" s="192" t="n">
        <f aca="false">B4+B5+B6</f>
        <v>0.14</v>
      </c>
    </row>
    <row r="8" customFormat="false" ht="15" hidden="false" customHeight="true" outlineLevel="0" collapsed="false">
      <c r="A8" s="189"/>
      <c r="B8" s="264"/>
    </row>
    <row r="9" customFormat="false" ht="15" hidden="false" customHeight="true" outlineLevel="0" collapsed="false">
      <c r="A9" s="189" t="s">
        <v>949</v>
      </c>
      <c r="B9" s="192" t="n">
        <f aca="false">SUM(B10:B12)</f>
        <v>0.120391</v>
      </c>
      <c r="C9" s="1" t="s">
        <v>950</v>
      </c>
    </row>
    <row r="10" customFormat="false" ht="15" hidden="false" customHeight="true" outlineLevel="0" collapsed="false">
      <c r="A10" s="189" t="s">
        <v>951</v>
      </c>
      <c r="B10" s="192" t="n">
        <v>0.051596</v>
      </c>
    </row>
    <row r="11" customFormat="false" ht="15" hidden="false" customHeight="true" outlineLevel="0" collapsed="false">
      <c r="A11" s="189" t="s">
        <v>952</v>
      </c>
      <c r="B11" s="192" t="n">
        <v>0.051596</v>
      </c>
    </row>
    <row r="12" customFormat="false" ht="15" hidden="false" customHeight="true" outlineLevel="0" collapsed="false">
      <c r="A12" s="189" t="s">
        <v>953</v>
      </c>
      <c r="B12" s="192" t="n">
        <v>0.017199</v>
      </c>
    </row>
    <row r="14" customFormat="false" ht="15" hidden="false" customHeight="true" outlineLevel="0" collapsed="false">
      <c r="A14" s="23" t="s">
        <v>954</v>
      </c>
      <c r="B14" s="23"/>
      <c r="C14" s="23"/>
      <c r="D14" s="23"/>
    </row>
    <row r="15" customFormat="false" ht="15" hidden="false" customHeight="true" outlineLevel="0" collapsed="false">
      <c r="A15" s="189" t="s">
        <v>789</v>
      </c>
      <c r="B15" s="264" t="n">
        <v>0.015</v>
      </c>
    </row>
    <row r="16" customFormat="false" ht="15" hidden="false" customHeight="true" outlineLevel="0" collapsed="false">
      <c r="A16" s="189" t="s">
        <v>791</v>
      </c>
      <c r="B16" s="264" t="n">
        <v>0.0074</v>
      </c>
    </row>
    <row r="17" customFormat="false" ht="15" hidden="false" customHeight="true" outlineLevel="0" collapsed="false">
      <c r="A17" s="189" t="s">
        <v>793</v>
      </c>
      <c r="B17" s="264" t="n">
        <v>0.0325</v>
      </c>
    </row>
    <row r="18" customFormat="false" ht="15" hidden="false" customHeight="true" outlineLevel="0" collapsed="false">
      <c r="A18" s="1" t="s">
        <v>955</v>
      </c>
      <c r="B18" s="267" t="n">
        <f aca="false">103966/14337010.8</f>
        <v>0.00725158134079107</v>
      </c>
      <c r="C18" s="1" t="s">
        <v>956</v>
      </c>
      <c r="D18" s="268"/>
    </row>
    <row r="19" customFormat="false" ht="15" hidden="false" customHeight="true" outlineLevel="0" collapsed="false">
      <c r="A19" s="23" t="s">
        <v>957</v>
      </c>
      <c r="B19" s="23"/>
      <c r="C19" s="23"/>
      <c r="D19" s="23"/>
    </row>
    <row r="20" customFormat="false" ht="15" hidden="false" customHeight="true" outlineLevel="0" collapsed="false">
      <c r="A20" s="189" t="s">
        <v>958</v>
      </c>
      <c r="B20" s="264" t="n">
        <v>0.07</v>
      </c>
    </row>
    <row r="21" customFormat="false" ht="15" hidden="false" customHeight="true" outlineLevel="0" collapsed="false">
      <c r="A21" s="189" t="s">
        <v>959</v>
      </c>
      <c r="B21" s="264" t="n">
        <v>0.005</v>
      </c>
    </row>
    <row r="22" customFormat="false" ht="15" hidden="false" customHeight="true" outlineLevel="0" collapsed="false">
      <c r="A22" s="189" t="s">
        <v>960</v>
      </c>
      <c r="B22" s="264" t="n">
        <v>0.05</v>
      </c>
    </row>
    <row r="23" customFormat="false" ht="15" hidden="false" customHeight="true" outlineLevel="0" collapsed="false">
      <c r="A23" s="189" t="s">
        <v>961</v>
      </c>
      <c r="B23" s="264" t="n">
        <v>0.02</v>
      </c>
    </row>
    <row r="24" customFormat="false" ht="13.5" hidden="false" customHeight="true" outlineLevel="0" collapsed="false">
      <c r="A24" s="189" t="s">
        <v>962</v>
      </c>
      <c r="B24" s="264" t="n">
        <v>0.035</v>
      </c>
    </row>
    <row r="25" customFormat="false" ht="15" hidden="false" customHeight="true" outlineLevel="0" collapsed="false">
      <c r="A25" s="23" t="s">
        <v>963</v>
      </c>
      <c r="B25" s="23"/>
      <c r="C25" s="23"/>
      <c r="D25" s="23"/>
    </row>
    <row r="26" customFormat="false" ht="15" hidden="false" customHeight="true" outlineLevel="0" collapsed="false">
      <c r="A26" s="189" t="s">
        <v>964</v>
      </c>
      <c r="B26" s="241" t="n">
        <v>0.02</v>
      </c>
    </row>
    <row r="27" customFormat="false" ht="13.5" hidden="false" customHeight="true" outlineLevel="0" collapsed="false">
      <c r="A27" s="189" t="s">
        <v>965</v>
      </c>
      <c r="B27" s="264" t="n">
        <v>0.003</v>
      </c>
    </row>
    <row r="28" customFormat="false" ht="15" hidden="false" customHeight="true" outlineLevel="0" collapsed="false">
      <c r="A28" s="23" t="s">
        <v>966</v>
      </c>
      <c r="B28" s="23"/>
      <c r="C28" s="23"/>
      <c r="D28" s="23"/>
    </row>
    <row r="29" customFormat="false" ht="15" hidden="false" customHeight="true" outlineLevel="0" collapsed="false">
      <c r="A29" s="189" t="s">
        <v>967</v>
      </c>
      <c r="B29" s="243" t="n">
        <v>1415971</v>
      </c>
    </row>
    <row r="30" customFormat="false" ht="15" hidden="false" customHeight="true" outlineLevel="0" collapsed="false">
      <c r="A30" s="189" t="s">
        <v>968</v>
      </c>
      <c r="B30" s="243" t="n">
        <v>298719</v>
      </c>
    </row>
    <row r="32" customFormat="false" ht="15" hidden="false" customHeight="true" outlineLevel="0" collapsed="false">
      <c r="A32" s="23" t="s">
        <v>969</v>
      </c>
      <c r="B32" s="23"/>
      <c r="C32" s="23"/>
      <c r="D32" s="23"/>
    </row>
    <row r="33" customFormat="false" ht="15" hidden="false" customHeight="true" outlineLevel="0" collapsed="false">
      <c r="A33" s="189" t="s">
        <v>970</v>
      </c>
      <c r="B33" s="243" t="n">
        <v>1615485</v>
      </c>
    </row>
    <row r="34" customFormat="false" ht="15" hidden="false" customHeight="true" outlineLevel="0" collapsed="false">
      <c r="A34" s="189" t="s">
        <v>971</v>
      </c>
      <c r="B34" s="264" t="n">
        <v>0.15</v>
      </c>
    </row>
    <row r="35" customFormat="false" ht="15" hidden="false" customHeight="true" outlineLevel="0" collapsed="false">
      <c r="A35" s="189" t="s">
        <v>972</v>
      </c>
      <c r="B35" s="192" t="n">
        <f aca="false">B34/4</f>
        <v>0.0375</v>
      </c>
    </row>
    <row r="36" customFormat="false" ht="15" hidden="false" customHeight="true" outlineLevel="0" collapsed="false">
      <c r="A36" s="189" t="s">
        <v>973</v>
      </c>
      <c r="B36" s="243" t="n">
        <v>112000</v>
      </c>
    </row>
    <row r="37" customFormat="false" ht="15" hidden="false" customHeight="true" outlineLevel="0" collapsed="false">
      <c r="A37" s="189" t="s">
        <v>974</v>
      </c>
      <c r="B37" s="269" t="n">
        <v>17</v>
      </c>
    </row>
    <row r="38" customFormat="false" ht="15" hidden="false" customHeight="true" outlineLevel="0" collapsed="false">
      <c r="A38" s="270" t="s">
        <v>975</v>
      </c>
    </row>
    <row r="40" customFormat="false" ht="15" hidden="false" customHeight="true" outlineLevel="0" collapsed="false">
      <c r="A40" s="23" t="s">
        <v>976</v>
      </c>
      <c r="B40" s="23"/>
      <c r="C40" s="23"/>
      <c r="D40" s="23"/>
    </row>
    <row r="41" customFormat="false" ht="15" hidden="false" customHeight="true" outlineLevel="0" collapsed="false">
      <c r="A41" s="189" t="s">
        <v>977</v>
      </c>
      <c r="B41" s="243" t="n">
        <v>1000000</v>
      </c>
    </row>
    <row r="42" customFormat="false" ht="15" hidden="false" customHeight="true" outlineLevel="0" collapsed="false">
      <c r="A42" s="189" t="s">
        <v>978</v>
      </c>
      <c r="B42" s="271" t="n">
        <f aca="false">B41*0.25</f>
        <v>250000</v>
      </c>
    </row>
    <row r="43" customFormat="false" ht="15" hidden="false" customHeight="true" outlineLevel="0" collapsed="false">
      <c r="A43" s="189" t="s">
        <v>979</v>
      </c>
      <c r="B43" s="243" t="n">
        <v>1000000</v>
      </c>
    </row>
    <row r="44" customFormat="false" ht="15" hidden="false" customHeight="true" outlineLevel="0" collapsed="false">
      <c r="A44" s="270" t="s">
        <v>980</v>
      </c>
    </row>
    <row r="46" customFormat="false" ht="15" hidden="false" customHeight="true" outlineLevel="0" collapsed="false">
      <c r="A46" s="23" t="s">
        <v>981</v>
      </c>
      <c r="B46" s="23"/>
      <c r="C46" s="23"/>
      <c r="D46" s="23"/>
    </row>
    <row r="47" customFormat="false" ht="15" hidden="false" customHeight="true" outlineLevel="0" collapsed="false">
      <c r="A47" s="189" t="s">
        <v>982</v>
      </c>
      <c r="B47" s="264" t="n">
        <v>0.01</v>
      </c>
    </row>
    <row r="48" customFormat="false" ht="15" hidden="false" customHeight="true" outlineLevel="0" collapsed="false">
      <c r="A48" s="189" t="s">
        <v>983</v>
      </c>
      <c r="B48" s="264" t="n">
        <v>0.03</v>
      </c>
    </row>
    <row r="50" customFormat="false" ht="15" hidden="false" customHeight="true" outlineLevel="0" collapsed="false">
      <c r="A50" s="23" t="s">
        <v>984</v>
      </c>
      <c r="B50" s="23"/>
      <c r="C50" s="272"/>
      <c r="D50" s="23"/>
    </row>
    <row r="51" customFormat="false" ht="15" hidden="false" customHeight="true" outlineLevel="0" collapsed="false">
      <c r="A51" s="189" t="s">
        <v>16</v>
      </c>
      <c r="B51" s="243" t="n">
        <v>0</v>
      </c>
    </row>
    <row r="52" customFormat="false" ht="15" hidden="false" customHeight="true" outlineLevel="0" collapsed="false">
      <c r="A52" s="189" t="s">
        <v>17</v>
      </c>
      <c r="B52" s="243" t="n">
        <v>0</v>
      </c>
    </row>
    <row r="53" customFormat="false" ht="15" hidden="false" customHeight="true" outlineLevel="0" collapsed="false">
      <c r="A53" s="189" t="s">
        <v>12</v>
      </c>
      <c r="B53" s="243" t="n">
        <v>5000000</v>
      </c>
      <c r="C53" s="90"/>
    </row>
    <row r="54" customFormat="false" ht="15" hidden="false" customHeight="true" outlineLevel="0" collapsed="false">
      <c r="A54" s="189" t="s">
        <v>18</v>
      </c>
      <c r="B54" s="243" t="n">
        <v>5000000</v>
      </c>
      <c r="C54" s="90"/>
    </row>
    <row r="55" customFormat="false" ht="15" hidden="false" customHeight="true" outlineLevel="0" collapsed="false">
      <c r="A55" s="189" t="s">
        <v>19</v>
      </c>
      <c r="B55" s="243" t="n">
        <v>5000000</v>
      </c>
      <c r="C55" s="90"/>
    </row>
    <row r="57" customFormat="false" ht="15" hidden="false" customHeight="true" outlineLevel="0" collapsed="false">
      <c r="A57" s="23" t="s">
        <v>985</v>
      </c>
      <c r="B57" s="23"/>
      <c r="C57" s="23"/>
      <c r="D57" s="23"/>
    </row>
    <row r="58" customFormat="false" ht="15" hidden="false" customHeight="true" outlineLevel="0" collapsed="false">
      <c r="A58" s="189" t="s">
        <v>986</v>
      </c>
      <c r="B58" s="264" t="n">
        <v>0.15</v>
      </c>
    </row>
    <row r="59" customFormat="false" ht="15" hidden="false" customHeight="true" outlineLevel="0" collapsed="false">
      <c r="A59" s="189" t="s">
        <v>987</v>
      </c>
      <c r="B59" s="192" t="n">
        <f aca="false">B58/4</f>
        <v>0.0375</v>
      </c>
    </row>
    <row r="60" customFormat="false" ht="15" hidden="false" customHeight="true" outlineLevel="0" collapsed="false">
      <c r="A60" s="189" t="s">
        <v>988</v>
      </c>
      <c r="B60" s="243" t="n">
        <v>0</v>
      </c>
    </row>
    <row r="61" customFormat="false" ht="15" hidden="false" customHeight="true" outlineLevel="0" collapsed="false">
      <c r="A61" s="189" t="s">
        <v>989</v>
      </c>
      <c r="B61" s="243" t="n">
        <v>0</v>
      </c>
    </row>
    <row r="62" customFormat="false" ht="15" hidden="false" customHeight="true" outlineLevel="0" collapsed="false">
      <c r="A62" s="189" t="s">
        <v>990</v>
      </c>
      <c r="B62" s="243" t="n">
        <v>1784000</v>
      </c>
    </row>
    <row r="63" customFormat="false" ht="15" hidden="false" customHeight="true" outlineLevel="0" collapsed="false">
      <c r="A63" s="189" t="s">
        <v>991</v>
      </c>
      <c r="B63" s="243" t="n">
        <v>1766181</v>
      </c>
    </row>
    <row r="64" customFormat="false" ht="15" hidden="false" customHeight="true" outlineLevel="0" collapsed="false">
      <c r="A64" s="270" t="s">
        <v>992</v>
      </c>
    </row>
    <row r="65" customFormat="false" ht="13.5" hidden="false" customHeight="true" outlineLevel="0" collapsed="false">
      <c r="A65" s="189" t="s">
        <v>993</v>
      </c>
      <c r="B65" s="246" t="n">
        <v>60000</v>
      </c>
    </row>
    <row r="66" customFormat="false" ht="15" hidden="false" customHeight="true" outlineLevel="0" collapsed="false">
      <c r="A66" s="97" t="s">
        <v>101</v>
      </c>
    </row>
    <row r="67" customFormat="false" ht="15" hidden="false" customHeight="true" outlineLevel="0" collapsed="false">
      <c r="A67" s="90" t="s">
        <v>994</v>
      </c>
      <c r="B67" s="273" t="n">
        <v>833.33</v>
      </c>
    </row>
    <row r="68" customFormat="false" ht="15" hidden="false" customHeight="true" outlineLevel="0" collapsed="false">
      <c r="A68" s="90" t="s">
        <v>995</v>
      </c>
      <c r="B68" s="90" t="n">
        <v>5</v>
      </c>
    </row>
    <row r="70" customFormat="false" ht="15" hidden="false" customHeight="true" outlineLevel="0" collapsed="false">
      <c r="A70" s="274" t="s">
        <v>996</v>
      </c>
      <c r="B70" s="274"/>
    </row>
    <row r="71" customFormat="false" ht="15" hidden="false" customHeight="true" outlineLevel="0" collapsed="false">
      <c r="A71" s="275" t="s">
        <v>997</v>
      </c>
      <c r="B71" s="276" t="n">
        <v>1134000</v>
      </c>
    </row>
    <row r="72" customFormat="false" ht="15" hidden="false" customHeight="true" outlineLevel="0" collapsed="false">
      <c r="A72" s="277" t="s">
        <v>998</v>
      </c>
      <c r="B72" s="278" t="n">
        <v>50000</v>
      </c>
    </row>
    <row r="73" customFormat="false" ht="15" hidden="false" customHeight="true" outlineLevel="0" collapsed="false">
      <c r="A73" s="275" t="s">
        <v>999</v>
      </c>
      <c r="B73" s="279" t="n">
        <v>14</v>
      </c>
    </row>
    <row r="74" customFormat="false" ht="15" hidden="false" customHeight="true" outlineLevel="0" collapsed="false">
      <c r="A74" s="277" t="s">
        <v>179</v>
      </c>
      <c r="B74" s="278" t="n">
        <v>-1450000</v>
      </c>
    </row>
    <row r="75" customFormat="false" ht="15" hidden="false" customHeight="true" outlineLevel="0" collapsed="false">
      <c r="A75" s="275" t="s">
        <v>1000</v>
      </c>
      <c r="B75" s="276" t="n">
        <v>264927.15</v>
      </c>
    </row>
    <row r="76" customFormat="false" ht="15" hidden="false" customHeight="true" outlineLevel="0" collapsed="false">
      <c r="A76" s="277" t="s">
        <v>1001</v>
      </c>
      <c r="B76" s="278" t="n">
        <v>883090.5</v>
      </c>
    </row>
    <row r="77" customFormat="false" ht="15" hidden="false" customHeight="true" outlineLevel="0" collapsed="false">
      <c r="A77" s="275" t="s">
        <v>174</v>
      </c>
      <c r="B77" s="276" t="n">
        <v>-1800000</v>
      </c>
    </row>
    <row r="79" customFormat="false" ht="19.5" hidden="false" customHeight="true" outlineLevel="0" collapsed="false">
      <c r="A79" s="280" t="s">
        <v>1002</v>
      </c>
    </row>
    <row r="80" customFormat="false" ht="15" hidden="false" customHeight="true" outlineLevel="0" collapsed="false">
      <c r="A80" s="281" t="s">
        <v>1003</v>
      </c>
      <c r="B80" s="282" t="n">
        <v>1</v>
      </c>
    </row>
    <row r="82" customFormat="false" ht="27.75" hidden="false" customHeight="true" outlineLevel="0" collapsed="false">
      <c r="A82" s="168" t="s">
        <v>1004</v>
      </c>
      <c r="B82" s="168" t="s">
        <v>1005</v>
      </c>
      <c r="C82" s="168" t="s">
        <v>1006</v>
      </c>
    </row>
    <row r="83" customFormat="false" ht="15" hidden="false" customHeight="true" outlineLevel="0" collapsed="false">
      <c r="A83" s="283" t="s">
        <v>1007</v>
      </c>
      <c r="B83" s="284" t="n">
        <v>0</v>
      </c>
      <c r="C83" s="285" t="n">
        <v>0.25</v>
      </c>
    </row>
    <row r="84" customFormat="false" ht="15" hidden="false" customHeight="true" outlineLevel="0" collapsed="false">
      <c r="A84" s="283" t="s">
        <v>1008</v>
      </c>
      <c r="B84" s="284" t="n">
        <v>20000000</v>
      </c>
      <c r="C84" s="285" t="n">
        <v>0.5</v>
      </c>
    </row>
    <row r="85" customFormat="false" ht="15" hidden="false" customHeight="true" outlineLevel="0" collapsed="false">
      <c r="A85" s="283" t="s">
        <v>1009</v>
      </c>
      <c r="B85" s="284" t="n">
        <v>40000000</v>
      </c>
      <c r="C85" s="285" t="n">
        <v>0.75</v>
      </c>
    </row>
    <row r="86" customFormat="false" ht="15" hidden="false" customHeight="true" outlineLevel="0" collapsed="false">
      <c r="A86" s="283" t="s">
        <v>1010</v>
      </c>
      <c r="B86" s="284" t="n">
        <v>60000000</v>
      </c>
      <c r="C86" s="285" t="n">
        <v>1</v>
      </c>
    </row>
    <row r="88" customFormat="false" ht="15" hidden="false" customHeight="true" outlineLevel="0" collapsed="false">
      <c r="A88" s="72" t="s">
        <v>1011</v>
      </c>
    </row>
    <row r="92" customFormat="false" ht="15" hidden="false" customHeight="true" outlineLevel="0" collapsed="false">
      <c r="A92" s="1" t="s">
        <v>1012</v>
      </c>
    </row>
    <row r="93" customFormat="false" ht="15" hidden="false" customHeight="true" outlineLevel="0" collapsed="false">
      <c r="A93" s="1" t="s">
        <v>1013</v>
      </c>
    </row>
    <row r="94" customFormat="false" ht="15" hidden="false" customHeight="true" outlineLevel="0" collapsed="false">
      <c r="A94" s="1" t="s">
        <v>1014</v>
      </c>
    </row>
    <row r="95" customFormat="false" ht="15" hidden="false" customHeight="true" outlineLevel="0" collapsed="false">
      <c r="A95" s="1" t="s">
        <v>1015</v>
      </c>
    </row>
    <row r="96" customFormat="false" ht="15" hidden="false" customHeight="true" outlineLevel="0" collapsed="false">
      <c r="A96" s="1" t="s">
        <v>1016</v>
      </c>
    </row>
    <row r="97" customFormat="false" ht="15" hidden="false" customHeight="true" outlineLevel="0" collapsed="false">
      <c r="A97" s="1" t="s">
        <v>1017</v>
      </c>
    </row>
    <row r="98" customFormat="false" ht="15" hidden="false" customHeight="true" outlineLevel="0" collapsed="false">
      <c r="A98" s="1" t="s">
        <v>1018</v>
      </c>
    </row>
    <row r="99" customFormat="false" ht="15" hidden="false" customHeight="true" outlineLevel="0" collapsed="false">
      <c r="A99" s="1" t="s">
        <v>1019</v>
      </c>
    </row>
    <row r="100" customFormat="false" ht="15" hidden="false" customHeight="true" outlineLevel="0" collapsed="false">
      <c r="A100" s="1" t="s">
        <v>1020</v>
      </c>
    </row>
    <row r="101" customFormat="false" ht="15" hidden="false" customHeight="true" outlineLevel="0" collapsed="false">
      <c r="A101" s="1" t="s">
        <v>1021</v>
      </c>
    </row>
    <row r="102" customFormat="false" ht="15" hidden="false" customHeight="true" outlineLevel="0" collapsed="false">
      <c r="A102" s="1" t="s">
        <v>1022</v>
      </c>
    </row>
    <row r="103" customFormat="false" ht="15" hidden="false" customHeight="true" outlineLevel="0" collapsed="false">
      <c r="A103" s="1" t="s">
        <v>1023</v>
      </c>
    </row>
    <row r="104" customFormat="false" ht="15" hidden="false" customHeight="true" outlineLevel="0" collapsed="false">
      <c r="A104" s="1" t="s">
        <v>1024</v>
      </c>
    </row>
    <row r="105" customFormat="false" ht="15" hidden="false" customHeight="true" outlineLevel="0" collapsed="false">
      <c r="A105" s="1" t="s">
        <v>1025</v>
      </c>
    </row>
    <row r="106" customFormat="false" ht="15" hidden="false" customHeight="true" outlineLevel="0" collapsed="false">
      <c r="A106" s="1" t="s">
        <v>1026</v>
      </c>
    </row>
    <row r="108" customFormat="false" ht="15" hidden="false" customHeight="true" outlineLevel="0" collapsed="false">
      <c r="A108" s="1" t="s">
        <v>1027</v>
      </c>
    </row>
    <row r="109" customFormat="false" ht="15" hidden="false" customHeight="true" outlineLevel="0" collapsed="false">
      <c r="A109" s="1" t="s">
        <v>1028</v>
      </c>
    </row>
    <row r="110" customFormat="false" ht="15" hidden="false" customHeight="true" outlineLevel="0" collapsed="false">
      <c r="A110" s="1" t="s">
        <v>1029</v>
      </c>
    </row>
    <row r="112" customFormat="false" ht="15" hidden="false" customHeight="true" outlineLevel="0" collapsed="false">
      <c r="A112" s="1" t="s">
        <v>1030</v>
      </c>
    </row>
    <row r="113" customFormat="false" ht="15" hidden="false" customHeight="true" outlineLevel="0" collapsed="false">
      <c r="A113" s="1" t="s">
        <v>1031</v>
      </c>
    </row>
    <row r="114" customFormat="false" ht="15" hidden="false" customHeight="true" outlineLevel="0" collapsed="false">
      <c r="A114" s="1" t="s">
        <v>1032</v>
      </c>
    </row>
    <row r="115" customFormat="false" ht="15" hidden="false" customHeight="true" outlineLevel="0" collapsed="false">
      <c r="A115" s="1" t="s">
        <v>1033</v>
      </c>
    </row>
    <row r="117" customFormat="false" ht="15" hidden="false" customHeight="true" outlineLevel="0" collapsed="false">
      <c r="A117" s="1" t="s">
        <v>1034</v>
      </c>
    </row>
    <row r="118" customFormat="false" ht="15" hidden="false" customHeight="true" outlineLevel="0" collapsed="false">
      <c r="A118" s="1" t="s">
        <v>1035</v>
      </c>
    </row>
    <row r="119" customFormat="false" ht="15" hidden="false" customHeight="true" outlineLevel="0" collapsed="false">
      <c r="A119" s="1" t="s">
        <v>1036</v>
      </c>
    </row>
    <row r="120" customFormat="false" ht="15" hidden="false" customHeight="true" outlineLevel="0" collapsed="false">
      <c r="A120" s="1" t="s">
        <v>1037</v>
      </c>
    </row>
    <row r="121" customFormat="false" ht="15" hidden="false" customHeight="true" outlineLevel="0" collapsed="false">
      <c r="A121" s="1" t="s">
        <v>1038</v>
      </c>
    </row>
    <row r="130" customFormat="false" ht="15" hidden="false" customHeight="true" outlineLevel="0" collapsed="false">
      <c r="A130" s="1" t="s">
        <v>1039</v>
      </c>
    </row>
    <row r="131" customFormat="false" ht="15" hidden="false" customHeight="true" outlineLevel="0" collapsed="false">
      <c r="A131" s="1" t="s">
        <v>1040</v>
      </c>
    </row>
    <row r="132" customFormat="false" ht="15" hidden="false" customHeight="true" outlineLevel="0" collapsed="false">
      <c r="A132" s="1" t="s">
        <v>1041</v>
      </c>
    </row>
    <row r="133" customFormat="false" ht="15" hidden="false" customHeight="true" outlineLevel="0" collapsed="false">
      <c r="A133" s="1" t="s">
        <v>1042</v>
      </c>
    </row>
    <row r="134" customFormat="false" ht="15" hidden="false" customHeight="true" outlineLevel="0" collapsed="false">
      <c r="A134" s="1" t="s">
        <v>1043</v>
      </c>
    </row>
    <row r="135" customFormat="false" ht="15" hidden="false" customHeight="true" outlineLevel="0" collapsed="false">
      <c r="A135" s="1" t="s">
        <v>1044</v>
      </c>
    </row>
    <row r="136" customFormat="false" ht="15" hidden="false" customHeight="true" outlineLevel="0" collapsed="false">
      <c r="A136" s="1" t="s">
        <v>1045</v>
      </c>
    </row>
    <row r="137" customFormat="false" ht="15" hidden="false" customHeight="true" outlineLevel="0" collapsed="false">
      <c r="A137" s="1" t="s">
        <v>1046</v>
      </c>
    </row>
    <row r="138" customFormat="false" ht="15" hidden="false" customHeight="true" outlineLevel="0" collapsed="false">
      <c r="A138" s="1" t="s">
        <v>1047</v>
      </c>
    </row>
    <row r="139" customFormat="false" ht="15" hidden="false" customHeight="true" outlineLevel="0" collapsed="false">
      <c r="A139" s="1" t="s">
        <v>1048</v>
      </c>
    </row>
    <row r="141" customFormat="false" ht="15" hidden="false" customHeight="true" outlineLevel="0" collapsed="false">
      <c r="A141" s="1" t="s">
        <v>1049</v>
      </c>
    </row>
    <row r="142" customFormat="false" ht="15" hidden="false" customHeight="true" outlineLevel="0" collapsed="false">
      <c r="A142" s="1" t="s">
        <v>1050</v>
      </c>
    </row>
    <row r="143" customFormat="false" ht="15" hidden="false" customHeight="true" outlineLevel="0" collapsed="false">
      <c r="A143" s="1" t="s">
        <v>1051</v>
      </c>
    </row>
    <row r="144" customFormat="false" ht="15" hidden="false" customHeight="true" outlineLevel="0" collapsed="false">
      <c r="A144" s="1" t="s">
        <v>1052</v>
      </c>
    </row>
    <row r="145" customFormat="false" ht="15" hidden="false" customHeight="true" outlineLevel="0" collapsed="false">
      <c r="A145" s="1" t="s">
        <v>1053</v>
      </c>
    </row>
    <row r="146" customFormat="false" ht="15" hidden="false" customHeight="true" outlineLevel="0" collapsed="false">
      <c r="A146" s="1" t="s">
        <v>1054</v>
      </c>
    </row>
    <row r="147" customFormat="false" ht="15" hidden="false" customHeight="true" outlineLevel="0" collapsed="false">
      <c r="A147" s="1" t="s">
        <v>1055</v>
      </c>
    </row>
    <row r="148" customFormat="false" ht="15" hidden="false" customHeight="true" outlineLevel="0" collapsed="false">
      <c r="A148" s="1" t="s">
        <v>1056</v>
      </c>
    </row>
    <row r="149" customFormat="false" ht="15" hidden="false" customHeight="true" outlineLevel="0" collapsed="false">
      <c r="A149" s="1" t="s">
        <v>1057</v>
      </c>
    </row>
    <row r="150" customFormat="false" ht="13.5" hidden="false" customHeight="false" outlineLevel="0" collapsed="false">
      <c r="A150" s="280" t="s">
        <v>1058</v>
      </c>
    </row>
    <row r="151" customFormat="false" ht="13.5" hidden="false" customHeight="false" outlineLevel="0" collapsed="false">
      <c r="A151" s="189" t="s">
        <v>1059</v>
      </c>
      <c r="B151" s="246" t="n">
        <v>75000</v>
      </c>
    </row>
    <row r="152" customFormat="false" ht="13.5" hidden="false" customHeight="false" outlineLevel="0" collapsed="false">
      <c r="A152" s="189" t="s">
        <v>1060</v>
      </c>
      <c r="B152" s="246" t="n">
        <v>200000</v>
      </c>
    </row>
    <row r="153" customFormat="false" ht="13.5" hidden="false" customHeight="false" outlineLevel="0" collapsed="false">
      <c r="A153" s="189" t="s">
        <v>1061</v>
      </c>
      <c r="B153" s="246" t="n">
        <v>47000</v>
      </c>
    </row>
    <row r="154" customFormat="false" ht="13.5" hidden="false" customHeight="false" outlineLevel="0" collapsed="false">
      <c r="A154" s="189" t="s">
        <v>1062</v>
      </c>
      <c r="B154" s="246" t="n">
        <v>4000</v>
      </c>
    </row>
    <row r="155" customFormat="false" ht="13.5" hidden="false" customHeight="false" outlineLevel="0" collapsed="false">
      <c r="A155" s="189" t="s">
        <v>1063</v>
      </c>
      <c r="B155" s="246" t="n">
        <v>5550</v>
      </c>
    </row>
    <row r="156" customFormat="false" ht="13.5" hidden="false" customHeight="false" outlineLevel="0" collapsed="false">
      <c r="A156" s="280" t="s">
        <v>1064</v>
      </c>
    </row>
    <row r="267" customFormat="false" ht="13.5" hidden="false" customHeight="true" outlineLevel="0" collapsed="false"/>
    <row r="273" customFormat="false" ht="13.5" hidden="false" customHeight="true" outlineLevel="0" collapsed="false"/>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265625" defaultRowHeight="13.5" customHeight="false"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1065</v>
      </c>
      <c r="B1" s="4" t="s">
        <v>1066</v>
      </c>
    </row>
    <row r="2" customFormat="false" ht="15" hidden="false" customHeight="true" outlineLevel="0" collapsed="false">
      <c r="A2" s="281" t="n">
        <v>1</v>
      </c>
      <c r="B2" s="286" t="n">
        <f aca="false">IF(A2&lt;22,1,(1+Assumptions!$B$26)^(INT((A2-22)/12)+1))</f>
        <v>1</v>
      </c>
    </row>
    <row r="3" customFormat="false" ht="15" hidden="false" customHeight="true" outlineLevel="0" collapsed="false">
      <c r="A3" s="281" t="n">
        <v>2</v>
      </c>
      <c r="B3" s="286" t="n">
        <f aca="false">IF(A3&lt;22,1,(1+Assumptions!$B$26)^(INT((A3-22)/12)+1))</f>
        <v>1</v>
      </c>
    </row>
    <row r="4" customFormat="false" ht="15" hidden="false" customHeight="true" outlineLevel="0" collapsed="false">
      <c r="A4" s="281" t="n">
        <v>3</v>
      </c>
      <c r="B4" s="286" t="n">
        <f aca="false">IF(A4&lt;22,1,(1+Assumptions!$B$26)^(INT((A4-22)/12)+1))</f>
        <v>1</v>
      </c>
    </row>
    <row r="5" customFormat="false" ht="15" hidden="false" customHeight="true" outlineLevel="0" collapsed="false">
      <c r="A5" s="281" t="n">
        <v>4</v>
      </c>
      <c r="B5" s="286" t="n">
        <f aca="false">IF(A5&lt;22,1,(1+Assumptions!$B$26)^(INT((A5-22)/12)+1))</f>
        <v>1</v>
      </c>
    </row>
    <row r="6" customFormat="false" ht="15" hidden="false" customHeight="true" outlineLevel="0" collapsed="false">
      <c r="A6" s="281" t="n">
        <v>5</v>
      </c>
      <c r="B6" s="286" t="n">
        <f aca="false">IF(A6&lt;22,1,(1+Assumptions!$B$26)^(INT((A6-22)/12)+1))</f>
        <v>1</v>
      </c>
    </row>
    <row r="7" customFormat="false" ht="15" hidden="false" customHeight="true" outlineLevel="0" collapsed="false">
      <c r="A7" s="281" t="n">
        <v>6</v>
      </c>
      <c r="B7" s="286" t="n">
        <f aca="false">IF(A7&lt;22,1,(1+Assumptions!$B$26)^(INT((A7-22)/12)+1))</f>
        <v>1</v>
      </c>
    </row>
    <row r="8" customFormat="false" ht="15" hidden="false" customHeight="true" outlineLevel="0" collapsed="false">
      <c r="A8" s="281" t="n">
        <v>7</v>
      </c>
      <c r="B8" s="286" t="n">
        <f aca="false">IF(A8&lt;22,1,(1+Assumptions!$B$26)^(INT((A8-22)/12)+1))</f>
        <v>1</v>
      </c>
    </row>
    <row r="9" customFormat="false" ht="15" hidden="false" customHeight="true" outlineLevel="0" collapsed="false">
      <c r="A9" s="281" t="n">
        <v>8</v>
      </c>
      <c r="B9" s="286" t="n">
        <f aca="false">IF(A9&lt;22,1,(1+Assumptions!$B$26)^(INT((A9-22)/12)+1))</f>
        <v>1</v>
      </c>
    </row>
    <row r="10" customFormat="false" ht="15" hidden="false" customHeight="true" outlineLevel="0" collapsed="false">
      <c r="A10" s="281" t="n">
        <v>9</v>
      </c>
      <c r="B10" s="286" t="n">
        <f aca="false">IF(A10&lt;22,1,(1+Assumptions!$B$26)^(INT((A10-22)/12)+1))</f>
        <v>1</v>
      </c>
    </row>
    <row r="11" customFormat="false" ht="15" hidden="false" customHeight="true" outlineLevel="0" collapsed="false">
      <c r="A11" s="281" t="n">
        <v>10</v>
      </c>
      <c r="B11" s="286" t="n">
        <f aca="false">IF(A11&lt;22,1,(1+Assumptions!$B$26)^(INT((A11-22)/12)+1))</f>
        <v>1</v>
      </c>
    </row>
    <row r="12" customFormat="false" ht="15" hidden="false" customHeight="true" outlineLevel="0" collapsed="false">
      <c r="A12" s="281" t="n">
        <v>11</v>
      </c>
      <c r="B12" s="286" t="n">
        <f aca="false">IF(A12&lt;22,1,(1+Assumptions!$B$26)^(INT((A12-22)/12)+1))</f>
        <v>1</v>
      </c>
    </row>
    <row r="13" customFormat="false" ht="15" hidden="false" customHeight="true" outlineLevel="0" collapsed="false">
      <c r="A13" s="281" t="n">
        <v>12</v>
      </c>
      <c r="B13" s="286" t="n">
        <f aca="false">IF(A13&lt;22,1,(1+Assumptions!$B$26)^(INT((A13-22)/12)+1))</f>
        <v>1</v>
      </c>
    </row>
    <row r="14" customFormat="false" ht="15" hidden="false" customHeight="true" outlineLevel="0" collapsed="false">
      <c r="A14" s="281" t="n">
        <v>13</v>
      </c>
      <c r="B14" s="286" t="n">
        <f aca="false">IF(A14&lt;22,1,(1+Assumptions!$B$26)^(INT((A14-22)/12)+1))</f>
        <v>1</v>
      </c>
    </row>
    <row r="15" customFormat="false" ht="15" hidden="false" customHeight="true" outlineLevel="0" collapsed="false">
      <c r="A15" s="281" t="n">
        <v>14</v>
      </c>
      <c r="B15" s="286" t="n">
        <f aca="false">IF(A15&lt;22,1,(1+Assumptions!$B$26)^(INT((A15-22)/12)+1))</f>
        <v>1</v>
      </c>
    </row>
    <row r="16" customFormat="false" ht="15" hidden="false" customHeight="true" outlineLevel="0" collapsed="false">
      <c r="A16" s="281" t="n">
        <v>15</v>
      </c>
      <c r="B16" s="286" t="n">
        <f aca="false">IF(A16&lt;22,1,(1+Assumptions!$B$26)^(INT((A16-22)/12)+1))</f>
        <v>1</v>
      </c>
    </row>
    <row r="17" customFormat="false" ht="15" hidden="false" customHeight="true" outlineLevel="0" collapsed="false">
      <c r="A17" s="281" t="n">
        <v>16</v>
      </c>
      <c r="B17" s="286" t="n">
        <f aca="false">IF(A17&lt;22,1,(1+Assumptions!$B$26)^(INT((A17-22)/12)+1))</f>
        <v>1</v>
      </c>
    </row>
    <row r="18" customFormat="false" ht="15" hidden="false" customHeight="true" outlineLevel="0" collapsed="false">
      <c r="A18" s="281" t="n">
        <v>17</v>
      </c>
      <c r="B18" s="286" t="n">
        <f aca="false">IF(A18&lt;22,1,(1+Assumptions!$B$26)^(INT((A18-22)/12)+1))</f>
        <v>1</v>
      </c>
    </row>
    <row r="19" customFormat="false" ht="15" hidden="false" customHeight="true" outlineLevel="0" collapsed="false">
      <c r="A19" s="281" t="n">
        <v>18</v>
      </c>
      <c r="B19" s="286" t="n">
        <f aca="false">IF(A19&lt;22,1,(1+Assumptions!$B$26)^(INT((A19-22)/12)+1))</f>
        <v>1</v>
      </c>
    </row>
    <row r="20" customFormat="false" ht="15" hidden="false" customHeight="true" outlineLevel="0" collapsed="false">
      <c r="A20" s="281" t="n">
        <v>19</v>
      </c>
      <c r="B20" s="286" t="n">
        <f aca="false">IF(A20&lt;22,1,(1+Assumptions!$B$26)^(INT((A20-22)/12)+1))</f>
        <v>1</v>
      </c>
    </row>
    <row r="21" customFormat="false" ht="15" hidden="false" customHeight="true" outlineLevel="0" collapsed="false">
      <c r="A21" s="281" t="n">
        <v>20</v>
      </c>
      <c r="B21" s="286" t="n">
        <f aca="false">IF(A21&lt;22,1,(1+Assumptions!$B$26)^(INT((A21-22)/12)+1))</f>
        <v>1</v>
      </c>
    </row>
    <row r="22" customFormat="false" ht="15" hidden="false" customHeight="true" outlineLevel="0" collapsed="false">
      <c r="A22" s="281" t="n">
        <v>21</v>
      </c>
      <c r="B22" s="286" t="n">
        <f aca="false">IF(A22&lt;22,1,(1+Assumptions!$B$26)^(INT((A22-22)/12)+1))</f>
        <v>1</v>
      </c>
    </row>
    <row r="23" customFormat="false" ht="15" hidden="false" customHeight="true" outlineLevel="0" collapsed="false">
      <c r="A23" s="281" t="n">
        <v>22</v>
      </c>
      <c r="B23" s="286" t="n">
        <f aca="false">IF(A23&lt;22,1,(1+Assumptions!$B$26)^(INT((A23-22)/12)+1))</f>
        <v>1.02</v>
      </c>
    </row>
    <row r="24" customFormat="false" ht="15" hidden="false" customHeight="true" outlineLevel="0" collapsed="false">
      <c r="A24" s="281" t="n">
        <v>23</v>
      </c>
      <c r="B24" s="286" t="n">
        <f aca="false">IF(A24&lt;22,1,(1+Assumptions!$B$26)^(INT((A24-22)/12)+1))</f>
        <v>1.02</v>
      </c>
    </row>
    <row r="25" customFormat="false" ht="15" hidden="false" customHeight="true" outlineLevel="0" collapsed="false">
      <c r="A25" s="281" t="n">
        <v>24</v>
      </c>
      <c r="B25" s="286" t="n">
        <f aca="false">IF(A25&lt;22,1,(1+Assumptions!$B$26)^(INT((A25-22)/12)+1))</f>
        <v>1.02</v>
      </c>
    </row>
    <row r="26" customFormat="false" ht="15" hidden="false" customHeight="true" outlineLevel="0" collapsed="false">
      <c r="A26" s="281" t="n">
        <v>25</v>
      </c>
      <c r="B26" s="286" t="n">
        <f aca="false">IF(A26&lt;22,1,(1+Assumptions!$B$26)^(INT((A26-22)/12)+1))</f>
        <v>1.02</v>
      </c>
    </row>
    <row r="27" customFormat="false" ht="15" hidden="false" customHeight="true" outlineLevel="0" collapsed="false">
      <c r="A27" s="281" t="n">
        <v>26</v>
      </c>
      <c r="B27" s="286" t="n">
        <f aca="false">IF(A27&lt;22,1,(1+Assumptions!$B$26)^(INT((A27-22)/12)+1))</f>
        <v>1.02</v>
      </c>
    </row>
    <row r="28" customFormat="false" ht="15" hidden="false" customHeight="true" outlineLevel="0" collapsed="false">
      <c r="A28" s="281" t="n">
        <v>27</v>
      </c>
      <c r="B28" s="286" t="n">
        <f aca="false">IF(A28&lt;22,1,(1+Assumptions!$B$26)^(INT((A28-22)/12)+1))</f>
        <v>1.02</v>
      </c>
    </row>
    <row r="29" customFormat="false" ht="15" hidden="false" customHeight="true" outlineLevel="0" collapsed="false">
      <c r="A29" s="281" t="n">
        <v>28</v>
      </c>
      <c r="B29" s="286" t="n">
        <f aca="false">IF(A29&lt;22,1,(1+Assumptions!$B$26)^(INT((A29-22)/12)+1))</f>
        <v>1.02</v>
      </c>
    </row>
    <row r="30" customFormat="false" ht="15" hidden="false" customHeight="true" outlineLevel="0" collapsed="false">
      <c r="A30" s="281" t="n">
        <v>29</v>
      </c>
      <c r="B30" s="286" t="n">
        <f aca="false">IF(A30&lt;22,1,(1+Assumptions!$B$26)^(INT((A30-22)/12)+1))</f>
        <v>1.02</v>
      </c>
    </row>
    <row r="31" customFormat="false" ht="15" hidden="false" customHeight="true" outlineLevel="0" collapsed="false">
      <c r="A31" s="281" t="n">
        <v>30</v>
      </c>
      <c r="B31" s="286" t="n">
        <f aca="false">IF(A31&lt;22,1,(1+Assumptions!$B$26)^(INT((A31-22)/12)+1))</f>
        <v>1.02</v>
      </c>
    </row>
    <row r="32" customFormat="false" ht="15" hidden="false" customHeight="true" outlineLevel="0" collapsed="false">
      <c r="A32" s="281" t="n">
        <v>31</v>
      </c>
      <c r="B32" s="286" t="n">
        <f aca="false">IF(A32&lt;22,1,(1+Assumptions!$B$26)^(INT((A32-22)/12)+1))</f>
        <v>1.02</v>
      </c>
    </row>
    <row r="33" customFormat="false" ht="15" hidden="false" customHeight="true" outlineLevel="0" collapsed="false">
      <c r="A33" s="281" t="n">
        <v>32</v>
      </c>
      <c r="B33" s="286" t="n">
        <f aca="false">IF(A33&lt;22,1,(1+Assumptions!$B$26)^(INT((A33-22)/12)+1))</f>
        <v>1.02</v>
      </c>
    </row>
    <row r="34" customFormat="false" ht="15" hidden="false" customHeight="true" outlineLevel="0" collapsed="false">
      <c r="A34" s="281" t="n">
        <v>33</v>
      </c>
      <c r="B34" s="286" t="n">
        <f aca="false">IF(A34&lt;22,1,(1+Assumptions!$B$26)^(INT((A34-22)/12)+1))</f>
        <v>1.02</v>
      </c>
    </row>
    <row r="35" customFormat="false" ht="15" hidden="false" customHeight="true" outlineLevel="0" collapsed="false">
      <c r="A35" s="281" t="n">
        <v>34</v>
      </c>
      <c r="B35" s="286" t="n">
        <f aca="false">IF(A35&lt;22,1,(1+Assumptions!$B$26)^(INT((A35-22)/12)+1))</f>
        <v>1.0404</v>
      </c>
    </row>
    <row r="36" customFormat="false" ht="15" hidden="false" customHeight="true" outlineLevel="0" collapsed="false">
      <c r="A36" s="281" t="n">
        <v>35</v>
      </c>
      <c r="B36" s="286" t="n">
        <f aca="false">IF(A36&lt;22,1,(1+Assumptions!$B$26)^(INT((A36-22)/12)+1))</f>
        <v>1.0404</v>
      </c>
    </row>
    <row r="37" customFormat="false" ht="15" hidden="false" customHeight="true" outlineLevel="0" collapsed="false">
      <c r="A37" s="281" t="n">
        <v>36</v>
      </c>
      <c r="B37" s="286" t="n">
        <f aca="false">IF(A37&lt;22,1,(1+Assumptions!$B$26)^(INT((A37-22)/12)+1))</f>
        <v>1.0404</v>
      </c>
    </row>
    <row r="38" customFormat="false" ht="15" hidden="false" customHeight="true" outlineLevel="0" collapsed="false">
      <c r="A38" s="281" t="n">
        <v>37</v>
      </c>
      <c r="B38" s="286" t="n">
        <f aca="false">IF(A38&lt;22,1,(1+Assumptions!$B$26)^(INT((A38-22)/12)+1))</f>
        <v>1.0404</v>
      </c>
    </row>
    <row r="39" customFormat="false" ht="15" hidden="false" customHeight="true" outlineLevel="0" collapsed="false">
      <c r="A39" s="281" t="n">
        <v>38</v>
      </c>
      <c r="B39" s="286" t="n">
        <f aca="false">IF(A39&lt;22,1,(1+Assumptions!$B$26)^(INT((A39-22)/12)+1))</f>
        <v>1.0404</v>
      </c>
    </row>
    <row r="40" customFormat="false" ht="15" hidden="false" customHeight="true" outlineLevel="0" collapsed="false">
      <c r="A40" s="281" t="n">
        <v>39</v>
      </c>
      <c r="B40" s="286" t="n">
        <f aca="false">IF(A40&lt;22,1,(1+Assumptions!$B$26)^(INT((A40-22)/12)+1))</f>
        <v>1.0404</v>
      </c>
    </row>
    <row r="41" customFormat="false" ht="15" hidden="false" customHeight="true" outlineLevel="0" collapsed="false">
      <c r="A41" s="281" t="n">
        <v>40</v>
      </c>
      <c r="B41" s="286" t="n">
        <f aca="false">IF(A41&lt;22,1,(1+Assumptions!$B$26)^(INT((A41-22)/12)+1))</f>
        <v>1.0404</v>
      </c>
    </row>
    <row r="42" customFormat="false" ht="15" hidden="false" customHeight="true" outlineLevel="0" collapsed="false">
      <c r="A42" s="281" t="n">
        <v>41</v>
      </c>
      <c r="B42" s="286" t="n">
        <f aca="false">IF(A42&lt;22,1,(1+Assumptions!$B$26)^(INT((A42-22)/12)+1))</f>
        <v>1.0404</v>
      </c>
    </row>
    <row r="43" customFormat="false" ht="15" hidden="false" customHeight="true" outlineLevel="0" collapsed="false">
      <c r="A43" s="281" t="n">
        <v>42</v>
      </c>
      <c r="B43" s="286" t="n">
        <f aca="false">IF(A43&lt;22,1,(1+Assumptions!$B$26)^(INT((A43-22)/12)+1))</f>
        <v>1.0404</v>
      </c>
    </row>
    <row r="44" customFormat="false" ht="15" hidden="false" customHeight="true" outlineLevel="0" collapsed="false">
      <c r="A44" s="281" t="n">
        <v>43</v>
      </c>
      <c r="B44" s="286" t="n">
        <f aca="false">IF(A44&lt;22,1,(1+Assumptions!$B$26)^(INT((A44-22)/12)+1))</f>
        <v>1.0404</v>
      </c>
    </row>
    <row r="45" customFormat="false" ht="15" hidden="false" customHeight="true" outlineLevel="0" collapsed="false">
      <c r="A45" s="281" t="n">
        <v>44</v>
      </c>
      <c r="B45" s="286" t="n">
        <f aca="false">IF(A45&lt;22,1,(1+Assumptions!$B$26)^(INT((A45-22)/12)+1))</f>
        <v>1.0404</v>
      </c>
    </row>
    <row r="46" customFormat="false" ht="15" hidden="false" customHeight="true" outlineLevel="0" collapsed="false">
      <c r="A46" s="281" t="n">
        <v>45</v>
      </c>
      <c r="B46" s="286" t="n">
        <f aca="false">IF(A46&lt;22,1,(1+Assumptions!$B$26)^(INT((A46-22)/12)+1))</f>
        <v>1.0404</v>
      </c>
    </row>
    <row r="47" customFormat="false" ht="15" hidden="false" customHeight="true" outlineLevel="0" collapsed="false">
      <c r="A47" s="281" t="n">
        <v>46</v>
      </c>
      <c r="B47" s="286" t="n">
        <f aca="false">IF(A47&lt;22,1,(1+Assumptions!$B$26)^(INT((A47-22)/12)+1))</f>
        <v>1.061208</v>
      </c>
    </row>
    <row r="48" customFormat="false" ht="15" hidden="false" customHeight="true" outlineLevel="0" collapsed="false">
      <c r="A48" s="281" t="n">
        <v>47</v>
      </c>
      <c r="B48" s="286" t="n">
        <f aca="false">IF(A48&lt;22,1,(1+Assumptions!$B$26)^(INT((A48-22)/12)+1))</f>
        <v>1.061208</v>
      </c>
    </row>
    <row r="49" customFormat="false" ht="15" hidden="false" customHeight="true" outlineLevel="0" collapsed="false">
      <c r="A49" s="281" t="n">
        <v>48</v>
      </c>
      <c r="B49" s="286" t="n">
        <f aca="false">IF(A49&lt;22,1,(1+Assumptions!$B$26)^(INT((A49-22)/12)+1))</f>
        <v>1.061208</v>
      </c>
    </row>
    <row r="50" customFormat="false" ht="15" hidden="false" customHeight="true" outlineLevel="0" collapsed="false">
      <c r="A50" s="281" t="n">
        <v>49</v>
      </c>
      <c r="B50" s="286" t="n">
        <f aca="false">IF(A50&lt;22,1,(1+Assumptions!$B$26)^(INT((A50-22)/12)+1))</f>
        <v>1.061208</v>
      </c>
    </row>
    <row r="51" customFormat="false" ht="15" hidden="false" customHeight="true" outlineLevel="0" collapsed="false">
      <c r="A51" s="281" t="n">
        <v>50</v>
      </c>
      <c r="B51" s="286" t="n">
        <f aca="false">IF(A51&lt;22,1,(1+Assumptions!$B$26)^(INT((A51-22)/12)+1))</f>
        <v>1.061208</v>
      </c>
    </row>
    <row r="52" customFormat="false" ht="15" hidden="false" customHeight="true" outlineLevel="0" collapsed="false">
      <c r="A52" s="281" t="n">
        <v>51</v>
      </c>
      <c r="B52" s="286" t="n">
        <f aca="false">IF(A52&lt;22,1,(1+Assumptions!$B$26)^(INT((A52-22)/12)+1))</f>
        <v>1.061208</v>
      </c>
    </row>
    <row r="53" customFormat="false" ht="15" hidden="false" customHeight="true" outlineLevel="0" collapsed="false">
      <c r="A53" s="281" t="n">
        <v>52</v>
      </c>
      <c r="B53" s="286" t="n">
        <f aca="false">IF(A53&lt;22,1,(1+Assumptions!$B$26)^(INT((A53-22)/12)+1))</f>
        <v>1.061208</v>
      </c>
    </row>
    <row r="54" customFormat="false" ht="15" hidden="false" customHeight="true" outlineLevel="0" collapsed="false">
      <c r="A54" s="281" t="n">
        <v>53</v>
      </c>
      <c r="B54" s="286" t="n">
        <f aca="false">IF(A54&lt;22,1,(1+Assumptions!$B$26)^(INT((A54-22)/12)+1))</f>
        <v>1.061208</v>
      </c>
    </row>
    <row r="55" customFormat="false" ht="15" hidden="false" customHeight="true" outlineLevel="0" collapsed="false">
      <c r="A55" s="281" t="n">
        <v>54</v>
      </c>
      <c r="B55" s="286" t="n">
        <f aca="false">IF(A55&lt;22,1,(1+Assumptions!$B$26)^(INT((A55-22)/12)+1))</f>
        <v>1.061208</v>
      </c>
    </row>
    <row r="56" customFormat="false" ht="15" hidden="false" customHeight="true" outlineLevel="0" collapsed="false">
      <c r="A56" s="281" t="n">
        <v>55</v>
      </c>
      <c r="B56" s="286" t="n">
        <f aca="false">IF(A56&lt;22,1,(1+Assumptions!$B$26)^(INT((A56-22)/12)+1))</f>
        <v>1.061208</v>
      </c>
    </row>
    <row r="57" customFormat="false" ht="15" hidden="false" customHeight="true" outlineLevel="0" collapsed="false">
      <c r="A57" s="281" t="n">
        <v>56</v>
      </c>
      <c r="B57" s="286" t="n">
        <f aca="false">IF(A57&lt;22,1,(1+Assumptions!$B$26)^(INT((A57-22)/12)+1))</f>
        <v>1.061208</v>
      </c>
    </row>
    <row r="58" customFormat="false" ht="15" hidden="false" customHeight="true" outlineLevel="0" collapsed="false">
      <c r="A58" s="281" t="n">
        <v>57</v>
      </c>
      <c r="B58" s="286" t="n">
        <f aca="false">IF(A58&lt;22,1,(1+Assumptions!$B$26)^(INT((A58-22)/12)+1))</f>
        <v>1.061208</v>
      </c>
    </row>
    <row r="59" customFormat="false" ht="15" hidden="false" customHeight="true" outlineLevel="0" collapsed="false">
      <c r="A59" s="281" t="n">
        <v>58</v>
      </c>
      <c r="B59" s="286" t="n">
        <f aca="false">IF(A59&lt;22,1,(1+Assumptions!$B$26)^(INT((A59-22)/12)+1))</f>
        <v>1.08243216</v>
      </c>
    </row>
    <row r="60" customFormat="false" ht="15" hidden="false" customHeight="true" outlineLevel="0" collapsed="false">
      <c r="A60" s="281" t="n">
        <v>59</v>
      </c>
      <c r="B60" s="286" t="n">
        <f aca="false">IF(A60&lt;22,1,(1+Assumptions!$B$26)^(INT((A60-22)/12)+1))</f>
        <v>1.08243216</v>
      </c>
    </row>
    <row r="61" customFormat="false" ht="15" hidden="false" customHeight="true" outlineLevel="0" collapsed="false">
      <c r="A61" s="281" t="n">
        <v>60</v>
      </c>
      <c r="B61" s="286" t="n">
        <f aca="false">IF(A61&lt;22,1,(1+Assumptions!$B$26)^(INT((A61-22)/12)+1))</f>
        <v>1.08243216</v>
      </c>
    </row>
    <row r="62" customFormat="false" ht="15" hidden="false" customHeight="true" outlineLevel="0" collapsed="false">
      <c r="A62" s="281" t="n">
        <v>61</v>
      </c>
      <c r="B62" s="286" t="n">
        <f aca="false">IF(A62&lt;22,1,(1+Assumptions!$B$26)^(INT((A62-22)/12)+1))</f>
        <v>1.08243216</v>
      </c>
    </row>
    <row r="63" customFormat="false" ht="15" hidden="false" customHeight="true" outlineLevel="0" collapsed="false">
      <c r="A63" s="281" t="n">
        <v>62</v>
      </c>
      <c r="B63" s="286" t="n">
        <f aca="false">IF(A63&lt;22,1,(1+Assumptions!$B$26)^(INT((A63-22)/12)+1))</f>
        <v>1.08243216</v>
      </c>
    </row>
    <row r="64" customFormat="false" ht="15" hidden="false" customHeight="true" outlineLevel="0" collapsed="false">
      <c r="A64" s="281" t="n">
        <v>63</v>
      </c>
      <c r="B64" s="286" t="n">
        <f aca="false">IF(A64&lt;22,1,(1+Assumptions!$B$26)^(INT((A64-22)/12)+1))</f>
        <v>1.08243216</v>
      </c>
    </row>
    <row r="65" customFormat="false" ht="15" hidden="false" customHeight="true" outlineLevel="0" collapsed="false">
      <c r="A65" s="281" t="n">
        <v>64</v>
      </c>
      <c r="B65" s="286" t="n">
        <f aca="false">IF(A65&lt;22,1,(1+Assumptions!$B$26)^(INT((A65-22)/12)+1))</f>
        <v>1.08243216</v>
      </c>
    </row>
    <row r="66" customFormat="false" ht="15" hidden="false" customHeight="true" outlineLevel="0" collapsed="false">
      <c r="A66" s="281" t="n">
        <v>65</v>
      </c>
      <c r="B66" s="286" t="n">
        <f aca="false">IF(A66&lt;22,1,(1+Assumptions!$B$26)^(INT((A66-22)/12)+1))</f>
        <v>1.08243216</v>
      </c>
    </row>
    <row r="67" customFormat="false" ht="15" hidden="false" customHeight="true" outlineLevel="0" collapsed="false">
      <c r="A67" s="281" t="n">
        <v>66</v>
      </c>
      <c r="B67" s="286" t="n">
        <f aca="false">IF(A67&lt;22,1,(1+Assumptions!$B$26)^(INT((A67-22)/12)+1))</f>
        <v>1.08243216</v>
      </c>
    </row>
    <row r="68" customFormat="false" ht="15" hidden="false" customHeight="true" outlineLevel="0" collapsed="false">
      <c r="A68" s="281" t="n">
        <v>67</v>
      </c>
      <c r="B68" s="286" t="n">
        <f aca="false">IF(A68&lt;22,1,(1+Assumptions!$B$26)^(INT((A68-22)/12)+1))</f>
        <v>1.08243216</v>
      </c>
    </row>
    <row r="69" customFormat="false" ht="15" hidden="false" customHeight="true" outlineLevel="0" collapsed="false">
      <c r="A69" s="281" t="n">
        <v>68</v>
      </c>
      <c r="B69" s="286" t="n">
        <f aca="false">IF(A69&lt;22,1,(1+Assumptions!$B$26)^(INT((A69-22)/12)+1))</f>
        <v>1.08243216</v>
      </c>
    </row>
    <row r="70" customFormat="false" ht="15" hidden="false" customHeight="true" outlineLevel="0" collapsed="false">
      <c r="A70" s="281" t="n">
        <v>69</v>
      </c>
      <c r="B70" s="286" t="n">
        <f aca="false">IF(A70&lt;22,1,(1+Assumptions!$B$26)^(INT((A70-22)/12)+1))</f>
        <v>1.08243216</v>
      </c>
    </row>
    <row r="71" customFormat="false" ht="15" hidden="false" customHeight="true" outlineLevel="0" collapsed="false">
      <c r="A71" s="281" t="n">
        <v>70</v>
      </c>
      <c r="B71" s="286" t="n">
        <f aca="false">IF(A71&lt;22,1,(1+Assumptions!$B$26)^(INT((A71-22)/12)+1))</f>
        <v>1.1040808032</v>
      </c>
    </row>
    <row r="72" customFormat="false" ht="15" hidden="false" customHeight="true" outlineLevel="0" collapsed="false">
      <c r="A72" s="281" t="n">
        <v>71</v>
      </c>
      <c r="B72" s="286" t="n">
        <f aca="false">IF(A72&lt;22,1,(1+Assumptions!$B$26)^(INT((A72-22)/12)+1))</f>
        <v>1.1040808032</v>
      </c>
    </row>
    <row r="73" customFormat="false" ht="15" hidden="false" customHeight="true" outlineLevel="0" collapsed="false">
      <c r="A73" s="281" t="n">
        <v>72</v>
      </c>
      <c r="B73" s="286" t="n">
        <f aca="false">IF(A73&lt;22,1,(1+Assumptions!$B$26)^(INT((A73-22)/12)+1))</f>
        <v>1.1040808032</v>
      </c>
    </row>
    <row r="74" customFormat="false" ht="15" hidden="false" customHeight="true" outlineLevel="0" collapsed="false">
      <c r="A74" s="281" t="n">
        <v>73</v>
      </c>
      <c r="B74" s="286" t="n">
        <f aca="false">IF(A74&lt;22,1,(1+Assumptions!$B$26)^(INT((A74-22)/12)+1))</f>
        <v>1.1040808032</v>
      </c>
    </row>
    <row r="75" customFormat="false" ht="15" hidden="false" customHeight="true" outlineLevel="0" collapsed="false">
      <c r="A75" s="281" t="n">
        <v>74</v>
      </c>
      <c r="B75" s="286" t="n">
        <f aca="false">IF(A75&lt;22,1,(1+Assumptions!$B$26)^(INT((A75-22)/12)+1))</f>
        <v>1.1040808032</v>
      </c>
    </row>
    <row r="76" customFormat="false" ht="15" hidden="false" customHeight="true" outlineLevel="0" collapsed="false">
      <c r="A76" s="281" t="n">
        <v>75</v>
      </c>
      <c r="B76" s="286" t="n">
        <f aca="false">IF(A76&lt;22,1,(1+Assumptions!$B$26)^(INT((A76-22)/12)+1))</f>
        <v>1.1040808032</v>
      </c>
    </row>
    <row r="77" customFormat="false" ht="15" hidden="false" customHeight="true" outlineLevel="0" collapsed="false">
      <c r="A77" s="281" t="n">
        <v>76</v>
      </c>
      <c r="B77" s="286" t="n">
        <f aca="false">IF(A77&lt;22,1,(1+Assumptions!$B$26)^(INT((A77-22)/12)+1))</f>
        <v>1.1040808032</v>
      </c>
    </row>
    <row r="78" customFormat="false" ht="15" hidden="false" customHeight="true" outlineLevel="0" collapsed="false">
      <c r="A78" s="281" t="n">
        <v>77</v>
      </c>
      <c r="B78" s="286" t="n">
        <f aca="false">IF(A78&lt;22,1,(1+Assumptions!$B$26)^(INT((A78-22)/12)+1))</f>
        <v>1.1040808032</v>
      </c>
    </row>
    <row r="79" customFormat="false" ht="15" hidden="false" customHeight="true" outlineLevel="0" collapsed="false">
      <c r="A79" s="281" t="n">
        <v>78</v>
      </c>
      <c r="B79" s="286" t="n">
        <f aca="false">IF(A79&lt;22,1,(1+Assumptions!$B$26)^(INT((A79-22)/12)+1))</f>
        <v>1.1040808032</v>
      </c>
    </row>
    <row r="80" customFormat="false" ht="15" hidden="false" customHeight="true" outlineLevel="0" collapsed="false">
      <c r="A80" s="281" t="n">
        <v>79</v>
      </c>
      <c r="B80" s="286" t="n">
        <f aca="false">IF(A80&lt;22,1,(1+Assumptions!$B$26)^(INT((A80-22)/12)+1))</f>
        <v>1.1040808032</v>
      </c>
    </row>
    <row r="81" customFormat="false" ht="15" hidden="false" customHeight="true" outlineLevel="0" collapsed="false">
      <c r="A81" s="281" t="n">
        <v>80</v>
      </c>
      <c r="B81" s="286" t="n">
        <f aca="false">IF(A81&lt;22,1,(1+Assumptions!$B$26)^(INT((A81-22)/12)+1))</f>
        <v>1.1040808032</v>
      </c>
    </row>
    <row r="82" customFormat="false" ht="15" hidden="false" customHeight="true" outlineLevel="0" collapsed="false">
      <c r="A82" s="281" t="n">
        <v>81</v>
      </c>
      <c r="B82" s="286" t="n">
        <f aca="false">IF(A82&lt;22,1,(1+Assumptions!$B$26)^(INT((A82-22)/12)+1))</f>
        <v>1.1040808032</v>
      </c>
    </row>
    <row r="83" customFormat="false" ht="15" hidden="false" customHeight="true" outlineLevel="0" collapsed="false">
      <c r="A83" s="281" t="n">
        <v>82</v>
      </c>
      <c r="B83" s="286" t="n">
        <f aca="false">IF(A83&lt;22,1,(1+Assumptions!$B$26)^(INT((A83-22)/12)+1))</f>
        <v>1.126162419264</v>
      </c>
    </row>
    <row r="84" customFormat="false" ht="15" hidden="false" customHeight="true" outlineLevel="0" collapsed="false">
      <c r="A84" s="281" t="n">
        <v>83</v>
      </c>
      <c r="B84" s="286" t="n">
        <f aca="false">IF(A84&lt;22,1,(1+Assumptions!$B$26)^(INT((A84-22)/12)+1))</f>
        <v>1.126162419264</v>
      </c>
    </row>
    <row r="85" customFormat="false" ht="15" hidden="false" customHeight="true" outlineLevel="0" collapsed="false">
      <c r="A85" s="281" t="n">
        <v>84</v>
      </c>
      <c r="B85" s="286" t="n">
        <f aca="false">IF(A85&lt;22,1,(1+Assumptions!$B$26)^(INT((A85-22)/12)+1))</f>
        <v>1.126162419264</v>
      </c>
    </row>
    <row r="86" customFormat="false" ht="15" hidden="false" customHeight="true" outlineLevel="0" collapsed="false">
      <c r="A86" s="1" t="n">
        <v>85</v>
      </c>
      <c r="B86" s="1" t="n">
        <f aca="false">IF(A86&lt;22,1,(1+Assumptions!$B$26)^(INT((A86-22)/12)+1))</f>
        <v>1.126162419264</v>
      </c>
    </row>
    <row r="87" customFormat="false" ht="15" hidden="false" customHeight="true" outlineLevel="0" collapsed="false">
      <c r="A87" s="1" t="n">
        <v>86</v>
      </c>
      <c r="B87" s="1" t="n">
        <f aca="false">IF(A87&lt;22,1,(1+Assumptions!$B$26)^(INT((A87-22)/12)+1))</f>
        <v>1.126162419264</v>
      </c>
    </row>
    <row r="88" customFormat="false" ht="15" hidden="false" customHeight="true" outlineLevel="0" collapsed="false">
      <c r="A88" s="1" t="n">
        <v>87</v>
      </c>
      <c r="B88" s="1" t="n">
        <f aca="false">IF(A88&lt;22,1,(1+Assumptions!$B$26)^(INT((A88-22)/12)+1))</f>
        <v>1.126162419264</v>
      </c>
    </row>
    <row r="89" customFormat="false" ht="15" hidden="false" customHeight="true" outlineLevel="0" collapsed="false">
      <c r="A89" s="1" t="n">
        <v>88</v>
      </c>
      <c r="B89" s="1" t="n">
        <f aca="false">IF(A89&lt;22,1,(1+Assumptions!$B$26)^(INT((A89-22)/12)+1))</f>
        <v>1.126162419264</v>
      </c>
    </row>
    <row r="90" customFormat="false" ht="15" hidden="false" customHeight="true" outlineLevel="0" collapsed="false">
      <c r="A90" s="1" t="n">
        <v>89</v>
      </c>
      <c r="B90" s="1" t="n">
        <f aca="false">IF(A90&lt;22,1,(1+Assumptions!$B$26)^(INT((A90-22)/12)+1))</f>
        <v>1.126162419264</v>
      </c>
    </row>
    <row r="91" customFormat="false" ht="15" hidden="false" customHeight="true" outlineLevel="0" collapsed="false">
      <c r="A91" s="1" t="n">
        <v>90</v>
      </c>
      <c r="B91" s="1" t="n">
        <f aca="false">IF(A91&lt;22,1,(1+Assumptions!$B$26)^(INT((A91-22)/12)+1))</f>
        <v>1.126162419264</v>
      </c>
    </row>
    <row r="92" customFormat="false" ht="15" hidden="false" customHeight="true" outlineLevel="0" collapsed="false">
      <c r="A92" s="1" t="n">
        <v>91</v>
      </c>
      <c r="B92" s="1" t="n">
        <f aca="false">IF(A92&lt;22,1,(1+Assumptions!$B$26)^(INT((A92-22)/12)+1))</f>
        <v>1.126162419264</v>
      </c>
    </row>
    <row r="93" customFormat="false" ht="15" hidden="false" customHeight="true" outlineLevel="0" collapsed="false">
      <c r="A93" s="1" t="n">
        <v>92</v>
      </c>
      <c r="B93" s="1" t="n">
        <f aca="false">IF(A93&lt;22,1,(1+Assumptions!$B$26)^(INT((A93-22)/12)+1))</f>
        <v>1.126162419264</v>
      </c>
    </row>
    <row r="94" customFormat="false" ht="15" hidden="false" customHeight="true" outlineLevel="0" collapsed="false">
      <c r="A94" s="1" t="n">
        <v>93</v>
      </c>
      <c r="B94" s="1" t="n">
        <f aca="false">IF(A94&lt;22,1,(1+Assumptions!$B$26)^(INT((A94-22)/12)+1))</f>
        <v>1.126162419264</v>
      </c>
    </row>
    <row r="95" customFormat="false" ht="15" hidden="false" customHeight="true" outlineLevel="0" collapsed="false">
      <c r="A95" s="1" t="n">
        <v>94</v>
      </c>
      <c r="B95" s="1" t="n">
        <f aca="false">IF(A95&lt;22,1,(1+Assumptions!$B$26)^(INT((A95-22)/12)+1))</f>
        <v>1.14868566764928</v>
      </c>
    </row>
    <row r="96" customFormat="false" ht="15" hidden="false" customHeight="true" outlineLevel="0" collapsed="false">
      <c r="A96" s="1" t="n">
        <v>95</v>
      </c>
      <c r="B96" s="1" t="n">
        <f aca="false">IF(A96&lt;22,1,(1+Assumptions!$B$26)^(INT((A96-22)/12)+1))</f>
        <v>1.14868566764928</v>
      </c>
    </row>
    <row r="97" customFormat="false" ht="15" hidden="false" customHeight="true" outlineLevel="0" collapsed="false">
      <c r="A97" s="1" t="n">
        <v>96</v>
      </c>
      <c r="B97" s="1" t="n">
        <f aca="false">IF(A97&lt;22,1,(1+Assumptions!$B$26)^(INT((A97-22)/12)+1))</f>
        <v>1.14868566764928</v>
      </c>
    </row>
    <row r="98" customFormat="false" ht="15" hidden="false" customHeight="true" outlineLevel="0" collapsed="false">
      <c r="A98" s="1" t="n">
        <v>97</v>
      </c>
      <c r="B98" s="1" t="n">
        <f aca="false">IF(A98&lt;22,1,(1+Assumptions!$B$26)^(INT((A98-22)/12)+1))</f>
        <v>1.14868566764928</v>
      </c>
    </row>
    <row r="99" customFormat="false" ht="15" hidden="false" customHeight="true" outlineLevel="0" collapsed="false">
      <c r="A99" s="1" t="n">
        <v>98</v>
      </c>
      <c r="B99" s="1" t="n">
        <f aca="false">IF(A99&lt;22,1,(1+Assumptions!$B$26)^(INT((A99-22)/12)+1))</f>
        <v>1.14868566764928</v>
      </c>
    </row>
    <row r="100" customFormat="false" ht="15" hidden="false" customHeight="true" outlineLevel="0" collapsed="false">
      <c r="A100" s="1" t="n">
        <v>99</v>
      </c>
      <c r="B100" s="1" t="n">
        <f aca="false">IF(A100&lt;22,1,(1+Assumptions!$B$26)^(INT((A100-22)/12)+1))</f>
        <v>1.14868566764928</v>
      </c>
    </row>
    <row r="101" customFormat="false" ht="15" hidden="false" customHeight="true" outlineLevel="0" collapsed="false">
      <c r="A101" s="1" t="n">
        <v>100</v>
      </c>
      <c r="B101" s="1" t="n">
        <f aca="false">IF(A101&lt;22,1,(1+Assumptions!$B$26)^(INT((A101-22)/12)+1))</f>
        <v>1.14868566764928</v>
      </c>
    </row>
    <row r="102" customFormat="false" ht="15" hidden="false" customHeight="true" outlineLevel="0" collapsed="false">
      <c r="A102" s="1" t="n">
        <v>101</v>
      </c>
      <c r="B102" s="1" t="n">
        <f aca="false">IF(A102&lt;22,1,(1+Assumptions!$B$26)^(INT((A102-22)/12)+1))</f>
        <v>1.14868566764928</v>
      </c>
    </row>
    <row r="103" customFormat="false" ht="15" hidden="false" customHeight="true" outlineLevel="0" collapsed="false">
      <c r="A103" s="1" t="n">
        <v>102</v>
      </c>
      <c r="B103" s="1" t="n">
        <f aca="false">IF(A103&lt;22,1,(1+Assumptions!$B$26)^(INT((A103-22)/12)+1))</f>
        <v>1.14868566764928</v>
      </c>
    </row>
    <row r="104" customFormat="false" ht="15" hidden="false" customHeight="true" outlineLevel="0" collapsed="false">
      <c r="A104" s="1" t="n">
        <v>103</v>
      </c>
      <c r="B104" s="1" t="n">
        <f aca="false">IF(A104&lt;22,1,(1+Assumptions!$B$26)^(INT((A104-22)/12)+1))</f>
        <v>1.14868566764928</v>
      </c>
    </row>
    <row r="105" customFormat="false" ht="15" hidden="false" customHeight="true" outlineLevel="0" collapsed="false">
      <c r="A105" s="1" t="n">
        <v>104</v>
      </c>
      <c r="B105" s="1" t="n">
        <f aca="false">IF(A105&lt;22,1,(1+Assumptions!$B$26)^(INT((A105-22)/12)+1))</f>
        <v>1.14868566764928</v>
      </c>
    </row>
    <row r="106" customFormat="false" ht="15" hidden="false" customHeight="true" outlineLevel="0" collapsed="false">
      <c r="A106" s="1" t="n">
        <v>105</v>
      </c>
      <c r="B106" s="1" t="n">
        <f aca="false">IF(A106&lt;22,1,(1+Assumptions!$B$26)^(INT((A106-22)/12)+1))</f>
        <v>1.14868566764928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65625" defaultRowHeight="13.5" customHeight="fals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66" t="s">
        <v>1067</v>
      </c>
      <c r="B1" s="266"/>
      <c r="C1" s="266"/>
      <c r="D1" s="266"/>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89" t="s">
        <v>1</v>
      </c>
      <c r="C3" s="281" t="n">
        <v>1</v>
      </c>
      <c r="D3" s="281" t="n">
        <v>2</v>
      </c>
      <c r="E3" s="281" t="n">
        <v>3</v>
      </c>
      <c r="F3" s="281" t="n">
        <v>4</v>
      </c>
      <c r="G3" s="281" t="n">
        <v>5</v>
      </c>
      <c r="H3" s="281" t="n">
        <v>6</v>
      </c>
      <c r="I3" s="281" t="n">
        <v>7</v>
      </c>
      <c r="J3" s="281" t="n">
        <v>8</v>
      </c>
      <c r="K3" s="281" t="n">
        <v>9</v>
      </c>
      <c r="L3" s="281" t="n">
        <v>10</v>
      </c>
      <c r="M3" s="281" t="n">
        <v>11</v>
      </c>
      <c r="N3" s="281" t="n">
        <v>12</v>
      </c>
      <c r="O3" s="281" t="n">
        <v>13</v>
      </c>
      <c r="P3" s="281" t="n">
        <v>14</v>
      </c>
      <c r="Q3" s="281" t="n">
        <v>15</v>
      </c>
      <c r="R3" s="281" t="n">
        <v>16</v>
      </c>
      <c r="S3" s="281" t="n">
        <v>17</v>
      </c>
      <c r="T3" s="281" t="n">
        <v>18</v>
      </c>
      <c r="U3" s="281" t="n">
        <v>19</v>
      </c>
      <c r="V3" s="281" t="n">
        <v>20</v>
      </c>
      <c r="W3" s="281" t="n">
        <v>21</v>
      </c>
      <c r="X3" s="281" t="n">
        <v>22</v>
      </c>
      <c r="Y3" s="281" t="n">
        <v>23</v>
      </c>
      <c r="Z3" s="281" t="n">
        <v>24</v>
      </c>
      <c r="AA3" s="281" t="n">
        <v>25</v>
      </c>
      <c r="AB3" s="281" t="n">
        <v>26</v>
      </c>
      <c r="AC3" s="281" t="n">
        <v>27</v>
      </c>
      <c r="AD3" s="281" t="n">
        <v>28</v>
      </c>
      <c r="AE3" s="281" t="n">
        <v>29</v>
      </c>
      <c r="AF3" s="281" t="n">
        <v>30</v>
      </c>
      <c r="AG3" s="281" t="n">
        <v>31</v>
      </c>
      <c r="AH3" s="281" t="n">
        <v>32</v>
      </c>
      <c r="AI3" s="281" t="n">
        <v>33</v>
      </c>
      <c r="AJ3" s="281" t="n">
        <v>34</v>
      </c>
      <c r="AK3" s="281" t="n">
        <v>35</v>
      </c>
      <c r="AL3" s="281" t="n">
        <v>36</v>
      </c>
      <c r="AM3" s="281" t="n">
        <v>37</v>
      </c>
      <c r="AN3" s="281" t="n">
        <v>38</v>
      </c>
      <c r="AO3" s="281" t="n">
        <v>39</v>
      </c>
      <c r="AP3" s="281" t="n">
        <v>40</v>
      </c>
      <c r="AQ3" s="281" t="n">
        <v>41</v>
      </c>
      <c r="AR3" s="281" t="n">
        <v>42</v>
      </c>
      <c r="AS3" s="281" t="n">
        <v>43</v>
      </c>
      <c r="AT3" s="281" t="n">
        <v>44</v>
      </c>
      <c r="AU3" s="281" t="n">
        <v>45</v>
      </c>
      <c r="AV3" s="281" t="n">
        <v>46</v>
      </c>
      <c r="AW3" s="281" t="n">
        <v>47</v>
      </c>
      <c r="AX3" s="281" t="n">
        <v>48</v>
      </c>
      <c r="AY3" s="281" t="n">
        <v>49</v>
      </c>
      <c r="AZ3" s="281" t="n">
        <v>50</v>
      </c>
      <c r="BA3" s="281" t="n">
        <v>51</v>
      </c>
      <c r="BB3" s="281" t="n">
        <v>52</v>
      </c>
      <c r="BC3" s="281" t="n">
        <v>53</v>
      </c>
      <c r="BD3" s="281" t="n">
        <v>54</v>
      </c>
      <c r="BE3" s="281" t="n">
        <v>55</v>
      </c>
      <c r="BF3" s="281" t="n">
        <v>56</v>
      </c>
      <c r="BG3" s="281" t="n">
        <v>57</v>
      </c>
      <c r="BH3" s="281" t="n">
        <v>58</v>
      </c>
      <c r="BI3" s="281" t="n">
        <v>59</v>
      </c>
      <c r="BJ3" s="281" t="n">
        <v>60</v>
      </c>
      <c r="BK3" s="281" t="n">
        <v>61</v>
      </c>
      <c r="BL3" s="281" t="n">
        <v>62</v>
      </c>
      <c r="BM3" s="281" t="n">
        <v>63</v>
      </c>
      <c r="BN3" s="281" t="n">
        <v>64</v>
      </c>
      <c r="BO3" s="281" t="n">
        <v>65</v>
      </c>
      <c r="BP3" s="281" t="n">
        <v>66</v>
      </c>
      <c r="BQ3" s="281" t="n">
        <v>67</v>
      </c>
      <c r="BR3" s="281" t="n">
        <v>68</v>
      </c>
      <c r="BS3" s="281" t="n">
        <v>69</v>
      </c>
      <c r="BT3" s="281" t="n">
        <v>70</v>
      </c>
      <c r="BU3" s="281" t="n">
        <v>71</v>
      </c>
      <c r="BV3" s="281" t="n">
        <v>72</v>
      </c>
      <c r="BW3" s="281" t="n">
        <v>73</v>
      </c>
      <c r="BX3" s="281" t="n">
        <v>74</v>
      </c>
      <c r="BY3" s="281" t="n">
        <v>75</v>
      </c>
      <c r="BZ3" s="281" t="n">
        <v>76</v>
      </c>
      <c r="CA3" s="281" t="n">
        <v>77</v>
      </c>
      <c r="CB3" s="281" t="n">
        <v>78</v>
      </c>
      <c r="CC3" s="281" t="n">
        <v>79</v>
      </c>
      <c r="CD3" s="281" t="n">
        <v>80</v>
      </c>
      <c r="CE3" s="281" t="n">
        <v>81</v>
      </c>
      <c r="CF3" s="281" t="n">
        <v>82</v>
      </c>
      <c r="CG3" s="281" t="n">
        <v>83</v>
      </c>
      <c r="CH3" s="281" t="n">
        <v>84</v>
      </c>
      <c r="CI3" s="281" t="n">
        <v>84</v>
      </c>
      <c r="CJ3" s="281" t="n">
        <v>84</v>
      </c>
      <c r="CK3" s="281" t="n">
        <v>84</v>
      </c>
      <c r="CL3" s="281" t="n">
        <v>84</v>
      </c>
      <c r="CM3" s="281" t="n">
        <v>84</v>
      </c>
      <c r="CN3" s="281" t="n">
        <v>84</v>
      </c>
      <c r="CO3" s="281" t="n">
        <v>84</v>
      </c>
      <c r="CP3" s="281" t="n">
        <v>84</v>
      </c>
      <c r="CQ3" s="281" t="n">
        <v>84</v>
      </c>
    </row>
    <row r="4" customFormat="false" ht="15" hidden="false" customHeight="true" outlineLevel="0" collapsed="false">
      <c r="A4" s="189" t="s">
        <v>1068</v>
      </c>
      <c r="C4" s="271" t="n">
        <f aca="false">(SUMPRODUCT((Personnel!$O$9:$O$100&lt;&gt;"")*(Personnel!$G$9:$G$100="Yes")*(1&gt;=Personnel!$E$9:$E$100)*((Personnel!$K$9:$K$100="")+(1&lt;=Personnel!$K$9:$K$100)&gt;0)*Personnel!$D$9:$D$100*(1-Personnel!$H$9:$H$100))+Staffing!E81)*Escalation!$B$2</f>
        <v>225047.666666667</v>
      </c>
      <c r="D4" s="271" t="n">
        <f aca="false">(SUMPRODUCT((Personnel!$O$9:$O$100&lt;&gt;"")*(Personnel!$G$9:$G$100="Yes")*(2&gt;=Personnel!$E$9:$E$100)*((Personnel!$K$9:$K$100="")+(2&lt;=Personnel!$K$9:$K$100)&gt;0)*Personnel!$D$9:$D$100*(1-Personnel!$H$9:$H$100))+Staffing!F81)*Escalation!$B$3</f>
        <v>249631</v>
      </c>
      <c r="E4" s="271" t="n">
        <f aca="false">(SUMPRODUCT((Personnel!$O$9:$O$100&lt;&gt;"")*(Personnel!$G$9:$G$100="Yes")*(3&gt;=Personnel!$E$9:$E$100)*((Personnel!$K$9:$K$100="")+(3&lt;=Personnel!$K$9:$K$100)&gt;0)*Personnel!$D$9:$D$100*(1-Personnel!$H$9:$H$100))+Staffing!G81)*Escalation!$B$4</f>
        <v>274631</v>
      </c>
      <c r="F4" s="271" t="n">
        <f aca="false">(SUMPRODUCT((Personnel!$O$9:$O$100&lt;&gt;"")*(Personnel!$G$9:$G$100="Yes")*(4&gt;=Personnel!$E$9:$E$100)*((Personnel!$K$9:$K$100="")+(4&lt;=Personnel!$K$9:$K$100)&gt;0)*Personnel!$D$9:$D$100*(1-Personnel!$H$9:$H$100))+Staffing!H81)*Escalation!$B$5</f>
        <v>288797.666666667</v>
      </c>
      <c r="G4" s="271" t="n">
        <f aca="false">(SUMPRODUCT((Personnel!$O$9:$O$100&lt;&gt;"")*(Personnel!$G$9:$G$100="Yes")*(5&gt;=Personnel!$E$9:$E$100)*((Personnel!$K$9:$K$100="")+(5&lt;=Personnel!$K$9:$K$100)&gt;0)*Personnel!$D$9:$D$100*(1-Personnel!$H$9:$H$100))+Staffing!I81)*Escalation!$B$6</f>
        <v>290047.666666667</v>
      </c>
      <c r="H4" s="271" t="n">
        <f aca="false">(SUMPRODUCT((Personnel!$O$9:$O$100&lt;&gt;"")*(Personnel!$G$9:$G$100="Yes")*(6&gt;=Personnel!$E$9:$E$100)*((Personnel!$K$9:$K$100="")+(6&lt;=Personnel!$K$9:$K$100)&gt;0)*Personnel!$D$9:$D$100*(1-Personnel!$H$9:$H$100))+Staffing!J81)*Escalation!$B$7</f>
        <v>313797.666666667</v>
      </c>
      <c r="I4" s="271" t="n">
        <f aca="false">(SUMPRODUCT((Personnel!$O$9:$O$100&lt;&gt;"")*(Personnel!$G$9:$G$100="Yes")*(7&gt;=Personnel!$E$9:$E$100)*((Personnel!$K$9:$K$100="")+(7&lt;=Personnel!$K$9:$K$100)&gt;0)*Personnel!$D$9:$D$100*(1-Personnel!$H$9:$H$100))+Staffing!K81)*Escalation!$B$8</f>
        <v>322131</v>
      </c>
      <c r="J4" s="271" t="n">
        <f aca="false">(SUMPRODUCT((Personnel!$O$9:$O$100&lt;&gt;"")*(Personnel!$G$9:$G$100="Yes")*(8&gt;=Personnel!$E$9:$E$100)*((Personnel!$K$9:$K$100="")+(8&lt;=Personnel!$K$9:$K$100)&gt;0)*Personnel!$D$9:$D$100*(1-Personnel!$H$9:$H$100))+Staffing!L81)*Escalation!$B$9</f>
        <v>322131</v>
      </c>
      <c r="K4" s="271" t="n">
        <f aca="false">(SUMPRODUCT((Personnel!$O$9:$O$100&lt;&gt;"")*(Personnel!$G$9:$G$100="Yes")*(9&gt;=Personnel!$E$9:$E$100)*((Personnel!$K$9:$K$100="")+(9&lt;=Personnel!$K$9:$K$100)&gt;0)*Personnel!$D$9:$D$100*(1-Personnel!$H$9:$H$100))+Staffing!M81)*Escalation!$B$10</f>
        <v>335464.333333333</v>
      </c>
      <c r="L4" s="271" t="n">
        <f aca="false">(SUMPRODUCT((Personnel!$O$9:$O$100&lt;&gt;"")*(Personnel!$G$9:$G$100="Yes")*(10&gt;=Personnel!$E$9:$E$100)*((Personnel!$K$9:$K$100="")+(10&lt;=Personnel!$K$9:$K$100)&gt;0)*Personnel!$D$9:$D$100*(1-Personnel!$H$9:$H$100))+Staffing!N81)*Escalation!$B$11</f>
        <v>325672.666666667</v>
      </c>
      <c r="M4" s="271" t="n">
        <f aca="false">(SUMPRODUCT((Personnel!$O$9:$O$100&lt;&gt;"")*(Personnel!$G$9:$G$100="Yes")*(11&gt;=Personnel!$E$9:$E$100)*((Personnel!$K$9:$K$100="")+(11&lt;=Personnel!$K$9:$K$100)&gt;0)*Personnel!$D$9:$D$100*(1-Personnel!$H$9:$H$100))+Staffing!O81)*Escalation!$B$12</f>
        <v>336089.333333333</v>
      </c>
      <c r="N4" s="271" t="n">
        <f aca="false">(SUMPRODUCT((Personnel!$O$9:$O$100&lt;&gt;"")*(Personnel!$G$9:$G$100="Yes")*(12&gt;=Personnel!$E$9:$E$100)*((Personnel!$K$9:$K$100="")+(12&lt;=Personnel!$K$9:$K$100)&gt;0)*Personnel!$D$9:$D$100*(1-Personnel!$H$9:$H$100))+Staffing!P81)*Escalation!$B$13</f>
        <v>336089.333333333</v>
      </c>
      <c r="O4" s="271" t="n">
        <f aca="false">(SUMPRODUCT((Personnel!$O$9:$O$100&lt;&gt;"")*(Personnel!$G$9:$G$100="Yes")*(13&gt;=Personnel!$E$9:$E$100)*((Personnel!$K$9:$K$100="")+(13&lt;=Personnel!$K$9:$K$100)&gt;0)*Personnel!$D$9:$D$100*(1-Personnel!$H$9:$H$100))+Staffing!Q81)*Escalation!$B$14</f>
        <v>349422.666666667</v>
      </c>
      <c r="P4" s="271" t="n">
        <f aca="false">(SUMPRODUCT((Personnel!$O$9:$O$100&lt;&gt;"")*(Personnel!$G$9:$G$100="Yes")*(14&gt;=Personnel!$E$9:$E$100)*((Personnel!$K$9:$K$100="")+(14&lt;=Personnel!$K$9:$K$100)&gt;0)*Personnel!$D$9:$D$100*(1-Personnel!$H$9:$H$100))+Staffing!R81)*Escalation!$B$15</f>
        <v>373172.666666667</v>
      </c>
      <c r="Q4" s="271" t="n">
        <f aca="false">(SUMPRODUCT((Personnel!$O$9:$O$100&lt;&gt;"")*(Personnel!$G$9:$G$100="Yes")*(15&gt;=Personnel!$E$9:$E$100)*((Personnel!$K$9:$K$100="")+(15&lt;=Personnel!$K$9:$K$100)&gt;0)*Personnel!$D$9:$D$100*(1-Personnel!$H$9:$H$100))+Staffing!S81)*Escalation!$B$16</f>
        <v>421089.333333333</v>
      </c>
      <c r="R4" s="271" t="n">
        <f aca="false">(SUMPRODUCT((Personnel!$O$9:$O$100&lt;&gt;"")*(Personnel!$G$9:$G$100="Yes")*(16&gt;=Personnel!$E$9:$E$100)*((Personnel!$K$9:$K$100="")+(16&lt;=Personnel!$K$9:$K$100)&gt;0)*Personnel!$D$9:$D$100*(1-Personnel!$H$9:$H$100))+Staffing!T81)*Escalation!$B$17</f>
        <v>421089.333333333</v>
      </c>
      <c r="S4" s="271" t="n">
        <f aca="false">(SUMPRODUCT((Personnel!$O$9:$O$100&lt;&gt;"")*(Personnel!$G$9:$G$100="Yes")*(17&gt;=Personnel!$E$9:$E$100)*((Personnel!$K$9:$K$100="")+(17&lt;=Personnel!$K$9:$K$100)&gt;0)*Personnel!$D$9:$D$100*(1-Personnel!$H$9:$H$100))+Staffing!U81)*Escalation!$B$18</f>
        <v>421089.333333333</v>
      </c>
      <c r="T4" s="271" t="n">
        <f aca="false">(SUMPRODUCT((Personnel!$O$9:$O$100&lt;&gt;"")*(Personnel!$G$9:$G$100="Yes")*(18&gt;=Personnel!$E$9:$E$100)*((Personnel!$K$9:$K$100="")+(18&lt;=Personnel!$K$9:$K$100)&gt;0)*Personnel!$D$9:$D$100*(1-Personnel!$H$9:$H$100))+Staffing!V81)*Escalation!$B$19</f>
        <v>421089.333333333</v>
      </c>
      <c r="U4" s="271" t="n">
        <f aca="false">(SUMPRODUCT((Personnel!$O$9:$O$100&lt;&gt;"")*(Personnel!$G$9:$G$100="Yes")*(19&gt;=Personnel!$E$9:$E$100)*((Personnel!$K$9:$K$100="")+(19&lt;=Personnel!$K$9:$K$100)&gt;0)*Personnel!$D$9:$D$100*(1-Personnel!$H$9:$H$100))+Staffing!W81)*Escalation!$B$20</f>
        <v>467756</v>
      </c>
      <c r="V4" s="271" t="n">
        <f aca="false">(SUMPRODUCT((Personnel!$O$9:$O$100&lt;&gt;"")*(Personnel!$G$9:$G$100="Yes")*(20&gt;=Personnel!$E$9:$E$100)*((Personnel!$K$9:$K$100="")+(20&lt;=Personnel!$K$9:$K$100)&gt;0)*Personnel!$D$9:$D$100*(1-Personnel!$H$9:$H$100))+Staffing!X81)*Escalation!$B$21</f>
        <v>467756</v>
      </c>
      <c r="W4" s="271" t="n">
        <f aca="false">(SUMPRODUCT((Personnel!$O$9:$O$100&lt;&gt;"")*(Personnel!$G$9:$G$100="Yes")*(21&gt;=Personnel!$E$9:$E$100)*((Personnel!$K$9:$K$100="")+(21&lt;=Personnel!$K$9:$K$100)&gt;0)*Personnel!$D$9:$D$100*(1-Personnel!$H$9:$H$100))+Staffing!Y81)*Escalation!$B$22</f>
        <v>467756</v>
      </c>
      <c r="X4" s="271" t="n">
        <f aca="false">(SUMPRODUCT((Personnel!$O$9:$O$100&lt;&gt;"")*(Personnel!$G$9:$G$100="Yes")*(22&gt;=Personnel!$E$9:$E$100)*((Personnel!$K$9:$K$100="")+(22&lt;=Personnel!$K$9:$K$100)&gt;0)*Personnel!$D$9:$D$100*(1-Personnel!$H$9:$H$100))+Staffing!Z81)*Escalation!$B$23</f>
        <v>477111.12</v>
      </c>
      <c r="Y4" s="271" t="n">
        <f aca="false">(SUMPRODUCT((Personnel!$O$9:$O$100&lt;&gt;"")*(Personnel!$G$9:$G$100="Yes")*(23&gt;=Personnel!$E$9:$E$100)*((Personnel!$K$9:$K$100="")+(23&lt;=Personnel!$K$9:$K$100)&gt;0)*Personnel!$D$9:$D$100*(1-Personnel!$H$9:$H$100))+Staffing!AA81)*Escalation!$B$24</f>
        <v>477111.12</v>
      </c>
      <c r="Z4" s="271" t="n">
        <f aca="false">(SUMPRODUCT((Personnel!$O$9:$O$100&lt;&gt;"")*(Personnel!$G$9:$G$100="Yes")*(24&gt;=Personnel!$E$9:$E$100)*((Personnel!$K$9:$K$100="")+(24&lt;=Personnel!$K$9:$K$100)&gt;0)*Personnel!$D$9:$D$100*(1-Personnel!$H$9:$H$100))+Staffing!AB81)*Escalation!$B$25</f>
        <v>477111.12</v>
      </c>
      <c r="AA4" s="271" t="n">
        <f aca="false">(SUMPRODUCT((Personnel!$O$9:$O$100&lt;&gt;"")*(Personnel!$G$9:$G$100="Yes")*(25&gt;=Personnel!$E$9:$E$100)*((Personnel!$K$9:$K$100="")+(25&lt;=Personnel!$K$9:$K$100)&gt;0)*Personnel!$D$9:$D$100*(1-Personnel!$H$9:$H$100))+Staffing!AC81)*Escalation!$B$26</f>
        <v>455436.12</v>
      </c>
      <c r="AB4" s="271" t="n">
        <f aca="false">(SUMPRODUCT((Personnel!$O$9:$O$100&lt;&gt;"")*(Personnel!$G$9:$G$100="Yes")*(26&gt;=Personnel!$E$9:$E$100)*((Personnel!$K$9:$K$100="")+(26&lt;=Personnel!$K$9:$K$100)&gt;0)*Personnel!$D$9:$D$100*(1-Personnel!$H$9:$H$100))+Staffing!AD81)*Escalation!$B$27</f>
        <v>431211.12</v>
      </c>
      <c r="AC4" s="271" t="n">
        <f aca="false">(SUMPRODUCT((Personnel!$O$9:$O$100&lt;&gt;"")*(Personnel!$G$9:$G$100="Yes")*(27&gt;=Personnel!$E$9:$E$100)*((Personnel!$K$9:$K$100="")+(27&lt;=Personnel!$K$9:$K$100)&gt;0)*Personnel!$D$9:$D$100*(1-Personnel!$H$9:$H$100))+Staffing!AE81)*Escalation!$B$28</f>
        <v>431211.12</v>
      </c>
      <c r="AD4" s="271" t="n">
        <f aca="false">(SUMPRODUCT((Personnel!$O$9:$O$100&lt;&gt;"")*(Personnel!$G$9:$G$100="Yes")*(28&gt;=Personnel!$E$9:$E$100)*((Personnel!$K$9:$K$100="")+(28&lt;=Personnel!$K$9:$K$100)&gt;0)*Personnel!$D$9:$D$100*(1-Personnel!$H$9:$H$100))+Staffing!AF81)*Escalation!$B$29</f>
        <v>431211.12</v>
      </c>
      <c r="AE4" s="271" t="n">
        <f aca="false">(SUMPRODUCT((Personnel!$O$9:$O$100&lt;&gt;"")*(Personnel!$G$9:$G$100="Yes")*(29&gt;=Personnel!$E$9:$E$100)*((Personnel!$K$9:$K$100="")+(29&lt;=Personnel!$K$9:$K$100)&gt;0)*Personnel!$D$9:$D$100*(1-Personnel!$H$9:$H$100))+Staffing!AG81)*Escalation!$B$30</f>
        <v>415911.12</v>
      </c>
      <c r="AF4" s="271" t="n">
        <f aca="false">(SUMPRODUCT((Personnel!$O$9:$O$100&lt;&gt;"")*(Personnel!$G$9:$G$100="Yes")*(30&gt;=Personnel!$E$9:$E$100)*((Personnel!$K$9:$K$100="")+(30&lt;=Personnel!$K$9:$K$100)&gt;0)*Personnel!$D$9:$D$100*(1-Personnel!$H$9:$H$100))+Staffing!AH81)*Escalation!$B$31</f>
        <v>402311.12</v>
      </c>
      <c r="AG4" s="271" t="n">
        <f aca="false">(SUMPRODUCT((Personnel!$O$9:$O$100&lt;&gt;"")*(Personnel!$G$9:$G$100="Yes")*(31&gt;=Personnel!$E$9:$E$100)*((Personnel!$K$9:$K$100="")+(31&lt;=Personnel!$K$9:$K$100)&gt;0)*Personnel!$D$9:$D$100*(1-Personnel!$H$9:$H$100))+Staffing!AI81)*Escalation!$B$32</f>
        <v>402311.12</v>
      </c>
      <c r="AH4" s="271" t="n">
        <f aca="false">(SUMPRODUCT((Personnel!$O$9:$O$100&lt;&gt;"")*(Personnel!$G$9:$G$100="Yes")*(32&gt;=Personnel!$E$9:$E$100)*((Personnel!$K$9:$K$100="")+(32&lt;=Personnel!$K$9:$K$100)&gt;0)*Personnel!$D$9:$D$100*(1-Personnel!$H$9:$H$100))+Staffing!AJ81)*Escalation!$B$33</f>
        <v>402311.12</v>
      </c>
      <c r="AI4" s="271" t="n">
        <f aca="false">(SUMPRODUCT((Personnel!$O$9:$O$100&lt;&gt;"")*(Personnel!$G$9:$G$100="Yes")*(33&gt;=Personnel!$E$9:$E$100)*((Personnel!$K$9:$K$100="")+(33&lt;=Personnel!$K$9:$K$100)&gt;0)*Personnel!$D$9:$D$100*(1-Personnel!$H$9:$H$100))+Staffing!AK81)*Escalation!$B$34</f>
        <v>402311.12</v>
      </c>
      <c r="AJ4" s="271" t="n">
        <f aca="false">(SUMPRODUCT((Personnel!$O$9:$O$100&lt;&gt;"")*(Personnel!$G$9:$G$100="Yes")*(34&gt;=Personnel!$E$9:$E$100)*((Personnel!$K$9:$K$100="")+(34&lt;=Personnel!$K$9:$K$100)&gt;0)*Personnel!$D$9:$D$100*(1-Personnel!$H$9:$H$100))+Staffing!AL81)*Escalation!$B$35</f>
        <v>410357.3424</v>
      </c>
      <c r="AK4" s="271" t="n">
        <f aca="false">(SUMPRODUCT((Personnel!$O$9:$O$100&lt;&gt;"")*(Personnel!$G$9:$G$100="Yes")*(35&gt;=Personnel!$E$9:$E$100)*((Personnel!$K$9:$K$100="")+(35&lt;=Personnel!$K$9:$K$100)&gt;0)*Personnel!$D$9:$D$100*(1-Personnel!$H$9:$H$100))+Staffing!AM81)*Escalation!$B$36</f>
        <v>382613.3424</v>
      </c>
      <c r="AL4" s="271" t="n">
        <f aca="false">(SUMPRODUCT((Personnel!$O$9:$O$100&lt;&gt;"")*(Personnel!$G$9:$G$100="Yes")*(36&gt;=Personnel!$E$9:$E$100)*((Personnel!$K$9:$K$100="")+(36&lt;=Personnel!$K$9:$K$100)&gt;0)*Personnel!$D$9:$D$100*(1-Personnel!$H$9:$H$100))+Staffing!AN81)*Escalation!$B$37</f>
        <v>371775.8424</v>
      </c>
      <c r="AM4" s="271" t="n">
        <f aca="false">(SUMPRODUCT((Personnel!$O$9:$O$100&lt;&gt;"")*(Personnel!$G$9:$G$100="Yes")*(37&gt;=Personnel!$E$9:$E$100)*((Personnel!$K$9:$K$100="")+(37&lt;=Personnel!$K$9:$K$100)&gt;0)*Personnel!$D$9:$D$100*(1-Personnel!$H$9:$H$100))+Staffing!AO81)*Escalation!$B$38</f>
        <v>346632.8424</v>
      </c>
      <c r="AN4" s="271" t="n">
        <f aca="false">(SUMPRODUCT((Personnel!$O$9:$O$100&lt;&gt;"")*(Personnel!$G$9:$G$100="Yes")*(38&gt;=Personnel!$E$9:$E$100)*((Personnel!$K$9:$K$100="")+(38&lt;=Personnel!$K$9:$K$100)&gt;0)*Personnel!$D$9:$D$100*(1-Personnel!$H$9:$H$100))+Staffing!AP81)*Escalation!$B$39</f>
        <v>346632.8424</v>
      </c>
      <c r="AO4" s="271" t="n">
        <f aca="false">(SUMPRODUCT((Personnel!$O$9:$O$100&lt;&gt;"")*(Personnel!$G$9:$G$100="Yes")*(39&gt;=Personnel!$E$9:$E$100)*((Personnel!$K$9:$K$100="")+(39&lt;=Personnel!$K$9:$K$100)&gt;0)*Personnel!$D$9:$D$100*(1-Personnel!$H$9:$H$100))+Staffing!AQ81)*Escalation!$B$40</f>
        <v>335795.3424</v>
      </c>
      <c r="AP4" s="271" t="n">
        <f aca="false">(SUMPRODUCT((Personnel!$O$9:$O$100&lt;&gt;"")*(Personnel!$G$9:$G$100="Yes")*(40&gt;=Personnel!$E$9:$E$100)*((Personnel!$K$9:$K$100="")+(40&lt;=Personnel!$K$9:$K$100)&gt;0)*Personnel!$D$9:$D$100*(1-Personnel!$H$9:$H$100))+Staffing!AR81)*Escalation!$B$41</f>
        <v>335795.3424</v>
      </c>
      <c r="AQ4" s="271" t="n">
        <f aca="false">(SUMPRODUCT((Personnel!$O$9:$O$100&lt;&gt;"")*(Personnel!$G$9:$G$100="Yes")*(41&gt;=Personnel!$E$9:$E$100)*((Personnel!$K$9:$K$100="")+(41&lt;=Personnel!$K$9:$K$100)&gt;0)*Personnel!$D$9:$D$100*(1-Personnel!$H$9:$H$100))+Staffing!AS81)*Escalation!$B$42</f>
        <v>335795.3424</v>
      </c>
      <c r="AR4" s="271" t="n">
        <f aca="false">(SUMPRODUCT((Personnel!$O$9:$O$100&lt;&gt;"")*(Personnel!$G$9:$G$100="Yes")*(42&gt;=Personnel!$E$9:$E$100)*((Personnel!$K$9:$K$100="")+(42&lt;=Personnel!$K$9:$K$100)&gt;0)*Personnel!$D$9:$D$100*(1-Personnel!$H$9:$H$100))+Staffing!AT81)*Escalation!$B$43</f>
        <v>335795.3424</v>
      </c>
      <c r="AS4" s="271" t="n">
        <f aca="false">(SUMPRODUCT((Personnel!$O$9:$O$100&lt;&gt;"")*(Personnel!$G$9:$G$100="Yes")*(43&gt;=Personnel!$E$9:$E$100)*((Personnel!$K$9:$K$100="")+(43&lt;=Personnel!$K$9:$K$100)&gt;0)*Personnel!$D$9:$D$100*(1-Personnel!$H$9:$H$100))+Staffing!AU81)*Escalation!$B$44</f>
        <v>324957.8424</v>
      </c>
      <c r="AT4" s="271" t="n">
        <f aca="false">(SUMPRODUCT((Personnel!$O$9:$O$100&lt;&gt;"")*(Personnel!$G$9:$G$100="Yes")*(44&gt;=Personnel!$E$9:$E$100)*((Personnel!$K$9:$K$100="")+(44&lt;=Personnel!$K$9:$K$100)&gt;0)*Personnel!$D$9:$D$100*(1-Personnel!$H$9:$H$100))+Staffing!AV81)*Escalation!$B$45</f>
        <v>324957.8424</v>
      </c>
      <c r="AU4" s="271" t="n">
        <f aca="false">(SUMPRODUCT((Personnel!$O$9:$O$100&lt;&gt;"")*(Personnel!$G$9:$G$100="Yes")*(45&gt;=Personnel!$E$9:$E$100)*((Personnel!$K$9:$K$100="")+(45&lt;=Personnel!$K$9:$K$100)&gt;0)*Personnel!$D$9:$D$100*(1-Personnel!$H$9:$H$100))+Staffing!AW81)*Escalation!$B$46</f>
        <v>324957.8424</v>
      </c>
      <c r="AV4" s="271" t="n">
        <f aca="false">(SUMPRODUCT((Personnel!$O$9:$O$100&lt;&gt;"")*(Personnel!$G$9:$G$100="Yes")*(46&gt;=Personnel!$E$9:$E$100)*((Personnel!$K$9:$K$100="")+(46&lt;=Personnel!$K$9:$K$100)&gt;0)*Personnel!$D$9:$D$100*(1-Personnel!$H$9:$H$100))+Staffing!AX81)*Escalation!$B$47</f>
        <v>331456.999248</v>
      </c>
      <c r="AW4" s="271" t="n">
        <f aca="false">(SUMPRODUCT((Personnel!$O$9:$O$100&lt;&gt;"")*(Personnel!$G$9:$G$100="Yes")*(47&gt;=Personnel!$E$9:$E$100)*((Personnel!$K$9:$K$100="")+(47&lt;=Personnel!$K$9:$K$100)&gt;0)*Personnel!$D$9:$D$100*(1-Personnel!$H$9:$H$100))+Staffing!AY81)*Escalation!$B$48</f>
        <v>331456.999248</v>
      </c>
      <c r="AX4" s="271" t="n">
        <f aca="false">(SUMPRODUCT((Personnel!$O$9:$O$100&lt;&gt;"")*(Personnel!$G$9:$G$100="Yes")*(48&gt;=Personnel!$E$9:$E$100)*((Personnel!$K$9:$K$100="")+(48&lt;=Personnel!$K$9:$K$100)&gt;0)*Personnel!$D$9:$D$100*(1-Personnel!$H$9:$H$100))+Staffing!AZ81)*Escalation!$B$49</f>
        <v>331456.999248</v>
      </c>
      <c r="AY4" s="271" t="n">
        <f aca="false">(SUMPRODUCT((Personnel!$O$9:$O$100&lt;&gt;"")*(Personnel!$G$9:$G$100="Yes")*(49&gt;=Personnel!$E$9:$E$100)*((Personnel!$K$9:$K$100="")+(49&lt;=Personnel!$K$9:$K$100)&gt;0)*Personnel!$D$9:$D$100*(1-Personnel!$H$9:$H$100))+Staffing!BA81)*Escalation!$B$50</f>
        <v>331456.999248</v>
      </c>
      <c r="AZ4" s="271" t="n">
        <f aca="false">(SUMPRODUCT((Personnel!$O$9:$O$100&lt;&gt;"")*(Personnel!$G$9:$G$100="Yes")*(50&gt;=Personnel!$E$9:$E$100)*((Personnel!$K$9:$K$100="")+(50&lt;=Personnel!$K$9:$K$100)&gt;0)*Personnel!$D$9:$D$100*(1-Personnel!$H$9:$H$100))+Staffing!BB81)*Escalation!$B$51</f>
        <v>331456.999248</v>
      </c>
      <c r="BA4" s="271" t="n">
        <f aca="false">(SUMPRODUCT((Personnel!$O$9:$O$100&lt;&gt;"")*(Personnel!$G$9:$G$100="Yes")*(51&gt;=Personnel!$E$9:$E$100)*((Personnel!$K$9:$K$100="")+(51&lt;=Personnel!$K$9:$K$100)&gt;0)*Personnel!$D$9:$D$100*(1-Personnel!$H$9:$H$100))+Staffing!BC81)*Escalation!$B$52</f>
        <v>331456.999248</v>
      </c>
      <c r="BB4" s="271" t="n">
        <f aca="false">(SUMPRODUCT((Personnel!$O$9:$O$100&lt;&gt;"")*(Personnel!$G$9:$G$100="Yes")*(52&gt;=Personnel!$E$9:$E$100)*((Personnel!$K$9:$K$100="")+(52&lt;=Personnel!$K$9:$K$100)&gt;0)*Personnel!$D$9:$D$100*(1-Personnel!$H$9:$H$100))+Staffing!BD81)*Escalation!$B$53</f>
        <v>331456.999248</v>
      </c>
      <c r="BC4" s="271" t="n">
        <f aca="false">(SUMPRODUCT((Personnel!$O$9:$O$100&lt;&gt;"")*(Personnel!$G$9:$G$100="Yes")*(53&gt;=Personnel!$E$9:$E$100)*((Personnel!$K$9:$K$100="")+(53&lt;=Personnel!$K$9:$K$100)&gt;0)*Personnel!$D$9:$D$100*(1-Personnel!$H$9:$H$100))+Staffing!BE81)*Escalation!$B$54</f>
        <v>331456.999248</v>
      </c>
      <c r="BD4" s="271" t="n">
        <f aca="false">(SUMPRODUCT((Personnel!$O$9:$O$100&lt;&gt;"")*(Personnel!$G$9:$G$100="Yes")*(54&gt;=Personnel!$E$9:$E$100)*((Personnel!$K$9:$K$100="")+(54&lt;=Personnel!$K$9:$K$100)&gt;0)*Personnel!$D$9:$D$100*(1-Personnel!$H$9:$H$100))+Staffing!BF81)*Escalation!$B$55</f>
        <v>331456.999248</v>
      </c>
      <c r="BE4" s="271" t="n">
        <f aca="false">(SUMPRODUCT((Personnel!$O$9:$O$100&lt;&gt;"")*(Personnel!$G$9:$G$100="Yes")*(55&gt;=Personnel!$E$9:$E$100)*((Personnel!$K$9:$K$100="")+(55&lt;=Personnel!$K$9:$K$100)&gt;0)*Personnel!$D$9:$D$100*(1-Personnel!$H$9:$H$100))+Staffing!BG81)*Escalation!$B$56</f>
        <v>331456.999248</v>
      </c>
      <c r="BF4" s="271" t="n">
        <f aca="false">(SUMPRODUCT((Personnel!$O$9:$O$100&lt;&gt;"")*(Personnel!$G$9:$G$100="Yes")*(56&gt;=Personnel!$E$9:$E$100)*((Personnel!$K$9:$K$100="")+(56&lt;=Personnel!$K$9:$K$100)&gt;0)*Personnel!$D$9:$D$100*(1-Personnel!$H$9:$H$100))+Staffing!BH81)*Escalation!$B$57</f>
        <v>331456.999248</v>
      </c>
      <c r="BG4" s="271" t="n">
        <f aca="false">(SUMPRODUCT((Personnel!$O$9:$O$100&lt;&gt;"")*(Personnel!$G$9:$G$100="Yes")*(57&gt;=Personnel!$E$9:$E$100)*((Personnel!$K$9:$K$100="")+(57&lt;=Personnel!$K$9:$K$100)&gt;0)*Personnel!$D$9:$D$100*(1-Personnel!$H$9:$H$100))+Staffing!BI81)*Escalation!$B$58</f>
        <v>331456.999248</v>
      </c>
      <c r="BH4" s="271" t="n">
        <f aca="false">(SUMPRODUCT((Personnel!$O$9:$O$100&lt;&gt;"")*(Personnel!$G$9:$G$100="Yes")*(58&gt;=Personnel!$E$9:$E$100)*((Personnel!$K$9:$K$100="")+(58&lt;=Personnel!$K$9:$K$100)&gt;0)*Personnel!$D$9:$D$100*(1-Personnel!$H$9:$H$100))+Staffing!BJ81)*Escalation!$B$59</f>
        <v>338086.13923296</v>
      </c>
      <c r="BI4" s="271" t="n">
        <f aca="false">(SUMPRODUCT((Personnel!$O$9:$O$100&lt;&gt;"")*(Personnel!$G$9:$G$100="Yes")*(59&gt;=Personnel!$E$9:$E$100)*((Personnel!$K$9:$K$100="")+(59&lt;=Personnel!$K$9:$K$100)&gt;0)*Personnel!$D$9:$D$100*(1-Personnel!$H$9:$H$100))+Staffing!BK81)*Escalation!$B$60</f>
        <v>338086.13923296</v>
      </c>
      <c r="BJ4" s="271" t="n">
        <f aca="false">(SUMPRODUCT((Personnel!$O$9:$O$100&lt;&gt;"")*(Personnel!$G$9:$G$100="Yes")*(60&gt;=Personnel!$E$9:$E$100)*((Personnel!$K$9:$K$100="")+(60&lt;=Personnel!$K$9:$K$100)&gt;0)*Personnel!$D$9:$D$100*(1-Personnel!$H$9:$H$100))+Staffing!BL81)*Escalation!$B$61</f>
        <v>338086.13923296</v>
      </c>
      <c r="BK4" s="271" t="n">
        <f aca="false">(SUMPRODUCT((Personnel!$O$9:$O$100&lt;&gt;"")*(Personnel!$G$9:$G$100="Yes")*(61&gt;=Personnel!$E$9:$E$100)*((Personnel!$K$9:$K$100="")+(61&lt;=Personnel!$K$9:$K$100)&gt;0)*Personnel!$D$9:$D$100*(1-Personnel!$H$9:$H$100))+Staffing!BM81)*Escalation!$B$62</f>
        <v>338086.13923296</v>
      </c>
      <c r="BL4" s="271" t="n">
        <f aca="false">(SUMPRODUCT((Personnel!$O$9:$O$100&lt;&gt;"")*(Personnel!$G$9:$G$100="Yes")*(62&gt;=Personnel!$E$9:$E$100)*((Personnel!$K$9:$K$100="")+(62&lt;=Personnel!$K$9:$K$100)&gt;0)*Personnel!$D$9:$D$100*(1-Personnel!$H$9:$H$100))+Staffing!BN81)*Escalation!$B$63</f>
        <v>338086.13923296</v>
      </c>
      <c r="BM4" s="271" t="n">
        <f aca="false">(SUMPRODUCT((Personnel!$O$9:$O$100&lt;&gt;"")*(Personnel!$G$9:$G$100="Yes")*(63&gt;=Personnel!$E$9:$E$100)*((Personnel!$K$9:$K$100="")+(63&lt;=Personnel!$K$9:$K$100)&gt;0)*Personnel!$D$9:$D$100*(1-Personnel!$H$9:$H$100))+Staffing!BO81)*Escalation!$B$64</f>
        <v>338086.13923296</v>
      </c>
      <c r="BN4" s="271" t="n">
        <f aca="false">(SUMPRODUCT((Personnel!$O$9:$O$100&lt;&gt;"")*(Personnel!$G$9:$G$100="Yes")*(64&gt;=Personnel!$E$9:$E$100)*((Personnel!$K$9:$K$100="")+(64&lt;=Personnel!$K$9:$K$100)&gt;0)*Personnel!$D$9:$D$100*(1-Personnel!$H$9:$H$100))+Staffing!BP81)*Escalation!$B$65</f>
        <v>338086.13923296</v>
      </c>
      <c r="BO4" s="271" t="n">
        <f aca="false">(SUMPRODUCT((Personnel!$O$9:$O$100&lt;&gt;"")*(Personnel!$G$9:$G$100="Yes")*(65&gt;=Personnel!$E$9:$E$100)*((Personnel!$K$9:$K$100="")+(65&lt;=Personnel!$K$9:$K$100)&gt;0)*Personnel!$D$9:$D$100*(1-Personnel!$H$9:$H$100))+Staffing!BQ81)*Escalation!$B$66</f>
        <v>338086.13923296</v>
      </c>
      <c r="BP4" s="271" t="n">
        <f aca="false">(SUMPRODUCT((Personnel!$O$9:$O$100&lt;&gt;"")*(Personnel!$G$9:$G$100="Yes")*(66&gt;=Personnel!$E$9:$E$100)*((Personnel!$K$9:$K$100="")+(66&lt;=Personnel!$K$9:$K$100)&gt;0)*Personnel!$D$9:$D$100*(1-Personnel!$H$9:$H$100))+Staffing!BR81)*Escalation!$B$67</f>
        <v>338086.13923296</v>
      </c>
      <c r="BQ4" s="271" t="n">
        <f aca="false">(SUMPRODUCT((Personnel!$O$9:$O$100&lt;&gt;"")*(Personnel!$G$9:$G$100="Yes")*(67&gt;=Personnel!$E$9:$E$100)*((Personnel!$K$9:$K$100="")+(67&lt;=Personnel!$K$9:$K$100)&gt;0)*Personnel!$D$9:$D$100*(1-Personnel!$H$9:$H$100))+Staffing!BS81)*Escalation!$B$68</f>
        <v>338086.13923296</v>
      </c>
      <c r="BR4" s="271" t="n">
        <f aca="false">(SUMPRODUCT((Personnel!$O$9:$O$100&lt;&gt;"")*(Personnel!$G$9:$G$100="Yes")*(68&gt;=Personnel!$E$9:$E$100)*((Personnel!$K$9:$K$100="")+(68&lt;=Personnel!$K$9:$K$100)&gt;0)*Personnel!$D$9:$D$100*(1-Personnel!$H$9:$H$100))+Staffing!BT81)*Escalation!$B$69</f>
        <v>338086.13923296</v>
      </c>
      <c r="BS4" s="271" t="n">
        <f aca="false">(SUMPRODUCT((Personnel!$O$9:$O$100&lt;&gt;"")*(Personnel!$G$9:$G$100="Yes")*(69&gt;=Personnel!$E$9:$E$100)*((Personnel!$K$9:$K$100="")+(69&lt;=Personnel!$K$9:$K$100)&gt;0)*Personnel!$D$9:$D$100*(1-Personnel!$H$9:$H$100))+Staffing!BU81)*Escalation!$B$70</f>
        <v>338086.13923296</v>
      </c>
      <c r="BT4" s="271" t="n">
        <f aca="false">(SUMPRODUCT((Personnel!$O$9:$O$100&lt;&gt;"")*(Personnel!$G$9:$G$100="Yes")*(70&gt;=Personnel!$E$9:$E$100)*((Personnel!$K$9:$K$100="")+(70&lt;=Personnel!$K$9:$K$100)&gt;0)*Personnel!$D$9:$D$100*(1-Personnel!$H$9:$H$100))+Staffing!BV81)*Escalation!$B$71</f>
        <v>344847.862017619</v>
      </c>
      <c r="BU4" s="271" t="n">
        <f aca="false">(SUMPRODUCT((Personnel!$O$9:$O$100&lt;&gt;"")*(Personnel!$G$9:$G$100="Yes")*(71&gt;=Personnel!$E$9:$E$100)*((Personnel!$K$9:$K$100="")+(71&lt;=Personnel!$K$9:$K$100)&gt;0)*Personnel!$D$9:$D$100*(1-Personnel!$H$9:$H$100))+Staffing!BW81)*Escalation!$B$72</f>
        <v>344847.862017619</v>
      </c>
      <c r="BV4" s="271" t="n">
        <f aca="false">(SUMPRODUCT((Personnel!$O$9:$O$100&lt;&gt;"")*(Personnel!$G$9:$G$100="Yes")*(72&gt;=Personnel!$E$9:$E$100)*((Personnel!$K$9:$K$100="")+(72&lt;=Personnel!$K$9:$K$100)&gt;0)*Personnel!$D$9:$D$100*(1-Personnel!$H$9:$H$100))+Staffing!BX81)*Escalation!$B$73</f>
        <v>344847.862017619</v>
      </c>
      <c r="BW4" s="271" t="n">
        <f aca="false">(SUMPRODUCT((Personnel!$O$9:$O$100&lt;&gt;"")*(Personnel!$G$9:$G$100="Yes")*(73&gt;=Personnel!$E$9:$E$100)*((Personnel!$K$9:$K$100="")+(73&lt;=Personnel!$K$9:$K$100)&gt;0)*Personnel!$D$9:$D$100*(1-Personnel!$H$9:$H$100))+Staffing!BY81)*Escalation!$B$74</f>
        <v>344847.862017619</v>
      </c>
      <c r="BX4" s="271" t="n">
        <f aca="false">(SUMPRODUCT((Personnel!$O$9:$O$100&lt;&gt;"")*(Personnel!$G$9:$G$100="Yes")*(74&gt;=Personnel!$E$9:$E$100)*((Personnel!$K$9:$K$100="")+(74&lt;=Personnel!$K$9:$K$100)&gt;0)*Personnel!$D$9:$D$100*(1-Personnel!$H$9:$H$100))+Staffing!BZ81)*Escalation!$B$75</f>
        <v>344847.862017619</v>
      </c>
      <c r="BY4" s="271" t="n">
        <f aca="false">(SUMPRODUCT((Personnel!$O$9:$O$100&lt;&gt;"")*(Personnel!$G$9:$G$100="Yes")*(75&gt;=Personnel!$E$9:$E$100)*((Personnel!$K$9:$K$100="")+(75&lt;=Personnel!$K$9:$K$100)&gt;0)*Personnel!$D$9:$D$100*(1-Personnel!$H$9:$H$100))+Staffing!CA81)*Escalation!$B$76</f>
        <v>344847.862017619</v>
      </c>
      <c r="BZ4" s="271" t="n">
        <f aca="false">(SUMPRODUCT((Personnel!$O$9:$O$100&lt;&gt;"")*(Personnel!$G$9:$G$100="Yes")*(76&gt;=Personnel!$E$9:$E$100)*((Personnel!$K$9:$K$100="")+(76&lt;=Personnel!$K$9:$K$100)&gt;0)*Personnel!$D$9:$D$100*(1-Personnel!$H$9:$H$100))+Staffing!CB81)*Escalation!$B$77</f>
        <v>344847.862017619</v>
      </c>
      <c r="CA4" s="271" t="n">
        <f aca="false">(SUMPRODUCT((Personnel!$O$9:$O$100&lt;&gt;"")*(Personnel!$G$9:$G$100="Yes")*(77&gt;=Personnel!$E$9:$E$100)*((Personnel!$K$9:$K$100="")+(77&lt;=Personnel!$K$9:$K$100)&gt;0)*Personnel!$D$9:$D$100*(1-Personnel!$H$9:$H$100))+Staffing!CC81)*Escalation!$B$78</f>
        <v>344847.862017619</v>
      </c>
      <c r="CB4" s="271" t="n">
        <f aca="false">(SUMPRODUCT((Personnel!$O$9:$O$100&lt;&gt;"")*(Personnel!$G$9:$G$100="Yes")*(78&gt;=Personnel!$E$9:$E$100)*((Personnel!$K$9:$K$100="")+(78&lt;=Personnel!$K$9:$K$100)&gt;0)*Personnel!$D$9:$D$100*(1-Personnel!$H$9:$H$100))+Staffing!CD81)*Escalation!$B$79</f>
        <v>344847.862017619</v>
      </c>
      <c r="CC4" s="271" t="n">
        <f aca="false">(SUMPRODUCT((Personnel!$O$9:$O$100&lt;&gt;"")*(Personnel!$G$9:$G$100="Yes")*(79&gt;=Personnel!$E$9:$E$100)*((Personnel!$K$9:$K$100="")+(79&lt;=Personnel!$K$9:$K$100)&gt;0)*Personnel!$D$9:$D$100*(1-Personnel!$H$9:$H$100))+Staffing!CE81)*Escalation!$B$80</f>
        <v>344847.862017619</v>
      </c>
      <c r="CD4" s="271" t="n">
        <f aca="false">(SUMPRODUCT((Personnel!$O$9:$O$100&lt;&gt;"")*(Personnel!$G$9:$G$100="Yes")*(80&gt;=Personnel!$E$9:$E$100)*((Personnel!$K$9:$K$100="")+(80&lt;=Personnel!$K$9:$K$100)&gt;0)*Personnel!$D$9:$D$100*(1-Personnel!$H$9:$H$100))+Staffing!CF81)*Escalation!$B$81</f>
        <v>344847.862017619</v>
      </c>
      <c r="CE4" s="271" t="n">
        <f aca="false">(SUMPRODUCT((Personnel!$O$9:$O$100&lt;&gt;"")*(Personnel!$G$9:$G$100="Yes")*(81&gt;=Personnel!$E$9:$E$100)*((Personnel!$K$9:$K$100="")+(81&lt;=Personnel!$K$9:$K$100)&gt;0)*Personnel!$D$9:$D$100*(1-Personnel!$H$9:$H$100))+Staffing!CG81)*Escalation!$B$82</f>
        <v>344847.862017619</v>
      </c>
      <c r="CF4" s="271" t="n">
        <f aca="false">(SUMPRODUCT((Personnel!$O$9:$O$100&lt;&gt;"")*(Personnel!$G$9:$G$100="Yes")*(82&gt;=Personnel!$E$9:$E$100)*((Personnel!$K$9:$K$100="")+(82&lt;=Personnel!$K$9:$K$100)&gt;0)*Personnel!$D$9:$D$100*(1-Personnel!$H$9:$H$100))+Staffing!CH81)*Escalation!$B$83</f>
        <v>351744.819257972</v>
      </c>
      <c r="CG4" s="271" t="n">
        <f aca="false">(SUMPRODUCT((Personnel!$O$9:$O$100&lt;&gt;"")*(Personnel!$G$9:$G$100="Yes")*(83&gt;=Personnel!$E$9:$E$100)*((Personnel!$K$9:$K$100="")+(83&lt;=Personnel!$K$9:$K$100)&gt;0)*Personnel!$D$9:$D$100*(1-Personnel!$H$9:$H$100))+Staffing!CI81)*Escalation!$B$84</f>
        <v>351744.819257972</v>
      </c>
      <c r="CH4" s="271" t="n">
        <f aca="false">(SUMPRODUCT((Personnel!$O$9:$O$100&lt;&gt;"")*(Personnel!$G$9:$G$100="Yes")*(84&gt;=Personnel!$E$9:$E$100)*((Personnel!$K$9:$K$100="")+(84&lt;=Personnel!$K$9:$K$100)&gt;0)*Personnel!$D$9:$D$100*(1-Personnel!$H$9:$H$100))+Staffing!CJ81)*Escalation!$B$85</f>
        <v>351744.819257972</v>
      </c>
      <c r="CI4" s="271" t="n">
        <f aca="false">(SUMPRODUCT((Personnel!$O$9:$O$100&lt;&gt;"")*(Personnel!$G$9:$G$100="Yes")*(85&gt;=Personnel!$E$9:$E$100)*((Personnel!$K$9:$K$100="")+(85&lt;=Personnel!$K$9:$K$100)&gt;0)*Personnel!$D$9:$D$100*(1-Personnel!$H$9:$H$100))+Staffing!CK81)*Escalation!$B$86</f>
        <v>351744.819257972</v>
      </c>
      <c r="CJ4" s="271" t="n">
        <f aca="false">(SUMPRODUCT((Personnel!$O$9:$O$100&lt;&gt;"")*(Personnel!$G$9:$G$100="Yes")*(86&gt;=Personnel!$E$9:$E$100)*((Personnel!$K$9:$K$100="")+(86&lt;=Personnel!$K$9:$K$100)&gt;0)*Personnel!$D$9:$D$100*(1-Personnel!$H$9:$H$100))+Staffing!CL81)*Escalation!$B$87</f>
        <v>351744.819257972</v>
      </c>
      <c r="CK4" s="271" t="n">
        <f aca="false">(SUMPRODUCT((Personnel!$O$9:$O$100&lt;&gt;"")*(Personnel!$G$9:$G$100="Yes")*(87&gt;=Personnel!$E$9:$E$100)*((Personnel!$K$9:$K$100="")+(87&lt;=Personnel!$K$9:$K$100)&gt;0)*Personnel!$D$9:$D$100*(1-Personnel!$H$9:$H$100))+Staffing!CM81)*Escalation!$B$88</f>
        <v>351744.819257972</v>
      </c>
      <c r="CL4" s="271" t="n">
        <f aca="false">(SUMPRODUCT((Personnel!$O$9:$O$100&lt;&gt;"")*(Personnel!$G$9:$G$100="Yes")*(88&gt;=Personnel!$E$9:$E$100)*((Personnel!$K$9:$K$100="")+(88&lt;=Personnel!$K$9:$K$100)&gt;0)*Personnel!$D$9:$D$100*(1-Personnel!$H$9:$H$100))+Staffing!CN81)*Escalation!$B$89</f>
        <v>351744.819257972</v>
      </c>
      <c r="CM4" s="271" t="n">
        <f aca="false">(SUMPRODUCT((Personnel!$O$9:$O$100&lt;&gt;"")*(Personnel!$G$9:$G$100="Yes")*(89&gt;=Personnel!$E$9:$E$100)*((Personnel!$K$9:$K$100="")+(89&lt;=Personnel!$K$9:$K$100)&gt;0)*Personnel!$D$9:$D$100*(1-Personnel!$H$9:$H$100))+Staffing!CO81)*Escalation!$B$90</f>
        <v>351744.819257972</v>
      </c>
      <c r="CN4" s="271" t="n">
        <f aca="false">(SUMPRODUCT((Personnel!$O$9:$O$100&lt;&gt;"")*(Personnel!$G$9:$G$100="Yes")*(90&gt;=Personnel!$E$9:$E$100)*((Personnel!$K$9:$K$100="")+(90&lt;=Personnel!$K$9:$K$100)&gt;0)*Personnel!$D$9:$D$100*(1-Personnel!$H$9:$H$100))+Staffing!CP81)*Escalation!$B$91</f>
        <v>351744.819257972</v>
      </c>
      <c r="CO4" s="271" t="n">
        <f aca="false">(SUMPRODUCT((Personnel!$O$9:$O$100&lt;&gt;"")*(Personnel!$G$9:$G$100="Yes")*(91&gt;=Personnel!$E$9:$E$100)*((Personnel!$K$9:$K$100="")+(91&lt;=Personnel!$K$9:$K$100)&gt;0)*Personnel!$D$9:$D$100*(1-Personnel!$H$9:$H$100))+Staffing!CQ81)*Escalation!$B$92</f>
        <v>351744.819257972</v>
      </c>
      <c r="CP4" s="271" t="n">
        <f aca="false">(SUMPRODUCT((Personnel!$O$9:$O$100&lt;&gt;"")*(Personnel!$G$9:$G$100="Yes")*(92&gt;=Personnel!$E$9:$E$100)*((Personnel!$K$9:$K$100="")+(92&lt;=Personnel!$K$9:$K$100)&gt;0)*Personnel!$D$9:$D$100*(1-Personnel!$H$9:$H$100))+Staffing!CR81)*Escalation!$B$93</f>
        <v>351744.819257972</v>
      </c>
      <c r="CQ4" s="271" t="n">
        <f aca="false">(SUMPRODUCT((Personnel!$O$9:$O$100&lt;&gt;"")*(Personnel!$G$9:$G$100="Yes")*(93&gt;=Personnel!$E$9:$E$100)*((Personnel!$K$9:$K$100="")+(93&lt;=Personnel!$K$9:$K$100)&gt;0)*Personnel!$D$9:$D$100*(1-Personnel!$H$9:$H$100))+Staffing!CS81)*Escalation!$B$94</f>
        <v>351744.819257972</v>
      </c>
    </row>
    <row r="5" customFormat="false" ht="15" hidden="false" customHeight="true" outlineLevel="0" collapsed="false">
      <c r="A5" s="189" t="s">
        <v>1069</v>
      </c>
      <c r="C5" s="271" t="n">
        <f aca="false">(SUMPRODUCT((Personnel!$F$9:$F$100="SixPeak")*(Personnel!$G$9:$G$100="Yes")*(1&gt;=Personnel!$E$9:$E$100)*((Personnel!$K$9:$K$100="")+(1&lt;=Personnel!$K$9:$K$100)&gt;0)*Personnel!$D$9:$D$100*(1-Personnel!$H$9:$H$100)*(1-Personnel!$I$9:$I$100)))*Escalation!$B$2</f>
        <v>54166.6666666667</v>
      </c>
      <c r="D5" s="271" t="n">
        <f aca="false">(SUMPRODUCT((Personnel!$F$9:$F$100="SixPeak")*(Personnel!$G$9:$G$100="Yes")*(2&gt;=Personnel!$E$9:$E$100)*((Personnel!$K$9:$K$100="")+(2&lt;=Personnel!$K$9:$K$100)&gt;0)*Personnel!$D$9:$D$100*(1-Personnel!$H$9:$H$100)*(1-Personnel!$I$9:$I$100)))*Escalation!$B$3</f>
        <v>54166.6666666667</v>
      </c>
      <c r="E5" s="271" t="n">
        <f aca="false">(SUMPRODUCT((Personnel!$F$9:$F$100="SixPeak")*(Personnel!$G$9:$G$100="Yes")*(3&gt;=Personnel!$E$9:$E$100)*((Personnel!$K$9:$K$100="")+(3&lt;=Personnel!$K$9:$K$100)&gt;0)*Personnel!$D$9:$D$100*(1-Personnel!$H$9:$H$100)*(1-Personnel!$I$9:$I$100)))*Escalation!$B$4</f>
        <v>54166.6666666667</v>
      </c>
      <c r="F5" s="271" t="n">
        <f aca="false">(SUMPRODUCT((Personnel!$F$9:$F$100="SixPeak")*(Personnel!$G$9:$G$100="Yes")*(4&gt;=Personnel!$E$9:$E$100)*((Personnel!$K$9:$K$100="")+(4&lt;=Personnel!$K$9:$K$100)&gt;0)*Personnel!$D$9:$D$100*(1-Personnel!$H$9:$H$100)*(1-Personnel!$I$9:$I$100)))*Escalation!$B$5</f>
        <v>54166.6666666667</v>
      </c>
      <c r="G5" s="271" t="n">
        <f aca="false">(SUMPRODUCT((Personnel!$F$9:$F$100="SixPeak")*(Personnel!$G$9:$G$100="Yes")*(5&gt;=Personnel!$E$9:$E$100)*((Personnel!$K$9:$K$100="")+(5&lt;=Personnel!$K$9:$K$100)&gt;0)*Personnel!$D$9:$D$100*(1-Personnel!$H$9:$H$100)*(1-Personnel!$I$9:$I$100)))*Escalation!$B$6</f>
        <v>54166.6666666667</v>
      </c>
      <c r="H5" s="271" t="n">
        <f aca="false">(SUMPRODUCT((Personnel!$F$9:$F$100="SixPeak")*(Personnel!$G$9:$G$100="Yes")*(6&gt;=Personnel!$E$9:$E$100)*((Personnel!$K$9:$K$100="")+(6&lt;=Personnel!$K$9:$K$100)&gt;0)*Personnel!$D$9:$D$100*(1-Personnel!$H$9:$H$100)*(1-Personnel!$I$9:$I$100)))*Escalation!$B$7</f>
        <v>54166.6666666667</v>
      </c>
      <c r="I5" s="271" t="n">
        <f aca="false">(SUMPRODUCT((Personnel!$F$9:$F$100="SixPeak")*(Personnel!$G$9:$G$100="Yes")*(7&gt;=Personnel!$E$9:$E$100)*((Personnel!$K$9:$K$100="")+(7&lt;=Personnel!$K$9:$K$100)&gt;0)*Personnel!$D$9:$D$100*(1-Personnel!$H$9:$H$100)*(1-Personnel!$I$9:$I$100)))*Escalation!$B$8</f>
        <v>54166.6666666667</v>
      </c>
      <c r="J5" s="271" t="n">
        <f aca="false">(SUMPRODUCT((Personnel!$F$9:$F$100="SixPeak")*(Personnel!$G$9:$G$100="Yes")*(8&gt;=Personnel!$E$9:$E$100)*((Personnel!$K$9:$K$100="")+(8&lt;=Personnel!$K$9:$K$100)&gt;0)*Personnel!$D$9:$D$100*(1-Personnel!$H$9:$H$100)*(1-Personnel!$I$9:$I$100)))*Escalation!$B$9</f>
        <v>54166.6666666667</v>
      </c>
      <c r="K5" s="271" t="n">
        <f aca="false">(SUMPRODUCT((Personnel!$F$9:$F$100="SixPeak")*(Personnel!$G$9:$G$100="Yes")*(9&gt;=Personnel!$E$9:$E$100)*((Personnel!$K$9:$K$100="")+(9&lt;=Personnel!$K$9:$K$100)&gt;0)*Personnel!$D$9:$D$100*(1-Personnel!$H$9:$H$100)*(1-Personnel!$I$9:$I$100)))*Escalation!$B$10</f>
        <v>54166.6666666667</v>
      </c>
      <c r="L5" s="271" t="n">
        <f aca="false">(SUMPRODUCT((Personnel!$F$9:$F$100="SixPeak")*(Personnel!$G$9:$G$100="Yes")*(10&gt;=Personnel!$E$9:$E$100)*((Personnel!$K$9:$K$100="")+(10&lt;=Personnel!$K$9:$K$100)&gt;0)*Personnel!$D$9:$D$100*(1-Personnel!$H$9:$H$100)*(1-Personnel!$I$9:$I$100)))*Escalation!$B$11</f>
        <v>54791.6666666667</v>
      </c>
      <c r="M5" s="271" t="n">
        <f aca="false">(SUMPRODUCT((Personnel!$F$9:$F$100="SixPeak")*(Personnel!$G$9:$G$100="Yes")*(11&gt;=Personnel!$E$9:$E$100)*((Personnel!$K$9:$K$100="")+(11&lt;=Personnel!$K$9:$K$100)&gt;0)*Personnel!$D$9:$D$100*(1-Personnel!$H$9:$H$100)*(1-Personnel!$I$9:$I$100)))*Escalation!$B$12</f>
        <v>54791.6666666667</v>
      </c>
      <c r="N5" s="271" t="n">
        <f aca="false">(SUMPRODUCT((Personnel!$F$9:$F$100="SixPeak")*(Personnel!$G$9:$G$100="Yes")*(12&gt;=Personnel!$E$9:$E$100)*((Personnel!$K$9:$K$100="")+(12&lt;=Personnel!$K$9:$K$100)&gt;0)*Personnel!$D$9:$D$100*(1-Personnel!$H$9:$H$100)*(1-Personnel!$I$9:$I$100)))*Escalation!$B$13</f>
        <v>54791.6666666667</v>
      </c>
      <c r="O5" s="271" t="n">
        <f aca="false">(SUMPRODUCT((Personnel!$F$9:$F$100="SixPeak")*(Personnel!$G$9:$G$100="Yes")*(13&gt;=Personnel!$E$9:$E$100)*((Personnel!$K$9:$K$100="")+(13&lt;=Personnel!$K$9:$K$100)&gt;0)*Personnel!$D$9:$D$100*(1-Personnel!$H$9:$H$100)*(1-Personnel!$I$9:$I$100)))*Escalation!$B$14</f>
        <v>54791.6666666667</v>
      </c>
      <c r="P5" s="271" t="n">
        <f aca="false">(SUMPRODUCT((Personnel!$F$9:$F$100="SixPeak")*(Personnel!$G$9:$G$100="Yes")*(14&gt;=Personnel!$E$9:$E$100)*((Personnel!$K$9:$K$100="")+(14&lt;=Personnel!$K$9:$K$100)&gt;0)*Personnel!$D$9:$D$100*(1-Personnel!$H$9:$H$100)*(1-Personnel!$I$9:$I$100)))*Escalation!$B$15</f>
        <v>54791.6666666667</v>
      </c>
      <c r="Q5" s="271" t="n">
        <f aca="false">(SUMPRODUCT((Personnel!$F$9:$F$100="SixPeak")*(Personnel!$G$9:$G$100="Yes")*(15&gt;=Personnel!$E$9:$E$100)*((Personnel!$K$9:$K$100="")+(15&lt;=Personnel!$K$9:$K$100)&gt;0)*Personnel!$D$9:$D$100*(1-Personnel!$H$9:$H$100)*(1-Personnel!$I$9:$I$100)))*Escalation!$B$16</f>
        <v>54791.6666666667</v>
      </c>
      <c r="R5" s="271" t="n">
        <f aca="false">(SUMPRODUCT((Personnel!$F$9:$F$100="SixPeak")*(Personnel!$G$9:$G$100="Yes")*(16&gt;=Personnel!$E$9:$E$100)*((Personnel!$K$9:$K$100="")+(16&lt;=Personnel!$K$9:$K$100)&gt;0)*Personnel!$D$9:$D$100*(1-Personnel!$H$9:$H$100)*(1-Personnel!$I$9:$I$100)))*Escalation!$B$17</f>
        <v>54791.6666666667</v>
      </c>
      <c r="S5" s="271" t="n">
        <f aca="false">(SUMPRODUCT((Personnel!$F$9:$F$100="SixPeak")*(Personnel!$G$9:$G$100="Yes")*(17&gt;=Personnel!$E$9:$E$100)*((Personnel!$K$9:$K$100="")+(17&lt;=Personnel!$K$9:$K$100)&gt;0)*Personnel!$D$9:$D$100*(1-Personnel!$H$9:$H$100)*(1-Personnel!$I$9:$I$100)))*Escalation!$B$18</f>
        <v>54791.6666666667</v>
      </c>
      <c r="T5" s="271" t="n">
        <f aca="false">(SUMPRODUCT((Personnel!$F$9:$F$100="SixPeak")*(Personnel!$G$9:$G$100="Yes")*(18&gt;=Personnel!$E$9:$E$100)*((Personnel!$K$9:$K$100="")+(18&lt;=Personnel!$K$9:$K$100)&gt;0)*Personnel!$D$9:$D$100*(1-Personnel!$H$9:$H$100)*(1-Personnel!$I$9:$I$100)))*Escalation!$B$19</f>
        <v>54791.6666666667</v>
      </c>
      <c r="U5" s="271" t="n">
        <f aca="false">(SUMPRODUCT((Personnel!$F$9:$F$100="SixPeak")*(Personnel!$G$9:$G$100="Yes")*(19&gt;=Personnel!$E$9:$E$100)*((Personnel!$K$9:$K$100="")+(19&lt;=Personnel!$K$9:$K$100)&gt;0)*Personnel!$D$9:$D$100*(1-Personnel!$H$9:$H$100)*(1-Personnel!$I$9:$I$100)))*Escalation!$B$20</f>
        <v>54791.6666666667</v>
      </c>
      <c r="V5" s="271" t="n">
        <f aca="false">(SUMPRODUCT((Personnel!$F$9:$F$100="SixPeak")*(Personnel!$G$9:$G$100="Yes")*(20&gt;=Personnel!$E$9:$E$100)*((Personnel!$K$9:$K$100="")+(20&lt;=Personnel!$K$9:$K$100)&gt;0)*Personnel!$D$9:$D$100*(1-Personnel!$H$9:$H$100)*(1-Personnel!$I$9:$I$100)))*Escalation!$B$21</f>
        <v>54791.6666666667</v>
      </c>
      <c r="W5" s="271" t="n">
        <f aca="false">(SUMPRODUCT((Personnel!$F$9:$F$100="SixPeak")*(Personnel!$G$9:$G$100="Yes")*(21&gt;=Personnel!$E$9:$E$100)*((Personnel!$K$9:$K$100="")+(21&lt;=Personnel!$K$9:$K$100)&gt;0)*Personnel!$D$9:$D$100*(1-Personnel!$H$9:$H$100)*(1-Personnel!$I$9:$I$100)))*Escalation!$B$22</f>
        <v>54791.6666666667</v>
      </c>
      <c r="X5" s="271" t="n">
        <f aca="false">(SUMPRODUCT((Personnel!$F$9:$F$100="SixPeak")*(Personnel!$G$9:$G$100="Yes")*(22&gt;=Personnel!$E$9:$E$100)*((Personnel!$K$9:$K$100="")+(22&lt;=Personnel!$K$9:$K$100)&gt;0)*Personnel!$D$9:$D$100*(1-Personnel!$H$9:$H$100)*(1-Personnel!$I$9:$I$100)))*Escalation!$B$23</f>
        <v>55887.5</v>
      </c>
      <c r="Y5" s="271" t="n">
        <f aca="false">(SUMPRODUCT((Personnel!$F$9:$F$100="SixPeak")*(Personnel!$G$9:$G$100="Yes")*(23&gt;=Personnel!$E$9:$E$100)*((Personnel!$K$9:$K$100="")+(23&lt;=Personnel!$K$9:$K$100)&gt;0)*Personnel!$D$9:$D$100*(1-Personnel!$H$9:$H$100)*(1-Personnel!$I$9:$I$100)))*Escalation!$B$24</f>
        <v>55887.5</v>
      </c>
      <c r="Z5" s="271" t="n">
        <f aca="false">(SUMPRODUCT((Personnel!$F$9:$F$100="SixPeak")*(Personnel!$G$9:$G$100="Yes")*(24&gt;=Personnel!$E$9:$E$100)*((Personnel!$K$9:$K$100="")+(24&lt;=Personnel!$K$9:$K$100)&gt;0)*Personnel!$D$9:$D$100*(1-Personnel!$H$9:$H$100)*(1-Personnel!$I$9:$I$100)))*Escalation!$B$25</f>
        <v>55887.5</v>
      </c>
      <c r="AA5" s="271" t="n">
        <f aca="false">(SUMPRODUCT((Personnel!$F$9:$F$100="SixPeak")*(Personnel!$G$9:$G$100="Yes")*(25&gt;=Personnel!$E$9:$E$100)*((Personnel!$K$9:$K$100="")+(25&lt;=Personnel!$K$9:$K$100)&gt;0)*Personnel!$D$9:$D$100*(1-Personnel!$H$9:$H$100)*(1-Personnel!$I$9:$I$100)))*Escalation!$B$26</f>
        <v>55887.5</v>
      </c>
      <c r="AB5" s="271" t="n">
        <f aca="false">(SUMPRODUCT((Personnel!$F$9:$F$100="SixPeak")*(Personnel!$G$9:$G$100="Yes")*(26&gt;=Personnel!$E$9:$E$100)*((Personnel!$K$9:$K$100="")+(26&lt;=Personnel!$K$9:$K$100)&gt;0)*Personnel!$D$9:$D$100*(1-Personnel!$H$9:$H$100)*(1-Personnel!$I$9:$I$100)))*Escalation!$B$27</f>
        <v>55887.5</v>
      </c>
      <c r="AC5" s="271" t="n">
        <f aca="false">(SUMPRODUCT((Personnel!$F$9:$F$100="SixPeak")*(Personnel!$G$9:$G$100="Yes")*(27&gt;=Personnel!$E$9:$E$100)*((Personnel!$K$9:$K$100="")+(27&lt;=Personnel!$K$9:$K$100)&gt;0)*Personnel!$D$9:$D$100*(1-Personnel!$H$9:$H$100)*(1-Personnel!$I$9:$I$100)))*Escalation!$B$28</f>
        <v>55887.5</v>
      </c>
      <c r="AD5" s="271" t="n">
        <f aca="false">(SUMPRODUCT((Personnel!$F$9:$F$100="SixPeak")*(Personnel!$G$9:$G$100="Yes")*(28&gt;=Personnel!$E$9:$E$100)*((Personnel!$K$9:$K$100="")+(28&lt;=Personnel!$K$9:$K$100)&gt;0)*Personnel!$D$9:$D$100*(1-Personnel!$H$9:$H$100)*(1-Personnel!$I$9:$I$100)))*Escalation!$B$29</f>
        <v>55887.5</v>
      </c>
      <c r="AE5" s="271" t="n">
        <f aca="false">(SUMPRODUCT((Personnel!$F$9:$F$100="SixPeak")*(Personnel!$G$9:$G$100="Yes")*(29&gt;=Personnel!$E$9:$E$100)*((Personnel!$K$9:$K$100="")+(29&lt;=Personnel!$K$9:$K$100)&gt;0)*Personnel!$D$9:$D$100*(1-Personnel!$H$9:$H$100)*(1-Personnel!$I$9:$I$100)))*Escalation!$B$30</f>
        <v>55887.5</v>
      </c>
      <c r="AF5" s="271" t="n">
        <f aca="false">(SUMPRODUCT((Personnel!$F$9:$F$100="SixPeak")*(Personnel!$G$9:$G$100="Yes")*(30&gt;=Personnel!$E$9:$E$100)*((Personnel!$K$9:$K$100="")+(30&lt;=Personnel!$K$9:$K$100)&gt;0)*Personnel!$D$9:$D$100*(1-Personnel!$H$9:$H$100)*(1-Personnel!$I$9:$I$100)))*Escalation!$B$31</f>
        <v>55887.5</v>
      </c>
      <c r="AG5" s="271" t="n">
        <f aca="false">(SUMPRODUCT((Personnel!$F$9:$F$100="SixPeak")*(Personnel!$G$9:$G$100="Yes")*(31&gt;=Personnel!$E$9:$E$100)*((Personnel!$K$9:$K$100="")+(31&lt;=Personnel!$K$9:$K$100)&gt;0)*Personnel!$D$9:$D$100*(1-Personnel!$H$9:$H$100)*(1-Personnel!$I$9:$I$100)))*Escalation!$B$32</f>
        <v>55887.5</v>
      </c>
      <c r="AH5" s="271" t="n">
        <f aca="false">(SUMPRODUCT((Personnel!$F$9:$F$100="SixPeak")*(Personnel!$G$9:$G$100="Yes")*(32&gt;=Personnel!$E$9:$E$100)*((Personnel!$K$9:$K$100="")+(32&lt;=Personnel!$K$9:$K$100)&gt;0)*Personnel!$D$9:$D$100*(1-Personnel!$H$9:$H$100)*(1-Personnel!$I$9:$I$100)))*Escalation!$B$33</f>
        <v>55887.5</v>
      </c>
      <c r="AI5" s="271" t="n">
        <f aca="false">(SUMPRODUCT((Personnel!$F$9:$F$100="SixPeak")*(Personnel!$G$9:$G$100="Yes")*(33&gt;=Personnel!$E$9:$E$100)*((Personnel!$K$9:$K$100="")+(33&lt;=Personnel!$K$9:$K$100)&gt;0)*Personnel!$D$9:$D$100*(1-Personnel!$H$9:$H$100)*(1-Personnel!$I$9:$I$100)))*Escalation!$B$34</f>
        <v>55887.5</v>
      </c>
      <c r="AJ5" s="271" t="n">
        <f aca="false">(SUMPRODUCT((Personnel!$F$9:$F$100="SixPeak")*(Personnel!$G$9:$G$100="Yes")*(34&gt;=Personnel!$E$9:$E$100)*((Personnel!$K$9:$K$100="")+(34&lt;=Personnel!$K$9:$K$100)&gt;0)*Personnel!$D$9:$D$100*(1-Personnel!$H$9:$H$100)*(1-Personnel!$I$9:$I$100)))*Escalation!$B$35</f>
        <v>57005.25</v>
      </c>
      <c r="AK5" s="271" t="n">
        <f aca="false">(SUMPRODUCT((Personnel!$F$9:$F$100="SixPeak")*(Personnel!$G$9:$G$100="Yes")*(35&gt;=Personnel!$E$9:$E$100)*((Personnel!$K$9:$K$100="")+(35&lt;=Personnel!$K$9:$K$100)&gt;0)*Personnel!$D$9:$D$100*(1-Personnel!$H$9:$H$100)*(1-Personnel!$I$9:$I$100)))*Escalation!$B$36</f>
        <v>57005.25</v>
      </c>
      <c r="AL5" s="271" t="n">
        <f aca="false">(SUMPRODUCT((Personnel!$F$9:$F$100="SixPeak")*(Personnel!$G$9:$G$100="Yes")*(36&gt;=Personnel!$E$9:$E$100)*((Personnel!$K$9:$K$100="")+(36&lt;=Personnel!$K$9:$K$100)&gt;0)*Personnel!$D$9:$D$100*(1-Personnel!$H$9:$H$100)*(1-Personnel!$I$9:$I$100)))*Escalation!$B$37</f>
        <v>57005.25</v>
      </c>
      <c r="AM5" s="271" t="n">
        <f aca="false">(SUMPRODUCT((Personnel!$F$9:$F$100="SixPeak")*(Personnel!$G$9:$G$100="Yes")*(37&gt;=Personnel!$E$9:$E$100)*((Personnel!$K$9:$K$100="")+(37&lt;=Personnel!$K$9:$K$100)&gt;0)*Personnel!$D$9:$D$100*(1-Personnel!$H$9:$H$100)*(1-Personnel!$I$9:$I$100)))*Escalation!$B$38</f>
        <v>57005.25</v>
      </c>
      <c r="AN5" s="271" t="n">
        <f aca="false">(SUMPRODUCT((Personnel!$F$9:$F$100="SixPeak")*(Personnel!$G$9:$G$100="Yes")*(38&gt;=Personnel!$E$9:$E$100)*((Personnel!$K$9:$K$100="")+(38&lt;=Personnel!$K$9:$K$100)&gt;0)*Personnel!$D$9:$D$100*(1-Personnel!$H$9:$H$100)*(1-Personnel!$I$9:$I$100)))*Escalation!$B$39</f>
        <v>57005.25</v>
      </c>
      <c r="AO5" s="271" t="n">
        <f aca="false">(SUMPRODUCT((Personnel!$F$9:$F$100="SixPeak")*(Personnel!$G$9:$G$100="Yes")*(39&gt;=Personnel!$E$9:$E$100)*((Personnel!$K$9:$K$100="")+(39&lt;=Personnel!$K$9:$K$100)&gt;0)*Personnel!$D$9:$D$100*(1-Personnel!$H$9:$H$100)*(1-Personnel!$I$9:$I$100)))*Escalation!$B$40</f>
        <v>57005.25</v>
      </c>
      <c r="AP5" s="271" t="n">
        <f aca="false">(SUMPRODUCT((Personnel!$F$9:$F$100="SixPeak")*(Personnel!$G$9:$G$100="Yes")*(40&gt;=Personnel!$E$9:$E$100)*((Personnel!$K$9:$K$100="")+(40&lt;=Personnel!$K$9:$K$100)&gt;0)*Personnel!$D$9:$D$100*(1-Personnel!$H$9:$H$100)*(1-Personnel!$I$9:$I$100)))*Escalation!$B$41</f>
        <v>57005.25</v>
      </c>
      <c r="AQ5" s="271" t="n">
        <f aca="false">(SUMPRODUCT((Personnel!$F$9:$F$100="SixPeak")*(Personnel!$G$9:$G$100="Yes")*(41&gt;=Personnel!$E$9:$E$100)*((Personnel!$K$9:$K$100="")+(41&lt;=Personnel!$K$9:$K$100)&gt;0)*Personnel!$D$9:$D$100*(1-Personnel!$H$9:$H$100)*(1-Personnel!$I$9:$I$100)))*Escalation!$B$42</f>
        <v>57005.25</v>
      </c>
      <c r="AR5" s="271" t="n">
        <f aca="false">(SUMPRODUCT((Personnel!$F$9:$F$100="SixPeak")*(Personnel!$G$9:$G$100="Yes")*(42&gt;=Personnel!$E$9:$E$100)*((Personnel!$K$9:$K$100="")+(42&lt;=Personnel!$K$9:$K$100)&gt;0)*Personnel!$D$9:$D$100*(1-Personnel!$H$9:$H$100)*(1-Personnel!$I$9:$I$100)))*Escalation!$B$43</f>
        <v>57005.25</v>
      </c>
      <c r="AS5" s="271" t="n">
        <f aca="false">(SUMPRODUCT((Personnel!$F$9:$F$100="SixPeak")*(Personnel!$G$9:$G$100="Yes")*(43&gt;=Personnel!$E$9:$E$100)*((Personnel!$K$9:$K$100="")+(43&lt;=Personnel!$K$9:$K$100)&gt;0)*Personnel!$D$9:$D$100*(1-Personnel!$H$9:$H$100)*(1-Personnel!$I$9:$I$100)))*Escalation!$B$44</f>
        <v>57005.25</v>
      </c>
      <c r="AT5" s="271" t="n">
        <f aca="false">(SUMPRODUCT((Personnel!$F$9:$F$100="SixPeak")*(Personnel!$G$9:$G$100="Yes")*(44&gt;=Personnel!$E$9:$E$100)*((Personnel!$K$9:$K$100="")+(44&lt;=Personnel!$K$9:$K$100)&gt;0)*Personnel!$D$9:$D$100*(1-Personnel!$H$9:$H$100)*(1-Personnel!$I$9:$I$100)))*Escalation!$B$45</f>
        <v>57005.25</v>
      </c>
      <c r="AU5" s="271" t="n">
        <f aca="false">(SUMPRODUCT((Personnel!$F$9:$F$100="SixPeak")*(Personnel!$G$9:$G$100="Yes")*(45&gt;=Personnel!$E$9:$E$100)*((Personnel!$K$9:$K$100="")+(45&lt;=Personnel!$K$9:$K$100)&gt;0)*Personnel!$D$9:$D$100*(1-Personnel!$H$9:$H$100)*(1-Personnel!$I$9:$I$100)))*Escalation!$B$46</f>
        <v>57005.25</v>
      </c>
      <c r="AV5" s="271" t="n">
        <f aca="false">(SUMPRODUCT((Personnel!$F$9:$F$100="SixPeak")*(Personnel!$G$9:$G$100="Yes")*(46&gt;=Personnel!$E$9:$E$100)*((Personnel!$K$9:$K$100="")+(46&lt;=Personnel!$K$9:$K$100)&gt;0)*Personnel!$D$9:$D$100*(1-Personnel!$H$9:$H$100)*(1-Personnel!$I$9:$I$100)))*Escalation!$B$47</f>
        <v>58145.355</v>
      </c>
      <c r="AW5" s="271" t="n">
        <f aca="false">(SUMPRODUCT((Personnel!$F$9:$F$100="SixPeak")*(Personnel!$G$9:$G$100="Yes")*(47&gt;=Personnel!$E$9:$E$100)*((Personnel!$K$9:$K$100="")+(47&lt;=Personnel!$K$9:$K$100)&gt;0)*Personnel!$D$9:$D$100*(1-Personnel!$H$9:$H$100)*(1-Personnel!$I$9:$I$100)))*Escalation!$B$48</f>
        <v>58145.355</v>
      </c>
      <c r="AX5" s="271" t="n">
        <f aca="false">(SUMPRODUCT((Personnel!$F$9:$F$100="SixPeak")*(Personnel!$G$9:$G$100="Yes")*(48&gt;=Personnel!$E$9:$E$100)*((Personnel!$K$9:$K$100="")+(48&lt;=Personnel!$K$9:$K$100)&gt;0)*Personnel!$D$9:$D$100*(1-Personnel!$H$9:$H$100)*(1-Personnel!$I$9:$I$100)))*Escalation!$B$49</f>
        <v>58145.355</v>
      </c>
      <c r="AY5" s="271" t="n">
        <f aca="false">(SUMPRODUCT((Personnel!$F$9:$F$100="SixPeak")*(Personnel!$G$9:$G$100="Yes")*(49&gt;=Personnel!$E$9:$E$100)*((Personnel!$K$9:$K$100="")+(49&lt;=Personnel!$K$9:$K$100)&gt;0)*Personnel!$D$9:$D$100*(1-Personnel!$H$9:$H$100)*(1-Personnel!$I$9:$I$100)))*Escalation!$B$50</f>
        <v>58145.355</v>
      </c>
      <c r="AZ5" s="271" t="n">
        <f aca="false">(SUMPRODUCT((Personnel!$F$9:$F$100="SixPeak")*(Personnel!$G$9:$G$100="Yes")*(50&gt;=Personnel!$E$9:$E$100)*((Personnel!$K$9:$K$100="")+(50&lt;=Personnel!$K$9:$K$100)&gt;0)*Personnel!$D$9:$D$100*(1-Personnel!$H$9:$H$100)*(1-Personnel!$I$9:$I$100)))*Escalation!$B$51</f>
        <v>58145.355</v>
      </c>
      <c r="BA5" s="271" t="n">
        <f aca="false">(SUMPRODUCT((Personnel!$F$9:$F$100="SixPeak")*(Personnel!$G$9:$G$100="Yes")*(51&gt;=Personnel!$E$9:$E$100)*((Personnel!$K$9:$K$100="")+(51&lt;=Personnel!$K$9:$K$100)&gt;0)*Personnel!$D$9:$D$100*(1-Personnel!$H$9:$H$100)*(1-Personnel!$I$9:$I$100)))*Escalation!$B$52</f>
        <v>58145.355</v>
      </c>
      <c r="BB5" s="271" t="n">
        <f aca="false">(SUMPRODUCT((Personnel!$F$9:$F$100="SixPeak")*(Personnel!$G$9:$G$100="Yes")*(52&gt;=Personnel!$E$9:$E$100)*((Personnel!$K$9:$K$100="")+(52&lt;=Personnel!$K$9:$K$100)&gt;0)*Personnel!$D$9:$D$100*(1-Personnel!$H$9:$H$100)*(1-Personnel!$I$9:$I$100)))*Escalation!$B$53</f>
        <v>58145.355</v>
      </c>
      <c r="BC5" s="271" t="n">
        <f aca="false">(SUMPRODUCT((Personnel!$F$9:$F$100="SixPeak")*(Personnel!$G$9:$G$100="Yes")*(53&gt;=Personnel!$E$9:$E$100)*((Personnel!$K$9:$K$100="")+(53&lt;=Personnel!$K$9:$K$100)&gt;0)*Personnel!$D$9:$D$100*(1-Personnel!$H$9:$H$100)*(1-Personnel!$I$9:$I$100)))*Escalation!$B$54</f>
        <v>58145.355</v>
      </c>
      <c r="BD5" s="271" t="n">
        <f aca="false">(SUMPRODUCT((Personnel!$F$9:$F$100="SixPeak")*(Personnel!$G$9:$G$100="Yes")*(54&gt;=Personnel!$E$9:$E$100)*((Personnel!$K$9:$K$100="")+(54&lt;=Personnel!$K$9:$K$100)&gt;0)*Personnel!$D$9:$D$100*(1-Personnel!$H$9:$H$100)*(1-Personnel!$I$9:$I$100)))*Escalation!$B$55</f>
        <v>58145.355</v>
      </c>
      <c r="BE5" s="271" t="n">
        <f aca="false">(SUMPRODUCT((Personnel!$F$9:$F$100="SixPeak")*(Personnel!$G$9:$G$100="Yes")*(55&gt;=Personnel!$E$9:$E$100)*((Personnel!$K$9:$K$100="")+(55&lt;=Personnel!$K$9:$K$100)&gt;0)*Personnel!$D$9:$D$100*(1-Personnel!$H$9:$H$100)*(1-Personnel!$I$9:$I$100)))*Escalation!$B$56</f>
        <v>58145.355</v>
      </c>
      <c r="BF5" s="271" t="n">
        <f aca="false">(SUMPRODUCT((Personnel!$F$9:$F$100="SixPeak")*(Personnel!$G$9:$G$100="Yes")*(56&gt;=Personnel!$E$9:$E$100)*((Personnel!$K$9:$K$100="")+(56&lt;=Personnel!$K$9:$K$100)&gt;0)*Personnel!$D$9:$D$100*(1-Personnel!$H$9:$H$100)*(1-Personnel!$I$9:$I$100)))*Escalation!$B$57</f>
        <v>58145.355</v>
      </c>
      <c r="BG5" s="271" t="n">
        <f aca="false">(SUMPRODUCT((Personnel!$F$9:$F$100="SixPeak")*(Personnel!$G$9:$G$100="Yes")*(57&gt;=Personnel!$E$9:$E$100)*((Personnel!$K$9:$K$100="")+(57&lt;=Personnel!$K$9:$K$100)&gt;0)*Personnel!$D$9:$D$100*(1-Personnel!$H$9:$H$100)*(1-Personnel!$I$9:$I$100)))*Escalation!$B$58</f>
        <v>58145.355</v>
      </c>
      <c r="BH5" s="271" t="n">
        <f aca="false">(SUMPRODUCT((Personnel!$F$9:$F$100="SixPeak")*(Personnel!$G$9:$G$100="Yes")*(58&gt;=Personnel!$E$9:$E$100)*((Personnel!$K$9:$K$100="")+(58&lt;=Personnel!$K$9:$K$100)&gt;0)*Personnel!$D$9:$D$100*(1-Personnel!$H$9:$H$100)*(1-Personnel!$I$9:$I$100)))*Escalation!$B$59</f>
        <v>59308.2621</v>
      </c>
      <c r="BI5" s="271" t="n">
        <f aca="false">(SUMPRODUCT((Personnel!$F$9:$F$100="SixPeak")*(Personnel!$G$9:$G$100="Yes")*(59&gt;=Personnel!$E$9:$E$100)*((Personnel!$K$9:$K$100="")+(59&lt;=Personnel!$K$9:$K$100)&gt;0)*Personnel!$D$9:$D$100*(1-Personnel!$H$9:$H$100)*(1-Personnel!$I$9:$I$100)))*Escalation!$B$60</f>
        <v>59308.2621</v>
      </c>
      <c r="BJ5" s="271" t="n">
        <f aca="false">(SUMPRODUCT((Personnel!$F$9:$F$100="SixPeak")*(Personnel!$G$9:$G$100="Yes")*(60&gt;=Personnel!$E$9:$E$100)*((Personnel!$K$9:$K$100="")+(60&lt;=Personnel!$K$9:$K$100)&gt;0)*Personnel!$D$9:$D$100*(1-Personnel!$H$9:$H$100)*(1-Personnel!$I$9:$I$100)))*Escalation!$B$61</f>
        <v>59308.2621</v>
      </c>
      <c r="BK5" s="271" t="n">
        <f aca="false">(SUMPRODUCT((Personnel!$F$9:$F$100="SixPeak")*(Personnel!$G$9:$G$100="Yes")*(61&gt;=Personnel!$E$9:$E$100)*((Personnel!$K$9:$K$100="")+(61&lt;=Personnel!$K$9:$K$100)&gt;0)*Personnel!$D$9:$D$100*(1-Personnel!$H$9:$H$100)*(1-Personnel!$I$9:$I$100)))*Escalation!$B$62</f>
        <v>59308.2621</v>
      </c>
      <c r="BL5" s="271" t="n">
        <f aca="false">(SUMPRODUCT((Personnel!$F$9:$F$100="SixPeak")*(Personnel!$G$9:$G$100="Yes")*(62&gt;=Personnel!$E$9:$E$100)*((Personnel!$K$9:$K$100="")+(62&lt;=Personnel!$K$9:$K$100)&gt;0)*Personnel!$D$9:$D$100*(1-Personnel!$H$9:$H$100)*(1-Personnel!$I$9:$I$100)))*Escalation!$B$63</f>
        <v>59308.2621</v>
      </c>
      <c r="BM5" s="271" t="n">
        <f aca="false">(SUMPRODUCT((Personnel!$F$9:$F$100="SixPeak")*(Personnel!$G$9:$G$100="Yes")*(63&gt;=Personnel!$E$9:$E$100)*((Personnel!$K$9:$K$100="")+(63&lt;=Personnel!$K$9:$K$100)&gt;0)*Personnel!$D$9:$D$100*(1-Personnel!$H$9:$H$100)*(1-Personnel!$I$9:$I$100)))*Escalation!$B$64</f>
        <v>59308.2621</v>
      </c>
      <c r="BN5" s="271" t="n">
        <f aca="false">(SUMPRODUCT((Personnel!$F$9:$F$100="SixPeak")*(Personnel!$G$9:$G$100="Yes")*(64&gt;=Personnel!$E$9:$E$100)*((Personnel!$K$9:$K$100="")+(64&lt;=Personnel!$K$9:$K$100)&gt;0)*Personnel!$D$9:$D$100*(1-Personnel!$H$9:$H$100)*(1-Personnel!$I$9:$I$100)))*Escalation!$B$65</f>
        <v>59308.2621</v>
      </c>
      <c r="BO5" s="271" t="n">
        <f aca="false">(SUMPRODUCT((Personnel!$F$9:$F$100="SixPeak")*(Personnel!$G$9:$G$100="Yes")*(65&gt;=Personnel!$E$9:$E$100)*((Personnel!$K$9:$K$100="")+(65&lt;=Personnel!$K$9:$K$100)&gt;0)*Personnel!$D$9:$D$100*(1-Personnel!$H$9:$H$100)*(1-Personnel!$I$9:$I$100)))*Escalation!$B$66</f>
        <v>59308.2621</v>
      </c>
      <c r="BP5" s="271" t="n">
        <f aca="false">(SUMPRODUCT((Personnel!$F$9:$F$100="SixPeak")*(Personnel!$G$9:$G$100="Yes")*(66&gt;=Personnel!$E$9:$E$100)*((Personnel!$K$9:$K$100="")+(66&lt;=Personnel!$K$9:$K$100)&gt;0)*Personnel!$D$9:$D$100*(1-Personnel!$H$9:$H$100)*(1-Personnel!$I$9:$I$100)))*Escalation!$B$67</f>
        <v>59308.2621</v>
      </c>
      <c r="BQ5" s="271" t="n">
        <f aca="false">(SUMPRODUCT((Personnel!$F$9:$F$100="SixPeak")*(Personnel!$G$9:$G$100="Yes")*(67&gt;=Personnel!$E$9:$E$100)*((Personnel!$K$9:$K$100="")+(67&lt;=Personnel!$K$9:$K$100)&gt;0)*Personnel!$D$9:$D$100*(1-Personnel!$H$9:$H$100)*(1-Personnel!$I$9:$I$100)))*Escalation!$B$68</f>
        <v>59308.2621</v>
      </c>
      <c r="BR5" s="271" t="n">
        <f aca="false">(SUMPRODUCT((Personnel!$F$9:$F$100="SixPeak")*(Personnel!$G$9:$G$100="Yes")*(68&gt;=Personnel!$E$9:$E$100)*((Personnel!$K$9:$K$100="")+(68&lt;=Personnel!$K$9:$K$100)&gt;0)*Personnel!$D$9:$D$100*(1-Personnel!$H$9:$H$100)*(1-Personnel!$I$9:$I$100)))*Escalation!$B$69</f>
        <v>59308.2621</v>
      </c>
      <c r="BS5" s="271" t="n">
        <f aca="false">(SUMPRODUCT((Personnel!$F$9:$F$100="SixPeak")*(Personnel!$G$9:$G$100="Yes")*(69&gt;=Personnel!$E$9:$E$100)*((Personnel!$K$9:$K$100="")+(69&lt;=Personnel!$K$9:$K$100)&gt;0)*Personnel!$D$9:$D$100*(1-Personnel!$H$9:$H$100)*(1-Personnel!$I$9:$I$100)))*Escalation!$B$70</f>
        <v>59308.2621</v>
      </c>
      <c r="BT5" s="271" t="n">
        <f aca="false">(SUMPRODUCT((Personnel!$F$9:$F$100="SixPeak")*(Personnel!$G$9:$G$100="Yes")*(70&gt;=Personnel!$E$9:$E$100)*((Personnel!$K$9:$K$100="")+(70&lt;=Personnel!$K$9:$K$100)&gt;0)*Personnel!$D$9:$D$100*(1-Personnel!$H$9:$H$100)*(1-Personnel!$I$9:$I$100)))*Escalation!$B$71</f>
        <v>60494.427342</v>
      </c>
      <c r="BU5" s="271" t="n">
        <f aca="false">(SUMPRODUCT((Personnel!$F$9:$F$100="SixPeak")*(Personnel!$G$9:$G$100="Yes")*(71&gt;=Personnel!$E$9:$E$100)*((Personnel!$K$9:$K$100="")+(71&lt;=Personnel!$K$9:$K$100)&gt;0)*Personnel!$D$9:$D$100*(1-Personnel!$H$9:$H$100)*(1-Personnel!$I$9:$I$100)))*Escalation!$B$72</f>
        <v>60494.427342</v>
      </c>
      <c r="BV5" s="271" t="n">
        <f aca="false">(SUMPRODUCT((Personnel!$F$9:$F$100="SixPeak")*(Personnel!$G$9:$G$100="Yes")*(72&gt;=Personnel!$E$9:$E$100)*((Personnel!$K$9:$K$100="")+(72&lt;=Personnel!$K$9:$K$100)&gt;0)*Personnel!$D$9:$D$100*(1-Personnel!$H$9:$H$100)*(1-Personnel!$I$9:$I$100)))*Escalation!$B$73</f>
        <v>60494.427342</v>
      </c>
      <c r="BW5" s="271" t="n">
        <f aca="false">(SUMPRODUCT((Personnel!$F$9:$F$100="SixPeak")*(Personnel!$G$9:$G$100="Yes")*(73&gt;=Personnel!$E$9:$E$100)*((Personnel!$K$9:$K$100="")+(73&lt;=Personnel!$K$9:$K$100)&gt;0)*Personnel!$D$9:$D$100*(1-Personnel!$H$9:$H$100)*(1-Personnel!$I$9:$I$100)))*Escalation!$B$74</f>
        <v>60494.427342</v>
      </c>
      <c r="BX5" s="271" t="n">
        <f aca="false">(SUMPRODUCT((Personnel!$F$9:$F$100="SixPeak")*(Personnel!$G$9:$G$100="Yes")*(74&gt;=Personnel!$E$9:$E$100)*((Personnel!$K$9:$K$100="")+(74&lt;=Personnel!$K$9:$K$100)&gt;0)*Personnel!$D$9:$D$100*(1-Personnel!$H$9:$H$100)*(1-Personnel!$I$9:$I$100)))*Escalation!$B$75</f>
        <v>60494.427342</v>
      </c>
      <c r="BY5" s="271" t="n">
        <f aca="false">(SUMPRODUCT((Personnel!$F$9:$F$100="SixPeak")*(Personnel!$G$9:$G$100="Yes")*(75&gt;=Personnel!$E$9:$E$100)*((Personnel!$K$9:$K$100="")+(75&lt;=Personnel!$K$9:$K$100)&gt;0)*Personnel!$D$9:$D$100*(1-Personnel!$H$9:$H$100)*(1-Personnel!$I$9:$I$100)))*Escalation!$B$76</f>
        <v>60494.427342</v>
      </c>
      <c r="BZ5" s="271" t="n">
        <f aca="false">(SUMPRODUCT((Personnel!$F$9:$F$100="SixPeak")*(Personnel!$G$9:$G$100="Yes")*(76&gt;=Personnel!$E$9:$E$100)*((Personnel!$K$9:$K$100="")+(76&lt;=Personnel!$K$9:$K$100)&gt;0)*Personnel!$D$9:$D$100*(1-Personnel!$H$9:$H$100)*(1-Personnel!$I$9:$I$100)))*Escalation!$B$77</f>
        <v>60494.427342</v>
      </c>
      <c r="CA5" s="271" t="n">
        <f aca="false">(SUMPRODUCT((Personnel!$F$9:$F$100="SixPeak")*(Personnel!$G$9:$G$100="Yes")*(77&gt;=Personnel!$E$9:$E$100)*((Personnel!$K$9:$K$100="")+(77&lt;=Personnel!$K$9:$K$100)&gt;0)*Personnel!$D$9:$D$100*(1-Personnel!$H$9:$H$100)*(1-Personnel!$I$9:$I$100)))*Escalation!$B$78</f>
        <v>60494.427342</v>
      </c>
      <c r="CB5" s="271" t="n">
        <f aca="false">(SUMPRODUCT((Personnel!$F$9:$F$100="SixPeak")*(Personnel!$G$9:$G$100="Yes")*(78&gt;=Personnel!$E$9:$E$100)*((Personnel!$K$9:$K$100="")+(78&lt;=Personnel!$K$9:$K$100)&gt;0)*Personnel!$D$9:$D$100*(1-Personnel!$H$9:$H$100)*(1-Personnel!$I$9:$I$100)))*Escalation!$B$79</f>
        <v>60494.427342</v>
      </c>
      <c r="CC5" s="271" t="n">
        <f aca="false">(SUMPRODUCT((Personnel!$F$9:$F$100="SixPeak")*(Personnel!$G$9:$G$100="Yes")*(79&gt;=Personnel!$E$9:$E$100)*((Personnel!$K$9:$K$100="")+(79&lt;=Personnel!$K$9:$K$100)&gt;0)*Personnel!$D$9:$D$100*(1-Personnel!$H$9:$H$100)*(1-Personnel!$I$9:$I$100)))*Escalation!$B$80</f>
        <v>60494.427342</v>
      </c>
      <c r="CD5" s="271" t="n">
        <f aca="false">(SUMPRODUCT((Personnel!$F$9:$F$100="SixPeak")*(Personnel!$G$9:$G$100="Yes")*(80&gt;=Personnel!$E$9:$E$100)*((Personnel!$K$9:$K$100="")+(80&lt;=Personnel!$K$9:$K$100)&gt;0)*Personnel!$D$9:$D$100*(1-Personnel!$H$9:$H$100)*(1-Personnel!$I$9:$I$100)))*Escalation!$B$81</f>
        <v>60494.427342</v>
      </c>
      <c r="CE5" s="271" t="n">
        <f aca="false">(SUMPRODUCT((Personnel!$F$9:$F$100="SixPeak")*(Personnel!$G$9:$G$100="Yes")*(81&gt;=Personnel!$E$9:$E$100)*((Personnel!$K$9:$K$100="")+(81&lt;=Personnel!$K$9:$K$100)&gt;0)*Personnel!$D$9:$D$100*(1-Personnel!$H$9:$H$100)*(1-Personnel!$I$9:$I$100)))*Escalation!$B$82</f>
        <v>60494.427342</v>
      </c>
      <c r="CF5" s="271" t="n">
        <f aca="false">(SUMPRODUCT((Personnel!$F$9:$F$100="SixPeak")*(Personnel!$G$9:$G$100="Yes")*(82&gt;=Personnel!$E$9:$E$100)*((Personnel!$K$9:$K$100="")+(82&lt;=Personnel!$K$9:$K$100)&gt;0)*Personnel!$D$9:$D$100*(1-Personnel!$H$9:$H$100)*(1-Personnel!$I$9:$I$100)))*Escalation!$B$83</f>
        <v>61704.31588884</v>
      </c>
      <c r="CG5" s="271" t="n">
        <f aca="false">(SUMPRODUCT((Personnel!$F$9:$F$100="SixPeak")*(Personnel!$G$9:$G$100="Yes")*(83&gt;=Personnel!$E$9:$E$100)*((Personnel!$K$9:$K$100="")+(83&lt;=Personnel!$K$9:$K$100)&gt;0)*Personnel!$D$9:$D$100*(1-Personnel!$H$9:$H$100)*(1-Personnel!$I$9:$I$100)))*Escalation!$B$84</f>
        <v>61704.31588884</v>
      </c>
      <c r="CH5" s="271" t="n">
        <f aca="false">(SUMPRODUCT((Personnel!$F$9:$F$100="SixPeak")*(Personnel!$G$9:$G$100="Yes")*(84&gt;=Personnel!$E$9:$E$100)*((Personnel!$K$9:$K$100="")+(84&lt;=Personnel!$K$9:$K$100)&gt;0)*Personnel!$D$9:$D$100*(1-Personnel!$H$9:$H$100)*(1-Personnel!$I$9:$I$100)))*Escalation!$B$85</f>
        <v>61704.31588884</v>
      </c>
      <c r="CI5" s="271" t="n">
        <f aca="false">(SUMPRODUCT((Personnel!$F$9:$F$100="SixPeak")*(Personnel!$G$9:$G$100="Yes")*(85&gt;=Personnel!$E$9:$E$100)*((Personnel!$K$9:$K$100="")+(85&lt;=Personnel!$K$9:$K$100)&gt;0)*Personnel!$D$9:$D$100*(1-Personnel!$H$9:$H$100)*(1-Personnel!$I$9:$I$100)))*Escalation!$B$86</f>
        <v>61704.31588884</v>
      </c>
      <c r="CJ5" s="271" t="n">
        <f aca="false">(SUMPRODUCT((Personnel!$F$9:$F$100="SixPeak")*(Personnel!$G$9:$G$100="Yes")*(86&gt;=Personnel!$E$9:$E$100)*((Personnel!$K$9:$K$100="")+(86&lt;=Personnel!$K$9:$K$100)&gt;0)*Personnel!$D$9:$D$100*(1-Personnel!$H$9:$H$100)*(1-Personnel!$I$9:$I$100)))*Escalation!$B$87</f>
        <v>61704.31588884</v>
      </c>
      <c r="CK5" s="271" t="n">
        <f aca="false">(SUMPRODUCT((Personnel!$F$9:$F$100="SixPeak")*(Personnel!$G$9:$G$100="Yes")*(87&gt;=Personnel!$E$9:$E$100)*((Personnel!$K$9:$K$100="")+(87&lt;=Personnel!$K$9:$K$100)&gt;0)*Personnel!$D$9:$D$100*(1-Personnel!$H$9:$H$100)*(1-Personnel!$I$9:$I$100)))*Escalation!$B$88</f>
        <v>61704.31588884</v>
      </c>
      <c r="CL5" s="271" t="n">
        <f aca="false">(SUMPRODUCT((Personnel!$F$9:$F$100="SixPeak")*(Personnel!$G$9:$G$100="Yes")*(88&gt;=Personnel!$E$9:$E$100)*((Personnel!$K$9:$K$100="")+(88&lt;=Personnel!$K$9:$K$100)&gt;0)*Personnel!$D$9:$D$100*(1-Personnel!$H$9:$H$100)*(1-Personnel!$I$9:$I$100)))*Escalation!$B$89</f>
        <v>61704.31588884</v>
      </c>
      <c r="CM5" s="271" t="n">
        <f aca="false">(SUMPRODUCT((Personnel!$F$9:$F$100="SixPeak")*(Personnel!$G$9:$G$100="Yes")*(89&gt;=Personnel!$E$9:$E$100)*((Personnel!$K$9:$K$100="")+(89&lt;=Personnel!$K$9:$K$100)&gt;0)*Personnel!$D$9:$D$100*(1-Personnel!$H$9:$H$100)*(1-Personnel!$I$9:$I$100)))*Escalation!$B$90</f>
        <v>61704.31588884</v>
      </c>
      <c r="CN5" s="271" t="n">
        <f aca="false">(SUMPRODUCT((Personnel!$F$9:$F$100="SixPeak")*(Personnel!$G$9:$G$100="Yes")*(90&gt;=Personnel!$E$9:$E$100)*((Personnel!$K$9:$K$100="")+(90&lt;=Personnel!$K$9:$K$100)&gt;0)*Personnel!$D$9:$D$100*(1-Personnel!$H$9:$H$100)*(1-Personnel!$I$9:$I$100)))*Escalation!$B$91</f>
        <v>61704.31588884</v>
      </c>
      <c r="CO5" s="271" t="n">
        <f aca="false">(SUMPRODUCT((Personnel!$F$9:$F$100="SixPeak")*(Personnel!$G$9:$G$100="Yes")*(91&gt;=Personnel!$E$9:$E$100)*((Personnel!$K$9:$K$100="")+(91&lt;=Personnel!$K$9:$K$100)&gt;0)*Personnel!$D$9:$D$100*(1-Personnel!$H$9:$H$100)*(1-Personnel!$I$9:$I$100)))*Escalation!$B$92</f>
        <v>61704.31588884</v>
      </c>
      <c r="CP5" s="271" t="n">
        <f aca="false">(SUMPRODUCT((Personnel!$F$9:$F$100="SixPeak")*(Personnel!$G$9:$G$100="Yes")*(92&gt;=Personnel!$E$9:$E$100)*((Personnel!$K$9:$K$100="")+(92&lt;=Personnel!$K$9:$K$100)&gt;0)*Personnel!$D$9:$D$100*(1-Personnel!$H$9:$H$100)*(1-Personnel!$I$9:$I$100)))*Escalation!$B$93</f>
        <v>61704.31588884</v>
      </c>
      <c r="CQ5" s="271" t="n">
        <f aca="false">(SUMPRODUCT((Personnel!$F$9:$F$100="SixPeak")*(Personnel!$G$9:$G$100="Yes")*(93&gt;=Personnel!$E$9:$E$100)*((Personnel!$K$9:$K$100="")+(93&lt;=Personnel!$K$9:$K$100)&gt;0)*Personnel!$D$9:$D$100*(1-Personnel!$H$9:$H$100)*(1-Personnel!$I$9:$I$100)))*Escalation!$B$94</f>
        <v>61704.31588884</v>
      </c>
    </row>
    <row r="7" customFormat="false" ht="15" hidden="false" customHeight="true" outlineLevel="0" collapsed="false">
      <c r="A7" s="265" t="s">
        <v>1070</v>
      </c>
    </row>
    <row r="8" customFormat="false" ht="15" hidden="false" customHeight="true" outlineLevel="0" collapsed="false">
      <c r="A8" s="189" t="s">
        <v>9</v>
      </c>
      <c r="C8" s="271" t="n">
        <v>11187175.79</v>
      </c>
      <c r="D8" s="271" t="n">
        <v>10356493.69</v>
      </c>
      <c r="E8" s="271" t="n">
        <v>9450240.48</v>
      </c>
      <c r="F8" s="271" t="n">
        <v>8485833.11</v>
      </c>
      <c r="G8" s="271" t="n">
        <v>6546008.3</v>
      </c>
      <c r="H8" s="271" t="n">
        <v>5950977.14</v>
      </c>
      <c r="I8" s="271" t="n">
        <v>5403449.04</v>
      </c>
      <c r="J8" s="271" t="n">
        <v>4778618.53</v>
      </c>
      <c r="K8" s="271" t="n">
        <v>4012283.82</v>
      </c>
      <c r="L8" s="271" t="n">
        <v>3317496.87</v>
      </c>
      <c r="M8" s="271" t="n">
        <v>2693094.26</v>
      </c>
      <c r="N8" s="271" t="n">
        <v>1981609.96</v>
      </c>
      <c r="O8" s="271" t="n">
        <v>1250721.11</v>
      </c>
      <c r="P8" s="271" t="n">
        <v>661631.3</v>
      </c>
      <c r="Q8" s="271" t="n">
        <v>297802.14</v>
      </c>
      <c r="R8" s="271" t="n">
        <v>126194.42</v>
      </c>
      <c r="S8" s="271" t="n">
        <v>0</v>
      </c>
      <c r="T8" s="271" t="n">
        <v>0</v>
      </c>
      <c r="U8" s="271" t="n">
        <v>0</v>
      </c>
      <c r="V8" s="271" t="n">
        <v>0</v>
      </c>
      <c r="W8" s="271" t="n">
        <v>0</v>
      </c>
      <c r="X8" s="271" t="n">
        <v>0</v>
      </c>
      <c r="Y8" s="271" t="n">
        <v>0</v>
      </c>
      <c r="Z8" s="271" t="n">
        <v>0</v>
      </c>
      <c r="AA8" s="271" t="n">
        <v>0</v>
      </c>
      <c r="AB8" s="271" t="n">
        <v>0</v>
      </c>
      <c r="AC8" s="271" t="n">
        <v>0</v>
      </c>
      <c r="AD8" s="271" t="n">
        <v>0</v>
      </c>
      <c r="AE8" s="271" t="n">
        <v>0</v>
      </c>
      <c r="AF8" s="271" t="n">
        <v>0</v>
      </c>
      <c r="AG8" s="271" t="n">
        <v>0</v>
      </c>
      <c r="AH8" s="271" t="n">
        <v>0</v>
      </c>
      <c r="AI8" s="271" t="n">
        <v>0</v>
      </c>
      <c r="AJ8" s="271" t="n">
        <v>0</v>
      </c>
      <c r="AK8" s="271" t="n">
        <v>0</v>
      </c>
      <c r="AL8" s="271" t="n">
        <v>0</v>
      </c>
      <c r="AM8" s="271" t="n">
        <v>0</v>
      </c>
      <c r="AN8" s="271" t="n">
        <v>0</v>
      </c>
      <c r="AO8" s="271" t="n">
        <v>0</v>
      </c>
      <c r="AP8" s="271" t="n">
        <v>0</v>
      </c>
      <c r="AQ8" s="271" t="n">
        <v>0</v>
      </c>
      <c r="AR8" s="271" t="n">
        <v>0</v>
      </c>
      <c r="AS8" s="271" t="n">
        <v>0</v>
      </c>
      <c r="AT8" s="271" t="n">
        <v>0</v>
      </c>
      <c r="AU8" s="271" t="n">
        <v>0</v>
      </c>
      <c r="AV8" s="271" t="n">
        <v>0</v>
      </c>
      <c r="AW8" s="271" t="n">
        <v>0</v>
      </c>
      <c r="AX8" s="271" t="n">
        <v>0</v>
      </c>
      <c r="AY8" s="271" t="n">
        <v>0</v>
      </c>
      <c r="AZ8" s="271" t="n">
        <v>0</v>
      </c>
      <c r="BA8" s="271" t="n">
        <v>0</v>
      </c>
      <c r="BB8" s="271" t="n">
        <v>0</v>
      </c>
      <c r="BC8" s="271" t="n">
        <v>0</v>
      </c>
      <c r="BD8" s="271" t="n">
        <v>0</v>
      </c>
      <c r="BE8" s="271" t="n">
        <v>0</v>
      </c>
      <c r="BF8" s="271" t="n">
        <v>0</v>
      </c>
      <c r="BG8" s="271" t="n">
        <v>0</v>
      </c>
      <c r="BH8" s="271" t="n">
        <v>0</v>
      </c>
      <c r="BI8" s="271" t="n">
        <v>0</v>
      </c>
      <c r="BJ8" s="271" t="n">
        <v>0</v>
      </c>
      <c r="BK8" s="271" t="n">
        <v>0</v>
      </c>
      <c r="BL8" s="271" t="n">
        <v>0</v>
      </c>
      <c r="BM8" s="271" t="n">
        <v>0</v>
      </c>
      <c r="BN8" s="271" t="n">
        <v>0</v>
      </c>
      <c r="BO8" s="271" t="n">
        <v>0</v>
      </c>
      <c r="BP8" s="271" t="n">
        <v>0</v>
      </c>
      <c r="BQ8" s="271" t="n">
        <v>0</v>
      </c>
      <c r="BR8" s="271" t="n">
        <v>0</v>
      </c>
      <c r="BS8" s="271" t="n">
        <v>0</v>
      </c>
      <c r="BT8" s="271" t="n">
        <v>0</v>
      </c>
      <c r="BU8" s="271" t="n">
        <v>0</v>
      </c>
      <c r="BV8" s="271" t="n">
        <v>0</v>
      </c>
      <c r="BW8" s="271" t="n">
        <v>0</v>
      </c>
      <c r="BX8" s="271" t="n">
        <v>0</v>
      </c>
      <c r="BY8" s="271" t="n">
        <v>0</v>
      </c>
      <c r="BZ8" s="271" t="n">
        <v>0</v>
      </c>
      <c r="CA8" s="271" t="n">
        <v>0</v>
      </c>
      <c r="CB8" s="271" t="n">
        <v>0</v>
      </c>
      <c r="CC8" s="271" t="n">
        <v>0</v>
      </c>
      <c r="CD8" s="271" t="n">
        <v>0</v>
      </c>
      <c r="CE8" s="271" t="n">
        <v>0</v>
      </c>
      <c r="CF8" s="271" t="n">
        <v>0</v>
      </c>
      <c r="CG8" s="271" t="n">
        <v>0</v>
      </c>
      <c r="CH8" s="271" t="n">
        <v>0</v>
      </c>
      <c r="CI8" s="271" t="n">
        <v>0</v>
      </c>
      <c r="CJ8" s="271" t="n">
        <v>0</v>
      </c>
      <c r="CK8" s="271" t="n">
        <v>0</v>
      </c>
      <c r="CL8" s="271" t="n">
        <v>0</v>
      </c>
      <c r="CM8" s="271" t="n">
        <v>0</v>
      </c>
      <c r="CN8" s="271" t="n">
        <v>0</v>
      </c>
      <c r="CO8" s="271" t="n">
        <v>0</v>
      </c>
      <c r="CP8" s="271" t="n">
        <v>0</v>
      </c>
      <c r="CQ8" s="271" t="n">
        <v>0</v>
      </c>
    </row>
    <row r="9" customFormat="false" ht="15" hidden="false" customHeight="true" outlineLevel="0" collapsed="false">
      <c r="A9" s="189" t="s">
        <v>10</v>
      </c>
      <c r="C9" s="271" t="n">
        <v>13529664.56</v>
      </c>
      <c r="D9" s="271" t="n">
        <v>12525045.48</v>
      </c>
      <c r="E9" s="271" t="n">
        <v>11429031.43</v>
      </c>
      <c r="F9" s="271" t="n">
        <v>10262686.27</v>
      </c>
      <c r="G9" s="271" t="n">
        <v>9354156.4</v>
      </c>
      <c r="H9" s="271" t="n">
        <v>8576474.68</v>
      </c>
      <c r="I9" s="271" t="n">
        <v>7686708.76</v>
      </c>
      <c r="J9" s="271" t="n">
        <v>7003935.62</v>
      </c>
      <c r="K9" s="271" t="n">
        <v>6232412.67</v>
      </c>
      <c r="L9" s="271" t="n">
        <v>5543806.21</v>
      </c>
      <c r="M9" s="271" t="n">
        <v>4887352.83</v>
      </c>
      <c r="N9" s="271" t="n">
        <v>4294423.23</v>
      </c>
      <c r="O9" s="271" t="n">
        <v>3826241.58</v>
      </c>
      <c r="P9" s="271" t="n">
        <v>3410361.03</v>
      </c>
      <c r="Q9" s="271" t="n">
        <v>2510448.86</v>
      </c>
      <c r="R9" s="271" t="n">
        <v>1384588.44</v>
      </c>
      <c r="S9" s="271" t="n">
        <v>631341.78</v>
      </c>
      <c r="T9" s="271" t="n">
        <v>164743.84</v>
      </c>
      <c r="U9" s="271" t="n">
        <v>0</v>
      </c>
      <c r="V9" s="271" t="n">
        <v>0</v>
      </c>
      <c r="W9" s="271" t="n">
        <v>0</v>
      </c>
      <c r="X9" s="271" t="n">
        <v>0</v>
      </c>
      <c r="Y9" s="271" t="n">
        <v>0</v>
      </c>
      <c r="Z9" s="271" t="n">
        <v>0</v>
      </c>
      <c r="AA9" s="271" t="n">
        <v>0</v>
      </c>
      <c r="AB9" s="271" t="n">
        <v>0</v>
      </c>
      <c r="AC9" s="271" t="n">
        <v>0</v>
      </c>
      <c r="AD9" s="271" t="n">
        <v>0</v>
      </c>
      <c r="AE9" s="271" t="n">
        <v>0</v>
      </c>
      <c r="AF9" s="271" t="n">
        <v>0</v>
      </c>
      <c r="AG9" s="271" t="n">
        <v>0</v>
      </c>
      <c r="AH9" s="271" t="n">
        <v>0</v>
      </c>
      <c r="AI9" s="271" t="n">
        <v>0</v>
      </c>
      <c r="AJ9" s="271" t="n">
        <v>0</v>
      </c>
      <c r="AK9" s="271" t="n">
        <v>0</v>
      </c>
      <c r="AL9" s="271" t="n">
        <v>0</v>
      </c>
      <c r="AM9" s="271" t="n">
        <v>0</v>
      </c>
      <c r="AN9" s="271" t="n">
        <v>0</v>
      </c>
      <c r="AO9" s="271" t="n">
        <v>0</v>
      </c>
      <c r="AP9" s="271" t="n">
        <v>0</v>
      </c>
      <c r="AQ9" s="271" t="n">
        <v>0</v>
      </c>
      <c r="AR9" s="271" t="n">
        <v>0</v>
      </c>
      <c r="AS9" s="271" t="n">
        <v>0</v>
      </c>
      <c r="AT9" s="271" t="n">
        <v>0</v>
      </c>
      <c r="AU9" s="271" t="n">
        <v>0</v>
      </c>
      <c r="AV9" s="271" t="n">
        <v>0</v>
      </c>
      <c r="AW9" s="271" t="n">
        <v>0</v>
      </c>
      <c r="AX9" s="271" t="n">
        <v>0</v>
      </c>
      <c r="AY9" s="271" t="n">
        <v>0</v>
      </c>
      <c r="AZ9" s="271" t="n">
        <v>0</v>
      </c>
      <c r="BA9" s="271" t="n">
        <v>0</v>
      </c>
      <c r="BB9" s="271" t="n">
        <v>0</v>
      </c>
      <c r="BC9" s="271" t="n">
        <v>0</v>
      </c>
      <c r="BD9" s="271" t="n">
        <v>0</v>
      </c>
      <c r="BE9" s="271" t="n">
        <v>0</v>
      </c>
      <c r="BF9" s="271" t="n">
        <v>0</v>
      </c>
      <c r="BG9" s="271" t="n">
        <v>0</v>
      </c>
      <c r="BH9" s="271" t="n">
        <v>0</v>
      </c>
      <c r="BI9" s="271" t="n">
        <v>0</v>
      </c>
      <c r="BJ9" s="271" t="n">
        <v>0</v>
      </c>
      <c r="BK9" s="271" t="n">
        <v>0</v>
      </c>
      <c r="BL9" s="271" t="n">
        <v>0</v>
      </c>
      <c r="BM9" s="271" t="n">
        <v>0</v>
      </c>
      <c r="BN9" s="271" t="n">
        <v>0</v>
      </c>
      <c r="BO9" s="271" t="n">
        <v>0</v>
      </c>
      <c r="BP9" s="271" t="n">
        <v>0</v>
      </c>
      <c r="BQ9" s="271" t="n">
        <v>0</v>
      </c>
      <c r="BR9" s="271" t="n">
        <v>0</v>
      </c>
      <c r="BS9" s="271" t="n">
        <v>0</v>
      </c>
      <c r="BT9" s="271" t="n">
        <v>0</v>
      </c>
      <c r="BU9" s="271" t="n">
        <v>0</v>
      </c>
      <c r="BV9" s="271" t="n">
        <v>0</v>
      </c>
      <c r="BW9" s="271" t="n">
        <v>0</v>
      </c>
      <c r="BX9" s="271" t="n">
        <v>0</v>
      </c>
      <c r="BY9" s="271" t="n">
        <v>0</v>
      </c>
      <c r="BZ9" s="271" t="n">
        <v>0</v>
      </c>
      <c r="CA9" s="271" t="n">
        <v>0</v>
      </c>
      <c r="CB9" s="271" t="n">
        <v>0</v>
      </c>
      <c r="CC9" s="271" t="n">
        <v>0</v>
      </c>
      <c r="CD9" s="271" t="n">
        <v>0</v>
      </c>
      <c r="CE9" s="271" t="n">
        <v>0</v>
      </c>
      <c r="CF9" s="271" t="n">
        <v>0</v>
      </c>
      <c r="CG9" s="271" t="n">
        <v>0</v>
      </c>
      <c r="CH9" s="271" t="n">
        <v>0</v>
      </c>
      <c r="CI9" s="271" t="n">
        <v>0</v>
      </c>
      <c r="CJ9" s="271" t="n">
        <v>0</v>
      </c>
      <c r="CK9" s="271" t="n">
        <v>0</v>
      </c>
      <c r="CL9" s="271" t="n">
        <v>0</v>
      </c>
      <c r="CM9" s="271" t="n">
        <v>0</v>
      </c>
      <c r="CN9" s="271" t="n">
        <v>0</v>
      </c>
      <c r="CO9" s="271" t="n">
        <v>0</v>
      </c>
      <c r="CP9" s="271" t="n">
        <v>0</v>
      </c>
      <c r="CQ9" s="271" t="n">
        <v>0</v>
      </c>
    </row>
    <row r="10" customFormat="false" ht="15" hidden="false" customHeight="true" outlineLevel="0" collapsed="false">
      <c r="A10" s="189" t="s">
        <v>12</v>
      </c>
      <c r="C10" s="271" t="n">
        <v>0</v>
      </c>
      <c r="D10" s="271" t="n">
        <v>0</v>
      </c>
      <c r="E10" s="271" t="n">
        <v>0</v>
      </c>
      <c r="F10" s="271" t="n">
        <v>0</v>
      </c>
      <c r="G10" s="271" t="n">
        <v>42418193.38</v>
      </c>
      <c r="H10" s="271" t="n">
        <v>41557159.51</v>
      </c>
      <c r="I10" s="271" t="n">
        <v>40347746.5</v>
      </c>
      <c r="J10" s="271" t="n">
        <v>39561567.49</v>
      </c>
      <c r="K10" s="271" t="n">
        <v>38972367.12</v>
      </c>
      <c r="L10" s="271" t="n">
        <v>38221747.38</v>
      </c>
      <c r="M10" s="271" t="n">
        <v>37614512.89</v>
      </c>
      <c r="N10" s="271" t="n">
        <v>36881872.23</v>
      </c>
      <c r="O10" s="271" t="n">
        <v>36263088.93</v>
      </c>
      <c r="P10" s="271" t="n">
        <v>35502601.32</v>
      </c>
      <c r="Q10" s="271" t="n">
        <v>34787831.07</v>
      </c>
      <c r="R10" s="271" t="n">
        <v>33505756.49</v>
      </c>
      <c r="S10" s="271" t="n">
        <v>32686448.68</v>
      </c>
      <c r="T10" s="271" t="n">
        <v>30243213.22</v>
      </c>
      <c r="U10" s="271" t="n">
        <v>28699798.34</v>
      </c>
      <c r="V10" s="271" t="n">
        <v>25529541</v>
      </c>
      <c r="W10" s="271" t="n">
        <v>23704130.61</v>
      </c>
      <c r="X10" s="271" t="n">
        <v>20828303.45</v>
      </c>
      <c r="Y10" s="271" t="n">
        <v>18426892.45</v>
      </c>
      <c r="Z10" s="271" t="n">
        <v>16789882.88</v>
      </c>
      <c r="AA10" s="271" t="n">
        <v>15753895.35</v>
      </c>
      <c r="AB10" s="271" t="n">
        <v>14527106.83</v>
      </c>
      <c r="AC10" s="271" t="n">
        <v>13375707.75</v>
      </c>
      <c r="AD10" s="271" t="n">
        <v>11951889.75</v>
      </c>
      <c r="AE10" s="271" t="n">
        <v>9479263.81</v>
      </c>
      <c r="AF10" s="271" t="n">
        <v>7184499.57</v>
      </c>
      <c r="AG10" s="271" t="n">
        <v>4941005.43</v>
      </c>
      <c r="AH10" s="271" t="n">
        <v>3716991.2</v>
      </c>
      <c r="AI10" s="271" t="n">
        <v>2700888.54</v>
      </c>
      <c r="AJ10" s="271" t="n">
        <v>1565814.84</v>
      </c>
      <c r="AK10" s="271" t="n">
        <v>331958.4</v>
      </c>
      <c r="AL10" s="271" t="n">
        <v>0</v>
      </c>
      <c r="AM10" s="271" t="n">
        <v>0</v>
      </c>
      <c r="AN10" s="271" t="n">
        <v>0</v>
      </c>
      <c r="AO10" s="271" t="n">
        <v>0</v>
      </c>
      <c r="AP10" s="271" t="n">
        <v>0</v>
      </c>
      <c r="AQ10" s="271" t="n">
        <v>0</v>
      </c>
      <c r="AR10" s="271" t="n">
        <v>0</v>
      </c>
      <c r="AS10" s="271" t="n">
        <v>0</v>
      </c>
      <c r="AT10" s="271" t="n">
        <v>0</v>
      </c>
      <c r="AU10" s="271" t="n">
        <v>0</v>
      </c>
      <c r="AV10" s="271" t="n">
        <v>0</v>
      </c>
      <c r="AW10" s="271" t="n">
        <v>0</v>
      </c>
      <c r="AX10" s="271" t="n">
        <v>0</v>
      </c>
      <c r="AY10" s="271" t="n">
        <v>0</v>
      </c>
      <c r="AZ10" s="271" t="n">
        <v>0</v>
      </c>
      <c r="BA10" s="271" t="n">
        <v>0</v>
      </c>
      <c r="BB10" s="271" t="n">
        <v>0</v>
      </c>
      <c r="BC10" s="271" t="n">
        <v>0</v>
      </c>
      <c r="BD10" s="271" t="n">
        <v>0</v>
      </c>
      <c r="BE10" s="271" t="n">
        <v>0</v>
      </c>
      <c r="BF10" s="271" t="n">
        <v>0</v>
      </c>
      <c r="BG10" s="271" t="n">
        <v>0</v>
      </c>
      <c r="BH10" s="271" t="n">
        <v>0</v>
      </c>
      <c r="BI10" s="271" t="n">
        <v>0</v>
      </c>
      <c r="BJ10" s="271" t="n">
        <v>0</v>
      </c>
      <c r="BK10" s="271" t="n">
        <v>0</v>
      </c>
      <c r="BL10" s="271" t="n">
        <v>0</v>
      </c>
      <c r="BM10" s="271" t="n">
        <v>0</v>
      </c>
      <c r="BN10" s="271" t="n">
        <v>0</v>
      </c>
      <c r="BO10" s="271" t="n">
        <v>0</v>
      </c>
      <c r="BP10" s="271" t="n">
        <v>0</v>
      </c>
      <c r="BQ10" s="271" t="n">
        <v>0</v>
      </c>
      <c r="BR10" s="271" t="n">
        <v>0</v>
      </c>
      <c r="BS10" s="271" t="n">
        <v>0</v>
      </c>
      <c r="BT10" s="271" t="n">
        <v>0</v>
      </c>
      <c r="BU10" s="271" t="n">
        <v>0</v>
      </c>
      <c r="BV10" s="271" t="n">
        <v>0</v>
      </c>
      <c r="BW10" s="271" t="n">
        <v>0</v>
      </c>
      <c r="BX10" s="271" t="n">
        <v>0</v>
      </c>
      <c r="BY10" s="271" t="n">
        <v>0</v>
      </c>
      <c r="BZ10" s="271" t="n">
        <v>0</v>
      </c>
      <c r="CA10" s="271" t="n">
        <v>0</v>
      </c>
      <c r="CB10" s="271" t="n">
        <v>0</v>
      </c>
      <c r="CC10" s="271" t="n">
        <v>0</v>
      </c>
      <c r="CD10" s="271" t="n">
        <v>0</v>
      </c>
      <c r="CE10" s="271" t="n">
        <v>0</v>
      </c>
      <c r="CF10" s="271" t="n">
        <v>0</v>
      </c>
      <c r="CG10" s="271" t="n">
        <v>0</v>
      </c>
      <c r="CH10" s="271" t="n">
        <v>0</v>
      </c>
      <c r="CI10" s="271" t="n">
        <v>0</v>
      </c>
      <c r="CJ10" s="271" t="n">
        <v>0</v>
      </c>
      <c r="CK10" s="271" t="n">
        <v>0</v>
      </c>
      <c r="CL10" s="271" t="n">
        <v>0</v>
      </c>
      <c r="CM10" s="271" t="n">
        <v>0</v>
      </c>
      <c r="CN10" s="271" t="n">
        <v>0</v>
      </c>
      <c r="CO10" s="271" t="n">
        <v>0</v>
      </c>
      <c r="CP10" s="271" t="n">
        <v>0</v>
      </c>
      <c r="CQ10" s="271" t="n">
        <v>0</v>
      </c>
    </row>
    <row r="11" customFormat="false" ht="15" hidden="false" customHeight="true" outlineLevel="0" collapsed="false">
      <c r="A11" s="189" t="s">
        <v>13</v>
      </c>
      <c r="C11" s="271" t="n">
        <f aca="false">IF(AND(Projects!$G$8="Yes",Projects!$F$8="Yes",1&gt;=Projects!$C$8,1&lt;Projects!$C$8+Projects!$D$8),Projects!$B$8*(1-SUMPRODUCT((Curves!$B$4:$AO$4)*(COLUMN(Curves!$B$4:$AO$4)-COLUMN(Curves!$B$4)+1&lt;=1-Projects!$C$8+1))),0)</f>
        <v>0</v>
      </c>
      <c r="D11" s="271" t="n">
        <f aca="false">IF(AND(Projects!$G$8="Yes",Projects!$F$8="Yes",2&gt;=Projects!$C$8,2&lt;Projects!$C$8+Projects!$D$8),Projects!$B$8*(1-SUMPRODUCT((Curves!$B$4:$AO$4)*(COLUMN(Curves!$B$4:$AO$4)-COLUMN(Curves!$B$4)+1&lt;=2-Projects!$C$8+1))),0)</f>
        <v>0</v>
      </c>
      <c r="E11" s="271" t="n">
        <f aca="false">IF(AND(Projects!$G$8="Yes",Projects!$F$8="Yes",3&gt;=Projects!$C$8,3&lt;Projects!$C$8+Projects!$D$8),Projects!$B$8*(1-SUMPRODUCT((Curves!$B$4:$AO$4)*(COLUMN(Curves!$B$4:$AO$4)-COLUMN(Curves!$B$4)+1&lt;=3-Projects!$C$8+1))),0)</f>
        <v>0</v>
      </c>
      <c r="F11" s="271" t="n">
        <f aca="false">IF(AND(Projects!$G$8="Yes",Projects!$F$8="Yes",4&gt;=Projects!$C$8,4&lt;Projects!$C$8+Projects!$D$8),Projects!$B$8*(1-SUMPRODUCT((Curves!$B$4:$AO$4)*(COLUMN(Curves!$B$4:$AO$4)-COLUMN(Curves!$B$4)+1&lt;=4-Projects!$C$8+1))),0)</f>
        <v>0</v>
      </c>
      <c r="G11" s="271" t="n">
        <f aca="false">IF(AND(Projects!$G$8="Yes",Projects!$F$8="Yes",5&gt;=Projects!$C$8,5&lt;Projects!$C$8+Projects!$D$8),Projects!$B$8*(1-SUMPRODUCT((Curves!$B$4:$AO$4)*(COLUMN(Curves!$B$4:$AO$4)-COLUMN(Curves!$B$4)+1&lt;=5-Projects!$C$8+1))),0)</f>
        <v>0</v>
      </c>
      <c r="H11" s="271" t="n">
        <f aca="false">IF(AND(Projects!$G$8="Yes",Projects!$F$8="Yes",6&gt;=Projects!$C$8,6&lt;Projects!$C$8+Projects!$D$8),Projects!$B$8*(1-SUMPRODUCT((Curves!$B$4:$AO$4)*(COLUMN(Curves!$B$4:$AO$4)-COLUMN(Curves!$B$4)+1&lt;=6-Projects!$C$8+1))),0)</f>
        <v>12649220.0904822</v>
      </c>
      <c r="I11" s="271" t="n">
        <f aca="false">IF(AND(Projects!$G$8="Yes",Projects!$F$8="Yes",7&gt;=Projects!$C$8,7&lt;Projects!$C$8+Projects!$D$8),Projects!$B$8*(1-SUMPRODUCT((Curves!$B$4:$AO$4)*(COLUMN(Curves!$B$4:$AO$4)-COLUMN(Curves!$B$4)+1&lt;=7-Projects!$C$8+1))),0)</f>
        <v>12223530.9933081</v>
      </c>
      <c r="J11" s="271" t="n">
        <f aca="false">IF(AND(Projects!$G$8="Yes",Projects!$F$8="Yes",8&gt;=Projects!$C$8,8&lt;Projects!$C$8+Projects!$D$8),Projects!$B$8*(1-SUMPRODUCT((Curves!$B$4:$AO$4)*(COLUMN(Curves!$B$4:$AO$4)-COLUMN(Curves!$B$4)+1&lt;=8-Projects!$C$8+1))),0)</f>
        <v>11710510.727302</v>
      </c>
      <c r="K11" s="271" t="n">
        <f aca="false">IF(AND(Projects!$G$8="Yes",Projects!$F$8="Yes",9&gt;=Projects!$C$8,9&lt;Projects!$C$8+Projects!$D$8),Projects!$B$8*(1-SUMPRODUCT((Curves!$B$4:$AO$4)*(COLUMN(Curves!$B$4:$AO$4)-COLUMN(Curves!$B$4)+1&lt;=9-Projects!$C$8+1))),0)</f>
        <v>11107443.5932694</v>
      </c>
      <c r="L11" s="271" t="n">
        <f aca="false">IF(AND(Projects!$G$8="Yes",Projects!$F$8="Yes",10&gt;=Projects!$C$8,10&lt;Projects!$C$8+Projects!$D$8),Projects!$B$8*(1-SUMPRODUCT((Curves!$B$4:$AO$4)*(COLUMN(Curves!$B$4:$AO$4)-COLUMN(Curves!$B$4)+1&lt;=10-Projects!$C$8+1))),0)</f>
        <v>10415940.8194405</v>
      </c>
      <c r="M11" s="271" t="n">
        <f aca="false">IF(AND(Projects!$G$8="Yes",Projects!$F$8="Yes",11&gt;=Projects!$C$8,11&lt;Projects!$C$8+Projects!$D$8),Projects!$B$8*(1-SUMPRODUCT((Curves!$B$4:$AO$4)*(COLUMN(Curves!$B$4:$AO$4)-COLUMN(Curves!$B$4)+1&lt;=11-Projects!$C$8+1))),0)</f>
        <v>9642525.2813924</v>
      </c>
      <c r="N11" s="271" t="n">
        <f aca="false">IF(AND(Projects!$G$8="Yes",Projects!$F$8="Yes",12&gt;=Projects!$C$8,12&lt;Projects!$C$8+Projects!$D$8),Projects!$B$8*(1-SUMPRODUCT((Curves!$B$4:$AO$4)*(COLUMN(Curves!$B$4:$AO$4)-COLUMN(Curves!$B$4)+1&lt;=12-Projects!$C$8+1))),0)</f>
        <v>8798748.44603355</v>
      </c>
      <c r="O11" s="271" t="n">
        <f aca="false">IF(AND(Projects!$G$8="Yes",Projects!$F$8="Yes",13&gt;=Projects!$C$8,13&lt;Projects!$C$8+Projects!$D$8),Projects!$B$8*(1-SUMPRODUCT((Curves!$B$4:$AO$4)*(COLUMN(Curves!$B$4:$AO$4)-COLUMN(Curves!$B$4)+1&lt;=13-Projects!$C$8+1))),0)</f>
        <v>7900826.54587435</v>
      </c>
      <c r="P11" s="271" t="n">
        <f aca="false">IF(AND(Projects!$G$8="Yes",Projects!$F$8="Yes",14&gt;=Projects!$C$8,14&lt;Projects!$C$8+Projects!$D$8),Projects!$B$8*(1-SUMPRODUCT((Curves!$B$4:$AO$4)*(COLUMN(Curves!$B$4:$AO$4)-COLUMN(Curves!$B$4)+1&lt;=14-Projects!$C$8+1))),0)</f>
        <v>6968757.00225575</v>
      </c>
      <c r="Q11" s="271" t="n">
        <f aca="false">IF(AND(Projects!$G$8="Yes",Projects!$F$8="Yes",15&gt;=Projects!$C$8,15&lt;Projects!$C$8+Projects!$D$8),Projects!$B$8*(1-SUMPRODUCT((Curves!$B$4:$AO$4)*(COLUMN(Curves!$B$4:$AO$4)-COLUMN(Curves!$B$4)+1&lt;=15-Projects!$C$8+1))),0)</f>
        <v>6025019.04774425</v>
      </c>
      <c r="R11" s="271" t="n">
        <f aca="false">IF(AND(Projects!$G$8="Yes",Projects!$F$8="Yes",16&gt;=Projects!$C$8,16&lt;Projects!$C$8+Projects!$D$8),Projects!$B$8*(1-SUMPRODUCT((Curves!$B$4:$AO$4)*(COLUMN(Curves!$B$4:$AO$4)-COLUMN(Curves!$B$4)+1&lt;=16-Projects!$C$8+1))),0)</f>
        <v>5092949.50412565</v>
      </c>
      <c r="S11" s="271" t="n">
        <f aca="false">IF(AND(Projects!$G$8="Yes",Projects!$F$8="Yes",17&gt;=Projects!$C$8,17&lt;Projects!$C$8+Projects!$D$8),Projects!$B$8*(1-SUMPRODUCT((Curves!$B$4:$AO$4)*(COLUMN(Curves!$B$4:$AO$4)-COLUMN(Curves!$B$4)+1&lt;=17-Projects!$C$8+1))),0)</f>
        <v>4195027.60396645</v>
      </c>
      <c r="T11" s="271" t="n">
        <f aca="false">IF(AND(Projects!$G$8="Yes",Projects!$F$8="Yes",18&gt;=Projects!$C$8,18&lt;Projects!$C$8+Projects!$D$8),Projects!$B$8*(1-SUMPRODUCT((Curves!$B$4:$AO$4)*(COLUMN(Curves!$B$4:$AO$4)-COLUMN(Curves!$B$4)+1&lt;=18-Projects!$C$8+1))),0)</f>
        <v>3351250.7686076</v>
      </c>
      <c r="U11" s="271" t="n">
        <f aca="false">IF(AND(Projects!$G$8="Yes",Projects!$F$8="Yes",19&gt;=Projects!$C$8,19&lt;Projects!$C$8+Projects!$D$8),Projects!$B$8*(1-SUMPRODUCT((Curves!$B$4:$AO$4)*(COLUMN(Curves!$B$4:$AO$4)-COLUMN(Curves!$B$4)+1&lt;=19-Projects!$C$8+1))),0)</f>
        <v>2577835.2305595</v>
      </c>
      <c r="V11" s="271" t="n">
        <f aca="false">IF(AND(Projects!$G$8="Yes",Projects!$F$8="Yes",20&gt;=Projects!$C$8,20&lt;Projects!$C$8+Projects!$D$8),Projects!$B$8*(1-SUMPRODUCT((Curves!$B$4:$AO$4)*(COLUMN(Curves!$B$4:$AO$4)-COLUMN(Curves!$B$4)+1&lt;=20-Projects!$C$8+1))),0)</f>
        <v>1886332.4567306</v>
      </c>
      <c r="W11" s="271" t="n">
        <f aca="false">IF(AND(Projects!$G$8="Yes",Projects!$F$8="Yes",21&gt;=Projects!$C$8,21&lt;Projects!$C$8+Projects!$D$8),Projects!$B$8*(1-SUMPRODUCT((Curves!$B$4:$AO$4)*(COLUMN(Curves!$B$4:$AO$4)-COLUMN(Curves!$B$4)+1&lt;=21-Projects!$C$8+1))),0)</f>
        <v>1283265.322698</v>
      </c>
      <c r="X11" s="271" t="n">
        <f aca="false">IF(AND(Projects!$G$8="Yes",Projects!$F$8="Yes",22&gt;=Projects!$C$8,22&lt;Projects!$C$8+Projects!$D$8),Projects!$B$8*(1-SUMPRODUCT((Curves!$B$4:$AO$4)*(COLUMN(Curves!$B$4:$AO$4)-COLUMN(Curves!$B$4)+1&lt;=22-Projects!$C$8+1))),0)</f>
        <v>770245.056691899</v>
      </c>
      <c r="Y11" s="271" t="n">
        <f aca="false">IF(AND(Projects!$G$8="Yes",Projects!$F$8="Yes",23&gt;=Projects!$C$8,23&lt;Projects!$C$8+Projects!$D$8),Projects!$B$8*(1-SUMPRODUCT((Curves!$B$4:$AO$4)*(COLUMN(Curves!$B$4:$AO$4)-COLUMN(Curves!$B$4)+1&lt;=23-Projects!$C$8+1))),0)</f>
        <v>344555.95951785</v>
      </c>
      <c r="Z11" s="271" t="n">
        <f aca="false">IF(AND(Projects!$G$8="Yes",Projects!$F$8="Yes",24&gt;=Projects!$C$8,24&lt;Projects!$C$8+Projects!$D$8),Projects!$B$8*(1-SUMPRODUCT((Curves!$B$4:$AO$4)*(COLUMN(Curves!$B$4:$AO$4)-COLUMN(Curves!$B$4)+1&lt;=24-Projects!$C$8+1))),0)</f>
        <v>0</v>
      </c>
      <c r="AA11" s="271" t="n">
        <f aca="false">IF(AND(Projects!$G$8="Yes",Projects!$F$8="Yes",25&gt;=Projects!$C$8,25&lt;Projects!$C$8+Projects!$D$8),Projects!$B$8*(1-SUMPRODUCT((Curves!$B$4:$AO$4)*(COLUMN(Curves!$B$4:$AO$4)-COLUMN(Curves!$B$4)+1&lt;=25-Projects!$C$8+1))),0)</f>
        <v>0</v>
      </c>
      <c r="AB11" s="271" t="n">
        <f aca="false">IF(AND(Projects!$G$8="Yes",Projects!$F$8="Yes",26&gt;=Projects!$C$8,26&lt;Projects!$C$8+Projects!$D$8),Projects!$B$8*(1-SUMPRODUCT((Curves!$B$4:$AO$4)*(COLUMN(Curves!$B$4:$AO$4)-COLUMN(Curves!$B$4)+1&lt;=26-Projects!$C$8+1))),0)</f>
        <v>0</v>
      </c>
      <c r="AC11" s="271" t="n">
        <f aca="false">IF(AND(Projects!$G$8="Yes",Projects!$F$8="Yes",27&gt;=Projects!$C$8,27&lt;Projects!$C$8+Projects!$D$8),Projects!$B$8*(1-SUMPRODUCT((Curves!$B$4:$AO$4)*(COLUMN(Curves!$B$4:$AO$4)-COLUMN(Curves!$B$4)+1&lt;=27-Projects!$C$8+1))),0)</f>
        <v>0</v>
      </c>
      <c r="AD11" s="271" t="n">
        <f aca="false">IF(AND(Projects!$G$8="Yes",Projects!$F$8="Yes",28&gt;=Projects!$C$8,28&lt;Projects!$C$8+Projects!$D$8),Projects!$B$8*(1-SUMPRODUCT((Curves!$B$4:$AO$4)*(COLUMN(Curves!$B$4:$AO$4)-COLUMN(Curves!$B$4)+1&lt;=28-Projects!$C$8+1))),0)</f>
        <v>0</v>
      </c>
      <c r="AE11" s="271" t="n">
        <f aca="false">IF(AND(Projects!$G$8="Yes",Projects!$F$8="Yes",29&gt;=Projects!$C$8,29&lt;Projects!$C$8+Projects!$D$8),Projects!$B$8*(1-SUMPRODUCT((Curves!$B$4:$AO$4)*(COLUMN(Curves!$B$4:$AO$4)-COLUMN(Curves!$B$4)+1&lt;=29-Projects!$C$8+1))),0)</f>
        <v>0</v>
      </c>
      <c r="AF11" s="271" t="n">
        <f aca="false">IF(AND(Projects!$G$8="Yes",Projects!$F$8="Yes",30&gt;=Projects!$C$8,30&lt;Projects!$C$8+Projects!$D$8),Projects!$B$8*(1-SUMPRODUCT((Curves!$B$4:$AO$4)*(COLUMN(Curves!$B$4:$AO$4)-COLUMN(Curves!$B$4)+1&lt;=30-Projects!$C$8+1))),0)</f>
        <v>0</v>
      </c>
      <c r="AG11" s="271" t="n">
        <f aca="false">IF(AND(Projects!$G$8="Yes",Projects!$F$8="Yes",31&gt;=Projects!$C$8,31&lt;Projects!$C$8+Projects!$D$8),Projects!$B$8*(1-SUMPRODUCT((Curves!$B$4:$AO$4)*(COLUMN(Curves!$B$4:$AO$4)-COLUMN(Curves!$B$4)+1&lt;=31-Projects!$C$8+1))),0)</f>
        <v>0</v>
      </c>
      <c r="AH11" s="271" t="n">
        <f aca="false">IF(AND(Projects!$G$8="Yes",Projects!$F$8="Yes",32&gt;=Projects!$C$8,32&lt;Projects!$C$8+Projects!$D$8),Projects!$B$8*(1-SUMPRODUCT((Curves!$B$4:$AO$4)*(COLUMN(Curves!$B$4:$AO$4)-COLUMN(Curves!$B$4)+1&lt;=32-Projects!$C$8+1))),0)</f>
        <v>0</v>
      </c>
      <c r="AI11" s="271" t="n">
        <f aca="false">IF(AND(Projects!$G$8="Yes",Projects!$F$8="Yes",33&gt;=Projects!$C$8,33&lt;Projects!$C$8+Projects!$D$8),Projects!$B$8*(1-SUMPRODUCT((Curves!$B$4:$AO$4)*(COLUMN(Curves!$B$4:$AO$4)-COLUMN(Curves!$B$4)+1&lt;=33-Projects!$C$8+1))),0)</f>
        <v>0</v>
      </c>
      <c r="AJ11" s="271" t="n">
        <f aca="false">IF(AND(Projects!$G$8="Yes",Projects!$F$8="Yes",34&gt;=Projects!$C$8,34&lt;Projects!$C$8+Projects!$D$8),Projects!$B$8*(1-SUMPRODUCT((Curves!$B$4:$AO$4)*(COLUMN(Curves!$B$4:$AO$4)-COLUMN(Curves!$B$4)+1&lt;=34-Projects!$C$8+1))),0)</f>
        <v>0</v>
      </c>
      <c r="AK11" s="271" t="n">
        <f aca="false">IF(AND(Projects!$G$8="Yes",Projects!$F$8="Yes",35&gt;=Projects!$C$8,35&lt;Projects!$C$8+Projects!$D$8),Projects!$B$8*(1-SUMPRODUCT((Curves!$B$4:$AO$4)*(COLUMN(Curves!$B$4:$AO$4)-COLUMN(Curves!$B$4)+1&lt;=35-Projects!$C$8+1))),0)</f>
        <v>0</v>
      </c>
      <c r="AL11" s="271" t="n">
        <f aca="false">IF(AND(Projects!$G$8="Yes",Projects!$F$8="Yes",36&gt;=Projects!$C$8,36&lt;Projects!$C$8+Projects!$D$8),Projects!$B$8*(1-SUMPRODUCT((Curves!$B$4:$AO$4)*(COLUMN(Curves!$B$4:$AO$4)-COLUMN(Curves!$B$4)+1&lt;=36-Projects!$C$8+1))),0)</f>
        <v>0</v>
      </c>
      <c r="AM11" s="271" t="n">
        <f aca="false">IF(AND(Projects!$G$8="Yes",Projects!$F$8="Yes",37&gt;=Projects!$C$8,37&lt;Projects!$C$8+Projects!$D$8),Projects!$B$8*(1-SUMPRODUCT((Curves!$B$4:$AO$4)*(COLUMN(Curves!$B$4:$AO$4)-COLUMN(Curves!$B$4)+1&lt;=37-Projects!$C$8+1))),0)</f>
        <v>0</v>
      </c>
      <c r="AN11" s="271" t="n">
        <f aca="false">IF(AND(Projects!$G$8="Yes",Projects!$F$8="Yes",38&gt;=Projects!$C$8,38&lt;Projects!$C$8+Projects!$D$8),Projects!$B$8*(1-SUMPRODUCT((Curves!$B$4:$AO$4)*(COLUMN(Curves!$B$4:$AO$4)-COLUMN(Curves!$B$4)+1&lt;=38-Projects!$C$8+1))),0)</f>
        <v>0</v>
      </c>
      <c r="AO11" s="271" t="n">
        <f aca="false">IF(AND(Projects!$G$8="Yes",Projects!$F$8="Yes",39&gt;=Projects!$C$8,39&lt;Projects!$C$8+Projects!$D$8),Projects!$B$8*(1-SUMPRODUCT((Curves!$B$4:$AO$4)*(COLUMN(Curves!$B$4:$AO$4)-COLUMN(Curves!$B$4)+1&lt;=39-Projects!$C$8+1))),0)</f>
        <v>0</v>
      </c>
      <c r="AP11" s="271" t="n">
        <f aca="false">IF(AND(Projects!$G$8="Yes",Projects!$F$8="Yes",40&gt;=Projects!$C$8,40&lt;Projects!$C$8+Projects!$D$8),Projects!$B$8*(1-SUMPRODUCT((Curves!$B$4:$AO$4)*(COLUMN(Curves!$B$4:$AO$4)-COLUMN(Curves!$B$4)+1&lt;=40-Projects!$C$8+1))),0)</f>
        <v>0</v>
      </c>
      <c r="AQ11" s="271" t="n">
        <f aca="false">IF(AND(Projects!$G$8="Yes",Projects!$F$8="Yes",41&gt;=Projects!$C$8,41&lt;Projects!$C$8+Projects!$D$8),Projects!$B$8*(1-SUMPRODUCT((Curves!$B$4:$AO$4)*(COLUMN(Curves!$B$4:$AO$4)-COLUMN(Curves!$B$4)+1&lt;=41-Projects!$C$8+1))),0)</f>
        <v>0</v>
      </c>
      <c r="AR11" s="271" t="n">
        <f aca="false">IF(AND(Projects!$G$8="Yes",Projects!$F$8="Yes",42&gt;=Projects!$C$8,42&lt;Projects!$C$8+Projects!$D$8),Projects!$B$8*(1-SUMPRODUCT((Curves!$B$4:$AO$4)*(COLUMN(Curves!$B$4:$AO$4)-COLUMN(Curves!$B$4)+1&lt;=42-Projects!$C$8+1))),0)</f>
        <v>0</v>
      </c>
      <c r="AS11" s="271" t="n">
        <f aca="false">IF(AND(Projects!$G$8="Yes",Projects!$F$8="Yes",43&gt;=Projects!$C$8,43&lt;Projects!$C$8+Projects!$D$8),Projects!$B$8*(1-SUMPRODUCT((Curves!$B$4:$AO$4)*(COLUMN(Curves!$B$4:$AO$4)-COLUMN(Curves!$B$4)+1&lt;=43-Projects!$C$8+1))),0)</f>
        <v>0</v>
      </c>
      <c r="AT11" s="271" t="n">
        <f aca="false">IF(AND(Projects!$G$8="Yes",Projects!$F$8="Yes",44&gt;=Projects!$C$8,44&lt;Projects!$C$8+Projects!$D$8),Projects!$B$8*(1-SUMPRODUCT((Curves!$B$4:$AO$4)*(COLUMN(Curves!$B$4:$AO$4)-COLUMN(Curves!$B$4)+1&lt;=44-Projects!$C$8+1))),0)</f>
        <v>0</v>
      </c>
      <c r="AU11" s="271" t="n">
        <f aca="false">IF(AND(Projects!$G$8="Yes",Projects!$F$8="Yes",45&gt;=Projects!$C$8,45&lt;Projects!$C$8+Projects!$D$8),Projects!$B$8*(1-SUMPRODUCT((Curves!$B$4:$AO$4)*(COLUMN(Curves!$B$4:$AO$4)-COLUMN(Curves!$B$4)+1&lt;=45-Projects!$C$8+1))),0)</f>
        <v>0</v>
      </c>
      <c r="AV11" s="271" t="n">
        <f aca="false">IF(AND(Projects!$G$8="Yes",Projects!$F$8="Yes",46&gt;=Projects!$C$8,46&lt;Projects!$C$8+Projects!$D$8),Projects!$B$8*(1-SUMPRODUCT((Curves!$B$4:$AO$4)*(COLUMN(Curves!$B$4:$AO$4)-COLUMN(Curves!$B$4)+1&lt;=46-Projects!$C$8+1))),0)</f>
        <v>0</v>
      </c>
      <c r="AW11" s="271" t="n">
        <f aca="false">IF(AND(Projects!$G$8="Yes",Projects!$F$8="Yes",47&gt;=Projects!$C$8,47&lt;Projects!$C$8+Projects!$D$8),Projects!$B$8*(1-SUMPRODUCT((Curves!$B$4:$AO$4)*(COLUMN(Curves!$B$4:$AO$4)-COLUMN(Curves!$B$4)+1&lt;=47-Projects!$C$8+1))),0)</f>
        <v>0</v>
      </c>
      <c r="AX11" s="271" t="n">
        <f aca="false">IF(AND(Projects!$G$8="Yes",Projects!$F$8="Yes",48&gt;=Projects!$C$8,48&lt;Projects!$C$8+Projects!$D$8),Projects!$B$8*(1-SUMPRODUCT((Curves!$B$4:$AO$4)*(COLUMN(Curves!$B$4:$AO$4)-COLUMN(Curves!$B$4)+1&lt;=48-Projects!$C$8+1))),0)</f>
        <v>0</v>
      </c>
      <c r="AY11" s="271" t="n">
        <f aca="false">IF(AND(Projects!$G$8="Yes",Projects!$F$8="Yes",49&gt;=Projects!$C$8,49&lt;Projects!$C$8+Projects!$D$8),Projects!$B$8*(1-SUMPRODUCT((Curves!$B$4:$AO$4)*(COLUMN(Curves!$B$4:$AO$4)-COLUMN(Curves!$B$4)+1&lt;=49-Projects!$C$8+1))),0)</f>
        <v>0</v>
      </c>
      <c r="AZ11" s="271" t="n">
        <f aca="false">IF(AND(Projects!$G$8="Yes",Projects!$F$8="Yes",50&gt;=Projects!$C$8,50&lt;Projects!$C$8+Projects!$D$8),Projects!$B$8*(1-SUMPRODUCT((Curves!$B$4:$AO$4)*(COLUMN(Curves!$B$4:$AO$4)-COLUMN(Curves!$B$4)+1&lt;=50-Projects!$C$8+1))),0)</f>
        <v>0</v>
      </c>
      <c r="BA11" s="271" t="n">
        <f aca="false">IF(AND(Projects!$G$8="Yes",Projects!$F$8="Yes",51&gt;=Projects!$C$8,51&lt;Projects!$C$8+Projects!$D$8),Projects!$B$8*(1-SUMPRODUCT((Curves!$B$4:$AO$4)*(COLUMN(Curves!$B$4:$AO$4)-COLUMN(Curves!$B$4)+1&lt;=51-Projects!$C$8+1))),0)</f>
        <v>0</v>
      </c>
      <c r="BB11" s="271" t="n">
        <f aca="false">IF(AND(Projects!$G$8="Yes",Projects!$F$8="Yes",52&gt;=Projects!$C$8,52&lt;Projects!$C$8+Projects!$D$8),Projects!$B$8*(1-SUMPRODUCT((Curves!$B$4:$AO$4)*(COLUMN(Curves!$B$4:$AO$4)-COLUMN(Curves!$B$4)+1&lt;=52-Projects!$C$8+1))),0)</f>
        <v>0</v>
      </c>
      <c r="BC11" s="271" t="n">
        <f aca="false">IF(AND(Projects!$G$8="Yes",Projects!$F$8="Yes",53&gt;=Projects!$C$8,53&lt;Projects!$C$8+Projects!$D$8),Projects!$B$8*(1-SUMPRODUCT((Curves!$B$4:$AO$4)*(COLUMN(Curves!$B$4:$AO$4)-COLUMN(Curves!$B$4)+1&lt;=53-Projects!$C$8+1))),0)</f>
        <v>0</v>
      </c>
      <c r="BD11" s="271" t="n">
        <f aca="false">IF(AND(Projects!$G$8="Yes",Projects!$F$8="Yes",54&gt;=Projects!$C$8,54&lt;Projects!$C$8+Projects!$D$8),Projects!$B$8*(1-SUMPRODUCT((Curves!$B$4:$AO$4)*(COLUMN(Curves!$B$4:$AO$4)-COLUMN(Curves!$B$4)+1&lt;=54-Projects!$C$8+1))),0)</f>
        <v>0</v>
      </c>
      <c r="BE11" s="271" t="n">
        <f aca="false">IF(AND(Projects!$G$8="Yes",Projects!$F$8="Yes",55&gt;=Projects!$C$8,55&lt;Projects!$C$8+Projects!$D$8),Projects!$B$8*(1-SUMPRODUCT((Curves!$B$4:$AO$4)*(COLUMN(Curves!$B$4:$AO$4)-COLUMN(Curves!$B$4)+1&lt;=55-Projects!$C$8+1))),0)</f>
        <v>0</v>
      </c>
      <c r="BF11" s="271" t="n">
        <f aca="false">IF(AND(Projects!$G$8="Yes",Projects!$F$8="Yes",56&gt;=Projects!$C$8,56&lt;Projects!$C$8+Projects!$D$8),Projects!$B$8*(1-SUMPRODUCT((Curves!$B$4:$AO$4)*(COLUMN(Curves!$B$4:$AO$4)-COLUMN(Curves!$B$4)+1&lt;=56-Projects!$C$8+1))),0)</f>
        <v>0</v>
      </c>
      <c r="BG11" s="271" t="n">
        <f aca="false">IF(AND(Projects!$G$8="Yes",Projects!$F$8="Yes",57&gt;=Projects!$C$8,57&lt;Projects!$C$8+Projects!$D$8),Projects!$B$8*(1-SUMPRODUCT((Curves!$B$4:$AO$4)*(COLUMN(Curves!$B$4:$AO$4)-COLUMN(Curves!$B$4)+1&lt;=57-Projects!$C$8+1))),0)</f>
        <v>0</v>
      </c>
      <c r="BH11" s="271" t="n">
        <f aca="false">IF(AND(Projects!$G$8="Yes",Projects!$F$8="Yes",58&gt;=Projects!$C$8,58&lt;Projects!$C$8+Projects!$D$8),Projects!$B$8*(1-SUMPRODUCT((Curves!$B$4:$AO$4)*(COLUMN(Curves!$B$4:$AO$4)-COLUMN(Curves!$B$4)+1&lt;=58-Projects!$C$8+1))),0)</f>
        <v>0</v>
      </c>
      <c r="BI11" s="271" t="n">
        <f aca="false">IF(AND(Projects!$G$8="Yes",Projects!$F$8="Yes",59&gt;=Projects!$C$8,59&lt;Projects!$C$8+Projects!$D$8),Projects!$B$8*(1-SUMPRODUCT((Curves!$B$4:$AO$4)*(COLUMN(Curves!$B$4:$AO$4)-COLUMN(Curves!$B$4)+1&lt;=59-Projects!$C$8+1))),0)</f>
        <v>0</v>
      </c>
      <c r="BJ11" s="271" t="n">
        <f aca="false">IF(AND(Projects!$G$8="Yes",Projects!$F$8="Yes",60&gt;=Projects!$C$8,60&lt;Projects!$C$8+Projects!$D$8),Projects!$B$8*(1-SUMPRODUCT((Curves!$B$4:$AO$4)*(COLUMN(Curves!$B$4:$AO$4)-COLUMN(Curves!$B$4)+1&lt;=60-Projects!$C$8+1))),0)</f>
        <v>0</v>
      </c>
      <c r="BK11" s="271" t="n">
        <f aca="false">IF(AND(Projects!$G$8="Yes",Projects!$F$8="Yes",61&gt;=Projects!$C$8,61&lt;Projects!$C$8+Projects!$D$8),Projects!$B$8*(1-SUMPRODUCT((Curves!$B$4:$AO$4)*(COLUMN(Curves!$B$4:$AO$4)-COLUMN(Curves!$B$4)+1&lt;=61-Projects!$C$8+1))),0)</f>
        <v>0</v>
      </c>
      <c r="BL11" s="271" t="n">
        <f aca="false">IF(AND(Projects!$G$8="Yes",Projects!$F$8="Yes",62&gt;=Projects!$C$8,62&lt;Projects!$C$8+Projects!$D$8),Projects!$B$8*(1-SUMPRODUCT((Curves!$B$4:$AO$4)*(COLUMN(Curves!$B$4:$AO$4)-COLUMN(Curves!$B$4)+1&lt;=62-Projects!$C$8+1))),0)</f>
        <v>0</v>
      </c>
      <c r="BM11" s="271" t="n">
        <f aca="false">IF(AND(Projects!$G$8="Yes",Projects!$F$8="Yes",63&gt;=Projects!$C$8,63&lt;Projects!$C$8+Projects!$D$8),Projects!$B$8*(1-SUMPRODUCT((Curves!$B$4:$AO$4)*(COLUMN(Curves!$B$4:$AO$4)-COLUMN(Curves!$B$4)+1&lt;=63-Projects!$C$8+1))),0)</f>
        <v>0</v>
      </c>
      <c r="BN11" s="271" t="n">
        <f aca="false">IF(AND(Projects!$G$8="Yes",Projects!$F$8="Yes",64&gt;=Projects!$C$8,64&lt;Projects!$C$8+Projects!$D$8),Projects!$B$8*(1-SUMPRODUCT((Curves!$B$4:$AO$4)*(COLUMN(Curves!$B$4:$AO$4)-COLUMN(Curves!$B$4)+1&lt;=64-Projects!$C$8+1))),0)</f>
        <v>0</v>
      </c>
      <c r="BO11" s="271" t="n">
        <f aca="false">IF(AND(Projects!$G$8="Yes",Projects!$F$8="Yes",65&gt;=Projects!$C$8,65&lt;Projects!$C$8+Projects!$D$8),Projects!$B$8*(1-SUMPRODUCT((Curves!$B$4:$AO$4)*(COLUMN(Curves!$B$4:$AO$4)-COLUMN(Curves!$B$4)+1&lt;=65-Projects!$C$8+1))),0)</f>
        <v>0</v>
      </c>
      <c r="BP11" s="271" t="n">
        <f aca="false">IF(AND(Projects!$G$8="Yes",Projects!$F$8="Yes",66&gt;=Projects!$C$8,66&lt;Projects!$C$8+Projects!$D$8),Projects!$B$8*(1-SUMPRODUCT((Curves!$B$4:$AO$4)*(COLUMN(Curves!$B$4:$AO$4)-COLUMN(Curves!$B$4)+1&lt;=66-Projects!$C$8+1))),0)</f>
        <v>0</v>
      </c>
      <c r="BQ11" s="271" t="n">
        <f aca="false">IF(AND(Projects!$G$8="Yes",Projects!$F$8="Yes",67&gt;=Projects!$C$8,67&lt;Projects!$C$8+Projects!$D$8),Projects!$B$8*(1-SUMPRODUCT((Curves!$B$4:$AO$4)*(COLUMN(Curves!$B$4:$AO$4)-COLUMN(Curves!$B$4)+1&lt;=67-Projects!$C$8+1))),0)</f>
        <v>0</v>
      </c>
      <c r="BR11" s="271" t="n">
        <f aca="false">IF(AND(Projects!$G$8="Yes",Projects!$F$8="Yes",68&gt;=Projects!$C$8,68&lt;Projects!$C$8+Projects!$D$8),Projects!$B$8*(1-SUMPRODUCT((Curves!$B$4:$AO$4)*(COLUMN(Curves!$B$4:$AO$4)-COLUMN(Curves!$B$4)+1&lt;=68-Projects!$C$8+1))),0)</f>
        <v>0</v>
      </c>
      <c r="BS11" s="271" t="n">
        <f aca="false">IF(AND(Projects!$G$8="Yes",Projects!$F$8="Yes",69&gt;=Projects!$C$8,69&lt;Projects!$C$8+Projects!$D$8),Projects!$B$8*(1-SUMPRODUCT((Curves!$B$4:$AO$4)*(COLUMN(Curves!$B$4:$AO$4)-COLUMN(Curves!$B$4)+1&lt;=69-Projects!$C$8+1))),0)</f>
        <v>0</v>
      </c>
      <c r="BT11" s="271" t="n">
        <f aca="false">IF(AND(Projects!$G$8="Yes",Projects!$F$8="Yes",70&gt;=Projects!$C$8,70&lt;Projects!$C$8+Projects!$D$8),Projects!$B$8*(1-SUMPRODUCT((Curves!$B$4:$AO$4)*(COLUMN(Curves!$B$4:$AO$4)-COLUMN(Curves!$B$4)+1&lt;=70-Projects!$C$8+1))),0)</f>
        <v>0</v>
      </c>
      <c r="BU11" s="271" t="n">
        <f aca="false">IF(AND(Projects!$G$8="Yes",Projects!$F$8="Yes",71&gt;=Projects!$C$8,71&lt;Projects!$C$8+Projects!$D$8),Projects!$B$8*(1-SUMPRODUCT((Curves!$B$4:$AO$4)*(COLUMN(Curves!$B$4:$AO$4)-COLUMN(Curves!$B$4)+1&lt;=71-Projects!$C$8+1))),0)</f>
        <v>0</v>
      </c>
      <c r="BV11" s="271" t="n">
        <f aca="false">IF(AND(Projects!$G$8="Yes",Projects!$F$8="Yes",72&gt;=Projects!$C$8,72&lt;Projects!$C$8+Projects!$D$8),Projects!$B$8*(1-SUMPRODUCT((Curves!$B$4:$AO$4)*(COLUMN(Curves!$B$4:$AO$4)-COLUMN(Curves!$B$4)+1&lt;=72-Projects!$C$8+1))),0)</f>
        <v>0</v>
      </c>
      <c r="BW11" s="271" t="n">
        <f aca="false">IF(AND(Projects!$G$8="Yes",Projects!$F$8="Yes",73&gt;=Projects!$C$8,73&lt;Projects!$C$8+Projects!$D$8),Projects!$B$8*(1-SUMPRODUCT((Curves!$B$4:$AO$4)*(COLUMN(Curves!$B$4:$AO$4)-COLUMN(Curves!$B$4)+1&lt;=73-Projects!$C$8+1))),0)</f>
        <v>0</v>
      </c>
      <c r="BX11" s="271" t="n">
        <f aca="false">IF(AND(Projects!$G$8="Yes",Projects!$F$8="Yes",74&gt;=Projects!$C$8,74&lt;Projects!$C$8+Projects!$D$8),Projects!$B$8*(1-SUMPRODUCT((Curves!$B$4:$AO$4)*(COLUMN(Curves!$B$4:$AO$4)-COLUMN(Curves!$B$4)+1&lt;=74-Projects!$C$8+1))),0)</f>
        <v>0</v>
      </c>
      <c r="BY11" s="271" t="n">
        <f aca="false">IF(AND(Projects!$G$8="Yes",Projects!$F$8="Yes",75&gt;=Projects!$C$8,75&lt;Projects!$C$8+Projects!$D$8),Projects!$B$8*(1-SUMPRODUCT((Curves!$B$4:$AO$4)*(COLUMN(Curves!$B$4:$AO$4)-COLUMN(Curves!$B$4)+1&lt;=75-Projects!$C$8+1))),0)</f>
        <v>0</v>
      </c>
      <c r="BZ11" s="271" t="n">
        <f aca="false">IF(AND(Projects!$G$8="Yes",Projects!$F$8="Yes",76&gt;=Projects!$C$8,76&lt;Projects!$C$8+Projects!$D$8),Projects!$B$8*(1-SUMPRODUCT((Curves!$B$4:$AO$4)*(COLUMN(Curves!$B$4:$AO$4)-COLUMN(Curves!$B$4)+1&lt;=76-Projects!$C$8+1))),0)</f>
        <v>0</v>
      </c>
      <c r="CA11" s="271" t="n">
        <f aca="false">IF(AND(Projects!$G$8="Yes",Projects!$F$8="Yes",77&gt;=Projects!$C$8,77&lt;Projects!$C$8+Projects!$D$8),Projects!$B$8*(1-SUMPRODUCT((Curves!$B$4:$AO$4)*(COLUMN(Curves!$B$4:$AO$4)-COLUMN(Curves!$B$4)+1&lt;=77-Projects!$C$8+1))),0)</f>
        <v>0</v>
      </c>
      <c r="CB11" s="271" t="n">
        <f aca="false">IF(AND(Projects!$G$8="Yes",Projects!$F$8="Yes",78&gt;=Projects!$C$8,78&lt;Projects!$C$8+Projects!$D$8),Projects!$B$8*(1-SUMPRODUCT((Curves!$B$4:$AO$4)*(COLUMN(Curves!$B$4:$AO$4)-COLUMN(Curves!$B$4)+1&lt;=78-Projects!$C$8+1))),0)</f>
        <v>0</v>
      </c>
      <c r="CC11" s="271" t="n">
        <f aca="false">IF(AND(Projects!$G$8="Yes",Projects!$F$8="Yes",79&gt;=Projects!$C$8,79&lt;Projects!$C$8+Projects!$D$8),Projects!$B$8*(1-SUMPRODUCT((Curves!$B$4:$AO$4)*(COLUMN(Curves!$B$4:$AO$4)-COLUMN(Curves!$B$4)+1&lt;=79-Projects!$C$8+1))),0)</f>
        <v>0</v>
      </c>
      <c r="CD11" s="271" t="n">
        <f aca="false">IF(AND(Projects!$G$8="Yes",Projects!$F$8="Yes",80&gt;=Projects!$C$8,80&lt;Projects!$C$8+Projects!$D$8),Projects!$B$8*(1-SUMPRODUCT((Curves!$B$4:$AO$4)*(COLUMN(Curves!$B$4:$AO$4)-COLUMN(Curves!$B$4)+1&lt;=80-Projects!$C$8+1))),0)</f>
        <v>0</v>
      </c>
      <c r="CE11" s="271" t="n">
        <f aca="false">IF(AND(Projects!$G$8="Yes",Projects!$F$8="Yes",81&gt;=Projects!$C$8,81&lt;Projects!$C$8+Projects!$D$8),Projects!$B$8*(1-SUMPRODUCT((Curves!$B$4:$AO$4)*(COLUMN(Curves!$B$4:$AO$4)-COLUMN(Curves!$B$4)+1&lt;=81-Projects!$C$8+1))),0)</f>
        <v>0</v>
      </c>
      <c r="CF11" s="271" t="n">
        <f aca="false">IF(AND(Projects!$G$8="Yes",Projects!$F$8="Yes",82&gt;=Projects!$C$8,82&lt;Projects!$C$8+Projects!$D$8),Projects!$B$8*(1-SUMPRODUCT((Curves!$B$4:$AO$4)*(COLUMN(Curves!$B$4:$AO$4)-COLUMN(Curves!$B$4)+1&lt;=82-Projects!$C$8+1))),0)</f>
        <v>0</v>
      </c>
      <c r="CG11" s="271" t="n">
        <f aca="false">IF(AND(Projects!$G$8="Yes",Projects!$F$8="Yes",83&gt;=Projects!$C$8,83&lt;Projects!$C$8+Projects!$D$8),Projects!$B$8*(1-SUMPRODUCT((Curves!$B$4:$AO$4)*(COLUMN(Curves!$B$4:$AO$4)-COLUMN(Curves!$B$4)+1&lt;=83-Projects!$C$8+1))),0)</f>
        <v>0</v>
      </c>
      <c r="CH11" s="271" t="n">
        <f aca="false">IF(AND(Projects!$G$8="Yes",Projects!$F$8="Yes",84&gt;=Projects!$C$8,84&lt;Projects!$C$8+Projects!$D$8),Projects!$B$8*(1-SUMPRODUCT((Curves!$B$4:$AO$4)*(COLUMN(Curves!$B$4:$AO$4)-COLUMN(Curves!$B$4)+1&lt;=84-Projects!$C$8+1))),0)</f>
        <v>0</v>
      </c>
      <c r="CI11" s="271" t="n">
        <f aca="false">IF(AND(Projects!$G$8="Yes",Projects!$F$8="Yes",85&gt;=Projects!$C$8,85&lt;Projects!$C$8+Projects!$D$8),Projects!$B$8*(1-SUMPRODUCT((Curves!$B$4:$AO$4)*(COLUMN(Curves!$B$4:$AO$4)-COLUMN(Curves!$B$4)+1&lt;=85-Projects!$C$8+1))),0)</f>
        <v>0</v>
      </c>
      <c r="CJ11" s="271" t="n">
        <f aca="false">IF(AND(Projects!$G$8="Yes",Projects!$F$8="Yes",86&gt;=Projects!$C$8,86&lt;Projects!$C$8+Projects!$D$8),Projects!$B$8*(1-SUMPRODUCT((Curves!$B$4:$AO$4)*(COLUMN(Curves!$B$4:$AO$4)-COLUMN(Curves!$B$4)+1&lt;=86-Projects!$C$8+1))),0)</f>
        <v>0</v>
      </c>
      <c r="CK11" s="271" t="n">
        <f aca="false">IF(AND(Projects!$G$8="Yes",Projects!$F$8="Yes",87&gt;=Projects!$C$8,87&lt;Projects!$C$8+Projects!$D$8),Projects!$B$8*(1-SUMPRODUCT((Curves!$B$4:$AO$4)*(COLUMN(Curves!$B$4:$AO$4)-COLUMN(Curves!$B$4)+1&lt;=87-Projects!$C$8+1))),0)</f>
        <v>0</v>
      </c>
      <c r="CL11" s="271" t="n">
        <f aca="false">IF(AND(Projects!$G$8="Yes",Projects!$F$8="Yes",88&gt;=Projects!$C$8,88&lt;Projects!$C$8+Projects!$D$8),Projects!$B$8*(1-SUMPRODUCT((Curves!$B$4:$AO$4)*(COLUMN(Curves!$B$4:$AO$4)-COLUMN(Curves!$B$4)+1&lt;=88-Projects!$C$8+1))),0)</f>
        <v>0</v>
      </c>
      <c r="CM11" s="271" t="n">
        <f aca="false">IF(AND(Projects!$G$8="Yes",Projects!$F$8="Yes",89&gt;=Projects!$C$8,89&lt;Projects!$C$8+Projects!$D$8),Projects!$B$8*(1-SUMPRODUCT((Curves!$B$4:$AO$4)*(COLUMN(Curves!$B$4:$AO$4)-COLUMN(Curves!$B$4)+1&lt;=89-Projects!$C$8+1))),0)</f>
        <v>0</v>
      </c>
      <c r="CN11" s="271" t="n">
        <f aca="false">IF(AND(Projects!$G$8="Yes",Projects!$F$8="Yes",90&gt;=Projects!$C$8,90&lt;Projects!$C$8+Projects!$D$8),Projects!$B$8*(1-SUMPRODUCT((Curves!$B$4:$AO$4)*(COLUMN(Curves!$B$4:$AO$4)-COLUMN(Curves!$B$4)+1&lt;=90-Projects!$C$8+1))),0)</f>
        <v>0</v>
      </c>
      <c r="CO11" s="271" t="n">
        <f aca="false">IF(AND(Projects!$G$8="Yes",Projects!$F$8="Yes",91&gt;=Projects!$C$8,91&lt;Projects!$C$8+Projects!$D$8),Projects!$B$8*(1-SUMPRODUCT((Curves!$B$4:$AO$4)*(COLUMN(Curves!$B$4:$AO$4)-COLUMN(Curves!$B$4)+1&lt;=91-Projects!$C$8+1))),0)</f>
        <v>0</v>
      </c>
      <c r="CP11" s="271" t="n">
        <f aca="false">IF(AND(Projects!$G$8="Yes",Projects!$F$8="Yes",92&gt;=Projects!$C$8,92&lt;Projects!$C$8+Projects!$D$8),Projects!$B$8*(1-SUMPRODUCT((Curves!$B$4:$AO$4)*(COLUMN(Curves!$B$4:$AO$4)-COLUMN(Curves!$B$4)+1&lt;=92-Projects!$C$8+1))),0)</f>
        <v>0</v>
      </c>
      <c r="CQ11" s="271" t="n">
        <f aca="false">IF(AND(Projects!$G$8="Yes",Projects!$F$8="Yes",93&gt;=Projects!$C$8,93&lt;Projects!$C$8+Projects!$D$8),Projects!$B$8*(1-SUMPRODUCT((Curves!$B$4:$AO$4)*(COLUMN(Curves!$B$4:$AO$4)-COLUMN(Curves!$B$4)+1&lt;=93-Projects!$C$8+1))),0)</f>
        <v>0</v>
      </c>
    </row>
    <row r="12" customFormat="false" ht="15" hidden="false" customHeight="true" outlineLevel="0" collapsed="false">
      <c r="A12" s="189" t="s">
        <v>14</v>
      </c>
      <c r="C12" s="271" t="n">
        <f aca="false">IF(AND(Projects!$G$9="Yes",Projects!$F$9="Yes",1&gt;=Projects!$C$9,1&lt;Projects!$C$9+Projects!$D$9),Projects!$B$9*(1-SUMPRODUCT((Curves!$B$2:$AO$2)*(COLUMN(Curves!$B$2:$AO$2)-COLUMN(Curves!$B$2)+1&lt;=1-Projects!$C$9+1))),0)</f>
        <v>0</v>
      </c>
      <c r="D12" s="271" t="n">
        <f aca="false">IF(AND(Projects!$G$9="Yes",Projects!$F$9="Yes",2&gt;=Projects!$C$9,2&lt;Projects!$C$9+Projects!$D$9),Projects!$B$9*(1-SUMPRODUCT((Curves!$B$2:$AO$2)*(COLUMN(Curves!$B$2:$AO$2)-COLUMN(Curves!$B$2)+1&lt;=2-Projects!$C$9+1))),0)</f>
        <v>0</v>
      </c>
      <c r="E12" s="271" t="n">
        <f aca="false">IF(AND(Projects!$G$9="Yes",Projects!$F$9="Yes",3&gt;=Projects!$C$9,3&lt;Projects!$C$9+Projects!$D$9),Projects!$B$9*(1-SUMPRODUCT((Curves!$B$2:$AO$2)*(COLUMN(Curves!$B$2:$AO$2)-COLUMN(Curves!$B$2)+1&lt;=3-Projects!$C$9+1))),0)</f>
        <v>0</v>
      </c>
      <c r="F12" s="271" t="n">
        <f aca="false">IF(AND(Projects!$G$9="Yes",Projects!$F$9="Yes",4&gt;=Projects!$C$9,4&lt;Projects!$C$9+Projects!$D$9),Projects!$B$9*(1-SUMPRODUCT((Curves!$B$2:$AO$2)*(COLUMN(Curves!$B$2:$AO$2)-COLUMN(Curves!$B$2)+1&lt;=4-Projects!$C$9+1))),0)</f>
        <v>0</v>
      </c>
      <c r="G12" s="271" t="n">
        <f aca="false">IF(AND(Projects!$G$9="Yes",Projects!$F$9="Yes",5&gt;=Projects!$C$9,5&lt;Projects!$C$9+Projects!$D$9),Projects!$B$9*(1-SUMPRODUCT((Curves!$B$2:$AO$2)*(COLUMN(Curves!$B$2:$AO$2)-COLUMN(Curves!$B$2)+1&lt;=5-Projects!$C$9+1))),0)</f>
        <v>14106170.5891092</v>
      </c>
      <c r="H12" s="271" t="n">
        <f aca="false">IF(AND(Projects!$G$9="Yes",Projects!$F$9="Yes",6&gt;=Projects!$C$9,6&lt;Projects!$C$9+Projects!$D$9),Projects!$B$9*(1-SUMPRODUCT((Curves!$B$2:$AO$2)*(COLUMN(Curves!$B$2:$AO$2)-COLUMN(Curves!$B$2)+1&lt;=6-Projects!$C$9+1))),0)</f>
        <v>13840677.8231148</v>
      </c>
      <c r="I12" s="271" t="n">
        <f aca="false">IF(AND(Projects!$G$9="Yes",Projects!$F$9="Yes",7&gt;=Projects!$C$9,7&lt;Projects!$C$9+Projects!$D$9),Projects!$B$9*(1-SUMPRODUCT((Curves!$B$2:$AO$2)*(COLUMN(Curves!$B$2:$AO$2)-COLUMN(Curves!$B$2)+1&lt;=7-Projects!$C$9+1))),0)</f>
        <v>13538353.2763752</v>
      </c>
      <c r="J12" s="271" t="n">
        <f aca="false">IF(AND(Projects!$G$9="Yes",Projects!$F$9="Yes",8&gt;=Projects!$C$9,8&lt;Projects!$C$9+Projects!$D$9),Projects!$B$9*(1-SUMPRODUCT((Curves!$B$2:$AO$2)*(COLUMN(Curves!$B$2:$AO$2)-COLUMN(Curves!$B$2)+1&lt;=8-Projects!$C$9+1))),0)</f>
        <v>13197519.5186268</v>
      </c>
      <c r="K12" s="271" t="n">
        <f aca="false">IF(AND(Projects!$G$9="Yes",Projects!$F$9="Yes",9&gt;=Projects!$C$9,9&lt;Projects!$C$9+Projects!$D$9),Projects!$B$9*(1-SUMPRODUCT((Curves!$B$2:$AO$2)*(COLUMN(Curves!$B$2:$AO$2)-COLUMN(Curves!$B$2)+1&lt;=9-Projects!$C$9+1))),0)</f>
        <v>12817086.9370488</v>
      </c>
      <c r="L12" s="271" t="n">
        <f aca="false">IF(AND(Projects!$G$9="Yes",Projects!$F$9="Yes",10&gt;=Projects!$C$9,10&lt;Projects!$C$9+Projects!$D$9),Projects!$B$9*(1-SUMPRODUCT((Curves!$B$2:$AO$2)*(COLUMN(Curves!$B$2:$AO$2)-COLUMN(Curves!$B$2)+1&lt;=10-Projects!$C$9+1))),0)</f>
        <v>12396682.7693604</v>
      </c>
      <c r="M12" s="271" t="n">
        <f aca="false">IF(AND(Projects!$G$9="Yes",Projects!$F$9="Yes",11&gt;=Projects!$C$9,11&lt;Projects!$C$9+Projects!$D$9),Projects!$B$9*(1-SUMPRODUCT((Curves!$B$2:$AO$2)*(COLUMN(Curves!$B$2:$AO$2)-COLUMN(Curves!$B$2)+1&lt;=11-Projects!$C$9+1))),0)</f>
        <v>11936722.7888748</v>
      </c>
      <c r="N12" s="271" t="n">
        <f aca="false">IF(AND(Projects!$G$9="Yes",Projects!$F$9="Yes",12&gt;=Projects!$C$9,12&lt;Projects!$C$9+Projects!$D$9),Projects!$B$9*(1-SUMPRODUCT((Curves!$B$2:$AO$2)*(COLUMN(Curves!$B$2:$AO$2)-COLUMN(Curves!$B$2)+1&lt;=12-Projects!$C$9+1))),0)</f>
        <v>11438482.9895532</v>
      </c>
      <c r="O12" s="271" t="n">
        <f aca="false">IF(AND(Projects!$G$9="Yes",Projects!$F$9="Yes",13&gt;=Projects!$C$9,13&lt;Projects!$C$9+Projects!$D$9),Projects!$B$9*(1-SUMPRODUCT((Curves!$B$2:$AO$2)*(COLUMN(Curves!$B$2:$AO$2)-COLUMN(Curves!$B$2)+1&lt;=13-Projects!$C$9+1))),0)</f>
        <v>10904156.934048</v>
      </c>
      <c r="P12" s="271" t="n">
        <f aca="false">IF(AND(Projects!$G$9="Yes",Projects!$F$9="Yes",14&gt;=Projects!$C$9,14&lt;Projects!$C$9+Projects!$D$9),Projects!$B$9*(1-SUMPRODUCT((Curves!$B$2:$AO$2)*(COLUMN(Curves!$B$2:$AO$2)-COLUMN(Curves!$B$2)+1&lt;=14-Projects!$C$9+1))),0)</f>
        <v>10336812.7426704</v>
      </c>
      <c r="Q12" s="271" t="n">
        <f aca="false">IF(AND(Projects!$G$9="Yes",Projects!$F$9="Yes",15&gt;=Projects!$C$9,15&lt;Projects!$C$9+Projects!$D$9),Projects!$B$9*(1-SUMPRODUCT((Curves!$B$2:$AO$2)*(COLUMN(Curves!$B$2:$AO$2)-COLUMN(Curves!$B$2)+1&lt;=15-Projects!$C$9+1))),0)</f>
        <v>9740407.4304012</v>
      </c>
      <c r="R12" s="271" t="n">
        <f aca="false">IF(AND(Projects!$G$9="Yes",Projects!$F$9="Yes",16&gt;=Projects!$C$9,16&lt;Projects!$C$9+Projects!$D$9),Projects!$B$9*(1-SUMPRODUCT((Curves!$B$2:$AO$2)*(COLUMN(Curves!$B$2:$AO$2)-COLUMN(Curves!$B$2)+1&lt;=16-Projects!$C$9+1))),0)</f>
        <v>9119686.5478152</v>
      </c>
      <c r="S12" s="271" t="n">
        <f aca="false">IF(AND(Projects!$G$9="Yes",Projects!$F$9="Yes",17&gt;=Projects!$C$9,17&lt;Projects!$C$9+Projects!$D$9),Projects!$B$9*(1-SUMPRODUCT((Curves!$B$2:$AO$2)*(COLUMN(Curves!$B$2:$AO$2)-COLUMN(Curves!$B$2)+1&lt;=17-Projects!$C$9+1))),0)</f>
        <v>8480069.4849948</v>
      </c>
      <c r="T12" s="271" t="n">
        <f aca="false">IF(AND(Projects!$G$9="Yes",Projects!$F$9="Yes",18&gt;=Projects!$C$9,18&lt;Projects!$C$9+Projects!$D$9),Projects!$B$9*(1-SUMPRODUCT((Curves!$B$2:$AO$2)*(COLUMN(Curves!$B$2:$AO$2)-COLUMN(Curves!$B$2)+1&lt;=18-Projects!$C$9+1))),0)</f>
        <v>7827549.1124544</v>
      </c>
      <c r="U12" s="271" t="n">
        <f aca="false">IF(AND(Projects!$G$9="Yes",Projects!$F$9="Yes",19&gt;=Projects!$C$9,19&lt;Projects!$C$9+Projects!$D$9),Projects!$B$9*(1-SUMPRODUCT((Curves!$B$2:$AO$2)*(COLUMN(Curves!$B$2:$AO$2)-COLUMN(Curves!$B$2)+1&lt;=19-Projects!$C$9+1))),0)</f>
        <v>7168476.7259784</v>
      </c>
      <c r="V12" s="271" t="n">
        <f aca="false">IF(AND(Projects!$G$9="Yes",Projects!$F$9="Yes",20&gt;=Projects!$C$9,20&lt;Projects!$C$9+Projects!$D$9),Projects!$B$9*(1-SUMPRODUCT((Curves!$B$2:$AO$2)*(COLUMN(Curves!$B$2:$AO$2)-COLUMN(Curves!$B$2)+1&lt;=20-Projects!$C$9+1))),0)</f>
        <v>6509404.3395024</v>
      </c>
      <c r="W12" s="271" t="n">
        <f aca="false">IF(AND(Projects!$G$9="Yes",Projects!$F$9="Yes",21&gt;=Projects!$C$9,21&lt;Projects!$C$9+Projects!$D$9),Projects!$B$9*(1-SUMPRODUCT((Curves!$B$2:$AO$2)*(COLUMN(Curves!$B$2:$AO$2)-COLUMN(Curves!$B$2)+1&lt;=21-Projects!$C$9+1))),0)</f>
        <v>5856883.966962</v>
      </c>
      <c r="X12" s="271" t="n">
        <f aca="false">IF(AND(Projects!$G$9="Yes",Projects!$F$9="Yes",22&gt;=Projects!$C$9,22&lt;Projects!$C$9+Projects!$D$9),Projects!$B$9*(1-SUMPRODUCT((Curves!$B$2:$AO$2)*(COLUMN(Curves!$B$2:$AO$2)-COLUMN(Curves!$B$2)+1&lt;=22-Projects!$C$9+1))),0)</f>
        <v>5217266.9041416</v>
      </c>
      <c r="Y12" s="271" t="n">
        <f aca="false">IF(AND(Projects!$G$9="Yes",Projects!$F$9="Yes",23&gt;=Projects!$C$9,23&lt;Projects!$C$9+Projects!$D$9),Projects!$B$9*(1-SUMPRODUCT((Curves!$B$2:$AO$2)*(COLUMN(Curves!$B$2:$AO$2)-COLUMN(Curves!$B$2)+1&lt;=23-Projects!$C$9+1))),0)</f>
        <v>4596546.0215556</v>
      </c>
      <c r="Z12" s="271" t="n">
        <f aca="false">IF(AND(Projects!$G$9="Yes",Projects!$F$9="Yes",24&gt;=Projects!$C$9,24&lt;Projects!$C$9+Projects!$D$9),Projects!$B$9*(1-SUMPRODUCT((Curves!$B$2:$AO$2)*(COLUMN(Curves!$B$2:$AO$2)-COLUMN(Curves!$B$2)+1&lt;=24-Projects!$C$9+1))),0)</f>
        <v>0</v>
      </c>
      <c r="AA12" s="271" t="n">
        <f aca="false">IF(AND(Projects!$G$9="Yes",Projects!$F$9="Yes",25&gt;=Projects!$C$9,25&lt;Projects!$C$9+Projects!$D$9),Projects!$B$9*(1-SUMPRODUCT((Curves!$B$2:$AO$2)*(COLUMN(Curves!$B$2:$AO$2)-COLUMN(Curves!$B$2)+1&lt;=25-Projects!$C$9+1))),0)</f>
        <v>0</v>
      </c>
      <c r="AB12" s="271" t="n">
        <f aca="false">IF(AND(Projects!$G$9="Yes",Projects!$F$9="Yes",26&gt;=Projects!$C$9,26&lt;Projects!$C$9+Projects!$D$9),Projects!$B$9*(1-SUMPRODUCT((Curves!$B$2:$AO$2)*(COLUMN(Curves!$B$2:$AO$2)-COLUMN(Curves!$B$2)+1&lt;=26-Projects!$C$9+1))),0)</f>
        <v>0</v>
      </c>
      <c r="AC12" s="271" t="n">
        <f aca="false">IF(AND(Projects!$G$9="Yes",Projects!$F$9="Yes",27&gt;=Projects!$C$9,27&lt;Projects!$C$9+Projects!$D$9),Projects!$B$9*(1-SUMPRODUCT((Curves!$B$2:$AO$2)*(COLUMN(Curves!$B$2:$AO$2)-COLUMN(Curves!$B$2)+1&lt;=27-Projects!$C$9+1))),0)</f>
        <v>0</v>
      </c>
      <c r="AD12" s="271" t="n">
        <f aca="false">IF(AND(Projects!$G$9="Yes",Projects!$F$9="Yes",28&gt;=Projects!$C$9,28&lt;Projects!$C$9+Projects!$D$9),Projects!$B$9*(1-SUMPRODUCT((Curves!$B$2:$AO$2)*(COLUMN(Curves!$B$2:$AO$2)-COLUMN(Curves!$B$2)+1&lt;=28-Projects!$C$9+1))),0)</f>
        <v>0</v>
      </c>
      <c r="AE12" s="271" t="n">
        <f aca="false">IF(AND(Projects!$G$9="Yes",Projects!$F$9="Yes",29&gt;=Projects!$C$9,29&lt;Projects!$C$9+Projects!$D$9),Projects!$B$9*(1-SUMPRODUCT((Curves!$B$2:$AO$2)*(COLUMN(Curves!$B$2:$AO$2)-COLUMN(Curves!$B$2)+1&lt;=29-Projects!$C$9+1))),0)</f>
        <v>0</v>
      </c>
      <c r="AF12" s="271" t="n">
        <f aca="false">IF(AND(Projects!$G$9="Yes",Projects!$F$9="Yes",30&gt;=Projects!$C$9,30&lt;Projects!$C$9+Projects!$D$9),Projects!$B$9*(1-SUMPRODUCT((Curves!$B$2:$AO$2)*(COLUMN(Curves!$B$2:$AO$2)-COLUMN(Curves!$B$2)+1&lt;=30-Projects!$C$9+1))),0)</f>
        <v>0</v>
      </c>
      <c r="AG12" s="271" t="n">
        <f aca="false">IF(AND(Projects!$G$9="Yes",Projects!$F$9="Yes",31&gt;=Projects!$C$9,31&lt;Projects!$C$9+Projects!$D$9),Projects!$B$9*(1-SUMPRODUCT((Curves!$B$2:$AO$2)*(COLUMN(Curves!$B$2:$AO$2)-COLUMN(Curves!$B$2)+1&lt;=31-Projects!$C$9+1))),0)</f>
        <v>0</v>
      </c>
      <c r="AH12" s="271" t="n">
        <f aca="false">IF(AND(Projects!$G$9="Yes",Projects!$F$9="Yes",32&gt;=Projects!$C$9,32&lt;Projects!$C$9+Projects!$D$9),Projects!$B$9*(1-SUMPRODUCT((Curves!$B$2:$AO$2)*(COLUMN(Curves!$B$2:$AO$2)-COLUMN(Curves!$B$2)+1&lt;=32-Projects!$C$9+1))),0)</f>
        <v>0</v>
      </c>
      <c r="AI12" s="271" t="n">
        <f aca="false">IF(AND(Projects!$G$9="Yes",Projects!$F$9="Yes",33&gt;=Projects!$C$9,33&lt;Projects!$C$9+Projects!$D$9),Projects!$B$9*(1-SUMPRODUCT((Curves!$B$2:$AO$2)*(COLUMN(Curves!$B$2:$AO$2)-COLUMN(Curves!$B$2)+1&lt;=33-Projects!$C$9+1))),0)</f>
        <v>0</v>
      </c>
      <c r="AJ12" s="271" t="n">
        <f aca="false">IF(AND(Projects!$G$9="Yes",Projects!$F$9="Yes",34&gt;=Projects!$C$9,34&lt;Projects!$C$9+Projects!$D$9),Projects!$B$9*(1-SUMPRODUCT((Curves!$B$2:$AO$2)*(COLUMN(Curves!$B$2:$AO$2)-COLUMN(Curves!$B$2)+1&lt;=34-Projects!$C$9+1))),0)</f>
        <v>0</v>
      </c>
      <c r="AK12" s="271" t="n">
        <f aca="false">IF(AND(Projects!$G$9="Yes",Projects!$F$9="Yes",35&gt;=Projects!$C$9,35&lt;Projects!$C$9+Projects!$D$9),Projects!$B$9*(1-SUMPRODUCT((Curves!$B$2:$AO$2)*(COLUMN(Curves!$B$2:$AO$2)-COLUMN(Curves!$B$2)+1&lt;=35-Projects!$C$9+1))),0)</f>
        <v>0</v>
      </c>
      <c r="AL12" s="271" t="n">
        <f aca="false">IF(AND(Projects!$G$9="Yes",Projects!$F$9="Yes",36&gt;=Projects!$C$9,36&lt;Projects!$C$9+Projects!$D$9),Projects!$B$9*(1-SUMPRODUCT((Curves!$B$2:$AO$2)*(COLUMN(Curves!$B$2:$AO$2)-COLUMN(Curves!$B$2)+1&lt;=36-Projects!$C$9+1))),0)</f>
        <v>0</v>
      </c>
      <c r="AM12" s="271" t="n">
        <f aca="false">IF(AND(Projects!$G$9="Yes",Projects!$F$9="Yes",37&gt;=Projects!$C$9,37&lt;Projects!$C$9+Projects!$D$9),Projects!$B$9*(1-SUMPRODUCT((Curves!$B$2:$AO$2)*(COLUMN(Curves!$B$2:$AO$2)-COLUMN(Curves!$B$2)+1&lt;=37-Projects!$C$9+1))),0)</f>
        <v>0</v>
      </c>
      <c r="AN12" s="271" t="n">
        <f aca="false">IF(AND(Projects!$G$9="Yes",Projects!$F$9="Yes",38&gt;=Projects!$C$9,38&lt;Projects!$C$9+Projects!$D$9),Projects!$B$9*(1-SUMPRODUCT((Curves!$B$2:$AO$2)*(COLUMN(Curves!$B$2:$AO$2)-COLUMN(Curves!$B$2)+1&lt;=38-Projects!$C$9+1))),0)</f>
        <v>0</v>
      </c>
      <c r="AO12" s="271" t="n">
        <f aca="false">IF(AND(Projects!$G$9="Yes",Projects!$F$9="Yes",39&gt;=Projects!$C$9,39&lt;Projects!$C$9+Projects!$D$9),Projects!$B$9*(1-SUMPRODUCT((Curves!$B$2:$AO$2)*(COLUMN(Curves!$B$2:$AO$2)-COLUMN(Curves!$B$2)+1&lt;=39-Projects!$C$9+1))),0)</f>
        <v>0</v>
      </c>
      <c r="AP12" s="271" t="n">
        <f aca="false">IF(AND(Projects!$G$9="Yes",Projects!$F$9="Yes",40&gt;=Projects!$C$9,40&lt;Projects!$C$9+Projects!$D$9),Projects!$B$9*(1-SUMPRODUCT((Curves!$B$2:$AO$2)*(COLUMN(Curves!$B$2:$AO$2)-COLUMN(Curves!$B$2)+1&lt;=40-Projects!$C$9+1))),0)</f>
        <v>0</v>
      </c>
      <c r="AQ12" s="271" t="n">
        <f aca="false">IF(AND(Projects!$G$9="Yes",Projects!$F$9="Yes",41&gt;=Projects!$C$9,41&lt;Projects!$C$9+Projects!$D$9),Projects!$B$9*(1-SUMPRODUCT((Curves!$B$2:$AO$2)*(COLUMN(Curves!$B$2:$AO$2)-COLUMN(Curves!$B$2)+1&lt;=41-Projects!$C$9+1))),0)</f>
        <v>0</v>
      </c>
      <c r="AR12" s="271" t="n">
        <f aca="false">IF(AND(Projects!$G$9="Yes",Projects!$F$9="Yes",42&gt;=Projects!$C$9,42&lt;Projects!$C$9+Projects!$D$9),Projects!$B$9*(1-SUMPRODUCT((Curves!$B$2:$AO$2)*(COLUMN(Curves!$B$2:$AO$2)-COLUMN(Curves!$B$2)+1&lt;=42-Projects!$C$9+1))),0)</f>
        <v>0</v>
      </c>
      <c r="AS12" s="271" t="n">
        <f aca="false">IF(AND(Projects!$G$9="Yes",Projects!$F$9="Yes",43&gt;=Projects!$C$9,43&lt;Projects!$C$9+Projects!$D$9),Projects!$B$9*(1-SUMPRODUCT((Curves!$B$2:$AO$2)*(COLUMN(Curves!$B$2:$AO$2)-COLUMN(Curves!$B$2)+1&lt;=43-Projects!$C$9+1))),0)</f>
        <v>0</v>
      </c>
      <c r="AT12" s="271" t="n">
        <f aca="false">IF(AND(Projects!$G$9="Yes",Projects!$F$9="Yes",44&gt;=Projects!$C$9,44&lt;Projects!$C$9+Projects!$D$9),Projects!$B$9*(1-SUMPRODUCT((Curves!$B$2:$AO$2)*(COLUMN(Curves!$B$2:$AO$2)-COLUMN(Curves!$B$2)+1&lt;=44-Projects!$C$9+1))),0)</f>
        <v>0</v>
      </c>
      <c r="AU12" s="271" t="n">
        <f aca="false">IF(AND(Projects!$G$9="Yes",Projects!$F$9="Yes",45&gt;=Projects!$C$9,45&lt;Projects!$C$9+Projects!$D$9),Projects!$B$9*(1-SUMPRODUCT((Curves!$B$2:$AO$2)*(COLUMN(Curves!$B$2:$AO$2)-COLUMN(Curves!$B$2)+1&lt;=45-Projects!$C$9+1))),0)</f>
        <v>0</v>
      </c>
      <c r="AV12" s="271" t="n">
        <f aca="false">IF(AND(Projects!$G$9="Yes",Projects!$F$9="Yes",46&gt;=Projects!$C$9,46&lt;Projects!$C$9+Projects!$D$9),Projects!$B$9*(1-SUMPRODUCT((Curves!$B$2:$AO$2)*(COLUMN(Curves!$B$2:$AO$2)-COLUMN(Curves!$B$2)+1&lt;=46-Projects!$C$9+1))),0)</f>
        <v>0</v>
      </c>
      <c r="AW12" s="271" t="n">
        <f aca="false">IF(AND(Projects!$G$9="Yes",Projects!$F$9="Yes",47&gt;=Projects!$C$9,47&lt;Projects!$C$9+Projects!$D$9),Projects!$B$9*(1-SUMPRODUCT((Curves!$B$2:$AO$2)*(COLUMN(Curves!$B$2:$AO$2)-COLUMN(Curves!$B$2)+1&lt;=47-Projects!$C$9+1))),0)</f>
        <v>0</v>
      </c>
      <c r="AX12" s="271" t="n">
        <f aca="false">IF(AND(Projects!$G$9="Yes",Projects!$F$9="Yes",48&gt;=Projects!$C$9,48&lt;Projects!$C$9+Projects!$D$9),Projects!$B$9*(1-SUMPRODUCT((Curves!$B$2:$AO$2)*(COLUMN(Curves!$B$2:$AO$2)-COLUMN(Curves!$B$2)+1&lt;=48-Projects!$C$9+1))),0)</f>
        <v>0</v>
      </c>
      <c r="AY12" s="271" t="n">
        <f aca="false">IF(AND(Projects!$G$9="Yes",Projects!$F$9="Yes",49&gt;=Projects!$C$9,49&lt;Projects!$C$9+Projects!$D$9),Projects!$B$9*(1-SUMPRODUCT((Curves!$B$2:$AO$2)*(COLUMN(Curves!$B$2:$AO$2)-COLUMN(Curves!$B$2)+1&lt;=49-Projects!$C$9+1))),0)</f>
        <v>0</v>
      </c>
      <c r="AZ12" s="271" t="n">
        <f aca="false">IF(AND(Projects!$G$9="Yes",Projects!$F$9="Yes",50&gt;=Projects!$C$9,50&lt;Projects!$C$9+Projects!$D$9),Projects!$B$9*(1-SUMPRODUCT((Curves!$B$2:$AO$2)*(COLUMN(Curves!$B$2:$AO$2)-COLUMN(Curves!$B$2)+1&lt;=50-Projects!$C$9+1))),0)</f>
        <v>0</v>
      </c>
      <c r="BA12" s="271" t="n">
        <f aca="false">IF(AND(Projects!$G$9="Yes",Projects!$F$9="Yes",51&gt;=Projects!$C$9,51&lt;Projects!$C$9+Projects!$D$9),Projects!$B$9*(1-SUMPRODUCT((Curves!$B$2:$AO$2)*(COLUMN(Curves!$B$2:$AO$2)-COLUMN(Curves!$B$2)+1&lt;=51-Projects!$C$9+1))),0)</f>
        <v>0</v>
      </c>
      <c r="BB12" s="271" t="n">
        <f aca="false">IF(AND(Projects!$G$9="Yes",Projects!$F$9="Yes",52&gt;=Projects!$C$9,52&lt;Projects!$C$9+Projects!$D$9),Projects!$B$9*(1-SUMPRODUCT((Curves!$B$2:$AO$2)*(COLUMN(Curves!$B$2:$AO$2)-COLUMN(Curves!$B$2)+1&lt;=52-Projects!$C$9+1))),0)</f>
        <v>0</v>
      </c>
      <c r="BC12" s="271" t="n">
        <f aca="false">IF(AND(Projects!$G$9="Yes",Projects!$F$9="Yes",53&gt;=Projects!$C$9,53&lt;Projects!$C$9+Projects!$D$9),Projects!$B$9*(1-SUMPRODUCT((Curves!$B$2:$AO$2)*(COLUMN(Curves!$B$2:$AO$2)-COLUMN(Curves!$B$2)+1&lt;=53-Projects!$C$9+1))),0)</f>
        <v>0</v>
      </c>
      <c r="BD12" s="271" t="n">
        <f aca="false">IF(AND(Projects!$G$9="Yes",Projects!$F$9="Yes",54&gt;=Projects!$C$9,54&lt;Projects!$C$9+Projects!$D$9),Projects!$B$9*(1-SUMPRODUCT((Curves!$B$2:$AO$2)*(COLUMN(Curves!$B$2:$AO$2)-COLUMN(Curves!$B$2)+1&lt;=54-Projects!$C$9+1))),0)</f>
        <v>0</v>
      </c>
      <c r="BE12" s="271" t="n">
        <f aca="false">IF(AND(Projects!$G$9="Yes",Projects!$F$9="Yes",55&gt;=Projects!$C$9,55&lt;Projects!$C$9+Projects!$D$9),Projects!$B$9*(1-SUMPRODUCT((Curves!$B$2:$AO$2)*(COLUMN(Curves!$B$2:$AO$2)-COLUMN(Curves!$B$2)+1&lt;=55-Projects!$C$9+1))),0)</f>
        <v>0</v>
      </c>
      <c r="BF12" s="271" t="n">
        <f aca="false">IF(AND(Projects!$G$9="Yes",Projects!$F$9="Yes",56&gt;=Projects!$C$9,56&lt;Projects!$C$9+Projects!$D$9),Projects!$B$9*(1-SUMPRODUCT((Curves!$B$2:$AO$2)*(COLUMN(Curves!$B$2:$AO$2)-COLUMN(Curves!$B$2)+1&lt;=56-Projects!$C$9+1))),0)</f>
        <v>0</v>
      </c>
      <c r="BG12" s="271" t="n">
        <f aca="false">IF(AND(Projects!$G$9="Yes",Projects!$F$9="Yes",57&gt;=Projects!$C$9,57&lt;Projects!$C$9+Projects!$D$9),Projects!$B$9*(1-SUMPRODUCT((Curves!$B$2:$AO$2)*(COLUMN(Curves!$B$2:$AO$2)-COLUMN(Curves!$B$2)+1&lt;=57-Projects!$C$9+1))),0)</f>
        <v>0</v>
      </c>
      <c r="BH12" s="271" t="n">
        <f aca="false">IF(AND(Projects!$G$9="Yes",Projects!$F$9="Yes",58&gt;=Projects!$C$9,58&lt;Projects!$C$9+Projects!$D$9),Projects!$B$9*(1-SUMPRODUCT((Curves!$B$2:$AO$2)*(COLUMN(Curves!$B$2:$AO$2)-COLUMN(Curves!$B$2)+1&lt;=58-Projects!$C$9+1))),0)</f>
        <v>0</v>
      </c>
      <c r="BI12" s="271" t="n">
        <f aca="false">IF(AND(Projects!$G$9="Yes",Projects!$F$9="Yes",59&gt;=Projects!$C$9,59&lt;Projects!$C$9+Projects!$D$9),Projects!$B$9*(1-SUMPRODUCT((Curves!$B$2:$AO$2)*(COLUMN(Curves!$B$2:$AO$2)-COLUMN(Curves!$B$2)+1&lt;=59-Projects!$C$9+1))),0)</f>
        <v>0</v>
      </c>
      <c r="BJ12" s="271" t="n">
        <f aca="false">IF(AND(Projects!$G$9="Yes",Projects!$F$9="Yes",60&gt;=Projects!$C$9,60&lt;Projects!$C$9+Projects!$D$9),Projects!$B$9*(1-SUMPRODUCT((Curves!$B$2:$AO$2)*(COLUMN(Curves!$B$2:$AO$2)-COLUMN(Curves!$B$2)+1&lt;=60-Projects!$C$9+1))),0)</f>
        <v>0</v>
      </c>
      <c r="BK12" s="271" t="n">
        <f aca="false">IF(AND(Projects!$G$9="Yes",Projects!$F$9="Yes",61&gt;=Projects!$C$9,61&lt;Projects!$C$9+Projects!$D$9),Projects!$B$9*(1-SUMPRODUCT((Curves!$B$2:$AO$2)*(COLUMN(Curves!$B$2:$AO$2)-COLUMN(Curves!$B$2)+1&lt;=61-Projects!$C$9+1))),0)</f>
        <v>0</v>
      </c>
      <c r="BL12" s="271" t="n">
        <f aca="false">IF(AND(Projects!$G$9="Yes",Projects!$F$9="Yes",62&gt;=Projects!$C$9,62&lt;Projects!$C$9+Projects!$D$9),Projects!$B$9*(1-SUMPRODUCT((Curves!$B$2:$AO$2)*(COLUMN(Curves!$B$2:$AO$2)-COLUMN(Curves!$B$2)+1&lt;=62-Projects!$C$9+1))),0)</f>
        <v>0</v>
      </c>
      <c r="BM12" s="271" t="n">
        <f aca="false">IF(AND(Projects!$G$9="Yes",Projects!$F$9="Yes",63&gt;=Projects!$C$9,63&lt;Projects!$C$9+Projects!$D$9),Projects!$B$9*(1-SUMPRODUCT((Curves!$B$2:$AO$2)*(COLUMN(Curves!$B$2:$AO$2)-COLUMN(Curves!$B$2)+1&lt;=63-Projects!$C$9+1))),0)</f>
        <v>0</v>
      </c>
      <c r="BN12" s="271" t="n">
        <f aca="false">IF(AND(Projects!$G$9="Yes",Projects!$F$9="Yes",64&gt;=Projects!$C$9,64&lt;Projects!$C$9+Projects!$D$9),Projects!$B$9*(1-SUMPRODUCT((Curves!$B$2:$AO$2)*(COLUMN(Curves!$B$2:$AO$2)-COLUMN(Curves!$B$2)+1&lt;=64-Projects!$C$9+1))),0)</f>
        <v>0</v>
      </c>
      <c r="BO12" s="271" t="n">
        <f aca="false">IF(AND(Projects!$G$9="Yes",Projects!$F$9="Yes",65&gt;=Projects!$C$9,65&lt;Projects!$C$9+Projects!$D$9),Projects!$B$9*(1-SUMPRODUCT((Curves!$B$2:$AO$2)*(COLUMN(Curves!$B$2:$AO$2)-COLUMN(Curves!$B$2)+1&lt;=65-Projects!$C$9+1))),0)</f>
        <v>0</v>
      </c>
      <c r="BP12" s="271" t="n">
        <f aca="false">IF(AND(Projects!$G$9="Yes",Projects!$F$9="Yes",66&gt;=Projects!$C$9,66&lt;Projects!$C$9+Projects!$D$9),Projects!$B$9*(1-SUMPRODUCT((Curves!$B$2:$AO$2)*(COLUMN(Curves!$B$2:$AO$2)-COLUMN(Curves!$B$2)+1&lt;=66-Projects!$C$9+1))),0)</f>
        <v>0</v>
      </c>
      <c r="BQ12" s="271" t="n">
        <f aca="false">IF(AND(Projects!$G$9="Yes",Projects!$F$9="Yes",67&gt;=Projects!$C$9,67&lt;Projects!$C$9+Projects!$D$9),Projects!$B$9*(1-SUMPRODUCT((Curves!$B$2:$AO$2)*(COLUMN(Curves!$B$2:$AO$2)-COLUMN(Curves!$B$2)+1&lt;=67-Projects!$C$9+1))),0)</f>
        <v>0</v>
      </c>
      <c r="BR12" s="271" t="n">
        <f aca="false">IF(AND(Projects!$G$9="Yes",Projects!$F$9="Yes",68&gt;=Projects!$C$9,68&lt;Projects!$C$9+Projects!$D$9),Projects!$B$9*(1-SUMPRODUCT((Curves!$B$2:$AO$2)*(COLUMN(Curves!$B$2:$AO$2)-COLUMN(Curves!$B$2)+1&lt;=68-Projects!$C$9+1))),0)</f>
        <v>0</v>
      </c>
      <c r="BS12" s="271" t="n">
        <f aca="false">IF(AND(Projects!$G$9="Yes",Projects!$F$9="Yes",69&gt;=Projects!$C$9,69&lt;Projects!$C$9+Projects!$D$9),Projects!$B$9*(1-SUMPRODUCT((Curves!$B$2:$AO$2)*(COLUMN(Curves!$B$2:$AO$2)-COLUMN(Curves!$B$2)+1&lt;=69-Projects!$C$9+1))),0)</f>
        <v>0</v>
      </c>
      <c r="BT12" s="271" t="n">
        <f aca="false">IF(AND(Projects!$G$9="Yes",Projects!$F$9="Yes",70&gt;=Projects!$C$9,70&lt;Projects!$C$9+Projects!$D$9),Projects!$B$9*(1-SUMPRODUCT((Curves!$B$2:$AO$2)*(COLUMN(Curves!$B$2:$AO$2)-COLUMN(Curves!$B$2)+1&lt;=70-Projects!$C$9+1))),0)</f>
        <v>0</v>
      </c>
      <c r="BU12" s="271" t="n">
        <f aca="false">IF(AND(Projects!$G$9="Yes",Projects!$F$9="Yes",71&gt;=Projects!$C$9,71&lt;Projects!$C$9+Projects!$D$9),Projects!$B$9*(1-SUMPRODUCT((Curves!$B$2:$AO$2)*(COLUMN(Curves!$B$2:$AO$2)-COLUMN(Curves!$B$2)+1&lt;=71-Projects!$C$9+1))),0)</f>
        <v>0</v>
      </c>
      <c r="BV12" s="271" t="n">
        <f aca="false">IF(AND(Projects!$G$9="Yes",Projects!$F$9="Yes",72&gt;=Projects!$C$9,72&lt;Projects!$C$9+Projects!$D$9),Projects!$B$9*(1-SUMPRODUCT((Curves!$B$2:$AO$2)*(COLUMN(Curves!$B$2:$AO$2)-COLUMN(Curves!$B$2)+1&lt;=72-Projects!$C$9+1))),0)</f>
        <v>0</v>
      </c>
      <c r="BW12" s="271" t="n">
        <f aca="false">IF(AND(Projects!$G$9="Yes",Projects!$F$9="Yes",73&gt;=Projects!$C$9,73&lt;Projects!$C$9+Projects!$D$9),Projects!$B$9*(1-SUMPRODUCT((Curves!$B$2:$AO$2)*(COLUMN(Curves!$B$2:$AO$2)-COLUMN(Curves!$B$2)+1&lt;=73-Projects!$C$9+1))),0)</f>
        <v>0</v>
      </c>
      <c r="BX12" s="271" t="n">
        <f aca="false">IF(AND(Projects!$G$9="Yes",Projects!$F$9="Yes",74&gt;=Projects!$C$9,74&lt;Projects!$C$9+Projects!$D$9),Projects!$B$9*(1-SUMPRODUCT((Curves!$B$2:$AO$2)*(COLUMN(Curves!$B$2:$AO$2)-COLUMN(Curves!$B$2)+1&lt;=74-Projects!$C$9+1))),0)</f>
        <v>0</v>
      </c>
      <c r="BY12" s="271" t="n">
        <f aca="false">IF(AND(Projects!$G$9="Yes",Projects!$F$9="Yes",75&gt;=Projects!$C$9,75&lt;Projects!$C$9+Projects!$D$9),Projects!$B$9*(1-SUMPRODUCT((Curves!$B$2:$AO$2)*(COLUMN(Curves!$B$2:$AO$2)-COLUMN(Curves!$B$2)+1&lt;=75-Projects!$C$9+1))),0)</f>
        <v>0</v>
      </c>
      <c r="BZ12" s="271" t="n">
        <f aca="false">IF(AND(Projects!$G$9="Yes",Projects!$F$9="Yes",76&gt;=Projects!$C$9,76&lt;Projects!$C$9+Projects!$D$9),Projects!$B$9*(1-SUMPRODUCT((Curves!$B$2:$AO$2)*(COLUMN(Curves!$B$2:$AO$2)-COLUMN(Curves!$B$2)+1&lt;=76-Projects!$C$9+1))),0)</f>
        <v>0</v>
      </c>
      <c r="CA12" s="271" t="n">
        <f aca="false">IF(AND(Projects!$G$9="Yes",Projects!$F$9="Yes",77&gt;=Projects!$C$9,77&lt;Projects!$C$9+Projects!$D$9),Projects!$B$9*(1-SUMPRODUCT((Curves!$B$2:$AO$2)*(COLUMN(Curves!$B$2:$AO$2)-COLUMN(Curves!$B$2)+1&lt;=77-Projects!$C$9+1))),0)</f>
        <v>0</v>
      </c>
      <c r="CB12" s="271" t="n">
        <f aca="false">IF(AND(Projects!$G$9="Yes",Projects!$F$9="Yes",78&gt;=Projects!$C$9,78&lt;Projects!$C$9+Projects!$D$9),Projects!$B$9*(1-SUMPRODUCT((Curves!$B$2:$AO$2)*(COLUMN(Curves!$B$2:$AO$2)-COLUMN(Curves!$B$2)+1&lt;=78-Projects!$C$9+1))),0)</f>
        <v>0</v>
      </c>
      <c r="CC12" s="271" t="n">
        <f aca="false">IF(AND(Projects!$G$9="Yes",Projects!$F$9="Yes",79&gt;=Projects!$C$9,79&lt;Projects!$C$9+Projects!$D$9),Projects!$B$9*(1-SUMPRODUCT((Curves!$B$2:$AO$2)*(COLUMN(Curves!$B$2:$AO$2)-COLUMN(Curves!$B$2)+1&lt;=79-Projects!$C$9+1))),0)</f>
        <v>0</v>
      </c>
      <c r="CD12" s="271" t="n">
        <f aca="false">IF(AND(Projects!$G$9="Yes",Projects!$F$9="Yes",80&gt;=Projects!$C$9,80&lt;Projects!$C$9+Projects!$D$9),Projects!$B$9*(1-SUMPRODUCT((Curves!$B$2:$AO$2)*(COLUMN(Curves!$B$2:$AO$2)-COLUMN(Curves!$B$2)+1&lt;=80-Projects!$C$9+1))),0)</f>
        <v>0</v>
      </c>
      <c r="CE12" s="271" t="n">
        <f aca="false">IF(AND(Projects!$G$9="Yes",Projects!$F$9="Yes",81&gt;=Projects!$C$9,81&lt;Projects!$C$9+Projects!$D$9),Projects!$B$9*(1-SUMPRODUCT((Curves!$B$2:$AO$2)*(COLUMN(Curves!$B$2:$AO$2)-COLUMN(Curves!$B$2)+1&lt;=81-Projects!$C$9+1))),0)</f>
        <v>0</v>
      </c>
      <c r="CF12" s="271" t="n">
        <f aca="false">IF(AND(Projects!$G$9="Yes",Projects!$F$9="Yes",82&gt;=Projects!$C$9,82&lt;Projects!$C$9+Projects!$D$9),Projects!$B$9*(1-SUMPRODUCT((Curves!$B$2:$AO$2)*(COLUMN(Curves!$B$2:$AO$2)-COLUMN(Curves!$B$2)+1&lt;=82-Projects!$C$9+1))),0)</f>
        <v>0</v>
      </c>
      <c r="CG12" s="271" t="n">
        <f aca="false">IF(AND(Projects!$G$9="Yes",Projects!$F$9="Yes",83&gt;=Projects!$C$9,83&lt;Projects!$C$9+Projects!$D$9),Projects!$B$9*(1-SUMPRODUCT((Curves!$B$2:$AO$2)*(COLUMN(Curves!$B$2:$AO$2)-COLUMN(Curves!$B$2)+1&lt;=83-Projects!$C$9+1))),0)</f>
        <v>0</v>
      </c>
      <c r="CH12" s="271" t="n">
        <f aca="false">IF(AND(Projects!$G$9="Yes",Projects!$F$9="Yes",84&gt;=Projects!$C$9,84&lt;Projects!$C$9+Projects!$D$9),Projects!$B$9*(1-SUMPRODUCT((Curves!$B$2:$AO$2)*(COLUMN(Curves!$B$2:$AO$2)-COLUMN(Curves!$B$2)+1&lt;=84-Projects!$C$9+1))),0)</f>
        <v>0</v>
      </c>
      <c r="CI12" s="271" t="n">
        <f aca="false">IF(AND(Projects!$G$9="Yes",Projects!$F$9="Yes",85&gt;=Projects!$C$9,85&lt;Projects!$C$9+Projects!$D$9),Projects!$B$9*(1-SUMPRODUCT((Curves!$B$2:$AO$2)*(COLUMN(Curves!$B$2:$AO$2)-COLUMN(Curves!$B$2)+1&lt;=85-Projects!$C$9+1))),0)</f>
        <v>0</v>
      </c>
      <c r="CJ12" s="271" t="n">
        <f aca="false">IF(AND(Projects!$G$9="Yes",Projects!$F$9="Yes",86&gt;=Projects!$C$9,86&lt;Projects!$C$9+Projects!$D$9),Projects!$B$9*(1-SUMPRODUCT((Curves!$B$2:$AO$2)*(COLUMN(Curves!$B$2:$AO$2)-COLUMN(Curves!$B$2)+1&lt;=86-Projects!$C$9+1))),0)</f>
        <v>0</v>
      </c>
      <c r="CK12" s="271" t="n">
        <f aca="false">IF(AND(Projects!$G$9="Yes",Projects!$F$9="Yes",87&gt;=Projects!$C$9,87&lt;Projects!$C$9+Projects!$D$9),Projects!$B$9*(1-SUMPRODUCT((Curves!$B$2:$AO$2)*(COLUMN(Curves!$B$2:$AO$2)-COLUMN(Curves!$B$2)+1&lt;=87-Projects!$C$9+1))),0)</f>
        <v>0</v>
      </c>
      <c r="CL12" s="271" t="n">
        <f aca="false">IF(AND(Projects!$G$9="Yes",Projects!$F$9="Yes",88&gt;=Projects!$C$9,88&lt;Projects!$C$9+Projects!$D$9),Projects!$B$9*(1-SUMPRODUCT((Curves!$B$2:$AO$2)*(COLUMN(Curves!$B$2:$AO$2)-COLUMN(Curves!$B$2)+1&lt;=88-Projects!$C$9+1))),0)</f>
        <v>0</v>
      </c>
      <c r="CM12" s="271" t="n">
        <f aca="false">IF(AND(Projects!$G$9="Yes",Projects!$F$9="Yes",89&gt;=Projects!$C$9,89&lt;Projects!$C$9+Projects!$D$9),Projects!$B$9*(1-SUMPRODUCT((Curves!$B$2:$AO$2)*(COLUMN(Curves!$B$2:$AO$2)-COLUMN(Curves!$B$2)+1&lt;=89-Projects!$C$9+1))),0)</f>
        <v>0</v>
      </c>
      <c r="CN12" s="271" t="n">
        <f aca="false">IF(AND(Projects!$G$9="Yes",Projects!$F$9="Yes",90&gt;=Projects!$C$9,90&lt;Projects!$C$9+Projects!$D$9),Projects!$B$9*(1-SUMPRODUCT((Curves!$B$2:$AO$2)*(COLUMN(Curves!$B$2:$AO$2)-COLUMN(Curves!$B$2)+1&lt;=90-Projects!$C$9+1))),0)</f>
        <v>0</v>
      </c>
      <c r="CO12" s="271" t="n">
        <f aca="false">IF(AND(Projects!$G$9="Yes",Projects!$F$9="Yes",91&gt;=Projects!$C$9,91&lt;Projects!$C$9+Projects!$D$9),Projects!$B$9*(1-SUMPRODUCT((Curves!$B$2:$AO$2)*(COLUMN(Curves!$B$2:$AO$2)-COLUMN(Curves!$B$2)+1&lt;=91-Projects!$C$9+1))),0)</f>
        <v>0</v>
      </c>
      <c r="CP12" s="271" t="n">
        <f aca="false">IF(AND(Projects!$G$9="Yes",Projects!$F$9="Yes",92&gt;=Projects!$C$9,92&lt;Projects!$C$9+Projects!$D$9),Projects!$B$9*(1-SUMPRODUCT((Curves!$B$2:$AO$2)*(COLUMN(Curves!$B$2:$AO$2)-COLUMN(Curves!$B$2)+1&lt;=92-Projects!$C$9+1))),0)</f>
        <v>0</v>
      </c>
      <c r="CQ12" s="271" t="n">
        <f aca="false">IF(AND(Projects!$G$9="Yes",Projects!$F$9="Yes",93&gt;=Projects!$C$9,93&lt;Projects!$C$9+Projects!$D$9),Projects!$B$9*(1-SUMPRODUCT((Curves!$B$2:$AO$2)*(COLUMN(Curves!$B$2:$AO$2)-COLUMN(Curves!$B$2)+1&lt;=93-Projects!$C$9+1))),0)</f>
        <v>0</v>
      </c>
    </row>
    <row r="13" customFormat="false" ht="15" hidden="false" customHeight="true" outlineLevel="0" collapsed="false">
      <c r="A13" s="189" t="s">
        <v>15</v>
      </c>
      <c r="C13" s="271" t="n">
        <f aca="false">IF(AND(Projects!$G$10="Yes",Projects!$F$10="Yes",1&gt;=Projects!$C$10,1&lt;Projects!$C$10+Projects!$D$10),Projects!$B$10*(1-SUMPRODUCT((Curves!$B$4:$AO$4)*(COLUMN(Curves!$B$4:$AO$4)-COLUMN(Curves!$B$4)+1&lt;=1-Projects!$C$10+1))),0)</f>
        <v>0</v>
      </c>
      <c r="D13" s="271" t="n">
        <f aca="false">IF(AND(Projects!$G$10="Yes",Projects!$F$10="Yes",2&gt;=Projects!$C$10,2&lt;Projects!$C$10+Projects!$D$10),Projects!$B$10*(1-SUMPRODUCT((Curves!$B$4:$AO$4)*(COLUMN(Curves!$B$4:$AO$4)-COLUMN(Curves!$B$4)+1&lt;=2-Projects!$C$10+1))),0)</f>
        <v>0</v>
      </c>
      <c r="E13" s="271" t="n">
        <f aca="false">IF(AND(Projects!$G$10="Yes",Projects!$F$10="Yes",3&gt;=Projects!$C$10,3&lt;Projects!$C$10+Projects!$D$10),Projects!$B$10*(1-SUMPRODUCT((Curves!$B$4:$AO$4)*(COLUMN(Curves!$B$4:$AO$4)-COLUMN(Curves!$B$4)+1&lt;=3-Projects!$C$10+1))),0)</f>
        <v>0</v>
      </c>
      <c r="F13" s="271" t="n">
        <f aca="false">IF(AND(Projects!$G$10="Yes",Projects!$F$10="Yes",4&gt;=Projects!$C$10,4&lt;Projects!$C$10+Projects!$D$10),Projects!$B$10*(1-SUMPRODUCT((Curves!$B$4:$AO$4)*(COLUMN(Curves!$B$4:$AO$4)-COLUMN(Curves!$B$4)+1&lt;=4-Projects!$C$10+1))),0)</f>
        <v>0</v>
      </c>
      <c r="G13" s="271" t="n">
        <f aca="false">IF(AND(Projects!$G$10="Yes",Projects!$F$10="Yes",5&gt;=Projects!$C$10,5&lt;Projects!$C$10+Projects!$D$10),Projects!$B$10*(1-SUMPRODUCT((Curves!$B$4:$AO$4)*(COLUMN(Curves!$B$4:$AO$4)-COLUMN(Curves!$B$4)+1&lt;=5-Projects!$C$10+1))),0)</f>
        <v>0</v>
      </c>
      <c r="H13" s="271" t="n">
        <f aca="false">IF(AND(Projects!$G$10="Yes",Projects!$F$10="Yes",6&gt;=Projects!$C$10,6&lt;Projects!$C$10+Projects!$D$10),Projects!$B$10*(1-SUMPRODUCT((Curves!$B$4:$AO$4)*(COLUMN(Curves!$B$4:$AO$4)-COLUMN(Curves!$B$4)+1&lt;=6-Projects!$C$10+1))),0)</f>
        <v>0</v>
      </c>
      <c r="I13" s="271" t="n">
        <f aca="false">IF(AND(Projects!$G$10="Yes",Projects!$F$10="Yes",7&gt;=Projects!$C$10,7&lt;Projects!$C$10+Projects!$D$10),Projects!$B$10*(1-SUMPRODUCT((Curves!$B$4:$AO$4)*(COLUMN(Curves!$B$4:$AO$4)-COLUMN(Curves!$B$4)+1&lt;=7-Projects!$C$10+1))),0)</f>
        <v>0</v>
      </c>
      <c r="J13" s="271" t="n">
        <f aca="false">IF(AND(Projects!$G$10="Yes",Projects!$F$10="Yes",8&gt;=Projects!$C$10,8&lt;Projects!$C$10+Projects!$D$10),Projects!$B$10*(1-SUMPRODUCT((Curves!$B$4:$AO$4)*(COLUMN(Curves!$B$4:$AO$4)-COLUMN(Curves!$B$4)+1&lt;=8-Projects!$C$10+1))),0)</f>
        <v>0</v>
      </c>
      <c r="K13" s="271" t="n">
        <f aca="false">IF(AND(Projects!$G$10="Yes",Projects!$F$10="Yes",9&gt;=Projects!$C$10,9&lt;Projects!$C$10+Projects!$D$10),Projects!$B$10*(1-SUMPRODUCT((Curves!$B$4:$AO$4)*(COLUMN(Curves!$B$4:$AO$4)-COLUMN(Curves!$B$4)+1&lt;=9-Projects!$C$10+1))),0)</f>
        <v>0</v>
      </c>
      <c r="L13" s="271" t="n">
        <f aca="false">IF(AND(Projects!$G$10="Yes",Projects!$F$10="Yes",10&gt;=Projects!$C$10,10&lt;Projects!$C$10+Projects!$D$10),Projects!$B$10*(1-SUMPRODUCT((Curves!$B$4:$AO$4)*(COLUMN(Curves!$B$4:$AO$4)-COLUMN(Curves!$B$4)+1&lt;=10-Projects!$C$10+1))),0)</f>
        <v>0</v>
      </c>
      <c r="M13" s="271" t="n">
        <f aca="false">IF(AND(Projects!$G$10="Yes",Projects!$F$10="Yes",11&gt;=Projects!$C$10,11&lt;Projects!$C$10+Projects!$D$10),Projects!$B$10*(1-SUMPRODUCT((Curves!$B$4:$AO$4)*(COLUMN(Curves!$B$4:$AO$4)-COLUMN(Curves!$B$4)+1&lt;=11-Projects!$C$10+1))),0)</f>
        <v>0</v>
      </c>
      <c r="N13" s="271" t="n">
        <f aca="false">IF(AND(Projects!$G$10="Yes",Projects!$F$10="Yes",12&gt;=Projects!$C$10,12&lt;Projects!$C$10+Projects!$D$10),Projects!$B$10*(1-SUMPRODUCT((Curves!$B$4:$AO$4)*(COLUMN(Curves!$B$4:$AO$4)-COLUMN(Curves!$B$4)+1&lt;=12-Projects!$C$10+1))),0)</f>
        <v>0</v>
      </c>
      <c r="O13" s="271" t="n">
        <f aca="false">IF(AND(Projects!$G$10="Yes",Projects!$F$10="Yes",13&gt;=Projects!$C$10,13&lt;Projects!$C$10+Projects!$D$10),Projects!$B$10*(1-SUMPRODUCT((Curves!$B$4:$AO$4)*(COLUMN(Curves!$B$4:$AO$4)-COLUMN(Curves!$B$4)+1&lt;=13-Projects!$C$10+1))),0)</f>
        <v>0</v>
      </c>
      <c r="P13" s="271" t="n">
        <f aca="false">IF(AND(Projects!$G$10="Yes",Projects!$F$10="Yes",14&gt;=Projects!$C$10,14&lt;Projects!$C$10+Projects!$D$10),Projects!$B$10*(1-SUMPRODUCT((Curves!$B$4:$AO$4)*(COLUMN(Curves!$B$4:$AO$4)-COLUMN(Curves!$B$4)+1&lt;=14-Projects!$C$10+1))),0)</f>
        <v>0</v>
      </c>
      <c r="Q13" s="271" t="n">
        <f aca="false">IF(AND(Projects!$G$10="Yes",Projects!$F$10="Yes",15&gt;=Projects!$C$10,15&lt;Projects!$C$10+Projects!$D$10),Projects!$B$10*(1-SUMPRODUCT((Curves!$B$4:$AO$4)*(COLUMN(Curves!$B$4:$AO$4)-COLUMN(Curves!$B$4)+1&lt;=15-Projects!$C$10+1))),0)</f>
        <v>20699563.289615</v>
      </c>
      <c r="R13" s="271" t="n">
        <f aca="false">IF(AND(Projects!$G$10="Yes",Projects!$F$10="Yes",16&gt;=Projects!$C$10,16&lt;Projects!$C$10+Projects!$D$10),Projects!$B$10*(1-SUMPRODUCT((Curves!$B$4:$AO$4)*(COLUMN(Curves!$B$4:$AO$4)-COLUMN(Curves!$B$4)+1&lt;=16-Projects!$C$10+1))),0)</f>
        <v>20002952.87841</v>
      </c>
      <c r="S13" s="271" t="n">
        <f aca="false">IF(AND(Projects!$G$10="Yes",Projects!$F$10="Yes",17&gt;=Projects!$C$10,17&lt;Projects!$C$10+Projects!$D$10),Projects!$B$10*(1-SUMPRODUCT((Curves!$B$4:$AO$4)*(COLUMN(Curves!$B$4:$AO$4)-COLUMN(Curves!$B$4)+1&lt;=17-Projects!$C$10+1))),0)</f>
        <v>19163431.1222</v>
      </c>
      <c r="T13" s="271" t="n">
        <f aca="false">IF(AND(Projects!$G$10="Yes",Projects!$F$10="Yes",18&gt;=Projects!$C$10,18&lt;Projects!$C$10+Projects!$D$10),Projects!$B$10*(1-SUMPRODUCT((Curves!$B$4:$AO$4)*(COLUMN(Curves!$B$4:$AO$4)-COLUMN(Curves!$B$4)+1&lt;=18-Projects!$C$10+1))),0)</f>
        <v>18176553.96934</v>
      </c>
      <c r="U13" s="271" t="n">
        <f aca="false">IF(AND(Projects!$G$10="Yes",Projects!$F$10="Yes",19&gt;=Projects!$C$10,19&lt;Projects!$C$10+Projects!$D$10),Projects!$B$10*(1-SUMPRODUCT((Curves!$B$4:$AO$4)*(COLUMN(Curves!$B$4:$AO$4)-COLUMN(Curves!$B$4)+1&lt;=19-Projects!$C$10+1))),0)</f>
        <v>17044958.08205</v>
      </c>
      <c r="V13" s="271" t="n">
        <f aca="false">IF(AND(Projects!$G$10="Yes",Projects!$F$10="Yes",20&gt;=Projects!$C$10,20&lt;Projects!$C$10+Projects!$D$10),Projects!$B$10*(1-SUMPRODUCT((Curves!$B$4:$AO$4)*(COLUMN(Curves!$B$4:$AO$4)-COLUMN(Curves!$B$4)+1&lt;=20-Projects!$C$10+1))),0)</f>
        <v>15779317.68964</v>
      </c>
      <c r="W13" s="271" t="n">
        <f aca="false">IF(AND(Projects!$G$10="Yes",Projects!$F$10="Yes",21&gt;=Projects!$C$10,21&lt;Projects!$C$10+Projects!$D$10),Projects!$B$10*(1-SUMPRODUCT((Curves!$B$4:$AO$4)*(COLUMN(Curves!$B$4:$AO$4)-COLUMN(Curves!$B$4)+1&lt;=21-Projects!$C$10+1))),0)</f>
        <v>14398535.959155</v>
      </c>
      <c r="X13" s="271" t="n">
        <f aca="false">IF(AND(Projects!$G$10="Yes",Projects!$F$10="Yes",22&gt;=Projects!$C$10,22&lt;Projects!$C$10+Projects!$D$10),Projects!$B$10*(1-SUMPRODUCT((Curves!$B$4:$AO$4)*(COLUMN(Curves!$B$4:$AO$4)-COLUMN(Curves!$B$4)+1&lt;=22-Projects!$C$10+1))),0)</f>
        <v>12929149.620035</v>
      </c>
      <c r="Y13" s="271" t="n">
        <f aca="false">IF(AND(Projects!$G$10="Yes",Projects!$F$10="Yes",23&gt;=Projects!$C$10,23&lt;Projects!$C$10+Projects!$D$10),Projects!$B$10*(1-SUMPRODUCT((Curves!$B$4:$AO$4)*(COLUMN(Curves!$B$4:$AO$4)-COLUMN(Curves!$B$4)+1&lt;=23-Projects!$C$10+1))),0)</f>
        <v>11403883.052575</v>
      </c>
      <c r="Z13" s="271" t="n">
        <f aca="false">IF(AND(Projects!$G$10="Yes",Projects!$F$10="Yes",24&gt;=Projects!$C$10,24&lt;Projects!$C$10+Projects!$D$10),Projects!$B$10*(1-SUMPRODUCT((Curves!$B$4:$AO$4)*(COLUMN(Curves!$B$4:$AO$4)-COLUMN(Curves!$B$4)+1&lt;=24-Projects!$C$10+1))),0)</f>
        <v>9859521.947425</v>
      </c>
      <c r="AA13" s="271" t="n">
        <f aca="false">IF(AND(Projects!$G$10="Yes",Projects!$F$10="Yes",25&gt;=Projects!$C$10,25&lt;Projects!$C$10+Projects!$D$10),Projects!$B$10*(1-SUMPRODUCT((Curves!$B$4:$AO$4)*(COLUMN(Curves!$B$4:$AO$4)-COLUMN(Curves!$B$4)+1&lt;=25-Projects!$C$10+1))),0)</f>
        <v>8334255.379965</v>
      </c>
      <c r="AB13" s="271" t="n">
        <f aca="false">IF(AND(Projects!$G$10="Yes",Projects!$F$10="Yes",26&gt;=Projects!$C$10,26&lt;Projects!$C$10+Projects!$D$10),Projects!$B$10*(1-SUMPRODUCT((Curves!$B$4:$AO$4)*(COLUMN(Curves!$B$4:$AO$4)-COLUMN(Curves!$B$4)+1&lt;=26-Projects!$C$10+1))),0)</f>
        <v>6864869.040845</v>
      </c>
      <c r="AC13" s="271" t="n">
        <f aca="false">IF(AND(Projects!$G$10="Yes",Projects!$F$10="Yes",27&gt;=Projects!$C$10,27&lt;Projects!$C$10+Projects!$D$10),Projects!$B$10*(1-SUMPRODUCT((Curves!$B$4:$AO$4)*(COLUMN(Curves!$B$4:$AO$4)-COLUMN(Curves!$B$4)+1&lt;=27-Projects!$C$10+1))),0)</f>
        <v>5484087.31036</v>
      </c>
      <c r="AD13" s="271" t="n">
        <f aca="false">IF(AND(Projects!$G$10="Yes",Projects!$F$10="Yes",28&gt;=Projects!$C$10,28&lt;Projects!$C$10+Projects!$D$10),Projects!$B$10*(1-SUMPRODUCT((Curves!$B$4:$AO$4)*(COLUMN(Curves!$B$4:$AO$4)-COLUMN(Curves!$B$4)+1&lt;=28-Projects!$C$10+1))),0)</f>
        <v>4218446.91795</v>
      </c>
      <c r="AE13" s="271" t="n">
        <f aca="false">IF(AND(Projects!$G$10="Yes",Projects!$F$10="Yes",29&gt;=Projects!$C$10,29&lt;Projects!$C$10+Projects!$D$10),Projects!$B$10*(1-SUMPRODUCT((Curves!$B$4:$AO$4)*(COLUMN(Curves!$B$4:$AO$4)-COLUMN(Curves!$B$4)+1&lt;=29-Projects!$C$10+1))),0)</f>
        <v>3086851.03066</v>
      </c>
      <c r="AF13" s="271" t="n">
        <f aca="false">IF(AND(Projects!$G$10="Yes",Projects!$F$10="Yes",30&gt;=Projects!$C$10,30&lt;Projects!$C$10+Projects!$D$10),Projects!$B$10*(1-SUMPRODUCT((Curves!$B$4:$AO$4)*(COLUMN(Curves!$B$4:$AO$4)-COLUMN(Curves!$B$4)+1&lt;=30-Projects!$C$10+1))),0)</f>
        <v>2099973.8778</v>
      </c>
      <c r="AG13" s="271" t="n">
        <f aca="false">IF(AND(Projects!$G$10="Yes",Projects!$F$10="Yes",31&gt;=Projects!$C$10,31&lt;Projects!$C$10+Projects!$D$10),Projects!$B$10*(1-SUMPRODUCT((Curves!$B$4:$AO$4)*(COLUMN(Curves!$B$4:$AO$4)-COLUMN(Curves!$B$4)+1&lt;=31-Projects!$C$10+1))),0)</f>
        <v>1260452.12159</v>
      </c>
      <c r="AH13" s="271" t="n">
        <f aca="false">IF(AND(Projects!$G$10="Yes",Projects!$F$10="Yes",32&gt;=Projects!$C$10,32&lt;Projects!$C$10+Projects!$D$10),Projects!$B$10*(1-SUMPRODUCT((Curves!$B$4:$AO$4)*(COLUMN(Curves!$B$4:$AO$4)-COLUMN(Curves!$B$4)+1&lt;=32-Projects!$C$10+1))),0)</f>
        <v>563841.710385</v>
      </c>
      <c r="AI13" s="271" t="n">
        <f aca="false">IF(AND(Projects!$G$10="Yes",Projects!$F$10="Yes",33&gt;=Projects!$C$10,33&lt;Projects!$C$10+Projects!$D$10),Projects!$B$10*(1-SUMPRODUCT((Curves!$B$4:$AO$4)*(COLUMN(Curves!$B$4:$AO$4)-COLUMN(Curves!$B$4)+1&lt;=33-Projects!$C$10+1))),0)</f>
        <v>0</v>
      </c>
      <c r="AJ13" s="271" t="n">
        <f aca="false">IF(AND(Projects!$G$10="Yes",Projects!$F$10="Yes",34&gt;=Projects!$C$10,34&lt;Projects!$C$10+Projects!$D$10),Projects!$B$10*(1-SUMPRODUCT((Curves!$B$4:$AO$4)*(COLUMN(Curves!$B$4:$AO$4)-COLUMN(Curves!$B$4)+1&lt;=34-Projects!$C$10+1))),0)</f>
        <v>0</v>
      </c>
      <c r="AK13" s="271" t="n">
        <f aca="false">IF(AND(Projects!$G$10="Yes",Projects!$F$10="Yes",35&gt;=Projects!$C$10,35&lt;Projects!$C$10+Projects!$D$10),Projects!$B$10*(1-SUMPRODUCT((Curves!$B$4:$AO$4)*(COLUMN(Curves!$B$4:$AO$4)-COLUMN(Curves!$B$4)+1&lt;=35-Projects!$C$10+1))),0)</f>
        <v>0</v>
      </c>
      <c r="AL13" s="271" t="n">
        <f aca="false">IF(AND(Projects!$G$10="Yes",Projects!$F$10="Yes",36&gt;=Projects!$C$10,36&lt;Projects!$C$10+Projects!$D$10),Projects!$B$10*(1-SUMPRODUCT((Curves!$B$4:$AO$4)*(COLUMN(Curves!$B$4:$AO$4)-COLUMN(Curves!$B$4)+1&lt;=36-Projects!$C$10+1))),0)</f>
        <v>0</v>
      </c>
      <c r="AM13" s="271" t="n">
        <f aca="false">IF(AND(Projects!$G$10="Yes",Projects!$F$10="Yes",37&gt;=Projects!$C$10,37&lt;Projects!$C$10+Projects!$D$10),Projects!$B$10*(1-SUMPRODUCT((Curves!$B$4:$AO$4)*(COLUMN(Curves!$B$4:$AO$4)-COLUMN(Curves!$B$4)+1&lt;=37-Projects!$C$10+1))),0)</f>
        <v>0</v>
      </c>
      <c r="AN13" s="271" t="n">
        <f aca="false">IF(AND(Projects!$G$10="Yes",Projects!$F$10="Yes",38&gt;=Projects!$C$10,38&lt;Projects!$C$10+Projects!$D$10),Projects!$B$10*(1-SUMPRODUCT((Curves!$B$4:$AO$4)*(COLUMN(Curves!$B$4:$AO$4)-COLUMN(Curves!$B$4)+1&lt;=38-Projects!$C$10+1))),0)</f>
        <v>0</v>
      </c>
      <c r="AO13" s="271" t="n">
        <f aca="false">IF(AND(Projects!$G$10="Yes",Projects!$F$10="Yes",39&gt;=Projects!$C$10,39&lt;Projects!$C$10+Projects!$D$10),Projects!$B$10*(1-SUMPRODUCT((Curves!$B$4:$AO$4)*(COLUMN(Curves!$B$4:$AO$4)-COLUMN(Curves!$B$4)+1&lt;=39-Projects!$C$10+1))),0)</f>
        <v>0</v>
      </c>
      <c r="AP13" s="271" t="n">
        <f aca="false">IF(AND(Projects!$G$10="Yes",Projects!$F$10="Yes",40&gt;=Projects!$C$10,40&lt;Projects!$C$10+Projects!$D$10),Projects!$B$10*(1-SUMPRODUCT((Curves!$B$4:$AO$4)*(COLUMN(Curves!$B$4:$AO$4)-COLUMN(Curves!$B$4)+1&lt;=40-Projects!$C$10+1))),0)</f>
        <v>0</v>
      </c>
      <c r="AQ13" s="271" t="n">
        <f aca="false">IF(AND(Projects!$G$10="Yes",Projects!$F$10="Yes",41&gt;=Projects!$C$10,41&lt;Projects!$C$10+Projects!$D$10),Projects!$B$10*(1-SUMPRODUCT((Curves!$B$4:$AO$4)*(COLUMN(Curves!$B$4:$AO$4)-COLUMN(Curves!$B$4)+1&lt;=41-Projects!$C$10+1))),0)</f>
        <v>0</v>
      </c>
      <c r="AR13" s="271" t="n">
        <f aca="false">IF(AND(Projects!$G$10="Yes",Projects!$F$10="Yes",42&gt;=Projects!$C$10,42&lt;Projects!$C$10+Projects!$D$10),Projects!$B$10*(1-SUMPRODUCT((Curves!$B$4:$AO$4)*(COLUMN(Curves!$B$4:$AO$4)-COLUMN(Curves!$B$4)+1&lt;=42-Projects!$C$10+1))),0)</f>
        <v>0</v>
      </c>
      <c r="AS13" s="271" t="n">
        <f aca="false">IF(AND(Projects!$G$10="Yes",Projects!$F$10="Yes",43&gt;=Projects!$C$10,43&lt;Projects!$C$10+Projects!$D$10),Projects!$B$10*(1-SUMPRODUCT((Curves!$B$4:$AO$4)*(COLUMN(Curves!$B$4:$AO$4)-COLUMN(Curves!$B$4)+1&lt;=43-Projects!$C$10+1))),0)</f>
        <v>0</v>
      </c>
      <c r="AT13" s="271" t="n">
        <f aca="false">IF(AND(Projects!$G$10="Yes",Projects!$F$10="Yes",44&gt;=Projects!$C$10,44&lt;Projects!$C$10+Projects!$D$10),Projects!$B$10*(1-SUMPRODUCT((Curves!$B$4:$AO$4)*(COLUMN(Curves!$B$4:$AO$4)-COLUMN(Curves!$B$4)+1&lt;=44-Projects!$C$10+1))),0)</f>
        <v>0</v>
      </c>
      <c r="AU13" s="271" t="n">
        <f aca="false">IF(AND(Projects!$G$10="Yes",Projects!$F$10="Yes",45&gt;=Projects!$C$10,45&lt;Projects!$C$10+Projects!$D$10),Projects!$B$10*(1-SUMPRODUCT((Curves!$B$4:$AO$4)*(COLUMN(Curves!$B$4:$AO$4)-COLUMN(Curves!$B$4)+1&lt;=45-Projects!$C$10+1))),0)</f>
        <v>0</v>
      </c>
      <c r="AV13" s="271" t="n">
        <f aca="false">IF(AND(Projects!$G$10="Yes",Projects!$F$10="Yes",46&gt;=Projects!$C$10,46&lt;Projects!$C$10+Projects!$D$10),Projects!$B$10*(1-SUMPRODUCT((Curves!$B$4:$AO$4)*(COLUMN(Curves!$B$4:$AO$4)-COLUMN(Curves!$B$4)+1&lt;=46-Projects!$C$10+1))),0)</f>
        <v>0</v>
      </c>
      <c r="AW13" s="271" t="n">
        <f aca="false">IF(AND(Projects!$G$10="Yes",Projects!$F$10="Yes",47&gt;=Projects!$C$10,47&lt;Projects!$C$10+Projects!$D$10),Projects!$B$10*(1-SUMPRODUCT((Curves!$B$4:$AO$4)*(COLUMN(Curves!$B$4:$AO$4)-COLUMN(Curves!$B$4)+1&lt;=47-Projects!$C$10+1))),0)</f>
        <v>0</v>
      </c>
      <c r="AX13" s="271" t="n">
        <f aca="false">IF(AND(Projects!$G$10="Yes",Projects!$F$10="Yes",48&gt;=Projects!$C$10,48&lt;Projects!$C$10+Projects!$D$10),Projects!$B$10*(1-SUMPRODUCT((Curves!$B$4:$AO$4)*(COLUMN(Curves!$B$4:$AO$4)-COLUMN(Curves!$B$4)+1&lt;=48-Projects!$C$10+1))),0)</f>
        <v>0</v>
      </c>
      <c r="AY13" s="271" t="n">
        <f aca="false">IF(AND(Projects!$G$10="Yes",Projects!$F$10="Yes",49&gt;=Projects!$C$10,49&lt;Projects!$C$10+Projects!$D$10),Projects!$B$10*(1-SUMPRODUCT((Curves!$B$4:$AO$4)*(COLUMN(Curves!$B$4:$AO$4)-COLUMN(Curves!$B$4)+1&lt;=49-Projects!$C$10+1))),0)</f>
        <v>0</v>
      </c>
      <c r="AZ13" s="271" t="n">
        <f aca="false">IF(AND(Projects!$G$10="Yes",Projects!$F$10="Yes",50&gt;=Projects!$C$10,50&lt;Projects!$C$10+Projects!$D$10),Projects!$B$10*(1-SUMPRODUCT((Curves!$B$4:$AO$4)*(COLUMN(Curves!$B$4:$AO$4)-COLUMN(Curves!$B$4)+1&lt;=50-Projects!$C$10+1))),0)</f>
        <v>0</v>
      </c>
      <c r="BA13" s="271" t="n">
        <f aca="false">IF(AND(Projects!$G$10="Yes",Projects!$F$10="Yes",51&gt;=Projects!$C$10,51&lt;Projects!$C$10+Projects!$D$10),Projects!$B$10*(1-SUMPRODUCT((Curves!$B$4:$AO$4)*(COLUMN(Curves!$B$4:$AO$4)-COLUMN(Curves!$B$4)+1&lt;=51-Projects!$C$10+1))),0)</f>
        <v>0</v>
      </c>
      <c r="BB13" s="271" t="n">
        <f aca="false">IF(AND(Projects!$G$10="Yes",Projects!$F$10="Yes",52&gt;=Projects!$C$10,52&lt;Projects!$C$10+Projects!$D$10),Projects!$B$10*(1-SUMPRODUCT((Curves!$B$4:$AO$4)*(COLUMN(Curves!$B$4:$AO$4)-COLUMN(Curves!$B$4)+1&lt;=52-Projects!$C$10+1))),0)</f>
        <v>0</v>
      </c>
      <c r="BC13" s="271" t="n">
        <f aca="false">IF(AND(Projects!$G$10="Yes",Projects!$F$10="Yes",53&gt;=Projects!$C$10,53&lt;Projects!$C$10+Projects!$D$10),Projects!$B$10*(1-SUMPRODUCT((Curves!$B$4:$AO$4)*(COLUMN(Curves!$B$4:$AO$4)-COLUMN(Curves!$B$4)+1&lt;=53-Projects!$C$10+1))),0)</f>
        <v>0</v>
      </c>
      <c r="BD13" s="271" t="n">
        <f aca="false">IF(AND(Projects!$G$10="Yes",Projects!$F$10="Yes",54&gt;=Projects!$C$10,54&lt;Projects!$C$10+Projects!$D$10),Projects!$B$10*(1-SUMPRODUCT((Curves!$B$4:$AO$4)*(COLUMN(Curves!$B$4:$AO$4)-COLUMN(Curves!$B$4)+1&lt;=54-Projects!$C$10+1))),0)</f>
        <v>0</v>
      </c>
      <c r="BE13" s="271" t="n">
        <f aca="false">IF(AND(Projects!$G$10="Yes",Projects!$F$10="Yes",55&gt;=Projects!$C$10,55&lt;Projects!$C$10+Projects!$D$10),Projects!$B$10*(1-SUMPRODUCT((Curves!$B$4:$AO$4)*(COLUMN(Curves!$B$4:$AO$4)-COLUMN(Curves!$B$4)+1&lt;=55-Projects!$C$10+1))),0)</f>
        <v>0</v>
      </c>
      <c r="BF13" s="271" t="n">
        <f aca="false">IF(AND(Projects!$G$10="Yes",Projects!$F$10="Yes",56&gt;=Projects!$C$10,56&lt;Projects!$C$10+Projects!$D$10),Projects!$B$10*(1-SUMPRODUCT((Curves!$B$4:$AO$4)*(COLUMN(Curves!$B$4:$AO$4)-COLUMN(Curves!$B$4)+1&lt;=56-Projects!$C$10+1))),0)</f>
        <v>0</v>
      </c>
      <c r="BG13" s="271" t="n">
        <f aca="false">IF(AND(Projects!$G$10="Yes",Projects!$F$10="Yes",57&gt;=Projects!$C$10,57&lt;Projects!$C$10+Projects!$D$10),Projects!$B$10*(1-SUMPRODUCT((Curves!$B$4:$AO$4)*(COLUMN(Curves!$B$4:$AO$4)-COLUMN(Curves!$B$4)+1&lt;=57-Projects!$C$10+1))),0)</f>
        <v>0</v>
      </c>
      <c r="BH13" s="271" t="n">
        <f aca="false">IF(AND(Projects!$G$10="Yes",Projects!$F$10="Yes",58&gt;=Projects!$C$10,58&lt;Projects!$C$10+Projects!$D$10),Projects!$B$10*(1-SUMPRODUCT((Curves!$B$4:$AO$4)*(COLUMN(Curves!$B$4:$AO$4)-COLUMN(Curves!$B$4)+1&lt;=58-Projects!$C$10+1))),0)</f>
        <v>0</v>
      </c>
      <c r="BI13" s="271" t="n">
        <f aca="false">IF(AND(Projects!$G$10="Yes",Projects!$F$10="Yes",59&gt;=Projects!$C$10,59&lt;Projects!$C$10+Projects!$D$10),Projects!$B$10*(1-SUMPRODUCT((Curves!$B$4:$AO$4)*(COLUMN(Curves!$B$4:$AO$4)-COLUMN(Curves!$B$4)+1&lt;=59-Projects!$C$10+1))),0)</f>
        <v>0</v>
      </c>
      <c r="BJ13" s="271" t="n">
        <f aca="false">IF(AND(Projects!$G$10="Yes",Projects!$F$10="Yes",60&gt;=Projects!$C$10,60&lt;Projects!$C$10+Projects!$D$10),Projects!$B$10*(1-SUMPRODUCT((Curves!$B$4:$AO$4)*(COLUMN(Curves!$B$4:$AO$4)-COLUMN(Curves!$B$4)+1&lt;=60-Projects!$C$10+1))),0)</f>
        <v>0</v>
      </c>
      <c r="BK13" s="271" t="n">
        <f aca="false">IF(AND(Projects!$G$10="Yes",Projects!$F$10="Yes",61&gt;=Projects!$C$10,61&lt;Projects!$C$10+Projects!$D$10),Projects!$B$10*(1-SUMPRODUCT((Curves!$B$4:$AO$4)*(COLUMN(Curves!$B$4:$AO$4)-COLUMN(Curves!$B$4)+1&lt;=61-Projects!$C$10+1))),0)</f>
        <v>0</v>
      </c>
      <c r="BL13" s="271" t="n">
        <f aca="false">IF(AND(Projects!$G$10="Yes",Projects!$F$10="Yes",62&gt;=Projects!$C$10,62&lt;Projects!$C$10+Projects!$D$10),Projects!$B$10*(1-SUMPRODUCT((Curves!$B$4:$AO$4)*(COLUMN(Curves!$B$4:$AO$4)-COLUMN(Curves!$B$4)+1&lt;=62-Projects!$C$10+1))),0)</f>
        <v>0</v>
      </c>
      <c r="BM13" s="271" t="n">
        <f aca="false">IF(AND(Projects!$G$10="Yes",Projects!$F$10="Yes",63&gt;=Projects!$C$10,63&lt;Projects!$C$10+Projects!$D$10),Projects!$B$10*(1-SUMPRODUCT((Curves!$B$4:$AO$4)*(COLUMN(Curves!$B$4:$AO$4)-COLUMN(Curves!$B$4)+1&lt;=63-Projects!$C$10+1))),0)</f>
        <v>0</v>
      </c>
      <c r="BN13" s="271" t="n">
        <f aca="false">IF(AND(Projects!$G$10="Yes",Projects!$F$10="Yes",64&gt;=Projects!$C$10,64&lt;Projects!$C$10+Projects!$D$10),Projects!$B$10*(1-SUMPRODUCT((Curves!$B$4:$AO$4)*(COLUMN(Curves!$B$4:$AO$4)-COLUMN(Curves!$B$4)+1&lt;=64-Projects!$C$10+1))),0)</f>
        <v>0</v>
      </c>
      <c r="BO13" s="271" t="n">
        <f aca="false">IF(AND(Projects!$G$10="Yes",Projects!$F$10="Yes",65&gt;=Projects!$C$10,65&lt;Projects!$C$10+Projects!$D$10),Projects!$B$10*(1-SUMPRODUCT((Curves!$B$4:$AO$4)*(COLUMN(Curves!$B$4:$AO$4)-COLUMN(Curves!$B$4)+1&lt;=65-Projects!$C$10+1))),0)</f>
        <v>0</v>
      </c>
      <c r="BP13" s="271" t="n">
        <f aca="false">IF(AND(Projects!$G$10="Yes",Projects!$F$10="Yes",66&gt;=Projects!$C$10,66&lt;Projects!$C$10+Projects!$D$10),Projects!$B$10*(1-SUMPRODUCT((Curves!$B$4:$AO$4)*(COLUMN(Curves!$B$4:$AO$4)-COLUMN(Curves!$B$4)+1&lt;=66-Projects!$C$10+1))),0)</f>
        <v>0</v>
      </c>
      <c r="BQ13" s="271" t="n">
        <f aca="false">IF(AND(Projects!$G$10="Yes",Projects!$F$10="Yes",67&gt;=Projects!$C$10,67&lt;Projects!$C$10+Projects!$D$10),Projects!$B$10*(1-SUMPRODUCT((Curves!$B$4:$AO$4)*(COLUMN(Curves!$B$4:$AO$4)-COLUMN(Curves!$B$4)+1&lt;=67-Projects!$C$10+1))),0)</f>
        <v>0</v>
      </c>
      <c r="BR13" s="271" t="n">
        <f aca="false">IF(AND(Projects!$G$10="Yes",Projects!$F$10="Yes",68&gt;=Projects!$C$10,68&lt;Projects!$C$10+Projects!$D$10),Projects!$B$10*(1-SUMPRODUCT((Curves!$B$4:$AO$4)*(COLUMN(Curves!$B$4:$AO$4)-COLUMN(Curves!$B$4)+1&lt;=68-Projects!$C$10+1))),0)</f>
        <v>0</v>
      </c>
      <c r="BS13" s="271" t="n">
        <f aca="false">IF(AND(Projects!$G$10="Yes",Projects!$F$10="Yes",69&gt;=Projects!$C$10,69&lt;Projects!$C$10+Projects!$D$10),Projects!$B$10*(1-SUMPRODUCT((Curves!$B$4:$AO$4)*(COLUMN(Curves!$B$4:$AO$4)-COLUMN(Curves!$B$4)+1&lt;=69-Projects!$C$10+1))),0)</f>
        <v>0</v>
      </c>
      <c r="BT13" s="271" t="n">
        <f aca="false">IF(AND(Projects!$G$10="Yes",Projects!$F$10="Yes",70&gt;=Projects!$C$10,70&lt;Projects!$C$10+Projects!$D$10),Projects!$B$10*(1-SUMPRODUCT((Curves!$B$4:$AO$4)*(COLUMN(Curves!$B$4:$AO$4)-COLUMN(Curves!$B$4)+1&lt;=70-Projects!$C$10+1))),0)</f>
        <v>0</v>
      </c>
      <c r="BU13" s="271" t="n">
        <f aca="false">IF(AND(Projects!$G$10="Yes",Projects!$F$10="Yes",71&gt;=Projects!$C$10,71&lt;Projects!$C$10+Projects!$D$10),Projects!$B$10*(1-SUMPRODUCT((Curves!$B$4:$AO$4)*(COLUMN(Curves!$B$4:$AO$4)-COLUMN(Curves!$B$4)+1&lt;=71-Projects!$C$10+1))),0)</f>
        <v>0</v>
      </c>
      <c r="BV13" s="271" t="n">
        <f aca="false">IF(AND(Projects!$G$10="Yes",Projects!$F$10="Yes",72&gt;=Projects!$C$10,72&lt;Projects!$C$10+Projects!$D$10),Projects!$B$10*(1-SUMPRODUCT((Curves!$B$4:$AO$4)*(COLUMN(Curves!$B$4:$AO$4)-COLUMN(Curves!$B$4)+1&lt;=72-Projects!$C$10+1))),0)</f>
        <v>0</v>
      </c>
      <c r="BW13" s="271" t="n">
        <f aca="false">IF(AND(Projects!$G$10="Yes",Projects!$F$10="Yes",73&gt;=Projects!$C$10,73&lt;Projects!$C$10+Projects!$D$10),Projects!$B$10*(1-SUMPRODUCT((Curves!$B$4:$AO$4)*(COLUMN(Curves!$B$4:$AO$4)-COLUMN(Curves!$B$4)+1&lt;=73-Projects!$C$10+1))),0)</f>
        <v>0</v>
      </c>
      <c r="BX13" s="271" t="n">
        <f aca="false">IF(AND(Projects!$G$10="Yes",Projects!$F$10="Yes",74&gt;=Projects!$C$10,74&lt;Projects!$C$10+Projects!$D$10),Projects!$B$10*(1-SUMPRODUCT((Curves!$B$4:$AO$4)*(COLUMN(Curves!$B$4:$AO$4)-COLUMN(Curves!$B$4)+1&lt;=74-Projects!$C$10+1))),0)</f>
        <v>0</v>
      </c>
      <c r="BY13" s="271" t="n">
        <f aca="false">IF(AND(Projects!$G$10="Yes",Projects!$F$10="Yes",75&gt;=Projects!$C$10,75&lt;Projects!$C$10+Projects!$D$10),Projects!$B$10*(1-SUMPRODUCT((Curves!$B$4:$AO$4)*(COLUMN(Curves!$B$4:$AO$4)-COLUMN(Curves!$B$4)+1&lt;=75-Projects!$C$10+1))),0)</f>
        <v>0</v>
      </c>
      <c r="BZ13" s="271" t="n">
        <f aca="false">IF(AND(Projects!$G$10="Yes",Projects!$F$10="Yes",76&gt;=Projects!$C$10,76&lt;Projects!$C$10+Projects!$D$10),Projects!$B$10*(1-SUMPRODUCT((Curves!$B$4:$AO$4)*(COLUMN(Curves!$B$4:$AO$4)-COLUMN(Curves!$B$4)+1&lt;=76-Projects!$C$10+1))),0)</f>
        <v>0</v>
      </c>
      <c r="CA13" s="271" t="n">
        <f aca="false">IF(AND(Projects!$G$10="Yes",Projects!$F$10="Yes",77&gt;=Projects!$C$10,77&lt;Projects!$C$10+Projects!$D$10),Projects!$B$10*(1-SUMPRODUCT((Curves!$B$4:$AO$4)*(COLUMN(Curves!$B$4:$AO$4)-COLUMN(Curves!$B$4)+1&lt;=77-Projects!$C$10+1))),0)</f>
        <v>0</v>
      </c>
      <c r="CB13" s="271" t="n">
        <f aca="false">IF(AND(Projects!$G$10="Yes",Projects!$F$10="Yes",78&gt;=Projects!$C$10,78&lt;Projects!$C$10+Projects!$D$10),Projects!$B$10*(1-SUMPRODUCT((Curves!$B$4:$AO$4)*(COLUMN(Curves!$B$4:$AO$4)-COLUMN(Curves!$B$4)+1&lt;=78-Projects!$C$10+1))),0)</f>
        <v>0</v>
      </c>
      <c r="CC13" s="271" t="n">
        <f aca="false">IF(AND(Projects!$G$10="Yes",Projects!$F$10="Yes",79&gt;=Projects!$C$10,79&lt;Projects!$C$10+Projects!$D$10),Projects!$B$10*(1-SUMPRODUCT((Curves!$B$4:$AO$4)*(COLUMN(Curves!$B$4:$AO$4)-COLUMN(Curves!$B$4)+1&lt;=79-Projects!$C$10+1))),0)</f>
        <v>0</v>
      </c>
      <c r="CD13" s="271" t="n">
        <f aca="false">IF(AND(Projects!$G$10="Yes",Projects!$F$10="Yes",80&gt;=Projects!$C$10,80&lt;Projects!$C$10+Projects!$D$10),Projects!$B$10*(1-SUMPRODUCT((Curves!$B$4:$AO$4)*(COLUMN(Curves!$B$4:$AO$4)-COLUMN(Curves!$B$4)+1&lt;=80-Projects!$C$10+1))),0)</f>
        <v>0</v>
      </c>
      <c r="CE13" s="271" t="n">
        <f aca="false">IF(AND(Projects!$G$10="Yes",Projects!$F$10="Yes",81&gt;=Projects!$C$10,81&lt;Projects!$C$10+Projects!$D$10),Projects!$B$10*(1-SUMPRODUCT((Curves!$B$4:$AO$4)*(COLUMN(Curves!$B$4:$AO$4)-COLUMN(Curves!$B$4)+1&lt;=81-Projects!$C$10+1))),0)</f>
        <v>0</v>
      </c>
      <c r="CF13" s="271" t="n">
        <f aca="false">IF(AND(Projects!$G$10="Yes",Projects!$F$10="Yes",82&gt;=Projects!$C$10,82&lt;Projects!$C$10+Projects!$D$10),Projects!$B$10*(1-SUMPRODUCT((Curves!$B$4:$AO$4)*(COLUMN(Curves!$B$4:$AO$4)-COLUMN(Curves!$B$4)+1&lt;=82-Projects!$C$10+1))),0)</f>
        <v>0</v>
      </c>
      <c r="CG13" s="271" t="n">
        <f aca="false">IF(AND(Projects!$G$10="Yes",Projects!$F$10="Yes",83&gt;=Projects!$C$10,83&lt;Projects!$C$10+Projects!$D$10),Projects!$B$10*(1-SUMPRODUCT((Curves!$B$4:$AO$4)*(COLUMN(Curves!$B$4:$AO$4)-COLUMN(Curves!$B$4)+1&lt;=83-Projects!$C$10+1))),0)</f>
        <v>0</v>
      </c>
      <c r="CH13" s="271" t="n">
        <f aca="false">IF(AND(Projects!$G$10="Yes",Projects!$F$10="Yes",84&gt;=Projects!$C$10,84&lt;Projects!$C$10+Projects!$D$10),Projects!$B$10*(1-SUMPRODUCT((Curves!$B$4:$AO$4)*(COLUMN(Curves!$B$4:$AO$4)-COLUMN(Curves!$B$4)+1&lt;=84-Projects!$C$10+1))),0)</f>
        <v>0</v>
      </c>
      <c r="CI13" s="271" t="n">
        <f aca="false">IF(AND(Projects!$G$10="Yes",Projects!$F$10="Yes",85&gt;=Projects!$C$10,85&lt;Projects!$C$10+Projects!$D$10),Projects!$B$10*(1-SUMPRODUCT((Curves!$B$4:$AO$4)*(COLUMN(Curves!$B$4:$AO$4)-COLUMN(Curves!$B$4)+1&lt;=85-Projects!$C$10+1))),0)</f>
        <v>0</v>
      </c>
      <c r="CJ13" s="271" t="n">
        <f aca="false">IF(AND(Projects!$G$10="Yes",Projects!$F$10="Yes",86&gt;=Projects!$C$10,86&lt;Projects!$C$10+Projects!$D$10),Projects!$B$10*(1-SUMPRODUCT((Curves!$B$4:$AO$4)*(COLUMN(Curves!$B$4:$AO$4)-COLUMN(Curves!$B$4)+1&lt;=86-Projects!$C$10+1))),0)</f>
        <v>0</v>
      </c>
      <c r="CK13" s="271" t="n">
        <f aca="false">IF(AND(Projects!$G$10="Yes",Projects!$F$10="Yes",87&gt;=Projects!$C$10,87&lt;Projects!$C$10+Projects!$D$10),Projects!$B$10*(1-SUMPRODUCT((Curves!$B$4:$AO$4)*(COLUMN(Curves!$B$4:$AO$4)-COLUMN(Curves!$B$4)+1&lt;=87-Projects!$C$10+1))),0)</f>
        <v>0</v>
      </c>
      <c r="CL13" s="271" t="n">
        <f aca="false">IF(AND(Projects!$G$10="Yes",Projects!$F$10="Yes",88&gt;=Projects!$C$10,88&lt;Projects!$C$10+Projects!$D$10),Projects!$B$10*(1-SUMPRODUCT((Curves!$B$4:$AO$4)*(COLUMN(Curves!$B$4:$AO$4)-COLUMN(Curves!$B$4)+1&lt;=88-Projects!$C$10+1))),0)</f>
        <v>0</v>
      </c>
      <c r="CM13" s="271" t="n">
        <f aca="false">IF(AND(Projects!$G$10="Yes",Projects!$F$10="Yes",89&gt;=Projects!$C$10,89&lt;Projects!$C$10+Projects!$D$10),Projects!$B$10*(1-SUMPRODUCT((Curves!$B$4:$AO$4)*(COLUMN(Curves!$B$4:$AO$4)-COLUMN(Curves!$B$4)+1&lt;=89-Projects!$C$10+1))),0)</f>
        <v>0</v>
      </c>
      <c r="CN13" s="271" t="n">
        <f aca="false">IF(AND(Projects!$G$10="Yes",Projects!$F$10="Yes",90&gt;=Projects!$C$10,90&lt;Projects!$C$10+Projects!$D$10),Projects!$B$10*(1-SUMPRODUCT((Curves!$B$4:$AO$4)*(COLUMN(Curves!$B$4:$AO$4)-COLUMN(Curves!$B$4)+1&lt;=90-Projects!$C$10+1))),0)</f>
        <v>0</v>
      </c>
      <c r="CO13" s="271" t="n">
        <f aca="false">IF(AND(Projects!$G$10="Yes",Projects!$F$10="Yes",91&gt;=Projects!$C$10,91&lt;Projects!$C$10+Projects!$D$10),Projects!$B$10*(1-SUMPRODUCT((Curves!$B$4:$AO$4)*(COLUMN(Curves!$B$4:$AO$4)-COLUMN(Curves!$B$4)+1&lt;=91-Projects!$C$10+1))),0)</f>
        <v>0</v>
      </c>
      <c r="CP13" s="271" t="n">
        <f aca="false">IF(AND(Projects!$G$10="Yes",Projects!$F$10="Yes",92&gt;=Projects!$C$10,92&lt;Projects!$C$10+Projects!$D$10),Projects!$B$10*(1-SUMPRODUCT((Curves!$B$4:$AO$4)*(COLUMN(Curves!$B$4:$AO$4)-COLUMN(Curves!$B$4)+1&lt;=92-Projects!$C$10+1))),0)</f>
        <v>0</v>
      </c>
      <c r="CQ13" s="271"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89" t="s">
        <v>18</v>
      </c>
      <c r="C14" s="271" t="n">
        <f aca="false">IF(AND(Projects!$G$13="Yes",Projects!$F$13="Yes",1&gt;=Projects!$C$13,1&lt;Projects!$C$13+Projects!$D$13),Projects!$B$13*(1-SUMPRODUCT((Curves!$B$2:$AO$2)*(COLUMN(Curves!$B$2:$AO$2)-COLUMN(Curves!$B$2)+1&lt;=1-Projects!$C$13+1))),0)</f>
        <v>0</v>
      </c>
      <c r="D14" s="271" t="n">
        <f aca="false">IF(AND(Projects!$G$13="Yes",Projects!$F$13="Yes",2&gt;=Projects!$C$13,2&lt;Projects!$C$13+Projects!$D$13),Projects!$B$13*(1-SUMPRODUCT((Curves!$B$2:$AO$2)*(COLUMN(Curves!$B$2:$AO$2)-COLUMN(Curves!$B$2)+1&lt;=2-Projects!$C$13+1))),0)</f>
        <v>0</v>
      </c>
      <c r="E14" s="271" t="n">
        <f aca="false">IF(AND(Projects!$G$13="Yes",Projects!$F$13="Yes",3&gt;=Projects!$C$13,3&lt;Projects!$C$13+Projects!$D$13),Projects!$B$13*(1-SUMPRODUCT((Curves!$B$2:$AO$2)*(COLUMN(Curves!$B$2:$AO$2)-COLUMN(Curves!$B$2)+1&lt;=3-Projects!$C$13+1))),0)</f>
        <v>0</v>
      </c>
      <c r="F14" s="271" t="n">
        <f aca="false">IF(AND(Projects!$G$13="Yes",Projects!$F$13="Yes",4&gt;=Projects!$C$13,4&lt;Projects!$C$13+Projects!$D$13),Projects!$B$13*(1-SUMPRODUCT((Curves!$B$2:$AO$2)*(COLUMN(Curves!$B$2:$AO$2)-COLUMN(Curves!$B$2)+1&lt;=4-Projects!$C$13+1))),0)</f>
        <v>0</v>
      </c>
      <c r="G14" s="271" t="n">
        <f aca="false">IF(AND(Projects!$G$13="Yes",Projects!$F$13="Yes",5&gt;=Projects!$C$13,5&lt;Projects!$C$13+Projects!$D$13),Projects!$B$13*(1-SUMPRODUCT((Curves!$B$2:$AO$2)*(COLUMN(Curves!$B$2:$AO$2)-COLUMN(Curves!$B$2)+1&lt;=5-Projects!$C$13+1))),0)</f>
        <v>0</v>
      </c>
      <c r="H14" s="271" t="n">
        <f aca="false">IF(AND(Projects!$G$13="Yes",Projects!$F$13="Yes",6&gt;=Projects!$C$13,6&lt;Projects!$C$13+Projects!$D$13),Projects!$B$13*(1-SUMPRODUCT((Curves!$B$2:$AO$2)*(COLUMN(Curves!$B$2:$AO$2)-COLUMN(Curves!$B$2)+1&lt;=6-Projects!$C$13+1))),0)</f>
        <v>0</v>
      </c>
      <c r="I14" s="271" t="n">
        <f aca="false">IF(AND(Projects!$G$13="Yes",Projects!$F$13="Yes",7&gt;=Projects!$C$13,7&lt;Projects!$C$13+Projects!$D$13),Projects!$B$13*(1-SUMPRODUCT((Curves!$B$2:$AO$2)*(COLUMN(Curves!$B$2:$AO$2)-COLUMN(Curves!$B$2)+1&lt;=7-Projects!$C$13+1))),0)</f>
        <v>0</v>
      </c>
      <c r="J14" s="271" t="n">
        <f aca="false">IF(AND(Projects!$G$13="Yes",Projects!$F$13="Yes",8&gt;=Projects!$C$13,8&lt;Projects!$C$13+Projects!$D$13),Projects!$B$13*(1-SUMPRODUCT((Curves!$B$2:$AO$2)*(COLUMN(Curves!$B$2:$AO$2)-COLUMN(Curves!$B$2)+1&lt;=8-Projects!$C$13+1))),0)</f>
        <v>0</v>
      </c>
      <c r="K14" s="271" t="n">
        <f aca="false">IF(AND(Projects!$G$13="Yes",Projects!$F$13="Yes",9&gt;=Projects!$C$13,9&lt;Projects!$C$13+Projects!$D$13),Projects!$B$13*(1-SUMPRODUCT((Curves!$B$2:$AO$2)*(COLUMN(Curves!$B$2:$AO$2)-COLUMN(Curves!$B$2)+1&lt;=9-Projects!$C$13+1))),0)</f>
        <v>0</v>
      </c>
      <c r="L14" s="271" t="n">
        <f aca="false">IF(AND(Projects!$G$13="Yes",Projects!$F$13="Yes",10&gt;=Projects!$C$13,10&lt;Projects!$C$13+Projects!$D$13),Projects!$B$13*(1-SUMPRODUCT((Curves!$B$2:$AO$2)*(COLUMN(Curves!$B$2:$AO$2)-COLUMN(Curves!$B$2)+1&lt;=10-Projects!$C$13+1))),0)</f>
        <v>0</v>
      </c>
      <c r="M14" s="271" t="n">
        <f aca="false">IF(AND(Projects!$G$13="Yes",Projects!$F$13="Yes",11&gt;=Projects!$C$13,11&lt;Projects!$C$13+Projects!$D$13),Projects!$B$13*(1-SUMPRODUCT((Curves!$B$2:$AO$2)*(COLUMN(Curves!$B$2:$AO$2)-COLUMN(Curves!$B$2)+1&lt;=11-Projects!$C$13+1))),0)</f>
        <v>0</v>
      </c>
      <c r="N14" s="271" t="n">
        <f aca="false">IF(AND(Projects!$G$13="Yes",Projects!$F$13="Yes",12&gt;=Projects!$C$13,12&lt;Projects!$C$13+Projects!$D$13),Projects!$B$13*(1-SUMPRODUCT((Curves!$B$2:$AO$2)*(COLUMN(Curves!$B$2:$AO$2)-COLUMN(Curves!$B$2)+1&lt;=12-Projects!$C$13+1))),0)</f>
        <v>0</v>
      </c>
      <c r="O14" s="271" t="n">
        <f aca="false">IF(AND(Projects!$G$13="Yes",Projects!$F$13="Yes",13&gt;=Projects!$C$13,13&lt;Projects!$C$13+Projects!$D$13),Projects!$B$13*(1-SUMPRODUCT((Curves!$B$2:$AO$2)*(COLUMN(Curves!$B$2:$AO$2)-COLUMN(Curves!$B$2)+1&lt;=13-Projects!$C$13+1))),0)</f>
        <v>0</v>
      </c>
      <c r="P14" s="271" t="n">
        <f aca="false">IF(AND(Projects!$G$13="Yes",Projects!$F$13="Yes",14&gt;=Projects!$C$13,14&lt;Projects!$C$13+Projects!$D$13),Projects!$B$13*(1-SUMPRODUCT((Curves!$B$2:$AO$2)*(COLUMN(Curves!$B$2:$AO$2)-COLUMN(Curves!$B$2)+1&lt;=14-Projects!$C$13+1))),0)</f>
        <v>0</v>
      </c>
      <c r="Q14" s="271" t="n">
        <f aca="false">IF(AND(Projects!$G$13="Yes",Projects!$F$13="Yes",15&gt;=Projects!$C$13,15&lt;Projects!$C$13+Projects!$D$13),Projects!$B$13*(1-SUMPRODUCT((Curves!$B$2:$AO$2)*(COLUMN(Curves!$B$2:$AO$2)-COLUMN(Curves!$B$2)+1&lt;=15-Projects!$C$13+1))),0)</f>
        <v>44537929.73623</v>
      </c>
      <c r="R14" s="271" t="n">
        <f aca="false">IF(AND(Projects!$G$13="Yes",Projects!$F$13="Yes",16&gt;=Projects!$C$13,16&lt;Projects!$C$13+Projects!$D$13),Projects!$B$13*(1-SUMPRODUCT((Curves!$B$2:$AO$2)*(COLUMN(Curves!$B$2:$AO$2)-COLUMN(Curves!$B$2)+1&lt;=16-Projects!$C$13+1))),0)</f>
        <v>43699679.68937</v>
      </c>
      <c r="S14" s="271" t="n">
        <f aca="false">IF(AND(Projects!$G$13="Yes",Projects!$F$13="Yes",17&gt;=Projects!$C$13,17&lt;Projects!$C$13+Projects!$D$13),Projects!$B$13*(1-SUMPRODUCT((Curves!$B$2:$AO$2)*(COLUMN(Curves!$B$2:$AO$2)-COLUMN(Curves!$B$2)+1&lt;=17-Projects!$C$13+1))),0)</f>
        <v>42745139.31038</v>
      </c>
      <c r="T14" s="271" t="n">
        <f aca="false">IF(AND(Projects!$G$13="Yes",Projects!$F$13="Yes",18&gt;=Projects!$C$13,18&lt;Projects!$C$13+Projects!$D$13),Projects!$B$13*(1-SUMPRODUCT((Curves!$B$2:$AO$2)*(COLUMN(Curves!$B$2:$AO$2)-COLUMN(Curves!$B$2)+1&lt;=18-Projects!$C$13+1))),0)</f>
        <v>41669012.38717</v>
      </c>
      <c r="U14" s="271" t="n">
        <f aca="false">IF(AND(Projects!$G$13="Yes",Projects!$F$13="Yes",19&gt;=Projects!$C$13,19&lt;Projects!$C$13+Projects!$D$13),Projects!$B$13*(1-SUMPRODUCT((Curves!$B$2:$AO$2)*(COLUMN(Curves!$B$2:$AO$2)-COLUMN(Curves!$B$2)+1&lt;=19-Projects!$C$13+1))),0)</f>
        <v>40467858.64522</v>
      </c>
      <c r="V14" s="271" t="n">
        <f aca="false">IF(AND(Projects!$G$13="Yes",Projects!$F$13="Yes",20&gt;=Projects!$C$13,20&lt;Projects!$C$13+Projects!$D$13),Projects!$B$13*(1-SUMPRODUCT((Curves!$B$2:$AO$2)*(COLUMN(Curves!$B$2:$AO$2)-COLUMN(Curves!$B$2)+1&lt;=20-Projects!$C$13+1))),0)</f>
        <v>39140501.14851</v>
      </c>
      <c r="W14" s="271" t="n">
        <f aca="false">IF(AND(Projects!$G$13="Yes",Projects!$F$13="Yes",21&gt;=Projects!$C$13,21&lt;Projects!$C$13+Projects!$D$13),Projects!$B$13*(1-SUMPRODUCT((Curves!$B$2:$AO$2)*(COLUMN(Curves!$B$2:$AO$2)-COLUMN(Curves!$B$2)+1&lt;=21-Projects!$C$13+1))),0)</f>
        <v>37688252.63337</v>
      </c>
      <c r="X14" s="271" t="n">
        <f aca="false">IF(AND(Projects!$G$13="Yes",Projects!$F$13="Yes",22&gt;=Projects!$C$13,22&lt;Projects!$C$13+Projects!$D$13),Projects!$B$13*(1-SUMPRODUCT((Curves!$B$2:$AO$2)*(COLUMN(Curves!$B$2:$AO$2)-COLUMN(Curves!$B$2)+1&lt;=22-Projects!$C$13+1))),0)</f>
        <v>36115141.84233</v>
      </c>
      <c r="Y14" s="271" t="n">
        <f aca="false">IF(AND(Projects!$G$13="Yes",Projects!$F$13="Yes",23&gt;=Projects!$C$13,23&lt;Projects!$C$13+Projects!$D$13),Projects!$B$13*(1-SUMPRODUCT((Curves!$B$2:$AO$2)*(COLUMN(Curves!$B$2:$AO$2)-COLUMN(Curves!$B$2)+1&lt;=23-Projects!$C$13+1))),0)</f>
        <v>34428094.5912</v>
      </c>
      <c r="Z14" s="271" t="n">
        <f aca="false">IF(AND(Projects!$G$13="Yes",Projects!$F$13="Yes",24&gt;=Projects!$C$13,24&lt;Projects!$C$13+Projects!$D$13),Projects!$B$13*(1-SUMPRODUCT((Curves!$B$2:$AO$2)*(COLUMN(Curves!$B$2:$AO$2)-COLUMN(Curves!$B$2)+1&lt;=24-Projects!$C$13+1))),0)</f>
        <v>32636797.96876</v>
      </c>
      <c r="AA14" s="271" t="n">
        <f aca="false">IF(AND(Projects!$G$13="Yes",Projects!$F$13="Yes",25&gt;=Projects!$C$13,25&lt;Projects!$C$13+Projects!$D$13),Projects!$B$13*(1-SUMPRODUCT((Curves!$B$2:$AO$2)*(COLUMN(Curves!$B$2:$AO$2)-COLUMN(Curves!$B$2)+1&lt;=25-Projects!$C$13+1))),0)</f>
        <v>30753745.60353</v>
      </c>
      <c r="AB14" s="271" t="n">
        <f aca="false">IF(AND(Projects!$G$13="Yes",Projects!$F$13="Yes",26&gt;=Projects!$C$13,26&lt;Projects!$C$13+Projects!$D$13),Projects!$B$13*(1-SUMPRODUCT((Curves!$B$2:$AO$2)*(COLUMN(Curves!$B$2:$AO$2)-COLUMN(Curves!$B$2)+1&lt;=26-Projects!$C$13+1))),0)</f>
        <v>28793920.79638</v>
      </c>
      <c r="AC14" s="271" t="n">
        <f aca="false">IF(AND(Projects!$G$13="Yes",Projects!$F$13="Yes",27&gt;=Projects!$C$13,27&lt;Projects!$C$13+Projects!$D$13),Projects!$B$13*(1-SUMPRODUCT((Curves!$B$2:$AO$2)*(COLUMN(Curves!$B$2:$AO$2)-COLUMN(Curves!$B$2)+1&lt;=27-Projects!$C$13+1))),0)</f>
        <v>26774434.38637</v>
      </c>
      <c r="AD14" s="271" t="n">
        <f aca="false">IF(AND(Projects!$G$13="Yes",Projects!$F$13="Yes",28&gt;=Projects!$C$13,28&lt;Projects!$C$13+Projects!$D$13),Projects!$B$13*(1-SUMPRODUCT((Curves!$B$2:$AO$2)*(COLUMN(Curves!$B$2:$AO$2)-COLUMN(Curves!$B$2)+1&lt;=28-Projects!$C$13+1))),0)</f>
        <v>24714207.88336</v>
      </c>
      <c r="AE14" s="271" t="n">
        <f aca="false">IF(AND(Projects!$G$13="Yes",Projects!$F$13="Yes",29&gt;=Projects!$C$13,29&lt;Projects!$C$13+Projects!$D$13),Projects!$B$13*(1-SUMPRODUCT((Curves!$B$2:$AO$2)*(COLUMN(Curves!$B$2:$AO$2)-COLUMN(Curves!$B$2)+1&lt;=29-Projects!$C$13+1))),0)</f>
        <v>22633294.46646</v>
      </c>
      <c r="AF14" s="271" t="n">
        <f aca="false">IF(AND(Projects!$G$13="Yes",Projects!$F$13="Yes",30&gt;=Projects!$C$13,30&lt;Projects!$C$13+Projects!$D$13),Projects!$B$13*(1-SUMPRODUCT((Curves!$B$2:$AO$2)*(COLUMN(Curves!$B$2:$AO$2)-COLUMN(Curves!$B$2)+1&lt;=30-Projects!$C$13+1))),0)</f>
        <v>20552381.04956</v>
      </c>
      <c r="AG14" s="271" t="n">
        <f aca="false">IF(AND(Projects!$G$13="Yes",Projects!$F$13="Yes",31&gt;=Projects!$C$13,31&lt;Projects!$C$13+Projects!$D$13),Projects!$B$13*(1-SUMPRODUCT((Curves!$B$2:$AO$2)*(COLUMN(Curves!$B$2:$AO$2)-COLUMN(Curves!$B$2)+1&lt;=31-Projects!$C$13+1))),0)</f>
        <v>18492154.54655</v>
      </c>
      <c r="AH14" s="271" t="n">
        <f aca="false">IF(AND(Projects!$G$13="Yes",Projects!$F$13="Yes",32&gt;=Projects!$C$13,32&lt;Projects!$C$13+Projects!$D$13),Projects!$B$13*(1-SUMPRODUCT((Curves!$B$2:$AO$2)*(COLUMN(Curves!$B$2:$AO$2)-COLUMN(Curves!$B$2)+1&lt;=32-Projects!$C$13+1))),0)</f>
        <v>16472668.13654</v>
      </c>
      <c r="AI14" s="271" t="n">
        <f aca="false">IF(AND(Projects!$G$13="Yes",Projects!$F$13="Yes",33&gt;=Projects!$C$13,33&lt;Projects!$C$13+Projects!$D$13),Projects!$B$13*(1-SUMPRODUCT((Curves!$B$2:$AO$2)*(COLUMN(Curves!$B$2:$AO$2)-COLUMN(Curves!$B$2)+1&lt;=33-Projects!$C$13+1))),0)</f>
        <v>14512843.32939</v>
      </c>
      <c r="AJ14" s="271" t="n">
        <f aca="false">IF(AND(Projects!$G$13="Yes",Projects!$F$13="Yes",34&gt;=Projects!$C$13,34&lt;Projects!$C$13+Projects!$D$13),Projects!$B$13*(1-SUMPRODUCT((Curves!$B$2:$AO$2)*(COLUMN(Curves!$B$2:$AO$2)-COLUMN(Curves!$B$2)+1&lt;=34-Projects!$C$13+1))),0)</f>
        <v>12629790.96416</v>
      </c>
      <c r="AK14" s="271" t="n">
        <f aca="false">IF(AND(Projects!$G$13="Yes",Projects!$F$13="Yes",35&gt;=Projects!$C$13,35&lt;Projects!$C$13+Projects!$D$13),Projects!$B$13*(1-SUMPRODUCT((Curves!$B$2:$AO$2)*(COLUMN(Curves!$B$2:$AO$2)-COLUMN(Curves!$B$2)+1&lt;=35-Projects!$C$13+1))),0)</f>
        <v>10838494.34172</v>
      </c>
      <c r="AL14" s="271" t="n">
        <f aca="false">IF(AND(Projects!$G$13="Yes",Projects!$F$13="Yes",36&gt;=Projects!$C$13,36&lt;Projects!$C$13+Projects!$D$13),Projects!$B$13*(1-SUMPRODUCT((Curves!$B$2:$AO$2)*(COLUMN(Curves!$B$2:$AO$2)-COLUMN(Curves!$B$2)+1&lt;=36-Projects!$C$13+1))),0)</f>
        <v>9151447.09059</v>
      </c>
      <c r="AM14" s="271" t="n">
        <f aca="false">IF(AND(Projects!$G$13="Yes",Projects!$F$13="Yes",37&gt;=Projects!$C$13,37&lt;Projects!$C$13+Projects!$D$13),Projects!$B$13*(1-SUMPRODUCT((Curves!$B$2:$AO$2)*(COLUMN(Curves!$B$2:$AO$2)-COLUMN(Curves!$B$2)+1&lt;=37-Projects!$C$13+1))),0)</f>
        <v>7578336.29955</v>
      </c>
      <c r="AN14" s="271" t="n">
        <f aca="false">IF(AND(Projects!$G$13="Yes",Projects!$F$13="Yes",38&gt;=Projects!$C$13,38&lt;Projects!$C$13+Projects!$D$13),Projects!$B$13*(1-SUMPRODUCT((Curves!$B$2:$AO$2)*(COLUMN(Curves!$B$2:$AO$2)-COLUMN(Curves!$B$2)+1&lt;=38-Projects!$C$13+1))),0)</f>
        <v>6126087.78441</v>
      </c>
      <c r="AO14" s="271" t="n">
        <f aca="false">IF(AND(Projects!$G$13="Yes",Projects!$F$13="Yes",39&gt;=Projects!$C$13,39&lt;Projects!$C$13+Projects!$D$13),Projects!$B$13*(1-SUMPRODUCT((Curves!$B$2:$AO$2)*(COLUMN(Curves!$B$2:$AO$2)-COLUMN(Curves!$B$2)+1&lt;=39-Projects!$C$13+1))),0)</f>
        <v>4798730.2877</v>
      </c>
      <c r="AP14" s="271" t="n">
        <f aca="false">IF(AND(Projects!$G$13="Yes",Projects!$F$13="Yes",40&gt;=Projects!$C$13,40&lt;Projects!$C$13+Projects!$D$13),Projects!$B$13*(1-SUMPRODUCT((Curves!$B$2:$AO$2)*(COLUMN(Curves!$B$2:$AO$2)-COLUMN(Curves!$B$2)+1&lt;=40-Projects!$C$13+1))),0)</f>
        <v>3597576.54575</v>
      </c>
      <c r="AQ14" s="271" t="n">
        <f aca="false">IF(AND(Projects!$G$13="Yes",Projects!$F$13="Yes",41&gt;=Projects!$C$13,41&lt;Projects!$C$13+Projects!$D$13),Projects!$B$13*(1-SUMPRODUCT((Curves!$B$2:$AO$2)*(COLUMN(Curves!$B$2:$AO$2)-COLUMN(Curves!$B$2)+1&lt;=41-Projects!$C$13+1))),0)</f>
        <v>2521449.62254</v>
      </c>
      <c r="AR14" s="271" t="n">
        <f aca="false">IF(AND(Projects!$G$13="Yes",Projects!$F$13="Yes",42&gt;=Projects!$C$13,42&lt;Projects!$C$13+Projects!$D$13),Projects!$B$13*(1-SUMPRODUCT((Curves!$B$2:$AO$2)*(COLUMN(Curves!$B$2:$AO$2)-COLUMN(Curves!$B$2)+1&lt;=42-Projects!$C$13+1))),0)</f>
        <v>1566909.24355</v>
      </c>
      <c r="AS14" s="271" t="n">
        <f aca="false">IF(AND(Projects!$G$13="Yes",Projects!$F$13="Yes",43&gt;=Projects!$C$13,43&lt;Projects!$C$13+Projects!$D$13),Projects!$B$13*(1-SUMPRODUCT((Curves!$B$2:$AO$2)*(COLUMN(Curves!$B$2:$AO$2)-COLUMN(Curves!$B$2)+1&lt;=43-Projects!$C$13+1))),0)</f>
        <v>728659.196690001</v>
      </c>
      <c r="AT14" s="271" t="n">
        <f aca="false">IF(AND(Projects!$G$13="Yes",Projects!$F$13="Yes",44&gt;=Projects!$C$13,44&lt;Projects!$C$13+Projects!$D$13),Projects!$B$13*(1-SUMPRODUCT((Curves!$B$2:$AO$2)*(COLUMN(Curves!$B$2:$AO$2)-COLUMN(Curves!$B$2)+1&lt;=44-Projects!$C$13+1))),0)</f>
        <v>-181.067079995155</v>
      </c>
      <c r="AU14" s="271" t="n">
        <f aca="false">IF(AND(Projects!$G$13="Yes",Projects!$F$13="Yes",45&gt;=Projects!$C$13,45&lt;Projects!$C$13+Projects!$D$13),Projects!$B$13*(1-SUMPRODUCT((Curves!$B$2:$AO$2)*(COLUMN(Curves!$B$2:$AO$2)-COLUMN(Curves!$B$2)+1&lt;=45-Projects!$C$13+1))),0)</f>
        <v>0</v>
      </c>
      <c r="AV14" s="271" t="n">
        <f aca="false">IF(AND(Projects!$G$13="Yes",Projects!$F$13="Yes",46&gt;=Projects!$C$13,46&lt;Projects!$C$13+Projects!$D$13),Projects!$B$13*(1-SUMPRODUCT((Curves!$B$2:$AO$2)*(COLUMN(Curves!$B$2:$AO$2)-COLUMN(Curves!$B$2)+1&lt;=46-Projects!$C$13+1))),0)</f>
        <v>0</v>
      </c>
      <c r="AW14" s="271" t="n">
        <f aca="false">IF(AND(Projects!$G$13="Yes",Projects!$F$13="Yes",47&gt;=Projects!$C$13,47&lt;Projects!$C$13+Projects!$D$13),Projects!$B$13*(1-SUMPRODUCT((Curves!$B$2:$AO$2)*(COLUMN(Curves!$B$2:$AO$2)-COLUMN(Curves!$B$2)+1&lt;=47-Projects!$C$13+1))),0)</f>
        <v>0</v>
      </c>
      <c r="AX14" s="271" t="n">
        <f aca="false">IF(AND(Projects!$G$13="Yes",Projects!$F$13="Yes",48&gt;=Projects!$C$13,48&lt;Projects!$C$13+Projects!$D$13),Projects!$B$13*(1-SUMPRODUCT((Curves!$B$2:$AO$2)*(COLUMN(Curves!$B$2:$AO$2)-COLUMN(Curves!$B$2)+1&lt;=48-Projects!$C$13+1))),0)</f>
        <v>0</v>
      </c>
      <c r="AY14" s="271" t="n">
        <f aca="false">IF(AND(Projects!$G$13="Yes",Projects!$F$13="Yes",49&gt;=Projects!$C$13,49&lt;Projects!$C$13+Projects!$D$13),Projects!$B$13*(1-SUMPRODUCT((Curves!$B$2:$AO$2)*(COLUMN(Curves!$B$2:$AO$2)-COLUMN(Curves!$B$2)+1&lt;=49-Projects!$C$13+1))),0)</f>
        <v>0</v>
      </c>
      <c r="AZ14" s="271" t="n">
        <f aca="false">IF(AND(Projects!$G$13="Yes",Projects!$F$13="Yes",50&gt;=Projects!$C$13,50&lt;Projects!$C$13+Projects!$D$13),Projects!$B$13*(1-SUMPRODUCT((Curves!$B$2:$AO$2)*(COLUMN(Curves!$B$2:$AO$2)-COLUMN(Curves!$B$2)+1&lt;=50-Projects!$C$13+1))),0)</f>
        <v>0</v>
      </c>
      <c r="BA14" s="271" t="n">
        <f aca="false">IF(AND(Projects!$G$13="Yes",Projects!$F$13="Yes",51&gt;=Projects!$C$13,51&lt;Projects!$C$13+Projects!$D$13),Projects!$B$13*(1-SUMPRODUCT((Curves!$B$2:$AO$2)*(COLUMN(Curves!$B$2:$AO$2)-COLUMN(Curves!$B$2)+1&lt;=51-Projects!$C$13+1))),0)</f>
        <v>0</v>
      </c>
      <c r="BB14" s="271" t="n">
        <f aca="false">IF(AND(Projects!$G$13="Yes",Projects!$F$13="Yes",52&gt;=Projects!$C$13,52&lt;Projects!$C$13+Projects!$D$13),Projects!$B$13*(1-SUMPRODUCT((Curves!$B$2:$AO$2)*(COLUMN(Curves!$B$2:$AO$2)-COLUMN(Curves!$B$2)+1&lt;=52-Projects!$C$13+1))),0)</f>
        <v>0</v>
      </c>
      <c r="BC14" s="271" t="n">
        <f aca="false">IF(AND(Projects!$G$13="Yes",Projects!$F$13="Yes",53&gt;=Projects!$C$13,53&lt;Projects!$C$13+Projects!$D$13),Projects!$B$13*(1-SUMPRODUCT((Curves!$B$2:$AO$2)*(COLUMN(Curves!$B$2:$AO$2)-COLUMN(Curves!$B$2)+1&lt;=53-Projects!$C$13+1))),0)</f>
        <v>0</v>
      </c>
      <c r="BD14" s="271" t="n">
        <f aca="false">IF(AND(Projects!$G$13="Yes",Projects!$F$13="Yes",54&gt;=Projects!$C$13,54&lt;Projects!$C$13+Projects!$D$13),Projects!$B$13*(1-SUMPRODUCT((Curves!$B$2:$AO$2)*(COLUMN(Curves!$B$2:$AO$2)-COLUMN(Curves!$B$2)+1&lt;=54-Projects!$C$13+1))),0)</f>
        <v>0</v>
      </c>
      <c r="BE14" s="271" t="n">
        <f aca="false">IF(AND(Projects!$G$13="Yes",Projects!$F$13="Yes",55&gt;=Projects!$C$13,55&lt;Projects!$C$13+Projects!$D$13),Projects!$B$13*(1-SUMPRODUCT((Curves!$B$2:$AO$2)*(COLUMN(Curves!$B$2:$AO$2)-COLUMN(Curves!$B$2)+1&lt;=55-Projects!$C$13+1))),0)</f>
        <v>0</v>
      </c>
      <c r="BF14" s="271" t="n">
        <f aca="false">IF(AND(Projects!$G$13="Yes",Projects!$F$13="Yes",56&gt;=Projects!$C$13,56&lt;Projects!$C$13+Projects!$D$13),Projects!$B$13*(1-SUMPRODUCT((Curves!$B$2:$AO$2)*(COLUMN(Curves!$B$2:$AO$2)-COLUMN(Curves!$B$2)+1&lt;=56-Projects!$C$13+1))),0)</f>
        <v>0</v>
      </c>
      <c r="BG14" s="271" t="n">
        <f aca="false">IF(AND(Projects!$G$13="Yes",Projects!$F$13="Yes",57&gt;=Projects!$C$13,57&lt;Projects!$C$13+Projects!$D$13),Projects!$B$13*(1-SUMPRODUCT((Curves!$B$2:$AO$2)*(COLUMN(Curves!$B$2:$AO$2)-COLUMN(Curves!$B$2)+1&lt;=57-Projects!$C$13+1))),0)</f>
        <v>0</v>
      </c>
      <c r="BH14" s="271" t="n">
        <f aca="false">IF(AND(Projects!$G$13="Yes",Projects!$F$13="Yes",58&gt;=Projects!$C$13,58&lt;Projects!$C$13+Projects!$D$13),Projects!$B$13*(1-SUMPRODUCT((Curves!$B$2:$AO$2)*(COLUMN(Curves!$B$2:$AO$2)-COLUMN(Curves!$B$2)+1&lt;=58-Projects!$C$13+1))),0)</f>
        <v>0</v>
      </c>
      <c r="BI14" s="271" t="n">
        <f aca="false">IF(AND(Projects!$G$13="Yes",Projects!$F$13="Yes",59&gt;=Projects!$C$13,59&lt;Projects!$C$13+Projects!$D$13),Projects!$B$13*(1-SUMPRODUCT((Curves!$B$2:$AO$2)*(COLUMN(Curves!$B$2:$AO$2)-COLUMN(Curves!$B$2)+1&lt;=59-Projects!$C$13+1))),0)</f>
        <v>0</v>
      </c>
      <c r="BJ14" s="271" t="n">
        <f aca="false">IF(AND(Projects!$G$13="Yes",Projects!$F$13="Yes",60&gt;=Projects!$C$13,60&lt;Projects!$C$13+Projects!$D$13),Projects!$B$13*(1-SUMPRODUCT((Curves!$B$2:$AO$2)*(COLUMN(Curves!$B$2:$AO$2)-COLUMN(Curves!$B$2)+1&lt;=60-Projects!$C$13+1))),0)</f>
        <v>0</v>
      </c>
      <c r="BK14" s="271" t="n">
        <f aca="false">IF(AND(Projects!$G$13="Yes",Projects!$F$13="Yes",61&gt;=Projects!$C$13,61&lt;Projects!$C$13+Projects!$D$13),Projects!$B$13*(1-SUMPRODUCT((Curves!$B$2:$AO$2)*(COLUMN(Curves!$B$2:$AO$2)-COLUMN(Curves!$B$2)+1&lt;=61-Projects!$C$13+1))),0)</f>
        <v>0</v>
      </c>
      <c r="BL14" s="271" t="n">
        <f aca="false">IF(AND(Projects!$G$13="Yes",Projects!$F$13="Yes",62&gt;=Projects!$C$13,62&lt;Projects!$C$13+Projects!$D$13),Projects!$B$13*(1-SUMPRODUCT((Curves!$B$2:$AO$2)*(COLUMN(Curves!$B$2:$AO$2)-COLUMN(Curves!$B$2)+1&lt;=62-Projects!$C$13+1))),0)</f>
        <v>0</v>
      </c>
      <c r="BM14" s="271" t="n">
        <f aca="false">IF(AND(Projects!$G$13="Yes",Projects!$F$13="Yes",63&gt;=Projects!$C$13,63&lt;Projects!$C$13+Projects!$D$13),Projects!$B$13*(1-SUMPRODUCT((Curves!$B$2:$AO$2)*(COLUMN(Curves!$B$2:$AO$2)-COLUMN(Curves!$B$2)+1&lt;=63-Projects!$C$13+1))),0)</f>
        <v>0</v>
      </c>
      <c r="BN14" s="271" t="n">
        <f aca="false">IF(AND(Projects!$G$13="Yes",Projects!$F$13="Yes",64&gt;=Projects!$C$13,64&lt;Projects!$C$13+Projects!$D$13),Projects!$B$13*(1-SUMPRODUCT((Curves!$B$2:$AO$2)*(COLUMN(Curves!$B$2:$AO$2)-COLUMN(Curves!$B$2)+1&lt;=64-Projects!$C$13+1))),0)</f>
        <v>0</v>
      </c>
      <c r="BO14" s="271" t="n">
        <f aca="false">IF(AND(Projects!$G$13="Yes",Projects!$F$13="Yes",65&gt;=Projects!$C$13,65&lt;Projects!$C$13+Projects!$D$13),Projects!$B$13*(1-SUMPRODUCT((Curves!$B$2:$AO$2)*(COLUMN(Curves!$B$2:$AO$2)-COLUMN(Curves!$B$2)+1&lt;=65-Projects!$C$13+1))),0)</f>
        <v>0</v>
      </c>
      <c r="BP14" s="271" t="n">
        <f aca="false">IF(AND(Projects!$G$13="Yes",Projects!$F$13="Yes",66&gt;=Projects!$C$13,66&lt;Projects!$C$13+Projects!$D$13),Projects!$B$13*(1-SUMPRODUCT((Curves!$B$2:$AO$2)*(COLUMN(Curves!$B$2:$AO$2)-COLUMN(Curves!$B$2)+1&lt;=66-Projects!$C$13+1))),0)</f>
        <v>0</v>
      </c>
      <c r="BQ14" s="271" t="n">
        <f aca="false">IF(AND(Projects!$G$13="Yes",Projects!$F$13="Yes",67&gt;=Projects!$C$13,67&lt;Projects!$C$13+Projects!$D$13),Projects!$B$13*(1-SUMPRODUCT((Curves!$B$2:$AO$2)*(COLUMN(Curves!$B$2:$AO$2)-COLUMN(Curves!$B$2)+1&lt;=67-Projects!$C$13+1))),0)</f>
        <v>0</v>
      </c>
      <c r="BR14" s="271" t="n">
        <f aca="false">IF(AND(Projects!$G$13="Yes",Projects!$F$13="Yes",68&gt;=Projects!$C$13,68&lt;Projects!$C$13+Projects!$D$13),Projects!$B$13*(1-SUMPRODUCT((Curves!$B$2:$AO$2)*(COLUMN(Curves!$B$2:$AO$2)-COLUMN(Curves!$B$2)+1&lt;=68-Projects!$C$13+1))),0)</f>
        <v>0</v>
      </c>
      <c r="BS14" s="271" t="n">
        <f aca="false">IF(AND(Projects!$G$13="Yes",Projects!$F$13="Yes",69&gt;=Projects!$C$13,69&lt;Projects!$C$13+Projects!$D$13),Projects!$B$13*(1-SUMPRODUCT((Curves!$B$2:$AO$2)*(COLUMN(Curves!$B$2:$AO$2)-COLUMN(Curves!$B$2)+1&lt;=69-Projects!$C$13+1))),0)</f>
        <v>0</v>
      </c>
      <c r="BT14" s="271" t="n">
        <f aca="false">IF(AND(Projects!$G$13="Yes",Projects!$F$13="Yes",70&gt;=Projects!$C$13,70&lt;Projects!$C$13+Projects!$D$13),Projects!$B$13*(1-SUMPRODUCT((Curves!$B$2:$AO$2)*(COLUMN(Curves!$B$2:$AO$2)-COLUMN(Curves!$B$2)+1&lt;=70-Projects!$C$13+1))),0)</f>
        <v>0</v>
      </c>
      <c r="BU14" s="271" t="n">
        <f aca="false">IF(AND(Projects!$G$13="Yes",Projects!$F$13="Yes",71&gt;=Projects!$C$13,71&lt;Projects!$C$13+Projects!$D$13),Projects!$B$13*(1-SUMPRODUCT((Curves!$B$2:$AO$2)*(COLUMN(Curves!$B$2:$AO$2)-COLUMN(Curves!$B$2)+1&lt;=71-Projects!$C$13+1))),0)</f>
        <v>0</v>
      </c>
      <c r="BV14" s="271" t="n">
        <f aca="false">IF(AND(Projects!$G$13="Yes",Projects!$F$13="Yes",72&gt;=Projects!$C$13,72&lt;Projects!$C$13+Projects!$D$13),Projects!$B$13*(1-SUMPRODUCT((Curves!$B$2:$AO$2)*(COLUMN(Curves!$B$2:$AO$2)-COLUMN(Curves!$B$2)+1&lt;=72-Projects!$C$13+1))),0)</f>
        <v>0</v>
      </c>
      <c r="BW14" s="271" t="n">
        <f aca="false">IF(AND(Projects!$G$13="Yes",Projects!$F$13="Yes",73&gt;=Projects!$C$13,73&lt;Projects!$C$13+Projects!$D$13),Projects!$B$13*(1-SUMPRODUCT((Curves!$B$2:$AO$2)*(COLUMN(Curves!$B$2:$AO$2)-COLUMN(Curves!$B$2)+1&lt;=73-Projects!$C$13+1))),0)</f>
        <v>0</v>
      </c>
      <c r="BX14" s="271" t="n">
        <f aca="false">IF(AND(Projects!$G$13="Yes",Projects!$F$13="Yes",74&gt;=Projects!$C$13,74&lt;Projects!$C$13+Projects!$D$13),Projects!$B$13*(1-SUMPRODUCT((Curves!$B$2:$AO$2)*(COLUMN(Curves!$B$2:$AO$2)-COLUMN(Curves!$B$2)+1&lt;=74-Projects!$C$13+1))),0)</f>
        <v>0</v>
      </c>
      <c r="BY14" s="271" t="n">
        <f aca="false">IF(AND(Projects!$G$13="Yes",Projects!$F$13="Yes",75&gt;=Projects!$C$13,75&lt;Projects!$C$13+Projects!$D$13),Projects!$B$13*(1-SUMPRODUCT((Curves!$B$2:$AO$2)*(COLUMN(Curves!$B$2:$AO$2)-COLUMN(Curves!$B$2)+1&lt;=75-Projects!$C$13+1))),0)</f>
        <v>0</v>
      </c>
      <c r="BZ14" s="271" t="n">
        <f aca="false">IF(AND(Projects!$G$13="Yes",Projects!$F$13="Yes",76&gt;=Projects!$C$13,76&lt;Projects!$C$13+Projects!$D$13),Projects!$B$13*(1-SUMPRODUCT((Curves!$B$2:$AO$2)*(COLUMN(Curves!$B$2:$AO$2)-COLUMN(Curves!$B$2)+1&lt;=76-Projects!$C$13+1))),0)</f>
        <v>0</v>
      </c>
      <c r="CA14" s="271" t="n">
        <f aca="false">IF(AND(Projects!$G$13="Yes",Projects!$F$13="Yes",77&gt;=Projects!$C$13,77&lt;Projects!$C$13+Projects!$D$13),Projects!$B$13*(1-SUMPRODUCT((Curves!$B$2:$AO$2)*(COLUMN(Curves!$B$2:$AO$2)-COLUMN(Curves!$B$2)+1&lt;=77-Projects!$C$13+1))),0)</f>
        <v>0</v>
      </c>
      <c r="CB14" s="271" t="n">
        <f aca="false">IF(AND(Projects!$G$13="Yes",Projects!$F$13="Yes",78&gt;=Projects!$C$13,78&lt;Projects!$C$13+Projects!$D$13),Projects!$B$13*(1-SUMPRODUCT((Curves!$B$2:$AO$2)*(COLUMN(Curves!$B$2:$AO$2)-COLUMN(Curves!$B$2)+1&lt;=78-Projects!$C$13+1))),0)</f>
        <v>0</v>
      </c>
      <c r="CC14" s="271" t="n">
        <f aca="false">IF(AND(Projects!$G$13="Yes",Projects!$F$13="Yes",79&gt;=Projects!$C$13,79&lt;Projects!$C$13+Projects!$D$13),Projects!$B$13*(1-SUMPRODUCT((Curves!$B$2:$AO$2)*(COLUMN(Curves!$B$2:$AO$2)-COLUMN(Curves!$B$2)+1&lt;=79-Projects!$C$13+1))),0)</f>
        <v>0</v>
      </c>
      <c r="CD14" s="271" t="n">
        <f aca="false">IF(AND(Projects!$G$13="Yes",Projects!$F$13="Yes",80&gt;=Projects!$C$13,80&lt;Projects!$C$13+Projects!$D$13),Projects!$B$13*(1-SUMPRODUCT((Curves!$B$2:$AO$2)*(COLUMN(Curves!$B$2:$AO$2)-COLUMN(Curves!$B$2)+1&lt;=80-Projects!$C$13+1))),0)</f>
        <v>0</v>
      </c>
      <c r="CE14" s="271" t="n">
        <f aca="false">IF(AND(Projects!$G$13="Yes",Projects!$F$13="Yes",81&gt;=Projects!$C$13,81&lt;Projects!$C$13+Projects!$D$13),Projects!$B$13*(1-SUMPRODUCT((Curves!$B$2:$AO$2)*(COLUMN(Curves!$B$2:$AO$2)-COLUMN(Curves!$B$2)+1&lt;=81-Projects!$C$13+1))),0)</f>
        <v>0</v>
      </c>
      <c r="CF14" s="271" t="n">
        <f aca="false">IF(AND(Projects!$G$13="Yes",Projects!$F$13="Yes",82&gt;=Projects!$C$13,82&lt;Projects!$C$13+Projects!$D$13),Projects!$B$13*(1-SUMPRODUCT((Curves!$B$2:$AO$2)*(COLUMN(Curves!$B$2:$AO$2)-COLUMN(Curves!$B$2)+1&lt;=82-Projects!$C$13+1))),0)</f>
        <v>0</v>
      </c>
      <c r="CG14" s="271" t="n">
        <f aca="false">IF(AND(Projects!$G$13="Yes",Projects!$F$13="Yes",83&gt;=Projects!$C$13,83&lt;Projects!$C$13+Projects!$D$13),Projects!$B$13*(1-SUMPRODUCT((Curves!$B$2:$AO$2)*(COLUMN(Curves!$B$2:$AO$2)-COLUMN(Curves!$B$2)+1&lt;=83-Projects!$C$13+1))),0)</f>
        <v>0</v>
      </c>
      <c r="CH14" s="271" t="n">
        <f aca="false">IF(AND(Projects!$G$13="Yes",Projects!$F$13="Yes",84&gt;=Projects!$C$13,84&lt;Projects!$C$13+Projects!$D$13),Projects!$B$13*(1-SUMPRODUCT((Curves!$B$2:$AO$2)*(COLUMN(Curves!$B$2:$AO$2)-COLUMN(Curves!$B$2)+1&lt;=84-Projects!$C$13+1))),0)</f>
        <v>0</v>
      </c>
      <c r="CI14" s="271" t="n">
        <f aca="false">IF(AND(Projects!$G$13="Yes",Projects!$F$13="Yes",85&gt;=Projects!$C$13,85&lt;Projects!$C$13+Projects!$D$13),Projects!$B$13*(1-SUMPRODUCT((Curves!$B$2:$AO$2)*(COLUMN(Curves!$B$2:$AO$2)-COLUMN(Curves!$B$2)+1&lt;=85-Projects!$C$13+1))),0)</f>
        <v>0</v>
      </c>
      <c r="CJ14" s="271" t="n">
        <f aca="false">IF(AND(Projects!$G$13="Yes",Projects!$F$13="Yes",86&gt;=Projects!$C$13,86&lt;Projects!$C$13+Projects!$D$13),Projects!$B$13*(1-SUMPRODUCT((Curves!$B$2:$AO$2)*(COLUMN(Curves!$B$2:$AO$2)-COLUMN(Curves!$B$2)+1&lt;=86-Projects!$C$13+1))),0)</f>
        <v>0</v>
      </c>
      <c r="CK14" s="271" t="n">
        <f aca="false">IF(AND(Projects!$G$13="Yes",Projects!$F$13="Yes",87&gt;=Projects!$C$13,87&lt;Projects!$C$13+Projects!$D$13),Projects!$B$13*(1-SUMPRODUCT((Curves!$B$2:$AO$2)*(COLUMN(Curves!$B$2:$AO$2)-COLUMN(Curves!$B$2)+1&lt;=87-Projects!$C$13+1))),0)</f>
        <v>0</v>
      </c>
      <c r="CL14" s="271" t="n">
        <f aca="false">IF(AND(Projects!$G$13="Yes",Projects!$F$13="Yes",88&gt;=Projects!$C$13,88&lt;Projects!$C$13+Projects!$D$13),Projects!$B$13*(1-SUMPRODUCT((Curves!$B$2:$AO$2)*(COLUMN(Curves!$B$2:$AO$2)-COLUMN(Curves!$B$2)+1&lt;=88-Projects!$C$13+1))),0)</f>
        <v>0</v>
      </c>
      <c r="CM14" s="271" t="n">
        <f aca="false">IF(AND(Projects!$G$13="Yes",Projects!$F$13="Yes",89&gt;=Projects!$C$13,89&lt;Projects!$C$13+Projects!$D$13),Projects!$B$13*(1-SUMPRODUCT((Curves!$B$2:$AO$2)*(COLUMN(Curves!$B$2:$AO$2)-COLUMN(Curves!$B$2)+1&lt;=89-Projects!$C$13+1))),0)</f>
        <v>0</v>
      </c>
      <c r="CN14" s="271" t="n">
        <f aca="false">IF(AND(Projects!$G$13="Yes",Projects!$F$13="Yes",90&gt;=Projects!$C$13,90&lt;Projects!$C$13+Projects!$D$13),Projects!$B$13*(1-SUMPRODUCT((Curves!$B$2:$AO$2)*(COLUMN(Curves!$B$2:$AO$2)-COLUMN(Curves!$B$2)+1&lt;=90-Projects!$C$13+1))),0)</f>
        <v>0</v>
      </c>
      <c r="CO14" s="271" t="n">
        <f aca="false">IF(AND(Projects!$G$13="Yes",Projects!$F$13="Yes",91&gt;=Projects!$C$13,91&lt;Projects!$C$13+Projects!$D$13),Projects!$B$13*(1-SUMPRODUCT((Curves!$B$2:$AO$2)*(COLUMN(Curves!$B$2:$AO$2)-COLUMN(Curves!$B$2)+1&lt;=91-Projects!$C$13+1))),0)</f>
        <v>0</v>
      </c>
      <c r="CP14" s="271" t="n">
        <f aca="false">IF(AND(Projects!$G$13="Yes",Projects!$F$13="Yes",92&gt;=Projects!$C$13,92&lt;Projects!$C$13+Projects!$D$13),Projects!$B$13*(1-SUMPRODUCT((Curves!$B$2:$AO$2)*(COLUMN(Curves!$B$2:$AO$2)-COLUMN(Curves!$B$2)+1&lt;=92-Projects!$C$13+1))),0)</f>
        <v>0</v>
      </c>
      <c r="CQ14" s="271"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89" t="s">
        <v>19</v>
      </c>
      <c r="C15" s="271" t="n">
        <f aca="false">IF(AND(Projects!$G$14="Yes",Projects!$F$14="Yes",1&gt;=Projects!$C$14,1&lt;Projects!$C$14+Projects!$D$14),Projects!$B$14*(1-SUMPRODUCT((Curves!$B$2:$AO$2)*(COLUMN(Curves!$B$2:$AO$2)-COLUMN(Curves!$B$2)+1&lt;=1-Projects!$C$14+1))),0)</f>
        <v>0</v>
      </c>
      <c r="D15" s="271" t="n">
        <f aca="false">IF(AND(Projects!$G$14="Yes",Projects!$F$14="Yes",2&gt;=Projects!$C$14,2&lt;Projects!$C$14+Projects!$D$14),Projects!$B$14*(1-SUMPRODUCT((Curves!$B$2:$AO$2)*(COLUMN(Curves!$B$2:$AO$2)-COLUMN(Curves!$B$2)+1&lt;=2-Projects!$C$14+1))),0)</f>
        <v>0</v>
      </c>
      <c r="E15" s="271" t="n">
        <f aca="false">IF(AND(Projects!$G$14="Yes",Projects!$F$14="Yes",3&gt;=Projects!$C$14,3&lt;Projects!$C$14+Projects!$D$14),Projects!$B$14*(1-SUMPRODUCT((Curves!$B$2:$AO$2)*(COLUMN(Curves!$B$2:$AO$2)-COLUMN(Curves!$B$2)+1&lt;=3-Projects!$C$14+1))),0)</f>
        <v>0</v>
      </c>
      <c r="F15" s="271" t="n">
        <f aca="false">IF(AND(Projects!$G$14="Yes",Projects!$F$14="Yes",4&gt;=Projects!$C$14,4&lt;Projects!$C$14+Projects!$D$14),Projects!$B$14*(1-SUMPRODUCT((Curves!$B$2:$AO$2)*(COLUMN(Curves!$B$2:$AO$2)-COLUMN(Curves!$B$2)+1&lt;=4-Projects!$C$14+1))),0)</f>
        <v>0</v>
      </c>
      <c r="G15" s="271" t="n">
        <f aca="false">IF(AND(Projects!$G$14="Yes",Projects!$F$14="Yes",5&gt;=Projects!$C$14,5&lt;Projects!$C$14+Projects!$D$14),Projects!$B$14*(1-SUMPRODUCT((Curves!$B$2:$AO$2)*(COLUMN(Curves!$B$2:$AO$2)-COLUMN(Curves!$B$2)+1&lt;=5-Projects!$C$14+1))),0)</f>
        <v>0</v>
      </c>
      <c r="H15" s="271" t="n">
        <f aca="false">IF(AND(Projects!$G$14="Yes",Projects!$F$14="Yes",6&gt;=Projects!$C$14,6&lt;Projects!$C$14+Projects!$D$14),Projects!$B$14*(1-SUMPRODUCT((Curves!$B$2:$AO$2)*(COLUMN(Curves!$B$2:$AO$2)-COLUMN(Curves!$B$2)+1&lt;=6-Projects!$C$14+1))),0)</f>
        <v>0</v>
      </c>
      <c r="I15" s="271" t="n">
        <f aca="false">IF(AND(Projects!$G$14="Yes",Projects!$F$14="Yes",7&gt;=Projects!$C$14,7&lt;Projects!$C$14+Projects!$D$14),Projects!$B$14*(1-SUMPRODUCT((Curves!$B$2:$AO$2)*(COLUMN(Curves!$B$2:$AO$2)-COLUMN(Curves!$B$2)+1&lt;=7-Projects!$C$14+1))),0)</f>
        <v>0</v>
      </c>
      <c r="J15" s="271" t="n">
        <f aca="false">IF(AND(Projects!$G$14="Yes",Projects!$F$14="Yes",8&gt;=Projects!$C$14,8&lt;Projects!$C$14+Projects!$D$14),Projects!$B$14*(1-SUMPRODUCT((Curves!$B$2:$AO$2)*(COLUMN(Curves!$B$2:$AO$2)-COLUMN(Curves!$B$2)+1&lt;=8-Projects!$C$14+1))),0)</f>
        <v>0</v>
      </c>
      <c r="K15" s="271" t="n">
        <f aca="false">IF(AND(Projects!$G$14="Yes",Projects!$F$14="Yes",9&gt;=Projects!$C$14,9&lt;Projects!$C$14+Projects!$D$14),Projects!$B$14*(1-SUMPRODUCT((Curves!$B$2:$AO$2)*(COLUMN(Curves!$B$2:$AO$2)-COLUMN(Curves!$B$2)+1&lt;=9-Projects!$C$14+1))),0)</f>
        <v>0</v>
      </c>
      <c r="L15" s="271" t="n">
        <f aca="false">IF(AND(Projects!$G$14="Yes",Projects!$F$14="Yes",10&gt;=Projects!$C$14,10&lt;Projects!$C$14+Projects!$D$14),Projects!$B$14*(1-SUMPRODUCT((Curves!$B$2:$AO$2)*(COLUMN(Curves!$B$2:$AO$2)-COLUMN(Curves!$B$2)+1&lt;=10-Projects!$C$14+1))),0)</f>
        <v>0</v>
      </c>
      <c r="M15" s="271" t="n">
        <f aca="false">IF(AND(Projects!$G$14="Yes",Projects!$F$14="Yes",11&gt;=Projects!$C$14,11&lt;Projects!$C$14+Projects!$D$14),Projects!$B$14*(1-SUMPRODUCT((Curves!$B$2:$AO$2)*(COLUMN(Curves!$B$2:$AO$2)-COLUMN(Curves!$B$2)+1&lt;=11-Projects!$C$14+1))),0)</f>
        <v>0</v>
      </c>
      <c r="N15" s="271" t="n">
        <f aca="false">IF(AND(Projects!$G$14="Yes",Projects!$F$14="Yes",12&gt;=Projects!$C$14,12&lt;Projects!$C$14+Projects!$D$14),Projects!$B$14*(1-SUMPRODUCT((Curves!$B$2:$AO$2)*(COLUMN(Curves!$B$2:$AO$2)-COLUMN(Curves!$B$2)+1&lt;=12-Projects!$C$14+1))),0)</f>
        <v>0</v>
      </c>
      <c r="O15" s="271" t="n">
        <f aca="false">IF(AND(Projects!$G$14="Yes",Projects!$F$14="Yes",13&gt;=Projects!$C$14,13&lt;Projects!$C$14+Projects!$D$14),Projects!$B$14*(1-SUMPRODUCT((Curves!$B$2:$AO$2)*(COLUMN(Curves!$B$2:$AO$2)-COLUMN(Curves!$B$2)+1&lt;=13-Projects!$C$14+1))),0)</f>
        <v>0</v>
      </c>
      <c r="P15" s="271" t="n">
        <f aca="false">IF(AND(Projects!$G$14="Yes",Projects!$F$14="Yes",14&gt;=Projects!$C$14,14&lt;Projects!$C$14+Projects!$D$14),Projects!$B$14*(1-SUMPRODUCT((Curves!$B$2:$AO$2)*(COLUMN(Curves!$B$2:$AO$2)-COLUMN(Curves!$B$2)+1&lt;=14-Projects!$C$14+1))),0)</f>
        <v>0</v>
      </c>
      <c r="Q15" s="271" t="n">
        <f aca="false">IF(AND(Projects!$G$14="Yes",Projects!$F$14="Yes",15&gt;=Projects!$C$14,15&lt;Projects!$C$14+Projects!$D$14),Projects!$B$14*(1-SUMPRODUCT((Curves!$B$2:$AO$2)*(COLUMN(Curves!$B$2:$AO$2)-COLUMN(Curves!$B$2)+1&lt;=15-Projects!$C$14+1))),0)</f>
        <v>0</v>
      </c>
      <c r="R15" s="271" t="n">
        <f aca="false">IF(AND(Projects!$G$14="Yes",Projects!$F$14="Yes",16&gt;=Projects!$C$14,16&lt;Projects!$C$14+Projects!$D$14),Projects!$B$14*(1-SUMPRODUCT((Curves!$B$2:$AO$2)*(COLUMN(Curves!$B$2:$AO$2)-COLUMN(Curves!$B$2)+1&lt;=16-Projects!$C$14+1))),0)</f>
        <v>0</v>
      </c>
      <c r="S15" s="271" t="n">
        <f aca="false">IF(AND(Projects!$G$14="Yes",Projects!$F$14="Yes",17&gt;=Projects!$C$14,17&lt;Projects!$C$14+Projects!$D$14),Projects!$B$14*(1-SUMPRODUCT((Curves!$B$2:$AO$2)*(COLUMN(Curves!$B$2:$AO$2)-COLUMN(Curves!$B$2)+1&lt;=17-Projects!$C$14+1))),0)</f>
        <v>0</v>
      </c>
      <c r="T15" s="271" t="n">
        <f aca="false">IF(AND(Projects!$G$14="Yes",Projects!$F$14="Yes",18&gt;=Projects!$C$14,18&lt;Projects!$C$14+Projects!$D$14),Projects!$B$14*(1-SUMPRODUCT((Curves!$B$2:$AO$2)*(COLUMN(Curves!$B$2:$AO$2)-COLUMN(Curves!$B$2)+1&lt;=18-Projects!$C$14+1))),0)</f>
        <v>0</v>
      </c>
      <c r="U15" s="271" t="n">
        <f aca="false">IF(AND(Projects!$G$14="Yes",Projects!$F$14="Yes",19&gt;=Projects!$C$14,19&lt;Projects!$C$14+Projects!$D$14),Projects!$B$14*(1-SUMPRODUCT((Curves!$B$2:$AO$2)*(COLUMN(Curves!$B$2:$AO$2)-COLUMN(Curves!$B$2)+1&lt;=19-Projects!$C$14+1))),0)</f>
        <v>0</v>
      </c>
      <c r="V15" s="271" t="n">
        <f aca="false">IF(AND(Projects!$G$14="Yes",Projects!$F$14="Yes",20&gt;=Projects!$C$14,20&lt;Projects!$C$14+Projects!$D$14),Projects!$B$14*(1-SUMPRODUCT((Curves!$B$2:$AO$2)*(COLUMN(Curves!$B$2:$AO$2)-COLUMN(Curves!$B$2)+1&lt;=20-Projects!$C$14+1))),0)</f>
        <v>0</v>
      </c>
      <c r="W15" s="271" t="n">
        <f aca="false">IF(AND(Projects!$G$14="Yes",Projects!$F$14="Yes",21&gt;=Projects!$C$14,21&lt;Projects!$C$14+Projects!$D$14),Projects!$B$14*(1-SUMPRODUCT((Curves!$B$2:$AO$2)*(COLUMN(Curves!$B$2:$AO$2)-COLUMN(Curves!$B$2)+1&lt;=21-Projects!$C$14+1))),0)</f>
        <v>0</v>
      </c>
      <c r="X15" s="271" t="n">
        <f aca="false">IF(AND(Projects!$G$14="Yes",Projects!$F$14="Yes",22&gt;=Projects!$C$14,22&lt;Projects!$C$14+Projects!$D$14),Projects!$B$14*(1-SUMPRODUCT((Curves!$B$2:$AO$2)*(COLUMN(Curves!$B$2:$AO$2)-COLUMN(Curves!$B$2)+1&lt;=22-Projects!$C$14+1))),0)</f>
        <v>0</v>
      </c>
      <c r="Y15" s="271" t="n">
        <f aca="false">IF(AND(Projects!$G$14="Yes",Projects!$F$14="Yes",23&gt;=Projects!$C$14,23&lt;Projects!$C$14+Projects!$D$14),Projects!$B$14*(1-SUMPRODUCT((Curves!$B$2:$AO$2)*(COLUMN(Curves!$B$2:$AO$2)-COLUMN(Curves!$B$2)+1&lt;=23-Projects!$C$14+1))),0)</f>
        <v>0</v>
      </c>
      <c r="Z15" s="271" t="n">
        <f aca="false">IF(AND(Projects!$G$14="Yes",Projects!$F$14="Yes",24&gt;=Projects!$C$14,24&lt;Projects!$C$14+Projects!$D$14),Projects!$B$14*(1-SUMPRODUCT((Curves!$B$2:$AO$2)*(COLUMN(Curves!$B$2:$AO$2)-COLUMN(Curves!$B$2)+1&lt;=24-Projects!$C$14+1))),0)</f>
        <v>0</v>
      </c>
      <c r="AA15" s="271" t="n">
        <f aca="false">IF(AND(Projects!$G$14="Yes",Projects!$F$14="Yes",25&gt;=Projects!$C$14,25&lt;Projects!$C$14+Projects!$D$14),Projects!$B$14*(1-SUMPRODUCT((Curves!$B$2:$AO$2)*(COLUMN(Curves!$B$2:$AO$2)-COLUMN(Curves!$B$2)+1&lt;=25-Projects!$C$14+1))),0)</f>
        <v>0</v>
      </c>
      <c r="AB15" s="271" t="n">
        <f aca="false">IF(AND(Projects!$G$14="Yes",Projects!$F$14="Yes",26&gt;=Projects!$C$14,26&lt;Projects!$C$14+Projects!$D$14),Projects!$B$14*(1-SUMPRODUCT((Curves!$B$2:$AO$2)*(COLUMN(Curves!$B$2:$AO$2)-COLUMN(Curves!$B$2)+1&lt;=26-Projects!$C$14+1))),0)</f>
        <v>0</v>
      </c>
      <c r="AC15" s="271" t="n">
        <f aca="false">IF(AND(Projects!$G$14="Yes",Projects!$F$14="Yes",27&gt;=Projects!$C$14,27&lt;Projects!$C$14+Projects!$D$14),Projects!$B$14*(1-SUMPRODUCT((Curves!$B$2:$AO$2)*(COLUMN(Curves!$B$2:$AO$2)-COLUMN(Curves!$B$2)+1&lt;=27-Projects!$C$14+1))),0)</f>
        <v>40688781.070168</v>
      </c>
      <c r="AD15" s="271" t="n">
        <f aca="false">IF(AND(Projects!$G$14="Yes",Projects!$F$14="Yes",28&gt;=Projects!$C$14,28&lt;Projects!$C$14+Projects!$D$14),Projects!$B$14*(1-SUMPRODUCT((Curves!$B$2:$AO$2)*(COLUMN(Curves!$B$2:$AO$2)-COLUMN(Curves!$B$2)+1&lt;=28-Projects!$C$14+1))),0)</f>
        <v>39922975.994792</v>
      </c>
      <c r="AE15" s="271" t="n">
        <f aca="false">IF(AND(Projects!$G$14="Yes",Projects!$F$14="Yes",29&gt;=Projects!$C$14,29&lt;Projects!$C$14+Projects!$D$14),Projects!$B$14*(1-SUMPRODUCT((Curves!$B$2:$AO$2)*(COLUMN(Curves!$B$2:$AO$2)-COLUMN(Curves!$B$2)+1&lt;=29-Projects!$C$14+1))),0)</f>
        <v>39050930.869808</v>
      </c>
      <c r="AF15" s="271" t="n">
        <f aca="false">IF(AND(Projects!$G$14="Yes",Projects!$F$14="Yes",30&gt;=Projects!$C$14,30&lt;Projects!$C$14+Projects!$D$14),Projects!$B$14*(1-SUMPRODUCT((Curves!$B$2:$AO$2)*(COLUMN(Curves!$B$2:$AO$2)-COLUMN(Curves!$B$2)+1&lt;=30-Projects!$C$14+1))),0)</f>
        <v>38067807.203272</v>
      </c>
      <c r="AG15" s="271" t="n">
        <f aca="false">IF(AND(Projects!$G$14="Yes",Projects!$F$14="Yes",31&gt;=Projects!$C$14,31&lt;Projects!$C$14+Projects!$D$14),Projects!$B$14*(1-SUMPRODUCT((Curves!$B$2:$AO$2)*(COLUMN(Curves!$B$2:$AO$2)-COLUMN(Curves!$B$2)+1&lt;=31-Projects!$C$14+1))),0)</f>
        <v>36970462.043152</v>
      </c>
      <c r="AH15" s="271" t="n">
        <f aca="false">IF(AND(Projects!$G$14="Yes",Projects!$F$14="Yes",32&gt;=Projects!$C$14,32&lt;Projects!$C$14+Projects!$D$14),Projects!$B$14*(1-SUMPRODUCT((Curves!$B$2:$AO$2)*(COLUMN(Curves!$B$2:$AO$2)-COLUMN(Curves!$B$2)+1&lt;=32-Projects!$C$14+1))),0)</f>
        <v>35757820.169016</v>
      </c>
      <c r="AI15" s="271" t="n">
        <f aca="false">IF(AND(Projects!$G$14="Yes",Projects!$F$14="Yes",33&gt;=Projects!$C$14,33&lt;Projects!$C$14+Projects!$D$14),Projects!$B$14*(1-SUMPRODUCT((Curves!$B$2:$AO$2)*(COLUMN(Curves!$B$2:$AO$2)-COLUMN(Curves!$B$2)+1&lt;=33-Projects!$C$14+1))),0)</f>
        <v>34431080.865192</v>
      </c>
      <c r="AJ15" s="271" t="n">
        <f aca="false">IF(AND(Projects!$G$14="Yes",Projects!$F$14="Yes",34&gt;=Projects!$C$14,34&lt;Projects!$C$14+Projects!$D$14),Projects!$B$14*(1-SUMPRODUCT((Curves!$B$2:$AO$2)*(COLUMN(Curves!$B$2:$AO$2)-COLUMN(Curves!$B$2)+1&lt;=34-Projects!$C$14+1))),0)</f>
        <v>32993924.693928</v>
      </c>
      <c r="AK15" s="271" t="n">
        <f aca="false">IF(AND(Projects!$G$14="Yes",Projects!$F$14="Yes",35&gt;=Projects!$C$14,35&lt;Projects!$C$14+Projects!$D$14),Projects!$B$14*(1-SUMPRODUCT((Curves!$B$2:$AO$2)*(COLUMN(Curves!$B$2:$AO$2)-COLUMN(Curves!$B$2)+1&lt;=35-Projects!$C$14+1))),0)</f>
        <v>31452678.91392</v>
      </c>
      <c r="AL15" s="271" t="n">
        <f aca="false">IF(AND(Projects!$G$14="Yes",Projects!$F$14="Yes",36&gt;=Projects!$C$14,36&lt;Projects!$C$14+Projects!$D$14),Projects!$B$14*(1-SUMPRODUCT((Curves!$B$2:$AO$2)*(COLUMN(Curves!$B$2:$AO$2)-COLUMN(Curves!$B$2)+1&lt;=36-Projects!$C$14+1))),0)</f>
        <v>29816193.416416</v>
      </c>
      <c r="AM15" s="271" t="n">
        <f aca="false">IF(AND(Projects!$G$14="Yes",Projects!$F$14="Yes",37&gt;=Projects!$C$14,37&lt;Projects!$C$14+Projects!$D$14),Projects!$B$14*(1-SUMPRODUCT((Curves!$B$2:$AO$2)*(COLUMN(Curves!$B$2:$AO$2)-COLUMN(Curves!$B$2)+1&lt;=37-Projects!$C$14+1))),0)</f>
        <v>28095882.079848</v>
      </c>
      <c r="AN15" s="271" t="n">
        <f aca="false">IF(AND(Projects!$G$14="Yes",Projects!$F$14="Yes",38&gt;=Projects!$C$14,38&lt;Projects!$C$14+Projects!$D$14),Projects!$B$14*(1-SUMPRODUCT((Curves!$B$2:$AO$2)*(COLUMN(Curves!$B$2:$AO$2)-COLUMN(Curves!$B$2)+1&lt;=38-Projects!$C$14+1))),0)</f>
        <v>26305433.287408</v>
      </c>
      <c r="AO15" s="271" t="n">
        <f aca="false">IF(AND(Projects!$G$14="Yes",Projects!$F$14="Yes",39&gt;=Projects!$C$14,39&lt;Projects!$C$14+Projects!$D$14),Projects!$B$14*(1-SUMPRODUCT((Curves!$B$2:$AO$2)*(COLUMN(Curves!$B$2:$AO$2)-COLUMN(Curves!$B$2)+1&lt;=39-Projects!$C$14+1))),0)</f>
        <v>24460479.089992</v>
      </c>
      <c r="AP15" s="271" t="n">
        <f aca="false">IF(AND(Projects!$G$14="Yes",Projects!$F$14="Yes",40&gt;=Projects!$C$14,40&lt;Projects!$C$14+Projects!$D$14),Projects!$B$14*(1-SUMPRODUCT((Curves!$B$2:$AO$2)*(COLUMN(Curves!$B$2:$AO$2)-COLUMN(Curves!$B$2)+1&lt;=40-Projects!$C$14+1))),0)</f>
        <v>22578305.723776</v>
      </c>
      <c r="AQ15" s="271" t="n">
        <f aca="false">IF(AND(Projects!$G$14="Yes",Projects!$F$14="Yes",41&gt;=Projects!$C$14,41&lt;Projects!$C$14+Projects!$D$14),Projects!$B$14*(1-SUMPRODUCT((Curves!$B$2:$AO$2)*(COLUMN(Curves!$B$2:$AO$2)-COLUMN(Curves!$B$2)+1&lt;=41-Projects!$C$14+1))),0)</f>
        <v>20677233.290736</v>
      </c>
      <c r="AR15" s="271" t="n">
        <f aca="false">IF(AND(Projects!$G$14="Yes",Projects!$F$14="Yes",42&gt;=Projects!$C$14,42&lt;Projects!$C$14+Projects!$D$14),Projects!$B$14*(1-SUMPRODUCT((Curves!$B$2:$AO$2)*(COLUMN(Curves!$B$2:$AO$2)-COLUMN(Curves!$B$2)+1&lt;=42-Projects!$C$14+1))),0)</f>
        <v>18776160.857696</v>
      </c>
      <c r="AS15" s="271" t="n">
        <f aca="false">IF(AND(Projects!$G$14="Yes",Projects!$F$14="Yes",43&gt;=Projects!$C$14,43&lt;Projects!$C$14+Projects!$D$14),Projects!$B$14*(1-SUMPRODUCT((Curves!$B$2:$AO$2)*(COLUMN(Curves!$B$2:$AO$2)-COLUMN(Curves!$B$2)+1&lt;=43-Projects!$C$14+1))),0)</f>
        <v>16893987.49148</v>
      </c>
      <c r="AT15" s="271" t="n">
        <f aca="false">IF(AND(Projects!$G$14="Yes",Projects!$F$14="Yes",44&gt;=Projects!$C$14,44&lt;Projects!$C$14+Projects!$D$14),Projects!$B$14*(1-SUMPRODUCT((Curves!$B$2:$AO$2)*(COLUMN(Curves!$B$2:$AO$2)-COLUMN(Curves!$B$2)+1&lt;=44-Projects!$C$14+1))),0)</f>
        <v>15049033.294064</v>
      </c>
      <c r="AU15" s="271" t="n">
        <f aca="false">IF(AND(Projects!$G$14="Yes",Projects!$F$14="Yes",45&gt;=Projects!$C$14,45&lt;Projects!$C$14+Projects!$D$14),Projects!$B$14*(1-SUMPRODUCT((Curves!$B$2:$AO$2)*(COLUMN(Curves!$B$2:$AO$2)-COLUMN(Curves!$B$2)+1&lt;=45-Projects!$C$14+1))),0)</f>
        <v>13258584.501624</v>
      </c>
      <c r="AV15" s="271" t="n">
        <f aca="false">IF(AND(Projects!$G$14="Yes",Projects!$F$14="Yes",46&gt;=Projects!$C$14,46&lt;Projects!$C$14+Projects!$D$14),Projects!$B$14*(1-SUMPRODUCT((Curves!$B$2:$AO$2)*(COLUMN(Curves!$B$2:$AO$2)-COLUMN(Curves!$B$2)+1&lt;=46-Projects!$C$14+1))),0)</f>
        <v>11538273.165056</v>
      </c>
      <c r="AW15" s="271" t="n">
        <f aca="false">IF(AND(Projects!$G$14="Yes",Projects!$F$14="Yes",47&gt;=Projects!$C$14,47&lt;Projects!$C$14+Projects!$D$14),Projects!$B$14*(1-SUMPRODUCT((Curves!$B$2:$AO$2)*(COLUMN(Curves!$B$2:$AO$2)-COLUMN(Curves!$B$2)+1&lt;=47-Projects!$C$14+1))),0)</f>
        <v>9901787.667552</v>
      </c>
      <c r="AX15" s="271" t="n">
        <f aca="false">IF(AND(Projects!$G$14="Yes",Projects!$F$14="Yes",48&gt;=Projects!$C$14,48&lt;Projects!$C$14+Projects!$D$14),Projects!$B$14*(1-SUMPRODUCT((Curves!$B$2:$AO$2)*(COLUMN(Curves!$B$2:$AO$2)-COLUMN(Curves!$B$2)+1&lt;=48-Projects!$C$14+1))),0)</f>
        <v>8360541.887544</v>
      </c>
      <c r="AY15" s="271" t="n">
        <f aca="false">IF(AND(Projects!$G$14="Yes",Projects!$F$14="Yes",49&gt;=Projects!$C$14,49&lt;Projects!$C$14+Projects!$D$14),Projects!$B$14*(1-SUMPRODUCT((Curves!$B$2:$AO$2)*(COLUMN(Curves!$B$2:$AO$2)-COLUMN(Curves!$B$2)+1&lt;=49-Projects!$C$14+1))),0)</f>
        <v>6923385.71628</v>
      </c>
      <c r="AZ15" s="271" t="n">
        <f aca="false">IF(AND(Projects!$G$14="Yes",Projects!$F$14="Yes",50&gt;=Projects!$C$14,50&lt;Projects!$C$14+Projects!$D$14),Projects!$B$14*(1-SUMPRODUCT((Curves!$B$2:$AO$2)*(COLUMN(Curves!$B$2:$AO$2)-COLUMN(Curves!$B$2)+1&lt;=50-Projects!$C$14+1))),0)</f>
        <v>5596646.412456</v>
      </c>
      <c r="BA15" s="271" t="n">
        <f aca="false">IF(AND(Projects!$G$14="Yes",Projects!$F$14="Yes",51&gt;=Projects!$C$14,51&lt;Projects!$C$14+Projects!$D$14),Projects!$B$14*(1-SUMPRODUCT((Curves!$B$2:$AO$2)*(COLUMN(Curves!$B$2:$AO$2)-COLUMN(Curves!$B$2)+1&lt;=51-Projects!$C$14+1))),0)</f>
        <v>4384004.53832</v>
      </c>
      <c r="BB15" s="271" t="n">
        <f aca="false">IF(AND(Projects!$G$14="Yes",Projects!$F$14="Yes",52&gt;=Projects!$C$14,52&lt;Projects!$C$14+Projects!$D$14),Projects!$B$14*(1-SUMPRODUCT((Curves!$B$2:$AO$2)*(COLUMN(Curves!$B$2:$AO$2)-COLUMN(Curves!$B$2)+1&lt;=52-Projects!$C$14+1))),0)</f>
        <v>3286659.3782</v>
      </c>
      <c r="BC15" s="271" t="n">
        <f aca="false">IF(AND(Projects!$G$14="Yes",Projects!$F$14="Yes",53&gt;=Projects!$C$14,53&lt;Projects!$C$14+Projects!$D$14),Projects!$B$14*(1-SUMPRODUCT((Curves!$B$2:$AO$2)*(COLUMN(Curves!$B$2:$AO$2)-COLUMN(Curves!$B$2)+1&lt;=53-Projects!$C$14+1))),0)</f>
        <v>2303535.711664</v>
      </c>
      <c r="BD15" s="271" t="n">
        <f aca="false">IF(AND(Projects!$G$14="Yes",Projects!$F$14="Yes",54&gt;=Projects!$C$14,54&lt;Projects!$C$14+Projects!$D$14),Projects!$B$14*(1-SUMPRODUCT((Curves!$B$2:$AO$2)*(COLUMN(Curves!$B$2:$AO$2)-COLUMN(Curves!$B$2)+1&lt;=54-Projects!$C$14+1))),0)</f>
        <v>1431490.58668</v>
      </c>
      <c r="BE15" s="271" t="n">
        <f aca="false">IF(AND(Projects!$G$14="Yes",Projects!$F$14="Yes",55&gt;=Projects!$C$14,55&lt;Projects!$C$14+Projects!$D$14),Projects!$B$14*(1-SUMPRODUCT((Curves!$B$2:$AO$2)*(COLUMN(Curves!$B$2:$AO$2)-COLUMN(Curves!$B$2)+1&lt;=55-Projects!$C$14+1))),0)</f>
        <v>665685.511304001</v>
      </c>
      <c r="BF15" s="271" t="n">
        <f aca="false">IF(AND(Projects!$G$14="Yes",Projects!$F$14="Yes",56&gt;=Projects!$C$14,56&lt;Projects!$C$14+Projects!$D$14),Projects!$B$14*(1-SUMPRODUCT((Curves!$B$2:$AO$2)*(COLUMN(Curves!$B$2:$AO$2)-COLUMN(Curves!$B$2)+1&lt;=56-Projects!$C$14+1))),0)</f>
        <v>-165.418527995574</v>
      </c>
      <c r="BG15" s="271" t="n">
        <f aca="false">IF(AND(Projects!$G$14="Yes",Projects!$F$14="Yes",57&gt;=Projects!$C$14,57&lt;Projects!$C$14+Projects!$D$14),Projects!$B$14*(1-SUMPRODUCT((Curves!$B$2:$AO$2)*(COLUMN(Curves!$B$2:$AO$2)-COLUMN(Curves!$B$2)+1&lt;=57-Projects!$C$14+1))),0)</f>
        <v>0</v>
      </c>
      <c r="BH15" s="271" t="n">
        <f aca="false">IF(AND(Projects!$G$14="Yes",Projects!$F$14="Yes",58&gt;=Projects!$C$14,58&lt;Projects!$C$14+Projects!$D$14),Projects!$B$14*(1-SUMPRODUCT((Curves!$B$2:$AO$2)*(COLUMN(Curves!$B$2:$AO$2)-COLUMN(Curves!$B$2)+1&lt;=58-Projects!$C$14+1))),0)</f>
        <v>0</v>
      </c>
      <c r="BI15" s="271" t="n">
        <f aca="false">IF(AND(Projects!$G$14="Yes",Projects!$F$14="Yes",59&gt;=Projects!$C$14,59&lt;Projects!$C$14+Projects!$D$14),Projects!$B$14*(1-SUMPRODUCT((Curves!$B$2:$AO$2)*(COLUMN(Curves!$B$2:$AO$2)-COLUMN(Curves!$B$2)+1&lt;=59-Projects!$C$14+1))),0)</f>
        <v>0</v>
      </c>
      <c r="BJ15" s="271" t="n">
        <f aca="false">IF(AND(Projects!$G$14="Yes",Projects!$F$14="Yes",60&gt;=Projects!$C$14,60&lt;Projects!$C$14+Projects!$D$14),Projects!$B$14*(1-SUMPRODUCT((Curves!$B$2:$AO$2)*(COLUMN(Curves!$B$2:$AO$2)-COLUMN(Curves!$B$2)+1&lt;=60-Projects!$C$14+1))),0)</f>
        <v>0</v>
      </c>
      <c r="BK15" s="271" t="n">
        <f aca="false">IF(AND(Projects!$G$14="Yes",Projects!$F$14="Yes",61&gt;=Projects!$C$14,61&lt;Projects!$C$14+Projects!$D$14),Projects!$B$14*(1-SUMPRODUCT((Curves!$B$2:$AO$2)*(COLUMN(Curves!$B$2:$AO$2)-COLUMN(Curves!$B$2)+1&lt;=61-Projects!$C$14+1))),0)</f>
        <v>0</v>
      </c>
      <c r="BL15" s="271" t="n">
        <f aca="false">IF(AND(Projects!$G$14="Yes",Projects!$F$14="Yes",62&gt;=Projects!$C$14,62&lt;Projects!$C$14+Projects!$D$14),Projects!$B$14*(1-SUMPRODUCT((Curves!$B$2:$AO$2)*(COLUMN(Curves!$B$2:$AO$2)-COLUMN(Curves!$B$2)+1&lt;=62-Projects!$C$14+1))),0)</f>
        <v>0</v>
      </c>
      <c r="BM15" s="271" t="n">
        <f aca="false">IF(AND(Projects!$G$14="Yes",Projects!$F$14="Yes",63&gt;=Projects!$C$14,63&lt;Projects!$C$14+Projects!$D$14),Projects!$B$14*(1-SUMPRODUCT((Curves!$B$2:$AO$2)*(COLUMN(Curves!$B$2:$AO$2)-COLUMN(Curves!$B$2)+1&lt;=63-Projects!$C$14+1))),0)</f>
        <v>0</v>
      </c>
      <c r="BN15" s="271" t="n">
        <f aca="false">IF(AND(Projects!$G$14="Yes",Projects!$F$14="Yes",64&gt;=Projects!$C$14,64&lt;Projects!$C$14+Projects!$D$14),Projects!$B$14*(1-SUMPRODUCT((Curves!$B$2:$AO$2)*(COLUMN(Curves!$B$2:$AO$2)-COLUMN(Curves!$B$2)+1&lt;=64-Projects!$C$14+1))),0)</f>
        <v>0</v>
      </c>
      <c r="BO15" s="271" t="n">
        <f aca="false">IF(AND(Projects!$G$14="Yes",Projects!$F$14="Yes",65&gt;=Projects!$C$14,65&lt;Projects!$C$14+Projects!$D$14),Projects!$B$14*(1-SUMPRODUCT((Curves!$B$2:$AO$2)*(COLUMN(Curves!$B$2:$AO$2)-COLUMN(Curves!$B$2)+1&lt;=65-Projects!$C$14+1))),0)</f>
        <v>0</v>
      </c>
      <c r="BP15" s="271" t="n">
        <f aca="false">IF(AND(Projects!$G$14="Yes",Projects!$F$14="Yes",66&gt;=Projects!$C$14,66&lt;Projects!$C$14+Projects!$D$14),Projects!$B$14*(1-SUMPRODUCT((Curves!$B$2:$AO$2)*(COLUMN(Curves!$B$2:$AO$2)-COLUMN(Curves!$B$2)+1&lt;=66-Projects!$C$14+1))),0)</f>
        <v>0</v>
      </c>
      <c r="BQ15" s="271" t="n">
        <f aca="false">IF(AND(Projects!$G$14="Yes",Projects!$F$14="Yes",67&gt;=Projects!$C$14,67&lt;Projects!$C$14+Projects!$D$14),Projects!$B$14*(1-SUMPRODUCT((Curves!$B$2:$AO$2)*(COLUMN(Curves!$B$2:$AO$2)-COLUMN(Curves!$B$2)+1&lt;=67-Projects!$C$14+1))),0)</f>
        <v>0</v>
      </c>
      <c r="BR15" s="271" t="n">
        <f aca="false">IF(AND(Projects!$G$14="Yes",Projects!$F$14="Yes",68&gt;=Projects!$C$14,68&lt;Projects!$C$14+Projects!$D$14),Projects!$B$14*(1-SUMPRODUCT((Curves!$B$2:$AO$2)*(COLUMN(Curves!$B$2:$AO$2)-COLUMN(Curves!$B$2)+1&lt;=68-Projects!$C$14+1))),0)</f>
        <v>0</v>
      </c>
      <c r="BS15" s="271" t="n">
        <f aca="false">IF(AND(Projects!$G$14="Yes",Projects!$F$14="Yes",69&gt;=Projects!$C$14,69&lt;Projects!$C$14+Projects!$D$14),Projects!$B$14*(1-SUMPRODUCT((Curves!$B$2:$AO$2)*(COLUMN(Curves!$B$2:$AO$2)-COLUMN(Curves!$B$2)+1&lt;=69-Projects!$C$14+1))),0)</f>
        <v>0</v>
      </c>
      <c r="BT15" s="271" t="n">
        <f aca="false">IF(AND(Projects!$G$14="Yes",Projects!$F$14="Yes",70&gt;=Projects!$C$14,70&lt;Projects!$C$14+Projects!$D$14),Projects!$B$14*(1-SUMPRODUCT((Curves!$B$2:$AO$2)*(COLUMN(Curves!$B$2:$AO$2)-COLUMN(Curves!$B$2)+1&lt;=70-Projects!$C$14+1))),0)</f>
        <v>0</v>
      </c>
      <c r="BU15" s="271" t="n">
        <f aca="false">IF(AND(Projects!$G$14="Yes",Projects!$F$14="Yes",71&gt;=Projects!$C$14,71&lt;Projects!$C$14+Projects!$D$14),Projects!$B$14*(1-SUMPRODUCT((Curves!$B$2:$AO$2)*(COLUMN(Curves!$B$2:$AO$2)-COLUMN(Curves!$B$2)+1&lt;=71-Projects!$C$14+1))),0)</f>
        <v>0</v>
      </c>
      <c r="BV15" s="271" t="n">
        <f aca="false">IF(AND(Projects!$G$14="Yes",Projects!$F$14="Yes",72&gt;=Projects!$C$14,72&lt;Projects!$C$14+Projects!$D$14),Projects!$B$14*(1-SUMPRODUCT((Curves!$B$2:$AO$2)*(COLUMN(Curves!$B$2:$AO$2)-COLUMN(Curves!$B$2)+1&lt;=72-Projects!$C$14+1))),0)</f>
        <v>0</v>
      </c>
      <c r="BW15" s="271" t="n">
        <f aca="false">IF(AND(Projects!$G$14="Yes",Projects!$F$14="Yes",73&gt;=Projects!$C$14,73&lt;Projects!$C$14+Projects!$D$14),Projects!$B$14*(1-SUMPRODUCT((Curves!$B$2:$AO$2)*(COLUMN(Curves!$B$2:$AO$2)-COLUMN(Curves!$B$2)+1&lt;=73-Projects!$C$14+1))),0)</f>
        <v>0</v>
      </c>
      <c r="BX15" s="271" t="n">
        <f aca="false">IF(AND(Projects!$G$14="Yes",Projects!$F$14="Yes",74&gt;=Projects!$C$14,74&lt;Projects!$C$14+Projects!$D$14),Projects!$B$14*(1-SUMPRODUCT((Curves!$B$2:$AO$2)*(COLUMN(Curves!$B$2:$AO$2)-COLUMN(Curves!$B$2)+1&lt;=74-Projects!$C$14+1))),0)</f>
        <v>0</v>
      </c>
      <c r="BY15" s="271" t="n">
        <f aca="false">IF(AND(Projects!$G$14="Yes",Projects!$F$14="Yes",75&gt;=Projects!$C$14,75&lt;Projects!$C$14+Projects!$D$14),Projects!$B$14*(1-SUMPRODUCT((Curves!$B$2:$AO$2)*(COLUMN(Curves!$B$2:$AO$2)-COLUMN(Curves!$B$2)+1&lt;=75-Projects!$C$14+1))),0)</f>
        <v>0</v>
      </c>
      <c r="BZ15" s="271" t="n">
        <f aca="false">IF(AND(Projects!$G$14="Yes",Projects!$F$14="Yes",76&gt;=Projects!$C$14,76&lt;Projects!$C$14+Projects!$D$14),Projects!$B$14*(1-SUMPRODUCT((Curves!$B$2:$AO$2)*(COLUMN(Curves!$B$2:$AO$2)-COLUMN(Curves!$B$2)+1&lt;=76-Projects!$C$14+1))),0)</f>
        <v>0</v>
      </c>
      <c r="CA15" s="271" t="n">
        <f aca="false">IF(AND(Projects!$G$14="Yes",Projects!$F$14="Yes",77&gt;=Projects!$C$14,77&lt;Projects!$C$14+Projects!$D$14),Projects!$B$14*(1-SUMPRODUCT((Curves!$B$2:$AO$2)*(COLUMN(Curves!$B$2:$AO$2)-COLUMN(Curves!$B$2)+1&lt;=77-Projects!$C$14+1))),0)</f>
        <v>0</v>
      </c>
      <c r="CB15" s="271" t="n">
        <f aca="false">IF(AND(Projects!$G$14="Yes",Projects!$F$14="Yes",78&gt;=Projects!$C$14,78&lt;Projects!$C$14+Projects!$D$14),Projects!$B$14*(1-SUMPRODUCT((Curves!$B$2:$AO$2)*(COLUMN(Curves!$B$2:$AO$2)-COLUMN(Curves!$B$2)+1&lt;=78-Projects!$C$14+1))),0)</f>
        <v>0</v>
      </c>
      <c r="CC15" s="271" t="n">
        <f aca="false">IF(AND(Projects!$G$14="Yes",Projects!$F$14="Yes",79&gt;=Projects!$C$14,79&lt;Projects!$C$14+Projects!$D$14),Projects!$B$14*(1-SUMPRODUCT((Curves!$B$2:$AO$2)*(COLUMN(Curves!$B$2:$AO$2)-COLUMN(Curves!$B$2)+1&lt;=79-Projects!$C$14+1))),0)</f>
        <v>0</v>
      </c>
      <c r="CD15" s="271" t="n">
        <f aca="false">IF(AND(Projects!$G$14="Yes",Projects!$F$14="Yes",80&gt;=Projects!$C$14,80&lt;Projects!$C$14+Projects!$D$14),Projects!$B$14*(1-SUMPRODUCT((Curves!$B$2:$AO$2)*(COLUMN(Curves!$B$2:$AO$2)-COLUMN(Curves!$B$2)+1&lt;=80-Projects!$C$14+1))),0)</f>
        <v>0</v>
      </c>
      <c r="CE15" s="271" t="n">
        <f aca="false">IF(AND(Projects!$G$14="Yes",Projects!$F$14="Yes",81&gt;=Projects!$C$14,81&lt;Projects!$C$14+Projects!$D$14),Projects!$B$14*(1-SUMPRODUCT((Curves!$B$2:$AO$2)*(COLUMN(Curves!$B$2:$AO$2)-COLUMN(Curves!$B$2)+1&lt;=81-Projects!$C$14+1))),0)</f>
        <v>0</v>
      </c>
      <c r="CF15" s="271" t="n">
        <f aca="false">IF(AND(Projects!$G$14="Yes",Projects!$F$14="Yes",82&gt;=Projects!$C$14,82&lt;Projects!$C$14+Projects!$D$14),Projects!$B$14*(1-SUMPRODUCT((Curves!$B$2:$AO$2)*(COLUMN(Curves!$B$2:$AO$2)-COLUMN(Curves!$B$2)+1&lt;=82-Projects!$C$14+1))),0)</f>
        <v>0</v>
      </c>
      <c r="CG15" s="271" t="n">
        <f aca="false">IF(AND(Projects!$G$14="Yes",Projects!$F$14="Yes",83&gt;=Projects!$C$14,83&lt;Projects!$C$14+Projects!$D$14),Projects!$B$14*(1-SUMPRODUCT((Curves!$B$2:$AO$2)*(COLUMN(Curves!$B$2:$AO$2)-COLUMN(Curves!$B$2)+1&lt;=83-Projects!$C$14+1))),0)</f>
        <v>0</v>
      </c>
      <c r="CH15" s="271" t="n">
        <f aca="false">IF(AND(Projects!$G$14="Yes",Projects!$F$14="Yes",84&gt;=Projects!$C$14,84&lt;Projects!$C$14+Projects!$D$14),Projects!$B$14*(1-SUMPRODUCT((Curves!$B$2:$AO$2)*(COLUMN(Curves!$B$2:$AO$2)-COLUMN(Curves!$B$2)+1&lt;=84-Projects!$C$14+1))),0)</f>
        <v>0</v>
      </c>
      <c r="CI15" s="271" t="n">
        <f aca="false">IF(AND(Projects!$G$14="Yes",Projects!$F$14="Yes",85&gt;=Projects!$C$14,85&lt;Projects!$C$14+Projects!$D$14),Projects!$B$14*(1-SUMPRODUCT((Curves!$B$2:$AO$2)*(COLUMN(Curves!$B$2:$AO$2)-COLUMN(Curves!$B$2)+1&lt;=85-Projects!$C$14+1))),0)</f>
        <v>0</v>
      </c>
      <c r="CJ15" s="271" t="n">
        <f aca="false">IF(AND(Projects!$G$14="Yes",Projects!$F$14="Yes",86&gt;=Projects!$C$14,86&lt;Projects!$C$14+Projects!$D$14),Projects!$B$14*(1-SUMPRODUCT((Curves!$B$2:$AO$2)*(COLUMN(Curves!$B$2:$AO$2)-COLUMN(Curves!$B$2)+1&lt;=86-Projects!$C$14+1))),0)</f>
        <v>0</v>
      </c>
      <c r="CK15" s="271" t="n">
        <f aca="false">IF(AND(Projects!$G$14="Yes",Projects!$F$14="Yes",87&gt;=Projects!$C$14,87&lt;Projects!$C$14+Projects!$D$14),Projects!$B$14*(1-SUMPRODUCT((Curves!$B$2:$AO$2)*(COLUMN(Curves!$B$2:$AO$2)-COLUMN(Curves!$B$2)+1&lt;=87-Projects!$C$14+1))),0)</f>
        <v>0</v>
      </c>
      <c r="CL15" s="271" t="n">
        <f aca="false">IF(AND(Projects!$G$14="Yes",Projects!$F$14="Yes",88&gt;=Projects!$C$14,88&lt;Projects!$C$14+Projects!$D$14),Projects!$B$14*(1-SUMPRODUCT((Curves!$B$2:$AO$2)*(COLUMN(Curves!$B$2:$AO$2)-COLUMN(Curves!$B$2)+1&lt;=88-Projects!$C$14+1))),0)</f>
        <v>0</v>
      </c>
      <c r="CM15" s="271" t="n">
        <f aca="false">IF(AND(Projects!$G$14="Yes",Projects!$F$14="Yes",89&gt;=Projects!$C$14,89&lt;Projects!$C$14+Projects!$D$14),Projects!$B$14*(1-SUMPRODUCT((Curves!$B$2:$AO$2)*(COLUMN(Curves!$B$2:$AO$2)-COLUMN(Curves!$B$2)+1&lt;=89-Projects!$C$14+1))),0)</f>
        <v>0</v>
      </c>
      <c r="CN15" s="271" t="n">
        <f aca="false">IF(AND(Projects!$G$14="Yes",Projects!$F$14="Yes",90&gt;=Projects!$C$14,90&lt;Projects!$C$14+Projects!$D$14),Projects!$B$14*(1-SUMPRODUCT((Curves!$B$2:$AO$2)*(COLUMN(Curves!$B$2:$AO$2)-COLUMN(Curves!$B$2)+1&lt;=90-Projects!$C$14+1))),0)</f>
        <v>0</v>
      </c>
      <c r="CO15" s="271" t="n">
        <f aca="false">IF(AND(Projects!$G$14="Yes",Projects!$F$14="Yes",91&gt;=Projects!$C$14,91&lt;Projects!$C$14+Projects!$D$14),Projects!$B$14*(1-SUMPRODUCT((Curves!$B$2:$AO$2)*(COLUMN(Curves!$B$2:$AO$2)-COLUMN(Curves!$B$2)+1&lt;=91-Projects!$C$14+1))),0)</f>
        <v>0</v>
      </c>
      <c r="CP15" s="271" t="n">
        <f aca="false">IF(AND(Projects!$G$14="Yes",Projects!$F$14="Yes",92&gt;=Projects!$C$14,92&lt;Projects!$C$14+Projects!$D$14),Projects!$B$14*(1-SUMPRODUCT((Curves!$B$2:$AO$2)*(COLUMN(Curves!$B$2:$AO$2)-COLUMN(Curves!$B$2)+1&lt;=92-Projects!$C$14+1))),0)</f>
        <v>0</v>
      </c>
      <c r="CQ15" s="271"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183</v>
      </c>
      <c r="C16" s="287" t="n">
        <f aca="false">SUM(C8:C15)</f>
        <v>24716840.35</v>
      </c>
      <c r="D16" s="287" t="n">
        <f aca="false">SUM(D8:D15)</f>
        <v>22881539.17</v>
      </c>
      <c r="E16" s="287" t="n">
        <f aca="false">SUM(E8:E15)</f>
        <v>20879271.91</v>
      </c>
      <c r="F16" s="287" t="n">
        <f aca="false">SUM(F8:F15)</f>
        <v>18748519.38</v>
      </c>
      <c r="G16" s="287" t="n">
        <f aca="false">SUM(G8:G15)</f>
        <v>72424528.6691092</v>
      </c>
      <c r="H16" s="287" t="n">
        <f aca="false">SUM(H8:H15)</f>
        <v>82574509.2435969</v>
      </c>
      <c r="I16" s="287" t="n">
        <f aca="false">SUM(I8:I15)</f>
        <v>79199788.5696833</v>
      </c>
      <c r="J16" s="287" t="n">
        <f aca="false">SUM(J8:J15)</f>
        <v>76252151.8859288</v>
      </c>
      <c r="K16" s="287" t="n">
        <f aca="false">SUM(K8:K15)</f>
        <v>73141594.1403182</v>
      </c>
      <c r="L16" s="287" t="n">
        <f aca="false">SUM(L8:L15)</f>
        <v>69895674.0488009</v>
      </c>
      <c r="M16" s="287" t="n">
        <f aca="false">SUM(M8:M15)</f>
        <v>66774208.0502672</v>
      </c>
      <c r="N16" s="287" t="n">
        <f aca="false">SUM(N8:N15)</f>
        <v>63395136.8555867</v>
      </c>
      <c r="O16" s="287" t="n">
        <f aca="false">SUM(O8:O15)</f>
        <v>60145035.0999223</v>
      </c>
      <c r="P16" s="287" t="n">
        <f aca="false">SUM(P8:P15)</f>
        <v>56880163.3949262</v>
      </c>
      <c r="Q16" s="287" t="n">
        <f aca="false">SUM(Q8:Q15)</f>
        <v>118599001.57399</v>
      </c>
      <c r="R16" s="287" t="n">
        <f aca="false">SUM(R8:R15)</f>
        <v>112931807.969721</v>
      </c>
      <c r="S16" s="287" t="n">
        <f aca="false">SUM(S8:S15)</f>
        <v>107901457.981541</v>
      </c>
      <c r="T16" s="287" t="n">
        <f aca="false">SUM(T8:T15)</f>
        <v>101432323.297572</v>
      </c>
      <c r="U16" s="287" t="n">
        <f aca="false">SUM(U8:U15)</f>
        <v>95958927.0238079</v>
      </c>
      <c r="V16" s="287" t="n">
        <f aca="false">SUM(V8:V15)</f>
        <v>88845096.634383</v>
      </c>
      <c r="W16" s="287" t="n">
        <f aca="false">SUM(W8:W15)</f>
        <v>82931068.492185</v>
      </c>
      <c r="X16" s="287" t="n">
        <f aca="false">SUM(X8:X15)</f>
        <v>75860106.8731985</v>
      </c>
      <c r="Y16" s="287" t="n">
        <f aca="false">SUM(Y8:Y15)</f>
        <v>69199972.0748484</v>
      </c>
      <c r="Z16" s="287" t="n">
        <f aca="false">SUM(Z8:Z15)</f>
        <v>59286202.796185</v>
      </c>
      <c r="AA16" s="287" t="n">
        <f aca="false">SUM(AA8:AA15)</f>
        <v>54841896.333495</v>
      </c>
      <c r="AB16" s="287" t="n">
        <f aca="false">SUM(AB8:AB15)</f>
        <v>50185896.667225</v>
      </c>
      <c r="AC16" s="287" t="n">
        <f aca="false">SUM(AC8:AC15)</f>
        <v>86323010.516898</v>
      </c>
      <c r="AD16" s="287" t="n">
        <f aca="false">SUM(AD8:AD15)</f>
        <v>80807520.546102</v>
      </c>
      <c r="AE16" s="287" t="n">
        <f aca="false">SUM(AE8:AE15)</f>
        <v>74250340.176928</v>
      </c>
      <c r="AF16" s="287" t="n">
        <f aca="false">SUM(AF8:AF15)</f>
        <v>67904661.700632</v>
      </c>
      <c r="AG16" s="287" t="n">
        <f aca="false">SUM(AG8:AG15)</f>
        <v>61664074.141292</v>
      </c>
      <c r="AH16" s="287" t="n">
        <f aca="false">SUM(AH8:AH15)</f>
        <v>56511321.215941</v>
      </c>
      <c r="AI16" s="287" t="n">
        <f aca="false">SUM(AI8:AI15)</f>
        <v>51644812.734582</v>
      </c>
      <c r="AJ16" s="287" t="n">
        <f aca="false">SUM(AJ8:AJ15)</f>
        <v>47189530.498088</v>
      </c>
      <c r="AK16" s="287" t="n">
        <f aca="false">SUM(AK8:AK15)</f>
        <v>42623131.65564</v>
      </c>
      <c r="AL16" s="287" t="n">
        <f aca="false">SUM(AL8:AL15)</f>
        <v>38967640.507006</v>
      </c>
      <c r="AM16" s="287" t="n">
        <f aca="false">SUM(AM8:AM15)</f>
        <v>35674218.379398</v>
      </c>
      <c r="AN16" s="287" t="n">
        <f aca="false">SUM(AN8:AN15)</f>
        <v>32431521.071818</v>
      </c>
      <c r="AO16" s="287" t="n">
        <f aca="false">SUM(AO8:AO15)</f>
        <v>29259209.377692</v>
      </c>
      <c r="AP16" s="287" t="n">
        <f aca="false">SUM(AP8:AP15)</f>
        <v>26175882.269526</v>
      </c>
      <c r="AQ16" s="287" t="n">
        <f aca="false">SUM(AQ8:AQ15)</f>
        <v>23198682.913276</v>
      </c>
      <c r="AR16" s="287" t="n">
        <f aca="false">SUM(AR8:AR15)</f>
        <v>20343070.101246</v>
      </c>
      <c r="AS16" s="287" t="n">
        <f aca="false">SUM(AS8:AS15)</f>
        <v>17622646.68817</v>
      </c>
      <c r="AT16" s="287" t="n">
        <f aca="false">SUM(AT8:AT15)</f>
        <v>15048852.226984</v>
      </c>
      <c r="AU16" s="287" t="n">
        <f aca="false">SUM(AU8:AU15)</f>
        <v>13258584.501624</v>
      </c>
      <c r="AV16" s="287" t="n">
        <f aca="false">SUM(AV8:AV15)</f>
        <v>11538273.165056</v>
      </c>
      <c r="AW16" s="287" t="n">
        <f aca="false">SUM(AW8:AW15)</f>
        <v>9901787.667552</v>
      </c>
      <c r="AX16" s="287" t="n">
        <f aca="false">SUM(AX8:AX15)</f>
        <v>8360541.887544</v>
      </c>
      <c r="AY16" s="287" t="n">
        <f aca="false">SUM(AY8:AY15)</f>
        <v>6923385.71628</v>
      </c>
      <c r="AZ16" s="287" t="n">
        <f aca="false">SUM(AZ8:AZ15)</f>
        <v>5596646.412456</v>
      </c>
      <c r="BA16" s="287" t="n">
        <f aca="false">SUM(BA8:BA15)</f>
        <v>4384004.53832</v>
      </c>
      <c r="BB16" s="287" t="n">
        <f aca="false">SUM(BB8:BB15)</f>
        <v>3286659.3782</v>
      </c>
      <c r="BC16" s="287" t="n">
        <f aca="false">SUM(BC8:BC15)</f>
        <v>2303535.711664</v>
      </c>
      <c r="BD16" s="287" t="n">
        <f aca="false">SUM(BD8:BD15)</f>
        <v>1431490.58668</v>
      </c>
      <c r="BE16" s="287" t="n">
        <f aca="false">SUM(BE8:BE15)</f>
        <v>665685.511304001</v>
      </c>
      <c r="BF16" s="287" t="n">
        <f aca="false">SUM(BF8:BF15)</f>
        <v>-165.418527995574</v>
      </c>
      <c r="BG16" s="287" t="n">
        <f aca="false">SUM(BG8:BG15)</f>
        <v>0</v>
      </c>
      <c r="BH16" s="287" t="n">
        <f aca="false">SUM(BH8:BH15)</f>
        <v>0</v>
      </c>
      <c r="BI16" s="287" t="n">
        <f aca="false">SUM(BI8:BI15)</f>
        <v>0</v>
      </c>
      <c r="BJ16" s="287" t="n">
        <f aca="false">SUM(BJ8:BJ15)</f>
        <v>0</v>
      </c>
      <c r="BK16" s="287" t="n">
        <f aca="false">SUM(BK8:BK15)</f>
        <v>0</v>
      </c>
      <c r="BL16" s="287" t="n">
        <f aca="false">SUM(BL8:BL15)</f>
        <v>0</v>
      </c>
      <c r="BM16" s="287" t="n">
        <f aca="false">SUM(BM8:BM15)</f>
        <v>0</v>
      </c>
      <c r="BN16" s="287" t="n">
        <f aca="false">SUM(BN8:BN15)</f>
        <v>0</v>
      </c>
      <c r="BO16" s="287" t="n">
        <f aca="false">SUM(BO8:BO15)</f>
        <v>0</v>
      </c>
      <c r="BP16" s="287" t="n">
        <f aca="false">SUM(BP8:BP15)</f>
        <v>0</v>
      </c>
      <c r="BQ16" s="287" t="n">
        <f aca="false">SUM(BQ8:BQ15)</f>
        <v>0</v>
      </c>
      <c r="BR16" s="287" t="n">
        <f aca="false">SUM(BR8:BR15)</f>
        <v>0</v>
      </c>
      <c r="BS16" s="287" t="n">
        <f aca="false">SUM(BS8:BS15)</f>
        <v>0</v>
      </c>
      <c r="BT16" s="287" t="n">
        <f aca="false">SUM(BT8:BT15)</f>
        <v>0</v>
      </c>
      <c r="BU16" s="287" t="n">
        <f aca="false">SUM(BU8:BU15)</f>
        <v>0</v>
      </c>
      <c r="BV16" s="287" t="n">
        <f aca="false">SUM(BV8:BV15)</f>
        <v>0</v>
      </c>
      <c r="BW16" s="287" t="n">
        <f aca="false">SUM(BW8:BW15)</f>
        <v>0</v>
      </c>
      <c r="BX16" s="287" t="n">
        <f aca="false">SUM(BX8:BX15)</f>
        <v>0</v>
      </c>
      <c r="BY16" s="287" t="n">
        <f aca="false">SUM(BY8:BY15)</f>
        <v>0</v>
      </c>
      <c r="BZ16" s="287" t="n">
        <f aca="false">SUM(BZ8:BZ15)</f>
        <v>0</v>
      </c>
      <c r="CA16" s="287" t="n">
        <f aca="false">SUM(CA8:CA15)</f>
        <v>0</v>
      </c>
      <c r="CB16" s="287" t="n">
        <f aca="false">SUM(CB8:CB15)</f>
        <v>0</v>
      </c>
      <c r="CC16" s="287" t="n">
        <f aca="false">SUM(CC8:CC15)</f>
        <v>0</v>
      </c>
      <c r="CD16" s="287" t="n">
        <f aca="false">SUM(CD8:CD15)</f>
        <v>0</v>
      </c>
      <c r="CE16" s="287" t="n">
        <f aca="false">SUM(CE8:CE15)</f>
        <v>0</v>
      </c>
      <c r="CF16" s="287" t="n">
        <f aca="false">SUM(CF8:CF15)</f>
        <v>0</v>
      </c>
      <c r="CG16" s="287" t="n">
        <f aca="false">SUM(CG8:CG15)</f>
        <v>0</v>
      </c>
      <c r="CH16" s="287" t="n">
        <f aca="false">SUM(CH8:CH15)</f>
        <v>0</v>
      </c>
      <c r="CI16" s="287" t="n">
        <f aca="false">SUM(CI8:CI15)</f>
        <v>0</v>
      </c>
      <c r="CJ16" s="287" t="n">
        <f aca="false">SUM(CJ8:CJ15)</f>
        <v>0</v>
      </c>
      <c r="CK16" s="287" t="n">
        <f aca="false">SUM(CK8:CK15)</f>
        <v>0</v>
      </c>
      <c r="CL16" s="287" t="n">
        <f aca="false">SUM(CL8:CL15)</f>
        <v>0</v>
      </c>
      <c r="CM16" s="287" t="n">
        <f aca="false">SUM(CM8:CM15)</f>
        <v>0</v>
      </c>
      <c r="CN16" s="287" t="n">
        <f aca="false">SUM(CN8:CN15)</f>
        <v>0</v>
      </c>
      <c r="CO16" s="287" t="n">
        <f aca="false">SUM(CO8:CO15)</f>
        <v>0</v>
      </c>
      <c r="CP16" s="287" t="n">
        <f aca="false">SUM(CP8:CP15)</f>
        <v>0</v>
      </c>
      <c r="CQ16" s="287" t="n">
        <f aca="false">SUM(CQ8:CQ15)</f>
        <v>0</v>
      </c>
    </row>
    <row r="18" customFormat="false" ht="15" hidden="false" customHeight="true" outlineLevel="0" collapsed="false">
      <c r="A18" s="23" t="s">
        <v>1071</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89" t="s">
        <v>1072</v>
      </c>
      <c r="C19" s="271" t="n">
        <f aca="false">IF(Projects!$G$7="Yes",Projects!$B$7*Assumptions!$B$47+Assumptions!$B$53*Assumptions!$B$48,0)</f>
        <v>577947.65</v>
      </c>
      <c r="D19" s="271" t="n">
        <f aca="false">C21</f>
        <v>577947.65</v>
      </c>
      <c r="E19" s="271" t="n">
        <f aca="false">D21</f>
        <v>577947.65</v>
      </c>
      <c r="F19" s="271" t="n">
        <f aca="false">E21</f>
        <v>577947.65</v>
      </c>
      <c r="G19" s="271" t="n">
        <f aca="false">F21</f>
        <v>577947.65</v>
      </c>
      <c r="H19" s="271" t="n">
        <f aca="false">G21</f>
        <v>577947.65</v>
      </c>
      <c r="I19" s="271" t="n">
        <f aca="false">H21</f>
        <v>577947.65</v>
      </c>
      <c r="J19" s="271" t="n">
        <f aca="false">I21</f>
        <v>577947.65</v>
      </c>
      <c r="K19" s="271" t="n">
        <f aca="false">J21</f>
        <v>577947.65</v>
      </c>
      <c r="L19" s="271" t="n">
        <f aca="false">K21</f>
        <v>577947.65</v>
      </c>
      <c r="M19" s="271" t="n">
        <f aca="false">L21</f>
        <v>577947.65</v>
      </c>
      <c r="N19" s="271" t="n">
        <f aca="false">M21</f>
        <v>577947.65</v>
      </c>
      <c r="O19" s="271" t="n">
        <f aca="false">N21</f>
        <v>577947.65</v>
      </c>
      <c r="P19" s="271" t="n">
        <f aca="false">O21</f>
        <v>577947.65</v>
      </c>
      <c r="Q19" s="271" t="n">
        <f aca="false">P21</f>
        <v>577947.65</v>
      </c>
      <c r="R19" s="271" t="n">
        <f aca="false">Q21</f>
        <v>577947.65</v>
      </c>
      <c r="S19" s="271" t="n">
        <f aca="false">R21</f>
        <v>577947.65</v>
      </c>
      <c r="T19" s="271" t="n">
        <f aca="false">S21</f>
        <v>577947.65</v>
      </c>
      <c r="U19" s="271" t="n">
        <f aca="false">T21</f>
        <v>577947.65</v>
      </c>
      <c r="V19" s="271" t="n">
        <f aca="false">U21</f>
        <v>577947.65</v>
      </c>
      <c r="W19" s="271" t="n">
        <f aca="false">V21</f>
        <v>577947.65</v>
      </c>
      <c r="X19" s="271" t="n">
        <f aca="false">W21</f>
        <v>577947.65</v>
      </c>
      <c r="Y19" s="271" t="n">
        <f aca="false">X21</f>
        <v>577947.65</v>
      </c>
      <c r="Z19" s="271" t="n">
        <f aca="false">Y21</f>
        <v>577947.65</v>
      </c>
      <c r="AA19" s="271" t="n">
        <f aca="false">Z21</f>
        <v>577947.65</v>
      </c>
      <c r="AB19" s="271" t="n">
        <f aca="false">AA21</f>
        <v>577947.65</v>
      </c>
      <c r="AC19" s="271" t="n">
        <f aca="false">AB21</f>
        <v>577947.65</v>
      </c>
      <c r="AD19" s="271" t="n">
        <f aca="false">AC21</f>
        <v>577947.65</v>
      </c>
      <c r="AE19" s="271" t="n">
        <f aca="false">AD21</f>
        <v>577947.65</v>
      </c>
      <c r="AF19" s="271" t="n">
        <f aca="false">AE21</f>
        <v>577947.65</v>
      </c>
      <c r="AG19" s="271" t="n">
        <f aca="false">AF21</f>
        <v>577947.65</v>
      </c>
      <c r="AH19" s="271" t="n">
        <f aca="false">AG21</f>
        <v>577947.65</v>
      </c>
      <c r="AI19" s="271" t="n">
        <f aca="false">AH21</f>
        <v>577947.65</v>
      </c>
      <c r="AJ19" s="271" t="n">
        <f aca="false">AI21</f>
        <v>577947.65</v>
      </c>
      <c r="AK19" s="271" t="n">
        <f aca="false">AJ21</f>
        <v>577947.65</v>
      </c>
      <c r="AL19" s="271" t="n">
        <f aca="false">AK21</f>
        <v>577947.65</v>
      </c>
      <c r="AM19" s="271" t="n">
        <f aca="false">AL21</f>
        <v>577947.65</v>
      </c>
      <c r="AN19" s="271" t="n">
        <f aca="false">AM21</f>
        <v>577947.65</v>
      </c>
      <c r="AO19" s="271" t="n">
        <f aca="false">AN21</f>
        <v>577947.65</v>
      </c>
      <c r="AP19" s="271" t="n">
        <f aca="false">AO21</f>
        <v>577947.65</v>
      </c>
      <c r="AQ19" s="271" t="n">
        <f aca="false">AP21</f>
        <v>577947.65</v>
      </c>
      <c r="AR19" s="271" t="n">
        <f aca="false">AQ21</f>
        <v>577947.65</v>
      </c>
      <c r="AS19" s="271" t="n">
        <f aca="false">AR21</f>
        <v>496264.65</v>
      </c>
      <c r="AT19" s="271" t="n">
        <f aca="false">AS21</f>
        <v>496264.65</v>
      </c>
      <c r="AU19" s="271" t="n">
        <f aca="false">AT21</f>
        <v>496264.65</v>
      </c>
      <c r="AV19" s="271" t="n">
        <f aca="false">AU21</f>
        <v>414582.65</v>
      </c>
      <c r="AW19" s="271" t="n">
        <f aca="false">AV21</f>
        <v>414582.65</v>
      </c>
      <c r="AX19" s="271" t="n">
        <f aca="false">AW21</f>
        <v>414582.65</v>
      </c>
      <c r="AY19" s="271" t="n">
        <f aca="false">AX21</f>
        <v>332900.65</v>
      </c>
      <c r="AZ19" s="271" t="n">
        <f aca="false">AY21</f>
        <v>332900.65</v>
      </c>
      <c r="BA19" s="271" t="n">
        <f aca="false">AZ21</f>
        <v>332900.65</v>
      </c>
      <c r="BB19" s="271" t="n">
        <f aca="false">BA21</f>
        <v>251218.65</v>
      </c>
      <c r="BC19" s="271" t="n">
        <f aca="false">BB21</f>
        <v>251218.65</v>
      </c>
      <c r="BD19" s="271" t="n">
        <f aca="false">BC21</f>
        <v>251218.65</v>
      </c>
      <c r="BE19" s="271" t="n">
        <f aca="false">BD21</f>
        <v>192040.65</v>
      </c>
      <c r="BF19" s="271" t="n">
        <f aca="false">BE21</f>
        <v>192040.65</v>
      </c>
      <c r="BG19" s="271" t="n">
        <f aca="false">BF21</f>
        <v>192040.65</v>
      </c>
      <c r="BH19" s="271" t="n">
        <f aca="false">BG21</f>
        <v>132864.65</v>
      </c>
      <c r="BI19" s="271" t="n">
        <f aca="false">BH21</f>
        <v>132864.65</v>
      </c>
      <c r="BJ19" s="271" t="n">
        <f aca="false">BI21</f>
        <v>132864.65</v>
      </c>
      <c r="BK19" s="271" t="n">
        <f aca="false">BJ21</f>
        <v>73688.65</v>
      </c>
      <c r="BL19" s="271" t="n">
        <f aca="false">BK21</f>
        <v>73688.65</v>
      </c>
      <c r="BM19" s="271" t="n">
        <f aca="false">BL21</f>
        <v>73688.65</v>
      </c>
      <c r="BN19" s="271" t="n">
        <f aca="false">BM21</f>
        <v>14512.65</v>
      </c>
      <c r="BO19" s="271" t="n">
        <f aca="false">BN21</f>
        <v>14512.65</v>
      </c>
      <c r="BP19" s="271" t="n">
        <f aca="false">BO21</f>
        <v>14512.65</v>
      </c>
      <c r="BQ19" s="271" t="n">
        <f aca="false">BP21</f>
        <v>0</v>
      </c>
      <c r="BR19" s="271" t="n">
        <f aca="false">BQ21</f>
        <v>0</v>
      </c>
      <c r="BS19" s="271" t="n">
        <f aca="false">BR21</f>
        <v>0</v>
      </c>
      <c r="BT19" s="271" t="n">
        <f aca="false">BS21</f>
        <v>0</v>
      </c>
      <c r="BU19" s="271" t="n">
        <f aca="false">BT21</f>
        <v>0</v>
      </c>
      <c r="BV19" s="271" t="n">
        <f aca="false">BU21</f>
        <v>0</v>
      </c>
      <c r="BW19" s="271" t="n">
        <f aca="false">BV21</f>
        <v>0</v>
      </c>
      <c r="BX19" s="271" t="n">
        <f aca="false">BW21</f>
        <v>0</v>
      </c>
      <c r="BY19" s="271" t="n">
        <f aca="false">BX21</f>
        <v>0</v>
      </c>
      <c r="BZ19" s="271" t="n">
        <f aca="false">BY21</f>
        <v>0</v>
      </c>
      <c r="CA19" s="271" t="n">
        <f aca="false">BZ21</f>
        <v>0</v>
      </c>
      <c r="CB19" s="271" t="n">
        <f aca="false">CA21</f>
        <v>0</v>
      </c>
      <c r="CC19" s="271" t="n">
        <f aca="false">CB21</f>
        <v>0</v>
      </c>
      <c r="CD19" s="271" t="n">
        <f aca="false">CC21</f>
        <v>0</v>
      </c>
      <c r="CE19" s="271" t="n">
        <f aca="false">CD21</f>
        <v>0</v>
      </c>
      <c r="CF19" s="271" t="n">
        <f aca="false">CE21</f>
        <v>0</v>
      </c>
      <c r="CG19" s="271" t="n">
        <f aca="false">CF21</f>
        <v>0</v>
      </c>
      <c r="CH19" s="271" t="n">
        <f aca="false">CG21</f>
        <v>0</v>
      </c>
      <c r="CI19" s="271" t="n">
        <f aca="false">CH21</f>
        <v>0</v>
      </c>
      <c r="CJ19" s="271" t="n">
        <f aca="false">CI21</f>
        <v>0</v>
      </c>
      <c r="CK19" s="271" t="n">
        <f aca="false">CJ21</f>
        <v>0</v>
      </c>
      <c r="CL19" s="271" t="n">
        <f aca="false">CK21</f>
        <v>0</v>
      </c>
      <c r="CM19" s="271" t="n">
        <f aca="false">CL21</f>
        <v>0</v>
      </c>
      <c r="CN19" s="271" t="n">
        <f aca="false">CM21</f>
        <v>0</v>
      </c>
      <c r="CO19" s="271" t="n">
        <f aca="false">CN21</f>
        <v>0</v>
      </c>
      <c r="CP19" s="271" t="n">
        <f aca="false">CO21</f>
        <v>0</v>
      </c>
      <c r="CQ19" s="271" t="n">
        <f aca="false">CP21</f>
        <v>0</v>
      </c>
    </row>
    <row r="20" customFormat="false" ht="15" hidden="false" customHeight="true" outlineLevel="0" collapsed="false">
      <c r="A20" s="288" t="s">
        <v>1073</v>
      </c>
      <c r="C20" s="289" t="n">
        <f aca="false">MIN(C19,Model!E254)</f>
        <v>0</v>
      </c>
      <c r="D20" s="289" t="n">
        <f aca="false">MIN(D19,Model!F254)</f>
        <v>0</v>
      </c>
      <c r="E20" s="289" t="n">
        <f aca="false">MIN(E19,Model!G254)</f>
        <v>0</v>
      </c>
      <c r="F20" s="289" t="n">
        <f aca="false">MIN(F19,Model!H254)</f>
        <v>0</v>
      </c>
      <c r="G20" s="289" t="n">
        <f aca="false">IF(ISBLANK(Actuals!J109),MIN(G19,Model!I254),-Actuals!J109)</f>
        <v>-0</v>
      </c>
      <c r="H20" s="289" t="n">
        <f aca="false">MIN(H19,Model!J254)</f>
        <v>0</v>
      </c>
      <c r="I20" s="289" t="n">
        <f aca="false">MIN(I19,Model!K254)</f>
        <v>0</v>
      </c>
      <c r="J20" s="289" t="n">
        <f aca="false">MIN(J19,Model!L254)</f>
        <v>0</v>
      </c>
      <c r="K20" s="289" t="n">
        <f aca="false">MIN(K19,Model!M254)</f>
        <v>0</v>
      </c>
      <c r="L20" s="289" t="n">
        <f aca="false">MIN(L19,Model!N254)</f>
        <v>0</v>
      </c>
      <c r="M20" s="289" t="n">
        <f aca="false">MIN(M19,Model!O254)</f>
        <v>0</v>
      </c>
      <c r="N20" s="289" t="n">
        <f aca="false">MIN(N19,Model!P254)</f>
        <v>0</v>
      </c>
      <c r="O20" s="289" t="n">
        <f aca="false">MIN(O19,Model!Q254)</f>
        <v>0</v>
      </c>
      <c r="P20" s="289" t="n">
        <f aca="false">MIN(P19,Model!R254)</f>
        <v>0</v>
      </c>
      <c r="Q20" s="289" t="n">
        <f aca="false">MIN(Q19,Model!S254)</f>
        <v>0</v>
      </c>
      <c r="R20" s="289" t="n">
        <f aca="false">MIN(R19,Model!T254)</f>
        <v>0</v>
      </c>
      <c r="S20" s="289" t="n">
        <f aca="false">MIN(S19,Model!U254)</f>
        <v>0</v>
      </c>
      <c r="T20" s="289" t="n">
        <f aca="false">MIN(T19,Model!V254)</f>
        <v>0</v>
      </c>
      <c r="U20" s="289" t="n">
        <f aca="false">MIN(U19,Model!W254)</f>
        <v>0</v>
      </c>
      <c r="V20" s="289" t="n">
        <f aca="false">MIN(V19,Model!X254)</f>
        <v>0</v>
      </c>
      <c r="W20" s="289" t="n">
        <f aca="false">MIN(W19,Model!Y254)</f>
        <v>0</v>
      </c>
      <c r="X20" s="289" t="n">
        <f aca="false">MIN(X19,Model!Z254)</f>
        <v>0</v>
      </c>
      <c r="Y20" s="289" t="n">
        <f aca="false">MIN(Y19,Model!AA254)</f>
        <v>0</v>
      </c>
      <c r="Z20" s="289" t="n">
        <f aca="false">MIN(Z19,Model!AB254)</f>
        <v>0</v>
      </c>
      <c r="AA20" s="289" t="n">
        <f aca="false">MIN(AA19,Model!AC254)</f>
        <v>0</v>
      </c>
      <c r="AB20" s="289" t="n">
        <f aca="false">MIN(AB19,Model!AD254)</f>
        <v>0</v>
      </c>
      <c r="AC20" s="289" t="n">
        <f aca="false">MIN(AC19,Model!AE254)</f>
        <v>0</v>
      </c>
      <c r="AD20" s="289" t="n">
        <f aca="false">MIN(AD19,Model!AF254)</f>
        <v>0</v>
      </c>
      <c r="AE20" s="289" t="n">
        <f aca="false">MIN(AE19,Model!AG254)</f>
        <v>0</v>
      </c>
      <c r="AF20" s="289" t="n">
        <f aca="false">MIN(AF19,Model!AH254)</f>
        <v>0</v>
      </c>
      <c r="AG20" s="289" t="n">
        <f aca="false">MIN(AG19,Model!AI254)</f>
        <v>0</v>
      </c>
      <c r="AH20" s="289" t="n">
        <f aca="false">MIN(AH19,Model!AJ254)</f>
        <v>0</v>
      </c>
      <c r="AI20" s="289" t="n">
        <f aca="false">MIN(AI19,Model!AK254)</f>
        <v>0</v>
      </c>
      <c r="AJ20" s="289" t="n">
        <f aca="false">MIN(AJ19,Model!AL254)</f>
        <v>0</v>
      </c>
      <c r="AK20" s="289" t="n">
        <f aca="false">MIN(AK19,Model!AM254)</f>
        <v>0</v>
      </c>
      <c r="AL20" s="289" t="n">
        <f aca="false">MIN(AL19,Model!AN254)</f>
        <v>0</v>
      </c>
      <c r="AM20" s="289" t="n">
        <f aca="false">MIN(AM19,Model!AO254)</f>
        <v>0</v>
      </c>
      <c r="AN20" s="289" t="n">
        <f aca="false">MIN(AN19,Model!AP254)</f>
        <v>0</v>
      </c>
      <c r="AO20" s="289" t="n">
        <f aca="false">MIN(AO19,Model!AQ254)</f>
        <v>0</v>
      </c>
      <c r="AP20" s="289" t="n">
        <f aca="false">MIN(AP19,Model!AR254)</f>
        <v>0</v>
      </c>
      <c r="AQ20" s="289" t="n">
        <f aca="false">MIN(AQ19,Model!AS254)</f>
        <v>0</v>
      </c>
      <c r="AR20" s="289" t="n">
        <f aca="false">MIN(AR19,Model!AT254)</f>
        <v>81683</v>
      </c>
      <c r="AS20" s="289" t="n">
        <f aca="false">MIN(AS19,Model!AU254)</f>
        <v>0</v>
      </c>
      <c r="AT20" s="289" t="n">
        <f aca="false">MIN(AT19,Model!AV254)</f>
        <v>0</v>
      </c>
      <c r="AU20" s="289" t="n">
        <f aca="false">MIN(AU19,Model!AW254)</f>
        <v>81682</v>
      </c>
      <c r="AV20" s="289" t="n">
        <f aca="false">MIN(AV19,Model!AX254)</f>
        <v>0</v>
      </c>
      <c r="AW20" s="289" t="n">
        <f aca="false">MIN(AW19,Model!AY254)</f>
        <v>0</v>
      </c>
      <c r="AX20" s="289" t="n">
        <f aca="false">MIN(AX19,Model!AZ254)</f>
        <v>81682</v>
      </c>
      <c r="AY20" s="289" t="n">
        <f aca="false">MIN(AY19,Model!BA254)</f>
        <v>0</v>
      </c>
      <c r="AZ20" s="289" t="n">
        <f aca="false">MIN(AZ19,Model!BB254)</f>
        <v>0</v>
      </c>
      <c r="BA20" s="289" t="n">
        <f aca="false">MIN(BA19,Model!BC254)</f>
        <v>81682</v>
      </c>
      <c r="BB20" s="289" t="n">
        <f aca="false">MIN(BB19,Model!BD254)</f>
        <v>0</v>
      </c>
      <c r="BC20" s="289" t="n">
        <f aca="false">MIN(BC19,Model!BE254)</f>
        <v>0</v>
      </c>
      <c r="BD20" s="289" t="n">
        <f aca="false">MIN(BD19,Model!BF254)</f>
        <v>59178</v>
      </c>
      <c r="BE20" s="289" t="n">
        <f aca="false">MIN(BE19,Model!BG254)</f>
        <v>0</v>
      </c>
      <c r="BF20" s="289" t="n">
        <f aca="false">MIN(BF19,Model!BH254)</f>
        <v>0</v>
      </c>
      <c r="BG20" s="289" t="n">
        <f aca="false">MIN(BG19,Model!BI254)</f>
        <v>59176</v>
      </c>
      <c r="BH20" s="289" t="n">
        <f aca="false">MIN(BH19,Model!BJ254)</f>
        <v>0</v>
      </c>
      <c r="BI20" s="289" t="n">
        <f aca="false">MIN(BI19,Model!BK254)</f>
        <v>0</v>
      </c>
      <c r="BJ20" s="289" t="n">
        <f aca="false">MIN(BJ19,Model!BL254)</f>
        <v>59176</v>
      </c>
      <c r="BK20" s="289" t="n">
        <f aca="false">MIN(BK19,Model!BM254)</f>
        <v>0</v>
      </c>
      <c r="BL20" s="289" t="n">
        <f aca="false">MIN(BL19,Model!BN254)</f>
        <v>0</v>
      </c>
      <c r="BM20" s="289" t="n">
        <f aca="false">MIN(BM19,Model!BO254)</f>
        <v>59176</v>
      </c>
      <c r="BN20" s="289" t="n">
        <f aca="false">MIN(BN19,Model!BP254)</f>
        <v>0</v>
      </c>
      <c r="BO20" s="289" t="n">
        <f aca="false">MIN(BO19,Model!BQ254)</f>
        <v>0</v>
      </c>
      <c r="BP20" s="289" t="n">
        <f aca="false">MIN(BP19,Model!BR254)</f>
        <v>14512.65</v>
      </c>
      <c r="BQ20" s="289" t="n">
        <f aca="false">MIN(BQ19,Model!BS254)</f>
        <v>0</v>
      </c>
      <c r="BR20" s="289" t="n">
        <f aca="false">MIN(BR19,Model!BT254)</f>
        <v>0</v>
      </c>
      <c r="BS20" s="289" t="n">
        <f aca="false">MIN(BS19,Model!BU254)</f>
        <v>0</v>
      </c>
      <c r="BT20" s="289" t="n">
        <f aca="false">MIN(BT19,Model!BV254)</f>
        <v>0</v>
      </c>
      <c r="BU20" s="289" t="n">
        <f aca="false">MIN(BU19,Model!BW254)</f>
        <v>0</v>
      </c>
      <c r="BV20" s="289" t="n">
        <f aca="false">MIN(BV19,Model!BX254)</f>
        <v>0</v>
      </c>
      <c r="BW20" s="289" t="n">
        <f aca="false">MIN(BW19,Model!BY254)</f>
        <v>0</v>
      </c>
      <c r="BX20" s="289" t="n">
        <f aca="false">MIN(BX19,Model!BZ254)</f>
        <v>0</v>
      </c>
      <c r="BY20" s="289" t="n">
        <f aca="false">MIN(BY19,Model!CA254)</f>
        <v>0</v>
      </c>
      <c r="BZ20" s="289" t="n">
        <f aca="false">MIN(BZ19,Model!CB254)</f>
        <v>0</v>
      </c>
      <c r="CA20" s="289" t="n">
        <f aca="false">MIN(CA19,Model!CC254)</f>
        <v>0</v>
      </c>
      <c r="CB20" s="289" t="n">
        <f aca="false">MIN(CB19,Model!CD254)</f>
        <v>0</v>
      </c>
      <c r="CC20" s="289" t="n">
        <f aca="false">MIN(CC19,Model!CE254)</f>
        <v>0</v>
      </c>
      <c r="CD20" s="289" t="n">
        <f aca="false">MIN(CD19,Model!CF254)</f>
        <v>0</v>
      </c>
      <c r="CE20" s="289" t="n">
        <f aca="false">MIN(CE19,Model!CG254)</f>
        <v>0</v>
      </c>
      <c r="CF20" s="289" t="n">
        <f aca="false">MIN(CF19,Model!CH254)</f>
        <v>0</v>
      </c>
      <c r="CG20" s="289" t="n">
        <f aca="false">MIN(CG19,Model!CI254)</f>
        <v>0</v>
      </c>
      <c r="CH20" s="289" t="n">
        <f aca="false">MIN(CH19,Model!CJ254)</f>
        <v>0</v>
      </c>
      <c r="CI20" s="289" t="n">
        <f aca="false">MIN(CI19,Model!CK254)</f>
        <v>0</v>
      </c>
      <c r="CJ20" s="289" t="n">
        <f aca="false">MIN(CJ19,Model!CL254)</f>
        <v>0</v>
      </c>
      <c r="CK20" s="289" t="n">
        <f aca="false">MIN(CK19,Model!CM254)</f>
        <v>0</v>
      </c>
      <c r="CL20" s="289" t="n">
        <f aca="false">MIN(CL19,Model!CN254)</f>
        <v>0</v>
      </c>
      <c r="CM20" s="289" t="n">
        <f aca="false">MIN(CM19,Model!CO254)</f>
        <v>0</v>
      </c>
      <c r="CN20" s="289" t="n">
        <f aca="false">MIN(CN19,Model!CP254)</f>
        <v>0</v>
      </c>
      <c r="CO20" s="289" t="n">
        <f aca="false">MIN(CO19,Model!CQ254)</f>
        <v>0</v>
      </c>
      <c r="CP20" s="289" t="n">
        <f aca="false">MIN(CP19,Model!CR254)</f>
        <v>0</v>
      </c>
      <c r="CQ20" s="289" t="n">
        <f aca="false">MIN(CQ19,Model!CS254)</f>
        <v>0</v>
      </c>
    </row>
    <row r="21" customFormat="false" ht="15" hidden="false" customHeight="true" outlineLevel="0" collapsed="false">
      <c r="A21" s="94" t="s">
        <v>1074</v>
      </c>
      <c r="C21" s="287" t="n">
        <f aca="false">MAX(0,C19-C20)</f>
        <v>577947.65</v>
      </c>
      <c r="D21" s="287" t="n">
        <f aca="false">MAX(0,D19-D20)</f>
        <v>577947.65</v>
      </c>
      <c r="E21" s="287" t="n">
        <f aca="false">MAX(0,E19-E20)</f>
        <v>577947.65</v>
      </c>
      <c r="F21" s="287" t="n">
        <f aca="false">MAX(0,F19-F20)</f>
        <v>577947.65</v>
      </c>
      <c r="G21" s="287" t="n">
        <f aca="false">MAX(0,G19-G20)</f>
        <v>577947.65</v>
      </c>
      <c r="H21" s="287" t="n">
        <f aca="false">MAX(0,H19-H20)</f>
        <v>577947.65</v>
      </c>
      <c r="I21" s="287" t="n">
        <f aca="false">MAX(0,I19-I20)</f>
        <v>577947.65</v>
      </c>
      <c r="J21" s="287" t="n">
        <f aca="false">MAX(0,J19-J20)</f>
        <v>577947.65</v>
      </c>
      <c r="K21" s="287" t="n">
        <f aca="false">MAX(0,K19-K20)</f>
        <v>577947.65</v>
      </c>
      <c r="L21" s="287" t="n">
        <f aca="false">MAX(0,L19-L20)</f>
        <v>577947.65</v>
      </c>
      <c r="M21" s="287" t="n">
        <f aca="false">MAX(0,M19-M20)</f>
        <v>577947.65</v>
      </c>
      <c r="N21" s="287" t="n">
        <f aca="false">MAX(0,N19-N20)</f>
        <v>577947.65</v>
      </c>
      <c r="O21" s="287" t="n">
        <f aca="false">MAX(0,O19-O20)</f>
        <v>577947.65</v>
      </c>
      <c r="P21" s="287" t="n">
        <f aca="false">MAX(0,P19-P20)</f>
        <v>577947.65</v>
      </c>
      <c r="Q21" s="287" t="n">
        <f aca="false">MAX(0,Q19-Q20)</f>
        <v>577947.65</v>
      </c>
      <c r="R21" s="287" t="n">
        <f aca="false">MAX(0,R19-R20)</f>
        <v>577947.65</v>
      </c>
      <c r="S21" s="287" t="n">
        <f aca="false">MAX(0,S19-S20)</f>
        <v>577947.65</v>
      </c>
      <c r="T21" s="287" t="n">
        <f aca="false">MAX(0,T19-T20)</f>
        <v>577947.65</v>
      </c>
      <c r="U21" s="287" t="n">
        <f aca="false">MAX(0,U19-U20)</f>
        <v>577947.65</v>
      </c>
      <c r="V21" s="287" t="n">
        <f aca="false">MAX(0,V19-V20)</f>
        <v>577947.65</v>
      </c>
      <c r="W21" s="287" t="n">
        <f aca="false">MAX(0,W19-W20)</f>
        <v>577947.65</v>
      </c>
      <c r="X21" s="287" t="n">
        <f aca="false">MAX(0,X19-X20)</f>
        <v>577947.65</v>
      </c>
      <c r="Y21" s="287" t="n">
        <f aca="false">MAX(0,Y19-Y20)</f>
        <v>577947.65</v>
      </c>
      <c r="Z21" s="287" t="n">
        <f aca="false">MAX(0,Z19-Z20)</f>
        <v>577947.65</v>
      </c>
      <c r="AA21" s="287" t="n">
        <f aca="false">MAX(0,AA19-AA20)</f>
        <v>577947.65</v>
      </c>
      <c r="AB21" s="287" t="n">
        <f aca="false">MAX(0,AB19-AB20)</f>
        <v>577947.65</v>
      </c>
      <c r="AC21" s="287" t="n">
        <f aca="false">MAX(0,AC19-AC20)</f>
        <v>577947.65</v>
      </c>
      <c r="AD21" s="287" t="n">
        <f aca="false">MAX(0,AD19-AD20)</f>
        <v>577947.65</v>
      </c>
      <c r="AE21" s="287" t="n">
        <f aca="false">MAX(0,AE19-AE20)</f>
        <v>577947.65</v>
      </c>
      <c r="AF21" s="287" t="n">
        <f aca="false">MAX(0,AF19-AF20)</f>
        <v>577947.65</v>
      </c>
      <c r="AG21" s="287" t="n">
        <f aca="false">MAX(0,AG19-AG20)</f>
        <v>577947.65</v>
      </c>
      <c r="AH21" s="287" t="n">
        <f aca="false">MAX(0,AH19-AH20)</f>
        <v>577947.65</v>
      </c>
      <c r="AI21" s="287" t="n">
        <f aca="false">MAX(0,AI19-AI20)</f>
        <v>577947.65</v>
      </c>
      <c r="AJ21" s="287" t="n">
        <f aca="false">MAX(0,AJ19-AJ20)</f>
        <v>577947.65</v>
      </c>
      <c r="AK21" s="287" t="n">
        <f aca="false">MAX(0,AK19-AK20)</f>
        <v>577947.65</v>
      </c>
      <c r="AL21" s="287" t="n">
        <f aca="false">MAX(0,AL19-AL20)</f>
        <v>577947.65</v>
      </c>
      <c r="AM21" s="287" t="n">
        <f aca="false">MAX(0,AM19-AM20)</f>
        <v>577947.65</v>
      </c>
      <c r="AN21" s="287" t="n">
        <f aca="false">MAX(0,AN19-AN20)</f>
        <v>577947.65</v>
      </c>
      <c r="AO21" s="287" t="n">
        <f aca="false">MAX(0,AO19-AO20)</f>
        <v>577947.65</v>
      </c>
      <c r="AP21" s="287" t="n">
        <f aca="false">MAX(0,AP19-AP20)</f>
        <v>577947.65</v>
      </c>
      <c r="AQ21" s="287" t="n">
        <f aca="false">MAX(0,AQ19-AQ20)</f>
        <v>577947.65</v>
      </c>
      <c r="AR21" s="287" t="n">
        <f aca="false">MAX(0,AR19-AR20)</f>
        <v>496264.65</v>
      </c>
      <c r="AS21" s="287" t="n">
        <f aca="false">MAX(0,AS19-AS20)</f>
        <v>496264.65</v>
      </c>
      <c r="AT21" s="287" t="n">
        <f aca="false">MAX(0,AT19-AT20)</f>
        <v>496264.65</v>
      </c>
      <c r="AU21" s="287" t="n">
        <f aca="false">MAX(0,AU19-AU20)</f>
        <v>414582.65</v>
      </c>
      <c r="AV21" s="287" t="n">
        <f aca="false">MAX(0,AV19-AV20)</f>
        <v>414582.65</v>
      </c>
      <c r="AW21" s="287" t="n">
        <f aca="false">MAX(0,AW19-AW20)</f>
        <v>414582.65</v>
      </c>
      <c r="AX21" s="287" t="n">
        <f aca="false">MAX(0,AX19-AX20)</f>
        <v>332900.65</v>
      </c>
      <c r="AY21" s="287" t="n">
        <f aca="false">MAX(0,AY19-AY20)</f>
        <v>332900.65</v>
      </c>
      <c r="AZ21" s="287" t="n">
        <f aca="false">MAX(0,AZ19-AZ20)</f>
        <v>332900.65</v>
      </c>
      <c r="BA21" s="287" t="n">
        <f aca="false">MAX(0,BA19-BA20)</f>
        <v>251218.65</v>
      </c>
      <c r="BB21" s="287" t="n">
        <f aca="false">MAX(0,BB19-BB20)</f>
        <v>251218.65</v>
      </c>
      <c r="BC21" s="287" t="n">
        <f aca="false">MAX(0,BC19-BC20)</f>
        <v>251218.65</v>
      </c>
      <c r="BD21" s="287" t="n">
        <f aca="false">MAX(0,BD19-BD20)</f>
        <v>192040.65</v>
      </c>
      <c r="BE21" s="287" t="n">
        <f aca="false">MAX(0,BE19-BE20)</f>
        <v>192040.65</v>
      </c>
      <c r="BF21" s="287" t="n">
        <f aca="false">MAX(0,BF19-BF20)</f>
        <v>192040.65</v>
      </c>
      <c r="BG21" s="287" t="n">
        <f aca="false">MAX(0,BG19-BG20)</f>
        <v>132864.65</v>
      </c>
      <c r="BH21" s="287" t="n">
        <f aca="false">MAX(0,BH19-BH20)</f>
        <v>132864.65</v>
      </c>
      <c r="BI21" s="287" t="n">
        <f aca="false">MAX(0,BI19-BI20)</f>
        <v>132864.65</v>
      </c>
      <c r="BJ21" s="287" t="n">
        <f aca="false">MAX(0,BJ19-BJ20)</f>
        <v>73688.65</v>
      </c>
      <c r="BK21" s="287" t="n">
        <f aca="false">MAX(0,BK19-BK20)</f>
        <v>73688.65</v>
      </c>
      <c r="BL21" s="287" t="n">
        <f aca="false">MAX(0,BL19-BL20)</f>
        <v>73688.65</v>
      </c>
      <c r="BM21" s="287" t="n">
        <f aca="false">MAX(0,BM19-BM20)</f>
        <v>14512.65</v>
      </c>
      <c r="BN21" s="287" t="n">
        <f aca="false">MAX(0,BN19-BN20)</f>
        <v>14512.65</v>
      </c>
      <c r="BO21" s="287" t="n">
        <f aca="false">MAX(0,BO19-BO20)</f>
        <v>14512.65</v>
      </c>
      <c r="BP21" s="287" t="n">
        <f aca="false">MAX(0,BP19-BP20)</f>
        <v>0</v>
      </c>
      <c r="BQ21" s="287" t="n">
        <f aca="false">MAX(0,BQ19-BQ20)</f>
        <v>0</v>
      </c>
      <c r="BR21" s="287" t="n">
        <f aca="false">MAX(0,BR19-BR20)</f>
        <v>0</v>
      </c>
      <c r="BS21" s="287" t="n">
        <f aca="false">MAX(0,BS19-BS20)</f>
        <v>0</v>
      </c>
      <c r="BT21" s="287" t="n">
        <f aca="false">MAX(0,BT19-BT20)</f>
        <v>0</v>
      </c>
      <c r="BU21" s="287" t="n">
        <f aca="false">MAX(0,BU19-BU20)</f>
        <v>0</v>
      </c>
      <c r="BV21" s="287" t="n">
        <f aca="false">MAX(0,BV19-BV20)</f>
        <v>0</v>
      </c>
      <c r="BW21" s="287" t="n">
        <f aca="false">MAX(0,BW19-BW20)</f>
        <v>0</v>
      </c>
      <c r="BX21" s="287" t="n">
        <f aca="false">MAX(0,BX19-BX20)</f>
        <v>0</v>
      </c>
      <c r="BY21" s="287" t="n">
        <f aca="false">MAX(0,BY19-BY20)</f>
        <v>0</v>
      </c>
      <c r="BZ21" s="287" t="n">
        <f aca="false">MAX(0,BZ19-BZ20)</f>
        <v>0</v>
      </c>
      <c r="CA21" s="287" t="n">
        <f aca="false">MAX(0,CA19-CA20)</f>
        <v>0</v>
      </c>
      <c r="CB21" s="287" t="n">
        <f aca="false">MAX(0,CB19-CB20)</f>
        <v>0</v>
      </c>
      <c r="CC21" s="287" t="n">
        <f aca="false">MAX(0,CC19-CC20)</f>
        <v>0</v>
      </c>
      <c r="CD21" s="287" t="n">
        <f aca="false">MAX(0,CD19-CD20)</f>
        <v>0</v>
      </c>
      <c r="CE21" s="287" t="n">
        <f aca="false">MAX(0,CE19-CE20)</f>
        <v>0</v>
      </c>
      <c r="CF21" s="287" t="n">
        <f aca="false">MAX(0,CF19-CF20)</f>
        <v>0</v>
      </c>
      <c r="CG21" s="287" t="n">
        <f aca="false">MAX(0,CG19-CG20)</f>
        <v>0</v>
      </c>
      <c r="CH21" s="287" t="n">
        <f aca="false">MAX(0,CH19-CH20)</f>
        <v>0</v>
      </c>
      <c r="CI21" s="287" t="n">
        <f aca="false">MAX(0,CI19-CI20)</f>
        <v>0</v>
      </c>
      <c r="CJ21" s="287" t="n">
        <f aca="false">MAX(0,CJ19-CJ20)</f>
        <v>0</v>
      </c>
      <c r="CK21" s="287" t="n">
        <f aca="false">MAX(0,CK19-CK20)</f>
        <v>0</v>
      </c>
      <c r="CL21" s="287" t="n">
        <f aca="false">MAX(0,CL19-CL20)</f>
        <v>0</v>
      </c>
      <c r="CM21" s="287" t="n">
        <f aca="false">MAX(0,CM19-CM20)</f>
        <v>0</v>
      </c>
      <c r="CN21" s="287" t="n">
        <f aca="false">MAX(0,CN19-CN20)</f>
        <v>0</v>
      </c>
      <c r="CO21" s="287" t="n">
        <f aca="false">MAX(0,CO19-CO20)</f>
        <v>0</v>
      </c>
      <c r="CP21" s="287" t="n">
        <f aca="false">MAX(0,CP19-CP20)</f>
        <v>0</v>
      </c>
      <c r="CQ21" s="287" t="n">
        <f aca="false">MAX(0,CQ19-CQ20)</f>
        <v>0</v>
      </c>
    </row>
    <row r="22" customFormat="false" ht="15" hidden="false" customHeight="true" outlineLevel="0" collapsed="false">
      <c r="A22" s="189" t="s">
        <v>1075</v>
      </c>
      <c r="C22" s="271" t="n">
        <f aca="false">IF(Projects!$G$13="Yes",Projects!$B$13*Assumptions!$B$47+Assumptions!$B$54*Assumptions!$B$48,0)</f>
        <v>602667.7</v>
      </c>
      <c r="D22" s="271" t="n">
        <f aca="false">C24</f>
        <v>602667.7</v>
      </c>
      <c r="E22" s="271" t="n">
        <f aca="false">D24</f>
        <v>602667.7</v>
      </c>
      <c r="F22" s="271" t="n">
        <f aca="false">E24</f>
        <v>602667.7</v>
      </c>
      <c r="G22" s="271" t="n">
        <f aca="false">F24</f>
        <v>602667.7</v>
      </c>
      <c r="H22" s="271" t="n">
        <f aca="false">G24</f>
        <v>602667.7</v>
      </c>
      <c r="I22" s="271" t="n">
        <f aca="false">H24</f>
        <v>602667.7</v>
      </c>
      <c r="J22" s="271" t="n">
        <f aca="false">I24</f>
        <v>602667.7</v>
      </c>
      <c r="K22" s="271" t="n">
        <f aca="false">J24</f>
        <v>602667.7</v>
      </c>
      <c r="L22" s="271" t="n">
        <f aca="false">K24</f>
        <v>602667.7</v>
      </c>
      <c r="M22" s="271" t="n">
        <f aca="false">L24</f>
        <v>602667.7</v>
      </c>
      <c r="N22" s="271" t="n">
        <f aca="false">M24</f>
        <v>602667.7</v>
      </c>
      <c r="O22" s="271" t="n">
        <f aca="false">N24</f>
        <v>602667.7</v>
      </c>
      <c r="P22" s="271" t="n">
        <f aca="false">O24</f>
        <v>602667.7</v>
      </c>
      <c r="Q22" s="271" t="n">
        <f aca="false">P24</f>
        <v>602667.7</v>
      </c>
      <c r="R22" s="271" t="n">
        <f aca="false">Q24</f>
        <v>602667.7</v>
      </c>
      <c r="S22" s="271" t="n">
        <f aca="false">R24</f>
        <v>602667.7</v>
      </c>
      <c r="T22" s="271" t="n">
        <f aca="false">S24</f>
        <v>602667.7</v>
      </c>
      <c r="U22" s="271" t="n">
        <f aca="false">T24</f>
        <v>602667.7</v>
      </c>
      <c r="V22" s="271" t="n">
        <f aca="false">U24</f>
        <v>602667.7</v>
      </c>
      <c r="W22" s="271" t="n">
        <f aca="false">V24</f>
        <v>602667.7</v>
      </c>
      <c r="X22" s="271" t="n">
        <f aca="false">W24</f>
        <v>602667.7</v>
      </c>
      <c r="Y22" s="271" t="n">
        <f aca="false">X24</f>
        <v>602667.7</v>
      </c>
      <c r="Z22" s="271" t="n">
        <f aca="false">Y24</f>
        <v>602667.7</v>
      </c>
      <c r="AA22" s="271" t="n">
        <f aca="false">Z24</f>
        <v>602667.7</v>
      </c>
      <c r="AB22" s="271" t="n">
        <f aca="false">AA24</f>
        <v>602667.7</v>
      </c>
      <c r="AC22" s="271" t="n">
        <f aca="false">AB24</f>
        <v>602667.7</v>
      </c>
      <c r="AD22" s="271" t="n">
        <f aca="false">AC24</f>
        <v>602667.7</v>
      </c>
      <c r="AE22" s="271" t="n">
        <f aca="false">AD24</f>
        <v>602667.7</v>
      </c>
      <c r="AF22" s="271" t="n">
        <f aca="false">AE24</f>
        <v>602667.7</v>
      </c>
      <c r="AG22" s="271" t="n">
        <f aca="false">AF24</f>
        <v>602667.7</v>
      </c>
      <c r="AH22" s="271" t="n">
        <f aca="false">AG24</f>
        <v>602667.7</v>
      </c>
      <c r="AI22" s="271" t="n">
        <f aca="false">AH24</f>
        <v>602667.7</v>
      </c>
      <c r="AJ22" s="271" t="n">
        <f aca="false">AI24</f>
        <v>602667.7</v>
      </c>
      <c r="AK22" s="271" t="n">
        <f aca="false">AJ24</f>
        <v>602667.7</v>
      </c>
      <c r="AL22" s="271" t="n">
        <f aca="false">AK24</f>
        <v>602667.7</v>
      </c>
      <c r="AM22" s="271" t="n">
        <f aca="false">AL24</f>
        <v>602667.7</v>
      </c>
      <c r="AN22" s="271" t="n">
        <f aca="false">AM24</f>
        <v>602667.7</v>
      </c>
      <c r="AO22" s="271" t="n">
        <f aca="false">AN24</f>
        <v>602667.7</v>
      </c>
      <c r="AP22" s="271" t="n">
        <f aca="false">AO24</f>
        <v>602667.7</v>
      </c>
      <c r="AQ22" s="271" t="n">
        <f aca="false">AP24</f>
        <v>602667.7</v>
      </c>
      <c r="AR22" s="271" t="n">
        <f aca="false">AQ24</f>
        <v>602667.7</v>
      </c>
      <c r="AS22" s="271" t="n">
        <f aca="false">AR24</f>
        <v>602667.7</v>
      </c>
      <c r="AT22" s="271" t="n">
        <f aca="false">AS24</f>
        <v>602667.7</v>
      </c>
      <c r="AU22" s="271" t="n">
        <f aca="false">AT24</f>
        <v>602667.7</v>
      </c>
      <c r="AV22" s="271" t="n">
        <f aca="false">AU24</f>
        <v>602667.7</v>
      </c>
      <c r="AW22" s="271" t="n">
        <f aca="false">AV24</f>
        <v>602667.7</v>
      </c>
      <c r="AX22" s="271" t="n">
        <f aca="false">AW24</f>
        <v>602667.7</v>
      </c>
      <c r="AY22" s="271" t="n">
        <f aca="false">AX24</f>
        <v>602667.7</v>
      </c>
      <c r="AZ22" s="271" t="n">
        <f aca="false">AY24</f>
        <v>602667.7</v>
      </c>
      <c r="BA22" s="271" t="n">
        <f aca="false">AZ24</f>
        <v>602667.7</v>
      </c>
      <c r="BB22" s="271" t="n">
        <f aca="false">BA24</f>
        <v>0</v>
      </c>
      <c r="BC22" s="271" t="n">
        <f aca="false">BB24</f>
        <v>0</v>
      </c>
      <c r="BD22" s="271" t="n">
        <f aca="false">BC24</f>
        <v>0</v>
      </c>
      <c r="BE22" s="271" t="n">
        <f aca="false">BD24</f>
        <v>0</v>
      </c>
      <c r="BF22" s="271" t="n">
        <f aca="false">BE24</f>
        <v>0</v>
      </c>
      <c r="BG22" s="271" t="n">
        <f aca="false">BF24</f>
        <v>0</v>
      </c>
      <c r="BH22" s="271" t="n">
        <f aca="false">BG24</f>
        <v>0</v>
      </c>
      <c r="BI22" s="271" t="n">
        <f aca="false">BH24</f>
        <v>0</v>
      </c>
      <c r="BJ22" s="271" t="n">
        <f aca="false">BI24</f>
        <v>0</v>
      </c>
      <c r="BK22" s="271" t="n">
        <f aca="false">BJ24</f>
        <v>0</v>
      </c>
      <c r="BL22" s="271" t="n">
        <f aca="false">BK24</f>
        <v>0</v>
      </c>
      <c r="BM22" s="271" t="n">
        <f aca="false">BL24</f>
        <v>0</v>
      </c>
      <c r="BN22" s="271" t="n">
        <f aca="false">BM24</f>
        <v>0</v>
      </c>
      <c r="BO22" s="271" t="n">
        <f aca="false">BN24</f>
        <v>0</v>
      </c>
      <c r="BP22" s="271" t="n">
        <f aca="false">BO24</f>
        <v>0</v>
      </c>
      <c r="BQ22" s="271" t="n">
        <f aca="false">BP24</f>
        <v>0</v>
      </c>
      <c r="BR22" s="271" t="n">
        <f aca="false">BQ24</f>
        <v>0</v>
      </c>
      <c r="BS22" s="271" t="n">
        <f aca="false">BR24</f>
        <v>0</v>
      </c>
      <c r="BT22" s="271" t="n">
        <f aca="false">BS24</f>
        <v>0</v>
      </c>
      <c r="BU22" s="271" t="n">
        <f aca="false">BT24</f>
        <v>0</v>
      </c>
      <c r="BV22" s="271" t="n">
        <f aca="false">BU24</f>
        <v>0</v>
      </c>
      <c r="BW22" s="271" t="n">
        <f aca="false">BV24</f>
        <v>0</v>
      </c>
      <c r="BX22" s="271" t="n">
        <f aca="false">BW24</f>
        <v>0</v>
      </c>
      <c r="BY22" s="271" t="n">
        <f aca="false">BX24</f>
        <v>0</v>
      </c>
      <c r="BZ22" s="271" t="n">
        <f aca="false">BY24</f>
        <v>0</v>
      </c>
      <c r="CA22" s="271" t="n">
        <f aca="false">BZ24</f>
        <v>0</v>
      </c>
      <c r="CB22" s="271" t="n">
        <f aca="false">CA24</f>
        <v>0</v>
      </c>
      <c r="CC22" s="271" t="n">
        <f aca="false">CB24</f>
        <v>0</v>
      </c>
      <c r="CD22" s="271" t="n">
        <f aca="false">CC24</f>
        <v>0</v>
      </c>
      <c r="CE22" s="271" t="n">
        <f aca="false">CD24</f>
        <v>0</v>
      </c>
      <c r="CF22" s="271" t="n">
        <f aca="false">CE24</f>
        <v>0</v>
      </c>
      <c r="CG22" s="271" t="n">
        <f aca="false">CF24</f>
        <v>0</v>
      </c>
      <c r="CH22" s="271" t="n">
        <f aca="false">CG24</f>
        <v>0</v>
      </c>
      <c r="CI22" s="271" t="n">
        <f aca="false">CH24</f>
        <v>0</v>
      </c>
      <c r="CJ22" s="271" t="n">
        <f aca="false">CI24</f>
        <v>0</v>
      </c>
      <c r="CK22" s="271" t="n">
        <f aca="false">CJ24</f>
        <v>0</v>
      </c>
      <c r="CL22" s="271" t="n">
        <f aca="false">CK24</f>
        <v>0</v>
      </c>
      <c r="CM22" s="271" t="n">
        <f aca="false">CL24</f>
        <v>0</v>
      </c>
      <c r="CN22" s="271" t="n">
        <f aca="false">CM24</f>
        <v>0</v>
      </c>
      <c r="CO22" s="271" t="n">
        <f aca="false">CN24</f>
        <v>0</v>
      </c>
      <c r="CP22" s="271" t="n">
        <f aca="false">CO24</f>
        <v>0</v>
      </c>
      <c r="CQ22" s="271" t="n">
        <f aca="false">CP24</f>
        <v>0</v>
      </c>
    </row>
    <row r="23" customFormat="false" ht="15" hidden="false" customHeight="true" outlineLevel="0" collapsed="false">
      <c r="A23" s="288" t="s">
        <v>1076</v>
      </c>
      <c r="C23" s="289" t="n">
        <f aca="false">MIN(C22,Model!E255)</f>
        <v>0</v>
      </c>
      <c r="D23" s="289" t="n">
        <f aca="false">MIN(D22,Model!F255)</f>
        <v>0</v>
      </c>
      <c r="E23" s="289" t="n">
        <f aca="false">MIN(E22,Model!G255)</f>
        <v>0</v>
      </c>
      <c r="F23" s="289" t="n">
        <f aca="false">MIN(F22,Model!H255)</f>
        <v>0</v>
      </c>
      <c r="G23" s="289" t="n">
        <f aca="false">MIN(G22,Model!I255)</f>
        <v>0</v>
      </c>
      <c r="H23" s="289" t="n">
        <f aca="false">MIN(H22,Model!J255)</f>
        <v>0</v>
      </c>
      <c r="I23" s="289" t="n">
        <f aca="false">MIN(I22,Model!K255)</f>
        <v>0</v>
      </c>
      <c r="J23" s="289" t="n">
        <f aca="false">MIN(J22,Model!L255)</f>
        <v>0</v>
      </c>
      <c r="K23" s="289" t="n">
        <f aca="false">MIN(K22,Model!M255)</f>
        <v>0</v>
      </c>
      <c r="L23" s="289" t="n">
        <f aca="false">MIN(L22,Model!N255)</f>
        <v>0</v>
      </c>
      <c r="M23" s="289" t="n">
        <f aca="false">MIN(M22,Model!O255)</f>
        <v>0</v>
      </c>
      <c r="N23" s="289" t="n">
        <f aca="false">MIN(N22,Model!P255)</f>
        <v>0</v>
      </c>
      <c r="O23" s="289" t="n">
        <f aca="false">MIN(O22,Model!Q255)</f>
        <v>0</v>
      </c>
      <c r="P23" s="289" t="n">
        <f aca="false">MIN(P22,Model!R255)</f>
        <v>0</v>
      </c>
      <c r="Q23" s="289" t="n">
        <f aca="false">MIN(Q22,Model!S255)</f>
        <v>0</v>
      </c>
      <c r="R23" s="289" t="n">
        <f aca="false">MIN(R22,Model!T255)</f>
        <v>0</v>
      </c>
      <c r="S23" s="289" t="n">
        <f aca="false">MIN(S22,Model!U255)</f>
        <v>0</v>
      </c>
      <c r="T23" s="289" t="n">
        <f aca="false">MIN(T22,Model!V255)</f>
        <v>0</v>
      </c>
      <c r="U23" s="289" t="n">
        <f aca="false">MIN(U22,Model!W255)</f>
        <v>0</v>
      </c>
      <c r="V23" s="289" t="n">
        <f aca="false">MIN(V22,Model!X255)</f>
        <v>0</v>
      </c>
      <c r="W23" s="289" t="n">
        <f aca="false">MIN(W22,Model!Y255)</f>
        <v>0</v>
      </c>
      <c r="X23" s="289" t="n">
        <f aca="false">MIN(X22,Model!Z255)</f>
        <v>0</v>
      </c>
      <c r="Y23" s="289" t="n">
        <f aca="false">MIN(Y22,Model!AA255)</f>
        <v>0</v>
      </c>
      <c r="Z23" s="289" t="n">
        <f aca="false">MIN(Z22,Model!AB255)</f>
        <v>0</v>
      </c>
      <c r="AA23" s="289" t="n">
        <f aca="false">MIN(AA22,Model!AC255)</f>
        <v>0</v>
      </c>
      <c r="AB23" s="289" t="n">
        <f aca="false">MIN(AB22,Model!AD255)</f>
        <v>0</v>
      </c>
      <c r="AC23" s="289" t="n">
        <f aca="false">MIN(AC22,Model!AE255)</f>
        <v>0</v>
      </c>
      <c r="AD23" s="289" t="n">
        <f aca="false">MIN(AD22,Model!AF255)</f>
        <v>0</v>
      </c>
      <c r="AE23" s="289" t="n">
        <f aca="false">MIN(AE22,Model!AG255)</f>
        <v>0</v>
      </c>
      <c r="AF23" s="289" t="n">
        <f aca="false">MIN(AF22,Model!AH255)</f>
        <v>0</v>
      </c>
      <c r="AG23" s="289" t="n">
        <f aca="false">MIN(AG22,Model!AI255)</f>
        <v>0</v>
      </c>
      <c r="AH23" s="289" t="n">
        <f aca="false">MIN(AH22,Model!AJ255)</f>
        <v>0</v>
      </c>
      <c r="AI23" s="289" t="n">
        <f aca="false">MIN(AI22,Model!AK255)</f>
        <v>0</v>
      </c>
      <c r="AJ23" s="289" t="n">
        <f aca="false">MIN(AJ22,Model!AL255)</f>
        <v>0</v>
      </c>
      <c r="AK23" s="289" t="n">
        <f aca="false">MIN(AK22,Model!AM255)</f>
        <v>0</v>
      </c>
      <c r="AL23" s="289" t="n">
        <f aca="false">MIN(AL22,Model!AN255)</f>
        <v>0</v>
      </c>
      <c r="AM23" s="289" t="n">
        <f aca="false">MIN(AM22,Model!AO255)</f>
        <v>0</v>
      </c>
      <c r="AN23" s="289" t="n">
        <f aca="false">MIN(AN22,Model!AP255)</f>
        <v>0</v>
      </c>
      <c r="AO23" s="289" t="n">
        <f aca="false">MIN(AO22,Model!AQ255)</f>
        <v>0</v>
      </c>
      <c r="AP23" s="289" t="n">
        <f aca="false">MIN(AP22,Model!AR255)</f>
        <v>0</v>
      </c>
      <c r="AQ23" s="289" t="n">
        <f aca="false">MIN(AQ22,Model!AS255)</f>
        <v>0</v>
      </c>
      <c r="AR23" s="289" t="n">
        <f aca="false">MIN(AR22,Model!AT255)</f>
        <v>0</v>
      </c>
      <c r="AS23" s="289" t="n">
        <f aca="false">MIN(AS22,Model!AU255)</f>
        <v>0</v>
      </c>
      <c r="AT23" s="289" t="n">
        <f aca="false">MIN(AT22,Model!AV255)</f>
        <v>0</v>
      </c>
      <c r="AU23" s="289" t="n">
        <f aca="false">MIN(AU22,Model!AW255)</f>
        <v>0</v>
      </c>
      <c r="AV23" s="289" t="n">
        <f aca="false">MIN(AV22,Model!AX255)</f>
        <v>0</v>
      </c>
      <c r="AW23" s="289" t="n">
        <f aca="false">MIN(AW22,Model!AY255)</f>
        <v>0</v>
      </c>
      <c r="AX23" s="289" t="n">
        <f aca="false">MIN(AX22,Model!AZ255)</f>
        <v>0</v>
      </c>
      <c r="AY23" s="289" t="n">
        <f aca="false">MIN(AY22,Model!BA255)</f>
        <v>0</v>
      </c>
      <c r="AZ23" s="289" t="n">
        <f aca="false">MIN(AZ22,Model!BB255)</f>
        <v>0</v>
      </c>
      <c r="BA23" s="289" t="n">
        <f aca="false">MIN(BA22,Model!BC255)</f>
        <v>602667.7</v>
      </c>
      <c r="BB23" s="289" t="n">
        <f aca="false">MIN(BB22,Model!BD255)</f>
        <v>0</v>
      </c>
      <c r="BC23" s="289" t="n">
        <f aca="false">MIN(BC22,Model!BE255)</f>
        <v>0</v>
      </c>
      <c r="BD23" s="289" t="n">
        <f aca="false">MIN(BD22,Model!BF255)</f>
        <v>0</v>
      </c>
      <c r="BE23" s="289" t="n">
        <f aca="false">MIN(BE22,Model!BG255)</f>
        <v>0</v>
      </c>
      <c r="BF23" s="289" t="n">
        <f aca="false">MIN(BF22,Model!BH255)</f>
        <v>0</v>
      </c>
      <c r="BG23" s="289" t="n">
        <f aca="false">MIN(BG22,Model!BI255)</f>
        <v>0</v>
      </c>
      <c r="BH23" s="289" t="n">
        <f aca="false">MIN(BH22,Model!BJ255)</f>
        <v>0</v>
      </c>
      <c r="BI23" s="289" t="n">
        <f aca="false">MIN(BI22,Model!BK255)</f>
        <v>0</v>
      </c>
      <c r="BJ23" s="289" t="n">
        <f aca="false">MIN(BJ22,Model!BL255)</f>
        <v>0</v>
      </c>
      <c r="BK23" s="289" t="n">
        <f aca="false">MIN(BK22,Model!BM255)</f>
        <v>0</v>
      </c>
      <c r="BL23" s="289" t="n">
        <f aca="false">MIN(BL22,Model!BN255)</f>
        <v>0</v>
      </c>
      <c r="BM23" s="289" t="n">
        <f aca="false">MIN(BM22,Model!BO255)</f>
        <v>0</v>
      </c>
      <c r="BN23" s="289" t="n">
        <f aca="false">MIN(BN22,Model!BP255)</f>
        <v>0</v>
      </c>
      <c r="BO23" s="289" t="n">
        <f aca="false">MIN(BO22,Model!BQ255)</f>
        <v>0</v>
      </c>
      <c r="BP23" s="289" t="n">
        <f aca="false">MIN(BP22,Model!BR255)</f>
        <v>0</v>
      </c>
      <c r="BQ23" s="289" t="n">
        <f aca="false">MIN(BQ22,Model!BS255)</f>
        <v>0</v>
      </c>
      <c r="BR23" s="289" t="n">
        <f aca="false">MIN(BR22,Model!BT255)</f>
        <v>0</v>
      </c>
      <c r="BS23" s="289" t="n">
        <f aca="false">MIN(BS22,Model!BU255)</f>
        <v>0</v>
      </c>
      <c r="BT23" s="289" t="n">
        <f aca="false">MIN(BT22,Model!BV255)</f>
        <v>0</v>
      </c>
      <c r="BU23" s="289" t="n">
        <f aca="false">MIN(BU22,Model!BW255)</f>
        <v>0</v>
      </c>
      <c r="BV23" s="289" t="n">
        <f aca="false">MIN(BV22,Model!BX255)</f>
        <v>0</v>
      </c>
      <c r="BW23" s="289" t="n">
        <f aca="false">MIN(BW22,Model!BY255)</f>
        <v>0</v>
      </c>
      <c r="BX23" s="289" t="n">
        <f aca="false">MIN(BX22,Model!BZ255)</f>
        <v>0</v>
      </c>
      <c r="BY23" s="289" t="n">
        <f aca="false">MIN(BY22,Model!CA255)</f>
        <v>0</v>
      </c>
      <c r="BZ23" s="289" t="n">
        <f aca="false">MIN(BZ22,Model!CB255)</f>
        <v>0</v>
      </c>
      <c r="CA23" s="289" t="n">
        <f aca="false">MIN(CA22,Model!CC255)</f>
        <v>0</v>
      </c>
      <c r="CB23" s="289" t="n">
        <f aca="false">MIN(CB22,Model!CD255)</f>
        <v>0</v>
      </c>
      <c r="CC23" s="289" t="n">
        <f aca="false">MIN(CC22,Model!CE255)</f>
        <v>0</v>
      </c>
      <c r="CD23" s="289" t="n">
        <f aca="false">MIN(CD22,Model!CF255)</f>
        <v>0</v>
      </c>
      <c r="CE23" s="289" t="n">
        <f aca="false">MIN(CE22,Model!CG255)</f>
        <v>0</v>
      </c>
      <c r="CF23" s="289" t="n">
        <f aca="false">MIN(CF22,Model!CH255)</f>
        <v>0</v>
      </c>
      <c r="CG23" s="289" t="n">
        <f aca="false">MIN(CG22,Model!CI255)</f>
        <v>0</v>
      </c>
      <c r="CH23" s="289" t="n">
        <f aca="false">MIN(CH22,Model!CJ255)</f>
        <v>0</v>
      </c>
      <c r="CI23" s="289" t="n">
        <f aca="false">MIN(CI22,Model!CK255)</f>
        <v>0</v>
      </c>
      <c r="CJ23" s="289" t="n">
        <f aca="false">MIN(CJ22,Model!CL255)</f>
        <v>0</v>
      </c>
      <c r="CK23" s="289" t="n">
        <f aca="false">MIN(CK22,Model!CM255)</f>
        <v>0</v>
      </c>
      <c r="CL23" s="289" t="n">
        <f aca="false">MIN(CL22,Model!CN255)</f>
        <v>0</v>
      </c>
      <c r="CM23" s="289" t="n">
        <f aca="false">MIN(CM22,Model!CO255)</f>
        <v>0</v>
      </c>
      <c r="CN23" s="289" t="n">
        <f aca="false">MIN(CN22,Model!CP255)</f>
        <v>0</v>
      </c>
      <c r="CO23" s="289" t="n">
        <f aca="false">MIN(CO22,Model!CQ255)</f>
        <v>0</v>
      </c>
      <c r="CP23" s="289" t="n">
        <f aca="false">MIN(CP22,Model!CR255)</f>
        <v>0</v>
      </c>
      <c r="CQ23" s="289" t="n">
        <f aca="false">MIN(CQ22,Model!CS255)</f>
        <v>0</v>
      </c>
    </row>
    <row r="24" customFormat="false" ht="15" hidden="false" customHeight="true" outlineLevel="0" collapsed="false">
      <c r="A24" s="94" t="s">
        <v>1077</v>
      </c>
      <c r="C24" s="287" t="n">
        <f aca="false">MAX(0,C22-C23)</f>
        <v>602667.7</v>
      </c>
      <c r="D24" s="287" t="n">
        <f aca="false">MAX(0,D22-D23)</f>
        <v>602667.7</v>
      </c>
      <c r="E24" s="287" t="n">
        <f aca="false">MAX(0,E22-E23)</f>
        <v>602667.7</v>
      </c>
      <c r="F24" s="287" t="n">
        <f aca="false">MAX(0,F22-F23)</f>
        <v>602667.7</v>
      </c>
      <c r="G24" s="287" t="n">
        <f aca="false">MAX(0,G22-G23)</f>
        <v>602667.7</v>
      </c>
      <c r="H24" s="287" t="n">
        <f aca="false">MAX(0,H22-H23)</f>
        <v>602667.7</v>
      </c>
      <c r="I24" s="287" t="n">
        <f aca="false">MAX(0,I22-I23)</f>
        <v>602667.7</v>
      </c>
      <c r="J24" s="287" t="n">
        <f aca="false">MAX(0,J22-J23)</f>
        <v>602667.7</v>
      </c>
      <c r="K24" s="287" t="n">
        <f aca="false">MAX(0,K22-K23)</f>
        <v>602667.7</v>
      </c>
      <c r="L24" s="287" t="n">
        <f aca="false">MAX(0,L22-L23)</f>
        <v>602667.7</v>
      </c>
      <c r="M24" s="287" t="n">
        <f aca="false">MAX(0,M22-M23)</f>
        <v>602667.7</v>
      </c>
      <c r="N24" s="287" t="n">
        <f aca="false">MAX(0,N22-N23)</f>
        <v>602667.7</v>
      </c>
      <c r="O24" s="287" t="n">
        <f aca="false">MAX(0,O22-O23)</f>
        <v>602667.7</v>
      </c>
      <c r="P24" s="287" t="n">
        <f aca="false">MAX(0,P22-P23)</f>
        <v>602667.7</v>
      </c>
      <c r="Q24" s="287" t="n">
        <f aca="false">MAX(0,Q22-Q23)</f>
        <v>602667.7</v>
      </c>
      <c r="R24" s="287" t="n">
        <f aca="false">MAX(0,R22-R23)</f>
        <v>602667.7</v>
      </c>
      <c r="S24" s="287" t="n">
        <f aca="false">MAX(0,S22-S23)</f>
        <v>602667.7</v>
      </c>
      <c r="T24" s="287" t="n">
        <f aca="false">MAX(0,T22-T23)</f>
        <v>602667.7</v>
      </c>
      <c r="U24" s="287" t="n">
        <f aca="false">MAX(0,U22-U23)</f>
        <v>602667.7</v>
      </c>
      <c r="V24" s="287" t="n">
        <f aca="false">MAX(0,V22-V23)</f>
        <v>602667.7</v>
      </c>
      <c r="W24" s="287" t="n">
        <f aca="false">MAX(0,W22-W23)</f>
        <v>602667.7</v>
      </c>
      <c r="X24" s="287" t="n">
        <f aca="false">MAX(0,X22-X23)</f>
        <v>602667.7</v>
      </c>
      <c r="Y24" s="287" t="n">
        <f aca="false">MAX(0,Y22-Y23)</f>
        <v>602667.7</v>
      </c>
      <c r="Z24" s="287" t="n">
        <f aca="false">MAX(0,Z22-Z23)</f>
        <v>602667.7</v>
      </c>
      <c r="AA24" s="287" t="n">
        <f aca="false">MAX(0,AA22-AA23)</f>
        <v>602667.7</v>
      </c>
      <c r="AB24" s="287" t="n">
        <f aca="false">MAX(0,AB22-AB23)</f>
        <v>602667.7</v>
      </c>
      <c r="AC24" s="287" t="n">
        <f aca="false">MAX(0,AC22-AC23)</f>
        <v>602667.7</v>
      </c>
      <c r="AD24" s="287" t="n">
        <f aca="false">MAX(0,AD22-AD23)</f>
        <v>602667.7</v>
      </c>
      <c r="AE24" s="287" t="n">
        <f aca="false">MAX(0,AE22-AE23)</f>
        <v>602667.7</v>
      </c>
      <c r="AF24" s="287" t="n">
        <f aca="false">MAX(0,AF22-AF23)</f>
        <v>602667.7</v>
      </c>
      <c r="AG24" s="287" t="n">
        <f aca="false">MAX(0,AG22-AG23)</f>
        <v>602667.7</v>
      </c>
      <c r="AH24" s="287" t="n">
        <f aca="false">MAX(0,AH22-AH23)</f>
        <v>602667.7</v>
      </c>
      <c r="AI24" s="287" t="n">
        <f aca="false">MAX(0,AI22-AI23)</f>
        <v>602667.7</v>
      </c>
      <c r="AJ24" s="287" t="n">
        <f aca="false">MAX(0,AJ22-AJ23)</f>
        <v>602667.7</v>
      </c>
      <c r="AK24" s="287" t="n">
        <f aca="false">MAX(0,AK22-AK23)</f>
        <v>602667.7</v>
      </c>
      <c r="AL24" s="287" t="n">
        <f aca="false">MAX(0,AL22-AL23)</f>
        <v>602667.7</v>
      </c>
      <c r="AM24" s="287" t="n">
        <f aca="false">MAX(0,AM22-AM23)</f>
        <v>602667.7</v>
      </c>
      <c r="AN24" s="287" t="n">
        <f aca="false">MAX(0,AN22-AN23)</f>
        <v>602667.7</v>
      </c>
      <c r="AO24" s="287" t="n">
        <f aca="false">MAX(0,AO22-AO23)</f>
        <v>602667.7</v>
      </c>
      <c r="AP24" s="287" t="n">
        <f aca="false">MAX(0,AP22-AP23)</f>
        <v>602667.7</v>
      </c>
      <c r="AQ24" s="287" t="n">
        <f aca="false">MAX(0,AQ22-AQ23)</f>
        <v>602667.7</v>
      </c>
      <c r="AR24" s="287" t="n">
        <f aca="false">MAX(0,AR22-AR23)</f>
        <v>602667.7</v>
      </c>
      <c r="AS24" s="287" t="n">
        <f aca="false">MAX(0,AS22-AS23)</f>
        <v>602667.7</v>
      </c>
      <c r="AT24" s="287" t="n">
        <f aca="false">MAX(0,AT22-AT23)</f>
        <v>602667.7</v>
      </c>
      <c r="AU24" s="287" t="n">
        <f aca="false">MAX(0,AU22-AU23)</f>
        <v>602667.7</v>
      </c>
      <c r="AV24" s="287" t="n">
        <f aca="false">MAX(0,AV22-AV23)</f>
        <v>602667.7</v>
      </c>
      <c r="AW24" s="287" t="n">
        <f aca="false">MAX(0,AW22-AW23)</f>
        <v>602667.7</v>
      </c>
      <c r="AX24" s="287" t="n">
        <f aca="false">MAX(0,AX22-AX23)</f>
        <v>602667.7</v>
      </c>
      <c r="AY24" s="287" t="n">
        <f aca="false">MAX(0,AY22-AY23)</f>
        <v>602667.7</v>
      </c>
      <c r="AZ24" s="287" t="n">
        <f aca="false">MAX(0,AZ22-AZ23)</f>
        <v>602667.7</v>
      </c>
      <c r="BA24" s="287" t="n">
        <f aca="false">MAX(0,BA22-BA23)</f>
        <v>0</v>
      </c>
      <c r="BB24" s="287" t="n">
        <f aca="false">MAX(0,BB22-BB23)</f>
        <v>0</v>
      </c>
      <c r="BC24" s="287" t="n">
        <f aca="false">MAX(0,BC22-BC23)</f>
        <v>0</v>
      </c>
      <c r="BD24" s="287" t="n">
        <f aca="false">MAX(0,BD22-BD23)</f>
        <v>0</v>
      </c>
      <c r="BE24" s="287" t="n">
        <f aca="false">MAX(0,BE22-BE23)</f>
        <v>0</v>
      </c>
      <c r="BF24" s="287" t="n">
        <f aca="false">MAX(0,BF22-BF23)</f>
        <v>0</v>
      </c>
      <c r="BG24" s="287" t="n">
        <f aca="false">MAX(0,BG22-BG23)</f>
        <v>0</v>
      </c>
      <c r="BH24" s="287" t="n">
        <f aca="false">MAX(0,BH22-BH23)</f>
        <v>0</v>
      </c>
      <c r="BI24" s="287" t="n">
        <f aca="false">MAX(0,BI22-BI23)</f>
        <v>0</v>
      </c>
      <c r="BJ24" s="287" t="n">
        <f aca="false">MAX(0,BJ22-BJ23)</f>
        <v>0</v>
      </c>
      <c r="BK24" s="287" t="n">
        <f aca="false">MAX(0,BK22-BK23)</f>
        <v>0</v>
      </c>
      <c r="BL24" s="287" t="n">
        <f aca="false">MAX(0,BL22-BL23)</f>
        <v>0</v>
      </c>
      <c r="BM24" s="287" t="n">
        <f aca="false">MAX(0,BM22-BM23)</f>
        <v>0</v>
      </c>
      <c r="BN24" s="287" t="n">
        <f aca="false">MAX(0,BN22-BN23)</f>
        <v>0</v>
      </c>
      <c r="BO24" s="287" t="n">
        <f aca="false">MAX(0,BO22-BO23)</f>
        <v>0</v>
      </c>
      <c r="BP24" s="287" t="n">
        <f aca="false">MAX(0,BP22-BP23)</f>
        <v>0</v>
      </c>
      <c r="BQ24" s="287" t="n">
        <f aca="false">MAX(0,BQ22-BQ23)</f>
        <v>0</v>
      </c>
      <c r="BR24" s="287" t="n">
        <f aca="false">MAX(0,BR22-BR23)</f>
        <v>0</v>
      </c>
      <c r="BS24" s="287" t="n">
        <f aca="false">MAX(0,BS22-BS23)</f>
        <v>0</v>
      </c>
      <c r="BT24" s="287" t="n">
        <f aca="false">MAX(0,BT22-BT23)</f>
        <v>0</v>
      </c>
      <c r="BU24" s="287" t="n">
        <f aca="false">MAX(0,BU22-BU23)</f>
        <v>0</v>
      </c>
      <c r="BV24" s="287" t="n">
        <f aca="false">MAX(0,BV22-BV23)</f>
        <v>0</v>
      </c>
      <c r="BW24" s="287" t="n">
        <f aca="false">MAX(0,BW22-BW23)</f>
        <v>0</v>
      </c>
      <c r="BX24" s="287" t="n">
        <f aca="false">MAX(0,BX22-BX23)</f>
        <v>0</v>
      </c>
      <c r="BY24" s="287" t="n">
        <f aca="false">MAX(0,BY22-BY23)</f>
        <v>0</v>
      </c>
      <c r="BZ24" s="287" t="n">
        <f aca="false">MAX(0,BZ22-BZ23)</f>
        <v>0</v>
      </c>
      <c r="CA24" s="287" t="n">
        <f aca="false">MAX(0,CA22-CA23)</f>
        <v>0</v>
      </c>
      <c r="CB24" s="287" t="n">
        <f aca="false">MAX(0,CB22-CB23)</f>
        <v>0</v>
      </c>
      <c r="CC24" s="287" t="n">
        <f aca="false">MAX(0,CC22-CC23)</f>
        <v>0</v>
      </c>
      <c r="CD24" s="287" t="n">
        <f aca="false">MAX(0,CD22-CD23)</f>
        <v>0</v>
      </c>
      <c r="CE24" s="287" t="n">
        <f aca="false">MAX(0,CE22-CE23)</f>
        <v>0</v>
      </c>
      <c r="CF24" s="287" t="n">
        <f aca="false">MAX(0,CF22-CF23)</f>
        <v>0</v>
      </c>
      <c r="CG24" s="287" t="n">
        <f aca="false">MAX(0,CG22-CG23)</f>
        <v>0</v>
      </c>
      <c r="CH24" s="287" t="n">
        <f aca="false">MAX(0,CH22-CH23)</f>
        <v>0</v>
      </c>
      <c r="CI24" s="287" t="n">
        <f aca="false">MAX(0,CI22-CI23)</f>
        <v>0</v>
      </c>
      <c r="CJ24" s="287" t="n">
        <f aca="false">MAX(0,CJ22-CJ23)</f>
        <v>0</v>
      </c>
      <c r="CK24" s="287" t="n">
        <f aca="false">MAX(0,CK22-CK23)</f>
        <v>0</v>
      </c>
      <c r="CL24" s="287" t="n">
        <f aca="false">MAX(0,CL22-CL23)</f>
        <v>0</v>
      </c>
      <c r="CM24" s="287" t="n">
        <f aca="false">MAX(0,CM22-CM23)</f>
        <v>0</v>
      </c>
      <c r="CN24" s="287" t="n">
        <f aca="false">MAX(0,CN22-CN23)</f>
        <v>0</v>
      </c>
      <c r="CO24" s="287" t="n">
        <f aca="false">MAX(0,CO22-CO23)</f>
        <v>0</v>
      </c>
      <c r="CP24" s="287" t="n">
        <f aca="false">MAX(0,CP22-CP23)</f>
        <v>0</v>
      </c>
      <c r="CQ24" s="287" t="n">
        <f aca="false">MAX(0,CQ22-CQ23)</f>
        <v>0</v>
      </c>
    </row>
    <row r="25" customFormat="false" ht="15" hidden="false" customHeight="true" outlineLevel="0" collapsed="false">
      <c r="A25" s="1" t="s">
        <v>1078</v>
      </c>
      <c r="B25" s="1" t="s">
        <v>1079</v>
      </c>
      <c r="C25" s="290"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1080</v>
      </c>
      <c r="C26" s="290"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1081</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74" t="s">
        <v>1082</v>
      </c>
      <c r="B30" s="274"/>
      <c r="C30" s="274"/>
      <c r="D30" s="274"/>
      <c r="E30" s="274"/>
      <c r="F30" s="274"/>
      <c r="G30" s="274"/>
      <c r="H30" s="274"/>
      <c r="I30" s="274"/>
    </row>
    <row r="31" customFormat="false" ht="15" hidden="false" customHeight="true" outlineLevel="0" collapsed="false">
      <c r="A31" s="291" t="s">
        <v>1083</v>
      </c>
    </row>
    <row r="32" customFormat="false" ht="15" hidden="false" customHeight="true" outlineLevel="0" collapsed="false">
      <c r="A32" s="292" t="s">
        <v>12</v>
      </c>
      <c r="B32" s="293" t="n">
        <f aca="false">LOOKUP(2,1/(Model!E254:CG254&gt;0),Model!E254:CG254)</f>
        <v>76499</v>
      </c>
    </row>
    <row r="33" customFormat="false" ht="15" hidden="false" customHeight="true" outlineLevel="0" collapsed="false">
      <c r="A33" s="292" t="s">
        <v>19</v>
      </c>
      <c r="B33" s="293" t="n">
        <f aca="false">IFERROR(LOOKUP(2,1/(Model!E256:CG256&gt;0),Model!E256:CG256),0)</f>
        <v>73155</v>
      </c>
    </row>
    <row r="34" customFormat="false" ht="15" hidden="false" customHeight="true" outlineLevel="0" collapsed="false">
      <c r="A34" s="292" t="s">
        <v>18</v>
      </c>
      <c r="B34" s="293" t="n">
        <f aca="false">LOOKUP(2,1/(Model!E255:CG255&gt;0),Model!E255:CG255)</f>
        <v>81362</v>
      </c>
    </row>
    <row r="36" customFormat="false" ht="15" hidden="false" customHeight="true" outlineLevel="0" collapsed="false">
      <c r="A36" s="291" t="s">
        <v>1084</v>
      </c>
    </row>
    <row r="37" customFormat="false" ht="15" hidden="false" customHeight="true" outlineLevel="0" collapsed="false">
      <c r="A37" s="292" t="s">
        <v>12</v>
      </c>
      <c r="B37" s="90" t="n">
        <f aca="false">SUMPRODUCT((Model!E254:CG254&gt;0)*1)</f>
        <v>15</v>
      </c>
    </row>
    <row r="38" customFormat="false" ht="15" hidden="false" customHeight="true" outlineLevel="0" collapsed="false">
      <c r="A38" s="292" t="s">
        <v>19</v>
      </c>
      <c r="B38" s="90" t="n">
        <f aca="false">SUMPRODUCT((Model!E256:CG256&gt;0)*1)</f>
        <v>3</v>
      </c>
    </row>
    <row r="39" customFormat="false" ht="15" hidden="false" customHeight="true" outlineLevel="0" collapsed="false">
      <c r="A39" s="292" t="s">
        <v>18</v>
      </c>
      <c r="B39" s="90" t="n">
        <f aca="false">SUMPRODUCT((Model!E255:CG255&gt;0)*1)</f>
        <v>11</v>
      </c>
    </row>
    <row r="41" customFormat="false" ht="15" hidden="false" customHeight="true" outlineLevel="0" collapsed="false">
      <c r="A41" s="291" t="s">
        <v>1085</v>
      </c>
    </row>
    <row r="42" customFormat="false" ht="15" hidden="false" customHeight="true" outlineLevel="0" collapsed="false">
      <c r="A42" s="292" t="s">
        <v>12</v>
      </c>
      <c r="B42" s="90" t="n">
        <f aca="false">40-B37</f>
        <v>25</v>
      </c>
    </row>
    <row r="43" customFormat="false" ht="15" hidden="false" customHeight="true" outlineLevel="0" collapsed="false">
      <c r="A43" s="292" t="s">
        <v>19</v>
      </c>
      <c r="B43" s="90" t="n">
        <f aca="false">40-B38</f>
        <v>37</v>
      </c>
    </row>
    <row r="44" customFormat="false" ht="15" hidden="false" customHeight="true" outlineLevel="0" collapsed="false">
      <c r="A44" s="292" t="s">
        <v>18</v>
      </c>
      <c r="B44" s="90" t="n">
        <f aca="false">40-B39</f>
        <v>29</v>
      </c>
    </row>
    <row r="46" customFormat="false" ht="15" hidden="false" customHeight="true" outlineLevel="0" collapsed="false">
      <c r="A46" s="291" t="s">
        <v>1086</v>
      </c>
    </row>
    <row r="47" customFormat="false" ht="15" hidden="false" customHeight="true" outlineLevel="0" collapsed="false">
      <c r="A47" s="292" t="s">
        <v>12</v>
      </c>
      <c r="B47" s="293" t="n">
        <f aca="false">B32*B42</f>
        <v>1912475</v>
      </c>
    </row>
    <row r="48" customFormat="false" ht="15" hidden="false" customHeight="true" outlineLevel="0" collapsed="false">
      <c r="A48" s="292" t="s">
        <v>19</v>
      </c>
      <c r="B48" s="293" t="n">
        <f aca="false">IFERROR(B33*B43,0)</f>
        <v>2706735</v>
      </c>
    </row>
    <row r="49" customFormat="false" ht="15" hidden="false" customHeight="true" outlineLevel="0" collapsed="false">
      <c r="A49" s="292" t="s">
        <v>18</v>
      </c>
      <c r="B49" s="293" t="n">
        <f aca="false">B34*B44</f>
        <v>2359498</v>
      </c>
    </row>
    <row r="51" customFormat="false" ht="15" hidden="false" customHeight="true" outlineLevel="0" collapsed="false">
      <c r="A51" s="274" t="s">
        <v>1087</v>
      </c>
      <c r="B51" s="274"/>
      <c r="C51" s="274"/>
      <c r="D51" s="274"/>
      <c r="E51" s="274"/>
      <c r="F51" s="274"/>
      <c r="G51" s="274"/>
    </row>
    <row r="52" customFormat="false" ht="15" hidden="false" customHeight="true" outlineLevel="0" collapsed="false">
      <c r="A52" s="291" t="s">
        <v>1088</v>
      </c>
      <c r="B52" s="291" t="s">
        <v>1089</v>
      </c>
      <c r="C52" s="291" t="s">
        <v>1090</v>
      </c>
      <c r="D52" s="291" t="s">
        <v>1091</v>
      </c>
      <c r="E52" s="291" t="s">
        <v>1092</v>
      </c>
      <c r="F52" s="291" t="s">
        <v>1093</v>
      </c>
      <c r="G52" s="291" t="s">
        <v>1094</v>
      </c>
    </row>
    <row r="53" customFormat="false" ht="15" hidden="false" customHeight="true" outlineLevel="0" collapsed="false">
      <c r="A53" s="90" t="n">
        <v>1</v>
      </c>
      <c r="B53" s="293" t="n">
        <f aca="false">IFERROR($B$33,0)</f>
        <v>73155</v>
      </c>
      <c r="C53" s="293" t="n">
        <f aca="false">CH27</f>
        <v>270925.32</v>
      </c>
      <c r="D53" s="293" t="n">
        <f aca="false">IFERROR(MIN(C53,B53),0)</f>
        <v>73155</v>
      </c>
      <c r="E53" s="293" t="n">
        <f aca="false">Model!CJ340</f>
        <v>570021.547005172</v>
      </c>
      <c r="F53" s="293" t="n">
        <f aca="false">E53*Assumptions!$B$59</f>
        <v>21375.8080126939</v>
      </c>
      <c r="G53" s="293" t="n">
        <f aca="false">IFERROR(MIN(E53+F53,MAX(0,B53-D53)),0)</f>
        <v>0</v>
      </c>
    </row>
    <row r="54" customFormat="false" ht="15" hidden="false" customHeight="true" outlineLevel="0" collapsed="false">
      <c r="A54" s="90" t="n">
        <v>2</v>
      </c>
      <c r="B54" s="293" t="n">
        <f aca="false">IFERROR($B$33,0)</f>
        <v>73155</v>
      </c>
      <c r="C54" s="293" t="n">
        <f aca="false">IFERROR(MAX(0,C53-D53),0)</f>
        <v>197770.32</v>
      </c>
      <c r="D54" s="293" t="n">
        <f aca="false">IFERROR(MIN(C54,B54),0)</f>
        <v>73155</v>
      </c>
      <c r="E54" s="293" t="n">
        <f aca="false">IFERROR(MAX(0,E53+F53-G53),0)</f>
        <v>591397.355017866</v>
      </c>
      <c r="F54" s="293" t="n">
        <f aca="false">IFERROR(E54*Assumptions!$B$59,0)</f>
        <v>22177.40081317</v>
      </c>
      <c r="G54" s="293" t="n">
        <f aca="false">IFERROR(MIN(E54+F54,MAX(0,B54-D54)),0)</f>
        <v>0</v>
      </c>
    </row>
    <row r="55" customFormat="false" ht="15" hidden="false" customHeight="true" outlineLevel="0" collapsed="false">
      <c r="A55" s="90" t="n">
        <v>3</v>
      </c>
      <c r="B55" s="293" t="n">
        <f aca="false">IFERROR($B$33,0)</f>
        <v>73155</v>
      </c>
      <c r="C55" s="293" t="n">
        <f aca="false">IFERROR(MAX(0,C54-D54),0)</f>
        <v>124615.32</v>
      </c>
      <c r="D55" s="293" t="n">
        <f aca="false">IFERROR(MIN(C55,B55),0)</f>
        <v>73155</v>
      </c>
      <c r="E55" s="293" t="n">
        <f aca="false">IFERROR(MAX(0,E54+F54-G54),0)</f>
        <v>613574.755831036</v>
      </c>
      <c r="F55" s="293" t="n">
        <f aca="false">IFERROR(E55*Assumptions!$B$59,0)</f>
        <v>23009.0533436638</v>
      </c>
      <c r="G55" s="293" t="n">
        <f aca="false">IFERROR(MIN(E55+F55,MAX(0,B55-D55)),0)</f>
        <v>0</v>
      </c>
    </row>
    <row r="56" customFormat="false" ht="15" hidden="false" customHeight="true" outlineLevel="0" collapsed="false">
      <c r="A56" s="90" t="n">
        <v>4</v>
      </c>
      <c r="B56" s="293" t="n">
        <f aca="false">IFERROR($B$33,0)</f>
        <v>73155</v>
      </c>
      <c r="C56" s="293" t="n">
        <f aca="false">IFERROR(MAX(0,C55-D55),0)</f>
        <v>51460.3200000001</v>
      </c>
      <c r="D56" s="293" t="n">
        <f aca="false">IFERROR(MIN(C56,B56),0)</f>
        <v>51460.3200000001</v>
      </c>
      <c r="E56" s="293" t="n">
        <f aca="false">IFERROR(MAX(0,E55+F55-G55),0)</f>
        <v>636583.8091747</v>
      </c>
      <c r="F56" s="293" t="n">
        <f aca="false">IFERROR(E56*Assumptions!$B$59,0)</f>
        <v>23871.8928440512</v>
      </c>
      <c r="G56" s="293" t="n">
        <f aca="false">IFERROR(MIN(E56+F56,MAX(0,B56-D56)),0)</f>
        <v>21694.6799999999</v>
      </c>
    </row>
    <row r="57" customFormat="false" ht="15" hidden="false" customHeight="true" outlineLevel="0" collapsed="false">
      <c r="A57" s="90" t="n">
        <v>5</v>
      </c>
      <c r="B57" s="293" t="n">
        <f aca="false">IFERROR($B$33,0)</f>
        <v>73155</v>
      </c>
      <c r="C57" s="293" t="n">
        <f aca="false">IFERROR(MAX(0,C56-D56),0)</f>
        <v>0</v>
      </c>
      <c r="D57" s="293" t="n">
        <f aca="false">IFERROR(MIN(C57,B57),0)</f>
        <v>0</v>
      </c>
      <c r="E57" s="293" t="n">
        <f aca="false">IFERROR(MAX(0,E56+F56-G56),0)</f>
        <v>638761.022018751</v>
      </c>
      <c r="F57" s="293" t="n">
        <f aca="false">IFERROR(E57*Assumptions!$B$59,0)</f>
        <v>23953.5383257032</v>
      </c>
      <c r="G57" s="293" t="n">
        <f aca="false">IFERROR(MIN(E57+F57,MAX(0,B57-D57)),0)</f>
        <v>73155</v>
      </c>
    </row>
    <row r="58" customFormat="false" ht="15" hidden="false" customHeight="true" outlineLevel="0" collapsed="false">
      <c r="A58" s="90" t="n">
        <v>6</v>
      </c>
      <c r="B58" s="293" t="n">
        <f aca="false">IFERROR($B$33,0)</f>
        <v>73155</v>
      </c>
      <c r="C58" s="293" t="n">
        <f aca="false">IFERROR(MAX(0,C57-D57),0)</f>
        <v>0</v>
      </c>
      <c r="D58" s="293" t="n">
        <f aca="false">IFERROR(MIN(C58,B58),0)</f>
        <v>0</v>
      </c>
      <c r="E58" s="293" t="n">
        <f aca="false">IFERROR(MAX(0,E57+F57-G57),0)</f>
        <v>589559.560344454</v>
      </c>
      <c r="F58" s="293" t="n">
        <f aca="false">IFERROR(E58*Assumptions!$B$59,0)</f>
        <v>22108.483512917</v>
      </c>
      <c r="G58" s="293" t="n">
        <f aca="false">IFERROR(MIN(E58+F58,MAX(0,B58-D58)),0)</f>
        <v>73155</v>
      </c>
    </row>
    <row r="59" customFormat="false" ht="15" hidden="false" customHeight="true" outlineLevel="0" collapsed="false">
      <c r="A59" s="90" t="n">
        <v>7</v>
      </c>
      <c r="B59" s="293" t="n">
        <f aca="false">IFERROR($B$33,0)</f>
        <v>73155</v>
      </c>
      <c r="C59" s="293" t="n">
        <f aca="false">IFERROR(MAX(0,C58-D58),0)</f>
        <v>0</v>
      </c>
      <c r="D59" s="293" t="n">
        <f aca="false">IFERROR(MIN(C59,B59),0)</f>
        <v>0</v>
      </c>
      <c r="E59" s="293" t="n">
        <f aca="false">IFERROR(MAX(0,E58+F58-G58),0)</f>
        <v>538513.043857371</v>
      </c>
      <c r="F59" s="293" t="n">
        <f aca="false">IFERROR(E59*Assumptions!$B$59,0)</f>
        <v>20194.2391446514</v>
      </c>
      <c r="G59" s="293" t="n">
        <f aca="false">IFERROR(MIN(E59+F59,MAX(0,B59-D59)),0)</f>
        <v>73155</v>
      </c>
    </row>
    <row r="60" customFormat="false" ht="15" hidden="false" customHeight="true" outlineLevel="0" collapsed="false">
      <c r="A60" s="90" t="n">
        <v>8</v>
      </c>
      <c r="B60" s="293" t="n">
        <f aca="false">IFERROR($B$33,0)</f>
        <v>73155</v>
      </c>
      <c r="C60" s="293" t="n">
        <f aca="false">IFERROR(MAX(0,C59-D59),0)</f>
        <v>0</v>
      </c>
      <c r="D60" s="293" t="n">
        <f aca="false">IFERROR(MIN(C60,B60),0)</f>
        <v>0</v>
      </c>
      <c r="E60" s="293" t="n">
        <f aca="false">IFERROR(MAX(0,E59+F59-G59),0)</f>
        <v>485552.283002023</v>
      </c>
      <c r="F60" s="293" t="n">
        <f aca="false">IFERROR(E60*Assumptions!$B$59,0)</f>
        <v>18208.2106125758</v>
      </c>
      <c r="G60" s="293" t="n">
        <f aca="false">IFERROR(MIN(E60+F60,MAX(0,B60-D60)),0)</f>
        <v>73155</v>
      </c>
    </row>
    <row r="61" customFormat="false" ht="15" hidden="false" customHeight="true" outlineLevel="0" collapsed="false">
      <c r="A61" s="90" t="n">
        <v>9</v>
      </c>
      <c r="B61" s="293" t="n">
        <f aca="false">IFERROR($B$33,0)</f>
        <v>73155</v>
      </c>
      <c r="C61" s="293" t="n">
        <f aca="false">IFERROR(MAX(0,C60-D60),0)</f>
        <v>0</v>
      </c>
      <c r="D61" s="293" t="n">
        <f aca="false">IFERROR(MIN(C61,B61),0)</f>
        <v>0</v>
      </c>
      <c r="E61" s="293" t="n">
        <f aca="false">IFERROR(MAX(0,E60+F60-G60),0)</f>
        <v>430605.493614598</v>
      </c>
      <c r="F61" s="293" t="n">
        <f aca="false">IFERROR(E61*Assumptions!$B$59,0)</f>
        <v>16147.7060105474</v>
      </c>
      <c r="G61" s="293" t="n">
        <f aca="false">IFERROR(MIN(E61+F61,MAX(0,B61-D61)),0)</f>
        <v>73155</v>
      </c>
    </row>
    <row r="62" customFormat="false" ht="15" hidden="false" customHeight="true" outlineLevel="0" collapsed="false">
      <c r="A62" s="90" t="n">
        <v>10</v>
      </c>
      <c r="B62" s="293" t="n">
        <f aca="false">IFERROR($B$33,0)</f>
        <v>73155</v>
      </c>
      <c r="C62" s="293" t="n">
        <f aca="false">IFERROR(MAX(0,C61-D61),0)</f>
        <v>0</v>
      </c>
      <c r="D62" s="293" t="n">
        <f aca="false">IFERROR(MIN(C62,B62),0)</f>
        <v>0</v>
      </c>
      <c r="E62" s="293" t="n">
        <f aca="false">IFERROR(MAX(0,E61+F61-G61),0)</f>
        <v>373598.199625146</v>
      </c>
      <c r="F62" s="293" t="n">
        <f aca="false">IFERROR(E62*Assumptions!$B$59,0)</f>
        <v>14009.932485943</v>
      </c>
      <c r="G62" s="293" t="n">
        <f aca="false">IFERROR(MIN(E62+F62,MAX(0,B62-D62)),0)</f>
        <v>73155</v>
      </c>
    </row>
    <row r="63" customFormat="false" ht="15" hidden="false" customHeight="true" outlineLevel="0" collapsed="false">
      <c r="A63" s="90" t="n">
        <v>11</v>
      </c>
      <c r="B63" s="293" t="n">
        <f aca="false">IFERROR($B$33,0)</f>
        <v>73155</v>
      </c>
      <c r="C63" s="293" t="n">
        <f aca="false">IFERROR(MAX(0,C62-D62),0)</f>
        <v>0</v>
      </c>
      <c r="D63" s="293" t="n">
        <f aca="false">IFERROR(MIN(C63,B63),0)</f>
        <v>0</v>
      </c>
      <c r="E63" s="293" t="n">
        <f aca="false">IFERROR(MAX(0,E62+F62-G62),0)</f>
        <v>314453.132111089</v>
      </c>
      <c r="F63" s="293" t="n">
        <f aca="false">IFERROR(E63*Assumptions!$B$59,0)</f>
        <v>11791.9924541658</v>
      </c>
      <c r="G63" s="293" t="n">
        <f aca="false">IFERROR(MIN(E63+F63,MAX(0,B63-D63)),0)</f>
        <v>73155</v>
      </c>
    </row>
    <row r="64" customFormat="false" ht="15" hidden="false" customHeight="true" outlineLevel="0" collapsed="false">
      <c r="A64" s="90" t="n">
        <v>12</v>
      </c>
      <c r="B64" s="293" t="n">
        <f aca="false">IFERROR($B$33,0)</f>
        <v>73155</v>
      </c>
      <c r="C64" s="293" t="n">
        <f aca="false">IFERROR(MAX(0,C63-D63),0)</f>
        <v>0</v>
      </c>
      <c r="D64" s="293" t="n">
        <f aca="false">IFERROR(MIN(C64,B64),0)</f>
        <v>0</v>
      </c>
      <c r="E64" s="293" t="n">
        <f aca="false">IFERROR(MAX(0,E63+F63-G63),0)</f>
        <v>253090.124565255</v>
      </c>
      <c r="F64" s="293" t="n">
        <f aca="false">IFERROR(E64*Assumptions!$B$59,0)</f>
        <v>9490.87967119705</v>
      </c>
      <c r="G64" s="293" t="n">
        <f aca="false">IFERROR(MIN(E64+F64,MAX(0,B64-D64)),0)</f>
        <v>73155</v>
      </c>
    </row>
    <row r="65" customFormat="false" ht="15" hidden="false" customHeight="true" outlineLevel="0" collapsed="false">
      <c r="A65" s="90" t="n">
        <v>13</v>
      </c>
      <c r="B65" s="293" t="n">
        <f aca="false">IFERROR($B$33,0)</f>
        <v>73155</v>
      </c>
      <c r="C65" s="293" t="n">
        <f aca="false">IFERROR(MAX(0,C64-D64),0)</f>
        <v>0</v>
      </c>
      <c r="D65" s="293" t="n">
        <f aca="false">IFERROR(MIN(C65,B65),0)</f>
        <v>0</v>
      </c>
      <c r="E65" s="293" t="n">
        <f aca="false">IFERROR(MAX(0,E64+F64-G64),0)</f>
        <v>189426.004236452</v>
      </c>
      <c r="F65" s="293" t="n">
        <f aca="false">IFERROR(E65*Assumptions!$B$59,0)</f>
        <v>7103.47515886694</v>
      </c>
      <c r="G65" s="293" t="n">
        <f aca="false">IFERROR(MIN(E65+F65,MAX(0,B65-D65)),0)</f>
        <v>73155</v>
      </c>
    </row>
    <row r="66" customFormat="false" ht="15" hidden="false" customHeight="true" outlineLevel="0" collapsed="false">
      <c r="A66" s="90" t="n">
        <v>14</v>
      </c>
      <c r="B66" s="293" t="n">
        <f aca="false">IFERROR($B$33,0)</f>
        <v>73155</v>
      </c>
      <c r="C66" s="293" t="n">
        <f aca="false">IFERROR(MAX(0,C65-D65),0)</f>
        <v>0</v>
      </c>
      <c r="D66" s="293" t="n">
        <f aca="false">IFERROR(MIN(C66,B66),0)</f>
        <v>0</v>
      </c>
      <c r="E66" s="293" t="n">
        <f aca="false">IFERROR(MAX(0,E65+F65-G65),0)</f>
        <v>123374.479395319</v>
      </c>
      <c r="F66" s="293" t="n">
        <f aca="false">IFERROR(E66*Assumptions!$B$59,0)</f>
        <v>4626.54297732445</v>
      </c>
      <c r="G66" s="293" t="n">
        <f aca="false">IFERROR(MIN(E66+F66,MAX(0,B66-D66)),0)</f>
        <v>73155</v>
      </c>
    </row>
    <row r="67" customFormat="false" ht="15" hidden="false" customHeight="true" outlineLevel="0" collapsed="false">
      <c r="A67" s="90" t="n">
        <v>15</v>
      </c>
      <c r="B67" s="293" t="n">
        <f aca="false">IFERROR($B$33,0)</f>
        <v>73155</v>
      </c>
      <c r="C67" s="293" t="n">
        <f aca="false">IFERROR(MAX(0,C66-D66),0)</f>
        <v>0</v>
      </c>
      <c r="D67" s="293" t="n">
        <f aca="false">IFERROR(MIN(C67,B67),0)</f>
        <v>0</v>
      </c>
      <c r="E67" s="293" t="n">
        <f aca="false">IFERROR(MAX(0,E66+F66-G66),0)</f>
        <v>54846.0223726431</v>
      </c>
      <c r="F67" s="293" t="n">
        <f aca="false">IFERROR(E67*Assumptions!$B$59,0)</f>
        <v>2056.72583897412</v>
      </c>
      <c r="G67" s="293" t="n">
        <f aca="false">IFERROR(MIN(E67+F67,MAX(0,B67-D67)),0)</f>
        <v>56902.7482116172</v>
      </c>
    </row>
    <row r="68" customFormat="false" ht="15" hidden="false" customHeight="true" outlineLevel="0" collapsed="false">
      <c r="A68" s="90" t="n">
        <v>16</v>
      </c>
      <c r="B68" s="293" t="n">
        <f aca="false">IFERROR($B$33,0)</f>
        <v>73155</v>
      </c>
      <c r="C68" s="293" t="n">
        <f aca="false">IFERROR(MAX(0,C67-D67),0)</f>
        <v>0</v>
      </c>
      <c r="D68" s="293" t="n">
        <f aca="false">IFERROR(MIN(C68,B68),0)</f>
        <v>0</v>
      </c>
      <c r="E68" s="293" t="n">
        <f aca="false">IFERROR(MAX(0,E67+F67-G67),0)</f>
        <v>0</v>
      </c>
      <c r="F68" s="293" t="n">
        <f aca="false">IFERROR(E68*Assumptions!$B$59,0)</f>
        <v>0</v>
      </c>
      <c r="G68" s="293" t="n">
        <f aca="false">IFERROR(MIN(E68+F68,MAX(0,B68-D68)),0)</f>
        <v>0</v>
      </c>
    </row>
    <row r="69" customFormat="false" ht="15" hidden="false" customHeight="true" outlineLevel="0" collapsed="false">
      <c r="A69" s="90" t="n">
        <v>17</v>
      </c>
      <c r="B69" s="293" t="n">
        <f aca="false">IFERROR($B$33,0)</f>
        <v>73155</v>
      </c>
      <c r="C69" s="293" t="n">
        <f aca="false">IFERROR(MAX(0,C68-D68),0)</f>
        <v>0</v>
      </c>
      <c r="D69" s="293" t="n">
        <f aca="false">IFERROR(MIN(C69,B69),0)</f>
        <v>0</v>
      </c>
      <c r="E69" s="293" t="n">
        <f aca="false">IFERROR(MAX(0,E68+F68-G68),0)</f>
        <v>0</v>
      </c>
      <c r="F69" s="293" t="n">
        <f aca="false">IFERROR(E69*Assumptions!$B$59,0)</f>
        <v>0</v>
      </c>
      <c r="G69" s="293" t="n">
        <f aca="false">IFERROR(MIN(E69+F69,MAX(0,B69-D69)),0)</f>
        <v>0</v>
      </c>
    </row>
    <row r="70" customFormat="false" ht="15" hidden="false" customHeight="true" outlineLevel="0" collapsed="false">
      <c r="A70" s="90" t="n">
        <v>18</v>
      </c>
      <c r="B70" s="293" t="n">
        <f aca="false">IFERROR($B$33,0)</f>
        <v>73155</v>
      </c>
      <c r="C70" s="293" t="n">
        <f aca="false">IFERROR(MAX(0,C69-D69),0)</f>
        <v>0</v>
      </c>
      <c r="D70" s="293" t="n">
        <f aca="false">IFERROR(MIN(C70,B70),0)</f>
        <v>0</v>
      </c>
      <c r="E70" s="293" t="n">
        <f aca="false">IFERROR(MAX(0,E69+F69-G69),0)</f>
        <v>0</v>
      </c>
      <c r="F70" s="293" t="n">
        <f aca="false">IFERROR(E70*Assumptions!$B$59,0)</f>
        <v>0</v>
      </c>
      <c r="G70" s="293" t="n">
        <f aca="false">IFERROR(MIN(E70+F70,MAX(0,B70-D70)),0)</f>
        <v>0</v>
      </c>
    </row>
    <row r="71" customFormat="false" ht="15" hidden="false" customHeight="true" outlineLevel="0" collapsed="false">
      <c r="A71" s="90" t="n">
        <v>19</v>
      </c>
      <c r="B71" s="293" t="n">
        <f aca="false">IFERROR($B$33,0)</f>
        <v>73155</v>
      </c>
      <c r="C71" s="293" t="n">
        <f aca="false">IFERROR(MAX(0,C70-D70),0)</f>
        <v>0</v>
      </c>
      <c r="D71" s="293" t="n">
        <f aca="false">IFERROR(MIN(C71,B71),0)</f>
        <v>0</v>
      </c>
      <c r="E71" s="293" t="n">
        <f aca="false">IFERROR(MAX(0,E70+F70-G70),0)</f>
        <v>0</v>
      </c>
      <c r="F71" s="293" t="n">
        <f aca="false">IFERROR(E71*Assumptions!$B$59,0)</f>
        <v>0</v>
      </c>
      <c r="G71" s="293" t="n">
        <f aca="false">IFERROR(MIN(E71+F71,MAX(0,B71-D71)),0)</f>
        <v>0</v>
      </c>
    </row>
    <row r="72" customFormat="false" ht="15" hidden="false" customHeight="true" outlineLevel="0" collapsed="false">
      <c r="A72" s="90" t="n">
        <v>20</v>
      </c>
      <c r="B72" s="293" t="n">
        <f aca="false">IFERROR($B$33,0)</f>
        <v>73155</v>
      </c>
      <c r="C72" s="293" t="n">
        <f aca="false">IFERROR(MAX(0,C71-D71),0)</f>
        <v>0</v>
      </c>
      <c r="D72" s="293" t="n">
        <f aca="false">IFERROR(MIN(C72,B72),0)</f>
        <v>0</v>
      </c>
      <c r="E72" s="293" t="n">
        <f aca="false">IFERROR(MAX(0,E71+F71-G71),0)</f>
        <v>0</v>
      </c>
      <c r="F72" s="293" t="n">
        <f aca="false">IFERROR(E72*Assumptions!$B$59,0)</f>
        <v>0</v>
      </c>
      <c r="G72" s="293" t="n">
        <f aca="false">IFERROR(MIN(E72+F72,MAX(0,B72-D72)),0)</f>
        <v>0</v>
      </c>
    </row>
    <row r="73" customFormat="false" ht="15" hidden="false" customHeight="true" outlineLevel="0" collapsed="false">
      <c r="A73" s="90" t="n">
        <v>21</v>
      </c>
      <c r="B73" s="293" t="n">
        <f aca="false">IFERROR($B$33,0)</f>
        <v>73155</v>
      </c>
      <c r="C73" s="293" t="n">
        <f aca="false">IFERROR(MAX(0,C72-D72),0)</f>
        <v>0</v>
      </c>
      <c r="D73" s="293" t="n">
        <f aca="false">IFERROR(MIN(C73,B73),0)</f>
        <v>0</v>
      </c>
      <c r="E73" s="293" t="n">
        <f aca="false">IFERROR(MAX(0,E72+F72-G72),0)</f>
        <v>0</v>
      </c>
      <c r="F73" s="293" t="n">
        <f aca="false">IFERROR(E73*Assumptions!$B$59,0)</f>
        <v>0</v>
      </c>
      <c r="G73" s="293" t="n">
        <f aca="false">IFERROR(MIN(E73+F73,MAX(0,B73-D73)),0)</f>
        <v>0</v>
      </c>
    </row>
    <row r="74" customFormat="false" ht="15" hidden="false" customHeight="true" outlineLevel="0" collapsed="false">
      <c r="A74" s="90" t="n">
        <v>22</v>
      </c>
      <c r="B74" s="293" t="n">
        <f aca="false">IFERROR($B$33,0)</f>
        <v>73155</v>
      </c>
      <c r="C74" s="293" t="n">
        <f aca="false">IFERROR(MAX(0,C73-D73),0)</f>
        <v>0</v>
      </c>
      <c r="D74" s="293" t="n">
        <f aca="false">IFERROR(MIN(C74,B74),0)</f>
        <v>0</v>
      </c>
      <c r="E74" s="293" t="n">
        <f aca="false">IFERROR(MAX(0,E73+F73-G73),0)</f>
        <v>0</v>
      </c>
      <c r="F74" s="293" t="n">
        <f aca="false">IFERROR(E74*Assumptions!$B$59,0)</f>
        <v>0</v>
      </c>
      <c r="G74" s="293" t="n">
        <f aca="false">IFERROR(MIN(E74+F74,MAX(0,B74-D74)),0)</f>
        <v>0</v>
      </c>
    </row>
    <row r="75" customFormat="false" ht="15" hidden="false" customHeight="true" outlineLevel="0" collapsed="false">
      <c r="A75" s="90" t="n">
        <v>23</v>
      </c>
      <c r="B75" s="293" t="n">
        <f aca="false">IFERROR($B$33,0)</f>
        <v>73155</v>
      </c>
      <c r="C75" s="293" t="n">
        <f aca="false">IFERROR(MAX(0,C74-D74),0)</f>
        <v>0</v>
      </c>
      <c r="D75" s="293" t="n">
        <f aca="false">IFERROR(MIN(C75,B75),0)</f>
        <v>0</v>
      </c>
      <c r="E75" s="293" t="n">
        <f aca="false">IFERROR(MAX(0,E74+F74-G74),0)</f>
        <v>0</v>
      </c>
      <c r="F75" s="293" t="n">
        <f aca="false">IFERROR(E75*Assumptions!$B$59,0)</f>
        <v>0</v>
      </c>
      <c r="G75" s="293" t="n">
        <f aca="false">IFERROR(MIN(E75+F75,MAX(0,B75-D75)),0)</f>
        <v>0</v>
      </c>
    </row>
    <row r="76" customFormat="false" ht="15" hidden="false" customHeight="true" outlineLevel="0" collapsed="false">
      <c r="A76" s="90" t="n">
        <v>24</v>
      </c>
      <c r="B76" s="293" t="n">
        <f aca="false">IFERROR($B$33,0)</f>
        <v>73155</v>
      </c>
      <c r="C76" s="293" t="n">
        <f aca="false">IFERROR(MAX(0,C75-D75),0)</f>
        <v>0</v>
      </c>
      <c r="D76" s="293" t="n">
        <f aca="false">IFERROR(MIN(C76,B76),0)</f>
        <v>0</v>
      </c>
      <c r="E76" s="293" t="n">
        <f aca="false">IFERROR(MAX(0,E75+F75-G75),0)</f>
        <v>0</v>
      </c>
      <c r="F76" s="293" t="n">
        <f aca="false">IFERROR(E76*Assumptions!$B$59,0)</f>
        <v>0</v>
      </c>
      <c r="G76" s="293" t="n">
        <f aca="false">IFERROR(MIN(E76+F76,MAX(0,B76-D76)),0)</f>
        <v>0</v>
      </c>
    </row>
    <row r="77" customFormat="false" ht="15" hidden="false" customHeight="true" outlineLevel="0" collapsed="false">
      <c r="A77" s="90" t="n">
        <v>25</v>
      </c>
      <c r="B77" s="293" t="n">
        <f aca="false">IFERROR($B$33,0)</f>
        <v>73155</v>
      </c>
      <c r="C77" s="293" t="n">
        <f aca="false">IFERROR(MAX(0,C76-D76),0)</f>
        <v>0</v>
      </c>
      <c r="D77" s="293" t="n">
        <f aca="false">IFERROR(MIN(C77,B77),0)</f>
        <v>0</v>
      </c>
      <c r="E77" s="293" t="n">
        <f aca="false">IFERROR(MAX(0,E76+F76-G76),0)</f>
        <v>0</v>
      </c>
      <c r="F77" s="293" t="n">
        <f aca="false">IFERROR(E77*Assumptions!$B$59,0)</f>
        <v>0</v>
      </c>
      <c r="G77" s="293" t="n">
        <f aca="false">IFERROR(MIN(E77+F77,MAX(0,B77-D77)),0)</f>
        <v>0</v>
      </c>
    </row>
    <row r="78" customFormat="false" ht="15" hidden="false" customHeight="true" outlineLevel="0" collapsed="false">
      <c r="A78" s="90" t="n">
        <v>26</v>
      </c>
      <c r="B78" s="293" t="n">
        <f aca="false">IFERROR($B$33,0)</f>
        <v>73155</v>
      </c>
      <c r="C78" s="293" t="n">
        <f aca="false">IFERROR(MAX(0,C77-D77),0)</f>
        <v>0</v>
      </c>
      <c r="D78" s="293" t="n">
        <f aca="false">IFERROR(MIN(C78,B78),0)</f>
        <v>0</v>
      </c>
      <c r="E78" s="293" t="n">
        <f aca="false">IFERROR(MAX(0,E77+F77-G77),0)</f>
        <v>0</v>
      </c>
      <c r="F78" s="293" t="n">
        <f aca="false">IFERROR(E78*Assumptions!$B$59,0)</f>
        <v>0</v>
      </c>
      <c r="G78" s="293" t="n">
        <f aca="false">IFERROR(MIN(E78+F78,MAX(0,B78-D78)),0)</f>
        <v>0</v>
      </c>
    </row>
    <row r="79" customFormat="false" ht="15" hidden="false" customHeight="true" outlineLevel="0" collapsed="false">
      <c r="A79" s="90" t="n">
        <v>27</v>
      </c>
      <c r="B79" s="293" t="n">
        <f aca="false">IFERROR($B$33,0)</f>
        <v>73155</v>
      </c>
      <c r="C79" s="293" t="n">
        <f aca="false">IFERROR(MAX(0,C78-D78),0)</f>
        <v>0</v>
      </c>
      <c r="D79" s="293" t="n">
        <f aca="false">IFERROR(MIN(C79,B79),0)</f>
        <v>0</v>
      </c>
      <c r="E79" s="293" t="n">
        <f aca="false">IFERROR(MAX(0,E78+F78-G78),0)</f>
        <v>0</v>
      </c>
      <c r="F79" s="293" t="n">
        <f aca="false">IFERROR(E79*Assumptions!$B$59,0)</f>
        <v>0</v>
      </c>
      <c r="G79" s="293" t="n">
        <f aca="false">IFERROR(MIN(E79+F79,MAX(0,B79-D79)),0)</f>
        <v>0</v>
      </c>
    </row>
    <row r="80" customFormat="false" ht="15" hidden="false" customHeight="true" outlineLevel="0" collapsed="false">
      <c r="A80" s="90" t="n">
        <v>28</v>
      </c>
      <c r="B80" s="293" t="n">
        <f aca="false">IFERROR($B$33,0)</f>
        <v>73155</v>
      </c>
      <c r="C80" s="293" t="n">
        <f aca="false">IFERROR(MAX(0,C79-D79),0)</f>
        <v>0</v>
      </c>
      <c r="D80" s="293" t="n">
        <f aca="false">IFERROR(MIN(C80,B80),0)</f>
        <v>0</v>
      </c>
      <c r="E80" s="293" t="n">
        <f aca="false">IFERROR(MAX(0,E79+F79-G79),0)</f>
        <v>0</v>
      </c>
      <c r="F80" s="293" t="n">
        <f aca="false">IFERROR(E80*Assumptions!$B$59,0)</f>
        <v>0</v>
      </c>
      <c r="G80" s="293" t="n">
        <f aca="false">IFERROR(MIN(E80+F80,MAX(0,B80-D80)),0)</f>
        <v>0</v>
      </c>
    </row>
    <row r="81" customFormat="false" ht="15" hidden="false" customHeight="true" outlineLevel="0" collapsed="false">
      <c r="A81" s="90" t="n">
        <v>29</v>
      </c>
      <c r="B81" s="293" t="n">
        <f aca="false">IFERROR($B$33,0)</f>
        <v>73155</v>
      </c>
      <c r="C81" s="293" t="n">
        <f aca="false">IFERROR(MAX(0,C80-D80),0)</f>
        <v>0</v>
      </c>
      <c r="D81" s="293" t="n">
        <f aca="false">IFERROR(MIN(C81,B81),0)</f>
        <v>0</v>
      </c>
      <c r="E81" s="293" t="n">
        <f aca="false">IFERROR(MAX(0,E80+F80-G80),0)</f>
        <v>0</v>
      </c>
      <c r="F81" s="293" t="n">
        <f aca="false">IFERROR(E81*Assumptions!$B$59,0)</f>
        <v>0</v>
      </c>
      <c r="G81" s="293" t="n">
        <f aca="false">IFERROR(MIN(E81+F81,MAX(0,B81-D81)),0)</f>
        <v>0</v>
      </c>
    </row>
    <row r="82" customFormat="false" ht="15" hidden="false" customHeight="true" outlineLevel="0" collapsed="false">
      <c r="A82" s="90" t="n">
        <v>30</v>
      </c>
      <c r="B82" s="293" t="n">
        <f aca="false">IFERROR($B$33,0)</f>
        <v>73155</v>
      </c>
      <c r="C82" s="293" t="n">
        <f aca="false">IFERROR(MAX(0,C81-D81),0)</f>
        <v>0</v>
      </c>
      <c r="D82" s="293" t="n">
        <f aca="false">IFERROR(MIN(C82,B82),0)</f>
        <v>0</v>
      </c>
      <c r="E82" s="293" t="n">
        <f aca="false">IFERROR(MAX(0,E81+F81-G81),0)</f>
        <v>0</v>
      </c>
      <c r="F82" s="293" t="n">
        <f aca="false">IFERROR(E82*Assumptions!$B$59,0)</f>
        <v>0</v>
      </c>
      <c r="G82" s="293" t="n">
        <f aca="false">IFERROR(MIN(E82+F82,MAX(0,B82-D82)),0)</f>
        <v>0</v>
      </c>
    </row>
    <row r="83" customFormat="false" ht="15" hidden="false" customHeight="true" outlineLevel="0" collapsed="false">
      <c r="A83" s="90" t="n">
        <v>31</v>
      </c>
      <c r="B83" s="293" t="n">
        <f aca="false">IFERROR($B$33,0)</f>
        <v>73155</v>
      </c>
      <c r="C83" s="293" t="n">
        <f aca="false">IFERROR(MAX(0,C82-D82),0)</f>
        <v>0</v>
      </c>
      <c r="D83" s="293" t="n">
        <f aca="false">IFERROR(MIN(C83,B83),0)</f>
        <v>0</v>
      </c>
      <c r="E83" s="293" t="n">
        <f aca="false">IFERROR(MAX(0,E82+F82-G82),0)</f>
        <v>0</v>
      </c>
      <c r="F83" s="293" t="n">
        <f aca="false">IFERROR(E83*Assumptions!$B$59,0)</f>
        <v>0</v>
      </c>
      <c r="G83" s="293" t="n">
        <f aca="false">IFERROR(MIN(E83+F83,MAX(0,B83-D83)),0)</f>
        <v>0</v>
      </c>
    </row>
    <row r="84" customFormat="false" ht="15" hidden="false" customHeight="true" outlineLevel="0" collapsed="false">
      <c r="A84" s="90" t="n">
        <v>32</v>
      </c>
      <c r="B84" s="293" t="n">
        <f aca="false">IFERROR($B$33,0)</f>
        <v>73155</v>
      </c>
      <c r="C84" s="293" t="n">
        <f aca="false">IFERROR(MAX(0,C83-D83),0)</f>
        <v>0</v>
      </c>
      <c r="D84" s="293" t="n">
        <f aca="false">IFERROR(MIN(C84,B84),0)</f>
        <v>0</v>
      </c>
      <c r="E84" s="293" t="n">
        <f aca="false">IFERROR(MAX(0,E83+F83-G83),0)</f>
        <v>0</v>
      </c>
      <c r="F84" s="293" t="n">
        <f aca="false">IFERROR(E84*Assumptions!$B$59,0)</f>
        <v>0</v>
      </c>
      <c r="G84" s="293" t="n">
        <f aca="false">IFERROR(MIN(E84+F84,MAX(0,B84-D84)),0)</f>
        <v>0</v>
      </c>
    </row>
    <row r="85" customFormat="false" ht="15" hidden="false" customHeight="true" outlineLevel="0" collapsed="false">
      <c r="A85" s="90" t="n">
        <v>33</v>
      </c>
      <c r="B85" s="293" t="n">
        <f aca="false">IFERROR($B$33,0)</f>
        <v>73155</v>
      </c>
      <c r="C85" s="293" t="n">
        <f aca="false">IFERROR(MAX(0,C84-D84),0)</f>
        <v>0</v>
      </c>
      <c r="D85" s="293" t="n">
        <f aca="false">IFERROR(MIN(C85,B85),0)</f>
        <v>0</v>
      </c>
      <c r="E85" s="293" t="n">
        <f aca="false">IFERROR(MAX(0,E84+F84-G84),0)</f>
        <v>0</v>
      </c>
      <c r="F85" s="293" t="n">
        <f aca="false">IFERROR(E85*Assumptions!$B$59,0)</f>
        <v>0</v>
      </c>
      <c r="G85" s="293" t="n">
        <f aca="false">IFERROR(MIN(E85+F85,MAX(0,B85-D85)),0)</f>
        <v>0</v>
      </c>
    </row>
    <row r="86" customFormat="false" ht="15" hidden="false" customHeight="true" outlineLevel="0" collapsed="false">
      <c r="A86" s="90" t="n">
        <v>34</v>
      </c>
      <c r="B86" s="293" t="n">
        <f aca="false">IFERROR($B$33,0)</f>
        <v>73155</v>
      </c>
      <c r="C86" s="293" t="n">
        <f aca="false">IFERROR(MAX(0,C85-D85),0)</f>
        <v>0</v>
      </c>
      <c r="D86" s="293" t="n">
        <f aca="false">IFERROR(MIN(C86,B86),0)</f>
        <v>0</v>
      </c>
      <c r="E86" s="293" t="n">
        <f aca="false">IFERROR(MAX(0,E85+F85-G85),0)</f>
        <v>0</v>
      </c>
      <c r="F86" s="293" t="n">
        <f aca="false">IFERROR(E86*Assumptions!$B$59,0)</f>
        <v>0</v>
      </c>
      <c r="G86" s="293" t="n">
        <f aca="false">IFERROR(MIN(E86+F86,MAX(0,B86-D86)),0)</f>
        <v>0</v>
      </c>
    </row>
    <row r="87" customFormat="false" ht="15" hidden="false" customHeight="true" outlineLevel="0" collapsed="false">
      <c r="A87" s="90" t="n">
        <v>35</v>
      </c>
      <c r="B87" s="293" t="n">
        <f aca="false">IFERROR($B$33,0)</f>
        <v>73155</v>
      </c>
      <c r="C87" s="293" t="n">
        <f aca="false">IFERROR(MAX(0,C86-D86),0)</f>
        <v>0</v>
      </c>
      <c r="D87" s="293" t="n">
        <f aca="false">IFERROR(MIN(C87,B87),0)</f>
        <v>0</v>
      </c>
      <c r="E87" s="293" t="n">
        <f aca="false">IFERROR(MAX(0,E86+F86-G86),0)</f>
        <v>0</v>
      </c>
      <c r="F87" s="293" t="n">
        <f aca="false">IFERROR(E87*Assumptions!$B$59,0)</f>
        <v>0</v>
      </c>
      <c r="G87" s="293" t="n">
        <f aca="false">IFERROR(MIN(E87+F87,MAX(0,B87-D87)),0)</f>
        <v>0</v>
      </c>
    </row>
    <row r="88" customFormat="false" ht="15" hidden="false" customHeight="true" outlineLevel="0" collapsed="false">
      <c r="A88" s="90" t="n">
        <v>36</v>
      </c>
      <c r="B88" s="293" t="n">
        <f aca="false">IFERROR($B$33,0)</f>
        <v>73155</v>
      </c>
      <c r="C88" s="293" t="n">
        <f aca="false">IFERROR(MAX(0,C87-D87),0)</f>
        <v>0</v>
      </c>
      <c r="D88" s="293" t="n">
        <f aca="false">IFERROR(MIN(C88,B88),0)</f>
        <v>0</v>
      </c>
      <c r="E88" s="293" t="n">
        <f aca="false">IFERROR(MAX(0,E87+F87-G87),0)</f>
        <v>0</v>
      </c>
      <c r="F88" s="293" t="n">
        <f aca="false">IFERROR(E88*Assumptions!$B$59,0)</f>
        <v>0</v>
      </c>
      <c r="G88" s="293" t="n">
        <f aca="false">IFERROR(MIN(E88+F88,MAX(0,B88-D88)),0)</f>
        <v>0</v>
      </c>
    </row>
    <row r="89" customFormat="false" ht="15" hidden="false" customHeight="true" outlineLevel="0" collapsed="false">
      <c r="A89" s="90" t="n">
        <v>37</v>
      </c>
      <c r="B89" s="293" t="n">
        <f aca="false">IFERROR($B$33,0)</f>
        <v>73155</v>
      </c>
      <c r="C89" s="293" t="n">
        <f aca="false">IFERROR(MAX(0,C88-D88),0)</f>
        <v>0</v>
      </c>
      <c r="D89" s="293" t="n">
        <f aca="false">IFERROR(MIN(C89,B89),0)</f>
        <v>0</v>
      </c>
      <c r="E89" s="293" t="n">
        <f aca="false">IFERROR(MAX(0,E88+F88-G88),0)</f>
        <v>0</v>
      </c>
      <c r="F89" s="293" t="n">
        <f aca="false">IFERROR(E89*Assumptions!$B$59,0)</f>
        <v>0</v>
      </c>
      <c r="G89" s="293" t="n">
        <f aca="false">IFERROR(MIN(E89+F89,MAX(0,B89-D89)),0)</f>
        <v>0</v>
      </c>
    </row>
    <row r="90" customFormat="false" ht="15" hidden="false" customHeight="true" outlineLevel="0" collapsed="false">
      <c r="A90" s="90" t="n">
        <v>38</v>
      </c>
      <c r="B90" s="293" t="n">
        <f aca="false">IFERROR($B$33,0)</f>
        <v>73155</v>
      </c>
      <c r="C90" s="293" t="n">
        <f aca="false">IFERROR(MAX(0,C89-D89),0)</f>
        <v>0</v>
      </c>
      <c r="D90" s="293" t="n">
        <f aca="false">IFERROR(MIN(C90,B90),0)</f>
        <v>0</v>
      </c>
      <c r="E90" s="293" t="n">
        <f aca="false">IFERROR(MAX(0,E89+F89-G89),0)</f>
        <v>0</v>
      </c>
      <c r="F90" s="293" t="n">
        <f aca="false">IFERROR(E90*Assumptions!$B$59,0)</f>
        <v>0</v>
      </c>
      <c r="G90" s="293" t="n">
        <f aca="false">IFERROR(MIN(E90+F90,MAX(0,B90-D90)),0)</f>
        <v>0</v>
      </c>
    </row>
    <row r="91" customFormat="false" ht="15" hidden="false" customHeight="true" outlineLevel="0" collapsed="false">
      <c r="A91" s="90" t="n">
        <v>39</v>
      </c>
      <c r="B91" s="293" t="n">
        <f aca="false">IFERROR($B$33,0)</f>
        <v>73155</v>
      </c>
      <c r="C91" s="293" t="n">
        <f aca="false">IFERROR(MAX(0,C90-D90),0)</f>
        <v>0</v>
      </c>
      <c r="D91" s="293" t="n">
        <f aca="false">IFERROR(MIN(C91,B91),0)</f>
        <v>0</v>
      </c>
      <c r="E91" s="293" t="n">
        <f aca="false">IFERROR(MAX(0,E90+F90-G90),0)</f>
        <v>0</v>
      </c>
      <c r="F91" s="293" t="n">
        <f aca="false">IFERROR(E91*Assumptions!$B$59,0)</f>
        <v>0</v>
      </c>
      <c r="G91" s="293" t="n">
        <f aca="false">IFERROR(MIN(E91+F91,MAX(0,B91-D91)),0)</f>
        <v>0</v>
      </c>
    </row>
    <row r="92" customFormat="false" ht="15" hidden="false" customHeight="true" outlineLevel="0" collapsed="false">
      <c r="A92" s="90" t="n">
        <v>40</v>
      </c>
      <c r="B92" s="293" t="n">
        <f aca="false">IFERROR($B$33,0)</f>
        <v>73155</v>
      </c>
      <c r="C92" s="293" t="n">
        <f aca="false">IFERROR(MAX(0,C91-D91),0)</f>
        <v>0</v>
      </c>
      <c r="D92" s="293" t="n">
        <f aca="false">IFERROR(MIN(C92,B92),0)</f>
        <v>0</v>
      </c>
      <c r="E92" s="293" t="n">
        <f aca="false">IFERROR(MAX(0,E91+F91-G91),0)</f>
        <v>0</v>
      </c>
      <c r="F92" s="293" t="n">
        <f aca="false">IFERROR(E92*Assumptions!$B$59,0)</f>
        <v>0</v>
      </c>
      <c r="G92" s="293" t="n">
        <f aca="false">IFERROR(MIN(E92+F92,MAX(0,B92-D92)),0)</f>
        <v>0</v>
      </c>
    </row>
    <row r="93" customFormat="false" ht="15" hidden="false" customHeight="true" outlineLevel="0" collapsed="false">
      <c r="A93" s="291" t="s">
        <v>1095</v>
      </c>
      <c r="D93" s="294" t="n">
        <f aca="false">IFERROR(SUM(D53:D92),0)</f>
        <v>270925.32</v>
      </c>
      <c r="F93" s="294" t="n">
        <f aca="false">IFERROR(SUM(F53:F92),0)</f>
        <v>240125.881206445</v>
      </c>
      <c r="G93" s="294" t="n">
        <f aca="false">IFERROR(SUM(G53:G92),0)</f>
        <v>810147.428211617</v>
      </c>
    </row>
    <row r="94" customFormat="false" ht="15" hidden="false" customHeight="true" outlineLevel="0" collapsed="false">
      <c r="A94" s="1" t="s">
        <v>1096</v>
      </c>
    </row>
    <row r="95" customFormat="false" ht="15" hidden="false" customHeight="true" outlineLevel="0" collapsed="false">
      <c r="A95" s="1" t="s">
        <v>1097</v>
      </c>
    </row>
    <row r="96" customFormat="false" ht="15" hidden="false" customHeight="true" outlineLevel="0" collapsed="false">
      <c r="A96" s="72" t="s">
        <v>1098</v>
      </c>
      <c r="B96" s="295" t="n">
        <f aca="false">SUM(Actuals!C112:N112)</f>
        <v>-1889927.29</v>
      </c>
      <c r="C96" s="296"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D96" s="296"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E96" s="296" t="n">
        <f aca="false">IF(AND(Projects!$G$17="Yes",Projects!$X$17="Yes",0&gt;=Projects!$C$17,0&lt;Projects!$C$17+Projects!$D$17),Projects!$B$17*INDEX(Curves!$B$4:$AR$4,1,0-Projects!$C$17+1),0)+IF(AND(Projects!$G$18="Yes",Projects!$X$18="Yes",0&gt;=Projects!$C$18,0&lt;Projects!$C$18+Projects!$D$18),Projects!$B$18*INDEX(Curves!$B$4:$AR$4,1,0-Projects!$C$18+1),0)+IF(AND(Projects!$G$19="Yes",Projects!$X$19="Yes",0&gt;=Projects!$C$19,0&lt;Projects!$C$19+Projects!$D$19),Projects!$B$19*INDEX(Curves!$B$10:$AR$10,1,0-Projects!$C$19+1),0)+IF(AND(Projects!$G$20="Yes",Projects!$X$20="Yes",0&gt;=Projects!$C$20,0&lt;Projects!$C$20+Projects!$D$20),Projects!$B$20*INDEX(Curves!$B$4:$AR$4,1,0-Projects!$C$20+1),0)+IF(AND(Projects!$G$21="Yes",Projects!$X$21="Yes",0&gt;=Projects!$C$21,0&lt;Projects!$C$21+Projects!$D$21),Projects!$B$21*INDEX(Curves!$B$11:$AR$11,1,0-Projects!$C$21+1),0)+IF(AND(Projects!$G$22="Yes",Projects!$X$22="Yes",0&gt;=Projects!$C$22,0&lt;Projects!$C$22+Projects!$D$22),Projects!$B$22*INDEX(Curves!$B$4:$AR$4,1,0-Projects!$C$22+1),0)+IF(AND(Projects!$G$23="Yes",Projects!$X$23="Yes",0&gt;=Projects!$C$23,0&lt;Projects!$C$23+Projects!$D$23),Projects!$B$23*INDEX(Curves!$B$4:$AR$4,1,0-Projects!$C$23+1),0)+IF(AND(Projects!$G$24="Yes",Projects!$X$24="Yes",0&gt;=Projects!$C$24,0&lt;Projects!$C$24+Projects!$D$24),Projects!$B$24*INDEX(Curves!$B$4:$AR$4,1,0-Projects!$C$24+1),0)+IF(AND(Projects!$G$25="Yes",Projects!$X$25="Yes",0&gt;=Projects!$C$25,0&lt;Projects!$C$25+Projects!$D$25),Projects!$B$25*INDEX(Curves!$B$4:$AR$4,1,0-Projects!$C$25+1),0)+IF(AND(Projects!$G$26="Yes",Projects!$X$26="Yes",0&gt;=Projects!$C$26,0&lt;Projects!$C$26+Projects!$D$26),Projects!$B$26*INDEX(Curves!$B$4:$AR$4,1,0-Projects!$C$26+1),0)+IF(AND(Projects!$G$27="Yes",Projects!$X$27="Yes",0&gt;=Projects!$C$27,0&lt;Projects!$C$27+Projects!$D$27),Projects!$B$27*INDEX(Curves!$B$4:$AR$4,1,0-Projects!$C$27+1),0)+IF(AND(Projects!$G$28="Yes",Projects!$X$28="Yes",0&gt;=Projects!$C$28,0&lt;Projects!$C$28+Projects!$D$28),Projects!$B$28*INDEX(Curves!$B$4:$AR$4,1,0-Projects!$C$28+1),0)+IF(AND(Projects!$G$29="Yes",Projects!$X$29="Yes",0&gt;=Projects!$C$29,0&lt;Projects!$C$29+Projects!$D$29),Projects!$B$29*INDEX(Curves!$B$4:$AR$4,1,0-Projects!$C$29+1),0)+IF(AND(Projects!$G$30="Yes",Projects!$X$30="Yes",0&gt;=Projects!$C$30,0&lt;Projects!$C$30+Projects!$D$30),Projects!$B$30*INDEX(Curves!$B$4:$AR$4,1,0-Projects!$C$30+1),0)+IF(AND(Projects!$G$31="Yes",Projects!$X$31="Yes",0&gt;=Projects!$C$31,0&lt;Projects!$C$31+Projects!$D$31),Projects!$B$31*INDEX(Curves!$B$4:$AR$4,1,0-Projects!$C$31+1),0)+IF(AND(Projects!$G$32="Yes",Projects!$X$32="Yes",0&gt;=Projects!$C$32,0&lt;Projects!$C$32+Projects!$D$32),Projects!$B$32*INDEX(Curves!$B$4:$AR$4,1,0-Projects!$C$32+1),0)+IF(AND(Projects!$G$33="Yes",Projects!$X$33="Yes",0&gt;=Projects!$C$33,0&lt;Projects!$C$33+Projects!$D$33),Projects!$B$33*INDEX(Curves!$B$4:$AR$4,1,0-Projects!$C$33+1),0)+IF(AND(Projects!$G$34="Yes",Projects!$X$34="Yes",0&gt;=Projects!$C$34,0&lt;Projects!$C$34+Projects!$D$34),Projects!$B$34*INDEX(Curves!$B$4:$AR$4,1,0-Projects!$C$34+1),0)+IF(AND(Projects!$G$35="Yes",Projects!$X$35="Yes",0&gt;=Projects!$C$35,0&lt;Projects!$C$35+Projects!$D$35),Projects!$B$35*INDEX(Curves!$B$4:$AR$4,1,0-Projects!$C$35+1),0)+IF(AND(Projects!$G$36="Yes",Projects!$X$36="Yes",0&gt;=Projects!$C$36,0&lt;Projects!$C$36+Projects!$D$36),Projects!$B$36*INDEX(Curves!$B$4:$AR$4,1,0-Projects!$C$36+1),0)+IF(AND(Projects!$G$37="Yes",Projects!$X$37="Yes",0&gt;=Projects!$C$37,0&lt;Projects!$C$37+Projects!$D$37),Projects!$B$37*INDEX(Curves!$B$4:$AR$4,1,0-Projects!$C$37+1),0)+IF(AND(Projects!$G$38="Yes",Projects!$X$38="Yes",0&gt;=Projects!$C$38,0&lt;Projects!$C$38+Projects!$D$38),Projects!$B$38*INDEX(Curves!$B$4:$AR$4,1,0-Projects!$C$38+1),0)+IF(AND(Projects!$G$39="Yes",Projects!$X$39="Yes",0&gt;=Projects!$C$39,0&lt;Projects!$C$39+Projects!$D$39),Projects!$B$39*INDEX(Curves!$B$4:$AR$4,1,0-Projects!$C$39+1),0)+IF(AND(Projects!$G$40="Yes",Projects!$X$40="Yes",0&gt;=Projects!$C$40,0&lt;Projects!$C$40+Projects!$D$40),Projects!$B$40*INDEX(Curves!$B$4:$AR$4,1,0-Projects!$C$40+1),0)+IF(AND(Projects!$G$41="Yes",Projects!$X$41="Yes",0&gt;=Projects!$C$41,0&lt;Projects!$C$41+Projects!$D$41),Projects!$B$41*INDEX(Curves!$B$4:$AR$4,1,0-Projects!$C$41+1),0)+IF(AND(Projects!$G$42="Yes",Projects!$X$42="Yes",0&gt;=Projects!$C$42,0&lt;Projects!$C$42+Projects!$D$42),Projects!$B$42*INDEX(Curves!$B$4:$AR$4,1,0-Projects!$C$42+1),0)+IF(AND(Projects!$G$43="Yes",Projects!$X$43="Yes",0&gt;=Projects!$C$43,0&lt;Projects!$C$43+Projects!$D$43),Projects!$B$43*INDEX(Curves!$B$4:$AR$4,1,0-Projects!$C$43+1),0)+IF(AND(Projects!$G$44="Yes",Projects!$X$44="Yes",0&gt;=Projects!$C$44,0&lt;Projects!$C$44+Projects!$D$44),Projects!$B$44*INDEX(Curves!$B$4:$AR$4,1,0-Projects!$C$44+1),0)+IF(AND(Projects!$G$45="Yes",Projects!$X$45="Yes",0&gt;=Projects!$C$45,0&lt;Projects!$C$45+Projects!$D$45),Projects!$B$45*INDEX(Curves!$B$4:$AR$4,1,0-Projects!$C$45+1),0)+IF(AND(Projects!$G$46="Yes",Projects!$X$46="Yes",0&gt;=Projects!$C$46,0&lt;Projects!$C$46+Projects!$D$46),Projects!$B$46*INDEX(Curves!$B$4:$AR$4,1,0-Projects!$C$46+1),0)</f>
        <v>0</v>
      </c>
      <c r="F96" s="296" t="n">
        <f aca="false">IF(AND(Projects!$G$17="Yes",Projects!$X$17="Yes",1&gt;=Projects!$C$17,1&lt;Projects!$C$17+Projects!$D$17),Projects!$B$17*INDEX(Curves!$B$4:$AR$4,1,1-Projects!$C$17+1),0)+IF(AND(Projects!$G$18="Yes",Projects!$X$18="Yes",1&gt;=Projects!$C$18,1&lt;Projects!$C$18+Projects!$D$18),Projects!$B$18*INDEX(Curves!$B$4:$AR$4,1,1-Projects!$C$18+1),0)+IF(AND(Projects!$G$19="Yes",Projects!$X$19="Yes",1&gt;=Projects!$C$19,1&lt;Projects!$C$19+Projects!$D$19),Projects!$B$19*INDEX(Curves!$B$10:$AR$10,1,1-Projects!$C$19+1),0)+IF(AND(Projects!$G$20="Yes",Projects!$X$20="Yes",1&gt;=Projects!$C$20,1&lt;Projects!$C$20+Projects!$D$20),Projects!$B$20*INDEX(Curves!$B$4:$AR$4,1,1-Projects!$C$20+1),0)+IF(AND(Projects!$G$21="Yes",Projects!$X$21="Yes",1&gt;=Projects!$C$21,1&lt;Projects!$C$21+Projects!$D$21),Projects!$B$21*INDEX(Curves!$B$11:$AR$11,1,1-Projects!$C$21+1),0)+IF(AND(Projects!$G$22="Yes",Projects!$X$22="Yes",1&gt;=Projects!$C$22,1&lt;Projects!$C$22+Projects!$D$22),Projects!$B$22*INDEX(Curves!$B$4:$AR$4,1,1-Projects!$C$22+1),0)+IF(AND(Projects!$G$23="Yes",Projects!$X$23="Yes",1&gt;=Projects!$C$23,1&lt;Projects!$C$23+Projects!$D$23),Projects!$B$23*INDEX(Curves!$B$4:$AR$4,1,1-Projects!$C$23+1),0)+IF(AND(Projects!$G$24="Yes",Projects!$X$24="Yes",1&gt;=Projects!$C$24,1&lt;Projects!$C$24+Projects!$D$24),Projects!$B$24*INDEX(Curves!$B$4:$AR$4,1,1-Projects!$C$24+1),0)+IF(AND(Projects!$G$25="Yes",Projects!$X$25="Yes",1&gt;=Projects!$C$25,1&lt;Projects!$C$25+Projects!$D$25),Projects!$B$25*INDEX(Curves!$B$4:$AR$4,1,1-Projects!$C$25+1),0)+IF(AND(Projects!$G$26="Yes",Projects!$X$26="Yes",1&gt;=Projects!$C$26,1&lt;Projects!$C$26+Projects!$D$26),Projects!$B$26*INDEX(Curves!$B$4:$AR$4,1,1-Projects!$C$26+1),0)+IF(AND(Projects!$G$27="Yes",Projects!$X$27="Yes",1&gt;=Projects!$C$27,1&lt;Projects!$C$27+Projects!$D$27),Projects!$B$27*INDEX(Curves!$B$4:$AR$4,1,1-Projects!$C$27+1),0)+IF(AND(Projects!$G$28="Yes",Projects!$X$28="Yes",1&gt;=Projects!$C$28,1&lt;Projects!$C$28+Projects!$D$28),Projects!$B$28*INDEX(Curves!$B$4:$AR$4,1,1-Projects!$C$28+1),0)+IF(AND(Projects!$G$29="Yes",Projects!$X$29="Yes",1&gt;=Projects!$C$29,1&lt;Projects!$C$29+Projects!$D$29),Projects!$B$29*INDEX(Curves!$B$4:$AR$4,1,1-Projects!$C$29+1),0)+IF(AND(Projects!$G$30="Yes",Projects!$X$30="Yes",1&gt;=Projects!$C$30,1&lt;Projects!$C$30+Projects!$D$30),Projects!$B$30*INDEX(Curves!$B$4:$AR$4,1,1-Projects!$C$30+1),0)+IF(AND(Projects!$G$31="Yes",Projects!$X$31="Yes",1&gt;=Projects!$C$31,1&lt;Projects!$C$31+Projects!$D$31),Projects!$B$31*INDEX(Curves!$B$4:$AR$4,1,1-Projects!$C$31+1),0)+IF(AND(Projects!$G$32="Yes",Projects!$X$32="Yes",1&gt;=Projects!$C$32,1&lt;Projects!$C$32+Projects!$D$32),Projects!$B$32*INDEX(Curves!$B$4:$AR$4,1,1-Projects!$C$32+1),0)+IF(AND(Projects!$G$33="Yes",Projects!$X$33="Yes",1&gt;=Projects!$C$33,1&lt;Projects!$C$33+Projects!$D$33),Projects!$B$33*INDEX(Curves!$B$4:$AR$4,1,1-Projects!$C$33+1),0)+IF(AND(Projects!$G$34="Yes",Projects!$X$34="Yes",1&gt;=Projects!$C$34,1&lt;Projects!$C$34+Projects!$D$34),Projects!$B$34*INDEX(Curves!$B$4:$AR$4,1,1-Projects!$C$34+1),0)+IF(AND(Projects!$G$35="Yes",Projects!$X$35="Yes",1&gt;=Projects!$C$35,1&lt;Projects!$C$35+Projects!$D$35),Projects!$B$35*INDEX(Curves!$B$4:$AR$4,1,1-Projects!$C$35+1),0)+IF(AND(Projects!$G$36="Yes",Projects!$X$36="Yes",1&gt;=Projects!$C$36,1&lt;Projects!$C$36+Projects!$D$36),Projects!$B$36*INDEX(Curves!$B$4:$AR$4,1,1-Projects!$C$36+1),0)+IF(AND(Projects!$G$37="Yes",Projects!$X$37="Yes",1&gt;=Projects!$C$37,1&lt;Projects!$C$37+Projects!$D$37),Projects!$B$37*INDEX(Curves!$B$4:$AR$4,1,1-Projects!$C$37+1),0)+IF(AND(Projects!$G$38="Yes",Projects!$X$38="Yes",1&gt;=Projects!$C$38,1&lt;Projects!$C$38+Projects!$D$38),Projects!$B$38*INDEX(Curves!$B$4:$AR$4,1,1-Projects!$C$38+1),0)+IF(AND(Projects!$G$39="Yes",Projects!$X$39="Yes",1&gt;=Projects!$C$39,1&lt;Projects!$C$39+Projects!$D$39),Projects!$B$39*INDEX(Curves!$B$4:$AR$4,1,1-Projects!$C$39+1),0)+IF(AND(Projects!$G$40="Yes",Projects!$X$40="Yes",1&gt;=Projects!$C$40,1&lt;Projects!$C$40+Projects!$D$40),Projects!$B$40*INDEX(Curves!$B$4:$AR$4,1,1-Projects!$C$40+1),0)+IF(AND(Projects!$G$41="Yes",Projects!$X$41="Yes",1&gt;=Projects!$C$41,1&lt;Projects!$C$41+Projects!$D$41),Projects!$B$41*INDEX(Curves!$B$4:$AR$4,1,1-Projects!$C$41+1),0)+IF(AND(Projects!$G$42="Yes",Projects!$X$42="Yes",1&gt;=Projects!$C$42,1&lt;Projects!$C$42+Projects!$D$42),Projects!$B$42*INDEX(Curves!$B$4:$AR$4,1,1-Projects!$C$42+1),0)+IF(AND(Projects!$G$43="Yes",Projects!$X$43="Yes",1&gt;=Projects!$C$43,1&lt;Projects!$C$43+Projects!$D$43),Projects!$B$43*INDEX(Curves!$B$4:$AR$4,1,1-Projects!$C$43+1),0)+IF(AND(Projects!$G$44="Yes",Projects!$X$44="Yes",1&gt;=Projects!$C$44,1&lt;Projects!$C$44+Projects!$D$44),Projects!$B$44*INDEX(Curves!$B$4:$AR$4,1,1-Projects!$C$44+1),0)+IF(AND(Projects!$G$45="Yes",Projects!$X$45="Yes",1&gt;=Projects!$C$45,1&lt;Projects!$C$45+Projects!$D$45),Projects!$B$45*INDEX(Curves!$B$4:$AR$4,1,1-Projects!$C$45+1),0)+IF(AND(Projects!$G$46="Yes",Projects!$X$46="Yes",1&gt;=Projects!$C$46,1&lt;Projects!$C$46+Projects!$D$46),Projects!$B$46*INDEX(Curves!$B$4:$AR$4,1,1-Projects!$C$46+1),0)</f>
        <v>0</v>
      </c>
      <c r="G96" s="296" t="n">
        <f aca="false">IF(AND(Projects!$G$17="Yes",Projects!$X$17="Yes",2&gt;=Projects!$C$17,2&lt;Projects!$C$17+Projects!$D$17),Projects!$B$17*INDEX(Curves!$B$4:$AR$4,1,2-Projects!$C$17+1),0)+IF(AND(Projects!$G$18="Yes",Projects!$X$18="Yes",2&gt;=Projects!$C$18,2&lt;Projects!$C$18+Projects!$D$18),Projects!$B$18*INDEX(Curves!$B$4:$AR$4,1,2-Projects!$C$18+1),0)+IF(AND(Projects!$G$19="Yes",Projects!$X$19="Yes",2&gt;=Projects!$C$19,2&lt;Projects!$C$19+Projects!$D$19),Projects!$B$19*INDEX(Curves!$B$10:$AR$10,1,2-Projects!$C$19+1),0)+IF(AND(Projects!$G$20="Yes",Projects!$X$20="Yes",2&gt;=Projects!$C$20,2&lt;Projects!$C$20+Projects!$D$20),Projects!$B$20*INDEX(Curves!$B$4:$AR$4,1,2-Projects!$C$20+1),0)+IF(AND(Projects!$G$21="Yes",Projects!$X$21="Yes",2&gt;=Projects!$C$21,2&lt;Projects!$C$21+Projects!$D$21),Projects!$B$21*INDEX(Curves!$B$11:$AR$11,1,2-Projects!$C$21+1),0)+IF(AND(Projects!$G$22="Yes",Projects!$X$22="Yes",2&gt;=Projects!$C$22,2&lt;Projects!$C$22+Projects!$D$22),Projects!$B$22*INDEX(Curves!$B$4:$AR$4,1,2-Projects!$C$22+1),0)+IF(AND(Projects!$G$23="Yes",Projects!$X$23="Yes",2&gt;=Projects!$C$23,2&lt;Projects!$C$23+Projects!$D$23),Projects!$B$23*INDEX(Curves!$B$4:$AR$4,1,2-Projects!$C$23+1),0)+IF(AND(Projects!$G$24="Yes",Projects!$X$24="Yes",2&gt;=Projects!$C$24,2&lt;Projects!$C$24+Projects!$D$24),Projects!$B$24*INDEX(Curves!$B$4:$AR$4,1,2-Projects!$C$24+1),0)+IF(AND(Projects!$G$25="Yes",Projects!$X$25="Yes",2&gt;=Projects!$C$25,2&lt;Projects!$C$25+Projects!$D$25),Projects!$B$25*INDEX(Curves!$B$4:$AR$4,1,2-Projects!$C$25+1),0)+IF(AND(Projects!$G$26="Yes",Projects!$X$26="Yes",2&gt;=Projects!$C$26,2&lt;Projects!$C$26+Projects!$D$26),Projects!$B$26*INDEX(Curves!$B$4:$AR$4,1,2-Projects!$C$26+1),0)+IF(AND(Projects!$G$27="Yes",Projects!$X$27="Yes",2&gt;=Projects!$C$27,2&lt;Projects!$C$27+Projects!$D$27),Projects!$B$27*INDEX(Curves!$B$4:$AR$4,1,2-Projects!$C$27+1),0)+IF(AND(Projects!$G$28="Yes",Projects!$X$28="Yes",2&gt;=Projects!$C$28,2&lt;Projects!$C$28+Projects!$D$28),Projects!$B$28*INDEX(Curves!$B$4:$AR$4,1,2-Projects!$C$28+1),0)+IF(AND(Projects!$G$29="Yes",Projects!$X$29="Yes",2&gt;=Projects!$C$29,2&lt;Projects!$C$29+Projects!$D$29),Projects!$B$29*INDEX(Curves!$B$4:$AR$4,1,2-Projects!$C$29+1),0)+IF(AND(Projects!$G$30="Yes",Projects!$X$30="Yes",2&gt;=Projects!$C$30,2&lt;Projects!$C$30+Projects!$D$30),Projects!$B$30*INDEX(Curves!$B$4:$AR$4,1,2-Projects!$C$30+1),0)+IF(AND(Projects!$G$31="Yes",Projects!$X$31="Yes",2&gt;=Projects!$C$31,2&lt;Projects!$C$31+Projects!$D$31),Projects!$B$31*INDEX(Curves!$B$4:$AR$4,1,2-Projects!$C$31+1),0)+IF(AND(Projects!$G$32="Yes",Projects!$X$32="Yes",2&gt;=Projects!$C$32,2&lt;Projects!$C$32+Projects!$D$32),Projects!$B$32*INDEX(Curves!$B$4:$AR$4,1,2-Projects!$C$32+1),0)+IF(AND(Projects!$G$33="Yes",Projects!$X$33="Yes",2&gt;=Projects!$C$33,2&lt;Projects!$C$33+Projects!$D$33),Projects!$B$33*INDEX(Curves!$B$4:$AR$4,1,2-Projects!$C$33+1),0)+IF(AND(Projects!$G$34="Yes",Projects!$X$34="Yes",2&gt;=Projects!$C$34,2&lt;Projects!$C$34+Projects!$D$34),Projects!$B$34*INDEX(Curves!$B$4:$AR$4,1,2-Projects!$C$34+1),0)+IF(AND(Projects!$G$35="Yes",Projects!$X$35="Yes",2&gt;=Projects!$C$35,2&lt;Projects!$C$35+Projects!$D$35),Projects!$B$35*INDEX(Curves!$B$4:$AR$4,1,2-Projects!$C$35+1),0)+IF(AND(Projects!$G$36="Yes",Projects!$X$36="Yes",2&gt;=Projects!$C$36,2&lt;Projects!$C$36+Projects!$D$36),Projects!$B$36*INDEX(Curves!$B$4:$AR$4,1,2-Projects!$C$36+1),0)+IF(AND(Projects!$G$37="Yes",Projects!$X$37="Yes",2&gt;=Projects!$C$37,2&lt;Projects!$C$37+Projects!$D$37),Projects!$B$37*INDEX(Curves!$B$4:$AR$4,1,2-Projects!$C$37+1),0)+IF(AND(Projects!$G$38="Yes",Projects!$X$38="Yes",2&gt;=Projects!$C$38,2&lt;Projects!$C$38+Projects!$D$38),Projects!$B$38*INDEX(Curves!$B$4:$AR$4,1,2-Projects!$C$38+1),0)+IF(AND(Projects!$G$39="Yes",Projects!$X$39="Yes",2&gt;=Projects!$C$39,2&lt;Projects!$C$39+Projects!$D$39),Projects!$B$39*INDEX(Curves!$B$4:$AR$4,1,2-Projects!$C$39+1),0)+IF(AND(Projects!$G$40="Yes",Projects!$X$40="Yes",2&gt;=Projects!$C$40,2&lt;Projects!$C$40+Projects!$D$40),Projects!$B$40*INDEX(Curves!$B$4:$AR$4,1,2-Projects!$C$40+1),0)+IF(AND(Projects!$G$41="Yes",Projects!$X$41="Yes",2&gt;=Projects!$C$41,2&lt;Projects!$C$41+Projects!$D$41),Projects!$B$41*INDEX(Curves!$B$4:$AR$4,1,2-Projects!$C$41+1),0)+IF(AND(Projects!$G$42="Yes",Projects!$X$42="Yes",2&gt;=Projects!$C$42,2&lt;Projects!$C$42+Projects!$D$42),Projects!$B$42*INDEX(Curves!$B$4:$AR$4,1,2-Projects!$C$42+1),0)+IF(AND(Projects!$G$43="Yes",Projects!$X$43="Yes",2&gt;=Projects!$C$43,2&lt;Projects!$C$43+Projects!$D$43),Projects!$B$43*INDEX(Curves!$B$4:$AR$4,1,2-Projects!$C$43+1),0)+IF(AND(Projects!$G$44="Yes",Projects!$X$44="Yes",2&gt;=Projects!$C$44,2&lt;Projects!$C$44+Projects!$D$44),Projects!$B$44*INDEX(Curves!$B$4:$AR$4,1,2-Projects!$C$44+1),0)+IF(AND(Projects!$G$45="Yes",Projects!$X$45="Yes",2&gt;=Projects!$C$45,2&lt;Projects!$C$45+Projects!$D$45),Projects!$B$45*INDEX(Curves!$B$4:$AR$4,1,2-Projects!$C$45+1),0)+IF(AND(Projects!$G$46="Yes",Projects!$X$46="Yes",2&gt;=Projects!$C$46,2&lt;Projects!$C$46+Projects!$D$46),Projects!$B$46*INDEX(Curves!$B$4:$AR$4,1,2-Projects!$C$46+1),0)</f>
        <v>0</v>
      </c>
      <c r="H96" s="296" t="n">
        <f aca="false">IF(AND(Projects!$G$17="Yes",Projects!$X$17="Yes",3&gt;=Projects!$C$17,3&lt;Projects!$C$17+Projects!$D$17),Projects!$B$17*INDEX(Curves!$B$4:$AR$4,1,3-Projects!$C$17+1),0)+IF(AND(Projects!$G$18="Yes",Projects!$X$18="Yes",3&gt;=Projects!$C$18,3&lt;Projects!$C$18+Projects!$D$18),Projects!$B$18*INDEX(Curves!$B$4:$AR$4,1,3-Projects!$C$18+1),0)+IF(AND(Projects!$G$19="Yes",Projects!$X$19="Yes",3&gt;=Projects!$C$19,3&lt;Projects!$C$19+Projects!$D$19),Projects!$B$19*INDEX(Curves!$B$10:$AR$10,1,3-Projects!$C$19+1),0)+IF(AND(Projects!$G$20="Yes",Projects!$X$20="Yes",3&gt;=Projects!$C$20,3&lt;Projects!$C$20+Projects!$D$20),Projects!$B$20*INDEX(Curves!$B$4:$AR$4,1,3-Projects!$C$20+1),0)+IF(AND(Projects!$G$21="Yes",Projects!$X$21="Yes",3&gt;=Projects!$C$21,3&lt;Projects!$C$21+Projects!$D$21),Projects!$B$21*INDEX(Curves!$B$11:$AR$11,1,3-Projects!$C$21+1),0)+IF(AND(Projects!$G$22="Yes",Projects!$X$22="Yes",3&gt;=Projects!$C$22,3&lt;Projects!$C$22+Projects!$D$22),Projects!$B$22*INDEX(Curves!$B$4:$AR$4,1,3-Projects!$C$22+1),0)+IF(AND(Projects!$G$23="Yes",Projects!$X$23="Yes",3&gt;=Projects!$C$23,3&lt;Projects!$C$23+Projects!$D$23),Projects!$B$23*INDEX(Curves!$B$4:$AR$4,1,3-Projects!$C$23+1),0)+IF(AND(Projects!$G$24="Yes",Projects!$X$24="Yes",3&gt;=Projects!$C$24,3&lt;Projects!$C$24+Projects!$D$24),Projects!$B$24*INDEX(Curves!$B$4:$AR$4,1,3-Projects!$C$24+1),0)+IF(AND(Projects!$G$25="Yes",Projects!$X$25="Yes",3&gt;=Projects!$C$25,3&lt;Projects!$C$25+Projects!$D$25),Projects!$B$25*INDEX(Curves!$B$4:$AR$4,1,3-Projects!$C$25+1),0)+IF(AND(Projects!$G$26="Yes",Projects!$X$26="Yes",3&gt;=Projects!$C$26,3&lt;Projects!$C$26+Projects!$D$26),Projects!$B$26*INDEX(Curves!$B$4:$AR$4,1,3-Projects!$C$26+1),0)+IF(AND(Projects!$G$27="Yes",Projects!$X$27="Yes",3&gt;=Projects!$C$27,3&lt;Projects!$C$27+Projects!$D$27),Projects!$B$27*INDEX(Curves!$B$4:$AR$4,1,3-Projects!$C$27+1),0)+IF(AND(Projects!$G$28="Yes",Projects!$X$28="Yes",3&gt;=Projects!$C$28,3&lt;Projects!$C$28+Projects!$D$28),Projects!$B$28*INDEX(Curves!$B$4:$AR$4,1,3-Projects!$C$28+1),0)+IF(AND(Projects!$G$29="Yes",Projects!$X$29="Yes",3&gt;=Projects!$C$29,3&lt;Projects!$C$29+Projects!$D$29),Projects!$B$29*INDEX(Curves!$B$4:$AR$4,1,3-Projects!$C$29+1),0)+IF(AND(Projects!$G$30="Yes",Projects!$X$30="Yes",3&gt;=Projects!$C$30,3&lt;Projects!$C$30+Projects!$D$30),Projects!$B$30*INDEX(Curves!$B$4:$AR$4,1,3-Projects!$C$30+1),0)+IF(AND(Projects!$G$31="Yes",Projects!$X$31="Yes",3&gt;=Projects!$C$31,3&lt;Projects!$C$31+Projects!$D$31),Projects!$B$31*INDEX(Curves!$B$4:$AR$4,1,3-Projects!$C$31+1),0)+IF(AND(Projects!$G$32="Yes",Projects!$X$32="Yes",3&gt;=Projects!$C$32,3&lt;Projects!$C$32+Projects!$D$32),Projects!$B$32*INDEX(Curves!$B$4:$AR$4,1,3-Projects!$C$32+1),0)+IF(AND(Projects!$G$33="Yes",Projects!$X$33="Yes",3&gt;=Projects!$C$33,3&lt;Projects!$C$33+Projects!$D$33),Projects!$B$33*INDEX(Curves!$B$4:$AR$4,1,3-Projects!$C$33+1),0)+IF(AND(Projects!$G$34="Yes",Projects!$X$34="Yes",3&gt;=Projects!$C$34,3&lt;Projects!$C$34+Projects!$D$34),Projects!$B$34*INDEX(Curves!$B$4:$AR$4,1,3-Projects!$C$34+1),0)+IF(AND(Projects!$G$35="Yes",Projects!$X$35="Yes",3&gt;=Projects!$C$35,3&lt;Projects!$C$35+Projects!$D$35),Projects!$B$35*INDEX(Curves!$B$4:$AR$4,1,3-Projects!$C$35+1),0)+IF(AND(Projects!$G$36="Yes",Projects!$X$36="Yes",3&gt;=Projects!$C$36,3&lt;Projects!$C$36+Projects!$D$36),Projects!$B$36*INDEX(Curves!$B$4:$AR$4,1,3-Projects!$C$36+1),0)+IF(AND(Projects!$G$37="Yes",Projects!$X$37="Yes",3&gt;=Projects!$C$37,3&lt;Projects!$C$37+Projects!$D$37),Projects!$B$37*INDEX(Curves!$B$4:$AR$4,1,3-Projects!$C$37+1),0)+IF(AND(Projects!$G$38="Yes",Projects!$X$38="Yes",3&gt;=Projects!$C$38,3&lt;Projects!$C$38+Projects!$D$38),Projects!$B$38*INDEX(Curves!$B$4:$AR$4,1,3-Projects!$C$38+1),0)+IF(AND(Projects!$G$39="Yes",Projects!$X$39="Yes",3&gt;=Projects!$C$39,3&lt;Projects!$C$39+Projects!$D$39),Projects!$B$39*INDEX(Curves!$B$4:$AR$4,1,3-Projects!$C$39+1),0)+IF(AND(Projects!$G$40="Yes",Projects!$X$40="Yes",3&gt;=Projects!$C$40,3&lt;Projects!$C$40+Projects!$D$40),Projects!$B$40*INDEX(Curves!$B$4:$AR$4,1,3-Projects!$C$40+1),0)+IF(AND(Projects!$G$41="Yes",Projects!$X$41="Yes",3&gt;=Projects!$C$41,3&lt;Projects!$C$41+Projects!$D$41),Projects!$B$41*INDEX(Curves!$B$4:$AR$4,1,3-Projects!$C$41+1),0)+IF(AND(Projects!$G$42="Yes",Projects!$X$42="Yes",3&gt;=Projects!$C$42,3&lt;Projects!$C$42+Projects!$D$42),Projects!$B$42*INDEX(Curves!$B$4:$AR$4,1,3-Projects!$C$42+1),0)+IF(AND(Projects!$G$43="Yes",Projects!$X$43="Yes",3&gt;=Projects!$C$43,3&lt;Projects!$C$43+Projects!$D$43),Projects!$B$43*INDEX(Curves!$B$4:$AR$4,1,3-Projects!$C$43+1),0)+IF(AND(Projects!$G$44="Yes",Projects!$X$44="Yes",3&gt;=Projects!$C$44,3&lt;Projects!$C$44+Projects!$D$44),Projects!$B$44*INDEX(Curves!$B$4:$AR$4,1,3-Projects!$C$44+1),0)+IF(AND(Projects!$G$45="Yes",Projects!$X$45="Yes",3&gt;=Projects!$C$45,3&lt;Projects!$C$45+Projects!$D$45),Projects!$B$45*INDEX(Curves!$B$4:$AR$4,1,3-Projects!$C$45+1),0)+IF(AND(Projects!$G$46="Yes",Projects!$X$46="Yes",3&gt;=Projects!$C$46,3&lt;Projects!$C$46+Projects!$D$46),Projects!$B$46*INDEX(Curves!$B$4:$AR$4,1,3-Projects!$C$46+1),0)</f>
        <v>0</v>
      </c>
      <c r="I96" s="296" t="n">
        <f aca="false">IF(AND(Projects!$G$17="Yes",Projects!$X$17="Yes",4&gt;=Projects!$C$17,4&lt;Projects!$C$17+Projects!$D$17),Projects!$B$17*INDEX(Curves!$B$4:$AR$4,1,4-Projects!$C$17+1),0)+IF(AND(Projects!$G$18="Yes",Projects!$X$18="Yes",4&gt;=Projects!$C$18,4&lt;Projects!$C$18+Projects!$D$18),Projects!$B$18*INDEX(Curves!$B$4:$AR$4,1,4-Projects!$C$18+1),0)+IF(AND(Projects!$G$19="Yes",Projects!$X$19="Yes",4&gt;=Projects!$C$19,4&lt;Projects!$C$19+Projects!$D$19),Projects!$B$19*INDEX(Curves!$B$10:$AR$10,1,4-Projects!$C$19+1),0)+IF(AND(Projects!$G$20="Yes",Projects!$X$20="Yes",4&gt;=Projects!$C$20,4&lt;Projects!$C$20+Projects!$D$20),Projects!$B$20*INDEX(Curves!$B$4:$AR$4,1,4-Projects!$C$20+1),0)+IF(AND(Projects!$G$21="Yes",Projects!$X$21="Yes",4&gt;=Projects!$C$21,4&lt;Projects!$C$21+Projects!$D$21),Projects!$B$21*INDEX(Curves!$B$11:$AR$11,1,4-Projects!$C$21+1),0)+IF(AND(Projects!$G$22="Yes",Projects!$X$22="Yes",4&gt;=Projects!$C$22,4&lt;Projects!$C$22+Projects!$D$22),Projects!$B$22*INDEX(Curves!$B$4:$AR$4,1,4-Projects!$C$22+1),0)+IF(AND(Projects!$G$23="Yes",Projects!$X$23="Yes",4&gt;=Projects!$C$23,4&lt;Projects!$C$23+Projects!$D$23),Projects!$B$23*INDEX(Curves!$B$4:$AR$4,1,4-Projects!$C$23+1),0)+IF(AND(Projects!$G$24="Yes",Projects!$X$24="Yes",4&gt;=Projects!$C$24,4&lt;Projects!$C$24+Projects!$D$24),Projects!$B$24*INDEX(Curves!$B$4:$AR$4,1,4-Projects!$C$24+1),0)+IF(AND(Projects!$G$25="Yes",Projects!$X$25="Yes",4&gt;=Projects!$C$25,4&lt;Projects!$C$25+Projects!$D$25),Projects!$B$25*INDEX(Curves!$B$4:$AR$4,1,4-Projects!$C$25+1),0)+IF(AND(Projects!$G$26="Yes",Projects!$X$26="Yes",4&gt;=Projects!$C$26,4&lt;Projects!$C$26+Projects!$D$26),Projects!$B$26*INDEX(Curves!$B$4:$AR$4,1,4-Projects!$C$26+1),0)+IF(AND(Projects!$G$27="Yes",Projects!$X$27="Yes",4&gt;=Projects!$C$27,4&lt;Projects!$C$27+Projects!$D$27),Projects!$B$27*INDEX(Curves!$B$4:$AR$4,1,4-Projects!$C$27+1),0)+IF(AND(Projects!$G$28="Yes",Projects!$X$28="Yes",4&gt;=Projects!$C$28,4&lt;Projects!$C$28+Projects!$D$28),Projects!$B$28*INDEX(Curves!$B$4:$AR$4,1,4-Projects!$C$28+1),0)+IF(AND(Projects!$G$29="Yes",Projects!$X$29="Yes",4&gt;=Projects!$C$29,4&lt;Projects!$C$29+Projects!$D$29),Projects!$B$29*INDEX(Curves!$B$4:$AR$4,1,4-Projects!$C$29+1),0)+IF(AND(Projects!$G$30="Yes",Projects!$X$30="Yes",4&gt;=Projects!$C$30,4&lt;Projects!$C$30+Projects!$D$30),Projects!$B$30*INDEX(Curves!$B$4:$AR$4,1,4-Projects!$C$30+1),0)+IF(AND(Projects!$G$31="Yes",Projects!$X$31="Yes",4&gt;=Projects!$C$31,4&lt;Projects!$C$31+Projects!$D$31),Projects!$B$31*INDEX(Curves!$B$4:$AR$4,1,4-Projects!$C$31+1),0)+IF(AND(Projects!$G$32="Yes",Projects!$X$32="Yes",4&gt;=Projects!$C$32,4&lt;Projects!$C$32+Projects!$D$32),Projects!$B$32*INDEX(Curves!$B$4:$AR$4,1,4-Projects!$C$32+1),0)+IF(AND(Projects!$G$33="Yes",Projects!$X$33="Yes",4&gt;=Projects!$C$33,4&lt;Projects!$C$33+Projects!$D$33),Projects!$B$33*INDEX(Curves!$B$4:$AR$4,1,4-Projects!$C$33+1),0)+IF(AND(Projects!$G$34="Yes",Projects!$X$34="Yes",4&gt;=Projects!$C$34,4&lt;Projects!$C$34+Projects!$D$34),Projects!$B$34*INDEX(Curves!$B$4:$AR$4,1,4-Projects!$C$34+1),0)+IF(AND(Projects!$G$35="Yes",Projects!$X$35="Yes",4&gt;=Projects!$C$35,4&lt;Projects!$C$35+Projects!$D$35),Projects!$B$35*INDEX(Curves!$B$4:$AR$4,1,4-Projects!$C$35+1),0)+IF(AND(Projects!$G$36="Yes",Projects!$X$36="Yes",4&gt;=Projects!$C$36,4&lt;Projects!$C$36+Projects!$D$36),Projects!$B$36*INDEX(Curves!$B$4:$AR$4,1,4-Projects!$C$36+1),0)+IF(AND(Projects!$G$37="Yes",Projects!$X$37="Yes",4&gt;=Projects!$C$37,4&lt;Projects!$C$37+Projects!$D$37),Projects!$B$37*INDEX(Curves!$B$4:$AR$4,1,4-Projects!$C$37+1),0)+IF(AND(Projects!$G$38="Yes",Projects!$X$38="Yes",4&gt;=Projects!$C$38,4&lt;Projects!$C$38+Projects!$D$38),Projects!$B$38*INDEX(Curves!$B$4:$AR$4,1,4-Projects!$C$38+1),0)+IF(AND(Projects!$G$39="Yes",Projects!$X$39="Yes",4&gt;=Projects!$C$39,4&lt;Projects!$C$39+Projects!$D$39),Projects!$B$39*INDEX(Curves!$B$4:$AR$4,1,4-Projects!$C$39+1),0)+IF(AND(Projects!$G$40="Yes",Projects!$X$40="Yes",4&gt;=Projects!$C$40,4&lt;Projects!$C$40+Projects!$D$40),Projects!$B$40*INDEX(Curves!$B$4:$AR$4,1,4-Projects!$C$40+1),0)+IF(AND(Projects!$G$41="Yes",Projects!$X$41="Yes",4&gt;=Projects!$C$41,4&lt;Projects!$C$41+Projects!$D$41),Projects!$B$41*INDEX(Curves!$B$4:$AR$4,1,4-Projects!$C$41+1),0)+IF(AND(Projects!$G$42="Yes",Projects!$X$42="Yes",4&gt;=Projects!$C$42,4&lt;Projects!$C$42+Projects!$D$42),Projects!$B$42*INDEX(Curves!$B$4:$AR$4,1,4-Projects!$C$42+1),0)+IF(AND(Projects!$G$43="Yes",Projects!$X$43="Yes",4&gt;=Projects!$C$43,4&lt;Projects!$C$43+Projects!$D$43),Projects!$B$43*INDEX(Curves!$B$4:$AR$4,1,4-Projects!$C$43+1),0)+IF(AND(Projects!$G$44="Yes",Projects!$X$44="Yes",4&gt;=Projects!$C$44,4&lt;Projects!$C$44+Projects!$D$44),Projects!$B$44*INDEX(Curves!$B$4:$AR$4,1,4-Projects!$C$44+1),0)+IF(AND(Projects!$G$45="Yes",Projects!$X$45="Yes",4&gt;=Projects!$C$45,4&lt;Projects!$C$45+Projects!$D$45),Projects!$B$45*INDEX(Curves!$B$4:$AR$4,1,4-Projects!$C$45+1),0)+IF(AND(Projects!$G$46="Yes",Projects!$X$46="Yes",4&gt;=Projects!$C$46,4&lt;Projects!$C$46+Projects!$D$46),Projects!$B$46*INDEX(Curves!$B$4:$AR$4,1,4-Projects!$C$46+1),0)</f>
        <v>0</v>
      </c>
      <c r="J96" s="296" t="n">
        <f aca="false">IF(AND(Projects!$G$17="Yes",Projects!$X$17="Yes",5&gt;=Projects!$C$17,5&lt;Projects!$C$17+Projects!$D$17),Projects!$B$17*INDEX(Curves!$B$4:$AR$4,1,5-Projects!$C$17+1),0)+IF(AND(Projects!$G$18="Yes",Projects!$X$18="Yes",5&gt;=Projects!$C$18,5&lt;Projects!$C$18+Projects!$D$18),Projects!$B$18*INDEX(Curves!$B$4:$AR$4,1,5-Projects!$C$18+1),0)+IF(AND(Projects!$G$19="Yes",Projects!$X$19="Yes",5&gt;=Projects!$C$19,5&lt;Projects!$C$19+Projects!$D$19),Projects!$B$19*INDEX(Curves!$B$10:$AR$10,1,5-Projects!$C$19+1),0)+IF(AND(Projects!$G$20="Yes",Projects!$X$20="Yes",5&gt;=Projects!$C$20,5&lt;Projects!$C$20+Projects!$D$20),Projects!$B$20*INDEX(Curves!$B$4:$AR$4,1,5-Projects!$C$20+1),0)+IF(AND(Projects!$G$21="Yes",Projects!$X$21="Yes",5&gt;=Projects!$C$21,5&lt;Projects!$C$21+Projects!$D$21),Projects!$B$21*INDEX(Curves!$B$11:$AR$11,1,5-Projects!$C$21+1),0)+IF(AND(Projects!$G$22="Yes",Projects!$X$22="Yes",5&gt;=Projects!$C$22,5&lt;Projects!$C$22+Projects!$D$22),Projects!$B$22*INDEX(Curves!$B$4:$AR$4,1,5-Projects!$C$22+1),0)+IF(AND(Projects!$G$23="Yes",Projects!$X$23="Yes",5&gt;=Projects!$C$23,5&lt;Projects!$C$23+Projects!$D$23),Projects!$B$23*INDEX(Curves!$B$4:$AR$4,1,5-Projects!$C$23+1),0)+IF(AND(Projects!$G$24="Yes",Projects!$X$24="Yes",5&gt;=Projects!$C$24,5&lt;Projects!$C$24+Projects!$D$24),Projects!$B$24*INDEX(Curves!$B$4:$AR$4,1,5-Projects!$C$24+1),0)+IF(AND(Projects!$G$25="Yes",Projects!$X$25="Yes",5&gt;=Projects!$C$25,5&lt;Projects!$C$25+Projects!$D$25),Projects!$B$25*INDEX(Curves!$B$4:$AR$4,1,5-Projects!$C$25+1),0)+IF(AND(Projects!$G$26="Yes",Projects!$X$26="Yes",5&gt;=Projects!$C$26,5&lt;Projects!$C$26+Projects!$D$26),Projects!$B$26*INDEX(Curves!$B$4:$AR$4,1,5-Projects!$C$26+1),0)+IF(AND(Projects!$G$27="Yes",Projects!$X$27="Yes",5&gt;=Projects!$C$27,5&lt;Projects!$C$27+Projects!$D$27),Projects!$B$27*INDEX(Curves!$B$4:$AR$4,1,5-Projects!$C$27+1),0)+IF(AND(Projects!$G$28="Yes",Projects!$X$28="Yes",5&gt;=Projects!$C$28,5&lt;Projects!$C$28+Projects!$D$28),Projects!$B$28*INDEX(Curves!$B$4:$AR$4,1,5-Projects!$C$28+1),0)+IF(AND(Projects!$G$29="Yes",Projects!$X$29="Yes",5&gt;=Projects!$C$29,5&lt;Projects!$C$29+Projects!$D$29),Projects!$B$29*INDEX(Curves!$B$4:$AR$4,1,5-Projects!$C$29+1),0)+IF(AND(Projects!$G$30="Yes",Projects!$X$30="Yes",5&gt;=Projects!$C$30,5&lt;Projects!$C$30+Projects!$D$30),Projects!$B$30*INDEX(Curves!$B$4:$AR$4,1,5-Projects!$C$30+1),0)+IF(AND(Projects!$G$31="Yes",Projects!$X$31="Yes",5&gt;=Projects!$C$31,5&lt;Projects!$C$31+Projects!$D$31),Projects!$B$31*INDEX(Curves!$B$4:$AR$4,1,5-Projects!$C$31+1),0)+IF(AND(Projects!$G$32="Yes",Projects!$X$32="Yes",5&gt;=Projects!$C$32,5&lt;Projects!$C$32+Projects!$D$32),Projects!$B$32*INDEX(Curves!$B$4:$AR$4,1,5-Projects!$C$32+1),0)+IF(AND(Projects!$G$33="Yes",Projects!$X$33="Yes",5&gt;=Projects!$C$33,5&lt;Projects!$C$33+Projects!$D$33),Projects!$B$33*INDEX(Curves!$B$4:$AR$4,1,5-Projects!$C$33+1),0)+IF(AND(Projects!$G$34="Yes",Projects!$X$34="Yes",5&gt;=Projects!$C$34,5&lt;Projects!$C$34+Projects!$D$34),Projects!$B$34*INDEX(Curves!$B$4:$AR$4,1,5-Projects!$C$34+1),0)+IF(AND(Projects!$G$35="Yes",Projects!$X$35="Yes",5&gt;=Projects!$C$35,5&lt;Projects!$C$35+Projects!$D$35),Projects!$B$35*INDEX(Curves!$B$4:$AR$4,1,5-Projects!$C$35+1),0)+IF(AND(Projects!$G$36="Yes",Projects!$X$36="Yes",5&gt;=Projects!$C$36,5&lt;Projects!$C$36+Projects!$D$36),Projects!$B$36*INDEX(Curves!$B$4:$AR$4,1,5-Projects!$C$36+1),0)+IF(AND(Projects!$G$37="Yes",Projects!$X$37="Yes",5&gt;=Projects!$C$37,5&lt;Projects!$C$37+Projects!$D$37),Projects!$B$37*INDEX(Curves!$B$4:$AR$4,1,5-Projects!$C$37+1),0)+IF(AND(Projects!$G$38="Yes",Projects!$X$38="Yes",5&gt;=Projects!$C$38,5&lt;Projects!$C$38+Projects!$D$38),Projects!$B$38*INDEX(Curves!$B$4:$AR$4,1,5-Projects!$C$38+1),0)+IF(AND(Projects!$G$39="Yes",Projects!$X$39="Yes",5&gt;=Projects!$C$39,5&lt;Projects!$C$39+Projects!$D$39),Projects!$B$39*INDEX(Curves!$B$4:$AR$4,1,5-Projects!$C$39+1),0)+IF(AND(Projects!$G$40="Yes",Projects!$X$40="Yes",5&gt;=Projects!$C$40,5&lt;Projects!$C$40+Projects!$D$40),Projects!$B$40*INDEX(Curves!$B$4:$AR$4,1,5-Projects!$C$40+1),0)+IF(AND(Projects!$G$41="Yes",Projects!$X$41="Yes",5&gt;=Projects!$C$41,5&lt;Projects!$C$41+Projects!$D$41),Projects!$B$41*INDEX(Curves!$B$4:$AR$4,1,5-Projects!$C$41+1),0)+IF(AND(Projects!$G$42="Yes",Projects!$X$42="Yes",5&gt;=Projects!$C$42,5&lt;Projects!$C$42+Projects!$D$42),Projects!$B$42*INDEX(Curves!$B$4:$AR$4,1,5-Projects!$C$42+1),0)+IF(AND(Projects!$G$43="Yes",Projects!$X$43="Yes",5&gt;=Projects!$C$43,5&lt;Projects!$C$43+Projects!$D$43),Projects!$B$43*INDEX(Curves!$B$4:$AR$4,1,5-Projects!$C$43+1),0)+IF(AND(Projects!$G$44="Yes",Projects!$X$44="Yes",5&gt;=Projects!$C$44,5&lt;Projects!$C$44+Projects!$D$44),Projects!$B$44*INDEX(Curves!$B$4:$AR$4,1,5-Projects!$C$44+1),0)+IF(AND(Projects!$G$45="Yes",Projects!$X$45="Yes",5&gt;=Projects!$C$45,5&lt;Projects!$C$45+Projects!$D$45),Projects!$B$45*INDEX(Curves!$B$4:$AR$4,1,5-Projects!$C$45+1),0)+IF(AND(Projects!$G$46="Yes",Projects!$X$46="Yes",5&gt;=Projects!$C$46,5&lt;Projects!$C$46+Projects!$D$46),Projects!$B$46*INDEX(Curves!$B$4:$AR$4,1,5-Projects!$C$46+1),0)</f>
        <v>0</v>
      </c>
      <c r="K96" s="296" t="n">
        <f aca="false">IF(AND(Projects!$G$17="Yes",Projects!$X$17="Yes",6&gt;=Projects!$C$17,6&lt;Projects!$C$17+Projects!$D$17),Projects!$B$17*INDEX(Curves!$B$4:$AR$4,1,6-Projects!$C$17+1),0)+IF(AND(Projects!$G$18="Yes",Projects!$X$18="Yes",6&gt;=Projects!$C$18,6&lt;Projects!$C$18+Projects!$D$18),Projects!$B$18*INDEX(Curves!$B$4:$AR$4,1,6-Projects!$C$18+1),0)+IF(AND(Projects!$G$19="Yes",Projects!$X$19="Yes",6&gt;=Projects!$C$19,6&lt;Projects!$C$19+Projects!$D$19),Projects!$B$19*INDEX(Curves!$B$10:$AR$10,1,6-Projects!$C$19+1),0)+IF(AND(Projects!$G$20="Yes",Projects!$X$20="Yes",6&gt;=Projects!$C$20,6&lt;Projects!$C$20+Projects!$D$20),Projects!$B$20*INDEX(Curves!$B$4:$AR$4,1,6-Projects!$C$20+1),0)+IF(AND(Projects!$G$21="Yes",Projects!$X$21="Yes",6&gt;=Projects!$C$21,6&lt;Projects!$C$21+Projects!$D$21),Projects!$B$21*INDEX(Curves!$B$11:$AR$11,1,6-Projects!$C$21+1),0)+IF(AND(Projects!$G$22="Yes",Projects!$X$22="Yes",6&gt;=Projects!$C$22,6&lt;Projects!$C$22+Projects!$D$22),Projects!$B$22*INDEX(Curves!$B$4:$AR$4,1,6-Projects!$C$22+1),0)+IF(AND(Projects!$G$23="Yes",Projects!$X$23="Yes",6&gt;=Projects!$C$23,6&lt;Projects!$C$23+Projects!$D$23),Projects!$B$23*INDEX(Curves!$B$4:$AR$4,1,6-Projects!$C$23+1),0)+IF(AND(Projects!$G$24="Yes",Projects!$X$24="Yes",6&gt;=Projects!$C$24,6&lt;Projects!$C$24+Projects!$D$24),Projects!$B$24*INDEX(Curves!$B$4:$AR$4,1,6-Projects!$C$24+1),0)+IF(AND(Projects!$G$25="Yes",Projects!$X$25="Yes",6&gt;=Projects!$C$25,6&lt;Projects!$C$25+Projects!$D$25),Projects!$B$25*INDEX(Curves!$B$4:$AR$4,1,6-Projects!$C$25+1),0)+IF(AND(Projects!$G$26="Yes",Projects!$X$26="Yes",6&gt;=Projects!$C$26,6&lt;Projects!$C$26+Projects!$D$26),Projects!$B$26*INDEX(Curves!$B$4:$AR$4,1,6-Projects!$C$26+1),0)+IF(AND(Projects!$G$27="Yes",Projects!$X$27="Yes",6&gt;=Projects!$C$27,6&lt;Projects!$C$27+Projects!$D$27),Projects!$B$27*INDEX(Curves!$B$4:$AR$4,1,6-Projects!$C$27+1),0)+IF(AND(Projects!$G$28="Yes",Projects!$X$28="Yes",6&gt;=Projects!$C$28,6&lt;Projects!$C$28+Projects!$D$28),Projects!$B$28*INDEX(Curves!$B$4:$AR$4,1,6-Projects!$C$28+1),0)+IF(AND(Projects!$G$29="Yes",Projects!$X$29="Yes",6&gt;=Projects!$C$29,6&lt;Projects!$C$29+Projects!$D$29),Projects!$B$29*INDEX(Curves!$B$4:$AR$4,1,6-Projects!$C$29+1),0)+IF(AND(Projects!$G$30="Yes",Projects!$X$30="Yes",6&gt;=Projects!$C$30,6&lt;Projects!$C$30+Projects!$D$30),Projects!$B$30*INDEX(Curves!$B$4:$AR$4,1,6-Projects!$C$30+1),0)+IF(AND(Projects!$G$31="Yes",Projects!$X$31="Yes",6&gt;=Projects!$C$31,6&lt;Projects!$C$31+Projects!$D$31),Projects!$B$31*INDEX(Curves!$B$4:$AR$4,1,6-Projects!$C$31+1),0)+IF(AND(Projects!$G$32="Yes",Projects!$X$32="Yes",6&gt;=Projects!$C$32,6&lt;Projects!$C$32+Projects!$D$32),Projects!$B$32*INDEX(Curves!$B$4:$AR$4,1,6-Projects!$C$32+1),0)+IF(AND(Projects!$G$33="Yes",Projects!$X$33="Yes",6&gt;=Projects!$C$33,6&lt;Projects!$C$33+Projects!$D$33),Projects!$B$33*INDEX(Curves!$B$4:$AR$4,1,6-Projects!$C$33+1),0)+IF(AND(Projects!$G$34="Yes",Projects!$X$34="Yes",6&gt;=Projects!$C$34,6&lt;Projects!$C$34+Projects!$D$34),Projects!$B$34*INDEX(Curves!$B$4:$AR$4,1,6-Projects!$C$34+1),0)+IF(AND(Projects!$G$35="Yes",Projects!$X$35="Yes",6&gt;=Projects!$C$35,6&lt;Projects!$C$35+Projects!$D$35),Projects!$B$35*INDEX(Curves!$B$4:$AR$4,1,6-Projects!$C$35+1),0)+IF(AND(Projects!$G$36="Yes",Projects!$X$36="Yes",6&gt;=Projects!$C$36,6&lt;Projects!$C$36+Projects!$D$36),Projects!$B$36*INDEX(Curves!$B$4:$AR$4,1,6-Projects!$C$36+1),0)+IF(AND(Projects!$G$37="Yes",Projects!$X$37="Yes",6&gt;=Projects!$C$37,6&lt;Projects!$C$37+Projects!$D$37),Projects!$B$37*INDEX(Curves!$B$4:$AR$4,1,6-Projects!$C$37+1),0)+IF(AND(Projects!$G$38="Yes",Projects!$X$38="Yes",6&gt;=Projects!$C$38,6&lt;Projects!$C$38+Projects!$D$38),Projects!$B$38*INDEX(Curves!$B$4:$AR$4,1,6-Projects!$C$38+1),0)+IF(AND(Projects!$G$39="Yes",Projects!$X$39="Yes",6&gt;=Projects!$C$39,6&lt;Projects!$C$39+Projects!$D$39),Projects!$B$39*INDEX(Curves!$B$4:$AR$4,1,6-Projects!$C$39+1),0)+IF(AND(Projects!$G$40="Yes",Projects!$X$40="Yes",6&gt;=Projects!$C$40,6&lt;Projects!$C$40+Projects!$D$40),Projects!$B$40*INDEX(Curves!$B$4:$AR$4,1,6-Projects!$C$40+1),0)+IF(AND(Projects!$G$41="Yes",Projects!$X$41="Yes",6&gt;=Projects!$C$41,6&lt;Projects!$C$41+Projects!$D$41),Projects!$B$41*INDEX(Curves!$B$4:$AR$4,1,6-Projects!$C$41+1),0)+IF(AND(Projects!$G$42="Yes",Projects!$X$42="Yes",6&gt;=Projects!$C$42,6&lt;Projects!$C$42+Projects!$D$42),Projects!$B$42*INDEX(Curves!$B$4:$AR$4,1,6-Projects!$C$42+1),0)+IF(AND(Projects!$G$43="Yes",Projects!$X$43="Yes",6&gt;=Projects!$C$43,6&lt;Projects!$C$43+Projects!$D$43),Projects!$B$43*INDEX(Curves!$B$4:$AR$4,1,6-Projects!$C$43+1),0)+IF(AND(Projects!$G$44="Yes",Projects!$X$44="Yes",6&gt;=Projects!$C$44,6&lt;Projects!$C$44+Projects!$D$44),Projects!$B$44*INDEX(Curves!$B$4:$AR$4,1,6-Projects!$C$44+1),0)+IF(AND(Projects!$G$45="Yes",Projects!$X$45="Yes",6&gt;=Projects!$C$45,6&lt;Projects!$C$45+Projects!$D$45),Projects!$B$45*INDEX(Curves!$B$4:$AR$4,1,6-Projects!$C$45+1),0)+IF(AND(Projects!$G$46="Yes",Projects!$X$46="Yes",6&gt;=Projects!$C$46,6&lt;Projects!$C$46+Projects!$D$46),Projects!$B$46*INDEX(Curves!$B$4:$AR$4,1,6-Projects!$C$46+1),0)</f>
        <v>0</v>
      </c>
      <c r="L96" s="296" t="n">
        <f aca="false">IF(AND(Projects!$G$17="Yes",Projects!$X$17="Yes",7&gt;=Projects!$C$17,7&lt;Projects!$C$17+Projects!$D$17),Projects!$B$17*INDEX(Curves!$B$4:$AR$4,1,7-Projects!$C$17+1),0)+IF(AND(Projects!$G$18="Yes",Projects!$X$18="Yes",7&gt;=Projects!$C$18,7&lt;Projects!$C$18+Projects!$D$18),Projects!$B$18*INDEX(Curves!$B$4:$AR$4,1,7-Projects!$C$18+1),0)+IF(AND(Projects!$G$19="Yes",Projects!$X$19="Yes",7&gt;=Projects!$C$19,7&lt;Projects!$C$19+Projects!$D$19),Projects!$B$19*INDEX(Curves!$B$10:$AR$10,1,7-Projects!$C$19+1),0)+IF(AND(Projects!$G$20="Yes",Projects!$X$20="Yes",7&gt;=Projects!$C$20,7&lt;Projects!$C$20+Projects!$D$20),Projects!$B$20*INDEX(Curves!$B$4:$AR$4,1,7-Projects!$C$20+1),0)+IF(AND(Projects!$G$21="Yes",Projects!$X$21="Yes",7&gt;=Projects!$C$21,7&lt;Projects!$C$21+Projects!$D$21),Projects!$B$21*INDEX(Curves!$B$11:$AR$11,1,7-Projects!$C$21+1),0)+IF(AND(Projects!$G$22="Yes",Projects!$X$22="Yes",7&gt;=Projects!$C$22,7&lt;Projects!$C$22+Projects!$D$22),Projects!$B$22*INDEX(Curves!$B$4:$AR$4,1,7-Projects!$C$22+1),0)+IF(AND(Projects!$G$23="Yes",Projects!$X$23="Yes",7&gt;=Projects!$C$23,7&lt;Projects!$C$23+Projects!$D$23),Projects!$B$23*INDEX(Curves!$B$4:$AR$4,1,7-Projects!$C$23+1),0)+IF(AND(Projects!$G$24="Yes",Projects!$X$24="Yes",7&gt;=Projects!$C$24,7&lt;Projects!$C$24+Projects!$D$24),Projects!$B$24*INDEX(Curves!$B$4:$AR$4,1,7-Projects!$C$24+1),0)+IF(AND(Projects!$G$25="Yes",Projects!$X$25="Yes",7&gt;=Projects!$C$25,7&lt;Projects!$C$25+Projects!$D$25),Projects!$B$25*INDEX(Curves!$B$4:$AR$4,1,7-Projects!$C$25+1),0)+IF(AND(Projects!$G$26="Yes",Projects!$X$26="Yes",7&gt;=Projects!$C$26,7&lt;Projects!$C$26+Projects!$D$26),Projects!$B$26*INDEX(Curves!$B$4:$AR$4,1,7-Projects!$C$26+1),0)+IF(AND(Projects!$G$27="Yes",Projects!$X$27="Yes",7&gt;=Projects!$C$27,7&lt;Projects!$C$27+Projects!$D$27),Projects!$B$27*INDEX(Curves!$B$4:$AR$4,1,7-Projects!$C$27+1),0)+IF(AND(Projects!$G$28="Yes",Projects!$X$28="Yes",7&gt;=Projects!$C$28,7&lt;Projects!$C$28+Projects!$D$28),Projects!$B$28*INDEX(Curves!$B$4:$AR$4,1,7-Projects!$C$28+1),0)+IF(AND(Projects!$G$29="Yes",Projects!$X$29="Yes",7&gt;=Projects!$C$29,7&lt;Projects!$C$29+Projects!$D$29),Projects!$B$29*INDEX(Curves!$B$4:$AR$4,1,7-Projects!$C$29+1),0)+IF(AND(Projects!$G$30="Yes",Projects!$X$30="Yes",7&gt;=Projects!$C$30,7&lt;Projects!$C$30+Projects!$D$30),Projects!$B$30*INDEX(Curves!$B$4:$AR$4,1,7-Projects!$C$30+1),0)+IF(AND(Projects!$G$31="Yes",Projects!$X$31="Yes",7&gt;=Projects!$C$31,7&lt;Projects!$C$31+Projects!$D$31),Projects!$B$31*INDEX(Curves!$B$4:$AR$4,1,7-Projects!$C$31+1),0)+IF(AND(Projects!$G$32="Yes",Projects!$X$32="Yes",7&gt;=Projects!$C$32,7&lt;Projects!$C$32+Projects!$D$32),Projects!$B$32*INDEX(Curves!$B$4:$AR$4,1,7-Projects!$C$32+1),0)+IF(AND(Projects!$G$33="Yes",Projects!$X$33="Yes",7&gt;=Projects!$C$33,7&lt;Projects!$C$33+Projects!$D$33),Projects!$B$33*INDEX(Curves!$B$4:$AR$4,1,7-Projects!$C$33+1),0)+IF(AND(Projects!$G$34="Yes",Projects!$X$34="Yes",7&gt;=Projects!$C$34,7&lt;Projects!$C$34+Projects!$D$34),Projects!$B$34*INDEX(Curves!$B$4:$AR$4,1,7-Projects!$C$34+1),0)+IF(AND(Projects!$G$35="Yes",Projects!$X$35="Yes",7&gt;=Projects!$C$35,7&lt;Projects!$C$35+Projects!$D$35),Projects!$B$35*INDEX(Curves!$B$4:$AR$4,1,7-Projects!$C$35+1),0)+IF(AND(Projects!$G$36="Yes",Projects!$X$36="Yes",7&gt;=Projects!$C$36,7&lt;Projects!$C$36+Projects!$D$36),Projects!$B$36*INDEX(Curves!$B$4:$AR$4,1,7-Projects!$C$36+1),0)+IF(AND(Projects!$G$37="Yes",Projects!$X$37="Yes",7&gt;=Projects!$C$37,7&lt;Projects!$C$37+Projects!$D$37),Projects!$B$37*INDEX(Curves!$B$4:$AR$4,1,7-Projects!$C$37+1),0)+IF(AND(Projects!$G$38="Yes",Projects!$X$38="Yes",7&gt;=Projects!$C$38,7&lt;Projects!$C$38+Projects!$D$38),Projects!$B$38*INDEX(Curves!$B$4:$AR$4,1,7-Projects!$C$38+1),0)+IF(AND(Projects!$G$39="Yes",Projects!$X$39="Yes",7&gt;=Projects!$C$39,7&lt;Projects!$C$39+Projects!$D$39),Projects!$B$39*INDEX(Curves!$B$4:$AR$4,1,7-Projects!$C$39+1),0)+IF(AND(Projects!$G$40="Yes",Projects!$X$40="Yes",7&gt;=Projects!$C$40,7&lt;Projects!$C$40+Projects!$D$40),Projects!$B$40*INDEX(Curves!$B$4:$AR$4,1,7-Projects!$C$40+1),0)+IF(AND(Projects!$G$41="Yes",Projects!$X$41="Yes",7&gt;=Projects!$C$41,7&lt;Projects!$C$41+Projects!$D$41),Projects!$B$41*INDEX(Curves!$B$4:$AR$4,1,7-Projects!$C$41+1),0)+IF(AND(Projects!$G$42="Yes",Projects!$X$42="Yes",7&gt;=Projects!$C$42,7&lt;Projects!$C$42+Projects!$D$42),Projects!$B$42*INDEX(Curves!$B$4:$AR$4,1,7-Projects!$C$42+1),0)+IF(AND(Projects!$G$43="Yes",Projects!$X$43="Yes",7&gt;=Projects!$C$43,7&lt;Projects!$C$43+Projects!$D$43),Projects!$B$43*INDEX(Curves!$B$4:$AR$4,1,7-Projects!$C$43+1),0)+IF(AND(Projects!$G$44="Yes",Projects!$X$44="Yes",7&gt;=Projects!$C$44,7&lt;Projects!$C$44+Projects!$D$44),Projects!$B$44*INDEX(Curves!$B$4:$AR$4,1,7-Projects!$C$44+1),0)+IF(AND(Projects!$G$45="Yes",Projects!$X$45="Yes",7&gt;=Projects!$C$45,7&lt;Projects!$C$45+Projects!$D$45),Projects!$B$45*INDEX(Curves!$B$4:$AR$4,1,7-Projects!$C$45+1),0)+IF(AND(Projects!$G$46="Yes",Projects!$X$46="Yes",7&gt;=Projects!$C$46,7&lt;Projects!$C$46+Projects!$D$46),Projects!$B$46*INDEX(Curves!$B$4:$AR$4,1,7-Projects!$C$46+1),0)</f>
        <v>0</v>
      </c>
      <c r="M96" s="296" t="n">
        <f aca="false">IF(AND(Projects!$G$17="Yes",Projects!$X$17="Yes",8&gt;=Projects!$C$17,8&lt;Projects!$C$17+Projects!$D$17),Projects!$B$17*INDEX(Curves!$B$4:$AR$4,1,8-Projects!$C$17+1),0)+IF(AND(Projects!$G$18="Yes",Projects!$X$18="Yes",8&gt;=Projects!$C$18,8&lt;Projects!$C$18+Projects!$D$18),Projects!$B$18*INDEX(Curves!$B$4:$AR$4,1,8-Projects!$C$18+1),0)+IF(AND(Projects!$G$19="Yes",Projects!$X$19="Yes",8&gt;=Projects!$C$19,8&lt;Projects!$C$19+Projects!$D$19),Projects!$B$19*INDEX(Curves!$B$10:$AR$10,1,8-Projects!$C$19+1),0)+IF(AND(Projects!$G$20="Yes",Projects!$X$20="Yes",8&gt;=Projects!$C$20,8&lt;Projects!$C$20+Projects!$D$20),Projects!$B$20*INDEX(Curves!$B$4:$AR$4,1,8-Projects!$C$20+1),0)+IF(AND(Projects!$G$21="Yes",Projects!$X$21="Yes",8&gt;=Projects!$C$21,8&lt;Projects!$C$21+Projects!$D$21),Projects!$B$21*INDEX(Curves!$B$11:$AR$11,1,8-Projects!$C$21+1),0)+IF(AND(Projects!$G$22="Yes",Projects!$X$22="Yes",8&gt;=Projects!$C$22,8&lt;Projects!$C$22+Projects!$D$22),Projects!$B$22*INDEX(Curves!$B$4:$AR$4,1,8-Projects!$C$22+1),0)+IF(AND(Projects!$G$23="Yes",Projects!$X$23="Yes",8&gt;=Projects!$C$23,8&lt;Projects!$C$23+Projects!$D$23),Projects!$B$23*INDEX(Curves!$B$4:$AR$4,1,8-Projects!$C$23+1),0)+IF(AND(Projects!$G$24="Yes",Projects!$X$24="Yes",8&gt;=Projects!$C$24,8&lt;Projects!$C$24+Projects!$D$24),Projects!$B$24*INDEX(Curves!$B$4:$AR$4,1,8-Projects!$C$24+1),0)+IF(AND(Projects!$G$25="Yes",Projects!$X$25="Yes",8&gt;=Projects!$C$25,8&lt;Projects!$C$25+Projects!$D$25),Projects!$B$25*INDEX(Curves!$B$4:$AR$4,1,8-Projects!$C$25+1),0)+IF(AND(Projects!$G$26="Yes",Projects!$X$26="Yes",8&gt;=Projects!$C$26,8&lt;Projects!$C$26+Projects!$D$26),Projects!$B$26*INDEX(Curves!$B$4:$AR$4,1,8-Projects!$C$26+1),0)+IF(AND(Projects!$G$27="Yes",Projects!$X$27="Yes",8&gt;=Projects!$C$27,8&lt;Projects!$C$27+Projects!$D$27),Projects!$B$27*INDEX(Curves!$B$4:$AR$4,1,8-Projects!$C$27+1),0)+IF(AND(Projects!$G$28="Yes",Projects!$X$28="Yes",8&gt;=Projects!$C$28,8&lt;Projects!$C$28+Projects!$D$28),Projects!$B$28*INDEX(Curves!$B$4:$AR$4,1,8-Projects!$C$28+1),0)+IF(AND(Projects!$G$29="Yes",Projects!$X$29="Yes",8&gt;=Projects!$C$29,8&lt;Projects!$C$29+Projects!$D$29),Projects!$B$29*INDEX(Curves!$B$4:$AR$4,1,8-Projects!$C$29+1),0)+IF(AND(Projects!$G$30="Yes",Projects!$X$30="Yes",8&gt;=Projects!$C$30,8&lt;Projects!$C$30+Projects!$D$30),Projects!$B$30*INDEX(Curves!$B$4:$AR$4,1,8-Projects!$C$30+1),0)+IF(AND(Projects!$G$31="Yes",Projects!$X$31="Yes",8&gt;=Projects!$C$31,8&lt;Projects!$C$31+Projects!$D$31),Projects!$B$31*INDEX(Curves!$B$4:$AR$4,1,8-Projects!$C$31+1),0)+IF(AND(Projects!$G$32="Yes",Projects!$X$32="Yes",8&gt;=Projects!$C$32,8&lt;Projects!$C$32+Projects!$D$32),Projects!$B$32*INDEX(Curves!$B$4:$AR$4,1,8-Projects!$C$32+1),0)+IF(AND(Projects!$G$33="Yes",Projects!$X$33="Yes",8&gt;=Projects!$C$33,8&lt;Projects!$C$33+Projects!$D$33),Projects!$B$33*INDEX(Curves!$B$4:$AR$4,1,8-Projects!$C$33+1),0)+IF(AND(Projects!$G$34="Yes",Projects!$X$34="Yes",8&gt;=Projects!$C$34,8&lt;Projects!$C$34+Projects!$D$34),Projects!$B$34*INDEX(Curves!$B$4:$AR$4,1,8-Projects!$C$34+1),0)+IF(AND(Projects!$G$35="Yes",Projects!$X$35="Yes",8&gt;=Projects!$C$35,8&lt;Projects!$C$35+Projects!$D$35),Projects!$B$35*INDEX(Curves!$B$4:$AR$4,1,8-Projects!$C$35+1),0)+IF(AND(Projects!$G$36="Yes",Projects!$X$36="Yes",8&gt;=Projects!$C$36,8&lt;Projects!$C$36+Projects!$D$36),Projects!$B$36*INDEX(Curves!$B$4:$AR$4,1,8-Projects!$C$36+1),0)+IF(AND(Projects!$G$37="Yes",Projects!$X$37="Yes",8&gt;=Projects!$C$37,8&lt;Projects!$C$37+Projects!$D$37),Projects!$B$37*INDEX(Curves!$B$4:$AR$4,1,8-Projects!$C$37+1),0)+IF(AND(Projects!$G$38="Yes",Projects!$X$38="Yes",8&gt;=Projects!$C$38,8&lt;Projects!$C$38+Projects!$D$38),Projects!$B$38*INDEX(Curves!$B$4:$AR$4,1,8-Projects!$C$38+1),0)+IF(AND(Projects!$G$39="Yes",Projects!$X$39="Yes",8&gt;=Projects!$C$39,8&lt;Projects!$C$39+Projects!$D$39),Projects!$B$39*INDEX(Curves!$B$4:$AR$4,1,8-Projects!$C$39+1),0)+IF(AND(Projects!$G$40="Yes",Projects!$X$40="Yes",8&gt;=Projects!$C$40,8&lt;Projects!$C$40+Projects!$D$40),Projects!$B$40*INDEX(Curves!$B$4:$AR$4,1,8-Projects!$C$40+1),0)+IF(AND(Projects!$G$41="Yes",Projects!$X$41="Yes",8&gt;=Projects!$C$41,8&lt;Projects!$C$41+Projects!$D$41),Projects!$B$41*INDEX(Curves!$B$4:$AR$4,1,8-Projects!$C$41+1),0)+IF(AND(Projects!$G$42="Yes",Projects!$X$42="Yes",8&gt;=Projects!$C$42,8&lt;Projects!$C$42+Projects!$D$42),Projects!$B$42*INDEX(Curves!$B$4:$AR$4,1,8-Projects!$C$42+1),0)+IF(AND(Projects!$G$43="Yes",Projects!$X$43="Yes",8&gt;=Projects!$C$43,8&lt;Projects!$C$43+Projects!$D$43),Projects!$B$43*INDEX(Curves!$B$4:$AR$4,1,8-Projects!$C$43+1),0)+IF(AND(Projects!$G$44="Yes",Projects!$X$44="Yes",8&gt;=Projects!$C$44,8&lt;Projects!$C$44+Projects!$D$44),Projects!$B$44*INDEX(Curves!$B$4:$AR$4,1,8-Projects!$C$44+1),0)+IF(AND(Projects!$G$45="Yes",Projects!$X$45="Yes",8&gt;=Projects!$C$45,8&lt;Projects!$C$45+Projects!$D$45),Projects!$B$45*INDEX(Curves!$B$4:$AR$4,1,8-Projects!$C$45+1),0)+IF(AND(Projects!$G$46="Yes",Projects!$X$46="Yes",8&gt;=Projects!$C$46,8&lt;Projects!$C$46+Projects!$D$46),Projects!$B$46*INDEX(Curves!$B$4:$AR$4,1,8-Projects!$C$46+1),0)</f>
        <v>0</v>
      </c>
      <c r="N96" s="296" t="n">
        <f aca="false">IF(AND(Projects!$G$17="Yes",Projects!$X$17="Yes",9&gt;=Projects!$C$17,9&lt;Projects!$C$17+Projects!$D$17),Projects!$B$17*INDEX(Curves!$B$4:$AR$4,1,9-Projects!$C$17+1),0)+IF(AND(Projects!$G$18="Yes",Projects!$X$18="Yes",9&gt;=Projects!$C$18,9&lt;Projects!$C$18+Projects!$D$18),Projects!$B$18*INDEX(Curves!$B$4:$AR$4,1,9-Projects!$C$18+1),0)+IF(AND(Projects!$G$19="Yes",Projects!$X$19="Yes",9&gt;=Projects!$C$19,9&lt;Projects!$C$19+Projects!$D$19),Projects!$B$19*INDEX(Curves!$B$10:$AR$10,1,9-Projects!$C$19+1),0)+IF(AND(Projects!$G$20="Yes",Projects!$X$20="Yes",9&gt;=Projects!$C$20,9&lt;Projects!$C$20+Projects!$D$20),Projects!$B$20*INDEX(Curves!$B$4:$AR$4,1,9-Projects!$C$20+1),0)+IF(AND(Projects!$G$21="Yes",Projects!$X$21="Yes",9&gt;=Projects!$C$21,9&lt;Projects!$C$21+Projects!$D$21),Projects!$B$21*INDEX(Curves!$B$11:$AR$11,1,9-Projects!$C$21+1),0)+IF(AND(Projects!$G$22="Yes",Projects!$X$22="Yes",9&gt;=Projects!$C$22,9&lt;Projects!$C$22+Projects!$D$22),Projects!$B$22*INDEX(Curves!$B$4:$AR$4,1,9-Projects!$C$22+1),0)+IF(AND(Projects!$G$23="Yes",Projects!$X$23="Yes",9&gt;=Projects!$C$23,9&lt;Projects!$C$23+Projects!$D$23),Projects!$B$23*INDEX(Curves!$B$4:$AR$4,1,9-Projects!$C$23+1),0)+IF(AND(Projects!$G$24="Yes",Projects!$X$24="Yes",9&gt;=Projects!$C$24,9&lt;Projects!$C$24+Projects!$D$24),Projects!$B$24*INDEX(Curves!$B$4:$AR$4,1,9-Projects!$C$24+1),0)+IF(AND(Projects!$G$25="Yes",Projects!$X$25="Yes",9&gt;=Projects!$C$25,9&lt;Projects!$C$25+Projects!$D$25),Projects!$B$25*INDEX(Curves!$B$4:$AR$4,1,9-Projects!$C$25+1),0)+IF(AND(Projects!$G$26="Yes",Projects!$X$26="Yes",9&gt;=Projects!$C$26,9&lt;Projects!$C$26+Projects!$D$26),Projects!$B$26*INDEX(Curves!$B$4:$AR$4,1,9-Projects!$C$26+1),0)+IF(AND(Projects!$G$27="Yes",Projects!$X$27="Yes",9&gt;=Projects!$C$27,9&lt;Projects!$C$27+Projects!$D$27),Projects!$B$27*INDEX(Curves!$B$4:$AR$4,1,9-Projects!$C$27+1),0)+IF(AND(Projects!$G$28="Yes",Projects!$X$28="Yes",9&gt;=Projects!$C$28,9&lt;Projects!$C$28+Projects!$D$28),Projects!$B$28*INDEX(Curves!$B$4:$AR$4,1,9-Projects!$C$28+1),0)+IF(AND(Projects!$G$29="Yes",Projects!$X$29="Yes",9&gt;=Projects!$C$29,9&lt;Projects!$C$29+Projects!$D$29),Projects!$B$29*INDEX(Curves!$B$4:$AR$4,1,9-Projects!$C$29+1),0)+IF(AND(Projects!$G$30="Yes",Projects!$X$30="Yes",9&gt;=Projects!$C$30,9&lt;Projects!$C$30+Projects!$D$30),Projects!$B$30*INDEX(Curves!$B$4:$AR$4,1,9-Projects!$C$30+1),0)+IF(AND(Projects!$G$31="Yes",Projects!$X$31="Yes",9&gt;=Projects!$C$31,9&lt;Projects!$C$31+Projects!$D$31),Projects!$B$31*INDEX(Curves!$B$4:$AR$4,1,9-Projects!$C$31+1),0)+IF(AND(Projects!$G$32="Yes",Projects!$X$32="Yes",9&gt;=Projects!$C$32,9&lt;Projects!$C$32+Projects!$D$32),Projects!$B$32*INDEX(Curves!$B$4:$AR$4,1,9-Projects!$C$32+1),0)+IF(AND(Projects!$G$33="Yes",Projects!$X$33="Yes",9&gt;=Projects!$C$33,9&lt;Projects!$C$33+Projects!$D$33),Projects!$B$33*INDEX(Curves!$B$4:$AR$4,1,9-Projects!$C$33+1),0)+IF(AND(Projects!$G$34="Yes",Projects!$X$34="Yes",9&gt;=Projects!$C$34,9&lt;Projects!$C$34+Projects!$D$34),Projects!$B$34*INDEX(Curves!$B$4:$AR$4,1,9-Projects!$C$34+1),0)+IF(AND(Projects!$G$35="Yes",Projects!$X$35="Yes",9&gt;=Projects!$C$35,9&lt;Projects!$C$35+Projects!$D$35),Projects!$B$35*INDEX(Curves!$B$4:$AR$4,1,9-Projects!$C$35+1),0)+IF(AND(Projects!$G$36="Yes",Projects!$X$36="Yes",9&gt;=Projects!$C$36,9&lt;Projects!$C$36+Projects!$D$36),Projects!$B$36*INDEX(Curves!$B$4:$AR$4,1,9-Projects!$C$36+1),0)+IF(AND(Projects!$G$37="Yes",Projects!$X$37="Yes",9&gt;=Projects!$C$37,9&lt;Projects!$C$37+Projects!$D$37),Projects!$B$37*INDEX(Curves!$B$4:$AR$4,1,9-Projects!$C$37+1),0)+IF(AND(Projects!$G$38="Yes",Projects!$X$38="Yes",9&gt;=Projects!$C$38,9&lt;Projects!$C$38+Projects!$D$38),Projects!$B$38*INDEX(Curves!$B$4:$AR$4,1,9-Projects!$C$38+1),0)+IF(AND(Projects!$G$39="Yes",Projects!$X$39="Yes",9&gt;=Projects!$C$39,9&lt;Projects!$C$39+Projects!$D$39),Projects!$B$39*INDEX(Curves!$B$4:$AR$4,1,9-Projects!$C$39+1),0)+IF(AND(Projects!$G$40="Yes",Projects!$X$40="Yes",9&gt;=Projects!$C$40,9&lt;Projects!$C$40+Projects!$D$40),Projects!$B$40*INDEX(Curves!$B$4:$AR$4,1,9-Projects!$C$40+1),0)+IF(AND(Projects!$G$41="Yes",Projects!$X$41="Yes",9&gt;=Projects!$C$41,9&lt;Projects!$C$41+Projects!$D$41),Projects!$B$41*INDEX(Curves!$B$4:$AR$4,1,9-Projects!$C$41+1),0)+IF(AND(Projects!$G$42="Yes",Projects!$X$42="Yes",9&gt;=Projects!$C$42,9&lt;Projects!$C$42+Projects!$D$42),Projects!$B$42*INDEX(Curves!$B$4:$AR$4,1,9-Projects!$C$42+1),0)+IF(AND(Projects!$G$43="Yes",Projects!$X$43="Yes",9&gt;=Projects!$C$43,9&lt;Projects!$C$43+Projects!$D$43),Projects!$B$43*INDEX(Curves!$B$4:$AR$4,1,9-Projects!$C$43+1),0)+IF(AND(Projects!$G$44="Yes",Projects!$X$44="Yes",9&gt;=Projects!$C$44,9&lt;Projects!$C$44+Projects!$D$44),Projects!$B$44*INDEX(Curves!$B$4:$AR$4,1,9-Projects!$C$44+1),0)+IF(AND(Projects!$G$45="Yes",Projects!$X$45="Yes",9&gt;=Projects!$C$45,9&lt;Projects!$C$45+Projects!$D$45),Projects!$B$45*INDEX(Curves!$B$4:$AR$4,1,9-Projects!$C$45+1),0)+IF(AND(Projects!$G$46="Yes",Projects!$X$46="Yes",9&gt;=Projects!$C$46,9&lt;Projects!$C$46+Projects!$D$46),Projects!$B$46*INDEX(Curves!$B$4:$AR$4,1,9-Projects!$C$46+1),0)</f>
        <v>0</v>
      </c>
      <c r="O96" s="296" t="n">
        <f aca="false">IF(AND(Projects!$G$17="Yes",Projects!$X$17="Yes",10&gt;=Projects!$C$17,10&lt;Projects!$C$17+Projects!$D$17),Projects!$B$17*INDEX(Curves!$B$4:$AR$4,1,10-Projects!$C$17+1),0)+IF(AND(Projects!$G$18="Yes",Projects!$X$18="Yes",10&gt;=Projects!$C$18,10&lt;Projects!$C$18+Projects!$D$18),Projects!$B$18*INDEX(Curves!$B$4:$AR$4,1,10-Projects!$C$18+1),0)+IF(AND(Projects!$G$19="Yes",Projects!$X$19="Yes",10&gt;=Projects!$C$19,10&lt;Projects!$C$19+Projects!$D$19),Projects!$B$19*INDEX(Curves!$B$10:$AR$10,1,10-Projects!$C$19+1),0)+IF(AND(Projects!$G$20="Yes",Projects!$X$20="Yes",10&gt;=Projects!$C$20,10&lt;Projects!$C$20+Projects!$D$20),Projects!$B$20*INDEX(Curves!$B$4:$AR$4,1,10-Projects!$C$20+1),0)+IF(AND(Projects!$G$21="Yes",Projects!$X$21="Yes",10&gt;=Projects!$C$21,10&lt;Projects!$C$21+Projects!$D$21),Projects!$B$21*INDEX(Curves!$B$11:$AR$11,1,10-Projects!$C$21+1),0)+IF(AND(Projects!$G$22="Yes",Projects!$X$22="Yes",10&gt;=Projects!$C$22,10&lt;Projects!$C$22+Projects!$D$22),Projects!$B$22*INDEX(Curves!$B$4:$AR$4,1,10-Projects!$C$22+1),0)+IF(AND(Projects!$G$23="Yes",Projects!$X$23="Yes",10&gt;=Projects!$C$23,10&lt;Projects!$C$23+Projects!$D$23),Projects!$B$23*INDEX(Curves!$B$4:$AR$4,1,10-Projects!$C$23+1),0)+IF(AND(Projects!$G$24="Yes",Projects!$X$24="Yes",10&gt;=Projects!$C$24,10&lt;Projects!$C$24+Projects!$D$24),Projects!$B$24*INDEX(Curves!$B$4:$AR$4,1,10-Projects!$C$24+1),0)+IF(AND(Projects!$G$25="Yes",Projects!$X$25="Yes",10&gt;=Projects!$C$25,10&lt;Projects!$C$25+Projects!$D$25),Projects!$B$25*INDEX(Curves!$B$4:$AR$4,1,10-Projects!$C$25+1),0)+IF(AND(Projects!$G$26="Yes",Projects!$X$26="Yes",10&gt;=Projects!$C$26,10&lt;Projects!$C$26+Projects!$D$26),Projects!$B$26*INDEX(Curves!$B$4:$AR$4,1,10-Projects!$C$26+1),0)+IF(AND(Projects!$G$27="Yes",Projects!$X$27="Yes",10&gt;=Projects!$C$27,10&lt;Projects!$C$27+Projects!$D$27),Projects!$B$27*INDEX(Curves!$B$4:$AR$4,1,10-Projects!$C$27+1),0)+IF(AND(Projects!$G$28="Yes",Projects!$X$28="Yes",10&gt;=Projects!$C$28,10&lt;Projects!$C$28+Projects!$D$28),Projects!$B$28*INDEX(Curves!$B$4:$AR$4,1,10-Projects!$C$28+1),0)+IF(AND(Projects!$G$29="Yes",Projects!$X$29="Yes",10&gt;=Projects!$C$29,10&lt;Projects!$C$29+Projects!$D$29),Projects!$B$29*INDEX(Curves!$B$4:$AR$4,1,10-Projects!$C$29+1),0)+IF(AND(Projects!$G$30="Yes",Projects!$X$30="Yes",10&gt;=Projects!$C$30,10&lt;Projects!$C$30+Projects!$D$30),Projects!$B$30*INDEX(Curves!$B$4:$AR$4,1,10-Projects!$C$30+1),0)+IF(AND(Projects!$G$31="Yes",Projects!$X$31="Yes",10&gt;=Projects!$C$31,10&lt;Projects!$C$31+Projects!$D$31),Projects!$B$31*INDEX(Curves!$B$4:$AR$4,1,10-Projects!$C$31+1),0)+IF(AND(Projects!$G$32="Yes",Projects!$X$32="Yes",10&gt;=Projects!$C$32,10&lt;Projects!$C$32+Projects!$D$32),Projects!$B$32*INDEX(Curves!$B$4:$AR$4,1,10-Projects!$C$32+1),0)+IF(AND(Projects!$G$33="Yes",Projects!$X$33="Yes",10&gt;=Projects!$C$33,10&lt;Projects!$C$33+Projects!$D$33),Projects!$B$33*INDEX(Curves!$B$4:$AR$4,1,10-Projects!$C$33+1),0)+IF(AND(Projects!$G$34="Yes",Projects!$X$34="Yes",10&gt;=Projects!$C$34,10&lt;Projects!$C$34+Projects!$D$34),Projects!$B$34*INDEX(Curves!$B$4:$AR$4,1,10-Projects!$C$34+1),0)+IF(AND(Projects!$G$35="Yes",Projects!$X$35="Yes",10&gt;=Projects!$C$35,10&lt;Projects!$C$35+Projects!$D$35),Projects!$B$35*INDEX(Curves!$B$4:$AR$4,1,10-Projects!$C$35+1),0)+IF(AND(Projects!$G$36="Yes",Projects!$X$36="Yes",10&gt;=Projects!$C$36,10&lt;Projects!$C$36+Projects!$D$36),Projects!$B$36*INDEX(Curves!$B$4:$AR$4,1,10-Projects!$C$36+1),0)+IF(AND(Projects!$G$37="Yes",Projects!$X$37="Yes",10&gt;=Projects!$C$37,10&lt;Projects!$C$37+Projects!$D$37),Projects!$B$37*INDEX(Curves!$B$4:$AR$4,1,10-Projects!$C$37+1),0)+IF(AND(Projects!$G$38="Yes",Projects!$X$38="Yes",10&gt;=Projects!$C$38,10&lt;Projects!$C$38+Projects!$D$38),Projects!$B$38*INDEX(Curves!$B$4:$AR$4,1,10-Projects!$C$38+1),0)+IF(AND(Projects!$G$39="Yes",Projects!$X$39="Yes",10&gt;=Projects!$C$39,10&lt;Projects!$C$39+Projects!$D$39),Projects!$B$39*INDEX(Curves!$B$4:$AR$4,1,10-Projects!$C$39+1),0)+IF(AND(Projects!$G$40="Yes",Projects!$X$40="Yes",10&gt;=Projects!$C$40,10&lt;Projects!$C$40+Projects!$D$40),Projects!$B$40*INDEX(Curves!$B$4:$AR$4,1,10-Projects!$C$40+1),0)+IF(AND(Projects!$G$41="Yes",Projects!$X$41="Yes",10&gt;=Projects!$C$41,10&lt;Projects!$C$41+Projects!$D$41),Projects!$B$41*INDEX(Curves!$B$4:$AR$4,1,10-Projects!$C$41+1),0)+IF(AND(Projects!$G$42="Yes",Projects!$X$42="Yes",10&gt;=Projects!$C$42,10&lt;Projects!$C$42+Projects!$D$42),Projects!$B$42*INDEX(Curves!$B$4:$AR$4,1,10-Projects!$C$42+1),0)+IF(AND(Projects!$G$43="Yes",Projects!$X$43="Yes",10&gt;=Projects!$C$43,10&lt;Projects!$C$43+Projects!$D$43),Projects!$B$43*INDEX(Curves!$B$4:$AR$4,1,10-Projects!$C$43+1),0)+IF(AND(Projects!$G$44="Yes",Projects!$X$44="Yes",10&gt;=Projects!$C$44,10&lt;Projects!$C$44+Projects!$D$44),Projects!$B$44*INDEX(Curves!$B$4:$AR$4,1,10-Projects!$C$44+1),0)+IF(AND(Projects!$G$45="Yes",Projects!$X$45="Yes",10&gt;=Projects!$C$45,10&lt;Projects!$C$45+Projects!$D$45),Projects!$B$45*INDEX(Curves!$B$4:$AR$4,1,10-Projects!$C$45+1),0)+IF(AND(Projects!$G$46="Yes",Projects!$X$46="Yes",10&gt;=Projects!$C$46,10&lt;Projects!$C$46+Projects!$D$46),Projects!$B$46*INDEX(Curves!$B$4:$AR$4,1,10-Projects!$C$46+1),0)</f>
        <v>0</v>
      </c>
      <c r="P96" s="296" t="n">
        <f aca="false">IF(AND(Projects!$G$17="Yes",Projects!$X$17="Yes",11&gt;=Projects!$C$17,11&lt;Projects!$C$17+Projects!$D$17),Projects!$B$17*INDEX(Curves!$B$4:$AR$4,1,11-Projects!$C$17+1),0)+IF(AND(Projects!$G$18="Yes",Projects!$X$18="Yes",11&gt;=Projects!$C$18,11&lt;Projects!$C$18+Projects!$D$18),Projects!$B$18*INDEX(Curves!$B$4:$AR$4,1,11-Projects!$C$18+1),0)+IF(AND(Projects!$G$19="Yes",Projects!$X$19="Yes",11&gt;=Projects!$C$19,11&lt;Projects!$C$19+Projects!$D$19),Projects!$B$19*INDEX(Curves!$B$10:$AR$10,1,11-Projects!$C$19+1),0)+IF(AND(Projects!$G$20="Yes",Projects!$X$20="Yes",11&gt;=Projects!$C$20,11&lt;Projects!$C$20+Projects!$D$20),Projects!$B$20*INDEX(Curves!$B$4:$AR$4,1,11-Projects!$C$20+1),0)+IF(AND(Projects!$G$21="Yes",Projects!$X$21="Yes",11&gt;=Projects!$C$21,11&lt;Projects!$C$21+Projects!$D$21),Projects!$B$21*INDEX(Curves!$B$11:$AR$11,1,11-Projects!$C$21+1),0)+IF(AND(Projects!$G$22="Yes",Projects!$X$22="Yes",11&gt;=Projects!$C$22,11&lt;Projects!$C$22+Projects!$D$22),Projects!$B$22*INDEX(Curves!$B$4:$AR$4,1,11-Projects!$C$22+1),0)+IF(AND(Projects!$G$23="Yes",Projects!$X$23="Yes",11&gt;=Projects!$C$23,11&lt;Projects!$C$23+Projects!$D$23),Projects!$B$23*INDEX(Curves!$B$4:$AR$4,1,11-Projects!$C$23+1),0)+IF(AND(Projects!$G$24="Yes",Projects!$X$24="Yes",11&gt;=Projects!$C$24,11&lt;Projects!$C$24+Projects!$D$24),Projects!$B$24*INDEX(Curves!$B$4:$AR$4,1,11-Projects!$C$24+1),0)+IF(AND(Projects!$G$25="Yes",Projects!$X$25="Yes",11&gt;=Projects!$C$25,11&lt;Projects!$C$25+Projects!$D$25),Projects!$B$25*INDEX(Curves!$B$4:$AR$4,1,11-Projects!$C$25+1),0)+IF(AND(Projects!$G$26="Yes",Projects!$X$26="Yes",11&gt;=Projects!$C$26,11&lt;Projects!$C$26+Projects!$D$26),Projects!$B$26*INDEX(Curves!$B$4:$AR$4,1,11-Projects!$C$26+1),0)+IF(AND(Projects!$G$27="Yes",Projects!$X$27="Yes",11&gt;=Projects!$C$27,11&lt;Projects!$C$27+Projects!$D$27),Projects!$B$27*INDEX(Curves!$B$4:$AR$4,1,11-Projects!$C$27+1),0)+IF(AND(Projects!$G$28="Yes",Projects!$X$28="Yes",11&gt;=Projects!$C$28,11&lt;Projects!$C$28+Projects!$D$28),Projects!$B$28*INDEX(Curves!$B$4:$AR$4,1,11-Projects!$C$28+1),0)+IF(AND(Projects!$G$29="Yes",Projects!$X$29="Yes",11&gt;=Projects!$C$29,11&lt;Projects!$C$29+Projects!$D$29),Projects!$B$29*INDEX(Curves!$B$4:$AR$4,1,11-Projects!$C$29+1),0)+IF(AND(Projects!$G$30="Yes",Projects!$X$30="Yes",11&gt;=Projects!$C$30,11&lt;Projects!$C$30+Projects!$D$30),Projects!$B$30*INDEX(Curves!$B$4:$AR$4,1,11-Projects!$C$30+1),0)+IF(AND(Projects!$G$31="Yes",Projects!$X$31="Yes",11&gt;=Projects!$C$31,11&lt;Projects!$C$31+Projects!$D$31),Projects!$B$31*INDEX(Curves!$B$4:$AR$4,1,11-Projects!$C$31+1),0)+IF(AND(Projects!$G$32="Yes",Projects!$X$32="Yes",11&gt;=Projects!$C$32,11&lt;Projects!$C$32+Projects!$D$32),Projects!$B$32*INDEX(Curves!$B$4:$AR$4,1,11-Projects!$C$32+1),0)+IF(AND(Projects!$G$33="Yes",Projects!$X$33="Yes",11&gt;=Projects!$C$33,11&lt;Projects!$C$33+Projects!$D$33),Projects!$B$33*INDEX(Curves!$B$4:$AR$4,1,11-Projects!$C$33+1),0)+IF(AND(Projects!$G$34="Yes",Projects!$X$34="Yes",11&gt;=Projects!$C$34,11&lt;Projects!$C$34+Projects!$D$34),Projects!$B$34*INDEX(Curves!$B$4:$AR$4,1,11-Projects!$C$34+1),0)+IF(AND(Projects!$G$35="Yes",Projects!$X$35="Yes",11&gt;=Projects!$C$35,11&lt;Projects!$C$35+Projects!$D$35),Projects!$B$35*INDEX(Curves!$B$4:$AR$4,1,11-Projects!$C$35+1),0)+IF(AND(Projects!$G$36="Yes",Projects!$X$36="Yes",11&gt;=Projects!$C$36,11&lt;Projects!$C$36+Projects!$D$36),Projects!$B$36*INDEX(Curves!$B$4:$AR$4,1,11-Projects!$C$36+1),0)+IF(AND(Projects!$G$37="Yes",Projects!$X$37="Yes",11&gt;=Projects!$C$37,11&lt;Projects!$C$37+Projects!$D$37),Projects!$B$37*INDEX(Curves!$B$4:$AR$4,1,11-Projects!$C$37+1),0)+IF(AND(Projects!$G$38="Yes",Projects!$X$38="Yes",11&gt;=Projects!$C$38,11&lt;Projects!$C$38+Projects!$D$38),Projects!$B$38*INDEX(Curves!$B$4:$AR$4,1,11-Projects!$C$38+1),0)+IF(AND(Projects!$G$39="Yes",Projects!$X$39="Yes",11&gt;=Projects!$C$39,11&lt;Projects!$C$39+Projects!$D$39),Projects!$B$39*INDEX(Curves!$B$4:$AR$4,1,11-Projects!$C$39+1),0)+IF(AND(Projects!$G$40="Yes",Projects!$X$40="Yes",11&gt;=Projects!$C$40,11&lt;Projects!$C$40+Projects!$D$40),Projects!$B$40*INDEX(Curves!$B$4:$AR$4,1,11-Projects!$C$40+1),0)+IF(AND(Projects!$G$41="Yes",Projects!$X$41="Yes",11&gt;=Projects!$C$41,11&lt;Projects!$C$41+Projects!$D$41),Projects!$B$41*INDEX(Curves!$B$4:$AR$4,1,11-Projects!$C$41+1),0)+IF(AND(Projects!$G$42="Yes",Projects!$X$42="Yes",11&gt;=Projects!$C$42,11&lt;Projects!$C$42+Projects!$D$42),Projects!$B$42*INDEX(Curves!$B$4:$AR$4,1,11-Projects!$C$42+1),0)+IF(AND(Projects!$G$43="Yes",Projects!$X$43="Yes",11&gt;=Projects!$C$43,11&lt;Projects!$C$43+Projects!$D$43),Projects!$B$43*INDEX(Curves!$B$4:$AR$4,1,11-Projects!$C$43+1),0)+IF(AND(Projects!$G$44="Yes",Projects!$X$44="Yes",11&gt;=Projects!$C$44,11&lt;Projects!$C$44+Projects!$D$44),Projects!$B$44*INDEX(Curves!$B$4:$AR$4,1,11-Projects!$C$44+1),0)+IF(AND(Projects!$G$45="Yes",Projects!$X$45="Yes",11&gt;=Projects!$C$45,11&lt;Projects!$C$45+Projects!$D$45),Projects!$B$45*INDEX(Curves!$B$4:$AR$4,1,11-Projects!$C$45+1),0)+IF(AND(Projects!$G$46="Yes",Projects!$X$46="Yes",11&gt;=Projects!$C$46,11&lt;Projects!$C$46+Projects!$D$46),Projects!$B$46*INDEX(Curves!$B$4:$AR$4,1,11-Projects!$C$46+1),0)</f>
        <v>0</v>
      </c>
      <c r="Q96" s="296" t="n">
        <f aca="false">IF(AND(Projects!$G$17="Yes",Projects!$X$17="Yes",12&gt;=Projects!$C$17,12&lt;Projects!$C$17+Projects!$D$17),Projects!$B$17*INDEX(Curves!$B$4:$AR$4,1,12-Projects!$C$17+1),0)+IF(AND(Projects!$G$18="Yes",Projects!$X$18="Yes",12&gt;=Projects!$C$18,12&lt;Projects!$C$18+Projects!$D$18),Projects!$B$18*INDEX(Curves!$B$4:$AR$4,1,12-Projects!$C$18+1),0)+IF(AND(Projects!$G$19="Yes",Projects!$X$19="Yes",12&gt;=Projects!$C$19,12&lt;Projects!$C$19+Projects!$D$19),Projects!$B$19*INDEX(Curves!$B$10:$AR$10,1,12-Projects!$C$19+1),0)+IF(AND(Projects!$G$20="Yes",Projects!$X$20="Yes",12&gt;=Projects!$C$20,12&lt;Projects!$C$20+Projects!$D$20),Projects!$B$20*INDEX(Curves!$B$4:$AR$4,1,12-Projects!$C$20+1),0)+IF(AND(Projects!$G$21="Yes",Projects!$X$21="Yes",12&gt;=Projects!$C$21,12&lt;Projects!$C$21+Projects!$D$21),Projects!$B$21*INDEX(Curves!$B$11:$AR$11,1,12-Projects!$C$21+1),0)+IF(AND(Projects!$G$22="Yes",Projects!$X$22="Yes",12&gt;=Projects!$C$22,12&lt;Projects!$C$22+Projects!$D$22),Projects!$B$22*INDEX(Curves!$B$4:$AR$4,1,12-Projects!$C$22+1),0)+IF(AND(Projects!$G$23="Yes",Projects!$X$23="Yes",12&gt;=Projects!$C$23,12&lt;Projects!$C$23+Projects!$D$23),Projects!$B$23*INDEX(Curves!$B$4:$AR$4,1,12-Projects!$C$23+1),0)+IF(AND(Projects!$G$24="Yes",Projects!$X$24="Yes",12&gt;=Projects!$C$24,12&lt;Projects!$C$24+Projects!$D$24),Projects!$B$24*INDEX(Curves!$B$4:$AR$4,1,12-Projects!$C$24+1),0)+IF(AND(Projects!$G$25="Yes",Projects!$X$25="Yes",12&gt;=Projects!$C$25,12&lt;Projects!$C$25+Projects!$D$25),Projects!$B$25*INDEX(Curves!$B$4:$AR$4,1,12-Projects!$C$25+1),0)+IF(AND(Projects!$G$26="Yes",Projects!$X$26="Yes",12&gt;=Projects!$C$26,12&lt;Projects!$C$26+Projects!$D$26),Projects!$B$26*INDEX(Curves!$B$4:$AR$4,1,12-Projects!$C$26+1),0)+IF(AND(Projects!$G$27="Yes",Projects!$X$27="Yes",12&gt;=Projects!$C$27,12&lt;Projects!$C$27+Projects!$D$27),Projects!$B$27*INDEX(Curves!$B$4:$AR$4,1,12-Projects!$C$27+1),0)+IF(AND(Projects!$G$28="Yes",Projects!$X$28="Yes",12&gt;=Projects!$C$28,12&lt;Projects!$C$28+Projects!$D$28),Projects!$B$28*INDEX(Curves!$B$4:$AR$4,1,12-Projects!$C$28+1),0)+IF(AND(Projects!$G$29="Yes",Projects!$X$29="Yes",12&gt;=Projects!$C$29,12&lt;Projects!$C$29+Projects!$D$29),Projects!$B$29*INDEX(Curves!$B$4:$AR$4,1,12-Projects!$C$29+1),0)+IF(AND(Projects!$G$30="Yes",Projects!$X$30="Yes",12&gt;=Projects!$C$30,12&lt;Projects!$C$30+Projects!$D$30),Projects!$B$30*INDEX(Curves!$B$4:$AR$4,1,12-Projects!$C$30+1),0)+IF(AND(Projects!$G$31="Yes",Projects!$X$31="Yes",12&gt;=Projects!$C$31,12&lt;Projects!$C$31+Projects!$D$31),Projects!$B$31*INDEX(Curves!$B$4:$AR$4,1,12-Projects!$C$31+1),0)+IF(AND(Projects!$G$32="Yes",Projects!$X$32="Yes",12&gt;=Projects!$C$32,12&lt;Projects!$C$32+Projects!$D$32),Projects!$B$32*INDEX(Curves!$B$4:$AR$4,1,12-Projects!$C$32+1),0)+IF(AND(Projects!$G$33="Yes",Projects!$X$33="Yes",12&gt;=Projects!$C$33,12&lt;Projects!$C$33+Projects!$D$33),Projects!$B$33*INDEX(Curves!$B$4:$AR$4,1,12-Projects!$C$33+1),0)+IF(AND(Projects!$G$34="Yes",Projects!$X$34="Yes",12&gt;=Projects!$C$34,12&lt;Projects!$C$34+Projects!$D$34),Projects!$B$34*INDEX(Curves!$B$4:$AR$4,1,12-Projects!$C$34+1),0)+IF(AND(Projects!$G$35="Yes",Projects!$X$35="Yes",12&gt;=Projects!$C$35,12&lt;Projects!$C$35+Projects!$D$35),Projects!$B$35*INDEX(Curves!$B$4:$AR$4,1,12-Projects!$C$35+1),0)+IF(AND(Projects!$G$36="Yes",Projects!$X$36="Yes",12&gt;=Projects!$C$36,12&lt;Projects!$C$36+Projects!$D$36),Projects!$B$36*INDEX(Curves!$B$4:$AR$4,1,12-Projects!$C$36+1),0)+IF(AND(Projects!$G$37="Yes",Projects!$X$37="Yes",12&gt;=Projects!$C$37,12&lt;Projects!$C$37+Projects!$D$37),Projects!$B$37*INDEX(Curves!$B$4:$AR$4,1,12-Projects!$C$37+1),0)+IF(AND(Projects!$G$38="Yes",Projects!$X$38="Yes",12&gt;=Projects!$C$38,12&lt;Projects!$C$38+Projects!$D$38),Projects!$B$38*INDEX(Curves!$B$4:$AR$4,1,12-Projects!$C$38+1),0)+IF(AND(Projects!$G$39="Yes",Projects!$X$39="Yes",12&gt;=Projects!$C$39,12&lt;Projects!$C$39+Projects!$D$39),Projects!$B$39*INDEX(Curves!$B$4:$AR$4,1,12-Projects!$C$39+1),0)+IF(AND(Projects!$G$40="Yes",Projects!$X$40="Yes",12&gt;=Projects!$C$40,12&lt;Projects!$C$40+Projects!$D$40),Projects!$B$40*INDEX(Curves!$B$4:$AR$4,1,12-Projects!$C$40+1),0)+IF(AND(Projects!$G$41="Yes",Projects!$X$41="Yes",12&gt;=Projects!$C$41,12&lt;Projects!$C$41+Projects!$D$41),Projects!$B$41*INDEX(Curves!$B$4:$AR$4,1,12-Projects!$C$41+1),0)+IF(AND(Projects!$G$42="Yes",Projects!$X$42="Yes",12&gt;=Projects!$C$42,12&lt;Projects!$C$42+Projects!$D$42),Projects!$B$42*INDEX(Curves!$B$4:$AR$4,1,12-Projects!$C$42+1),0)+IF(AND(Projects!$G$43="Yes",Projects!$X$43="Yes",12&gt;=Projects!$C$43,12&lt;Projects!$C$43+Projects!$D$43),Projects!$B$43*INDEX(Curves!$B$4:$AR$4,1,12-Projects!$C$43+1),0)+IF(AND(Projects!$G$44="Yes",Projects!$X$44="Yes",12&gt;=Projects!$C$44,12&lt;Projects!$C$44+Projects!$D$44),Projects!$B$44*INDEX(Curves!$B$4:$AR$4,1,12-Projects!$C$44+1),0)+IF(AND(Projects!$G$45="Yes",Projects!$X$45="Yes",12&gt;=Projects!$C$45,12&lt;Projects!$C$45+Projects!$D$45),Projects!$B$45*INDEX(Curves!$B$4:$AR$4,1,12-Projects!$C$45+1),0)+IF(AND(Projects!$G$46="Yes",Projects!$X$46="Yes",12&gt;=Projects!$C$46,12&lt;Projects!$C$46+Projects!$D$46),Projects!$B$46*INDEX(Curves!$B$4:$AR$4,1,12-Projects!$C$46+1),0)</f>
        <v>0</v>
      </c>
      <c r="R96" s="296" t="n">
        <f aca="false">IF(AND(Projects!$G$17="Yes",Projects!$X$17="Yes",13&gt;=Projects!$C$17,13&lt;Projects!$C$17+Projects!$D$17),Projects!$B$17*INDEX(Curves!$B$4:$AR$4,1,13-Projects!$C$17+1),0)+IF(AND(Projects!$G$18="Yes",Projects!$X$18="Yes",13&gt;=Projects!$C$18,13&lt;Projects!$C$18+Projects!$D$18),Projects!$B$18*INDEX(Curves!$B$4:$AR$4,1,13-Projects!$C$18+1),0)+IF(AND(Projects!$G$19="Yes",Projects!$X$19="Yes",13&gt;=Projects!$C$19,13&lt;Projects!$C$19+Projects!$D$19),Projects!$B$19*INDEX(Curves!$B$10:$AR$10,1,13-Projects!$C$19+1),0)+IF(AND(Projects!$G$20="Yes",Projects!$X$20="Yes",13&gt;=Projects!$C$20,13&lt;Projects!$C$20+Projects!$D$20),Projects!$B$20*INDEX(Curves!$B$4:$AR$4,1,13-Projects!$C$20+1),0)+IF(AND(Projects!$G$21="Yes",Projects!$X$21="Yes",13&gt;=Projects!$C$21,13&lt;Projects!$C$21+Projects!$D$21),Projects!$B$21*INDEX(Curves!$B$11:$AR$11,1,13-Projects!$C$21+1),0)+IF(AND(Projects!$G$22="Yes",Projects!$X$22="Yes",13&gt;=Projects!$C$22,13&lt;Projects!$C$22+Projects!$D$22),Projects!$B$22*INDEX(Curves!$B$4:$AR$4,1,13-Projects!$C$22+1),0)+IF(AND(Projects!$G$23="Yes",Projects!$X$23="Yes",13&gt;=Projects!$C$23,13&lt;Projects!$C$23+Projects!$D$23),Projects!$B$23*INDEX(Curves!$B$4:$AR$4,1,13-Projects!$C$23+1),0)+IF(AND(Projects!$G$24="Yes",Projects!$X$24="Yes",13&gt;=Projects!$C$24,13&lt;Projects!$C$24+Projects!$D$24),Projects!$B$24*INDEX(Curves!$B$4:$AR$4,1,13-Projects!$C$24+1),0)+IF(AND(Projects!$G$25="Yes",Projects!$X$25="Yes",13&gt;=Projects!$C$25,13&lt;Projects!$C$25+Projects!$D$25),Projects!$B$25*INDEX(Curves!$B$4:$AR$4,1,13-Projects!$C$25+1),0)+IF(AND(Projects!$G$26="Yes",Projects!$X$26="Yes",13&gt;=Projects!$C$26,13&lt;Projects!$C$26+Projects!$D$26),Projects!$B$26*INDEX(Curves!$B$4:$AR$4,1,13-Projects!$C$26+1),0)+IF(AND(Projects!$G$27="Yes",Projects!$X$27="Yes",13&gt;=Projects!$C$27,13&lt;Projects!$C$27+Projects!$D$27),Projects!$B$27*INDEX(Curves!$B$4:$AR$4,1,13-Projects!$C$27+1),0)+IF(AND(Projects!$G$28="Yes",Projects!$X$28="Yes",13&gt;=Projects!$C$28,13&lt;Projects!$C$28+Projects!$D$28),Projects!$B$28*INDEX(Curves!$B$4:$AR$4,1,13-Projects!$C$28+1),0)+IF(AND(Projects!$G$29="Yes",Projects!$X$29="Yes",13&gt;=Projects!$C$29,13&lt;Projects!$C$29+Projects!$D$29),Projects!$B$29*INDEX(Curves!$B$4:$AR$4,1,13-Projects!$C$29+1),0)+IF(AND(Projects!$G$30="Yes",Projects!$X$30="Yes",13&gt;=Projects!$C$30,13&lt;Projects!$C$30+Projects!$D$30),Projects!$B$30*INDEX(Curves!$B$4:$AR$4,1,13-Projects!$C$30+1),0)+IF(AND(Projects!$G$31="Yes",Projects!$X$31="Yes",13&gt;=Projects!$C$31,13&lt;Projects!$C$31+Projects!$D$31),Projects!$B$31*INDEX(Curves!$B$4:$AR$4,1,13-Projects!$C$31+1),0)+IF(AND(Projects!$G$32="Yes",Projects!$X$32="Yes",13&gt;=Projects!$C$32,13&lt;Projects!$C$32+Projects!$D$32),Projects!$B$32*INDEX(Curves!$B$4:$AR$4,1,13-Projects!$C$32+1),0)+IF(AND(Projects!$G$33="Yes",Projects!$X$33="Yes",13&gt;=Projects!$C$33,13&lt;Projects!$C$33+Projects!$D$33),Projects!$B$33*INDEX(Curves!$B$4:$AR$4,1,13-Projects!$C$33+1),0)+IF(AND(Projects!$G$34="Yes",Projects!$X$34="Yes",13&gt;=Projects!$C$34,13&lt;Projects!$C$34+Projects!$D$34),Projects!$B$34*INDEX(Curves!$B$4:$AR$4,1,13-Projects!$C$34+1),0)+IF(AND(Projects!$G$35="Yes",Projects!$X$35="Yes",13&gt;=Projects!$C$35,13&lt;Projects!$C$35+Projects!$D$35),Projects!$B$35*INDEX(Curves!$B$4:$AR$4,1,13-Projects!$C$35+1),0)+IF(AND(Projects!$G$36="Yes",Projects!$X$36="Yes",13&gt;=Projects!$C$36,13&lt;Projects!$C$36+Projects!$D$36),Projects!$B$36*INDEX(Curves!$B$4:$AR$4,1,13-Projects!$C$36+1),0)+IF(AND(Projects!$G$37="Yes",Projects!$X$37="Yes",13&gt;=Projects!$C$37,13&lt;Projects!$C$37+Projects!$D$37),Projects!$B$37*INDEX(Curves!$B$4:$AR$4,1,13-Projects!$C$37+1),0)+IF(AND(Projects!$G$38="Yes",Projects!$X$38="Yes",13&gt;=Projects!$C$38,13&lt;Projects!$C$38+Projects!$D$38),Projects!$B$38*INDEX(Curves!$B$4:$AR$4,1,13-Projects!$C$38+1),0)+IF(AND(Projects!$G$39="Yes",Projects!$X$39="Yes",13&gt;=Projects!$C$39,13&lt;Projects!$C$39+Projects!$D$39),Projects!$B$39*INDEX(Curves!$B$4:$AR$4,1,13-Projects!$C$39+1),0)+IF(AND(Projects!$G$40="Yes",Projects!$X$40="Yes",13&gt;=Projects!$C$40,13&lt;Projects!$C$40+Projects!$D$40),Projects!$B$40*INDEX(Curves!$B$4:$AR$4,1,13-Projects!$C$40+1),0)+IF(AND(Projects!$G$41="Yes",Projects!$X$41="Yes",13&gt;=Projects!$C$41,13&lt;Projects!$C$41+Projects!$D$41),Projects!$B$41*INDEX(Curves!$B$4:$AR$4,1,13-Projects!$C$41+1),0)+IF(AND(Projects!$G$42="Yes",Projects!$X$42="Yes",13&gt;=Projects!$C$42,13&lt;Projects!$C$42+Projects!$D$42),Projects!$B$42*INDEX(Curves!$B$4:$AR$4,1,13-Projects!$C$42+1),0)+IF(AND(Projects!$G$43="Yes",Projects!$X$43="Yes",13&gt;=Projects!$C$43,13&lt;Projects!$C$43+Projects!$D$43),Projects!$B$43*INDEX(Curves!$B$4:$AR$4,1,13-Projects!$C$43+1),0)+IF(AND(Projects!$G$44="Yes",Projects!$X$44="Yes",13&gt;=Projects!$C$44,13&lt;Projects!$C$44+Projects!$D$44),Projects!$B$44*INDEX(Curves!$B$4:$AR$4,1,13-Projects!$C$44+1),0)+IF(AND(Projects!$G$45="Yes",Projects!$X$45="Yes",13&gt;=Projects!$C$45,13&lt;Projects!$C$45+Projects!$D$45),Projects!$B$45*INDEX(Curves!$B$4:$AR$4,1,13-Projects!$C$45+1),0)+IF(AND(Projects!$G$46="Yes",Projects!$X$46="Yes",13&gt;=Projects!$C$46,13&lt;Projects!$C$46+Projects!$D$46),Projects!$B$46*INDEX(Curves!$B$4:$AR$4,1,13-Projects!$C$46+1),0)</f>
        <v>0</v>
      </c>
      <c r="S96" s="296" t="n">
        <f aca="false">IF(AND(Projects!$G$17="Yes",Projects!$X$17="Yes",14&gt;=Projects!$C$17,14&lt;Projects!$C$17+Projects!$D$17),Projects!$B$17*INDEX(Curves!$B$4:$AR$4,1,14-Projects!$C$17+1),0)+IF(AND(Projects!$G$18="Yes",Projects!$X$18="Yes",14&gt;=Projects!$C$18,14&lt;Projects!$C$18+Projects!$D$18),Projects!$B$18*INDEX(Curves!$B$4:$AR$4,1,14-Projects!$C$18+1),0)+IF(AND(Projects!$G$19="Yes",Projects!$X$19="Yes",14&gt;=Projects!$C$19,14&lt;Projects!$C$19+Projects!$D$19),Projects!$B$19*INDEX(Curves!$B$10:$AR$10,1,14-Projects!$C$19+1),0)+IF(AND(Projects!$G$20="Yes",Projects!$X$20="Yes",14&gt;=Projects!$C$20,14&lt;Projects!$C$20+Projects!$D$20),Projects!$B$20*INDEX(Curves!$B$4:$AR$4,1,14-Projects!$C$20+1),0)+IF(AND(Projects!$G$21="Yes",Projects!$X$21="Yes",14&gt;=Projects!$C$21,14&lt;Projects!$C$21+Projects!$D$21),Projects!$B$21*INDEX(Curves!$B$11:$AR$11,1,14-Projects!$C$21+1),0)+IF(AND(Projects!$G$22="Yes",Projects!$X$22="Yes",14&gt;=Projects!$C$22,14&lt;Projects!$C$22+Projects!$D$22),Projects!$B$22*INDEX(Curves!$B$4:$AR$4,1,14-Projects!$C$22+1),0)+IF(AND(Projects!$G$23="Yes",Projects!$X$23="Yes",14&gt;=Projects!$C$23,14&lt;Projects!$C$23+Projects!$D$23),Projects!$B$23*INDEX(Curves!$B$4:$AR$4,1,14-Projects!$C$23+1),0)+IF(AND(Projects!$G$24="Yes",Projects!$X$24="Yes",14&gt;=Projects!$C$24,14&lt;Projects!$C$24+Projects!$D$24),Projects!$B$24*INDEX(Curves!$B$4:$AR$4,1,14-Projects!$C$24+1),0)+IF(AND(Projects!$G$25="Yes",Projects!$X$25="Yes",14&gt;=Projects!$C$25,14&lt;Projects!$C$25+Projects!$D$25),Projects!$B$25*INDEX(Curves!$B$4:$AR$4,1,14-Projects!$C$25+1),0)+IF(AND(Projects!$G$26="Yes",Projects!$X$26="Yes",14&gt;=Projects!$C$26,14&lt;Projects!$C$26+Projects!$D$26),Projects!$B$26*INDEX(Curves!$B$4:$AR$4,1,14-Projects!$C$26+1),0)+IF(AND(Projects!$G$27="Yes",Projects!$X$27="Yes",14&gt;=Projects!$C$27,14&lt;Projects!$C$27+Projects!$D$27),Projects!$B$27*INDEX(Curves!$B$4:$AR$4,1,14-Projects!$C$27+1),0)+IF(AND(Projects!$G$28="Yes",Projects!$X$28="Yes",14&gt;=Projects!$C$28,14&lt;Projects!$C$28+Projects!$D$28),Projects!$B$28*INDEX(Curves!$B$4:$AR$4,1,14-Projects!$C$28+1),0)+IF(AND(Projects!$G$29="Yes",Projects!$X$29="Yes",14&gt;=Projects!$C$29,14&lt;Projects!$C$29+Projects!$D$29),Projects!$B$29*INDEX(Curves!$B$4:$AR$4,1,14-Projects!$C$29+1),0)+IF(AND(Projects!$G$30="Yes",Projects!$X$30="Yes",14&gt;=Projects!$C$30,14&lt;Projects!$C$30+Projects!$D$30),Projects!$B$30*INDEX(Curves!$B$4:$AR$4,1,14-Projects!$C$30+1),0)+IF(AND(Projects!$G$31="Yes",Projects!$X$31="Yes",14&gt;=Projects!$C$31,14&lt;Projects!$C$31+Projects!$D$31),Projects!$B$31*INDEX(Curves!$B$4:$AR$4,1,14-Projects!$C$31+1),0)+IF(AND(Projects!$G$32="Yes",Projects!$X$32="Yes",14&gt;=Projects!$C$32,14&lt;Projects!$C$32+Projects!$D$32),Projects!$B$32*INDEX(Curves!$B$4:$AR$4,1,14-Projects!$C$32+1),0)+IF(AND(Projects!$G$33="Yes",Projects!$X$33="Yes",14&gt;=Projects!$C$33,14&lt;Projects!$C$33+Projects!$D$33),Projects!$B$33*INDEX(Curves!$B$4:$AR$4,1,14-Projects!$C$33+1),0)+IF(AND(Projects!$G$34="Yes",Projects!$X$34="Yes",14&gt;=Projects!$C$34,14&lt;Projects!$C$34+Projects!$D$34),Projects!$B$34*INDEX(Curves!$B$4:$AR$4,1,14-Projects!$C$34+1),0)+IF(AND(Projects!$G$35="Yes",Projects!$X$35="Yes",14&gt;=Projects!$C$35,14&lt;Projects!$C$35+Projects!$D$35),Projects!$B$35*INDEX(Curves!$B$4:$AR$4,1,14-Projects!$C$35+1),0)+IF(AND(Projects!$G$36="Yes",Projects!$X$36="Yes",14&gt;=Projects!$C$36,14&lt;Projects!$C$36+Projects!$D$36),Projects!$B$36*INDEX(Curves!$B$4:$AR$4,1,14-Projects!$C$36+1),0)+IF(AND(Projects!$G$37="Yes",Projects!$X$37="Yes",14&gt;=Projects!$C$37,14&lt;Projects!$C$37+Projects!$D$37),Projects!$B$37*INDEX(Curves!$B$4:$AR$4,1,14-Projects!$C$37+1),0)+IF(AND(Projects!$G$38="Yes",Projects!$X$38="Yes",14&gt;=Projects!$C$38,14&lt;Projects!$C$38+Projects!$D$38),Projects!$B$38*INDEX(Curves!$B$4:$AR$4,1,14-Projects!$C$38+1),0)+IF(AND(Projects!$G$39="Yes",Projects!$X$39="Yes",14&gt;=Projects!$C$39,14&lt;Projects!$C$39+Projects!$D$39),Projects!$B$39*INDEX(Curves!$B$4:$AR$4,1,14-Projects!$C$39+1),0)+IF(AND(Projects!$G$40="Yes",Projects!$X$40="Yes",14&gt;=Projects!$C$40,14&lt;Projects!$C$40+Projects!$D$40),Projects!$B$40*INDEX(Curves!$B$4:$AR$4,1,14-Projects!$C$40+1),0)+IF(AND(Projects!$G$41="Yes",Projects!$X$41="Yes",14&gt;=Projects!$C$41,14&lt;Projects!$C$41+Projects!$D$41),Projects!$B$41*INDEX(Curves!$B$4:$AR$4,1,14-Projects!$C$41+1),0)+IF(AND(Projects!$G$42="Yes",Projects!$X$42="Yes",14&gt;=Projects!$C$42,14&lt;Projects!$C$42+Projects!$D$42),Projects!$B$42*INDEX(Curves!$B$4:$AR$4,1,14-Projects!$C$42+1),0)+IF(AND(Projects!$G$43="Yes",Projects!$X$43="Yes",14&gt;=Projects!$C$43,14&lt;Projects!$C$43+Projects!$D$43),Projects!$B$43*INDEX(Curves!$B$4:$AR$4,1,14-Projects!$C$43+1),0)+IF(AND(Projects!$G$44="Yes",Projects!$X$44="Yes",14&gt;=Projects!$C$44,14&lt;Projects!$C$44+Projects!$D$44),Projects!$B$44*INDEX(Curves!$B$4:$AR$4,1,14-Projects!$C$44+1),0)+IF(AND(Projects!$G$45="Yes",Projects!$X$45="Yes",14&gt;=Projects!$C$45,14&lt;Projects!$C$45+Projects!$D$45),Projects!$B$45*INDEX(Curves!$B$4:$AR$4,1,14-Projects!$C$45+1),0)+IF(AND(Projects!$G$46="Yes",Projects!$X$46="Yes",14&gt;=Projects!$C$46,14&lt;Projects!$C$46+Projects!$D$46),Projects!$B$46*INDEX(Curves!$B$4:$AR$4,1,14-Projects!$C$46+1),0)</f>
        <v>0</v>
      </c>
      <c r="T96" s="296" t="n">
        <f aca="false">IF(AND(Projects!$G$17="Yes",Projects!$X$17="Yes",15&gt;=Projects!$C$17,15&lt;Projects!$C$17+Projects!$D$17),Projects!$B$17*INDEX(Curves!$B$4:$AR$4,1,15-Projects!$C$17+1),0)+IF(AND(Projects!$G$18="Yes",Projects!$X$18="Yes",15&gt;=Projects!$C$18,15&lt;Projects!$C$18+Projects!$D$18),Projects!$B$18*INDEX(Curves!$B$4:$AR$4,1,15-Projects!$C$18+1),0)+IF(AND(Projects!$G$19="Yes",Projects!$X$19="Yes",15&gt;=Projects!$C$19,15&lt;Projects!$C$19+Projects!$D$19),Projects!$B$19*INDEX(Curves!$B$10:$AR$10,1,15-Projects!$C$19+1),0)+IF(AND(Projects!$G$20="Yes",Projects!$X$20="Yes",15&gt;=Projects!$C$20,15&lt;Projects!$C$20+Projects!$D$20),Projects!$B$20*INDEX(Curves!$B$4:$AR$4,1,15-Projects!$C$20+1),0)+IF(AND(Projects!$G$21="Yes",Projects!$X$21="Yes",15&gt;=Projects!$C$21,15&lt;Projects!$C$21+Projects!$D$21),Projects!$B$21*INDEX(Curves!$B$11:$AR$11,1,15-Projects!$C$21+1),0)+IF(AND(Projects!$G$22="Yes",Projects!$X$22="Yes",15&gt;=Projects!$C$22,15&lt;Projects!$C$22+Projects!$D$22),Projects!$B$22*INDEX(Curves!$B$4:$AR$4,1,15-Projects!$C$22+1),0)+IF(AND(Projects!$G$23="Yes",Projects!$X$23="Yes",15&gt;=Projects!$C$23,15&lt;Projects!$C$23+Projects!$D$23),Projects!$B$23*INDEX(Curves!$B$4:$AR$4,1,15-Projects!$C$23+1),0)+IF(AND(Projects!$G$24="Yes",Projects!$X$24="Yes",15&gt;=Projects!$C$24,15&lt;Projects!$C$24+Projects!$D$24),Projects!$B$24*INDEX(Curves!$B$4:$AR$4,1,15-Projects!$C$24+1),0)+IF(AND(Projects!$G$25="Yes",Projects!$X$25="Yes",15&gt;=Projects!$C$25,15&lt;Projects!$C$25+Projects!$D$25),Projects!$B$25*INDEX(Curves!$B$4:$AR$4,1,15-Projects!$C$25+1),0)+IF(AND(Projects!$G$26="Yes",Projects!$X$26="Yes",15&gt;=Projects!$C$26,15&lt;Projects!$C$26+Projects!$D$26),Projects!$B$26*INDEX(Curves!$B$4:$AR$4,1,15-Projects!$C$26+1),0)+IF(AND(Projects!$G$27="Yes",Projects!$X$27="Yes",15&gt;=Projects!$C$27,15&lt;Projects!$C$27+Projects!$D$27),Projects!$B$27*INDEX(Curves!$B$4:$AR$4,1,15-Projects!$C$27+1),0)+IF(AND(Projects!$G$28="Yes",Projects!$X$28="Yes",15&gt;=Projects!$C$28,15&lt;Projects!$C$28+Projects!$D$28),Projects!$B$28*INDEX(Curves!$B$4:$AR$4,1,15-Projects!$C$28+1),0)+IF(AND(Projects!$G$29="Yes",Projects!$X$29="Yes",15&gt;=Projects!$C$29,15&lt;Projects!$C$29+Projects!$D$29),Projects!$B$29*INDEX(Curves!$B$4:$AR$4,1,15-Projects!$C$29+1),0)+IF(AND(Projects!$G$30="Yes",Projects!$X$30="Yes",15&gt;=Projects!$C$30,15&lt;Projects!$C$30+Projects!$D$30),Projects!$B$30*INDEX(Curves!$B$4:$AR$4,1,15-Projects!$C$30+1),0)+IF(AND(Projects!$G$31="Yes",Projects!$X$31="Yes",15&gt;=Projects!$C$31,15&lt;Projects!$C$31+Projects!$D$31),Projects!$B$31*INDEX(Curves!$B$4:$AR$4,1,15-Projects!$C$31+1),0)+IF(AND(Projects!$G$32="Yes",Projects!$X$32="Yes",15&gt;=Projects!$C$32,15&lt;Projects!$C$32+Projects!$D$32),Projects!$B$32*INDEX(Curves!$B$4:$AR$4,1,15-Projects!$C$32+1),0)+IF(AND(Projects!$G$33="Yes",Projects!$X$33="Yes",15&gt;=Projects!$C$33,15&lt;Projects!$C$33+Projects!$D$33),Projects!$B$33*INDEX(Curves!$B$4:$AR$4,1,15-Projects!$C$33+1),0)+IF(AND(Projects!$G$34="Yes",Projects!$X$34="Yes",15&gt;=Projects!$C$34,15&lt;Projects!$C$34+Projects!$D$34),Projects!$B$34*INDEX(Curves!$B$4:$AR$4,1,15-Projects!$C$34+1),0)+IF(AND(Projects!$G$35="Yes",Projects!$X$35="Yes",15&gt;=Projects!$C$35,15&lt;Projects!$C$35+Projects!$D$35),Projects!$B$35*INDEX(Curves!$B$4:$AR$4,1,15-Projects!$C$35+1),0)+IF(AND(Projects!$G$36="Yes",Projects!$X$36="Yes",15&gt;=Projects!$C$36,15&lt;Projects!$C$36+Projects!$D$36),Projects!$B$36*INDEX(Curves!$B$4:$AR$4,1,15-Projects!$C$36+1),0)+IF(AND(Projects!$G$37="Yes",Projects!$X$37="Yes",15&gt;=Projects!$C$37,15&lt;Projects!$C$37+Projects!$D$37),Projects!$B$37*INDEX(Curves!$B$4:$AR$4,1,15-Projects!$C$37+1),0)+IF(AND(Projects!$G$38="Yes",Projects!$X$38="Yes",15&gt;=Projects!$C$38,15&lt;Projects!$C$38+Projects!$D$38),Projects!$B$38*INDEX(Curves!$B$4:$AR$4,1,15-Projects!$C$38+1),0)+IF(AND(Projects!$G$39="Yes",Projects!$X$39="Yes",15&gt;=Projects!$C$39,15&lt;Projects!$C$39+Projects!$D$39),Projects!$B$39*INDEX(Curves!$B$4:$AR$4,1,15-Projects!$C$39+1),0)+IF(AND(Projects!$G$40="Yes",Projects!$X$40="Yes",15&gt;=Projects!$C$40,15&lt;Projects!$C$40+Projects!$D$40),Projects!$B$40*INDEX(Curves!$B$4:$AR$4,1,15-Projects!$C$40+1),0)+IF(AND(Projects!$G$41="Yes",Projects!$X$41="Yes",15&gt;=Projects!$C$41,15&lt;Projects!$C$41+Projects!$D$41),Projects!$B$41*INDEX(Curves!$B$4:$AR$4,1,15-Projects!$C$41+1),0)+IF(AND(Projects!$G$42="Yes",Projects!$X$42="Yes",15&gt;=Projects!$C$42,15&lt;Projects!$C$42+Projects!$D$42),Projects!$B$42*INDEX(Curves!$B$4:$AR$4,1,15-Projects!$C$42+1),0)+IF(AND(Projects!$G$43="Yes",Projects!$X$43="Yes",15&gt;=Projects!$C$43,15&lt;Projects!$C$43+Projects!$D$43),Projects!$B$43*INDEX(Curves!$B$4:$AR$4,1,15-Projects!$C$43+1),0)+IF(AND(Projects!$G$44="Yes",Projects!$X$44="Yes",15&gt;=Projects!$C$44,15&lt;Projects!$C$44+Projects!$D$44),Projects!$B$44*INDEX(Curves!$B$4:$AR$4,1,15-Projects!$C$44+1),0)+IF(AND(Projects!$G$45="Yes",Projects!$X$45="Yes",15&gt;=Projects!$C$45,15&lt;Projects!$C$45+Projects!$D$45),Projects!$B$45*INDEX(Curves!$B$4:$AR$4,1,15-Projects!$C$45+1),0)+IF(AND(Projects!$G$46="Yes",Projects!$X$46="Yes",15&gt;=Projects!$C$46,15&lt;Projects!$C$46+Projects!$D$46),Projects!$B$46*INDEX(Curves!$B$4:$AR$4,1,15-Projects!$C$46+1),0)</f>
        <v>0</v>
      </c>
      <c r="U96" s="296" t="n">
        <f aca="false">IF(AND(Projects!$G$17="Yes",Projects!$X$17="Yes",16&gt;=Projects!$C$17,16&lt;Projects!$C$17+Projects!$D$17),Projects!$B$17*INDEX(Curves!$B$4:$AR$4,1,16-Projects!$C$17+1),0)+IF(AND(Projects!$G$18="Yes",Projects!$X$18="Yes",16&gt;=Projects!$C$18,16&lt;Projects!$C$18+Projects!$D$18),Projects!$B$18*INDEX(Curves!$B$4:$AR$4,1,16-Projects!$C$18+1),0)+IF(AND(Projects!$G$19="Yes",Projects!$X$19="Yes",16&gt;=Projects!$C$19,16&lt;Projects!$C$19+Projects!$D$19),Projects!$B$19*INDEX(Curves!$B$10:$AR$10,1,16-Projects!$C$19+1),0)+IF(AND(Projects!$G$20="Yes",Projects!$X$20="Yes",16&gt;=Projects!$C$20,16&lt;Projects!$C$20+Projects!$D$20),Projects!$B$20*INDEX(Curves!$B$4:$AR$4,1,16-Projects!$C$20+1),0)+IF(AND(Projects!$G$21="Yes",Projects!$X$21="Yes",16&gt;=Projects!$C$21,16&lt;Projects!$C$21+Projects!$D$21),Projects!$B$21*INDEX(Curves!$B$11:$AR$11,1,16-Projects!$C$21+1),0)+IF(AND(Projects!$G$22="Yes",Projects!$X$22="Yes",16&gt;=Projects!$C$22,16&lt;Projects!$C$22+Projects!$D$22),Projects!$B$22*INDEX(Curves!$B$4:$AR$4,1,16-Projects!$C$22+1),0)+IF(AND(Projects!$G$23="Yes",Projects!$X$23="Yes",16&gt;=Projects!$C$23,16&lt;Projects!$C$23+Projects!$D$23),Projects!$B$23*INDEX(Curves!$B$4:$AR$4,1,16-Projects!$C$23+1),0)+IF(AND(Projects!$G$24="Yes",Projects!$X$24="Yes",16&gt;=Projects!$C$24,16&lt;Projects!$C$24+Projects!$D$24),Projects!$B$24*INDEX(Curves!$B$4:$AR$4,1,16-Projects!$C$24+1),0)+IF(AND(Projects!$G$25="Yes",Projects!$X$25="Yes",16&gt;=Projects!$C$25,16&lt;Projects!$C$25+Projects!$D$25),Projects!$B$25*INDEX(Curves!$B$4:$AR$4,1,16-Projects!$C$25+1),0)+IF(AND(Projects!$G$26="Yes",Projects!$X$26="Yes",16&gt;=Projects!$C$26,16&lt;Projects!$C$26+Projects!$D$26),Projects!$B$26*INDEX(Curves!$B$4:$AR$4,1,16-Projects!$C$26+1),0)+IF(AND(Projects!$G$27="Yes",Projects!$X$27="Yes",16&gt;=Projects!$C$27,16&lt;Projects!$C$27+Projects!$D$27),Projects!$B$27*INDEX(Curves!$B$4:$AR$4,1,16-Projects!$C$27+1),0)+IF(AND(Projects!$G$28="Yes",Projects!$X$28="Yes",16&gt;=Projects!$C$28,16&lt;Projects!$C$28+Projects!$D$28),Projects!$B$28*INDEX(Curves!$B$4:$AR$4,1,16-Projects!$C$28+1),0)+IF(AND(Projects!$G$29="Yes",Projects!$X$29="Yes",16&gt;=Projects!$C$29,16&lt;Projects!$C$29+Projects!$D$29),Projects!$B$29*INDEX(Curves!$B$4:$AR$4,1,16-Projects!$C$29+1),0)+IF(AND(Projects!$G$30="Yes",Projects!$X$30="Yes",16&gt;=Projects!$C$30,16&lt;Projects!$C$30+Projects!$D$30),Projects!$B$30*INDEX(Curves!$B$4:$AR$4,1,16-Projects!$C$30+1),0)+IF(AND(Projects!$G$31="Yes",Projects!$X$31="Yes",16&gt;=Projects!$C$31,16&lt;Projects!$C$31+Projects!$D$31),Projects!$B$31*INDEX(Curves!$B$4:$AR$4,1,16-Projects!$C$31+1),0)+IF(AND(Projects!$G$32="Yes",Projects!$X$32="Yes",16&gt;=Projects!$C$32,16&lt;Projects!$C$32+Projects!$D$32),Projects!$B$32*INDEX(Curves!$B$4:$AR$4,1,16-Projects!$C$32+1),0)+IF(AND(Projects!$G$33="Yes",Projects!$X$33="Yes",16&gt;=Projects!$C$33,16&lt;Projects!$C$33+Projects!$D$33),Projects!$B$33*INDEX(Curves!$B$4:$AR$4,1,16-Projects!$C$33+1),0)+IF(AND(Projects!$G$34="Yes",Projects!$X$34="Yes",16&gt;=Projects!$C$34,16&lt;Projects!$C$34+Projects!$D$34),Projects!$B$34*INDEX(Curves!$B$4:$AR$4,1,16-Projects!$C$34+1),0)+IF(AND(Projects!$G$35="Yes",Projects!$X$35="Yes",16&gt;=Projects!$C$35,16&lt;Projects!$C$35+Projects!$D$35),Projects!$B$35*INDEX(Curves!$B$4:$AR$4,1,16-Projects!$C$35+1),0)+IF(AND(Projects!$G$36="Yes",Projects!$X$36="Yes",16&gt;=Projects!$C$36,16&lt;Projects!$C$36+Projects!$D$36),Projects!$B$36*INDEX(Curves!$B$4:$AR$4,1,16-Projects!$C$36+1),0)+IF(AND(Projects!$G$37="Yes",Projects!$X$37="Yes",16&gt;=Projects!$C$37,16&lt;Projects!$C$37+Projects!$D$37),Projects!$B$37*INDEX(Curves!$B$4:$AR$4,1,16-Projects!$C$37+1),0)+IF(AND(Projects!$G$38="Yes",Projects!$X$38="Yes",16&gt;=Projects!$C$38,16&lt;Projects!$C$38+Projects!$D$38),Projects!$B$38*INDEX(Curves!$B$4:$AR$4,1,16-Projects!$C$38+1),0)+IF(AND(Projects!$G$39="Yes",Projects!$X$39="Yes",16&gt;=Projects!$C$39,16&lt;Projects!$C$39+Projects!$D$39),Projects!$B$39*INDEX(Curves!$B$4:$AR$4,1,16-Projects!$C$39+1),0)+IF(AND(Projects!$G$40="Yes",Projects!$X$40="Yes",16&gt;=Projects!$C$40,16&lt;Projects!$C$40+Projects!$D$40),Projects!$B$40*INDEX(Curves!$B$4:$AR$4,1,16-Projects!$C$40+1),0)+IF(AND(Projects!$G$41="Yes",Projects!$X$41="Yes",16&gt;=Projects!$C$41,16&lt;Projects!$C$41+Projects!$D$41),Projects!$B$41*INDEX(Curves!$B$4:$AR$4,1,16-Projects!$C$41+1),0)+IF(AND(Projects!$G$42="Yes",Projects!$X$42="Yes",16&gt;=Projects!$C$42,16&lt;Projects!$C$42+Projects!$D$42),Projects!$B$42*INDEX(Curves!$B$4:$AR$4,1,16-Projects!$C$42+1),0)+IF(AND(Projects!$G$43="Yes",Projects!$X$43="Yes",16&gt;=Projects!$C$43,16&lt;Projects!$C$43+Projects!$D$43),Projects!$B$43*INDEX(Curves!$B$4:$AR$4,1,16-Projects!$C$43+1),0)+IF(AND(Projects!$G$44="Yes",Projects!$X$44="Yes",16&gt;=Projects!$C$44,16&lt;Projects!$C$44+Projects!$D$44),Projects!$B$44*INDEX(Curves!$B$4:$AR$4,1,16-Projects!$C$44+1),0)+IF(AND(Projects!$G$45="Yes",Projects!$X$45="Yes",16&gt;=Projects!$C$45,16&lt;Projects!$C$45+Projects!$D$45),Projects!$B$45*INDEX(Curves!$B$4:$AR$4,1,16-Projects!$C$45+1),0)+IF(AND(Projects!$G$46="Yes",Projects!$X$46="Yes",16&gt;=Projects!$C$46,16&lt;Projects!$C$46+Projects!$D$46),Projects!$B$46*INDEX(Curves!$B$4:$AR$4,1,16-Projects!$C$46+1),0)</f>
        <v>0</v>
      </c>
      <c r="V96" s="296" t="n">
        <f aca="false">IF(AND(Projects!$G$17="Yes",Projects!$X$17="Yes",17&gt;=Projects!$C$17,17&lt;Projects!$C$17+Projects!$D$17),Projects!$B$17*INDEX(Curves!$B$4:$AR$4,1,17-Projects!$C$17+1),0)+IF(AND(Projects!$G$18="Yes",Projects!$X$18="Yes",17&gt;=Projects!$C$18,17&lt;Projects!$C$18+Projects!$D$18),Projects!$B$18*INDEX(Curves!$B$4:$AR$4,1,17-Projects!$C$18+1),0)+IF(AND(Projects!$G$19="Yes",Projects!$X$19="Yes",17&gt;=Projects!$C$19,17&lt;Projects!$C$19+Projects!$D$19),Projects!$B$19*INDEX(Curves!$B$10:$AR$10,1,17-Projects!$C$19+1),0)+IF(AND(Projects!$G$20="Yes",Projects!$X$20="Yes",17&gt;=Projects!$C$20,17&lt;Projects!$C$20+Projects!$D$20),Projects!$B$20*INDEX(Curves!$B$4:$AR$4,1,17-Projects!$C$20+1),0)+IF(AND(Projects!$G$21="Yes",Projects!$X$21="Yes",17&gt;=Projects!$C$21,17&lt;Projects!$C$21+Projects!$D$21),Projects!$B$21*INDEX(Curves!$B$11:$AR$11,1,17-Projects!$C$21+1),0)+IF(AND(Projects!$G$22="Yes",Projects!$X$22="Yes",17&gt;=Projects!$C$22,17&lt;Projects!$C$22+Projects!$D$22),Projects!$B$22*INDEX(Curves!$B$4:$AR$4,1,17-Projects!$C$22+1),0)+IF(AND(Projects!$G$23="Yes",Projects!$X$23="Yes",17&gt;=Projects!$C$23,17&lt;Projects!$C$23+Projects!$D$23),Projects!$B$23*INDEX(Curves!$B$4:$AR$4,1,17-Projects!$C$23+1),0)+IF(AND(Projects!$G$24="Yes",Projects!$X$24="Yes",17&gt;=Projects!$C$24,17&lt;Projects!$C$24+Projects!$D$24),Projects!$B$24*INDEX(Curves!$B$4:$AR$4,1,17-Projects!$C$24+1),0)+IF(AND(Projects!$G$25="Yes",Projects!$X$25="Yes",17&gt;=Projects!$C$25,17&lt;Projects!$C$25+Projects!$D$25),Projects!$B$25*INDEX(Curves!$B$4:$AR$4,1,17-Projects!$C$25+1),0)+IF(AND(Projects!$G$26="Yes",Projects!$X$26="Yes",17&gt;=Projects!$C$26,17&lt;Projects!$C$26+Projects!$D$26),Projects!$B$26*INDEX(Curves!$B$4:$AR$4,1,17-Projects!$C$26+1),0)+IF(AND(Projects!$G$27="Yes",Projects!$X$27="Yes",17&gt;=Projects!$C$27,17&lt;Projects!$C$27+Projects!$D$27),Projects!$B$27*INDEX(Curves!$B$4:$AR$4,1,17-Projects!$C$27+1),0)+IF(AND(Projects!$G$28="Yes",Projects!$X$28="Yes",17&gt;=Projects!$C$28,17&lt;Projects!$C$28+Projects!$D$28),Projects!$B$28*INDEX(Curves!$B$4:$AR$4,1,17-Projects!$C$28+1),0)+IF(AND(Projects!$G$29="Yes",Projects!$X$29="Yes",17&gt;=Projects!$C$29,17&lt;Projects!$C$29+Projects!$D$29),Projects!$B$29*INDEX(Curves!$B$4:$AR$4,1,17-Projects!$C$29+1),0)+IF(AND(Projects!$G$30="Yes",Projects!$X$30="Yes",17&gt;=Projects!$C$30,17&lt;Projects!$C$30+Projects!$D$30),Projects!$B$30*INDEX(Curves!$B$4:$AR$4,1,17-Projects!$C$30+1),0)+IF(AND(Projects!$G$31="Yes",Projects!$X$31="Yes",17&gt;=Projects!$C$31,17&lt;Projects!$C$31+Projects!$D$31),Projects!$B$31*INDEX(Curves!$B$4:$AR$4,1,17-Projects!$C$31+1),0)+IF(AND(Projects!$G$32="Yes",Projects!$X$32="Yes",17&gt;=Projects!$C$32,17&lt;Projects!$C$32+Projects!$D$32),Projects!$B$32*INDEX(Curves!$B$4:$AR$4,1,17-Projects!$C$32+1),0)+IF(AND(Projects!$G$33="Yes",Projects!$X$33="Yes",17&gt;=Projects!$C$33,17&lt;Projects!$C$33+Projects!$D$33),Projects!$B$33*INDEX(Curves!$B$4:$AR$4,1,17-Projects!$C$33+1),0)+IF(AND(Projects!$G$34="Yes",Projects!$X$34="Yes",17&gt;=Projects!$C$34,17&lt;Projects!$C$34+Projects!$D$34),Projects!$B$34*INDEX(Curves!$B$4:$AR$4,1,17-Projects!$C$34+1),0)+IF(AND(Projects!$G$35="Yes",Projects!$X$35="Yes",17&gt;=Projects!$C$35,17&lt;Projects!$C$35+Projects!$D$35),Projects!$B$35*INDEX(Curves!$B$4:$AR$4,1,17-Projects!$C$35+1),0)+IF(AND(Projects!$G$36="Yes",Projects!$X$36="Yes",17&gt;=Projects!$C$36,17&lt;Projects!$C$36+Projects!$D$36),Projects!$B$36*INDEX(Curves!$B$4:$AR$4,1,17-Projects!$C$36+1),0)+IF(AND(Projects!$G$37="Yes",Projects!$X$37="Yes",17&gt;=Projects!$C$37,17&lt;Projects!$C$37+Projects!$D$37),Projects!$B$37*INDEX(Curves!$B$4:$AR$4,1,17-Projects!$C$37+1),0)+IF(AND(Projects!$G$38="Yes",Projects!$X$38="Yes",17&gt;=Projects!$C$38,17&lt;Projects!$C$38+Projects!$D$38),Projects!$B$38*INDEX(Curves!$B$4:$AR$4,1,17-Projects!$C$38+1),0)+IF(AND(Projects!$G$39="Yes",Projects!$X$39="Yes",17&gt;=Projects!$C$39,17&lt;Projects!$C$39+Projects!$D$39),Projects!$B$39*INDEX(Curves!$B$4:$AR$4,1,17-Projects!$C$39+1),0)+IF(AND(Projects!$G$40="Yes",Projects!$X$40="Yes",17&gt;=Projects!$C$40,17&lt;Projects!$C$40+Projects!$D$40),Projects!$B$40*INDEX(Curves!$B$4:$AR$4,1,17-Projects!$C$40+1),0)+IF(AND(Projects!$G$41="Yes",Projects!$X$41="Yes",17&gt;=Projects!$C$41,17&lt;Projects!$C$41+Projects!$D$41),Projects!$B$41*INDEX(Curves!$B$4:$AR$4,1,17-Projects!$C$41+1),0)+IF(AND(Projects!$G$42="Yes",Projects!$X$42="Yes",17&gt;=Projects!$C$42,17&lt;Projects!$C$42+Projects!$D$42),Projects!$B$42*INDEX(Curves!$B$4:$AR$4,1,17-Projects!$C$42+1),0)+IF(AND(Projects!$G$43="Yes",Projects!$X$43="Yes",17&gt;=Projects!$C$43,17&lt;Projects!$C$43+Projects!$D$43),Projects!$B$43*INDEX(Curves!$B$4:$AR$4,1,17-Projects!$C$43+1),0)+IF(AND(Projects!$G$44="Yes",Projects!$X$44="Yes",17&gt;=Projects!$C$44,17&lt;Projects!$C$44+Projects!$D$44),Projects!$B$44*INDEX(Curves!$B$4:$AR$4,1,17-Projects!$C$44+1),0)+IF(AND(Projects!$G$45="Yes",Projects!$X$45="Yes",17&gt;=Projects!$C$45,17&lt;Projects!$C$45+Projects!$D$45),Projects!$B$45*INDEX(Curves!$B$4:$AR$4,1,17-Projects!$C$45+1),0)+IF(AND(Projects!$G$46="Yes",Projects!$X$46="Yes",17&gt;=Projects!$C$46,17&lt;Projects!$C$46+Projects!$D$46),Projects!$B$46*INDEX(Curves!$B$4:$AR$4,1,17-Projects!$C$46+1),0)</f>
        <v>0</v>
      </c>
      <c r="W96" s="296" t="n">
        <f aca="false">IF(AND(Projects!$G$17="Yes",Projects!$X$17="Yes",18&gt;=Projects!$C$17,18&lt;Projects!$C$17+Projects!$D$17),Projects!$B$17*INDEX(Curves!$B$4:$AR$4,1,18-Projects!$C$17+1),0)+IF(AND(Projects!$G$18="Yes",Projects!$X$18="Yes",18&gt;=Projects!$C$18,18&lt;Projects!$C$18+Projects!$D$18),Projects!$B$18*INDEX(Curves!$B$4:$AR$4,1,18-Projects!$C$18+1),0)+IF(AND(Projects!$G$19="Yes",Projects!$X$19="Yes",18&gt;=Projects!$C$19,18&lt;Projects!$C$19+Projects!$D$19),Projects!$B$19*INDEX(Curves!$B$10:$AR$10,1,18-Projects!$C$19+1),0)+IF(AND(Projects!$G$20="Yes",Projects!$X$20="Yes",18&gt;=Projects!$C$20,18&lt;Projects!$C$20+Projects!$D$20),Projects!$B$20*INDEX(Curves!$B$4:$AR$4,1,18-Projects!$C$20+1),0)+IF(AND(Projects!$G$21="Yes",Projects!$X$21="Yes",18&gt;=Projects!$C$21,18&lt;Projects!$C$21+Projects!$D$21),Projects!$B$21*INDEX(Curves!$B$11:$AR$11,1,18-Projects!$C$21+1),0)+IF(AND(Projects!$G$22="Yes",Projects!$X$22="Yes",18&gt;=Projects!$C$22,18&lt;Projects!$C$22+Projects!$D$22),Projects!$B$22*INDEX(Curves!$B$4:$AR$4,1,18-Projects!$C$22+1),0)+IF(AND(Projects!$G$23="Yes",Projects!$X$23="Yes",18&gt;=Projects!$C$23,18&lt;Projects!$C$23+Projects!$D$23),Projects!$B$23*INDEX(Curves!$B$4:$AR$4,1,18-Projects!$C$23+1),0)+IF(AND(Projects!$G$24="Yes",Projects!$X$24="Yes",18&gt;=Projects!$C$24,18&lt;Projects!$C$24+Projects!$D$24),Projects!$B$24*INDEX(Curves!$B$4:$AR$4,1,18-Projects!$C$24+1),0)+IF(AND(Projects!$G$25="Yes",Projects!$X$25="Yes",18&gt;=Projects!$C$25,18&lt;Projects!$C$25+Projects!$D$25),Projects!$B$25*INDEX(Curves!$B$4:$AR$4,1,18-Projects!$C$25+1),0)+IF(AND(Projects!$G$26="Yes",Projects!$X$26="Yes",18&gt;=Projects!$C$26,18&lt;Projects!$C$26+Projects!$D$26),Projects!$B$26*INDEX(Curves!$B$4:$AR$4,1,18-Projects!$C$26+1),0)+IF(AND(Projects!$G$27="Yes",Projects!$X$27="Yes",18&gt;=Projects!$C$27,18&lt;Projects!$C$27+Projects!$D$27),Projects!$B$27*INDEX(Curves!$B$4:$AR$4,1,18-Projects!$C$27+1),0)+IF(AND(Projects!$G$28="Yes",Projects!$X$28="Yes",18&gt;=Projects!$C$28,18&lt;Projects!$C$28+Projects!$D$28),Projects!$B$28*INDEX(Curves!$B$4:$AR$4,1,18-Projects!$C$28+1),0)+IF(AND(Projects!$G$29="Yes",Projects!$X$29="Yes",18&gt;=Projects!$C$29,18&lt;Projects!$C$29+Projects!$D$29),Projects!$B$29*INDEX(Curves!$B$4:$AR$4,1,18-Projects!$C$29+1),0)+IF(AND(Projects!$G$30="Yes",Projects!$X$30="Yes",18&gt;=Projects!$C$30,18&lt;Projects!$C$30+Projects!$D$30),Projects!$B$30*INDEX(Curves!$B$4:$AR$4,1,18-Projects!$C$30+1),0)+IF(AND(Projects!$G$31="Yes",Projects!$X$31="Yes",18&gt;=Projects!$C$31,18&lt;Projects!$C$31+Projects!$D$31),Projects!$B$31*INDEX(Curves!$B$4:$AR$4,1,18-Projects!$C$31+1),0)+IF(AND(Projects!$G$32="Yes",Projects!$X$32="Yes",18&gt;=Projects!$C$32,18&lt;Projects!$C$32+Projects!$D$32),Projects!$B$32*INDEX(Curves!$B$4:$AR$4,1,18-Projects!$C$32+1),0)+IF(AND(Projects!$G$33="Yes",Projects!$X$33="Yes",18&gt;=Projects!$C$33,18&lt;Projects!$C$33+Projects!$D$33),Projects!$B$33*INDEX(Curves!$B$4:$AR$4,1,18-Projects!$C$33+1),0)+IF(AND(Projects!$G$34="Yes",Projects!$X$34="Yes",18&gt;=Projects!$C$34,18&lt;Projects!$C$34+Projects!$D$34),Projects!$B$34*INDEX(Curves!$B$4:$AR$4,1,18-Projects!$C$34+1),0)+IF(AND(Projects!$G$35="Yes",Projects!$X$35="Yes",18&gt;=Projects!$C$35,18&lt;Projects!$C$35+Projects!$D$35),Projects!$B$35*INDEX(Curves!$B$4:$AR$4,1,18-Projects!$C$35+1),0)+IF(AND(Projects!$G$36="Yes",Projects!$X$36="Yes",18&gt;=Projects!$C$36,18&lt;Projects!$C$36+Projects!$D$36),Projects!$B$36*INDEX(Curves!$B$4:$AR$4,1,18-Projects!$C$36+1),0)+IF(AND(Projects!$G$37="Yes",Projects!$X$37="Yes",18&gt;=Projects!$C$37,18&lt;Projects!$C$37+Projects!$D$37),Projects!$B$37*INDEX(Curves!$B$4:$AR$4,1,18-Projects!$C$37+1),0)+IF(AND(Projects!$G$38="Yes",Projects!$X$38="Yes",18&gt;=Projects!$C$38,18&lt;Projects!$C$38+Projects!$D$38),Projects!$B$38*INDEX(Curves!$B$4:$AR$4,1,18-Projects!$C$38+1),0)+IF(AND(Projects!$G$39="Yes",Projects!$X$39="Yes",18&gt;=Projects!$C$39,18&lt;Projects!$C$39+Projects!$D$39),Projects!$B$39*INDEX(Curves!$B$4:$AR$4,1,18-Projects!$C$39+1),0)+IF(AND(Projects!$G$40="Yes",Projects!$X$40="Yes",18&gt;=Projects!$C$40,18&lt;Projects!$C$40+Projects!$D$40),Projects!$B$40*INDEX(Curves!$B$4:$AR$4,1,18-Projects!$C$40+1),0)+IF(AND(Projects!$G$41="Yes",Projects!$X$41="Yes",18&gt;=Projects!$C$41,18&lt;Projects!$C$41+Projects!$D$41),Projects!$B$41*INDEX(Curves!$B$4:$AR$4,1,18-Projects!$C$41+1),0)+IF(AND(Projects!$G$42="Yes",Projects!$X$42="Yes",18&gt;=Projects!$C$42,18&lt;Projects!$C$42+Projects!$D$42),Projects!$B$42*INDEX(Curves!$B$4:$AR$4,1,18-Projects!$C$42+1),0)+IF(AND(Projects!$G$43="Yes",Projects!$X$43="Yes",18&gt;=Projects!$C$43,18&lt;Projects!$C$43+Projects!$D$43),Projects!$B$43*INDEX(Curves!$B$4:$AR$4,1,18-Projects!$C$43+1),0)+IF(AND(Projects!$G$44="Yes",Projects!$X$44="Yes",18&gt;=Projects!$C$44,18&lt;Projects!$C$44+Projects!$D$44),Projects!$B$44*INDEX(Curves!$B$4:$AR$4,1,18-Projects!$C$44+1),0)+IF(AND(Projects!$G$45="Yes",Projects!$X$45="Yes",18&gt;=Projects!$C$45,18&lt;Projects!$C$45+Projects!$D$45),Projects!$B$45*INDEX(Curves!$B$4:$AR$4,1,18-Projects!$C$45+1),0)+IF(AND(Projects!$G$46="Yes",Projects!$X$46="Yes",18&gt;=Projects!$C$46,18&lt;Projects!$C$46+Projects!$D$46),Projects!$B$46*INDEX(Curves!$B$4:$AR$4,1,18-Projects!$C$46+1),0)</f>
        <v>0</v>
      </c>
      <c r="X96" s="296" t="n">
        <f aca="false">IF(AND(Projects!$G$17="Yes",Projects!$X$17="Yes",19&gt;=Projects!$C$17,19&lt;Projects!$C$17+Projects!$D$17),Projects!$B$17*INDEX(Curves!$B$4:$AR$4,1,19-Projects!$C$17+1),0)+IF(AND(Projects!$G$18="Yes",Projects!$X$18="Yes",19&gt;=Projects!$C$18,19&lt;Projects!$C$18+Projects!$D$18),Projects!$B$18*INDEX(Curves!$B$4:$AR$4,1,19-Projects!$C$18+1),0)+IF(AND(Projects!$G$19="Yes",Projects!$X$19="Yes",19&gt;=Projects!$C$19,19&lt;Projects!$C$19+Projects!$D$19),Projects!$B$19*INDEX(Curves!$B$10:$AR$10,1,19-Projects!$C$19+1),0)+IF(AND(Projects!$G$20="Yes",Projects!$X$20="Yes",19&gt;=Projects!$C$20,19&lt;Projects!$C$20+Projects!$D$20),Projects!$B$20*INDEX(Curves!$B$4:$AR$4,1,19-Projects!$C$20+1),0)+IF(AND(Projects!$G$21="Yes",Projects!$X$21="Yes",19&gt;=Projects!$C$21,19&lt;Projects!$C$21+Projects!$D$21),Projects!$B$21*INDEX(Curves!$B$11:$AR$11,1,19-Projects!$C$21+1),0)+IF(AND(Projects!$G$22="Yes",Projects!$X$22="Yes",19&gt;=Projects!$C$22,19&lt;Projects!$C$22+Projects!$D$22),Projects!$B$22*INDEX(Curves!$B$4:$AR$4,1,19-Projects!$C$22+1),0)+IF(AND(Projects!$G$23="Yes",Projects!$X$23="Yes",19&gt;=Projects!$C$23,19&lt;Projects!$C$23+Projects!$D$23),Projects!$B$23*INDEX(Curves!$B$4:$AR$4,1,19-Projects!$C$23+1),0)+IF(AND(Projects!$G$24="Yes",Projects!$X$24="Yes",19&gt;=Projects!$C$24,19&lt;Projects!$C$24+Projects!$D$24),Projects!$B$24*INDEX(Curves!$B$4:$AR$4,1,19-Projects!$C$24+1),0)+IF(AND(Projects!$G$25="Yes",Projects!$X$25="Yes",19&gt;=Projects!$C$25,19&lt;Projects!$C$25+Projects!$D$25),Projects!$B$25*INDEX(Curves!$B$4:$AR$4,1,19-Projects!$C$25+1),0)+IF(AND(Projects!$G$26="Yes",Projects!$X$26="Yes",19&gt;=Projects!$C$26,19&lt;Projects!$C$26+Projects!$D$26),Projects!$B$26*INDEX(Curves!$B$4:$AR$4,1,19-Projects!$C$26+1),0)+IF(AND(Projects!$G$27="Yes",Projects!$X$27="Yes",19&gt;=Projects!$C$27,19&lt;Projects!$C$27+Projects!$D$27),Projects!$B$27*INDEX(Curves!$B$4:$AR$4,1,19-Projects!$C$27+1),0)+IF(AND(Projects!$G$28="Yes",Projects!$X$28="Yes",19&gt;=Projects!$C$28,19&lt;Projects!$C$28+Projects!$D$28),Projects!$B$28*INDEX(Curves!$B$4:$AR$4,1,19-Projects!$C$28+1),0)+IF(AND(Projects!$G$29="Yes",Projects!$X$29="Yes",19&gt;=Projects!$C$29,19&lt;Projects!$C$29+Projects!$D$29),Projects!$B$29*INDEX(Curves!$B$4:$AR$4,1,19-Projects!$C$29+1),0)+IF(AND(Projects!$G$30="Yes",Projects!$X$30="Yes",19&gt;=Projects!$C$30,19&lt;Projects!$C$30+Projects!$D$30),Projects!$B$30*INDEX(Curves!$B$4:$AR$4,1,19-Projects!$C$30+1),0)+IF(AND(Projects!$G$31="Yes",Projects!$X$31="Yes",19&gt;=Projects!$C$31,19&lt;Projects!$C$31+Projects!$D$31),Projects!$B$31*INDEX(Curves!$B$4:$AR$4,1,19-Projects!$C$31+1),0)+IF(AND(Projects!$G$32="Yes",Projects!$X$32="Yes",19&gt;=Projects!$C$32,19&lt;Projects!$C$32+Projects!$D$32),Projects!$B$32*INDEX(Curves!$B$4:$AR$4,1,19-Projects!$C$32+1),0)+IF(AND(Projects!$G$33="Yes",Projects!$X$33="Yes",19&gt;=Projects!$C$33,19&lt;Projects!$C$33+Projects!$D$33),Projects!$B$33*INDEX(Curves!$B$4:$AR$4,1,19-Projects!$C$33+1),0)+IF(AND(Projects!$G$34="Yes",Projects!$X$34="Yes",19&gt;=Projects!$C$34,19&lt;Projects!$C$34+Projects!$D$34),Projects!$B$34*INDEX(Curves!$B$4:$AR$4,1,19-Projects!$C$34+1),0)+IF(AND(Projects!$G$35="Yes",Projects!$X$35="Yes",19&gt;=Projects!$C$35,19&lt;Projects!$C$35+Projects!$D$35),Projects!$B$35*INDEX(Curves!$B$4:$AR$4,1,19-Projects!$C$35+1),0)+IF(AND(Projects!$G$36="Yes",Projects!$X$36="Yes",19&gt;=Projects!$C$36,19&lt;Projects!$C$36+Projects!$D$36),Projects!$B$36*INDEX(Curves!$B$4:$AR$4,1,19-Projects!$C$36+1),0)+IF(AND(Projects!$G$37="Yes",Projects!$X$37="Yes",19&gt;=Projects!$C$37,19&lt;Projects!$C$37+Projects!$D$37),Projects!$B$37*INDEX(Curves!$B$4:$AR$4,1,19-Projects!$C$37+1),0)+IF(AND(Projects!$G$38="Yes",Projects!$X$38="Yes",19&gt;=Projects!$C$38,19&lt;Projects!$C$38+Projects!$D$38),Projects!$B$38*INDEX(Curves!$B$4:$AR$4,1,19-Projects!$C$38+1),0)+IF(AND(Projects!$G$39="Yes",Projects!$X$39="Yes",19&gt;=Projects!$C$39,19&lt;Projects!$C$39+Projects!$D$39),Projects!$B$39*INDEX(Curves!$B$4:$AR$4,1,19-Projects!$C$39+1),0)+IF(AND(Projects!$G$40="Yes",Projects!$X$40="Yes",19&gt;=Projects!$C$40,19&lt;Projects!$C$40+Projects!$D$40),Projects!$B$40*INDEX(Curves!$B$4:$AR$4,1,19-Projects!$C$40+1),0)+IF(AND(Projects!$G$41="Yes",Projects!$X$41="Yes",19&gt;=Projects!$C$41,19&lt;Projects!$C$41+Projects!$D$41),Projects!$B$41*INDEX(Curves!$B$4:$AR$4,1,19-Projects!$C$41+1),0)+IF(AND(Projects!$G$42="Yes",Projects!$X$42="Yes",19&gt;=Projects!$C$42,19&lt;Projects!$C$42+Projects!$D$42),Projects!$B$42*INDEX(Curves!$B$4:$AR$4,1,19-Projects!$C$42+1),0)+IF(AND(Projects!$G$43="Yes",Projects!$X$43="Yes",19&gt;=Projects!$C$43,19&lt;Projects!$C$43+Projects!$D$43),Projects!$B$43*INDEX(Curves!$B$4:$AR$4,1,19-Projects!$C$43+1),0)+IF(AND(Projects!$G$44="Yes",Projects!$X$44="Yes",19&gt;=Projects!$C$44,19&lt;Projects!$C$44+Projects!$D$44),Projects!$B$44*INDEX(Curves!$B$4:$AR$4,1,19-Projects!$C$44+1),0)+IF(AND(Projects!$G$45="Yes",Projects!$X$45="Yes",19&gt;=Projects!$C$45,19&lt;Projects!$C$45+Projects!$D$45),Projects!$B$45*INDEX(Curves!$B$4:$AR$4,1,19-Projects!$C$45+1),0)+IF(AND(Projects!$G$46="Yes",Projects!$X$46="Yes",19&gt;=Projects!$C$46,19&lt;Projects!$C$46+Projects!$D$46),Projects!$B$46*INDEX(Curves!$B$4:$AR$4,1,19-Projects!$C$46+1),0)</f>
        <v>663623.20798986</v>
      </c>
      <c r="Y96" s="296" t="n">
        <f aca="false">IF(AND(Projects!$G$17="Yes",Projects!$X$17="Yes",20&gt;=Projects!$C$17,20&lt;Projects!$C$17+Projects!$D$17),Projects!$B$17*INDEX(Curves!$B$4:$AR$4,1,20-Projects!$C$17+1),0)+IF(AND(Projects!$G$18="Yes",Projects!$X$18="Yes",20&gt;=Projects!$C$18,20&lt;Projects!$C$18+Projects!$D$18),Projects!$B$18*INDEX(Curves!$B$4:$AR$4,1,20-Projects!$C$18+1),0)+IF(AND(Projects!$G$19="Yes",Projects!$X$19="Yes",20&gt;=Projects!$C$19,20&lt;Projects!$C$19+Projects!$D$19),Projects!$B$19*INDEX(Curves!$B$10:$AR$10,1,20-Projects!$C$19+1),0)+IF(AND(Projects!$G$20="Yes",Projects!$X$20="Yes",20&gt;=Projects!$C$20,20&lt;Projects!$C$20+Projects!$D$20),Projects!$B$20*INDEX(Curves!$B$4:$AR$4,1,20-Projects!$C$20+1),0)+IF(AND(Projects!$G$21="Yes",Projects!$X$21="Yes",20&gt;=Projects!$C$21,20&lt;Projects!$C$21+Projects!$D$21),Projects!$B$21*INDEX(Curves!$B$11:$AR$11,1,20-Projects!$C$21+1),0)+IF(AND(Projects!$G$22="Yes",Projects!$X$22="Yes",20&gt;=Projects!$C$22,20&lt;Projects!$C$22+Projects!$D$22),Projects!$B$22*INDEX(Curves!$B$4:$AR$4,1,20-Projects!$C$22+1),0)+IF(AND(Projects!$G$23="Yes",Projects!$X$23="Yes",20&gt;=Projects!$C$23,20&lt;Projects!$C$23+Projects!$D$23),Projects!$B$23*INDEX(Curves!$B$4:$AR$4,1,20-Projects!$C$23+1),0)+IF(AND(Projects!$G$24="Yes",Projects!$X$24="Yes",20&gt;=Projects!$C$24,20&lt;Projects!$C$24+Projects!$D$24),Projects!$B$24*INDEX(Curves!$B$4:$AR$4,1,20-Projects!$C$24+1),0)+IF(AND(Projects!$G$25="Yes",Projects!$X$25="Yes",20&gt;=Projects!$C$25,20&lt;Projects!$C$25+Projects!$D$25),Projects!$B$25*INDEX(Curves!$B$4:$AR$4,1,20-Projects!$C$25+1),0)+IF(AND(Projects!$G$26="Yes",Projects!$X$26="Yes",20&gt;=Projects!$C$26,20&lt;Projects!$C$26+Projects!$D$26),Projects!$B$26*INDEX(Curves!$B$4:$AR$4,1,20-Projects!$C$26+1),0)+IF(AND(Projects!$G$27="Yes",Projects!$X$27="Yes",20&gt;=Projects!$C$27,20&lt;Projects!$C$27+Projects!$D$27),Projects!$B$27*INDEX(Curves!$B$4:$AR$4,1,20-Projects!$C$27+1),0)+IF(AND(Projects!$G$28="Yes",Projects!$X$28="Yes",20&gt;=Projects!$C$28,20&lt;Projects!$C$28+Projects!$D$28),Projects!$B$28*INDEX(Curves!$B$4:$AR$4,1,20-Projects!$C$28+1),0)+IF(AND(Projects!$G$29="Yes",Projects!$X$29="Yes",20&gt;=Projects!$C$29,20&lt;Projects!$C$29+Projects!$D$29),Projects!$B$29*INDEX(Curves!$B$4:$AR$4,1,20-Projects!$C$29+1),0)+IF(AND(Projects!$G$30="Yes",Projects!$X$30="Yes",20&gt;=Projects!$C$30,20&lt;Projects!$C$30+Projects!$D$30),Projects!$B$30*INDEX(Curves!$B$4:$AR$4,1,20-Projects!$C$30+1),0)+IF(AND(Projects!$G$31="Yes",Projects!$X$31="Yes",20&gt;=Projects!$C$31,20&lt;Projects!$C$31+Projects!$D$31),Projects!$B$31*INDEX(Curves!$B$4:$AR$4,1,20-Projects!$C$31+1),0)+IF(AND(Projects!$G$32="Yes",Projects!$X$32="Yes",20&gt;=Projects!$C$32,20&lt;Projects!$C$32+Projects!$D$32),Projects!$B$32*INDEX(Curves!$B$4:$AR$4,1,20-Projects!$C$32+1),0)+IF(AND(Projects!$G$33="Yes",Projects!$X$33="Yes",20&gt;=Projects!$C$33,20&lt;Projects!$C$33+Projects!$D$33),Projects!$B$33*INDEX(Curves!$B$4:$AR$4,1,20-Projects!$C$33+1),0)+IF(AND(Projects!$G$34="Yes",Projects!$X$34="Yes",20&gt;=Projects!$C$34,20&lt;Projects!$C$34+Projects!$D$34),Projects!$B$34*INDEX(Curves!$B$4:$AR$4,1,20-Projects!$C$34+1),0)+IF(AND(Projects!$G$35="Yes",Projects!$X$35="Yes",20&gt;=Projects!$C$35,20&lt;Projects!$C$35+Projects!$D$35),Projects!$B$35*INDEX(Curves!$B$4:$AR$4,1,20-Projects!$C$35+1),0)+IF(AND(Projects!$G$36="Yes",Projects!$X$36="Yes",20&gt;=Projects!$C$36,20&lt;Projects!$C$36+Projects!$D$36),Projects!$B$36*INDEX(Curves!$B$4:$AR$4,1,20-Projects!$C$36+1),0)+IF(AND(Projects!$G$37="Yes",Projects!$X$37="Yes",20&gt;=Projects!$C$37,20&lt;Projects!$C$37+Projects!$D$37),Projects!$B$37*INDEX(Curves!$B$4:$AR$4,1,20-Projects!$C$37+1),0)+IF(AND(Projects!$G$38="Yes",Projects!$X$38="Yes",20&gt;=Projects!$C$38,20&lt;Projects!$C$38+Projects!$D$38),Projects!$B$38*INDEX(Curves!$B$4:$AR$4,1,20-Projects!$C$38+1),0)+IF(AND(Projects!$G$39="Yes",Projects!$X$39="Yes",20&gt;=Projects!$C$39,20&lt;Projects!$C$39+Projects!$D$39),Projects!$B$39*INDEX(Curves!$B$4:$AR$4,1,20-Projects!$C$39+1),0)+IF(AND(Projects!$G$40="Yes",Projects!$X$40="Yes",20&gt;=Projects!$C$40,20&lt;Projects!$C$40+Projects!$D$40),Projects!$B$40*INDEX(Curves!$B$4:$AR$4,1,20-Projects!$C$40+1),0)+IF(AND(Projects!$G$41="Yes",Projects!$X$41="Yes",20&gt;=Projects!$C$41,20&lt;Projects!$C$41+Projects!$D$41),Projects!$B$41*INDEX(Curves!$B$4:$AR$4,1,20-Projects!$C$41+1),0)+IF(AND(Projects!$G$42="Yes",Projects!$X$42="Yes",20&gt;=Projects!$C$42,20&lt;Projects!$C$42+Projects!$D$42),Projects!$B$42*INDEX(Curves!$B$4:$AR$4,1,20-Projects!$C$42+1),0)+IF(AND(Projects!$G$43="Yes",Projects!$X$43="Yes",20&gt;=Projects!$C$43,20&lt;Projects!$C$43+Projects!$D$43),Projects!$B$43*INDEX(Curves!$B$4:$AR$4,1,20-Projects!$C$43+1),0)+IF(AND(Projects!$G$44="Yes",Projects!$X$44="Yes",20&gt;=Projects!$C$44,20&lt;Projects!$C$44+Projects!$D$44),Projects!$B$44*INDEX(Curves!$B$4:$AR$4,1,20-Projects!$C$44+1),0)+IF(AND(Projects!$G$45="Yes",Projects!$X$45="Yes",20&gt;=Projects!$C$45,20&lt;Projects!$C$45+Projects!$D$45),Projects!$B$45*INDEX(Curves!$B$4:$AR$4,1,20-Projects!$C$45+1),0)+IF(AND(Projects!$G$46="Yes",Projects!$X$46="Yes",20&gt;=Projects!$C$46,20&lt;Projects!$C$46+Projects!$D$46),Projects!$B$46*INDEX(Curves!$B$4:$AR$4,1,20-Projects!$C$46+1),0)</f>
        <v>819887.61613138</v>
      </c>
      <c r="Z96" s="296" t="n">
        <f aca="false">IF(AND(Projects!$G$17="Yes",Projects!$X$17="Yes",21&gt;=Projects!$C$17,21&lt;Projects!$C$17+Projects!$D$17),Projects!$B$17*INDEX(Curves!$B$4:$AR$4,1,21-Projects!$C$17+1),0)+IF(AND(Projects!$G$18="Yes",Projects!$X$18="Yes",21&gt;=Projects!$C$18,21&lt;Projects!$C$18+Projects!$D$18),Projects!$B$18*INDEX(Curves!$B$4:$AR$4,1,21-Projects!$C$18+1),0)+IF(AND(Projects!$G$19="Yes",Projects!$X$19="Yes",21&gt;=Projects!$C$19,21&lt;Projects!$C$19+Projects!$D$19),Projects!$B$19*INDEX(Curves!$B$10:$AR$10,1,21-Projects!$C$19+1),0)+IF(AND(Projects!$G$20="Yes",Projects!$X$20="Yes",21&gt;=Projects!$C$20,21&lt;Projects!$C$20+Projects!$D$20),Projects!$B$20*INDEX(Curves!$B$4:$AR$4,1,21-Projects!$C$20+1),0)+IF(AND(Projects!$G$21="Yes",Projects!$X$21="Yes",21&gt;=Projects!$C$21,21&lt;Projects!$C$21+Projects!$D$21),Projects!$B$21*INDEX(Curves!$B$11:$AR$11,1,21-Projects!$C$21+1),0)+IF(AND(Projects!$G$22="Yes",Projects!$X$22="Yes",21&gt;=Projects!$C$22,21&lt;Projects!$C$22+Projects!$D$22),Projects!$B$22*INDEX(Curves!$B$4:$AR$4,1,21-Projects!$C$22+1),0)+IF(AND(Projects!$G$23="Yes",Projects!$X$23="Yes",21&gt;=Projects!$C$23,21&lt;Projects!$C$23+Projects!$D$23),Projects!$B$23*INDEX(Curves!$B$4:$AR$4,1,21-Projects!$C$23+1),0)+IF(AND(Projects!$G$24="Yes",Projects!$X$24="Yes",21&gt;=Projects!$C$24,21&lt;Projects!$C$24+Projects!$D$24),Projects!$B$24*INDEX(Curves!$B$4:$AR$4,1,21-Projects!$C$24+1),0)+IF(AND(Projects!$G$25="Yes",Projects!$X$25="Yes",21&gt;=Projects!$C$25,21&lt;Projects!$C$25+Projects!$D$25),Projects!$B$25*INDEX(Curves!$B$4:$AR$4,1,21-Projects!$C$25+1),0)+IF(AND(Projects!$G$26="Yes",Projects!$X$26="Yes",21&gt;=Projects!$C$26,21&lt;Projects!$C$26+Projects!$D$26),Projects!$B$26*INDEX(Curves!$B$4:$AR$4,1,21-Projects!$C$26+1),0)+IF(AND(Projects!$G$27="Yes",Projects!$X$27="Yes",21&gt;=Projects!$C$27,21&lt;Projects!$C$27+Projects!$D$27),Projects!$B$27*INDEX(Curves!$B$4:$AR$4,1,21-Projects!$C$27+1),0)+IF(AND(Projects!$G$28="Yes",Projects!$X$28="Yes",21&gt;=Projects!$C$28,21&lt;Projects!$C$28+Projects!$D$28),Projects!$B$28*INDEX(Curves!$B$4:$AR$4,1,21-Projects!$C$28+1),0)+IF(AND(Projects!$G$29="Yes",Projects!$X$29="Yes",21&gt;=Projects!$C$29,21&lt;Projects!$C$29+Projects!$D$29),Projects!$B$29*INDEX(Curves!$B$4:$AR$4,1,21-Projects!$C$29+1),0)+IF(AND(Projects!$G$30="Yes",Projects!$X$30="Yes",21&gt;=Projects!$C$30,21&lt;Projects!$C$30+Projects!$D$30),Projects!$B$30*INDEX(Curves!$B$4:$AR$4,1,21-Projects!$C$30+1),0)+IF(AND(Projects!$G$31="Yes",Projects!$X$31="Yes",21&gt;=Projects!$C$31,21&lt;Projects!$C$31+Projects!$D$31),Projects!$B$31*INDEX(Curves!$B$4:$AR$4,1,21-Projects!$C$31+1),0)+IF(AND(Projects!$G$32="Yes",Projects!$X$32="Yes",21&gt;=Projects!$C$32,21&lt;Projects!$C$32+Projects!$D$32),Projects!$B$32*INDEX(Curves!$B$4:$AR$4,1,21-Projects!$C$32+1),0)+IF(AND(Projects!$G$33="Yes",Projects!$X$33="Yes",21&gt;=Projects!$C$33,21&lt;Projects!$C$33+Projects!$D$33),Projects!$B$33*INDEX(Curves!$B$4:$AR$4,1,21-Projects!$C$33+1),0)+IF(AND(Projects!$G$34="Yes",Projects!$X$34="Yes",21&gt;=Projects!$C$34,21&lt;Projects!$C$34+Projects!$D$34),Projects!$B$34*INDEX(Curves!$B$4:$AR$4,1,21-Projects!$C$34+1),0)+IF(AND(Projects!$G$35="Yes",Projects!$X$35="Yes",21&gt;=Projects!$C$35,21&lt;Projects!$C$35+Projects!$D$35),Projects!$B$35*INDEX(Curves!$B$4:$AR$4,1,21-Projects!$C$35+1),0)+IF(AND(Projects!$G$36="Yes",Projects!$X$36="Yes",21&gt;=Projects!$C$36,21&lt;Projects!$C$36+Projects!$D$36),Projects!$B$36*INDEX(Curves!$B$4:$AR$4,1,21-Projects!$C$36+1),0)+IF(AND(Projects!$G$37="Yes",Projects!$X$37="Yes",21&gt;=Projects!$C$37,21&lt;Projects!$C$37+Projects!$D$37),Projects!$B$37*INDEX(Curves!$B$4:$AR$4,1,21-Projects!$C$37+1),0)+IF(AND(Projects!$G$38="Yes",Projects!$X$38="Yes",21&gt;=Projects!$C$38,21&lt;Projects!$C$38+Projects!$D$38),Projects!$B$38*INDEX(Curves!$B$4:$AR$4,1,21-Projects!$C$38+1),0)+IF(AND(Projects!$G$39="Yes",Projects!$X$39="Yes",21&gt;=Projects!$C$39,21&lt;Projects!$C$39+Projects!$D$39),Projects!$B$39*INDEX(Curves!$B$4:$AR$4,1,21-Projects!$C$39+1),0)+IF(AND(Projects!$G$40="Yes",Projects!$X$40="Yes",21&gt;=Projects!$C$40,21&lt;Projects!$C$40+Projects!$D$40),Projects!$B$40*INDEX(Curves!$B$4:$AR$4,1,21-Projects!$C$40+1),0)+IF(AND(Projects!$G$41="Yes",Projects!$X$41="Yes",21&gt;=Projects!$C$41,21&lt;Projects!$C$41+Projects!$D$41),Projects!$B$41*INDEX(Curves!$B$4:$AR$4,1,21-Projects!$C$41+1),0)+IF(AND(Projects!$G$42="Yes",Projects!$X$42="Yes",21&gt;=Projects!$C$42,21&lt;Projects!$C$42+Projects!$D$42),Projects!$B$42*INDEX(Curves!$B$4:$AR$4,1,21-Projects!$C$42+1),0)+IF(AND(Projects!$G$43="Yes",Projects!$X$43="Yes",21&gt;=Projects!$C$43,21&lt;Projects!$C$43+Projects!$D$43),Projects!$B$43*INDEX(Curves!$B$4:$AR$4,1,21-Projects!$C$43+1),0)+IF(AND(Projects!$G$44="Yes",Projects!$X$44="Yes",21&gt;=Projects!$C$44,21&lt;Projects!$C$44+Projects!$D$44),Projects!$B$44*INDEX(Curves!$B$4:$AR$4,1,21-Projects!$C$44+1),0)+IF(AND(Projects!$G$45="Yes",Projects!$X$45="Yes",21&gt;=Projects!$C$45,21&lt;Projects!$C$45+Projects!$D$45),Projects!$B$45*INDEX(Curves!$B$4:$AR$4,1,21-Projects!$C$45+1),0)+IF(AND(Projects!$G$46="Yes",Projects!$X$46="Yes",21&gt;=Projects!$C$46,21&lt;Projects!$C$46+Projects!$D$46),Projects!$B$46*INDEX(Curves!$B$4:$AR$4,1,21-Projects!$C$46+1),0)</f>
        <v>988089.58395956</v>
      </c>
      <c r="AA96" s="296" t="n">
        <f aca="false">IF(AND(Projects!$G$17="Yes",Projects!$X$17="Yes",22&gt;=Projects!$C$17,22&lt;Projects!$C$17+Projects!$D$17),Projects!$B$17*INDEX(Curves!$B$4:$AR$4,1,22-Projects!$C$17+1),0)+IF(AND(Projects!$G$18="Yes",Projects!$X$18="Yes",22&gt;=Projects!$C$18,22&lt;Projects!$C$18+Projects!$D$18),Projects!$B$18*INDEX(Curves!$B$4:$AR$4,1,22-Projects!$C$18+1),0)+IF(AND(Projects!$G$19="Yes",Projects!$X$19="Yes",22&gt;=Projects!$C$19,22&lt;Projects!$C$19+Projects!$D$19),Projects!$B$19*INDEX(Curves!$B$10:$AR$10,1,22-Projects!$C$19+1),0)+IF(AND(Projects!$G$20="Yes",Projects!$X$20="Yes",22&gt;=Projects!$C$20,22&lt;Projects!$C$20+Projects!$D$20),Projects!$B$20*INDEX(Curves!$B$4:$AR$4,1,22-Projects!$C$20+1),0)+IF(AND(Projects!$G$21="Yes",Projects!$X$21="Yes",22&gt;=Projects!$C$21,22&lt;Projects!$C$21+Projects!$D$21),Projects!$B$21*INDEX(Curves!$B$11:$AR$11,1,22-Projects!$C$21+1),0)+IF(AND(Projects!$G$22="Yes",Projects!$X$22="Yes",22&gt;=Projects!$C$22,22&lt;Projects!$C$22+Projects!$D$22),Projects!$B$22*INDEX(Curves!$B$4:$AR$4,1,22-Projects!$C$22+1),0)+IF(AND(Projects!$G$23="Yes",Projects!$X$23="Yes",22&gt;=Projects!$C$23,22&lt;Projects!$C$23+Projects!$D$23),Projects!$B$23*INDEX(Curves!$B$4:$AR$4,1,22-Projects!$C$23+1),0)+IF(AND(Projects!$G$24="Yes",Projects!$X$24="Yes",22&gt;=Projects!$C$24,22&lt;Projects!$C$24+Projects!$D$24),Projects!$B$24*INDEX(Curves!$B$4:$AR$4,1,22-Projects!$C$24+1),0)+IF(AND(Projects!$G$25="Yes",Projects!$X$25="Yes",22&gt;=Projects!$C$25,22&lt;Projects!$C$25+Projects!$D$25),Projects!$B$25*INDEX(Curves!$B$4:$AR$4,1,22-Projects!$C$25+1),0)+IF(AND(Projects!$G$26="Yes",Projects!$X$26="Yes",22&gt;=Projects!$C$26,22&lt;Projects!$C$26+Projects!$D$26),Projects!$B$26*INDEX(Curves!$B$4:$AR$4,1,22-Projects!$C$26+1),0)+IF(AND(Projects!$G$27="Yes",Projects!$X$27="Yes",22&gt;=Projects!$C$27,22&lt;Projects!$C$27+Projects!$D$27),Projects!$B$27*INDEX(Curves!$B$4:$AR$4,1,22-Projects!$C$27+1),0)+IF(AND(Projects!$G$28="Yes",Projects!$X$28="Yes",22&gt;=Projects!$C$28,22&lt;Projects!$C$28+Projects!$D$28),Projects!$B$28*INDEX(Curves!$B$4:$AR$4,1,22-Projects!$C$28+1),0)+IF(AND(Projects!$G$29="Yes",Projects!$X$29="Yes",22&gt;=Projects!$C$29,22&lt;Projects!$C$29+Projects!$D$29),Projects!$B$29*INDEX(Curves!$B$4:$AR$4,1,22-Projects!$C$29+1),0)+IF(AND(Projects!$G$30="Yes",Projects!$X$30="Yes",22&gt;=Projects!$C$30,22&lt;Projects!$C$30+Projects!$D$30),Projects!$B$30*INDEX(Curves!$B$4:$AR$4,1,22-Projects!$C$30+1),0)+IF(AND(Projects!$G$31="Yes",Projects!$X$31="Yes",22&gt;=Projects!$C$31,22&lt;Projects!$C$31+Projects!$D$31),Projects!$B$31*INDEX(Curves!$B$4:$AR$4,1,22-Projects!$C$31+1),0)+IF(AND(Projects!$G$32="Yes",Projects!$X$32="Yes",22&gt;=Projects!$C$32,22&lt;Projects!$C$32+Projects!$D$32),Projects!$B$32*INDEX(Curves!$B$4:$AR$4,1,22-Projects!$C$32+1),0)+IF(AND(Projects!$G$33="Yes",Projects!$X$33="Yes",22&gt;=Projects!$C$33,22&lt;Projects!$C$33+Projects!$D$33),Projects!$B$33*INDEX(Curves!$B$4:$AR$4,1,22-Projects!$C$33+1),0)+IF(AND(Projects!$G$34="Yes",Projects!$X$34="Yes",22&gt;=Projects!$C$34,22&lt;Projects!$C$34+Projects!$D$34),Projects!$B$34*INDEX(Curves!$B$4:$AR$4,1,22-Projects!$C$34+1),0)+IF(AND(Projects!$G$35="Yes",Projects!$X$35="Yes",22&gt;=Projects!$C$35,22&lt;Projects!$C$35+Projects!$D$35),Projects!$B$35*INDEX(Curves!$B$4:$AR$4,1,22-Projects!$C$35+1),0)+IF(AND(Projects!$G$36="Yes",Projects!$X$36="Yes",22&gt;=Projects!$C$36,22&lt;Projects!$C$36+Projects!$D$36),Projects!$B$36*INDEX(Curves!$B$4:$AR$4,1,22-Projects!$C$36+1),0)+IF(AND(Projects!$G$37="Yes",Projects!$X$37="Yes",22&gt;=Projects!$C$37,22&lt;Projects!$C$37+Projects!$D$37),Projects!$B$37*INDEX(Curves!$B$4:$AR$4,1,22-Projects!$C$37+1),0)+IF(AND(Projects!$G$38="Yes",Projects!$X$38="Yes",22&gt;=Projects!$C$38,22&lt;Projects!$C$38+Projects!$D$38),Projects!$B$38*INDEX(Curves!$B$4:$AR$4,1,22-Projects!$C$38+1),0)+IF(AND(Projects!$G$39="Yes",Projects!$X$39="Yes",22&gt;=Projects!$C$39,22&lt;Projects!$C$39+Projects!$D$39),Projects!$B$39*INDEX(Curves!$B$4:$AR$4,1,22-Projects!$C$39+1),0)+IF(AND(Projects!$G$40="Yes",Projects!$X$40="Yes",22&gt;=Projects!$C$40,22&lt;Projects!$C$40+Projects!$D$40),Projects!$B$40*INDEX(Curves!$B$4:$AR$4,1,22-Projects!$C$40+1),0)+IF(AND(Projects!$G$41="Yes",Projects!$X$41="Yes",22&gt;=Projects!$C$41,22&lt;Projects!$C$41+Projects!$D$41),Projects!$B$41*INDEX(Curves!$B$4:$AR$4,1,22-Projects!$C$41+1),0)+IF(AND(Projects!$G$42="Yes",Projects!$X$42="Yes",22&gt;=Projects!$C$42,22&lt;Projects!$C$42+Projects!$D$42),Projects!$B$42*INDEX(Curves!$B$4:$AR$4,1,22-Projects!$C$42+1),0)+IF(AND(Projects!$G$43="Yes",Projects!$X$43="Yes",22&gt;=Projects!$C$43,22&lt;Projects!$C$43+Projects!$D$43),Projects!$B$43*INDEX(Curves!$B$4:$AR$4,1,22-Projects!$C$43+1),0)+IF(AND(Projects!$G$44="Yes",Projects!$X$44="Yes",22&gt;=Projects!$C$44,22&lt;Projects!$C$44+Projects!$D$44),Projects!$B$44*INDEX(Curves!$B$4:$AR$4,1,22-Projects!$C$44+1),0)+IF(AND(Projects!$G$45="Yes",Projects!$X$45="Yes",22&gt;=Projects!$C$45,22&lt;Projects!$C$45+Projects!$D$45),Projects!$B$45*INDEX(Curves!$B$4:$AR$4,1,22-Projects!$C$45+1),0)+IF(AND(Projects!$G$46="Yes",Projects!$X$46="Yes",22&gt;=Projects!$C$46,22&lt;Projects!$C$46+Projects!$D$46),Projects!$B$46*INDEX(Curves!$B$4:$AR$4,1,22-Projects!$C$46+1),0)</f>
        <v>1161522.05487896</v>
      </c>
      <c r="AB96" s="296" t="n">
        <f aca="false">IF(AND(Projects!$G$17="Yes",Projects!$X$17="Yes",23&gt;=Projects!$C$17,23&lt;Projects!$C$17+Projects!$D$17),Projects!$B$17*INDEX(Curves!$B$4:$AR$4,1,23-Projects!$C$17+1),0)+IF(AND(Projects!$G$18="Yes",Projects!$X$18="Yes",23&gt;=Projects!$C$18,23&lt;Projects!$C$18+Projects!$D$18),Projects!$B$18*INDEX(Curves!$B$4:$AR$4,1,23-Projects!$C$18+1),0)+IF(AND(Projects!$G$19="Yes",Projects!$X$19="Yes",23&gt;=Projects!$C$19,23&lt;Projects!$C$19+Projects!$D$19),Projects!$B$19*INDEX(Curves!$B$10:$AR$10,1,23-Projects!$C$19+1),0)+IF(AND(Projects!$G$20="Yes",Projects!$X$20="Yes",23&gt;=Projects!$C$20,23&lt;Projects!$C$20+Projects!$D$20),Projects!$B$20*INDEX(Curves!$B$4:$AR$4,1,23-Projects!$C$20+1),0)+IF(AND(Projects!$G$21="Yes",Projects!$X$21="Yes",23&gt;=Projects!$C$21,23&lt;Projects!$C$21+Projects!$D$21),Projects!$B$21*INDEX(Curves!$B$11:$AR$11,1,23-Projects!$C$21+1),0)+IF(AND(Projects!$G$22="Yes",Projects!$X$22="Yes",23&gt;=Projects!$C$22,23&lt;Projects!$C$22+Projects!$D$22),Projects!$B$22*INDEX(Curves!$B$4:$AR$4,1,23-Projects!$C$22+1),0)+IF(AND(Projects!$G$23="Yes",Projects!$X$23="Yes",23&gt;=Projects!$C$23,23&lt;Projects!$C$23+Projects!$D$23),Projects!$B$23*INDEX(Curves!$B$4:$AR$4,1,23-Projects!$C$23+1),0)+IF(AND(Projects!$G$24="Yes",Projects!$X$24="Yes",23&gt;=Projects!$C$24,23&lt;Projects!$C$24+Projects!$D$24),Projects!$B$24*INDEX(Curves!$B$4:$AR$4,1,23-Projects!$C$24+1),0)+IF(AND(Projects!$G$25="Yes",Projects!$X$25="Yes",23&gt;=Projects!$C$25,23&lt;Projects!$C$25+Projects!$D$25),Projects!$B$25*INDEX(Curves!$B$4:$AR$4,1,23-Projects!$C$25+1),0)+IF(AND(Projects!$G$26="Yes",Projects!$X$26="Yes",23&gt;=Projects!$C$26,23&lt;Projects!$C$26+Projects!$D$26),Projects!$B$26*INDEX(Curves!$B$4:$AR$4,1,23-Projects!$C$26+1),0)+IF(AND(Projects!$G$27="Yes",Projects!$X$27="Yes",23&gt;=Projects!$C$27,23&lt;Projects!$C$27+Projects!$D$27),Projects!$B$27*INDEX(Curves!$B$4:$AR$4,1,23-Projects!$C$27+1),0)+IF(AND(Projects!$G$28="Yes",Projects!$X$28="Yes",23&gt;=Projects!$C$28,23&lt;Projects!$C$28+Projects!$D$28),Projects!$B$28*INDEX(Curves!$B$4:$AR$4,1,23-Projects!$C$28+1),0)+IF(AND(Projects!$G$29="Yes",Projects!$X$29="Yes",23&gt;=Projects!$C$29,23&lt;Projects!$C$29+Projects!$D$29),Projects!$B$29*INDEX(Curves!$B$4:$AR$4,1,23-Projects!$C$29+1),0)+IF(AND(Projects!$G$30="Yes",Projects!$X$30="Yes",23&gt;=Projects!$C$30,23&lt;Projects!$C$30+Projects!$D$30),Projects!$B$30*INDEX(Curves!$B$4:$AR$4,1,23-Projects!$C$30+1),0)+IF(AND(Projects!$G$31="Yes",Projects!$X$31="Yes",23&gt;=Projects!$C$31,23&lt;Projects!$C$31+Projects!$D$31),Projects!$B$31*INDEX(Curves!$B$4:$AR$4,1,23-Projects!$C$31+1),0)+IF(AND(Projects!$G$32="Yes",Projects!$X$32="Yes",23&gt;=Projects!$C$32,23&lt;Projects!$C$32+Projects!$D$32),Projects!$B$32*INDEX(Curves!$B$4:$AR$4,1,23-Projects!$C$32+1),0)+IF(AND(Projects!$G$33="Yes",Projects!$X$33="Yes",23&gt;=Projects!$C$33,23&lt;Projects!$C$33+Projects!$D$33),Projects!$B$33*INDEX(Curves!$B$4:$AR$4,1,23-Projects!$C$33+1),0)+IF(AND(Projects!$G$34="Yes",Projects!$X$34="Yes",23&gt;=Projects!$C$34,23&lt;Projects!$C$34+Projects!$D$34),Projects!$B$34*INDEX(Curves!$B$4:$AR$4,1,23-Projects!$C$34+1),0)+IF(AND(Projects!$G$35="Yes",Projects!$X$35="Yes",23&gt;=Projects!$C$35,23&lt;Projects!$C$35+Projects!$D$35),Projects!$B$35*INDEX(Curves!$B$4:$AR$4,1,23-Projects!$C$35+1),0)+IF(AND(Projects!$G$36="Yes",Projects!$X$36="Yes",23&gt;=Projects!$C$36,23&lt;Projects!$C$36+Projects!$D$36),Projects!$B$36*INDEX(Curves!$B$4:$AR$4,1,23-Projects!$C$36+1),0)+IF(AND(Projects!$G$37="Yes",Projects!$X$37="Yes",23&gt;=Projects!$C$37,23&lt;Projects!$C$37+Projects!$D$37),Projects!$B$37*INDEX(Curves!$B$4:$AR$4,1,23-Projects!$C$37+1),0)+IF(AND(Projects!$G$38="Yes",Projects!$X$38="Yes",23&gt;=Projects!$C$38,23&lt;Projects!$C$38+Projects!$D$38),Projects!$B$38*INDEX(Curves!$B$4:$AR$4,1,23-Projects!$C$38+1),0)+IF(AND(Projects!$G$39="Yes",Projects!$X$39="Yes",23&gt;=Projects!$C$39,23&lt;Projects!$C$39+Projects!$D$39),Projects!$B$39*INDEX(Curves!$B$4:$AR$4,1,23-Projects!$C$39+1),0)+IF(AND(Projects!$G$40="Yes",Projects!$X$40="Yes",23&gt;=Projects!$C$40,23&lt;Projects!$C$40+Projects!$D$40),Projects!$B$40*INDEX(Curves!$B$4:$AR$4,1,23-Projects!$C$40+1),0)+IF(AND(Projects!$G$41="Yes",Projects!$X$41="Yes",23&gt;=Projects!$C$41,23&lt;Projects!$C$41+Projects!$D$41),Projects!$B$41*INDEX(Curves!$B$4:$AR$4,1,23-Projects!$C$41+1),0)+IF(AND(Projects!$G$42="Yes",Projects!$X$42="Yes",23&gt;=Projects!$C$42,23&lt;Projects!$C$42+Projects!$D$42),Projects!$B$42*INDEX(Curves!$B$4:$AR$4,1,23-Projects!$C$42+1),0)+IF(AND(Projects!$G$43="Yes",Projects!$X$43="Yes",23&gt;=Projects!$C$43,23&lt;Projects!$C$43+Projects!$D$43),Projects!$B$43*INDEX(Curves!$B$4:$AR$4,1,23-Projects!$C$43+1),0)+IF(AND(Projects!$G$44="Yes",Projects!$X$44="Yes",23&gt;=Projects!$C$44,23&lt;Projects!$C$44+Projects!$D$44),Projects!$B$44*INDEX(Curves!$B$4:$AR$4,1,23-Projects!$C$44+1),0)+IF(AND(Projects!$G$45="Yes",Projects!$X$45="Yes",23&gt;=Projects!$C$45,23&lt;Projects!$C$45+Projects!$D$45),Projects!$B$45*INDEX(Curves!$B$4:$AR$4,1,23-Projects!$C$45+1),0)+IF(AND(Projects!$G$46="Yes",Projects!$X$46="Yes",23&gt;=Projects!$C$46,23&lt;Projects!$C$46+Projects!$D$46),Projects!$B$46*INDEX(Curves!$B$4:$AR$4,1,23-Projects!$C$46+1),0)</f>
        <v>1331851.26080644</v>
      </c>
      <c r="AC96" s="296" t="n">
        <f aca="false">IF(AND(Projects!$G$17="Yes",Projects!$X$17="Yes",24&gt;=Projects!$C$17,24&lt;Projects!$C$17+Projects!$D$17),Projects!$B$17*INDEX(Curves!$B$4:$AR$4,1,24-Projects!$C$17+1),0)+IF(AND(Projects!$G$18="Yes",Projects!$X$18="Yes",24&gt;=Projects!$C$18,24&lt;Projects!$C$18+Projects!$D$18),Projects!$B$18*INDEX(Curves!$B$4:$AR$4,1,24-Projects!$C$18+1),0)+IF(AND(Projects!$G$19="Yes",Projects!$X$19="Yes",24&gt;=Projects!$C$19,24&lt;Projects!$C$19+Projects!$D$19),Projects!$B$19*INDEX(Curves!$B$10:$AR$10,1,24-Projects!$C$19+1),0)+IF(AND(Projects!$G$20="Yes",Projects!$X$20="Yes",24&gt;=Projects!$C$20,24&lt;Projects!$C$20+Projects!$D$20),Projects!$B$20*INDEX(Curves!$B$4:$AR$4,1,24-Projects!$C$20+1),0)+IF(AND(Projects!$G$21="Yes",Projects!$X$21="Yes",24&gt;=Projects!$C$21,24&lt;Projects!$C$21+Projects!$D$21),Projects!$B$21*INDEX(Curves!$B$11:$AR$11,1,24-Projects!$C$21+1),0)+IF(AND(Projects!$G$22="Yes",Projects!$X$22="Yes",24&gt;=Projects!$C$22,24&lt;Projects!$C$22+Projects!$D$22),Projects!$B$22*INDEX(Curves!$B$4:$AR$4,1,24-Projects!$C$22+1),0)+IF(AND(Projects!$G$23="Yes",Projects!$X$23="Yes",24&gt;=Projects!$C$23,24&lt;Projects!$C$23+Projects!$D$23),Projects!$B$23*INDEX(Curves!$B$4:$AR$4,1,24-Projects!$C$23+1),0)+IF(AND(Projects!$G$24="Yes",Projects!$X$24="Yes",24&gt;=Projects!$C$24,24&lt;Projects!$C$24+Projects!$D$24),Projects!$B$24*INDEX(Curves!$B$4:$AR$4,1,24-Projects!$C$24+1),0)+IF(AND(Projects!$G$25="Yes",Projects!$X$25="Yes",24&gt;=Projects!$C$25,24&lt;Projects!$C$25+Projects!$D$25),Projects!$B$25*INDEX(Curves!$B$4:$AR$4,1,24-Projects!$C$25+1),0)+IF(AND(Projects!$G$26="Yes",Projects!$X$26="Yes",24&gt;=Projects!$C$26,24&lt;Projects!$C$26+Projects!$D$26),Projects!$B$26*INDEX(Curves!$B$4:$AR$4,1,24-Projects!$C$26+1),0)+IF(AND(Projects!$G$27="Yes",Projects!$X$27="Yes",24&gt;=Projects!$C$27,24&lt;Projects!$C$27+Projects!$D$27),Projects!$B$27*INDEX(Curves!$B$4:$AR$4,1,24-Projects!$C$27+1),0)+IF(AND(Projects!$G$28="Yes",Projects!$X$28="Yes",24&gt;=Projects!$C$28,24&lt;Projects!$C$28+Projects!$D$28),Projects!$B$28*INDEX(Curves!$B$4:$AR$4,1,24-Projects!$C$28+1),0)+IF(AND(Projects!$G$29="Yes",Projects!$X$29="Yes",24&gt;=Projects!$C$29,24&lt;Projects!$C$29+Projects!$D$29),Projects!$B$29*INDEX(Curves!$B$4:$AR$4,1,24-Projects!$C$29+1),0)+IF(AND(Projects!$G$30="Yes",Projects!$X$30="Yes",24&gt;=Projects!$C$30,24&lt;Projects!$C$30+Projects!$D$30),Projects!$B$30*INDEX(Curves!$B$4:$AR$4,1,24-Projects!$C$30+1),0)+IF(AND(Projects!$G$31="Yes",Projects!$X$31="Yes",24&gt;=Projects!$C$31,24&lt;Projects!$C$31+Projects!$D$31),Projects!$B$31*INDEX(Curves!$B$4:$AR$4,1,24-Projects!$C$31+1),0)+IF(AND(Projects!$G$32="Yes",Projects!$X$32="Yes",24&gt;=Projects!$C$32,24&lt;Projects!$C$32+Projects!$D$32),Projects!$B$32*INDEX(Curves!$B$4:$AR$4,1,24-Projects!$C$32+1),0)+IF(AND(Projects!$G$33="Yes",Projects!$X$33="Yes",24&gt;=Projects!$C$33,24&lt;Projects!$C$33+Projects!$D$33),Projects!$B$33*INDEX(Curves!$B$4:$AR$4,1,24-Projects!$C$33+1),0)+IF(AND(Projects!$G$34="Yes",Projects!$X$34="Yes",24&gt;=Projects!$C$34,24&lt;Projects!$C$34+Projects!$D$34),Projects!$B$34*INDEX(Curves!$B$4:$AR$4,1,24-Projects!$C$34+1),0)+IF(AND(Projects!$G$35="Yes",Projects!$X$35="Yes",24&gt;=Projects!$C$35,24&lt;Projects!$C$35+Projects!$D$35),Projects!$B$35*INDEX(Curves!$B$4:$AR$4,1,24-Projects!$C$35+1),0)+IF(AND(Projects!$G$36="Yes",Projects!$X$36="Yes",24&gt;=Projects!$C$36,24&lt;Projects!$C$36+Projects!$D$36),Projects!$B$36*INDEX(Curves!$B$4:$AR$4,1,24-Projects!$C$36+1),0)+IF(AND(Projects!$G$37="Yes",Projects!$X$37="Yes",24&gt;=Projects!$C$37,24&lt;Projects!$C$37+Projects!$D$37),Projects!$B$37*INDEX(Curves!$B$4:$AR$4,1,24-Projects!$C$37+1),0)+IF(AND(Projects!$G$38="Yes",Projects!$X$38="Yes",24&gt;=Projects!$C$38,24&lt;Projects!$C$38+Projects!$D$38),Projects!$B$38*INDEX(Curves!$B$4:$AR$4,1,24-Projects!$C$38+1),0)+IF(AND(Projects!$G$39="Yes",Projects!$X$39="Yes",24&gt;=Projects!$C$39,24&lt;Projects!$C$39+Projects!$D$39),Projects!$B$39*INDEX(Curves!$B$4:$AR$4,1,24-Projects!$C$39+1),0)+IF(AND(Projects!$G$40="Yes",Projects!$X$40="Yes",24&gt;=Projects!$C$40,24&lt;Projects!$C$40+Projects!$D$40),Projects!$B$40*INDEX(Curves!$B$4:$AR$4,1,24-Projects!$C$40+1),0)+IF(AND(Projects!$G$41="Yes",Projects!$X$41="Yes",24&gt;=Projects!$C$41,24&lt;Projects!$C$41+Projects!$D$41),Projects!$B$41*INDEX(Curves!$B$4:$AR$4,1,24-Projects!$C$41+1),0)+IF(AND(Projects!$G$42="Yes",Projects!$X$42="Yes",24&gt;=Projects!$C$42,24&lt;Projects!$C$42+Projects!$D$42),Projects!$B$42*INDEX(Curves!$B$4:$AR$4,1,24-Projects!$C$42+1),0)+IF(AND(Projects!$G$43="Yes",Projects!$X$43="Yes",24&gt;=Projects!$C$43,24&lt;Projects!$C$43+Projects!$D$43),Projects!$B$43*INDEX(Curves!$B$4:$AR$4,1,24-Projects!$C$43+1),0)+IF(AND(Projects!$G$44="Yes",Projects!$X$44="Yes",24&gt;=Projects!$C$44,24&lt;Projects!$C$44+Projects!$D$44),Projects!$B$44*INDEX(Curves!$B$4:$AR$4,1,24-Projects!$C$44+1),0)+IF(AND(Projects!$G$45="Yes",Projects!$X$45="Yes",24&gt;=Projects!$C$45,24&lt;Projects!$C$45+Projects!$D$45),Projects!$B$45*INDEX(Curves!$B$4:$AR$4,1,24-Projects!$C$45+1),0)+IF(AND(Projects!$G$46="Yes",Projects!$X$46="Yes",24&gt;=Projects!$C$46,24&lt;Projects!$C$46+Projects!$D$46),Projects!$B$46*INDEX(Curves!$B$4:$AR$4,1,24-Projects!$C$46+1),0)</f>
        <v>1489617.24878276</v>
      </c>
      <c r="AD96" s="296" t="n">
        <f aca="false">IF(AND(Projects!$G$17="Yes",Projects!$X$17="Yes",25&gt;=Projects!$C$17,25&lt;Projects!$C$17+Projects!$D$17),Projects!$B$17*INDEX(Curves!$B$4:$AR$4,1,25-Projects!$C$17+1),0)+IF(AND(Projects!$G$18="Yes",Projects!$X$18="Yes",25&gt;=Projects!$C$18,25&lt;Projects!$C$18+Projects!$D$18),Projects!$B$18*INDEX(Curves!$B$4:$AR$4,1,25-Projects!$C$18+1),0)+IF(AND(Projects!$G$19="Yes",Projects!$X$19="Yes",25&gt;=Projects!$C$19,25&lt;Projects!$C$19+Projects!$D$19),Projects!$B$19*INDEX(Curves!$B$10:$AR$10,1,25-Projects!$C$19+1),0)+IF(AND(Projects!$G$20="Yes",Projects!$X$20="Yes",25&gt;=Projects!$C$20,25&lt;Projects!$C$20+Projects!$D$20),Projects!$B$20*INDEX(Curves!$B$4:$AR$4,1,25-Projects!$C$20+1),0)+IF(AND(Projects!$G$21="Yes",Projects!$X$21="Yes",25&gt;=Projects!$C$21,25&lt;Projects!$C$21+Projects!$D$21),Projects!$B$21*INDEX(Curves!$B$11:$AR$11,1,25-Projects!$C$21+1),0)+IF(AND(Projects!$G$22="Yes",Projects!$X$22="Yes",25&gt;=Projects!$C$22,25&lt;Projects!$C$22+Projects!$D$22),Projects!$B$22*INDEX(Curves!$B$4:$AR$4,1,25-Projects!$C$22+1),0)+IF(AND(Projects!$G$23="Yes",Projects!$X$23="Yes",25&gt;=Projects!$C$23,25&lt;Projects!$C$23+Projects!$D$23),Projects!$B$23*INDEX(Curves!$B$4:$AR$4,1,25-Projects!$C$23+1),0)+IF(AND(Projects!$G$24="Yes",Projects!$X$24="Yes",25&gt;=Projects!$C$24,25&lt;Projects!$C$24+Projects!$D$24),Projects!$B$24*INDEX(Curves!$B$4:$AR$4,1,25-Projects!$C$24+1),0)+IF(AND(Projects!$G$25="Yes",Projects!$X$25="Yes",25&gt;=Projects!$C$25,25&lt;Projects!$C$25+Projects!$D$25),Projects!$B$25*INDEX(Curves!$B$4:$AR$4,1,25-Projects!$C$25+1),0)+IF(AND(Projects!$G$26="Yes",Projects!$X$26="Yes",25&gt;=Projects!$C$26,25&lt;Projects!$C$26+Projects!$D$26),Projects!$B$26*INDEX(Curves!$B$4:$AR$4,1,25-Projects!$C$26+1),0)+IF(AND(Projects!$G$27="Yes",Projects!$X$27="Yes",25&gt;=Projects!$C$27,25&lt;Projects!$C$27+Projects!$D$27),Projects!$B$27*INDEX(Curves!$B$4:$AR$4,1,25-Projects!$C$27+1),0)+IF(AND(Projects!$G$28="Yes",Projects!$X$28="Yes",25&gt;=Projects!$C$28,25&lt;Projects!$C$28+Projects!$D$28),Projects!$B$28*INDEX(Curves!$B$4:$AR$4,1,25-Projects!$C$28+1),0)+IF(AND(Projects!$G$29="Yes",Projects!$X$29="Yes",25&gt;=Projects!$C$29,25&lt;Projects!$C$29+Projects!$D$29),Projects!$B$29*INDEX(Curves!$B$4:$AR$4,1,25-Projects!$C$29+1),0)+IF(AND(Projects!$G$30="Yes",Projects!$X$30="Yes",25&gt;=Projects!$C$30,25&lt;Projects!$C$30+Projects!$D$30),Projects!$B$30*INDEX(Curves!$B$4:$AR$4,1,25-Projects!$C$30+1),0)+IF(AND(Projects!$G$31="Yes",Projects!$X$31="Yes",25&gt;=Projects!$C$31,25&lt;Projects!$C$31+Projects!$D$31),Projects!$B$31*INDEX(Curves!$B$4:$AR$4,1,25-Projects!$C$31+1),0)+IF(AND(Projects!$G$32="Yes",Projects!$X$32="Yes",25&gt;=Projects!$C$32,25&lt;Projects!$C$32+Projects!$D$32),Projects!$B$32*INDEX(Curves!$B$4:$AR$4,1,25-Projects!$C$32+1),0)+IF(AND(Projects!$G$33="Yes",Projects!$X$33="Yes",25&gt;=Projects!$C$33,25&lt;Projects!$C$33+Projects!$D$33),Projects!$B$33*INDEX(Curves!$B$4:$AR$4,1,25-Projects!$C$33+1),0)+IF(AND(Projects!$G$34="Yes",Projects!$X$34="Yes",25&gt;=Projects!$C$34,25&lt;Projects!$C$34+Projects!$D$34),Projects!$B$34*INDEX(Curves!$B$4:$AR$4,1,25-Projects!$C$34+1),0)+IF(AND(Projects!$G$35="Yes",Projects!$X$35="Yes",25&gt;=Projects!$C$35,25&lt;Projects!$C$35+Projects!$D$35),Projects!$B$35*INDEX(Curves!$B$4:$AR$4,1,25-Projects!$C$35+1),0)+IF(AND(Projects!$G$36="Yes",Projects!$X$36="Yes",25&gt;=Projects!$C$36,25&lt;Projects!$C$36+Projects!$D$36),Projects!$B$36*INDEX(Curves!$B$4:$AR$4,1,25-Projects!$C$36+1),0)+IF(AND(Projects!$G$37="Yes",Projects!$X$37="Yes",25&gt;=Projects!$C$37,25&lt;Projects!$C$37+Projects!$D$37),Projects!$B$37*INDEX(Curves!$B$4:$AR$4,1,25-Projects!$C$37+1),0)+IF(AND(Projects!$G$38="Yes",Projects!$X$38="Yes",25&gt;=Projects!$C$38,25&lt;Projects!$C$38+Projects!$D$38),Projects!$B$38*INDEX(Curves!$B$4:$AR$4,1,25-Projects!$C$38+1),0)+IF(AND(Projects!$G$39="Yes",Projects!$X$39="Yes",25&gt;=Projects!$C$39,25&lt;Projects!$C$39+Projects!$D$39),Projects!$B$39*INDEX(Curves!$B$4:$AR$4,1,25-Projects!$C$39+1),0)+IF(AND(Projects!$G$40="Yes",Projects!$X$40="Yes",25&gt;=Projects!$C$40,25&lt;Projects!$C$40+Projects!$D$40),Projects!$B$40*INDEX(Curves!$B$4:$AR$4,1,25-Projects!$C$40+1),0)+IF(AND(Projects!$G$41="Yes",Projects!$X$41="Yes",25&gt;=Projects!$C$41,25&lt;Projects!$C$41+Projects!$D$41),Projects!$B$41*INDEX(Curves!$B$4:$AR$4,1,25-Projects!$C$41+1),0)+IF(AND(Projects!$G$42="Yes",Projects!$X$42="Yes",25&gt;=Projects!$C$42,25&lt;Projects!$C$42+Projects!$D$42),Projects!$B$42*INDEX(Curves!$B$4:$AR$4,1,25-Projects!$C$42+1),0)+IF(AND(Projects!$G$43="Yes",Projects!$X$43="Yes",25&gt;=Projects!$C$43,25&lt;Projects!$C$43+Projects!$D$43),Projects!$B$43*INDEX(Curves!$B$4:$AR$4,1,25-Projects!$C$43+1),0)+IF(AND(Projects!$G$44="Yes",Projects!$X$44="Yes",25&gt;=Projects!$C$44,25&lt;Projects!$C$44+Projects!$D$44),Projects!$B$44*INDEX(Curves!$B$4:$AR$4,1,25-Projects!$C$44+1),0)+IF(AND(Projects!$G$45="Yes",Projects!$X$45="Yes",25&gt;=Projects!$C$45,25&lt;Projects!$C$45+Projects!$D$45),Projects!$B$45*INDEX(Curves!$B$4:$AR$4,1,25-Projects!$C$45+1),0)+IF(AND(Projects!$G$46="Yes",Projects!$X$46="Yes",25&gt;=Projects!$C$46,25&lt;Projects!$C$46+Projects!$D$46),Projects!$B$46*INDEX(Curves!$B$4:$AR$4,1,25-Projects!$C$46+1),0)</f>
        <v>1625134.82887346</v>
      </c>
      <c r="AE96" s="296" t="n">
        <f aca="false">IF(AND(Projects!$G$17="Yes",Projects!$X$17="Yes",26&gt;=Projects!$C$17,26&lt;Projects!$C$17+Projects!$D$17),Projects!$B$17*INDEX(Curves!$B$4:$AR$4,1,26-Projects!$C$17+1),0)+IF(AND(Projects!$G$18="Yes",Projects!$X$18="Yes",26&gt;=Projects!$C$18,26&lt;Projects!$C$18+Projects!$D$18),Projects!$B$18*INDEX(Curves!$B$4:$AR$4,1,26-Projects!$C$18+1),0)+IF(AND(Projects!$G$19="Yes",Projects!$X$19="Yes",26&gt;=Projects!$C$19,26&lt;Projects!$C$19+Projects!$D$19),Projects!$B$19*INDEX(Curves!$B$10:$AR$10,1,26-Projects!$C$19+1),0)+IF(AND(Projects!$G$20="Yes",Projects!$X$20="Yes",26&gt;=Projects!$C$20,26&lt;Projects!$C$20+Projects!$D$20),Projects!$B$20*INDEX(Curves!$B$4:$AR$4,1,26-Projects!$C$20+1),0)+IF(AND(Projects!$G$21="Yes",Projects!$X$21="Yes",26&gt;=Projects!$C$21,26&lt;Projects!$C$21+Projects!$D$21),Projects!$B$21*INDEX(Curves!$B$11:$AR$11,1,26-Projects!$C$21+1),0)+IF(AND(Projects!$G$22="Yes",Projects!$X$22="Yes",26&gt;=Projects!$C$22,26&lt;Projects!$C$22+Projects!$D$22),Projects!$B$22*INDEX(Curves!$B$4:$AR$4,1,26-Projects!$C$22+1),0)+IF(AND(Projects!$G$23="Yes",Projects!$X$23="Yes",26&gt;=Projects!$C$23,26&lt;Projects!$C$23+Projects!$D$23),Projects!$B$23*INDEX(Curves!$B$4:$AR$4,1,26-Projects!$C$23+1),0)+IF(AND(Projects!$G$24="Yes",Projects!$X$24="Yes",26&gt;=Projects!$C$24,26&lt;Projects!$C$24+Projects!$D$24),Projects!$B$24*INDEX(Curves!$B$4:$AR$4,1,26-Projects!$C$24+1),0)+IF(AND(Projects!$G$25="Yes",Projects!$X$25="Yes",26&gt;=Projects!$C$25,26&lt;Projects!$C$25+Projects!$D$25),Projects!$B$25*INDEX(Curves!$B$4:$AR$4,1,26-Projects!$C$25+1),0)+IF(AND(Projects!$G$26="Yes",Projects!$X$26="Yes",26&gt;=Projects!$C$26,26&lt;Projects!$C$26+Projects!$D$26),Projects!$B$26*INDEX(Curves!$B$4:$AR$4,1,26-Projects!$C$26+1),0)+IF(AND(Projects!$G$27="Yes",Projects!$X$27="Yes",26&gt;=Projects!$C$27,26&lt;Projects!$C$27+Projects!$D$27),Projects!$B$27*INDEX(Curves!$B$4:$AR$4,1,26-Projects!$C$27+1),0)+IF(AND(Projects!$G$28="Yes",Projects!$X$28="Yes",26&gt;=Projects!$C$28,26&lt;Projects!$C$28+Projects!$D$28),Projects!$B$28*INDEX(Curves!$B$4:$AR$4,1,26-Projects!$C$28+1),0)+IF(AND(Projects!$G$29="Yes",Projects!$X$29="Yes",26&gt;=Projects!$C$29,26&lt;Projects!$C$29+Projects!$D$29),Projects!$B$29*INDEX(Curves!$B$4:$AR$4,1,26-Projects!$C$29+1),0)+IF(AND(Projects!$G$30="Yes",Projects!$X$30="Yes",26&gt;=Projects!$C$30,26&lt;Projects!$C$30+Projects!$D$30),Projects!$B$30*INDEX(Curves!$B$4:$AR$4,1,26-Projects!$C$30+1),0)+IF(AND(Projects!$G$31="Yes",Projects!$X$31="Yes",26&gt;=Projects!$C$31,26&lt;Projects!$C$31+Projects!$D$31),Projects!$B$31*INDEX(Curves!$B$4:$AR$4,1,26-Projects!$C$31+1),0)+IF(AND(Projects!$G$32="Yes",Projects!$X$32="Yes",26&gt;=Projects!$C$32,26&lt;Projects!$C$32+Projects!$D$32),Projects!$B$32*INDEX(Curves!$B$4:$AR$4,1,26-Projects!$C$32+1),0)+IF(AND(Projects!$G$33="Yes",Projects!$X$33="Yes",26&gt;=Projects!$C$33,26&lt;Projects!$C$33+Projects!$D$33),Projects!$B$33*INDEX(Curves!$B$4:$AR$4,1,26-Projects!$C$33+1),0)+IF(AND(Projects!$G$34="Yes",Projects!$X$34="Yes",26&gt;=Projects!$C$34,26&lt;Projects!$C$34+Projects!$D$34),Projects!$B$34*INDEX(Curves!$B$4:$AR$4,1,26-Projects!$C$34+1),0)+IF(AND(Projects!$G$35="Yes",Projects!$X$35="Yes",26&gt;=Projects!$C$35,26&lt;Projects!$C$35+Projects!$D$35),Projects!$B$35*INDEX(Curves!$B$4:$AR$4,1,26-Projects!$C$35+1),0)+IF(AND(Projects!$G$36="Yes",Projects!$X$36="Yes",26&gt;=Projects!$C$36,26&lt;Projects!$C$36+Projects!$D$36),Projects!$B$36*INDEX(Curves!$B$4:$AR$4,1,26-Projects!$C$36+1),0)+IF(AND(Projects!$G$37="Yes",Projects!$X$37="Yes",26&gt;=Projects!$C$37,26&lt;Projects!$C$37+Projects!$D$37),Projects!$B$37*INDEX(Curves!$B$4:$AR$4,1,26-Projects!$C$37+1),0)+IF(AND(Projects!$G$38="Yes",Projects!$X$38="Yes",26&gt;=Projects!$C$38,26&lt;Projects!$C$38+Projects!$D$38),Projects!$B$38*INDEX(Curves!$B$4:$AR$4,1,26-Projects!$C$38+1),0)+IF(AND(Projects!$G$39="Yes",Projects!$X$39="Yes",26&gt;=Projects!$C$39,26&lt;Projects!$C$39+Projects!$D$39),Projects!$B$39*INDEX(Curves!$B$4:$AR$4,1,26-Projects!$C$39+1),0)+IF(AND(Projects!$G$40="Yes",Projects!$X$40="Yes",26&gt;=Projects!$C$40,26&lt;Projects!$C$40+Projects!$D$40),Projects!$B$40*INDEX(Curves!$B$4:$AR$4,1,26-Projects!$C$40+1),0)+IF(AND(Projects!$G$41="Yes",Projects!$X$41="Yes",26&gt;=Projects!$C$41,26&lt;Projects!$C$41+Projects!$D$41),Projects!$B$41*INDEX(Curves!$B$4:$AR$4,1,26-Projects!$C$41+1),0)+IF(AND(Projects!$G$42="Yes",Projects!$X$42="Yes",26&gt;=Projects!$C$42,26&lt;Projects!$C$42+Projects!$D$42),Projects!$B$42*INDEX(Curves!$B$4:$AR$4,1,26-Projects!$C$42+1),0)+IF(AND(Projects!$G$43="Yes",Projects!$X$43="Yes",26&gt;=Projects!$C$43,26&lt;Projects!$C$43+Projects!$D$43),Projects!$B$43*INDEX(Curves!$B$4:$AR$4,1,26-Projects!$C$43+1),0)+IF(AND(Projects!$G$44="Yes",Projects!$X$44="Yes",26&gt;=Projects!$C$44,26&lt;Projects!$C$44+Projects!$D$44),Projects!$B$44*INDEX(Curves!$B$4:$AR$4,1,26-Projects!$C$44+1),0)+IF(AND(Projects!$G$45="Yes",Projects!$X$45="Yes",26&gt;=Projects!$C$45,26&lt;Projects!$C$45+Projects!$D$45),Projects!$B$45*INDEX(Curves!$B$4:$AR$4,1,26-Projects!$C$45+1),0)+IF(AND(Projects!$G$46="Yes",Projects!$X$46="Yes",26&gt;=Projects!$C$46,26&lt;Projects!$C$46+Projects!$D$46),Projects!$B$46*INDEX(Curves!$B$4:$AR$4,1,26-Projects!$C$46+1),0)</f>
        <v>1729419.54840032</v>
      </c>
      <c r="AF96" s="296" t="n">
        <f aca="false">IF(AND(Projects!$G$17="Yes",Projects!$X$17="Yes",27&gt;=Projects!$C$17,27&lt;Projects!$C$17+Projects!$D$17),Projects!$B$17*INDEX(Curves!$B$4:$AR$4,1,27-Projects!$C$17+1),0)+IF(AND(Projects!$G$18="Yes",Projects!$X$18="Yes",27&gt;=Projects!$C$18,27&lt;Projects!$C$18+Projects!$D$18),Projects!$B$18*INDEX(Curves!$B$4:$AR$4,1,27-Projects!$C$18+1),0)+IF(AND(Projects!$G$19="Yes",Projects!$X$19="Yes",27&gt;=Projects!$C$19,27&lt;Projects!$C$19+Projects!$D$19),Projects!$B$19*INDEX(Curves!$B$10:$AR$10,1,27-Projects!$C$19+1),0)+IF(AND(Projects!$G$20="Yes",Projects!$X$20="Yes",27&gt;=Projects!$C$20,27&lt;Projects!$C$20+Projects!$D$20),Projects!$B$20*INDEX(Curves!$B$4:$AR$4,1,27-Projects!$C$20+1),0)+IF(AND(Projects!$G$21="Yes",Projects!$X$21="Yes",27&gt;=Projects!$C$21,27&lt;Projects!$C$21+Projects!$D$21),Projects!$B$21*INDEX(Curves!$B$11:$AR$11,1,27-Projects!$C$21+1),0)+IF(AND(Projects!$G$22="Yes",Projects!$X$22="Yes",27&gt;=Projects!$C$22,27&lt;Projects!$C$22+Projects!$D$22),Projects!$B$22*INDEX(Curves!$B$4:$AR$4,1,27-Projects!$C$22+1),0)+IF(AND(Projects!$G$23="Yes",Projects!$X$23="Yes",27&gt;=Projects!$C$23,27&lt;Projects!$C$23+Projects!$D$23),Projects!$B$23*INDEX(Curves!$B$4:$AR$4,1,27-Projects!$C$23+1),0)+IF(AND(Projects!$G$24="Yes",Projects!$X$24="Yes",27&gt;=Projects!$C$24,27&lt;Projects!$C$24+Projects!$D$24),Projects!$B$24*INDEX(Curves!$B$4:$AR$4,1,27-Projects!$C$24+1),0)+IF(AND(Projects!$G$25="Yes",Projects!$X$25="Yes",27&gt;=Projects!$C$25,27&lt;Projects!$C$25+Projects!$D$25),Projects!$B$25*INDEX(Curves!$B$4:$AR$4,1,27-Projects!$C$25+1),0)+IF(AND(Projects!$G$26="Yes",Projects!$X$26="Yes",27&gt;=Projects!$C$26,27&lt;Projects!$C$26+Projects!$D$26),Projects!$B$26*INDEX(Curves!$B$4:$AR$4,1,27-Projects!$C$26+1),0)+IF(AND(Projects!$G$27="Yes",Projects!$X$27="Yes",27&gt;=Projects!$C$27,27&lt;Projects!$C$27+Projects!$D$27),Projects!$B$27*INDEX(Curves!$B$4:$AR$4,1,27-Projects!$C$27+1),0)+IF(AND(Projects!$G$28="Yes",Projects!$X$28="Yes",27&gt;=Projects!$C$28,27&lt;Projects!$C$28+Projects!$D$28),Projects!$B$28*INDEX(Curves!$B$4:$AR$4,1,27-Projects!$C$28+1),0)+IF(AND(Projects!$G$29="Yes",Projects!$X$29="Yes",27&gt;=Projects!$C$29,27&lt;Projects!$C$29+Projects!$D$29),Projects!$B$29*INDEX(Curves!$B$4:$AR$4,1,27-Projects!$C$29+1),0)+IF(AND(Projects!$G$30="Yes",Projects!$X$30="Yes",27&gt;=Projects!$C$30,27&lt;Projects!$C$30+Projects!$D$30),Projects!$B$30*INDEX(Curves!$B$4:$AR$4,1,27-Projects!$C$30+1),0)+IF(AND(Projects!$G$31="Yes",Projects!$X$31="Yes",27&gt;=Projects!$C$31,27&lt;Projects!$C$31+Projects!$D$31),Projects!$B$31*INDEX(Curves!$B$4:$AR$4,1,27-Projects!$C$31+1),0)+IF(AND(Projects!$G$32="Yes",Projects!$X$32="Yes",27&gt;=Projects!$C$32,27&lt;Projects!$C$32+Projects!$D$32),Projects!$B$32*INDEX(Curves!$B$4:$AR$4,1,27-Projects!$C$32+1),0)+IF(AND(Projects!$G$33="Yes",Projects!$X$33="Yes",27&gt;=Projects!$C$33,27&lt;Projects!$C$33+Projects!$D$33),Projects!$B$33*INDEX(Curves!$B$4:$AR$4,1,27-Projects!$C$33+1),0)+IF(AND(Projects!$G$34="Yes",Projects!$X$34="Yes",27&gt;=Projects!$C$34,27&lt;Projects!$C$34+Projects!$D$34),Projects!$B$34*INDEX(Curves!$B$4:$AR$4,1,27-Projects!$C$34+1),0)+IF(AND(Projects!$G$35="Yes",Projects!$X$35="Yes",27&gt;=Projects!$C$35,27&lt;Projects!$C$35+Projects!$D$35),Projects!$B$35*INDEX(Curves!$B$4:$AR$4,1,27-Projects!$C$35+1),0)+IF(AND(Projects!$G$36="Yes",Projects!$X$36="Yes",27&gt;=Projects!$C$36,27&lt;Projects!$C$36+Projects!$D$36),Projects!$B$36*INDEX(Curves!$B$4:$AR$4,1,27-Projects!$C$36+1),0)+IF(AND(Projects!$G$37="Yes",Projects!$X$37="Yes",27&gt;=Projects!$C$37,27&lt;Projects!$C$37+Projects!$D$37),Projects!$B$37*INDEX(Curves!$B$4:$AR$4,1,27-Projects!$C$37+1),0)+IF(AND(Projects!$G$38="Yes",Projects!$X$38="Yes",27&gt;=Projects!$C$38,27&lt;Projects!$C$38+Projects!$D$38),Projects!$B$38*INDEX(Curves!$B$4:$AR$4,1,27-Projects!$C$38+1),0)+IF(AND(Projects!$G$39="Yes",Projects!$X$39="Yes",27&gt;=Projects!$C$39,27&lt;Projects!$C$39+Projects!$D$39),Projects!$B$39*INDEX(Curves!$B$4:$AR$4,1,27-Projects!$C$39+1),0)+IF(AND(Projects!$G$40="Yes",Projects!$X$40="Yes",27&gt;=Projects!$C$40,27&lt;Projects!$C$40+Projects!$D$40),Projects!$B$40*INDEX(Curves!$B$4:$AR$4,1,27-Projects!$C$40+1),0)+IF(AND(Projects!$G$41="Yes",Projects!$X$41="Yes",27&gt;=Projects!$C$41,27&lt;Projects!$C$41+Projects!$D$41),Projects!$B$41*INDEX(Curves!$B$4:$AR$4,1,27-Projects!$C$41+1),0)+IF(AND(Projects!$G$42="Yes",Projects!$X$42="Yes",27&gt;=Projects!$C$42,27&lt;Projects!$C$42+Projects!$D$42),Projects!$B$42*INDEX(Curves!$B$4:$AR$4,1,27-Projects!$C$42+1),0)+IF(AND(Projects!$G$43="Yes",Projects!$X$43="Yes",27&gt;=Projects!$C$43,27&lt;Projects!$C$43+Projects!$D$43),Projects!$B$43*INDEX(Curves!$B$4:$AR$4,1,27-Projects!$C$43+1),0)+IF(AND(Projects!$G$44="Yes",Projects!$X$44="Yes",27&gt;=Projects!$C$44,27&lt;Projects!$C$44+Projects!$D$44),Projects!$B$44*INDEX(Curves!$B$4:$AR$4,1,27-Projects!$C$44+1),0)+IF(AND(Projects!$G$45="Yes",Projects!$X$45="Yes",27&gt;=Projects!$C$45,27&lt;Projects!$C$45+Projects!$D$45),Projects!$B$45*INDEX(Curves!$B$4:$AR$4,1,27-Projects!$C$45+1),0)+IF(AND(Projects!$G$46="Yes",Projects!$X$46="Yes",27&gt;=Projects!$C$46,27&lt;Projects!$C$46+Projects!$D$46),Projects!$B$46*INDEX(Curves!$B$4:$AR$4,1,27-Projects!$C$46+1),0)</f>
        <v>1795188.74516456</v>
      </c>
      <c r="AG96" s="296" t="n">
        <f aca="false">IF(AND(Projects!$G$17="Yes",Projects!$X$17="Yes",28&gt;=Projects!$C$17,28&lt;Projects!$C$17+Projects!$D$17),Projects!$B$17*INDEX(Curves!$B$4:$AR$4,1,28-Projects!$C$17+1),0)+IF(AND(Projects!$G$18="Yes",Projects!$X$18="Yes",28&gt;=Projects!$C$18,28&lt;Projects!$C$18+Projects!$D$18),Projects!$B$18*INDEX(Curves!$B$4:$AR$4,1,28-Projects!$C$18+1),0)+IF(AND(Projects!$G$19="Yes",Projects!$X$19="Yes",28&gt;=Projects!$C$19,28&lt;Projects!$C$19+Projects!$D$19),Projects!$B$19*INDEX(Curves!$B$10:$AR$10,1,28-Projects!$C$19+1),0)+IF(AND(Projects!$G$20="Yes",Projects!$X$20="Yes",28&gt;=Projects!$C$20,28&lt;Projects!$C$20+Projects!$D$20),Projects!$B$20*INDEX(Curves!$B$4:$AR$4,1,28-Projects!$C$20+1),0)+IF(AND(Projects!$G$21="Yes",Projects!$X$21="Yes",28&gt;=Projects!$C$21,28&lt;Projects!$C$21+Projects!$D$21),Projects!$B$21*INDEX(Curves!$B$11:$AR$11,1,28-Projects!$C$21+1),0)+IF(AND(Projects!$G$22="Yes",Projects!$X$22="Yes",28&gt;=Projects!$C$22,28&lt;Projects!$C$22+Projects!$D$22),Projects!$B$22*INDEX(Curves!$B$4:$AR$4,1,28-Projects!$C$22+1),0)+IF(AND(Projects!$G$23="Yes",Projects!$X$23="Yes",28&gt;=Projects!$C$23,28&lt;Projects!$C$23+Projects!$D$23),Projects!$B$23*INDEX(Curves!$B$4:$AR$4,1,28-Projects!$C$23+1),0)+IF(AND(Projects!$G$24="Yes",Projects!$X$24="Yes",28&gt;=Projects!$C$24,28&lt;Projects!$C$24+Projects!$D$24),Projects!$B$24*INDEX(Curves!$B$4:$AR$4,1,28-Projects!$C$24+1),0)+IF(AND(Projects!$G$25="Yes",Projects!$X$25="Yes",28&gt;=Projects!$C$25,28&lt;Projects!$C$25+Projects!$D$25),Projects!$B$25*INDEX(Curves!$B$4:$AR$4,1,28-Projects!$C$25+1),0)+IF(AND(Projects!$G$26="Yes",Projects!$X$26="Yes",28&gt;=Projects!$C$26,28&lt;Projects!$C$26+Projects!$D$26),Projects!$B$26*INDEX(Curves!$B$4:$AR$4,1,28-Projects!$C$26+1),0)+IF(AND(Projects!$G$27="Yes",Projects!$X$27="Yes",28&gt;=Projects!$C$27,28&lt;Projects!$C$27+Projects!$D$27),Projects!$B$27*INDEX(Curves!$B$4:$AR$4,1,28-Projects!$C$27+1),0)+IF(AND(Projects!$G$28="Yes",Projects!$X$28="Yes",28&gt;=Projects!$C$28,28&lt;Projects!$C$28+Projects!$D$28),Projects!$B$28*INDEX(Curves!$B$4:$AR$4,1,28-Projects!$C$28+1),0)+IF(AND(Projects!$G$29="Yes",Projects!$X$29="Yes",28&gt;=Projects!$C$29,28&lt;Projects!$C$29+Projects!$D$29),Projects!$B$29*INDEX(Curves!$B$4:$AR$4,1,28-Projects!$C$29+1),0)+IF(AND(Projects!$G$30="Yes",Projects!$X$30="Yes",28&gt;=Projects!$C$30,28&lt;Projects!$C$30+Projects!$D$30),Projects!$B$30*INDEX(Curves!$B$4:$AR$4,1,28-Projects!$C$30+1),0)+IF(AND(Projects!$G$31="Yes",Projects!$X$31="Yes",28&gt;=Projects!$C$31,28&lt;Projects!$C$31+Projects!$D$31),Projects!$B$31*INDEX(Curves!$B$4:$AR$4,1,28-Projects!$C$31+1),0)+IF(AND(Projects!$G$32="Yes",Projects!$X$32="Yes",28&gt;=Projects!$C$32,28&lt;Projects!$C$32+Projects!$D$32),Projects!$B$32*INDEX(Curves!$B$4:$AR$4,1,28-Projects!$C$32+1),0)+IF(AND(Projects!$G$33="Yes",Projects!$X$33="Yes",28&gt;=Projects!$C$33,28&lt;Projects!$C$33+Projects!$D$33),Projects!$B$33*INDEX(Curves!$B$4:$AR$4,1,28-Projects!$C$33+1),0)+IF(AND(Projects!$G$34="Yes",Projects!$X$34="Yes",28&gt;=Projects!$C$34,28&lt;Projects!$C$34+Projects!$D$34),Projects!$B$34*INDEX(Curves!$B$4:$AR$4,1,28-Projects!$C$34+1),0)+IF(AND(Projects!$G$35="Yes",Projects!$X$35="Yes",28&gt;=Projects!$C$35,28&lt;Projects!$C$35+Projects!$D$35),Projects!$B$35*INDEX(Curves!$B$4:$AR$4,1,28-Projects!$C$35+1),0)+IF(AND(Projects!$G$36="Yes",Projects!$X$36="Yes",28&gt;=Projects!$C$36,28&lt;Projects!$C$36+Projects!$D$36),Projects!$B$36*INDEX(Curves!$B$4:$AR$4,1,28-Projects!$C$36+1),0)+IF(AND(Projects!$G$37="Yes",Projects!$X$37="Yes",28&gt;=Projects!$C$37,28&lt;Projects!$C$37+Projects!$D$37),Projects!$B$37*INDEX(Curves!$B$4:$AR$4,1,28-Projects!$C$37+1),0)+IF(AND(Projects!$G$38="Yes",Projects!$X$38="Yes",28&gt;=Projects!$C$38,28&lt;Projects!$C$38+Projects!$D$38),Projects!$B$38*INDEX(Curves!$B$4:$AR$4,1,28-Projects!$C$38+1),0)+IF(AND(Projects!$G$39="Yes",Projects!$X$39="Yes",28&gt;=Projects!$C$39,28&lt;Projects!$C$39+Projects!$D$39),Projects!$B$39*INDEX(Curves!$B$4:$AR$4,1,28-Projects!$C$39+1),0)+IF(AND(Projects!$G$40="Yes",Projects!$X$40="Yes",28&gt;=Projects!$C$40,28&lt;Projects!$C$40+Projects!$D$40),Projects!$B$40*INDEX(Curves!$B$4:$AR$4,1,28-Projects!$C$40+1),0)+IF(AND(Projects!$G$41="Yes",Projects!$X$41="Yes",28&gt;=Projects!$C$41,28&lt;Projects!$C$41+Projects!$D$41),Projects!$B$41*INDEX(Curves!$B$4:$AR$4,1,28-Projects!$C$41+1),0)+IF(AND(Projects!$G$42="Yes",Projects!$X$42="Yes",28&gt;=Projects!$C$42,28&lt;Projects!$C$42+Projects!$D$42),Projects!$B$42*INDEX(Curves!$B$4:$AR$4,1,28-Projects!$C$42+1),0)+IF(AND(Projects!$G$43="Yes",Projects!$X$43="Yes",28&gt;=Projects!$C$43,28&lt;Projects!$C$43+Projects!$D$43),Projects!$B$43*INDEX(Curves!$B$4:$AR$4,1,28-Projects!$C$43+1),0)+IF(AND(Projects!$G$44="Yes",Projects!$X$44="Yes",28&gt;=Projects!$C$44,28&lt;Projects!$C$44+Projects!$D$44),Projects!$B$44*INDEX(Curves!$B$4:$AR$4,1,28-Projects!$C$44+1),0)+IF(AND(Projects!$G$45="Yes",Projects!$X$45="Yes",28&gt;=Projects!$C$45,28&lt;Projects!$C$45+Projects!$D$45),Projects!$B$45*INDEX(Curves!$B$4:$AR$4,1,28-Projects!$C$45+1),0)+IF(AND(Projects!$G$46="Yes",Projects!$X$46="Yes",28&gt;=Projects!$C$46,28&lt;Projects!$C$46+Projects!$D$46),Projects!$B$46*INDEX(Curves!$B$4:$AR$4,1,28-Projects!$C$46+1),0)</f>
        <v>1817662.3900254</v>
      </c>
      <c r="AH96" s="296" t="n">
        <f aca="false">IF(AND(Projects!$G$17="Yes",Projects!$X$17="Yes",29&gt;=Projects!$C$17,29&lt;Projects!$C$17+Projects!$D$17),Projects!$B$17*INDEX(Curves!$B$4:$AR$4,1,29-Projects!$C$17+1),0)+IF(AND(Projects!$G$18="Yes",Projects!$X$18="Yes",29&gt;=Projects!$C$18,29&lt;Projects!$C$18+Projects!$D$18),Projects!$B$18*INDEX(Curves!$B$4:$AR$4,1,29-Projects!$C$18+1),0)+IF(AND(Projects!$G$19="Yes",Projects!$X$19="Yes",29&gt;=Projects!$C$19,29&lt;Projects!$C$19+Projects!$D$19),Projects!$B$19*INDEX(Curves!$B$10:$AR$10,1,29-Projects!$C$19+1),0)+IF(AND(Projects!$G$20="Yes",Projects!$X$20="Yes",29&gt;=Projects!$C$20,29&lt;Projects!$C$20+Projects!$D$20),Projects!$B$20*INDEX(Curves!$B$4:$AR$4,1,29-Projects!$C$20+1),0)+IF(AND(Projects!$G$21="Yes",Projects!$X$21="Yes",29&gt;=Projects!$C$21,29&lt;Projects!$C$21+Projects!$D$21),Projects!$B$21*INDEX(Curves!$B$11:$AR$11,1,29-Projects!$C$21+1),0)+IF(AND(Projects!$G$22="Yes",Projects!$X$22="Yes",29&gt;=Projects!$C$22,29&lt;Projects!$C$22+Projects!$D$22),Projects!$B$22*INDEX(Curves!$B$4:$AR$4,1,29-Projects!$C$22+1),0)+IF(AND(Projects!$G$23="Yes",Projects!$X$23="Yes",29&gt;=Projects!$C$23,29&lt;Projects!$C$23+Projects!$D$23),Projects!$B$23*INDEX(Curves!$B$4:$AR$4,1,29-Projects!$C$23+1),0)+IF(AND(Projects!$G$24="Yes",Projects!$X$24="Yes",29&gt;=Projects!$C$24,29&lt;Projects!$C$24+Projects!$D$24),Projects!$B$24*INDEX(Curves!$B$4:$AR$4,1,29-Projects!$C$24+1),0)+IF(AND(Projects!$G$25="Yes",Projects!$X$25="Yes",29&gt;=Projects!$C$25,29&lt;Projects!$C$25+Projects!$D$25),Projects!$B$25*INDEX(Curves!$B$4:$AR$4,1,29-Projects!$C$25+1),0)+IF(AND(Projects!$G$26="Yes",Projects!$X$26="Yes",29&gt;=Projects!$C$26,29&lt;Projects!$C$26+Projects!$D$26),Projects!$B$26*INDEX(Curves!$B$4:$AR$4,1,29-Projects!$C$26+1),0)+IF(AND(Projects!$G$27="Yes",Projects!$X$27="Yes",29&gt;=Projects!$C$27,29&lt;Projects!$C$27+Projects!$D$27),Projects!$B$27*INDEX(Curves!$B$4:$AR$4,1,29-Projects!$C$27+1),0)+IF(AND(Projects!$G$28="Yes",Projects!$X$28="Yes",29&gt;=Projects!$C$28,29&lt;Projects!$C$28+Projects!$D$28),Projects!$B$28*INDEX(Curves!$B$4:$AR$4,1,29-Projects!$C$28+1),0)+IF(AND(Projects!$G$29="Yes",Projects!$X$29="Yes",29&gt;=Projects!$C$29,29&lt;Projects!$C$29+Projects!$D$29),Projects!$B$29*INDEX(Curves!$B$4:$AR$4,1,29-Projects!$C$29+1),0)+IF(AND(Projects!$G$30="Yes",Projects!$X$30="Yes",29&gt;=Projects!$C$30,29&lt;Projects!$C$30+Projects!$D$30),Projects!$B$30*INDEX(Curves!$B$4:$AR$4,1,29-Projects!$C$30+1),0)+IF(AND(Projects!$G$31="Yes",Projects!$X$31="Yes",29&gt;=Projects!$C$31,29&lt;Projects!$C$31+Projects!$D$31),Projects!$B$31*INDEX(Curves!$B$4:$AR$4,1,29-Projects!$C$31+1),0)+IF(AND(Projects!$G$32="Yes",Projects!$X$32="Yes",29&gt;=Projects!$C$32,29&lt;Projects!$C$32+Projects!$D$32),Projects!$B$32*INDEX(Curves!$B$4:$AR$4,1,29-Projects!$C$32+1),0)+IF(AND(Projects!$G$33="Yes",Projects!$X$33="Yes",29&gt;=Projects!$C$33,29&lt;Projects!$C$33+Projects!$D$33),Projects!$B$33*INDEX(Curves!$B$4:$AR$4,1,29-Projects!$C$33+1),0)+IF(AND(Projects!$G$34="Yes",Projects!$X$34="Yes",29&gt;=Projects!$C$34,29&lt;Projects!$C$34+Projects!$D$34),Projects!$B$34*INDEX(Curves!$B$4:$AR$4,1,29-Projects!$C$34+1),0)+IF(AND(Projects!$G$35="Yes",Projects!$X$35="Yes",29&gt;=Projects!$C$35,29&lt;Projects!$C$35+Projects!$D$35),Projects!$B$35*INDEX(Curves!$B$4:$AR$4,1,29-Projects!$C$35+1),0)+IF(AND(Projects!$G$36="Yes",Projects!$X$36="Yes",29&gt;=Projects!$C$36,29&lt;Projects!$C$36+Projects!$D$36),Projects!$B$36*INDEX(Curves!$B$4:$AR$4,1,29-Projects!$C$36+1),0)+IF(AND(Projects!$G$37="Yes",Projects!$X$37="Yes",29&gt;=Projects!$C$37,29&lt;Projects!$C$37+Projects!$D$37),Projects!$B$37*INDEX(Curves!$B$4:$AR$4,1,29-Projects!$C$37+1),0)+IF(AND(Projects!$G$38="Yes",Projects!$X$38="Yes",29&gt;=Projects!$C$38,29&lt;Projects!$C$38+Projects!$D$38),Projects!$B$38*INDEX(Curves!$B$4:$AR$4,1,29-Projects!$C$38+1),0)+IF(AND(Projects!$G$39="Yes",Projects!$X$39="Yes",29&gt;=Projects!$C$39,29&lt;Projects!$C$39+Projects!$D$39),Projects!$B$39*INDEX(Curves!$B$4:$AR$4,1,29-Projects!$C$39+1),0)+IF(AND(Projects!$G$40="Yes",Projects!$X$40="Yes",29&gt;=Projects!$C$40,29&lt;Projects!$C$40+Projects!$D$40),Projects!$B$40*INDEX(Curves!$B$4:$AR$4,1,29-Projects!$C$40+1),0)+IF(AND(Projects!$G$41="Yes",Projects!$X$41="Yes",29&gt;=Projects!$C$41,29&lt;Projects!$C$41+Projects!$D$41),Projects!$B$41*INDEX(Curves!$B$4:$AR$4,1,29-Projects!$C$41+1),0)+IF(AND(Projects!$G$42="Yes",Projects!$X$42="Yes",29&gt;=Projects!$C$42,29&lt;Projects!$C$42+Projects!$D$42),Projects!$B$42*INDEX(Curves!$B$4:$AR$4,1,29-Projects!$C$42+1),0)+IF(AND(Projects!$G$43="Yes",Projects!$X$43="Yes",29&gt;=Projects!$C$43,29&lt;Projects!$C$43+Projects!$D$43),Projects!$B$43*INDEX(Curves!$B$4:$AR$4,1,29-Projects!$C$43+1),0)+IF(AND(Projects!$G$44="Yes",Projects!$X$44="Yes",29&gt;=Projects!$C$44,29&lt;Projects!$C$44+Projects!$D$44),Projects!$B$44*INDEX(Curves!$B$4:$AR$4,1,29-Projects!$C$44+1),0)+IF(AND(Projects!$G$45="Yes",Projects!$X$45="Yes",29&gt;=Projects!$C$45,29&lt;Projects!$C$45+Projects!$D$45),Projects!$B$45*INDEX(Curves!$B$4:$AR$4,1,29-Projects!$C$45+1),0)+IF(AND(Projects!$G$46="Yes",Projects!$X$46="Yes",29&gt;=Projects!$C$46,29&lt;Projects!$C$46+Projects!$D$46),Projects!$B$46*INDEX(Curves!$B$4:$AR$4,1,29-Projects!$C$46+1),0)</f>
        <v>1795188.74516456</v>
      </c>
      <c r="AI96" s="296" t="n">
        <f aca="false">IF(AND(Projects!$G$17="Yes",Projects!$X$17="Yes",30&gt;=Projects!$C$17,30&lt;Projects!$C$17+Projects!$D$17),Projects!$B$17*INDEX(Curves!$B$4:$AR$4,1,30-Projects!$C$17+1),0)+IF(AND(Projects!$G$18="Yes",Projects!$X$18="Yes",30&gt;=Projects!$C$18,30&lt;Projects!$C$18+Projects!$D$18),Projects!$B$18*INDEX(Curves!$B$4:$AR$4,1,30-Projects!$C$18+1),0)+IF(AND(Projects!$G$19="Yes",Projects!$X$19="Yes",30&gt;=Projects!$C$19,30&lt;Projects!$C$19+Projects!$D$19),Projects!$B$19*INDEX(Curves!$B$10:$AR$10,1,30-Projects!$C$19+1),0)+IF(AND(Projects!$G$20="Yes",Projects!$X$20="Yes",30&gt;=Projects!$C$20,30&lt;Projects!$C$20+Projects!$D$20),Projects!$B$20*INDEX(Curves!$B$4:$AR$4,1,30-Projects!$C$20+1),0)+IF(AND(Projects!$G$21="Yes",Projects!$X$21="Yes",30&gt;=Projects!$C$21,30&lt;Projects!$C$21+Projects!$D$21),Projects!$B$21*INDEX(Curves!$B$11:$AR$11,1,30-Projects!$C$21+1),0)+IF(AND(Projects!$G$22="Yes",Projects!$X$22="Yes",30&gt;=Projects!$C$22,30&lt;Projects!$C$22+Projects!$D$22),Projects!$B$22*INDEX(Curves!$B$4:$AR$4,1,30-Projects!$C$22+1),0)+IF(AND(Projects!$G$23="Yes",Projects!$X$23="Yes",30&gt;=Projects!$C$23,30&lt;Projects!$C$23+Projects!$D$23),Projects!$B$23*INDEX(Curves!$B$4:$AR$4,1,30-Projects!$C$23+1),0)+IF(AND(Projects!$G$24="Yes",Projects!$X$24="Yes",30&gt;=Projects!$C$24,30&lt;Projects!$C$24+Projects!$D$24),Projects!$B$24*INDEX(Curves!$B$4:$AR$4,1,30-Projects!$C$24+1),0)+IF(AND(Projects!$G$25="Yes",Projects!$X$25="Yes",30&gt;=Projects!$C$25,30&lt;Projects!$C$25+Projects!$D$25),Projects!$B$25*INDEX(Curves!$B$4:$AR$4,1,30-Projects!$C$25+1),0)+IF(AND(Projects!$G$26="Yes",Projects!$X$26="Yes",30&gt;=Projects!$C$26,30&lt;Projects!$C$26+Projects!$D$26),Projects!$B$26*INDEX(Curves!$B$4:$AR$4,1,30-Projects!$C$26+1),0)+IF(AND(Projects!$G$27="Yes",Projects!$X$27="Yes",30&gt;=Projects!$C$27,30&lt;Projects!$C$27+Projects!$D$27),Projects!$B$27*INDEX(Curves!$B$4:$AR$4,1,30-Projects!$C$27+1),0)+IF(AND(Projects!$G$28="Yes",Projects!$X$28="Yes",30&gt;=Projects!$C$28,30&lt;Projects!$C$28+Projects!$D$28),Projects!$B$28*INDEX(Curves!$B$4:$AR$4,1,30-Projects!$C$28+1),0)+IF(AND(Projects!$G$29="Yes",Projects!$X$29="Yes",30&gt;=Projects!$C$29,30&lt;Projects!$C$29+Projects!$D$29),Projects!$B$29*INDEX(Curves!$B$4:$AR$4,1,30-Projects!$C$29+1),0)+IF(AND(Projects!$G$30="Yes",Projects!$X$30="Yes",30&gt;=Projects!$C$30,30&lt;Projects!$C$30+Projects!$D$30),Projects!$B$30*INDEX(Curves!$B$4:$AR$4,1,30-Projects!$C$30+1),0)+IF(AND(Projects!$G$31="Yes",Projects!$X$31="Yes",30&gt;=Projects!$C$31,30&lt;Projects!$C$31+Projects!$D$31),Projects!$B$31*INDEX(Curves!$B$4:$AR$4,1,30-Projects!$C$31+1),0)+IF(AND(Projects!$G$32="Yes",Projects!$X$32="Yes",30&gt;=Projects!$C$32,30&lt;Projects!$C$32+Projects!$D$32),Projects!$B$32*INDEX(Curves!$B$4:$AR$4,1,30-Projects!$C$32+1),0)+IF(AND(Projects!$G$33="Yes",Projects!$X$33="Yes",30&gt;=Projects!$C$33,30&lt;Projects!$C$33+Projects!$D$33),Projects!$B$33*INDEX(Curves!$B$4:$AR$4,1,30-Projects!$C$33+1),0)+IF(AND(Projects!$G$34="Yes",Projects!$X$34="Yes",30&gt;=Projects!$C$34,30&lt;Projects!$C$34+Projects!$D$34),Projects!$B$34*INDEX(Curves!$B$4:$AR$4,1,30-Projects!$C$34+1),0)+IF(AND(Projects!$G$35="Yes",Projects!$X$35="Yes",30&gt;=Projects!$C$35,30&lt;Projects!$C$35+Projects!$D$35),Projects!$B$35*INDEX(Curves!$B$4:$AR$4,1,30-Projects!$C$35+1),0)+IF(AND(Projects!$G$36="Yes",Projects!$X$36="Yes",30&gt;=Projects!$C$36,30&lt;Projects!$C$36+Projects!$D$36),Projects!$B$36*INDEX(Curves!$B$4:$AR$4,1,30-Projects!$C$36+1),0)+IF(AND(Projects!$G$37="Yes",Projects!$X$37="Yes",30&gt;=Projects!$C$37,30&lt;Projects!$C$37+Projects!$D$37),Projects!$B$37*INDEX(Curves!$B$4:$AR$4,1,30-Projects!$C$37+1),0)+IF(AND(Projects!$G$38="Yes",Projects!$X$38="Yes",30&gt;=Projects!$C$38,30&lt;Projects!$C$38+Projects!$D$38),Projects!$B$38*INDEX(Curves!$B$4:$AR$4,1,30-Projects!$C$38+1),0)+IF(AND(Projects!$G$39="Yes",Projects!$X$39="Yes",30&gt;=Projects!$C$39,30&lt;Projects!$C$39+Projects!$D$39),Projects!$B$39*INDEX(Curves!$B$4:$AR$4,1,30-Projects!$C$39+1),0)+IF(AND(Projects!$G$40="Yes",Projects!$X$40="Yes",30&gt;=Projects!$C$40,30&lt;Projects!$C$40+Projects!$D$40),Projects!$B$40*INDEX(Curves!$B$4:$AR$4,1,30-Projects!$C$40+1),0)+IF(AND(Projects!$G$41="Yes",Projects!$X$41="Yes",30&gt;=Projects!$C$41,30&lt;Projects!$C$41+Projects!$D$41),Projects!$B$41*INDEX(Curves!$B$4:$AR$4,1,30-Projects!$C$41+1),0)+IF(AND(Projects!$G$42="Yes",Projects!$X$42="Yes",30&gt;=Projects!$C$42,30&lt;Projects!$C$42+Projects!$D$42),Projects!$B$42*INDEX(Curves!$B$4:$AR$4,1,30-Projects!$C$42+1),0)+IF(AND(Projects!$G$43="Yes",Projects!$X$43="Yes",30&gt;=Projects!$C$43,30&lt;Projects!$C$43+Projects!$D$43),Projects!$B$43*INDEX(Curves!$B$4:$AR$4,1,30-Projects!$C$43+1),0)+IF(AND(Projects!$G$44="Yes",Projects!$X$44="Yes",30&gt;=Projects!$C$44,30&lt;Projects!$C$44+Projects!$D$44),Projects!$B$44*INDEX(Curves!$B$4:$AR$4,1,30-Projects!$C$44+1),0)+IF(AND(Projects!$G$45="Yes",Projects!$X$45="Yes",30&gt;=Projects!$C$45,30&lt;Projects!$C$45+Projects!$D$45),Projects!$B$45*INDEX(Curves!$B$4:$AR$4,1,30-Projects!$C$45+1),0)+IF(AND(Projects!$G$46="Yes",Projects!$X$46="Yes",30&gt;=Projects!$C$46,30&lt;Projects!$C$46+Projects!$D$46),Projects!$B$46*INDEX(Curves!$B$4:$AR$4,1,30-Projects!$C$46+1),0)</f>
        <v>1729419.54840032</v>
      </c>
      <c r="AJ96" s="296" t="n">
        <f aca="false">IF(AND(Projects!$G$17="Yes",Projects!$X$17="Yes",31&gt;=Projects!$C$17,31&lt;Projects!$C$17+Projects!$D$17),Projects!$B$17*INDEX(Curves!$B$4:$AR$4,1,31-Projects!$C$17+1),0)+IF(AND(Projects!$G$18="Yes",Projects!$X$18="Yes",31&gt;=Projects!$C$18,31&lt;Projects!$C$18+Projects!$D$18),Projects!$B$18*INDEX(Curves!$B$4:$AR$4,1,31-Projects!$C$18+1),0)+IF(AND(Projects!$G$19="Yes",Projects!$X$19="Yes",31&gt;=Projects!$C$19,31&lt;Projects!$C$19+Projects!$D$19),Projects!$B$19*INDEX(Curves!$B$10:$AR$10,1,31-Projects!$C$19+1),0)+IF(AND(Projects!$G$20="Yes",Projects!$X$20="Yes",31&gt;=Projects!$C$20,31&lt;Projects!$C$20+Projects!$D$20),Projects!$B$20*INDEX(Curves!$B$4:$AR$4,1,31-Projects!$C$20+1),0)+IF(AND(Projects!$G$21="Yes",Projects!$X$21="Yes",31&gt;=Projects!$C$21,31&lt;Projects!$C$21+Projects!$D$21),Projects!$B$21*INDEX(Curves!$B$11:$AR$11,1,31-Projects!$C$21+1),0)+IF(AND(Projects!$G$22="Yes",Projects!$X$22="Yes",31&gt;=Projects!$C$22,31&lt;Projects!$C$22+Projects!$D$22),Projects!$B$22*INDEX(Curves!$B$4:$AR$4,1,31-Projects!$C$22+1),0)+IF(AND(Projects!$G$23="Yes",Projects!$X$23="Yes",31&gt;=Projects!$C$23,31&lt;Projects!$C$23+Projects!$D$23),Projects!$B$23*INDEX(Curves!$B$4:$AR$4,1,31-Projects!$C$23+1),0)+IF(AND(Projects!$G$24="Yes",Projects!$X$24="Yes",31&gt;=Projects!$C$24,31&lt;Projects!$C$24+Projects!$D$24),Projects!$B$24*INDEX(Curves!$B$4:$AR$4,1,31-Projects!$C$24+1),0)+IF(AND(Projects!$G$25="Yes",Projects!$X$25="Yes",31&gt;=Projects!$C$25,31&lt;Projects!$C$25+Projects!$D$25),Projects!$B$25*INDEX(Curves!$B$4:$AR$4,1,31-Projects!$C$25+1),0)+IF(AND(Projects!$G$26="Yes",Projects!$X$26="Yes",31&gt;=Projects!$C$26,31&lt;Projects!$C$26+Projects!$D$26),Projects!$B$26*INDEX(Curves!$B$4:$AR$4,1,31-Projects!$C$26+1),0)+IF(AND(Projects!$G$27="Yes",Projects!$X$27="Yes",31&gt;=Projects!$C$27,31&lt;Projects!$C$27+Projects!$D$27),Projects!$B$27*INDEX(Curves!$B$4:$AR$4,1,31-Projects!$C$27+1),0)+IF(AND(Projects!$G$28="Yes",Projects!$X$28="Yes",31&gt;=Projects!$C$28,31&lt;Projects!$C$28+Projects!$D$28),Projects!$B$28*INDEX(Curves!$B$4:$AR$4,1,31-Projects!$C$28+1),0)+IF(AND(Projects!$G$29="Yes",Projects!$X$29="Yes",31&gt;=Projects!$C$29,31&lt;Projects!$C$29+Projects!$D$29),Projects!$B$29*INDEX(Curves!$B$4:$AR$4,1,31-Projects!$C$29+1),0)+IF(AND(Projects!$G$30="Yes",Projects!$X$30="Yes",31&gt;=Projects!$C$30,31&lt;Projects!$C$30+Projects!$D$30),Projects!$B$30*INDEX(Curves!$B$4:$AR$4,1,31-Projects!$C$30+1),0)+IF(AND(Projects!$G$31="Yes",Projects!$X$31="Yes",31&gt;=Projects!$C$31,31&lt;Projects!$C$31+Projects!$D$31),Projects!$B$31*INDEX(Curves!$B$4:$AR$4,1,31-Projects!$C$31+1),0)+IF(AND(Projects!$G$32="Yes",Projects!$X$32="Yes",31&gt;=Projects!$C$32,31&lt;Projects!$C$32+Projects!$D$32),Projects!$B$32*INDEX(Curves!$B$4:$AR$4,1,31-Projects!$C$32+1),0)+IF(AND(Projects!$G$33="Yes",Projects!$X$33="Yes",31&gt;=Projects!$C$33,31&lt;Projects!$C$33+Projects!$D$33),Projects!$B$33*INDEX(Curves!$B$4:$AR$4,1,31-Projects!$C$33+1),0)+IF(AND(Projects!$G$34="Yes",Projects!$X$34="Yes",31&gt;=Projects!$C$34,31&lt;Projects!$C$34+Projects!$D$34),Projects!$B$34*INDEX(Curves!$B$4:$AR$4,1,31-Projects!$C$34+1),0)+IF(AND(Projects!$G$35="Yes",Projects!$X$35="Yes",31&gt;=Projects!$C$35,31&lt;Projects!$C$35+Projects!$D$35),Projects!$B$35*INDEX(Curves!$B$4:$AR$4,1,31-Projects!$C$35+1),0)+IF(AND(Projects!$G$36="Yes",Projects!$X$36="Yes",31&gt;=Projects!$C$36,31&lt;Projects!$C$36+Projects!$D$36),Projects!$B$36*INDEX(Curves!$B$4:$AR$4,1,31-Projects!$C$36+1),0)+IF(AND(Projects!$G$37="Yes",Projects!$X$37="Yes",31&gt;=Projects!$C$37,31&lt;Projects!$C$37+Projects!$D$37),Projects!$B$37*INDEX(Curves!$B$4:$AR$4,1,31-Projects!$C$37+1),0)+IF(AND(Projects!$G$38="Yes",Projects!$X$38="Yes",31&gt;=Projects!$C$38,31&lt;Projects!$C$38+Projects!$D$38),Projects!$B$38*INDEX(Curves!$B$4:$AR$4,1,31-Projects!$C$38+1),0)+IF(AND(Projects!$G$39="Yes",Projects!$X$39="Yes",31&gt;=Projects!$C$39,31&lt;Projects!$C$39+Projects!$D$39),Projects!$B$39*INDEX(Curves!$B$4:$AR$4,1,31-Projects!$C$39+1),0)+IF(AND(Projects!$G$40="Yes",Projects!$X$40="Yes",31&gt;=Projects!$C$40,31&lt;Projects!$C$40+Projects!$D$40),Projects!$B$40*INDEX(Curves!$B$4:$AR$4,1,31-Projects!$C$40+1),0)+IF(AND(Projects!$G$41="Yes",Projects!$X$41="Yes",31&gt;=Projects!$C$41,31&lt;Projects!$C$41+Projects!$D$41),Projects!$B$41*INDEX(Curves!$B$4:$AR$4,1,31-Projects!$C$41+1),0)+IF(AND(Projects!$G$42="Yes",Projects!$X$42="Yes",31&gt;=Projects!$C$42,31&lt;Projects!$C$42+Projects!$D$42),Projects!$B$42*INDEX(Curves!$B$4:$AR$4,1,31-Projects!$C$42+1),0)+IF(AND(Projects!$G$43="Yes",Projects!$X$43="Yes",31&gt;=Projects!$C$43,31&lt;Projects!$C$43+Projects!$D$43),Projects!$B$43*INDEX(Curves!$B$4:$AR$4,1,31-Projects!$C$43+1),0)+IF(AND(Projects!$G$44="Yes",Projects!$X$44="Yes",31&gt;=Projects!$C$44,31&lt;Projects!$C$44+Projects!$D$44),Projects!$B$44*INDEX(Curves!$B$4:$AR$4,1,31-Projects!$C$44+1),0)+IF(AND(Projects!$G$45="Yes",Projects!$X$45="Yes",31&gt;=Projects!$C$45,31&lt;Projects!$C$45+Projects!$D$45),Projects!$B$45*INDEX(Curves!$B$4:$AR$4,1,31-Projects!$C$45+1),0)+IF(AND(Projects!$G$46="Yes",Projects!$X$46="Yes",31&gt;=Projects!$C$46,31&lt;Projects!$C$46+Projects!$D$46),Projects!$B$46*INDEX(Curves!$B$4:$AR$4,1,31-Projects!$C$46+1),0)</f>
        <v>1625134.82887346</v>
      </c>
      <c r="AK96" s="296" t="n">
        <f aca="false">IF(AND(Projects!$G$17="Yes",Projects!$X$17="Yes",32&gt;=Projects!$C$17,32&lt;Projects!$C$17+Projects!$D$17),Projects!$B$17*INDEX(Curves!$B$4:$AR$4,1,32-Projects!$C$17+1),0)+IF(AND(Projects!$G$18="Yes",Projects!$X$18="Yes",32&gt;=Projects!$C$18,32&lt;Projects!$C$18+Projects!$D$18),Projects!$B$18*INDEX(Curves!$B$4:$AR$4,1,32-Projects!$C$18+1),0)+IF(AND(Projects!$G$19="Yes",Projects!$X$19="Yes",32&gt;=Projects!$C$19,32&lt;Projects!$C$19+Projects!$D$19),Projects!$B$19*INDEX(Curves!$B$10:$AR$10,1,32-Projects!$C$19+1),0)+IF(AND(Projects!$G$20="Yes",Projects!$X$20="Yes",32&gt;=Projects!$C$20,32&lt;Projects!$C$20+Projects!$D$20),Projects!$B$20*INDEX(Curves!$B$4:$AR$4,1,32-Projects!$C$20+1),0)+IF(AND(Projects!$G$21="Yes",Projects!$X$21="Yes",32&gt;=Projects!$C$21,32&lt;Projects!$C$21+Projects!$D$21),Projects!$B$21*INDEX(Curves!$B$11:$AR$11,1,32-Projects!$C$21+1),0)+IF(AND(Projects!$G$22="Yes",Projects!$X$22="Yes",32&gt;=Projects!$C$22,32&lt;Projects!$C$22+Projects!$D$22),Projects!$B$22*INDEX(Curves!$B$4:$AR$4,1,32-Projects!$C$22+1),0)+IF(AND(Projects!$G$23="Yes",Projects!$X$23="Yes",32&gt;=Projects!$C$23,32&lt;Projects!$C$23+Projects!$D$23),Projects!$B$23*INDEX(Curves!$B$4:$AR$4,1,32-Projects!$C$23+1),0)+IF(AND(Projects!$G$24="Yes",Projects!$X$24="Yes",32&gt;=Projects!$C$24,32&lt;Projects!$C$24+Projects!$D$24),Projects!$B$24*INDEX(Curves!$B$4:$AR$4,1,32-Projects!$C$24+1),0)+IF(AND(Projects!$G$25="Yes",Projects!$X$25="Yes",32&gt;=Projects!$C$25,32&lt;Projects!$C$25+Projects!$D$25),Projects!$B$25*INDEX(Curves!$B$4:$AR$4,1,32-Projects!$C$25+1),0)+IF(AND(Projects!$G$26="Yes",Projects!$X$26="Yes",32&gt;=Projects!$C$26,32&lt;Projects!$C$26+Projects!$D$26),Projects!$B$26*INDEX(Curves!$B$4:$AR$4,1,32-Projects!$C$26+1),0)+IF(AND(Projects!$G$27="Yes",Projects!$X$27="Yes",32&gt;=Projects!$C$27,32&lt;Projects!$C$27+Projects!$D$27),Projects!$B$27*INDEX(Curves!$B$4:$AR$4,1,32-Projects!$C$27+1),0)+IF(AND(Projects!$G$28="Yes",Projects!$X$28="Yes",32&gt;=Projects!$C$28,32&lt;Projects!$C$28+Projects!$D$28),Projects!$B$28*INDEX(Curves!$B$4:$AR$4,1,32-Projects!$C$28+1),0)+IF(AND(Projects!$G$29="Yes",Projects!$X$29="Yes",32&gt;=Projects!$C$29,32&lt;Projects!$C$29+Projects!$D$29),Projects!$B$29*INDEX(Curves!$B$4:$AR$4,1,32-Projects!$C$29+1),0)+IF(AND(Projects!$G$30="Yes",Projects!$X$30="Yes",32&gt;=Projects!$C$30,32&lt;Projects!$C$30+Projects!$D$30),Projects!$B$30*INDEX(Curves!$B$4:$AR$4,1,32-Projects!$C$30+1),0)+IF(AND(Projects!$G$31="Yes",Projects!$X$31="Yes",32&gt;=Projects!$C$31,32&lt;Projects!$C$31+Projects!$D$31),Projects!$B$31*INDEX(Curves!$B$4:$AR$4,1,32-Projects!$C$31+1),0)+IF(AND(Projects!$G$32="Yes",Projects!$X$32="Yes",32&gt;=Projects!$C$32,32&lt;Projects!$C$32+Projects!$D$32),Projects!$B$32*INDEX(Curves!$B$4:$AR$4,1,32-Projects!$C$32+1),0)+IF(AND(Projects!$G$33="Yes",Projects!$X$33="Yes",32&gt;=Projects!$C$33,32&lt;Projects!$C$33+Projects!$D$33),Projects!$B$33*INDEX(Curves!$B$4:$AR$4,1,32-Projects!$C$33+1),0)+IF(AND(Projects!$G$34="Yes",Projects!$X$34="Yes",32&gt;=Projects!$C$34,32&lt;Projects!$C$34+Projects!$D$34),Projects!$B$34*INDEX(Curves!$B$4:$AR$4,1,32-Projects!$C$34+1),0)+IF(AND(Projects!$G$35="Yes",Projects!$X$35="Yes",32&gt;=Projects!$C$35,32&lt;Projects!$C$35+Projects!$D$35),Projects!$B$35*INDEX(Curves!$B$4:$AR$4,1,32-Projects!$C$35+1),0)+IF(AND(Projects!$G$36="Yes",Projects!$X$36="Yes",32&gt;=Projects!$C$36,32&lt;Projects!$C$36+Projects!$D$36),Projects!$B$36*INDEX(Curves!$B$4:$AR$4,1,32-Projects!$C$36+1),0)+IF(AND(Projects!$G$37="Yes",Projects!$X$37="Yes",32&gt;=Projects!$C$37,32&lt;Projects!$C$37+Projects!$D$37),Projects!$B$37*INDEX(Curves!$B$4:$AR$4,1,32-Projects!$C$37+1),0)+IF(AND(Projects!$G$38="Yes",Projects!$X$38="Yes",32&gt;=Projects!$C$38,32&lt;Projects!$C$38+Projects!$D$38),Projects!$B$38*INDEX(Curves!$B$4:$AR$4,1,32-Projects!$C$38+1),0)+IF(AND(Projects!$G$39="Yes",Projects!$X$39="Yes",32&gt;=Projects!$C$39,32&lt;Projects!$C$39+Projects!$D$39),Projects!$B$39*INDEX(Curves!$B$4:$AR$4,1,32-Projects!$C$39+1),0)+IF(AND(Projects!$G$40="Yes",Projects!$X$40="Yes",32&gt;=Projects!$C$40,32&lt;Projects!$C$40+Projects!$D$40),Projects!$B$40*INDEX(Curves!$B$4:$AR$4,1,32-Projects!$C$40+1),0)+IF(AND(Projects!$G$41="Yes",Projects!$X$41="Yes",32&gt;=Projects!$C$41,32&lt;Projects!$C$41+Projects!$D$41),Projects!$B$41*INDEX(Curves!$B$4:$AR$4,1,32-Projects!$C$41+1),0)+IF(AND(Projects!$G$42="Yes",Projects!$X$42="Yes",32&gt;=Projects!$C$42,32&lt;Projects!$C$42+Projects!$D$42),Projects!$B$42*INDEX(Curves!$B$4:$AR$4,1,32-Projects!$C$42+1),0)+IF(AND(Projects!$G$43="Yes",Projects!$X$43="Yes",32&gt;=Projects!$C$43,32&lt;Projects!$C$43+Projects!$D$43),Projects!$B$43*INDEX(Curves!$B$4:$AR$4,1,32-Projects!$C$43+1),0)+IF(AND(Projects!$G$44="Yes",Projects!$X$44="Yes",32&gt;=Projects!$C$44,32&lt;Projects!$C$44+Projects!$D$44),Projects!$B$44*INDEX(Curves!$B$4:$AR$4,1,32-Projects!$C$44+1),0)+IF(AND(Projects!$G$45="Yes",Projects!$X$45="Yes",32&gt;=Projects!$C$45,32&lt;Projects!$C$45+Projects!$D$45),Projects!$B$45*INDEX(Curves!$B$4:$AR$4,1,32-Projects!$C$45+1),0)+IF(AND(Projects!$G$46="Yes",Projects!$X$46="Yes",32&gt;=Projects!$C$46,32&lt;Projects!$C$46+Projects!$D$46),Projects!$B$46*INDEX(Curves!$B$4:$AR$4,1,32-Projects!$C$46+1),0)</f>
        <v>1489617.24878276</v>
      </c>
      <c r="AL96" s="296" t="n">
        <f aca="false">IF(AND(Projects!$G$17="Yes",Projects!$X$17="Yes",33&gt;=Projects!$C$17,33&lt;Projects!$C$17+Projects!$D$17),Projects!$B$17*INDEX(Curves!$B$4:$AR$4,1,33-Projects!$C$17+1),0)+IF(AND(Projects!$G$18="Yes",Projects!$X$18="Yes",33&gt;=Projects!$C$18,33&lt;Projects!$C$18+Projects!$D$18),Projects!$B$18*INDEX(Curves!$B$4:$AR$4,1,33-Projects!$C$18+1),0)+IF(AND(Projects!$G$19="Yes",Projects!$X$19="Yes",33&gt;=Projects!$C$19,33&lt;Projects!$C$19+Projects!$D$19),Projects!$B$19*INDEX(Curves!$B$10:$AR$10,1,33-Projects!$C$19+1),0)+IF(AND(Projects!$G$20="Yes",Projects!$X$20="Yes",33&gt;=Projects!$C$20,33&lt;Projects!$C$20+Projects!$D$20),Projects!$B$20*INDEX(Curves!$B$4:$AR$4,1,33-Projects!$C$20+1),0)+IF(AND(Projects!$G$21="Yes",Projects!$X$21="Yes",33&gt;=Projects!$C$21,33&lt;Projects!$C$21+Projects!$D$21),Projects!$B$21*INDEX(Curves!$B$11:$AR$11,1,33-Projects!$C$21+1),0)+IF(AND(Projects!$G$22="Yes",Projects!$X$22="Yes",33&gt;=Projects!$C$22,33&lt;Projects!$C$22+Projects!$D$22),Projects!$B$22*INDEX(Curves!$B$4:$AR$4,1,33-Projects!$C$22+1),0)+IF(AND(Projects!$G$23="Yes",Projects!$X$23="Yes",33&gt;=Projects!$C$23,33&lt;Projects!$C$23+Projects!$D$23),Projects!$B$23*INDEX(Curves!$B$4:$AR$4,1,33-Projects!$C$23+1),0)+IF(AND(Projects!$G$24="Yes",Projects!$X$24="Yes",33&gt;=Projects!$C$24,33&lt;Projects!$C$24+Projects!$D$24),Projects!$B$24*INDEX(Curves!$B$4:$AR$4,1,33-Projects!$C$24+1),0)+IF(AND(Projects!$G$25="Yes",Projects!$X$25="Yes",33&gt;=Projects!$C$25,33&lt;Projects!$C$25+Projects!$D$25),Projects!$B$25*INDEX(Curves!$B$4:$AR$4,1,33-Projects!$C$25+1),0)+IF(AND(Projects!$G$26="Yes",Projects!$X$26="Yes",33&gt;=Projects!$C$26,33&lt;Projects!$C$26+Projects!$D$26),Projects!$B$26*INDEX(Curves!$B$4:$AR$4,1,33-Projects!$C$26+1),0)+IF(AND(Projects!$G$27="Yes",Projects!$X$27="Yes",33&gt;=Projects!$C$27,33&lt;Projects!$C$27+Projects!$D$27),Projects!$B$27*INDEX(Curves!$B$4:$AR$4,1,33-Projects!$C$27+1),0)+IF(AND(Projects!$G$28="Yes",Projects!$X$28="Yes",33&gt;=Projects!$C$28,33&lt;Projects!$C$28+Projects!$D$28),Projects!$B$28*INDEX(Curves!$B$4:$AR$4,1,33-Projects!$C$28+1),0)+IF(AND(Projects!$G$29="Yes",Projects!$X$29="Yes",33&gt;=Projects!$C$29,33&lt;Projects!$C$29+Projects!$D$29),Projects!$B$29*INDEX(Curves!$B$4:$AR$4,1,33-Projects!$C$29+1),0)+IF(AND(Projects!$G$30="Yes",Projects!$X$30="Yes",33&gt;=Projects!$C$30,33&lt;Projects!$C$30+Projects!$D$30),Projects!$B$30*INDEX(Curves!$B$4:$AR$4,1,33-Projects!$C$30+1),0)+IF(AND(Projects!$G$31="Yes",Projects!$X$31="Yes",33&gt;=Projects!$C$31,33&lt;Projects!$C$31+Projects!$D$31),Projects!$B$31*INDEX(Curves!$B$4:$AR$4,1,33-Projects!$C$31+1),0)+IF(AND(Projects!$G$32="Yes",Projects!$X$32="Yes",33&gt;=Projects!$C$32,33&lt;Projects!$C$32+Projects!$D$32),Projects!$B$32*INDEX(Curves!$B$4:$AR$4,1,33-Projects!$C$32+1),0)+IF(AND(Projects!$G$33="Yes",Projects!$X$33="Yes",33&gt;=Projects!$C$33,33&lt;Projects!$C$33+Projects!$D$33),Projects!$B$33*INDEX(Curves!$B$4:$AR$4,1,33-Projects!$C$33+1),0)+IF(AND(Projects!$G$34="Yes",Projects!$X$34="Yes",33&gt;=Projects!$C$34,33&lt;Projects!$C$34+Projects!$D$34),Projects!$B$34*INDEX(Curves!$B$4:$AR$4,1,33-Projects!$C$34+1),0)+IF(AND(Projects!$G$35="Yes",Projects!$X$35="Yes",33&gt;=Projects!$C$35,33&lt;Projects!$C$35+Projects!$D$35),Projects!$B$35*INDEX(Curves!$B$4:$AR$4,1,33-Projects!$C$35+1),0)+IF(AND(Projects!$G$36="Yes",Projects!$X$36="Yes",33&gt;=Projects!$C$36,33&lt;Projects!$C$36+Projects!$D$36),Projects!$B$36*INDEX(Curves!$B$4:$AR$4,1,33-Projects!$C$36+1),0)+IF(AND(Projects!$G$37="Yes",Projects!$X$37="Yes",33&gt;=Projects!$C$37,33&lt;Projects!$C$37+Projects!$D$37),Projects!$B$37*INDEX(Curves!$B$4:$AR$4,1,33-Projects!$C$37+1),0)+IF(AND(Projects!$G$38="Yes",Projects!$X$38="Yes",33&gt;=Projects!$C$38,33&lt;Projects!$C$38+Projects!$D$38),Projects!$B$38*INDEX(Curves!$B$4:$AR$4,1,33-Projects!$C$38+1),0)+IF(AND(Projects!$G$39="Yes",Projects!$X$39="Yes",33&gt;=Projects!$C$39,33&lt;Projects!$C$39+Projects!$D$39),Projects!$B$39*INDEX(Curves!$B$4:$AR$4,1,33-Projects!$C$39+1),0)+IF(AND(Projects!$G$40="Yes",Projects!$X$40="Yes",33&gt;=Projects!$C$40,33&lt;Projects!$C$40+Projects!$D$40),Projects!$B$40*INDEX(Curves!$B$4:$AR$4,1,33-Projects!$C$40+1),0)+IF(AND(Projects!$G$41="Yes",Projects!$X$41="Yes",33&gt;=Projects!$C$41,33&lt;Projects!$C$41+Projects!$D$41),Projects!$B$41*INDEX(Curves!$B$4:$AR$4,1,33-Projects!$C$41+1),0)+IF(AND(Projects!$G$42="Yes",Projects!$X$42="Yes",33&gt;=Projects!$C$42,33&lt;Projects!$C$42+Projects!$D$42),Projects!$B$42*INDEX(Curves!$B$4:$AR$4,1,33-Projects!$C$42+1),0)+IF(AND(Projects!$G$43="Yes",Projects!$X$43="Yes",33&gt;=Projects!$C$43,33&lt;Projects!$C$43+Projects!$D$43),Projects!$B$43*INDEX(Curves!$B$4:$AR$4,1,33-Projects!$C$43+1),0)+IF(AND(Projects!$G$44="Yes",Projects!$X$44="Yes",33&gt;=Projects!$C$44,33&lt;Projects!$C$44+Projects!$D$44),Projects!$B$44*INDEX(Curves!$B$4:$AR$4,1,33-Projects!$C$44+1),0)+IF(AND(Projects!$G$45="Yes",Projects!$X$45="Yes",33&gt;=Projects!$C$45,33&lt;Projects!$C$45+Projects!$D$45),Projects!$B$45*INDEX(Curves!$B$4:$AR$4,1,33-Projects!$C$45+1),0)+IF(AND(Projects!$G$46="Yes",Projects!$X$46="Yes",33&gt;=Projects!$C$46,33&lt;Projects!$C$46+Projects!$D$46),Projects!$B$46*INDEX(Curves!$B$4:$AR$4,1,33-Projects!$C$46+1),0)</f>
        <v>1331851.26080644</v>
      </c>
      <c r="AM96" s="296" t="n">
        <f aca="false">IF(AND(Projects!$G$17="Yes",Projects!$X$17="Yes",34&gt;=Projects!$C$17,34&lt;Projects!$C$17+Projects!$D$17),Projects!$B$17*INDEX(Curves!$B$4:$AR$4,1,34-Projects!$C$17+1),0)+IF(AND(Projects!$G$18="Yes",Projects!$X$18="Yes",34&gt;=Projects!$C$18,34&lt;Projects!$C$18+Projects!$D$18),Projects!$B$18*INDEX(Curves!$B$4:$AR$4,1,34-Projects!$C$18+1),0)+IF(AND(Projects!$G$19="Yes",Projects!$X$19="Yes",34&gt;=Projects!$C$19,34&lt;Projects!$C$19+Projects!$D$19),Projects!$B$19*INDEX(Curves!$B$10:$AR$10,1,34-Projects!$C$19+1),0)+IF(AND(Projects!$G$20="Yes",Projects!$X$20="Yes",34&gt;=Projects!$C$20,34&lt;Projects!$C$20+Projects!$D$20),Projects!$B$20*INDEX(Curves!$B$4:$AR$4,1,34-Projects!$C$20+1),0)+IF(AND(Projects!$G$21="Yes",Projects!$X$21="Yes",34&gt;=Projects!$C$21,34&lt;Projects!$C$21+Projects!$D$21),Projects!$B$21*INDEX(Curves!$B$11:$AR$11,1,34-Projects!$C$21+1),0)+IF(AND(Projects!$G$22="Yes",Projects!$X$22="Yes",34&gt;=Projects!$C$22,34&lt;Projects!$C$22+Projects!$D$22),Projects!$B$22*INDEX(Curves!$B$4:$AR$4,1,34-Projects!$C$22+1),0)+IF(AND(Projects!$G$23="Yes",Projects!$X$23="Yes",34&gt;=Projects!$C$23,34&lt;Projects!$C$23+Projects!$D$23),Projects!$B$23*INDEX(Curves!$B$4:$AR$4,1,34-Projects!$C$23+1),0)+IF(AND(Projects!$G$24="Yes",Projects!$X$24="Yes",34&gt;=Projects!$C$24,34&lt;Projects!$C$24+Projects!$D$24),Projects!$B$24*INDEX(Curves!$B$4:$AR$4,1,34-Projects!$C$24+1),0)+IF(AND(Projects!$G$25="Yes",Projects!$X$25="Yes",34&gt;=Projects!$C$25,34&lt;Projects!$C$25+Projects!$D$25),Projects!$B$25*INDEX(Curves!$B$4:$AR$4,1,34-Projects!$C$25+1),0)+IF(AND(Projects!$G$26="Yes",Projects!$X$26="Yes",34&gt;=Projects!$C$26,34&lt;Projects!$C$26+Projects!$D$26),Projects!$B$26*INDEX(Curves!$B$4:$AR$4,1,34-Projects!$C$26+1),0)+IF(AND(Projects!$G$27="Yes",Projects!$X$27="Yes",34&gt;=Projects!$C$27,34&lt;Projects!$C$27+Projects!$D$27),Projects!$B$27*INDEX(Curves!$B$4:$AR$4,1,34-Projects!$C$27+1),0)+IF(AND(Projects!$G$28="Yes",Projects!$X$28="Yes",34&gt;=Projects!$C$28,34&lt;Projects!$C$28+Projects!$D$28),Projects!$B$28*INDEX(Curves!$B$4:$AR$4,1,34-Projects!$C$28+1),0)+IF(AND(Projects!$G$29="Yes",Projects!$X$29="Yes",34&gt;=Projects!$C$29,34&lt;Projects!$C$29+Projects!$D$29),Projects!$B$29*INDEX(Curves!$B$4:$AR$4,1,34-Projects!$C$29+1),0)+IF(AND(Projects!$G$30="Yes",Projects!$X$30="Yes",34&gt;=Projects!$C$30,34&lt;Projects!$C$30+Projects!$D$30),Projects!$B$30*INDEX(Curves!$B$4:$AR$4,1,34-Projects!$C$30+1),0)+IF(AND(Projects!$G$31="Yes",Projects!$X$31="Yes",34&gt;=Projects!$C$31,34&lt;Projects!$C$31+Projects!$D$31),Projects!$B$31*INDEX(Curves!$B$4:$AR$4,1,34-Projects!$C$31+1),0)+IF(AND(Projects!$G$32="Yes",Projects!$X$32="Yes",34&gt;=Projects!$C$32,34&lt;Projects!$C$32+Projects!$D$32),Projects!$B$32*INDEX(Curves!$B$4:$AR$4,1,34-Projects!$C$32+1),0)+IF(AND(Projects!$G$33="Yes",Projects!$X$33="Yes",34&gt;=Projects!$C$33,34&lt;Projects!$C$33+Projects!$D$33),Projects!$B$33*INDEX(Curves!$B$4:$AR$4,1,34-Projects!$C$33+1),0)+IF(AND(Projects!$G$34="Yes",Projects!$X$34="Yes",34&gt;=Projects!$C$34,34&lt;Projects!$C$34+Projects!$D$34),Projects!$B$34*INDEX(Curves!$B$4:$AR$4,1,34-Projects!$C$34+1),0)+IF(AND(Projects!$G$35="Yes",Projects!$X$35="Yes",34&gt;=Projects!$C$35,34&lt;Projects!$C$35+Projects!$D$35),Projects!$B$35*INDEX(Curves!$B$4:$AR$4,1,34-Projects!$C$35+1),0)+IF(AND(Projects!$G$36="Yes",Projects!$X$36="Yes",34&gt;=Projects!$C$36,34&lt;Projects!$C$36+Projects!$D$36),Projects!$B$36*INDEX(Curves!$B$4:$AR$4,1,34-Projects!$C$36+1),0)+IF(AND(Projects!$G$37="Yes",Projects!$X$37="Yes",34&gt;=Projects!$C$37,34&lt;Projects!$C$37+Projects!$D$37),Projects!$B$37*INDEX(Curves!$B$4:$AR$4,1,34-Projects!$C$37+1),0)+IF(AND(Projects!$G$38="Yes",Projects!$X$38="Yes",34&gt;=Projects!$C$38,34&lt;Projects!$C$38+Projects!$D$38),Projects!$B$38*INDEX(Curves!$B$4:$AR$4,1,34-Projects!$C$38+1),0)+IF(AND(Projects!$G$39="Yes",Projects!$X$39="Yes",34&gt;=Projects!$C$39,34&lt;Projects!$C$39+Projects!$D$39),Projects!$B$39*INDEX(Curves!$B$4:$AR$4,1,34-Projects!$C$39+1),0)+IF(AND(Projects!$G$40="Yes",Projects!$X$40="Yes",34&gt;=Projects!$C$40,34&lt;Projects!$C$40+Projects!$D$40),Projects!$B$40*INDEX(Curves!$B$4:$AR$4,1,34-Projects!$C$40+1),0)+IF(AND(Projects!$G$41="Yes",Projects!$X$41="Yes",34&gt;=Projects!$C$41,34&lt;Projects!$C$41+Projects!$D$41),Projects!$B$41*INDEX(Curves!$B$4:$AR$4,1,34-Projects!$C$41+1),0)+IF(AND(Projects!$G$42="Yes",Projects!$X$42="Yes",34&gt;=Projects!$C$42,34&lt;Projects!$C$42+Projects!$D$42),Projects!$B$42*INDEX(Curves!$B$4:$AR$4,1,34-Projects!$C$42+1),0)+IF(AND(Projects!$G$43="Yes",Projects!$X$43="Yes",34&gt;=Projects!$C$43,34&lt;Projects!$C$43+Projects!$D$43),Projects!$B$43*INDEX(Curves!$B$4:$AR$4,1,34-Projects!$C$43+1),0)+IF(AND(Projects!$G$44="Yes",Projects!$X$44="Yes",34&gt;=Projects!$C$44,34&lt;Projects!$C$44+Projects!$D$44),Projects!$B$44*INDEX(Curves!$B$4:$AR$4,1,34-Projects!$C$44+1),0)+IF(AND(Projects!$G$45="Yes",Projects!$X$45="Yes",34&gt;=Projects!$C$45,34&lt;Projects!$C$45+Projects!$D$45),Projects!$B$45*INDEX(Curves!$B$4:$AR$4,1,34-Projects!$C$45+1),0)+IF(AND(Projects!$G$46="Yes",Projects!$X$46="Yes",34&gt;=Projects!$C$46,34&lt;Projects!$C$46+Projects!$D$46),Projects!$B$46*INDEX(Curves!$B$4:$AR$4,1,34-Projects!$C$46+1),0)</f>
        <v>1161522.05487896</v>
      </c>
      <c r="AN96" s="296" t="n">
        <f aca="false">IF(AND(Projects!$G$17="Yes",Projects!$X$17="Yes",35&gt;=Projects!$C$17,35&lt;Projects!$C$17+Projects!$D$17),Projects!$B$17*INDEX(Curves!$B$4:$AR$4,1,35-Projects!$C$17+1),0)+IF(AND(Projects!$G$18="Yes",Projects!$X$18="Yes",35&gt;=Projects!$C$18,35&lt;Projects!$C$18+Projects!$D$18),Projects!$B$18*INDEX(Curves!$B$4:$AR$4,1,35-Projects!$C$18+1),0)+IF(AND(Projects!$G$19="Yes",Projects!$X$19="Yes",35&gt;=Projects!$C$19,35&lt;Projects!$C$19+Projects!$D$19),Projects!$B$19*INDEX(Curves!$B$10:$AR$10,1,35-Projects!$C$19+1),0)+IF(AND(Projects!$G$20="Yes",Projects!$X$20="Yes",35&gt;=Projects!$C$20,35&lt;Projects!$C$20+Projects!$D$20),Projects!$B$20*INDEX(Curves!$B$4:$AR$4,1,35-Projects!$C$20+1),0)+IF(AND(Projects!$G$21="Yes",Projects!$X$21="Yes",35&gt;=Projects!$C$21,35&lt;Projects!$C$21+Projects!$D$21),Projects!$B$21*INDEX(Curves!$B$11:$AR$11,1,35-Projects!$C$21+1),0)+IF(AND(Projects!$G$22="Yes",Projects!$X$22="Yes",35&gt;=Projects!$C$22,35&lt;Projects!$C$22+Projects!$D$22),Projects!$B$22*INDEX(Curves!$B$4:$AR$4,1,35-Projects!$C$22+1),0)+IF(AND(Projects!$G$23="Yes",Projects!$X$23="Yes",35&gt;=Projects!$C$23,35&lt;Projects!$C$23+Projects!$D$23),Projects!$B$23*INDEX(Curves!$B$4:$AR$4,1,35-Projects!$C$23+1),0)+IF(AND(Projects!$G$24="Yes",Projects!$X$24="Yes",35&gt;=Projects!$C$24,35&lt;Projects!$C$24+Projects!$D$24),Projects!$B$24*INDEX(Curves!$B$4:$AR$4,1,35-Projects!$C$24+1),0)+IF(AND(Projects!$G$25="Yes",Projects!$X$25="Yes",35&gt;=Projects!$C$25,35&lt;Projects!$C$25+Projects!$D$25),Projects!$B$25*INDEX(Curves!$B$4:$AR$4,1,35-Projects!$C$25+1),0)+IF(AND(Projects!$G$26="Yes",Projects!$X$26="Yes",35&gt;=Projects!$C$26,35&lt;Projects!$C$26+Projects!$D$26),Projects!$B$26*INDEX(Curves!$B$4:$AR$4,1,35-Projects!$C$26+1),0)+IF(AND(Projects!$G$27="Yes",Projects!$X$27="Yes",35&gt;=Projects!$C$27,35&lt;Projects!$C$27+Projects!$D$27),Projects!$B$27*INDEX(Curves!$B$4:$AR$4,1,35-Projects!$C$27+1),0)+IF(AND(Projects!$G$28="Yes",Projects!$X$28="Yes",35&gt;=Projects!$C$28,35&lt;Projects!$C$28+Projects!$D$28),Projects!$B$28*INDEX(Curves!$B$4:$AR$4,1,35-Projects!$C$28+1),0)+IF(AND(Projects!$G$29="Yes",Projects!$X$29="Yes",35&gt;=Projects!$C$29,35&lt;Projects!$C$29+Projects!$D$29),Projects!$B$29*INDEX(Curves!$B$4:$AR$4,1,35-Projects!$C$29+1),0)+IF(AND(Projects!$G$30="Yes",Projects!$X$30="Yes",35&gt;=Projects!$C$30,35&lt;Projects!$C$30+Projects!$D$30),Projects!$B$30*INDEX(Curves!$B$4:$AR$4,1,35-Projects!$C$30+1),0)+IF(AND(Projects!$G$31="Yes",Projects!$X$31="Yes",35&gt;=Projects!$C$31,35&lt;Projects!$C$31+Projects!$D$31),Projects!$B$31*INDEX(Curves!$B$4:$AR$4,1,35-Projects!$C$31+1),0)+IF(AND(Projects!$G$32="Yes",Projects!$X$32="Yes",35&gt;=Projects!$C$32,35&lt;Projects!$C$32+Projects!$D$32),Projects!$B$32*INDEX(Curves!$B$4:$AR$4,1,35-Projects!$C$32+1),0)+IF(AND(Projects!$G$33="Yes",Projects!$X$33="Yes",35&gt;=Projects!$C$33,35&lt;Projects!$C$33+Projects!$D$33),Projects!$B$33*INDEX(Curves!$B$4:$AR$4,1,35-Projects!$C$33+1),0)+IF(AND(Projects!$G$34="Yes",Projects!$X$34="Yes",35&gt;=Projects!$C$34,35&lt;Projects!$C$34+Projects!$D$34),Projects!$B$34*INDEX(Curves!$B$4:$AR$4,1,35-Projects!$C$34+1),0)+IF(AND(Projects!$G$35="Yes",Projects!$X$35="Yes",35&gt;=Projects!$C$35,35&lt;Projects!$C$35+Projects!$D$35),Projects!$B$35*INDEX(Curves!$B$4:$AR$4,1,35-Projects!$C$35+1),0)+IF(AND(Projects!$G$36="Yes",Projects!$X$36="Yes",35&gt;=Projects!$C$36,35&lt;Projects!$C$36+Projects!$D$36),Projects!$B$36*INDEX(Curves!$B$4:$AR$4,1,35-Projects!$C$36+1),0)+IF(AND(Projects!$G$37="Yes",Projects!$X$37="Yes",35&gt;=Projects!$C$37,35&lt;Projects!$C$37+Projects!$D$37),Projects!$B$37*INDEX(Curves!$B$4:$AR$4,1,35-Projects!$C$37+1),0)+IF(AND(Projects!$G$38="Yes",Projects!$X$38="Yes",35&gt;=Projects!$C$38,35&lt;Projects!$C$38+Projects!$D$38),Projects!$B$38*INDEX(Curves!$B$4:$AR$4,1,35-Projects!$C$38+1),0)+IF(AND(Projects!$G$39="Yes",Projects!$X$39="Yes",35&gt;=Projects!$C$39,35&lt;Projects!$C$39+Projects!$D$39),Projects!$B$39*INDEX(Curves!$B$4:$AR$4,1,35-Projects!$C$39+1),0)+IF(AND(Projects!$G$40="Yes",Projects!$X$40="Yes",35&gt;=Projects!$C$40,35&lt;Projects!$C$40+Projects!$D$40),Projects!$B$40*INDEX(Curves!$B$4:$AR$4,1,35-Projects!$C$40+1),0)+IF(AND(Projects!$G$41="Yes",Projects!$X$41="Yes",35&gt;=Projects!$C$41,35&lt;Projects!$C$41+Projects!$D$41),Projects!$B$41*INDEX(Curves!$B$4:$AR$4,1,35-Projects!$C$41+1),0)+IF(AND(Projects!$G$42="Yes",Projects!$X$42="Yes",35&gt;=Projects!$C$42,35&lt;Projects!$C$42+Projects!$D$42),Projects!$B$42*INDEX(Curves!$B$4:$AR$4,1,35-Projects!$C$42+1),0)+IF(AND(Projects!$G$43="Yes",Projects!$X$43="Yes",35&gt;=Projects!$C$43,35&lt;Projects!$C$43+Projects!$D$43),Projects!$B$43*INDEX(Curves!$B$4:$AR$4,1,35-Projects!$C$43+1),0)+IF(AND(Projects!$G$44="Yes",Projects!$X$44="Yes",35&gt;=Projects!$C$44,35&lt;Projects!$C$44+Projects!$D$44),Projects!$B$44*INDEX(Curves!$B$4:$AR$4,1,35-Projects!$C$44+1),0)+IF(AND(Projects!$G$45="Yes",Projects!$X$45="Yes",35&gt;=Projects!$C$45,35&lt;Projects!$C$45+Projects!$D$45),Projects!$B$45*INDEX(Curves!$B$4:$AR$4,1,35-Projects!$C$45+1),0)+IF(AND(Projects!$G$46="Yes",Projects!$X$46="Yes",35&gt;=Projects!$C$46,35&lt;Projects!$C$46+Projects!$D$46),Projects!$B$46*INDEX(Curves!$B$4:$AR$4,1,35-Projects!$C$46+1),0)</f>
        <v>988089.58395956</v>
      </c>
      <c r="AO96" s="296" t="n">
        <f aca="false">IF(AND(Projects!$G$17="Yes",Projects!$X$17="Yes",36&gt;=Projects!$C$17,36&lt;Projects!$C$17+Projects!$D$17),Projects!$B$17*INDEX(Curves!$B$4:$AR$4,1,36-Projects!$C$17+1),0)+IF(AND(Projects!$G$18="Yes",Projects!$X$18="Yes",36&gt;=Projects!$C$18,36&lt;Projects!$C$18+Projects!$D$18),Projects!$B$18*INDEX(Curves!$B$4:$AR$4,1,36-Projects!$C$18+1),0)+IF(AND(Projects!$G$19="Yes",Projects!$X$19="Yes",36&gt;=Projects!$C$19,36&lt;Projects!$C$19+Projects!$D$19),Projects!$B$19*INDEX(Curves!$B$10:$AR$10,1,36-Projects!$C$19+1),0)+IF(AND(Projects!$G$20="Yes",Projects!$X$20="Yes",36&gt;=Projects!$C$20,36&lt;Projects!$C$20+Projects!$D$20),Projects!$B$20*INDEX(Curves!$B$4:$AR$4,1,36-Projects!$C$20+1),0)+IF(AND(Projects!$G$21="Yes",Projects!$X$21="Yes",36&gt;=Projects!$C$21,36&lt;Projects!$C$21+Projects!$D$21),Projects!$B$21*INDEX(Curves!$B$11:$AR$11,1,36-Projects!$C$21+1),0)+IF(AND(Projects!$G$22="Yes",Projects!$X$22="Yes",36&gt;=Projects!$C$22,36&lt;Projects!$C$22+Projects!$D$22),Projects!$B$22*INDEX(Curves!$B$4:$AR$4,1,36-Projects!$C$22+1),0)+IF(AND(Projects!$G$23="Yes",Projects!$X$23="Yes",36&gt;=Projects!$C$23,36&lt;Projects!$C$23+Projects!$D$23),Projects!$B$23*INDEX(Curves!$B$4:$AR$4,1,36-Projects!$C$23+1),0)+IF(AND(Projects!$G$24="Yes",Projects!$X$24="Yes",36&gt;=Projects!$C$24,36&lt;Projects!$C$24+Projects!$D$24),Projects!$B$24*INDEX(Curves!$B$4:$AR$4,1,36-Projects!$C$24+1),0)+IF(AND(Projects!$G$25="Yes",Projects!$X$25="Yes",36&gt;=Projects!$C$25,36&lt;Projects!$C$25+Projects!$D$25),Projects!$B$25*INDEX(Curves!$B$4:$AR$4,1,36-Projects!$C$25+1),0)+IF(AND(Projects!$G$26="Yes",Projects!$X$26="Yes",36&gt;=Projects!$C$26,36&lt;Projects!$C$26+Projects!$D$26),Projects!$B$26*INDEX(Curves!$B$4:$AR$4,1,36-Projects!$C$26+1),0)+IF(AND(Projects!$G$27="Yes",Projects!$X$27="Yes",36&gt;=Projects!$C$27,36&lt;Projects!$C$27+Projects!$D$27),Projects!$B$27*INDEX(Curves!$B$4:$AR$4,1,36-Projects!$C$27+1),0)+IF(AND(Projects!$G$28="Yes",Projects!$X$28="Yes",36&gt;=Projects!$C$28,36&lt;Projects!$C$28+Projects!$D$28),Projects!$B$28*INDEX(Curves!$B$4:$AR$4,1,36-Projects!$C$28+1),0)+IF(AND(Projects!$G$29="Yes",Projects!$X$29="Yes",36&gt;=Projects!$C$29,36&lt;Projects!$C$29+Projects!$D$29),Projects!$B$29*INDEX(Curves!$B$4:$AR$4,1,36-Projects!$C$29+1),0)+IF(AND(Projects!$G$30="Yes",Projects!$X$30="Yes",36&gt;=Projects!$C$30,36&lt;Projects!$C$30+Projects!$D$30),Projects!$B$30*INDEX(Curves!$B$4:$AR$4,1,36-Projects!$C$30+1),0)+IF(AND(Projects!$G$31="Yes",Projects!$X$31="Yes",36&gt;=Projects!$C$31,36&lt;Projects!$C$31+Projects!$D$31),Projects!$B$31*INDEX(Curves!$B$4:$AR$4,1,36-Projects!$C$31+1),0)+IF(AND(Projects!$G$32="Yes",Projects!$X$32="Yes",36&gt;=Projects!$C$32,36&lt;Projects!$C$32+Projects!$D$32),Projects!$B$32*INDEX(Curves!$B$4:$AR$4,1,36-Projects!$C$32+1),0)+IF(AND(Projects!$G$33="Yes",Projects!$X$33="Yes",36&gt;=Projects!$C$33,36&lt;Projects!$C$33+Projects!$D$33),Projects!$B$33*INDEX(Curves!$B$4:$AR$4,1,36-Projects!$C$33+1),0)+IF(AND(Projects!$G$34="Yes",Projects!$X$34="Yes",36&gt;=Projects!$C$34,36&lt;Projects!$C$34+Projects!$D$34),Projects!$B$34*INDEX(Curves!$B$4:$AR$4,1,36-Projects!$C$34+1),0)+IF(AND(Projects!$G$35="Yes",Projects!$X$35="Yes",36&gt;=Projects!$C$35,36&lt;Projects!$C$35+Projects!$D$35),Projects!$B$35*INDEX(Curves!$B$4:$AR$4,1,36-Projects!$C$35+1),0)+IF(AND(Projects!$G$36="Yes",Projects!$X$36="Yes",36&gt;=Projects!$C$36,36&lt;Projects!$C$36+Projects!$D$36),Projects!$B$36*INDEX(Curves!$B$4:$AR$4,1,36-Projects!$C$36+1),0)+IF(AND(Projects!$G$37="Yes",Projects!$X$37="Yes",36&gt;=Projects!$C$37,36&lt;Projects!$C$37+Projects!$D$37),Projects!$B$37*INDEX(Curves!$B$4:$AR$4,1,36-Projects!$C$37+1),0)+IF(AND(Projects!$G$38="Yes",Projects!$X$38="Yes",36&gt;=Projects!$C$38,36&lt;Projects!$C$38+Projects!$D$38),Projects!$B$38*INDEX(Curves!$B$4:$AR$4,1,36-Projects!$C$38+1),0)+IF(AND(Projects!$G$39="Yes",Projects!$X$39="Yes",36&gt;=Projects!$C$39,36&lt;Projects!$C$39+Projects!$D$39),Projects!$B$39*INDEX(Curves!$B$4:$AR$4,1,36-Projects!$C$39+1),0)+IF(AND(Projects!$G$40="Yes",Projects!$X$40="Yes",36&gt;=Projects!$C$40,36&lt;Projects!$C$40+Projects!$D$40),Projects!$B$40*INDEX(Curves!$B$4:$AR$4,1,36-Projects!$C$40+1),0)+IF(AND(Projects!$G$41="Yes",Projects!$X$41="Yes",36&gt;=Projects!$C$41,36&lt;Projects!$C$41+Projects!$D$41),Projects!$B$41*INDEX(Curves!$B$4:$AR$4,1,36-Projects!$C$41+1),0)+IF(AND(Projects!$G$42="Yes",Projects!$X$42="Yes",36&gt;=Projects!$C$42,36&lt;Projects!$C$42+Projects!$D$42),Projects!$B$42*INDEX(Curves!$B$4:$AR$4,1,36-Projects!$C$42+1),0)+IF(AND(Projects!$G$43="Yes",Projects!$X$43="Yes",36&gt;=Projects!$C$43,36&lt;Projects!$C$43+Projects!$D$43),Projects!$B$43*INDEX(Curves!$B$4:$AR$4,1,36-Projects!$C$43+1),0)+IF(AND(Projects!$G$44="Yes",Projects!$X$44="Yes",36&gt;=Projects!$C$44,36&lt;Projects!$C$44+Projects!$D$44),Projects!$B$44*INDEX(Curves!$B$4:$AR$4,1,36-Projects!$C$44+1),0)+IF(AND(Projects!$G$45="Yes",Projects!$X$45="Yes",36&gt;=Projects!$C$45,36&lt;Projects!$C$45+Projects!$D$45),Projects!$B$45*INDEX(Curves!$B$4:$AR$4,1,36-Projects!$C$45+1),0)+IF(AND(Projects!$G$46="Yes",Projects!$X$46="Yes",36&gt;=Projects!$C$46,36&lt;Projects!$C$46+Projects!$D$46),Projects!$B$46*INDEX(Curves!$B$4:$AR$4,1,36-Projects!$C$46+1),0)</f>
        <v>819887.61613138</v>
      </c>
      <c r="AP96" s="296" t="n">
        <f aca="false">IF(AND(Projects!$G$17="Yes",Projects!$X$17="Yes",37&gt;=Projects!$C$17,37&lt;Projects!$C$17+Projects!$D$17),Projects!$B$17*INDEX(Curves!$B$4:$AR$4,1,37-Projects!$C$17+1),0)+IF(AND(Projects!$G$18="Yes",Projects!$X$18="Yes",37&gt;=Projects!$C$18,37&lt;Projects!$C$18+Projects!$D$18),Projects!$B$18*INDEX(Curves!$B$4:$AR$4,1,37-Projects!$C$18+1),0)+IF(AND(Projects!$G$19="Yes",Projects!$X$19="Yes",37&gt;=Projects!$C$19,37&lt;Projects!$C$19+Projects!$D$19),Projects!$B$19*INDEX(Curves!$B$10:$AR$10,1,37-Projects!$C$19+1),0)+IF(AND(Projects!$G$20="Yes",Projects!$X$20="Yes",37&gt;=Projects!$C$20,37&lt;Projects!$C$20+Projects!$D$20),Projects!$B$20*INDEX(Curves!$B$4:$AR$4,1,37-Projects!$C$20+1),0)+IF(AND(Projects!$G$21="Yes",Projects!$X$21="Yes",37&gt;=Projects!$C$21,37&lt;Projects!$C$21+Projects!$D$21),Projects!$B$21*INDEX(Curves!$B$11:$AR$11,1,37-Projects!$C$21+1),0)+IF(AND(Projects!$G$22="Yes",Projects!$X$22="Yes",37&gt;=Projects!$C$22,37&lt;Projects!$C$22+Projects!$D$22),Projects!$B$22*INDEX(Curves!$B$4:$AR$4,1,37-Projects!$C$22+1),0)+IF(AND(Projects!$G$23="Yes",Projects!$X$23="Yes",37&gt;=Projects!$C$23,37&lt;Projects!$C$23+Projects!$D$23),Projects!$B$23*INDEX(Curves!$B$4:$AR$4,1,37-Projects!$C$23+1),0)+IF(AND(Projects!$G$24="Yes",Projects!$X$24="Yes",37&gt;=Projects!$C$24,37&lt;Projects!$C$24+Projects!$D$24),Projects!$B$24*INDEX(Curves!$B$4:$AR$4,1,37-Projects!$C$24+1),0)+IF(AND(Projects!$G$25="Yes",Projects!$X$25="Yes",37&gt;=Projects!$C$25,37&lt;Projects!$C$25+Projects!$D$25),Projects!$B$25*INDEX(Curves!$B$4:$AR$4,1,37-Projects!$C$25+1),0)+IF(AND(Projects!$G$26="Yes",Projects!$X$26="Yes",37&gt;=Projects!$C$26,37&lt;Projects!$C$26+Projects!$D$26),Projects!$B$26*INDEX(Curves!$B$4:$AR$4,1,37-Projects!$C$26+1),0)+IF(AND(Projects!$G$27="Yes",Projects!$X$27="Yes",37&gt;=Projects!$C$27,37&lt;Projects!$C$27+Projects!$D$27),Projects!$B$27*INDEX(Curves!$B$4:$AR$4,1,37-Projects!$C$27+1),0)+IF(AND(Projects!$G$28="Yes",Projects!$X$28="Yes",37&gt;=Projects!$C$28,37&lt;Projects!$C$28+Projects!$D$28),Projects!$B$28*INDEX(Curves!$B$4:$AR$4,1,37-Projects!$C$28+1),0)+IF(AND(Projects!$G$29="Yes",Projects!$X$29="Yes",37&gt;=Projects!$C$29,37&lt;Projects!$C$29+Projects!$D$29),Projects!$B$29*INDEX(Curves!$B$4:$AR$4,1,37-Projects!$C$29+1),0)+IF(AND(Projects!$G$30="Yes",Projects!$X$30="Yes",37&gt;=Projects!$C$30,37&lt;Projects!$C$30+Projects!$D$30),Projects!$B$30*INDEX(Curves!$B$4:$AR$4,1,37-Projects!$C$30+1),0)+IF(AND(Projects!$G$31="Yes",Projects!$X$31="Yes",37&gt;=Projects!$C$31,37&lt;Projects!$C$31+Projects!$D$31),Projects!$B$31*INDEX(Curves!$B$4:$AR$4,1,37-Projects!$C$31+1),0)+IF(AND(Projects!$G$32="Yes",Projects!$X$32="Yes",37&gt;=Projects!$C$32,37&lt;Projects!$C$32+Projects!$D$32),Projects!$B$32*INDEX(Curves!$B$4:$AR$4,1,37-Projects!$C$32+1),0)+IF(AND(Projects!$G$33="Yes",Projects!$X$33="Yes",37&gt;=Projects!$C$33,37&lt;Projects!$C$33+Projects!$D$33),Projects!$B$33*INDEX(Curves!$B$4:$AR$4,1,37-Projects!$C$33+1),0)+IF(AND(Projects!$G$34="Yes",Projects!$X$34="Yes",37&gt;=Projects!$C$34,37&lt;Projects!$C$34+Projects!$D$34),Projects!$B$34*INDEX(Curves!$B$4:$AR$4,1,37-Projects!$C$34+1),0)+IF(AND(Projects!$G$35="Yes",Projects!$X$35="Yes",37&gt;=Projects!$C$35,37&lt;Projects!$C$35+Projects!$D$35),Projects!$B$35*INDEX(Curves!$B$4:$AR$4,1,37-Projects!$C$35+1),0)+IF(AND(Projects!$G$36="Yes",Projects!$X$36="Yes",37&gt;=Projects!$C$36,37&lt;Projects!$C$36+Projects!$D$36),Projects!$B$36*INDEX(Curves!$B$4:$AR$4,1,37-Projects!$C$36+1),0)+IF(AND(Projects!$G$37="Yes",Projects!$X$37="Yes",37&gt;=Projects!$C$37,37&lt;Projects!$C$37+Projects!$D$37),Projects!$B$37*INDEX(Curves!$B$4:$AR$4,1,37-Projects!$C$37+1),0)+IF(AND(Projects!$G$38="Yes",Projects!$X$38="Yes",37&gt;=Projects!$C$38,37&lt;Projects!$C$38+Projects!$D$38),Projects!$B$38*INDEX(Curves!$B$4:$AR$4,1,37-Projects!$C$38+1),0)+IF(AND(Projects!$G$39="Yes",Projects!$X$39="Yes",37&gt;=Projects!$C$39,37&lt;Projects!$C$39+Projects!$D$39),Projects!$B$39*INDEX(Curves!$B$4:$AR$4,1,37-Projects!$C$39+1),0)+IF(AND(Projects!$G$40="Yes",Projects!$X$40="Yes",37&gt;=Projects!$C$40,37&lt;Projects!$C$40+Projects!$D$40),Projects!$B$40*INDEX(Curves!$B$4:$AR$4,1,37-Projects!$C$40+1),0)+IF(AND(Projects!$G$41="Yes",Projects!$X$41="Yes",37&gt;=Projects!$C$41,37&lt;Projects!$C$41+Projects!$D$41),Projects!$B$41*INDEX(Curves!$B$4:$AR$4,1,37-Projects!$C$41+1),0)+IF(AND(Projects!$G$42="Yes",Projects!$X$42="Yes",37&gt;=Projects!$C$42,37&lt;Projects!$C$42+Projects!$D$42),Projects!$B$42*INDEX(Curves!$B$4:$AR$4,1,37-Projects!$C$42+1),0)+IF(AND(Projects!$G$43="Yes",Projects!$X$43="Yes",37&gt;=Projects!$C$43,37&lt;Projects!$C$43+Projects!$D$43),Projects!$B$43*INDEX(Curves!$B$4:$AR$4,1,37-Projects!$C$43+1),0)+IF(AND(Projects!$G$44="Yes",Projects!$X$44="Yes",37&gt;=Projects!$C$44,37&lt;Projects!$C$44+Projects!$D$44),Projects!$B$44*INDEX(Curves!$B$4:$AR$4,1,37-Projects!$C$44+1),0)+IF(AND(Projects!$G$45="Yes",Projects!$X$45="Yes",37&gt;=Projects!$C$45,37&lt;Projects!$C$45+Projects!$D$45),Projects!$B$45*INDEX(Curves!$B$4:$AR$4,1,37-Projects!$C$45+1),0)+IF(AND(Projects!$G$46="Yes",Projects!$X$46="Yes",37&gt;=Projects!$C$46,37&lt;Projects!$C$46+Projects!$D$46),Projects!$B$46*INDEX(Curves!$B$4:$AR$4,1,37-Projects!$C$46+1),0)</f>
        <v>663623.20798986</v>
      </c>
      <c r="AQ96" s="296" t="n">
        <f aca="false">IF(AND(Projects!$G$17="Yes",Projects!$X$17="Yes",38&gt;=Projects!$C$17,38&lt;Projects!$C$17+Projects!$D$17),Projects!$B$17*INDEX(Curves!$B$4:$AR$4,1,38-Projects!$C$17+1),0)+IF(AND(Projects!$G$18="Yes",Projects!$X$18="Yes",38&gt;=Projects!$C$18,38&lt;Projects!$C$18+Projects!$D$18),Projects!$B$18*INDEX(Curves!$B$4:$AR$4,1,38-Projects!$C$18+1),0)+IF(AND(Projects!$G$19="Yes",Projects!$X$19="Yes",38&gt;=Projects!$C$19,38&lt;Projects!$C$19+Projects!$D$19),Projects!$B$19*INDEX(Curves!$B$10:$AR$10,1,38-Projects!$C$19+1),0)+IF(AND(Projects!$G$20="Yes",Projects!$X$20="Yes",38&gt;=Projects!$C$20,38&lt;Projects!$C$20+Projects!$D$20),Projects!$B$20*INDEX(Curves!$B$4:$AR$4,1,38-Projects!$C$20+1),0)+IF(AND(Projects!$G$21="Yes",Projects!$X$21="Yes",38&gt;=Projects!$C$21,38&lt;Projects!$C$21+Projects!$D$21),Projects!$B$21*INDEX(Curves!$B$11:$AR$11,1,38-Projects!$C$21+1),0)+IF(AND(Projects!$G$22="Yes",Projects!$X$22="Yes",38&gt;=Projects!$C$22,38&lt;Projects!$C$22+Projects!$D$22),Projects!$B$22*INDEX(Curves!$B$4:$AR$4,1,38-Projects!$C$22+1),0)+IF(AND(Projects!$G$23="Yes",Projects!$X$23="Yes",38&gt;=Projects!$C$23,38&lt;Projects!$C$23+Projects!$D$23),Projects!$B$23*INDEX(Curves!$B$4:$AR$4,1,38-Projects!$C$23+1),0)+IF(AND(Projects!$G$24="Yes",Projects!$X$24="Yes",38&gt;=Projects!$C$24,38&lt;Projects!$C$24+Projects!$D$24),Projects!$B$24*INDEX(Curves!$B$4:$AR$4,1,38-Projects!$C$24+1),0)+IF(AND(Projects!$G$25="Yes",Projects!$X$25="Yes",38&gt;=Projects!$C$25,38&lt;Projects!$C$25+Projects!$D$25),Projects!$B$25*INDEX(Curves!$B$4:$AR$4,1,38-Projects!$C$25+1),0)+IF(AND(Projects!$G$26="Yes",Projects!$X$26="Yes",38&gt;=Projects!$C$26,38&lt;Projects!$C$26+Projects!$D$26),Projects!$B$26*INDEX(Curves!$B$4:$AR$4,1,38-Projects!$C$26+1),0)+IF(AND(Projects!$G$27="Yes",Projects!$X$27="Yes",38&gt;=Projects!$C$27,38&lt;Projects!$C$27+Projects!$D$27),Projects!$B$27*INDEX(Curves!$B$4:$AR$4,1,38-Projects!$C$27+1),0)+IF(AND(Projects!$G$28="Yes",Projects!$X$28="Yes",38&gt;=Projects!$C$28,38&lt;Projects!$C$28+Projects!$D$28),Projects!$B$28*INDEX(Curves!$B$4:$AR$4,1,38-Projects!$C$28+1),0)+IF(AND(Projects!$G$29="Yes",Projects!$X$29="Yes",38&gt;=Projects!$C$29,38&lt;Projects!$C$29+Projects!$D$29),Projects!$B$29*INDEX(Curves!$B$4:$AR$4,1,38-Projects!$C$29+1),0)+IF(AND(Projects!$G$30="Yes",Projects!$X$30="Yes",38&gt;=Projects!$C$30,38&lt;Projects!$C$30+Projects!$D$30),Projects!$B$30*INDEX(Curves!$B$4:$AR$4,1,38-Projects!$C$30+1),0)+IF(AND(Projects!$G$31="Yes",Projects!$X$31="Yes",38&gt;=Projects!$C$31,38&lt;Projects!$C$31+Projects!$D$31),Projects!$B$31*INDEX(Curves!$B$4:$AR$4,1,38-Projects!$C$31+1),0)+IF(AND(Projects!$G$32="Yes",Projects!$X$32="Yes",38&gt;=Projects!$C$32,38&lt;Projects!$C$32+Projects!$D$32),Projects!$B$32*INDEX(Curves!$B$4:$AR$4,1,38-Projects!$C$32+1),0)+IF(AND(Projects!$G$33="Yes",Projects!$X$33="Yes",38&gt;=Projects!$C$33,38&lt;Projects!$C$33+Projects!$D$33),Projects!$B$33*INDEX(Curves!$B$4:$AR$4,1,38-Projects!$C$33+1),0)+IF(AND(Projects!$G$34="Yes",Projects!$X$34="Yes",38&gt;=Projects!$C$34,38&lt;Projects!$C$34+Projects!$D$34),Projects!$B$34*INDEX(Curves!$B$4:$AR$4,1,38-Projects!$C$34+1),0)+IF(AND(Projects!$G$35="Yes",Projects!$X$35="Yes",38&gt;=Projects!$C$35,38&lt;Projects!$C$35+Projects!$D$35),Projects!$B$35*INDEX(Curves!$B$4:$AR$4,1,38-Projects!$C$35+1),0)+IF(AND(Projects!$G$36="Yes",Projects!$X$36="Yes",38&gt;=Projects!$C$36,38&lt;Projects!$C$36+Projects!$D$36),Projects!$B$36*INDEX(Curves!$B$4:$AR$4,1,38-Projects!$C$36+1),0)+IF(AND(Projects!$G$37="Yes",Projects!$X$37="Yes",38&gt;=Projects!$C$37,38&lt;Projects!$C$37+Projects!$D$37),Projects!$B$37*INDEX(Curves!$B$4:$AR$4,1,38-Projects!$C$37+1),0)+IF(AND(Projects!$G$38="Yes",Projects!$X$38="Yes",38&gt;=Projects!$C$38,38&lt;Projects!$C$38+Projects!$D$38),Projects!$B$38*INDEX(Curves!$B$4:$AR$4,1,38-Projects!$C$38+1),0)+IF(AND(Projects!$G$39="Yes",Projects!$X$39="Yes",38&gt;=Projects!$C$39,38&lt;Projects!$C$39+Projects!$D$39),Projects!$B$39*INDEX(Curves!$B$4:$AR$4,1,38-Projects!$C$39+1),0)+IF(AND(Projects!$G$40="Yes",Projects!$X$40="Yes",38&gt;=Projects!$C$40,38&lt;Projects!$C$40+Projects!$D$40),Projects!$B$40*INDEX(Curves!$B$4:$AR$4,1,38-Projects!$C$40+1),0)+IF(AND(Projects!$G$41="Yes",Projects!$X$41="Yes",38&gt;=Projects!$C$41,38&lt;Projects!$C$41+Projects!$D$41),Projects!$B$41*INDEX(Curves!$B$4:$AR$4,1,38-Projects!$C$41+1),0)+IF(AND(Projects!$G$42="Yes",Projects!$X$42="Yes",38&gt;=Projects!$C$42,38&lt;Projects!$C$42+Projects!$D$42),Projects!$B$42*INDEX(Curves!$B$4:$AR$4,1,38-Projects!$C$42+1),0)+IF(AND(Projects!$G$43="Yes",Projects!$X$43="Yes",38&gt;=Projects!$C$43,38&lt;Projects!$C$43+Projects!$D$43),Projects!$B$43*INDEX(Curves!$B$4:$AR$4,1,38-Projects!$C$43+1),0)+IF(AND(Projects!$G$44="Yes",Projects!$X$44="Yes",38&gt;=Projects!$C$44,38&lt;Projects!$C$44+Projects!$D$44),Projects!$B$44*INDEX(Curves!$B$4:$AR$4,1,38-Projects!$C$44+1),0)+IF(AND(Projects!$G$45="Yes",Projects!$X$45="Yes",38&gt;=Projects!$C$45,38&lt;Projects!$C$45+Projects!$D$45),Projects!$B$45*INDEX(Curves!$B$4:$AR$4,1,38-Projects!$C$45+1),0)+IF(AND(Projects!$G$46="Yes",Projects!$X$46="Yes",38&gt;=Projects!$C$46,38&lt;Projects!$C$46+Projects!$D$46),Projects!$B$46*INDEX(Curves!$B$4:$AR$4,1,38-Projects!$C$46+1),0)</f>
        <v>0</v>
      </c>
      <c r="AR96" s="296" t="n">
        <f aca="false">IF(AND(Projects!$G$17="Yes",Projects!$X$17="Yes",39&gt;=Projects!$C$17,39&lt;Projects!$C$17+Projects!$D$17),Projects!$B$17*INDEX(Curves!$B$4:$AR$4,1,39-Projects!$C$17+1),0)+IF(AND(Projects!$G$18="Yes",Projects!$X$18="Yes",39&gt;=Projects!$C$18,39&lt;Projects!$C$18+Projects!$D$18),Projects!$B$18*INDEX(Curves!$B$4:$AR$4,1,39-Projects!$C$18+1),0)+IF(AND(Projects!$G$19="Yes",Projects!$X$19="Yes",39&gt;=Projects!$C$19,39&lt;Projects!$C$19+Projects!$D$19),Projects!$B$19*INDEX(Curves!$B$10:$AR$10,1,39-Projects!$C$19+1),0)+IF(AND(Projects!$G$20="Yes",Projects!$X$20="Yes",39&gt;=Projects!$C$20,39&lt;Projects!$C$20+Projects!$D$20),Projects!$B$20*INDEX(Curves!$B$4:$AR$4,1,39-Projects!$C$20+1),0)+IF(AND(Projects!$G$21="Yes",Projects!$X$21="Yes",39&gt;=Projects!$C$21,39&lt;Projects!$C$21+Projects!$D$21),Projects!$B$21*INDEX(Curves!$B$11:$AR$11,1,39-Projects!$C$21+1),0)+IF(AND(Projects!$G$22="Yes",Projects!$X$22="Yes",39&gt;=Projects!$C$22,39&lt;Projects!$C$22+Projects!$D$22),Projects!$B$22*INDEX(Curves!$B$4:$AR$4,1,39-Projects!$C$22+1),0)+IF(AND(Projects!$G$23="Yes",Projects!$X$23="Yes",39&gt;=Projects!$C$23,39&lt;Projects!$C$23+Projects!$D$23),Projects!$B$23*INDEX(Curves!$B$4:$AR$4,1,39-Projects!$C$23+1),0)+IF(AND(Projects!$G$24="Yes",Projects!$X$24="Yes",39&gt;=Projects!$C$24,39&lt;Projects!$C$24+Projects!$D$24),Projects!$B$24*INDEX(Curves!$B$4:$AR$4,1,39-Projects!$C$24+1),0)+IF(AND(Projects!$G$25="Yes",Projects!$X$25="Yes",39&gt;=Projects!$C$25,39&lt;Projects!$C$25+Projects!$D$25),Projects!$B$25*INDEX(Curves!$B$4:$AR$4,1,39-Projects!$C$25+1),0)+IF(AND(Projects!$G$26="Yes",Projects!$X$26="Yes",39&gt;=Projects!$C$26,39&lt;Projects!$C$26+Projects!$D$26),Projects!$B$26*INDEX(Curves!$B$4:$AR$4,1,39-Projects!$C$26+1),0)+IF(AND(Projects!$G$27="Yes",Projects!$X$27="Yes",39&gt;=Projects!$C$27,39&lt;Projects!$C$27+Projects!$D$27),Projects!$B$27*INDEX(Curves!$B$4:$AR$4,1,39-Projects!$C$27+1),0)+IF(AND(Projects!$G$28="Yes",Projects!$X$28="Yes",39&gt;=Projects!$C$28,39&lt;Projects!$C$28+Projects!$D$28),Projects!$B$28*INDEX(Curves!$B$4:$AR$4,1,39-Projects!$C$28+1),0)+IF(AND(Projects!$G$29="Yes",Projects!$X$29="Yes",39&gt;=Projects!$C$29,39&lt;Projects!$C$29+Projects!$D$29),Projects!$B$29*INDEX(Curves!$B$4:$AR$4,1,39-Projects!$C$29+1),0)+IF(AND(Projects!$G$30="Yes",Projects!$X$30="Yes",39&gt;=Projects!$C$30,39&lt;Projects!$C$30+Projects!$D$30),Projects!$B$30*INDEX(Curves!$B$4:$AR$4,1,39-Projects!$C$30+1),0)+IF(AND(Projects!$G$31="Yes",Projects!$X$31="Yes",39&gt;=Projects!$C$31,39&lt;Projects!$C$31+Projects!$D$31),Projects!$B$31*INDEX(Curves!$B$4:$AR$4,1,39-Projects!$C$31+1),0)+IF(AND(Projects!$G$32="Yes",Projects!$X$32="Yes",39&gt;=Projects!$C$32,39&lt;Projects!$C$32+Projects!$D$32),Projects!$B$32*INDEX(Curves!$B$4:$AR$4,1,39-Projects!$C$32+1),0)+IF(AND(Projects!$G$33="Yes",Projects!$X$33="Yes",39&gt;=Projects!$C$33,39&lt;Projects!$C$33+Projects!$D$33),Projects!$B$33*INDEX(Curves!$B$4:$AR$4,1,39-Projects!$C$33+1),0)+IF(AND(Projects!$G$34="Yes",Projects!$X$34="Yes",39&gt;=Projects!$C$34,39&lt;Projects!$C$34+Projects!$D$34),Projects!$B$34*INDEX(Curves!$B$4:$AR$4,1,39-Projects!$C$34+1),0)+IF(AND(Projects!$G$35="Yes",Projects!$X$35="Yes",39&gt;=Projects!$C$35,39&lt;Projects!$C$35+Projects!$D$35),Projects!$B$35*INDEX(Curves!$B$4:$AR$4,1,39-Projects!$C$35+1),0)+IF(AND(Projects!$G$36="Yes",Projects!$X$36="Yes",39&gt;=Projects!$C$36,39&lt;Projects!$C$36+Projects!$D$36),Projects!$B$36*INDEX(Curves!$B$4:$AR$4,1,39-Projects!$C$36+1),0)+IF(AND(Projects!$G$37="Yes",Projects!$X$37="Yes",39&gt;=Projects!$C$37,39&lt;Projects!$C$37+Projects!$D$37),Projects!$B$37*INDEX(Curves!$B$4:$AR$4,1,39-Projects!$C$37+1),0)+IF(AND(Projects!$G$38="Yes",Projects!$X$38="Yes",39&gt;=Projects!$C$38,39&lt;Projects!$C$38+Projects!$D$38),Projects!$B$38*INDEX(Curves!$B$4:$AR$4,1,39-Projects!$C$38+1),0)+IF(AND(Projects!$G$39="Yes",Projects!$X$39="Yes",39&gt;=Projects!$C$39,39&lt;Projects!$C$39+Projects!$D$39),Projects!$B$39*INDEX(Curves!$B$4:$AR$4,1,39-Projects!$C$39+1),0)+IF(AND(Projects!$G$40="Yes",Projects!$X$40="Yes",39&gt;=Projects!$C$40,39&lt;Projects!$C$40+Projects!$D$40),Projects!$B$40*INDEX(Curves!$B$4:$AR$4,1,39-Projects!$C$40+1),0)+IF(AND(Projects!$G$41="Yes",Projects!$X$41="Yes",39&gt;=Projects!$C$41,39&lt;Projects!$C$41+Projects!$D$41),Projects!$B$41*INDEX(Curves!$B$4:$AR$4,1,39-Projects!$C$41+1),0)+IF(AND(Projects!$G$42="Yes",Projects!$X$42="Yes",39&gt;=Projects!$C$42,39&lt;Projects!$C$42+Projects!$D$42),Projects!$B$42*INDEX(Curves!$B$4:$AR$4,1,39-Projects!$C$42+1),0)+IF(AND(Projects!$G$43="Yes",Projects!$X$43="Yes",39&gt;=Projects!$C$43,39&lt;Projects!$C$43+Projects!$D$43),Projects!$B$43*INDEX(Curves!$B$4:$AR$4,1,39-Projects!$C$43+1),0)+IF(AND(Projects!$G$44="Yes",Projects!$X$44="Yes",39&gt;=Projects!$C$44,39&lt;Projects!$C$44+Projects!$D$44),Projects!$B$44*INDEX(Curves!$B$4:$AR$4,1,39-Projects!$C$44+1),0)+IF(AND(Projects!$G$45="Yes",Projects!$X$45="Yes",39&gt;=Projects!$C$45,39&lt;Projects!$C$45+Projects!$D$45),Projects!$B$45*INDEX(Curves!$B$4:$AR$4,1,39-Projects!$C$45+1),0)+IF(AND(Projects!$G$46="Yes",Projects!$X$46="Yes",39&gt;=Projects!$C$46,39&lt;Projects!$C$46+Projects!$D$46),Projects!$B$46*INDEX(Curves!$B$4:$AR$4,1,39-Projects!$C$46+1),0)</f>
        <v>0</v>
      </c>
      <c r="AS96" s="296" t="n">
        <f aca="false">IF(AND(Projects!$G$17="Yes",Projects!$X$17="Yes",40&gt;=Projects!$C$17,40&lt;Projects!$C$17+Projects!$D$17),Projects!$B$17*INDEX(Curves!$B$4:$AR$4,1,40-Projects!$C$17+1),0)+IF(AND(Projects!$G$18="Yes",Projects!$X$18="Yes",40&gt;=Projects!$C$18,40&lt;Projects!$C$18+Projects!$D$18),Projects!$B$18*INDEX(Curves!$B$4:$AR$4,1,40-Projects!$C$18+1),0)+IF(AND(Projects!$G$19="Yes",Projects!$X$19="Yes",40&gt;=Projects!$C$19,40&lt;Projects!$C$19+Projects!$D$19),Projects!$B$19*INDEX(Curves!$B$10:$AR$10,1,40-Projects!$C$19+1),0)+IF(AND(Projects!$G$20="Yes",Projects!$X$20="Yes",40&gt;=Projects!$C$20,40&lt;Projects!$C$20+Projects!$D$20),Projects!$B$20*INDEX(Curves!$B$4:$AR$4,1,40-Projects!$C$20+1),0)+IF(AND(Projects!$G$21="Yes",Projects!$X$21="Yes",40&gt;=Projects!$C$21,40&lt;Projects!$C$21+Projects!$D$21),Projects!$B$21*INDEX(Curves!$B$11:$AR$11,1,40-Projects!$C$21+1),0)+IF(AND(Projects!$G$22="Yes",Projects!$X$22="Yes",40&gt;=Projects!$C$22,40&lt;Projects!$C$22+Projects!$D$22),Projects!$B$22*INDEX(Curves!$B$4:$AR$4,1,40-Projects!$C$22+1),0)+IF(AND(Projects!$G$23="Yes",Projects!$X$23="Yes",40&gt;=Projects!$C$23,40&lt;Projects!$C$23+Projects!$D$23),Projects!$B$23*INDEX(Curves!$B$4:$AR$4,1,40-Projects!$C$23+1),0)+IF(AND(Projects!$G$24="Yes",Projects!$X$24="Yes",40&gt;=Projects!$C$24,40&lt;Projects!$C$24+Projects!$D$24),Projects!$B$24*INDEX(Curves!$B$4:$AR$4,1,40-Projects!$C$24+1),0)+IF(AND(Projects!$G$25="Yes",Projects!$X$25="Yes",40&gt;=Projects!$C$25,40&lt;Projects!$C$25+Projects!$D$25),Projects!$B$25*INDEX(Curves!$B$4:$AR$4,1,40-Projects!$C$25+1),0)+IF(AND(Projects!$G$26="Yes",Projects!$X$26="Yes",40&gt;=Projects!$C$26,40&lt;Projects!$C$26+Projects!$D$26),Projects!$B$26*INDEX(Curves!$B$4:$AR$4,1,40-Projects!$C$26+1),0)+IF(AND(Projects!$G$27="Yes",Projects!$X$27="Yes",40&gt;=Projects!$C$27,40&lt;Projects!$C$27+Projects!$D$27),Projects!$B$27*INDEX(Curves!$B$4:$AR$4,1,40-Projects!$C$27+1),0)+IF(AND(Projects!$G$28="Yes",Projects!$X$28="Yes",40&gt;=Projects!$C$28,40&lt;Projects!$C$28+Projects!$D$28),Projects!$B$28*INDEX(Curves!$B$4:$AR$4,1,40-Projects!$C$28+1),0)+IF(AND(Projects!$G$29="Yes",Projects!$X$29="Yes",40&gt;=Projects!$C$29,40&lt;Projects!$C$29+Projects!$D$29),Projects!$B$29*INDEX(Curves!$B$4:$AR$4,1,40-Projects!$C$29+1),0)+IF(AND(Projects!$G$30="Yes",Projects!$X$30="Yes",40&gt;=Projects!$C$30,40&lt;Projects!$C$30+Projects!$D$30),Projects!$B$30*INDEX(Curves!$B$4:$AR$4,1,40-Projects!$C$30+1),0)+IF(AND(Projects!$G$31="Yes",Projects!$X$31="Yes",40&gt;=Projects!$C$31,40&lt;Projects!$C$31+Projects!$D$31),Projects!$B$31*INDEX(Curves!$B$4:$AR$4,1,40-Projects!$C$31+1),0)+IF(AND(Projects!$G$32="Yes",Projects!$X$32="Yes",40&gt;=Projects!$C$32,40&lt;Projects!$C$32+Projects!$D$32),Projects!$B$32*INDEX(Curves!$B$4:$AR$4,1,40-Projects!$C$32+1),0)+IF(AND(Projects!$G$33="Yes",Projects!$X$33="Yes",40&gt;=Projects!$C$33,40&lt;Projects!$C$33+Projects!$D$33),Projects!$B$33*INDEX(Curves!$B$4:$AR$4,1,40-Projects!$C$33+1),0)+IF(AND(Projects!$G$34="Yes",Projects!$X$34="Yes",40&gt;=Projects!$C$34,40&lt;Projects!$C$34+Projects!$D$34),Projects!$B$34*INDEX(Curves!$B$4:$AR$4,1,40-Projects!$C$34+1),0)+IF(AND(Projects!$G$35="Yes",Projects!$X$35="Yes",40&gt;=Projects!$C$35,40&lt;Projects!$C$35+Projects!$D$35),Projects!$B$35*INDEX(Curves!$B$4:$AR$4,1,40-Projects!$C$35+1),0)+IF(AND(Projects!$G$36="Yes",Projects!$X$36="Yes",40&gt;=Projects!$C$36,40&lt;Projects!$C$36+Projects!$D$36),Projects!$B$36*INDEX(Curves!$B$4:$AR$4,1,40-Projects!$C$36+1),0)+IF(AND(Projects!$G$37="Yes",Projects!$X$37="Yes",40&gt;=Projects!$C$37,40&lt;Projects!$C$37+Projects!$D$37),Projects!$B$37*INDEX(Curves!$B$4:$AR$4,1,40-Projects!$C$37+1),0)+IF(AND(Projects!$G$38="Yes",Projects!$X$38="Yes",40&gt;=Projects!$C$38,40&lt;Projects!$C$38+Projects!$D$38),Projects!$B$38*INDEX(Curves!$B$4:$AR$4,1,40-Projects!$C$38+1),0)+IF(AND(Projects!$G$39="Yes",Projects!$X$39="Yes",40&gt;=Projects!$C$39,40&lt;Projects!$C$39+Projects!$D$39),Projects!$B$39*INDEX(Curves!$B$4:$AR$4,1,40-Projects!$C$39+1),0)+IF(AND(Projects!$G$40="Yes",Projects!$X$40="Yes",40&gt;=Projects!$C$40,40&lt;Projects!$C$40+Projects!$D$40),Projects!$B$40*INDEX(Curves!$B$4:$AR$4,1,40-Projects!$C$40+1),0)+IF(AND(Projects!$G$41="Yes",Projects!$X$41="Yes",40&gt;=Projects!$C$41,40&lt;Projects!$C$41+Projects!$D$41),Projects!$B$41*INDEX(Curves!$B$4:$AR$4,1,40-Projects!$C$41+1),0)+IF(AND(Projects!$G$42="Yes",Projects!$X$42="Yes",40&gt;=Projects!$C$42,40&lt;Projects!$C$42+Projects!$D$42),Projects!$B$42*INDEX(Curves!$B$4:$AR$4,1,40-Projects!$C$42+1),0)+IF(AND(Projects!$G$43="Yes",Projects!$X$43="Yes",40&gt;=Projects!$C$43,40&lt;Projects!$C$43+Projects!$D$43),Projects!$B$43*INDEX(Curves!$B$4:$AR$4,1,40-Projects!$C$43+1),0)+IF(AND(Projects!$G$44="Yes",Projects!$X$44="Yes",40&gt;=Projects!$C$44,40&lt;Projects!$C$44+Projects!$D$44),Projects!$B$44*INDEX(Curves!$B$4:$AR$4,1,40-Projects!$C$44+1),0)+IF(AND(Projects!$G$45="Yes",Projects!$X$45="Yes",40&gt;=Projects!$C$45,40&lt;Projects!$C$45+Projects!$D$45),Projects!$B$45*INDEX(Curves!$B$4:$AR$4,1,40-Projects!$C$45+1),0)+IF(AND(Projects!$G$46="Yes",Projects!$X$46="Yes",40&gt;=Projects!$C$46,40&lt;Projects!$C$46+Projects!$D$46),Projects!$B$46*INDEX(Curves!$B$4:$AR$4,1,40-Projects!$C$46+1),0)</f>
        <v>0</v>
      </c>
      <c r="AT96" s="296" t="n">
        <f aca="false">IF(AND(Projects!$G$17="Yes",Projects!$X$17="Yes",41&gt;=Projects!$C$17,41&lt;Projects!$C$17+Projects!$D$17),Projects!$B$17*INDEX(Curves!$B$4:$AR$4,1,41-Projects!$C$17+1),0)+IF(AND(Projects!$G$18="Yes",Projects!$X$18="Yes",41&gt;=Projects!$C$18,41&lt;Projects!$C$18+Projects!$D$18),Projects!$B$18*INDEX(Curves!$B$4:$AR$4,1,41-Projects!$C$18+1),0)+IF(AND(Projects!$G$19="Yes",Projects!$X$19="Yes",41&gt;=Projects!$C$19,41&lt;Projects!$C$19+Projects!$D$19),Projects!$B$19*INDEX(Curves!$B$10:$AR$10,1,41-Projects!$C$19+1),0)+IF(AND(Projects!$G$20="Yes",Projects!$X$20="Yes",41&gt;=Projects!$C$20,41&lt;Projects!$C$20+Projects!$D$20),Projects!$B$20*INDEX(Curves!$B$4:$AR$4,1,41-Projects!$C$20+1),0)+IF(AND(Projects!$G$21="Yes",Projects!$X$21="Yes",41&gt;=Projects!$C$21,41&lt;Projects!$C$21+Projects!$D$21),Projects!$B$21*INDEX(Curves!$B$11:$AR$11,1,41-Projects!$C$21+1),0)+IF(AND(Projects!$G$22="Yes",Projects!$X$22="Yes",41&gt;=Projects!$C$22,41&lt;Projects!$C$22+Projects!$D$22),Projects!$B$22*INDEX(Curves!$B$4:$AR$4,1,41-Projects!$C$22+1),0)+IF(AND(Projects!$G$23="Yes",Projects!$X$23="Yes",41&gt;=Projects!$C$23,41&lt;Projects!$C$23+Projects!$D$23),Projects!$B$23*INDEX(Curves!$B$4:$AR$4,1,41-Projects!$C$23+1),0)+IF(AND(Projects!$G$24="Yes",Projects!$X$24="Yes",41&gt;=Projects!$C$24,41&lt;Projects!$C$24+Projects!$D$24),Projects!$B$24*INDEX(Curves!$B$4:$AR$4,1,41-Projects!$C$24+1),0)+IF(AND(Projects!$G$25="Yes",Projects!$X$25="Yes",41&gt;=Projects!$C$25,41&lt;Projects!$C$25+Projects!$D$25),Projects!$B$25*INDEX(Curves!$B$4:$AR$4,1,41-Projects!$C$25+1),0)+IF(AND(Projects!$G$26="Yes",Projects!$X$26="Yes",41&gt;=Projects!$C$26,41&lt;Projects!$C$26+Projects!$D$26),Projects!$B$26*INDEX(Curves!$B$4:$AR$4,1,41-Projects!$C$26+1),0)+IF(AND(Projects!$G$27="Yes",Projects!$X$27="Yes",41&gt;=Projects!$C$27,41&lt;Projects!$C$27+Projects!$D$27),Projects!$B$27*INDEX(Curves!$B$4:$AR$4,1,41-Projects!$C$27+1),0)+IF(AND(Projects!$G$28="Yes",Projects!$X$28="Yes",41&gt;=Projects!$C$28,41&lt;Projects!$C$28+Projects!$D$28),Projects!$B$28*INDEX(Curves!$B$4:$AR$4,1,41-Projects!$C$28+1),0)+IF(AND(Projects!$G$29="Yes",Projects!$X$29="Yes",41&gt;=Projects!$C$29,41&lt;Projects!$C$29+Projects!$D$29),Projects!$B$29*INDEX(Curves!$B$4:$AR$4,1,41-Projects!$C$29+1),0)+IF(AND(Projects!$G$30="Yes",Projects!$X$30="Yes",41&gt;=Projects!$C$30,41&lt;Projects!$C$30+Projects!$D$30),Projects!$B$30*INDEX(Curves!$B$4:$AR$4,1,41-Projects!$C$30+1),0)+IF(AND(Projects!$G$31="Yes",Projects!$X$31="Yes",41&gt;=Projects!$C$31,41&lt;Projects!$C$31+Projects!$D$31),Projects!$B$31*INDEX(Curves!$B$4:$AR$4,1,41-Projects!$C$31+1),0)+IF(AND(Projects!$G$32="Yes",Projects!$X$32="Yes",41&gt;=Projects!$C$32,41&lt;Projects!$C$32+Projects!$D$32),Projects!$B$32*INDEX(Curves!$B$4:$AR$4,1,41-Projects!$C$32+1),0)+IF(AND(Projects!$G$33="Yes",Projects!$X$33="Yes",41&gt;=Projects!$C$33,41&lt;Projects!$C$33+Projects!$D$33),Projects!$B$33*INDEX(Curves!$B$4:$AR$4,1,41-Projects!$C$33+1),0)+IF(AND(Projects!$G$34="Yes",Projects!$X$34="Yes",41&gt;=Projects!$C$34,41&lt;Projects!$C$34+Projects!$D$34),Projects!$B$34*INDEX(Curves!$B$4:$AR$4,1,41-Projects!$C$34+1),0)+IF(AND(Projects!$G$35="Yes",Projects!$X$35="Yes",41&gt;=Projects!$C$35,41&lt;Projects!$C$35+Projects!$D$35),Projects!$B$35*INDEX(Curves!$B$4:$AR$4,1,41-Projects!$C$35+1),0)+IF(AND(Projects!$G$36="Yes",Projects!$X$36="Yes",41&gt;=Projects!$C$36,41&lt;Projects!$C$36+Projects!$D$36),Projects!$B$36*INDEX(Curves!$B$4:$AR$4,1,41-Projects!$C$36+1),0)+IF(AND(Projects!$G$37="Yes",Projects!$X$37="Yes",41&gt;=Projects!$C$37,41&lt;Projects!$C$37+Projects!$D$37),Projects!$B$37*INDEX(Curves!$B$4:$AR$4,1,41-Projects!$C$37+1),0)+IF(AND(Projects!$G$38="Yes",Projects!$X$38="Yes",41&gt;=Projects!$C$38,41&lt;Projects!$C$38+Projects!$D$38),Projects!$B$38*INDEX(Curves!$B$4:$AR$4,1,41-Projects!$C$38+1),0)+IF(AND(Projects!$G$39="Yes",Projects!$X$39="Yes",41&gt;=Projects!$C$39,41&lt;Projects!$C$39+Projects!$D$39),Projects!$B$39*INDEX(Curves!$B$4:$AR$4,1,41-Projects!$C$39+1),0)+IF(AND(Projects!$G$40="Yes",Projects!$X$40="Yes",41&gt;=Projects!$C$40,41&lt;Projects!$C$40+Projects!$D$40),Projects!$B$40*INDEX(Curves!$B$4:$AR$4,1,41-Projects!$C$40+1),0)+IF(AND(Projects!$G$41="Yes",Projects!$X$41="Yes",41&gt;=Projects!$C$41,41&lt;Projects!$C$41+Projects!$D$41),Projects!$B$41*INDEX(Curves!$B$4:$AR$4,1,41-Projects!$C$41+1),0)+IF(AND(Projects!$G$42="Yes",Projects!$X$42="Yes",41&gt;=Projects!$C$42,41&lt;Projects!$C$42+Projects!$D$42),Projects!$B$42*INDEX(Curves!$B$4:$AR$4,1,41-Projects!$C$42+1),0)+IF(AND(Projects!$G$43="Yes",Projects!$X$43="Yes",41&gt;=Projects!$C$43,41&lt;Projects!$C$43+Projects!$D$43),Projects!$B$43*INDEX(Curves!$B$4:$AR$4,1,41-Projects!$C$43+1),0)+IF(AND(Projects!$G$44="Yes",Projects!$X$44="Yes",41&gt;=Projects!$C$44,41&lt;Projects!$C$44+Projects!$D$44),Projects!$B$44*INDEX(Curves!$B$4:$AR$4,1,41-Projects!$C$44+1),0)+IF(AND(Projects!$G$45="Yes",Projects!$X$45="Yes",41&gt;=Projects!$C$45,41&lt;Projects!$C$45+Projects!$D$45),Projects!$B$45*INDEX(Curves!$B$4:$AR$4,1,41-Projects!$C$45+1),0)+IF(AND(Projects!$G$46="Yes",Projects!$X$46="Yes",41&gt;=Projects!$C$46,41&lt;Projects!$C$46+Projects!$D$46),Projects!$B$46*INDEX(Curves!$B$4:$AR$4,1,41-Projects!$C$46+1),0)</f>
        <v>0</v>
      </c>
      <c r="AU96" s="296" t="n">
        <f aca="false">IF(AND(Projects!$G$17="Yes",Projects!$X$17="Yes",42&gt;=Projects!$C$17,42&lt;Projects!$C$17+Projects!$D$17),Projects!$B$17*INDEX(Curves!$B$4:$AR$4,1,42-Projects!$C$17+1),0)+IF(AND(Projects!$G$18="Yes",Projects!$X$18="Yes",42&gt;=Projects!$C$18,42&lt;Projects!$C$18+Projects!$D$18),Projects!$B$18*INDEX(Curves!$B$4:$AR$4,1,42-Projects!$C$18+1),0)+IF(AND(Projects!$G$19="Yes",Projects!$X$19="Yes",42&gt;=Projects!$C$19,42&lt;Projects!$C$19+Projects!$D$19),Projects!$B$19*INDEX(Curves!$B$10:$AR$10,1,42-Projects!$C$19+1),0)+IF(AND(Projects!$G$20="Yes",Projects!$X$20="Yes",42&gt;=Projects!$C$20,42&lt;Projects!$C$20+Projects!$D$20),Projects!$B$20*INDEX(Curves!$B$4:$AR$4,1,42-Projects!$C$20+1),0)+IF(AND(Projects!$G$21="Yes",Projects!$X$21="Yes",42&gt;=Projects!$C$21,42&lt;Projects!$C$21+Projects!$D$21),Projects!$B$21*INDEX(Curves!$B$11:$AR$11,1,42-Projects!$C$21+1),0)+IF(AND(Projects!$G$22="Yes",Projects!$X$22="Yes",42&gt;=Projects!$C$22,42&lt;Projects!$C$22+Projects!$D$22),Projects!$B$22*INDEX(Curves!$B$4:$AR$4,1,42-Projects!$C$22+1),0)+IF(AND(Projects!$G$23="Yes",Projects!$X$23="Yes",42&gt;=Projects!$C$23,42&lt;Projects!$C$23+Projects!$D$23),Projects!$B$23*INDEX(Curves!$B$4:$AR$4,1,42-Projects!$C$23+1),0)+IF(AND(Projects!$G$24="Yes",Projects!$X$24="Yes",42&gt;=Projects!$C$24,42&lt;Projects!$C$24+Projects!$D$24),Projects!$B$24*INDEX(Curves!$B$4:$AR$4,1,42-Projects!$C$24+1),0)+IF(AND(Projects!$G$25="Yes",Projects!$X$25="Yes",42&gt;=Projects!$C$25,42&lt;Projects!$C$25+Projects!$D$25),Projects!$B$25*INDEX(Curves!$B$4:$AR$4,1,42-Projects!$C$25+1),0)+IF(AND(Projects!$G$26="Yes",Projects!$X$26="Yes",42&gt;=Projects!$C$26,42&lt;Projects!$C$26+Projects!$D$26),Projects!$B$26*INDEX(Curves!$B$4:$AR$4,1,42-Projects!$C$26+1),0)+IF(AND(Projects!$G$27="Yes",Projects!$X$27="Yes",42&gt;=Projects!$C$27,42&lt;Projects!$C$27+Projects!$D$27),Projects!$B$27*INDEX(Curves!$B$4:$AR$4,1,42-Projects!$C$27+1),0)+IF(AND(Projects!$G$28="Yes",Projects!$X$28="Yes",42&gt;=Projects!$C$28,42&lt;Projects!$C$28+Projects!$D$28),Projects!$B$28*INDEX(Curves!$B$4:$AR$4,1,42-Projects!$C$28+1),0)+IF(AND(Projects!$G$29="Yes",Projects!$X$29="Yes",42&gt;=Projects!$C$29,42&lt;Projects!$C$29+Projects!$D$29),Projects!$B$29*INDEX(Curves!$B$4:$AR$4,1,42-Projects!$C$29+1),0)+IF(AND(Projects!$G$30="Yes",Projects!$X$30="Yes",42&gt;=Projects!$C$30,42&lt;Projects!$C$30+Projects!$D$30),Projects!$B$30*INDEX(Curves!$B$4:$AR$4,1,42-Projects!$C$30+1),0)+IF(AND(Projects!$G$31="Yes",Projects!$X$31="Yes",42&gt;=Projects!$C$31,42&lt;Projects!$C$31+Projects!$D$31),Projects!$B$31*INDEX(Curves!$B$4:$AR$4,1,42-Projects!$C$31+1),0)+IF(AND(Projects!$G$32="Yes",Projects!$X$32="Yes",42&gt;=Projects!$C$32,42&lt;Projects!$C$32+Projects!$D$32),Projects!$B$32*INDEX(Curves!$B$4:$AR$4,1,42-Projects!$C$32+1),0)+IF(AND(Projects!$G$33="Yes",Projects!$X$33="Yes",42&gt;=Projects!$C$33,42&lt;Projects!$C$33+Projects!$D$33),Projects!$B$33*INDEX(Curves!$B$4:$AR$4,1,42-Projects!$C$33+1),0)+IF(AND(Projects!$G$34="Yes",Projects!$X$34="Yes",42&gt;=Projects!$C$34,42&lt;Projects!$C$34+Projects!$D$34),Projects!$B$34*INDEX(Curves!$B$4:$AR$4,1,42-Projects!$C$34+1),0)+IF(AND(Projects!$G$35="Yes",Projects!$X$35="Yes",42&gt;=Projects!$C$35,42&lt;Projects!$C$35+Projects!$D$35),Projects!$B$35*INDEX(Curves!$B$4:$AR$4,1,42-Projects!$C$35+1),0)+IF(AND(Projects!$G$36="Yes",Projects!$X$36="Yes",42&gt;=Projects!$C$36,42&lt;Projects!$C$36+Projects!$D$36),Projects!$B$36*INDEX(Curves!$B$4:$AR$4,1,42-Projects!$C$36+1),0)+IF(AND(Projects!$G$37="Yes",Projects!$X$37="Yes",42&gt;=Projects!$C$37,42&lt;Projects!$C$37+Projects!$D$37),Projects!$B$37*INDEX(Curves!$B$4:$AR$4,1,42-Projects!$C$37+1),0)+IF(AND(Projects!$G$38="Yes",Projects!$X$38="Yes",42&gt;=Projects!$C$38,42&lt;Projects!$C$38+Projects!$D$38),Projects!$B$38*INDEX(Curves!$B$4:$AR$4,1,42-Projects!$C$38+1),0)+IF(AND(Projects!$G$39="Yes",Projects!$X$39="Yes",42&gt;=Projects!$C$39,42&lt;Projects!$C$39+Projects!$D$39),Projects!$B$39*INDEX(Curves!$B$4:$AR$4,1,42-Projects!$C$39+1),0)+IF(AND(Projects!$G$40="Yes",Projects!$X$40="Yes",42&gt;=Projects!$C$40,42&lt;Projects!$C$40+Projects!$D$40),Projects!$B$40*INDEX(Curves!$B$4:$AR$4,1,42-Projects!$C$40+1),0)+IF(AND(Projects!$G$41="Yes",Projects!$X$41="Yes",42&gt;=Projects!$C$41,42&lt;Projects!$C$41+Projects!$D$41),Projects!$B$41*INDEX(Curves!$B$4:$AR$4,1,42-Projects!$C$41+1),0)+IF(AND(Projects!$G$42="Yes",Projects!$X$42="Yes",42&gt;=Projects!$C$42,42&lt;Projects!$C$42+Projects!$D$42),Projects!$B$42*INDEX(Curves!$B$4:$AR$4,1,42-Projects!$C$42+1),0)+IF(AND(Projects!$G$43="Yes",Projects!$X$43="Yes",42&gt;=Projects!$C$43,42&lt;Projects!$C$43+Projects!$D$43),Projects!$B$43*INDEX(Curves!$B$4:$AR$4,1,42-Projects!$C$43+1),0)+IF(AND(Projects!$G$44="Yes",Projects!$X$44="Yes",42&gt;=Projects!$C$44,42&lt;Projects!$C$44+Projects!$D$44),Projects!$B$44*INDEX(Curves!$B$4:$AR$4,1,42-Projects!$C$44+1),0)+IF(AND(Projects!$G$45="Yes",Projects!$X$45="Yes",42&gt;=Projects!$C$45,42&lt;Projects!$C$45+Projects!$D$45),Projects!$B$45*INDEX(Curves!$B$4:$AR$4,1,42-Projects!$C$45+1),0)+IF(AND(Projects!$G$46="Yes",Projects!$X$46="Yes",42&gt;=Projects!$C$46,42&lt;Projects!$C$46+Projects!$D$46),Projects!$B$46*INDEX(Curves!$B$4:$AR$4,1,42-Projects!$C$46+1),0)</f>
        <v>0</v>
      </c>
      <c r="AV96" s="296" t="n">
        <f aca="false">IF(AND(Projects!$G$17="Yes",Projects!$X$17="Yes",43&gt;=Projects!$C$17,43&lt;Projects!$C$17+Projects!$D$17),Projects!$B$17*INDEX(Curves!$B$4:$AR$4,1,43-Projects!$C$17+1),0)+IF(AND(Projects!$G$18="Yes",Projects!$X$18="Yes",43&gt;=Projects!$C$18,43&lt;Projects!$C$18+Projects!$D$18),Projects!$B$18*INDEX(Curves!$B$4:$AR$4,1,43-Projects!$C$18+1),0)+IF(AND(Projects!$G$19="Yes",Projects!$X$19="Yes",43&gt;=Projects!$C$19,43&lt;Projects!$C$19+Projects!$D$19),Projects!$B$19*INDEX(Curves!$B$10:$AR$10,1,43-Projects!$C$19+1),0)+IF(AND(Projects!$G$20="Yes",Projects!$X$20="Yes",43&gt;=Projects!$C$20,43&lt;Projects!$C$20+Projects!$D$20),Projects!$B$20*INDEX(Curves!$B$4:$AR$4,1,43-Projects!$C$20+1),0)+IF(AND(Projects!$G$21="Yes",Projects!$X$21="Yes",43&gt;=Projects!$C$21,43&lt;Projects!$C$21+Projects!$D$21),Projects!$B$21*INDEX(Curves!$B$11:$AR$11,1,43-Projects!$C$21+1),0)+IF(AND(Projects!$G$22="Yes",Projects!$X$22="Yes",43&gt;=Projects!$C$22,43&lt;Projects!$C$22+Projects!$D$22),Projects!$B$22*INDEX(Curves!$B$4:$AR$4,1,43-Projects!$C$22+1),0)+IF(AND(Projects!$G$23="Yes",Projects!$X$23="Yes",43&gt;=Projects!$C$23,43&lt;Projects!$C$23+Projects!$D$23),Projects!$B$23*INDEX(Curves!$B$4:$AR$4,1,43-Projects!$C$23+1),0)+IF(AND(Projects!$G$24="Yes",Projects!$X$24="Yes",43&gt;=Projects!$C$24,43&lt;Projects!$C$24+Projects!$D$24),Projects!$B$24*INDEX(Curves!$B$4:$AR$4,1,43-Projects!$C$24+1),0)+IF(AND(Projects!$G$25="Yes",Projects!$X$25="Yes",43&gt;=Projects!$C$25,43&lt;Projects!$C$25+Projects!$D$25),Projects!$B$25*INDEX(Curves!$B$4:$AR$4,1,43-Projects!$C$25+1),0)+IF(AND(Projects!$G$26="Yes",Projects!$X$26="Yes",43&gt;=Projects!$C$26,43&lt;Projects!$C$26+Projects!$D$26),Projects!$B$26*INDEX(Curves!$B$4:$AR$4,1,43-Projects!$C$26+1),0)+IF(AND(Projects!$G$27="Yes",Projects!$X$27="Yes",43&gt;=Projects!$C$27,43&lt;Projects!$C$27+Projects!$D$27),Projects!$B$27*INDEX(Curves!$B$4:$AR$4,1,43-Projects!$C$27+1),0)+IF(AND(Projects!$G$28="Yes",Projects!$X$28="Yes",43&gt;=Projects!$C$28,43&lt;Projects!$C$28+Projects!$D$28),Projects!$B$28*INDEX(Curves!$B$4:$AR$4,1,43-Projects!$C$28+1),0)+IF(AND(Projects!$G$29="Yes",Projects!$X$29="Yes",43&gt;=Projects!$C$29,43&lt;Projects!$C$29+Projects!$D$29),Projects!$B$29*INDEX(Curves!$B$4:$AR$4,1,43-Projects!$C$29+1),0)+IF(AND(Projects!$G$30="Yes",Projects!$X$30="Yes",43&gt;=Projects!$C$30,43&lt;Projects!$C$30+Projects!$D$30),Projects!$B$30*INDEX(Curves!$B$4:$AR$4,1,43-Projects!$C$30+1),0)+IF(AND(Projects!$G$31="Yes",Projects!$X$31="Yes",43&gt;=Projects!$C$31,43&lt;Projects!$C$31+Projects!$D$31),Projects!$B$31*INDEX(Curves!$B$4:$AR$4,1,43-Projects!$C$31+1),0)+IF(AND(Projects!$G$32="Yes",Projects!$X$32="Yes",43&gt;=Projects!$C$32,43&lt;Projects!$C$32+Projects!$D$32),Projects!$B$32*INDEX(Curves!$B$4:$AR$4,1,43-Projects!$C$32+1),0)+IF(AND(Projects!$G$33="Yes",Projects!$X$33="Yes",43&gt;=Projects!$C$33,43&lt;Projects!$C$33+Projects!$D$33),Projects!$B$33*INDEX(Curves!$B$4:$AR$4,1,43-Projects!$C$33+1),0)+IF(AND(Projects!$G$34="Yes",Projects!$X$34="Yes",43&gt;=Projects!$C$34,43&lt;Projects!$C$34+Projects!$D$34),Projects!$B$34*INDEX(Curves!$B$4:$AR$4,1,43-Projects!$C$34+1),0)+IF(AND(Projects!$G$35="Yes",Projects!$X$35="Yes",43&gt;=Projects!$C$35,43&lt;Projects!$C$35+Projects!$D$35),Projects!$B$35*INDEX(Curves!$B$4:$AR$4,1,43-Projects!$C$35+1),0)+IF(AND(Projects!$G$36="Yes",Projects!$X$36="Yes",43&gt;=Projects!$C$36,43&lt;Projects!$C$36+Projects!$D$36),Projects!$B$36*INDEX(Curves!$B$4:$AR$4,1,43-Projects!$C$36+1),0)+IF(AND(Projects!$G$37="Yes",Projects!$X$37="Yes",43&gt;=Projects!$C$37,43&lt;Projects!$C$37+Projects!$D$37),Projects!$B$37*INDEX(Curves!$B$4:$AR$4,1,43-Projects!$C$37+1),0)+IF(AND(Projects!$G$38="Yes",Projects!$X$38="Yes",43&gt;=Projects!$C$38,43&lt;Projects!$C$38+Projects!$D$38),Projects!$B$38*INDEX(Curves!$B$4:$AR$4,1,43-Projects!$C$38+1),0)+IF(AND(Projects!$G$39="Yes",Projects!$X$39="Yes",43&gt;=Projects!$C$39,43&lt;Projects!$C$39+Projects!$D$39),Projects!$B$39*INDEX(Curves!$B$4:$AR$4,1,43-Projects!$C$39+1),0)+IF(AND(Projects!$G$40="Yes",Projects!$X$40="Yes",43&gt;=Projects!$C$40,43&lt;Projects!$C$40+Projects!$D$40),Projects!$B$40*INDEX(Curves!$B$4:$AR$4,1,43-Projects!$C$40+1),0)+IF(AND(Projects!$G$41="Yes",Projects!$X$41="Yes",43&gt;=Projects!$C$41,43&lt;Projects!$C$41+Projects!$D$41),Projects!$B$41*INDEX(Curves!$B$4:$AR$4,1,43-Projects!$C$41+1),0)+IF(AND(Projects!$G$42="Yes",Projects!$X$42="Yes",43&gt;=Projects!$C$42,43&lt;Projects!$C$42+Projects!$D$42),Projects!$B$42*INDEX(Curves!$B$4:$AR$4,1,43-Projects!$C$42+1),0)+IF(AND(Projects!$G$43="Yes",Projects!$X$43="Yes",43&gt;=Projects!$C$43,43&lt;Projects!$C$43+Projects!$D$43),Projects!$B$43*INDEX(Curves!$B$4:$AR$4,1,43-Projects!$C$43+1),0)+IF(AND(Projects!$G$44="Yes",Projects!$X$44="Yes",43&gt;=Projects!$C$44,43&lt;Projects!$C$44+Projects!$D$44),Projects!$B$44*INDEX(Curves!$B$4:$AR$4,1,43-Projects!$C$44+1),0)+IF(AND(Projects!$G$45="Yes",Projects!$X$45="Yes",43&gt;=Projects!$C$45,43&lt;Projects!$C$45+Projects!$D$45),Projects!$B$45*INDEX(Curves!$B$4:$AR$4,1,43-Projects!$C$45+1),0)+IF(AND(Projects!$G$46="Yes",Projects!$X$46="Yes",43&gt;=Projects!$C$46,43&lt;Projects!$C$46+Projects!$D$46),Projects!$B$46*INDEX(Curves!$B$4:$AR$4,1,43-Projects!$C$46+1),0)</f>
        <v>0</v>
      </c>
      <c r="AW96" s="296" t="n">
        <f aca="false">IF(AND(Projects!$G$17="Yes",Projects!$X$17="Yes",44&gt;=Projects!$C$17,44&lt;Projects!$C$17+Projects!$D$17),Projects!$B$17*INDEX(Curves!$B$4:$AR$4,1,44-Projects!$C$17+1),0)+IF(AND(Projects!$G$18="Yes",Projects!$X$18="Yes",44&gt;=Projects!$C$18,44&lt;Projects!$C$18+Projects!$D$18),Projects!$B$18*INDEX(Curves!$B$4:$AR$4,1,44-Projects!$C$18+1),0)+IF(AND(Projects!$G$19="Yes",Projects!$X$19="Yes",44&gt;=Projects!$C$19,44&lt;Projects!$C$19+Projects!$D$19),Projects!$B$19*INDEX(Curves!$B$10:$AR$10,1,44-Projects!$C$19+1),0)+IF(AND(Projects!$G$20="Yes",Projects!$X$20="Yes",44&gt;=Projects!$C$20,44&lt;Projects!$C$20+Projects!$D$20),Projects!$B$20*INDEX(Curves!$B$4:$AR$4,1,44-Projects!$C$20+1),0)+IF(AND(Projects!$G$21="Yes",Projects!$X$21="Yes",44&gt;=Projects!$C$21,44&lt;Projects!$C$21+Projects!$D$21),Projects!$B$21*INDEX(Curves!$B$11:$AR$11,1,44-Projects!$C$21+1),0)+IF(AND(Projects!$G$22="Yes",Projects!$X$22="Yes",44&gt;=Projects!$C$22,44&lt;Projects!$C$22+Projects!$D$22),Projects!$B$22*INDEX(Curves!$B$4:$AR$4,1,44-Projects!$C$22+1),0)+IF(AND(Projects!$G$23="Yes",Projects!$X$23="Yes",44&gt;=Projects!$C$23,44&lt;Projects!$C$23+Projects!$D$23),Projects!$B$23*INDEX(Curves!$B$4:$AR$4,1,44-Projects!$C$23+1),0)+IF(AND(Projects!$G$24="Yes",Projects!$X$24="Yes",44&gt;=Projects!$C$24,44&lt;Projects!$C$24+Projects!$D$24),Projects!$B$24*INDEX(Curves!$B$4:$AR$4,1,44-Projects!$C$24+1),0)+IF(AND(Projects!$G$25="Yes",Projects!$X$25="Yes",44&gt;=Projects!$C$25,44&lt;Projects!$C$25+Projects!$D$25),Projects!$B$25*INDEX(Curves!$B$4:$AR$4,1,44-Projects!$C$25+1),0)+IF(AND(Projects!$G$26="Yes",Projects!$X$26="Yes",44&gt;=Projects!$C$26,44&lt;Projects!$C$26+Projects!$D$26),Projects!$B$26*INDEX(Curves!$B$4:$AR$4,1,44-Projects!$C$26+1),0)+IF(AND(Projects!$G$27="Yes",Projects!$X$27="Yes",44&gt;=Projects!$C$27,44&lt;Projects!$C$27+Projects!$D$27),Projects!$B$27*INDEX(Curves!$B$4:$AR$4,1,44-Projects!$C$27+1),0)+IF(AND(Projects!$G$28="Yes",Projects!$X$28="Yes",44&gt;=Projects!$C$28,44&lt;Projects!$C$28+Projects!$D$28),Projects!$B$28*INDEX(Curves!$B$4:$AR$4,1,44-Projects!$C$28+1),0)+IF(AND(Projects!$G$29="Yes",Projects!$X$29="Yes",44&gt;=Projects!$C$29,44&lt;Projects!$C$29+Projects!$D$29),Projects!$B$29*INDEX(Curves!$B$4:$AR$4,1,44-Projects!$C$29+1),0)+IF(AND(Projects!$G$30="Yes",Projects!$X$30="Yes",44&gt;=Projects!$C$30,44&lt;Projects!$C$30+Projects!$D$30),Projects!$B$30*INDEX(Curves!$B$4:$AR$4,1,44-Projects!$C$30+1),0)+IF(AND(Projects!$G$31="Yes",Projects!$X$31="Yes",44&gt;=Projects!$C$31,44&lt;Projects!$C$31+Projects!$D$31),Projects!$B$31*INDEX(Curves!$B$4:$AR$4,1,44-Projects!$C$31+1),0)+IF(AND(Projects!$G$32="Yes",Projects!$X$32="Yes",44&gt;=Projects!$C$32,44&lt;Projects!$C$32+Projects!$D$32),Projects!$B$32*INDEX(Curves!$B$4:$AR$4,1,44-Projects!$C$32+1),0)+IF(AND(Projects!$G$33="Yes",Projects!$X$33="Yes",44&gt;=Projects!$C$33,44&lt;Projects!$C$33+Projects!$D$33),Projects!$B$33*INDEX(Curves!$B$4:$AR$4,1,44-Projects!$C$33+1),0)+IF(AND(Projects!$G$34="Yes",Projects!$X$34="Yes",44&gt;=Projects!$C$34,44&lt;Projects!$C$34+Projects!$D$34),Projects!$B$34*INDEX(Curves!$B$4:$AR$4,1,44-Projects!$C$34+1),0)+IF(AND(Projects!$G$35="Yes",Projects!$X$35="Yes",44&gt;=Projects!$C$35,44&lt;Projects!$C$35+Projects!$D$35),Projects!$B$35*INDEX(Curves!$B$4:$AR$4,1,44-Projects!$C$35+1),0)+IF(AND(Projects!$G$36="Yes",Projects!$X$36="Yes",44&gt;=Projects!$C$36,44&lt;Projects!$C$36+Projects!$D$36),Projects!$B$36*INDEX(Curves!$B$4:$AR$4,1,44-Projects!$C$36+1),0)+IF(AND(Projects!$G$37="Yes",Projects!$X$37="Yes",44&gt;=Projects!$C$37,44&lt;Projects!$C$37+Projects!$D$37),Projects!$B$37*INDEX(Curves!$B$4:$AR$4,1,44-Projects!$C$37+1),0)+IF(AND(Projects!$G$38="Yes",Projects!$X$38="Yes",44&gt;=Projects!$C$38,44&lt;Projects!$C$38+Projects!$D$38),Projects!$B$38*INDEX(Curves!$B$4:$AR$4,1,44-Projects!$C$38+1),0)+IF(AND(Projects!$G$39="Yes",Projects!$X$39="Yes",44&gt;=Projects!$C$39,44&lt;Projects!$C$39+Projects!$D$39),Projects!$B$39*INDEX(Curves!$B$4:$AR$4,1,44-Projects!$C$39+1),0)+IF(AND(Projects!$G$40="Yes",Projects!$X$40="Yes",44&gt;=Projects!$C$40,44&lt;Projects!$C$40+Projects!$D$40),Projects!$B$40*INDEX(Curves!$B$4:$AR$4,1,44-Projects!$C$40+1),0)+IF(AND(Projects!$G$41="Yes",Projects!$X$41="Yes",44&gt;=Projects!$C$41,44&lt;Projects!$C$41+Projects!$D$41),Projects!$B$41*INDEX(Curves!$B$4:$AR$4,1,44-Projects!$C$41+1),0)+IF(AND(Projects!$G$42="Yes",Projects!$X$42="Yes",44&gt;=Projects!$C$42,44&lt;Projects!$C$42+Projects!$D$42),Projects!$B$42*INDEX(Curves!$B$4:$AR$4,1,44-Projects!$C$42+1),0)+IF(AND(Projects!$G$43="Yes",Projects!$X$43="Yes",44&gt;=Projects!$C$43,44&lt;Projects!$C$43+Projects!$D$43),Projects!$B$43*INDEX(Curves!$B$4:$AR$4,1,44-Projects!$C$43+1),0)+IF(AND(Projects!$G$44="Yes",Projects!$X$44="Yes",44&gt;=Projects!$C$44,44&lt;Projects!$C$44+Projects!$D$44),Projects!$B$44*INDEX(Curves!$B$4:$AR$4,1,44-Projects!$C$44+1),0)+IF(AND(Projects!$G$45="Yes",Projects!$X$45="Yes",44&gt;=Projects!$C$45,44&lt;Projects!$C$45+Projects!$D$45),Projects!$B$45*INDEX(Curves!$B$4:$AR$4,1,44-Projects!$C$45+1),0)+IF(AND(Projects!$G$46="Yes",Projects!$X$46="Yes",44&gt;=Projects!$C$46,44&lt;Projects!$C$46+Projects!$D$46),Projects!$B$46*INDEX(Curves!$B$4:$AR$4,1,44-Projects!$C$46+1),0)</f>
        <v>0</v>
      </c>
      <c r="AX96" s="296" t="n">
        <f aca="false">IF(AND(Projects!$G$17="Yes",Projects!$X$17="Yes",45&gt;=Projects!$C$17,45&lt;Projects!$C$17+Projects!$D$17),Projects!$B$17*INDEX(Curves!$B$4:$AR$4,1,45-Projects!$C$17+1),0)+IF(AND(Projects!$G$18="Yes",Projects!$X$18="Yes",45&gt;=Projects!$C$18,45&lt;Projects!$C$18+Projects!$D$18),Projects!$B$18*INDEX(Curves!$B$4:$AR$4,1,45-Projects!$C$18+1),0)+IF(AND(Projects!$G$19="Yes",Projects!$X$19="Yes",45&gt;=Projects!$C$19,45&lt;Projects!$C$19+Projects!$D$19),Projects!$B$19*INDEX(Curves!$B$10:$AR$10,1,45-Projects!$C$19+1),0)+IF(AND(Projects!$G$20="Yes",Projects!$X$20="Yes",45&gt;=Projects!$C$20,45&lt;Projects!$C$20+Projects!$D$20),Projects!$B$20*INDEX(Curves!$B$4:$AR$4,1,45-Projects!$C$20+1),0)+IF(AND(Projects!$G$21="Yes",Projects!$X$21="Yes",45&gt;=Projects!$C$21,45&lt;Projects!$C$21+Projects!$D$21),Projects!$B$21*INDEX(Curves!$B$11:$AR$11,1,45-Projects!$C$21+1),0)+IF(AND(Projects!$G$22="Yes",Projects!$X$22="Yes",45&gt;=Projects!$C$22,45&lt;Projects!$C$22+Projects!$D$22),Projects!$B$22*INDEX(Curves!$B$4:$AR$4,1,45-Projects!$C$22+1),0)+IF(AND(Projects!$G$23="Yes",Projects!$X$23="Yes",45&gt;=Projects!$C$23,45&lt;Projects!$C$23+Projects!$D$23),Projects!$B$23*INDEX(Curves!$B$4:$AR$4,1,45-Projects!$C$23+1),0)+IF(AND(Projects!$G$24="Yes",Projects!$X$24="Yes",45&gt;=Projects!$C$24,45&lt;Projects!$C$24+Projects!$D$24),Projects!$B$24*INDEX(Curves!$B$4:$AR$4,1,45-Projects!$C$24+1),0)+IF(AND(Projects!$G$25="Yes",Projects!$X$25="Yes",45&gt;=Projects!$C$25,45&lt;Projects!$C$25+Projects!$D$25),Projects!$B$25*INDEX(Curves!$B$4:$AR$4,1,45-Projects!$C$25+1),0)+IF(AND(Projects!$G$26="Yes",Projects!$X$26="Yes",45&gt;=Projects!$C$26,45&lt;Projects!$C$26+Projects!$D$26),Projects!$B$26*INDEX(Curves!$B$4:$AR$4,1,45-Projects!$C$26+1),0)+IF(AND(Projects!$G$27="Yes",Projects!$X$27="Yes",45&gt;=Projects!$C$27,45&lt;Projects!$C$27+Projects!$D$27),Projects!$B$27*INDEX(Curves!$B$4:$AR$4,1,45-Projects!$C$27+1),0)+IF(AND(Projects!$G$28="Yes",Projects!$X$28="Yes",45&gt;=Projects!$C$28,45&lt;Projects!$C$28+Projects!$D$28),Projects!$B$28*INDEX(Curves!$B$4:$AR$4,1,45-Projects!$C$28+1),0)+IF(AND(Projects!$G$29="Yes",Projects!$X$29="Yes",45&gt;=Projects!$C$29,45&lt;Projects!$C$29+Projects!$D$29),Projects!$B$29*INDEX(Curves!$B$4:$AR$4,1,45-Projects!$C$29+1),0)+IF(AND(Projects!$G$30="Yes",Projects!$X$30="Yes",45&gt;=Projects!$C$30,45&lt;Projects!$C$30+Projects!$D$30),Projects!$B$30*INDEX(Curves!$B$4:$AR$4,1,45-Projects!$C$30+1),0)+IF(AND(Projects!$G$31="Yes",Projects!$X$31="Yes",45&gt;=Projects!$C$31,45&lt;Projects!$C$31+Projects!$D$31),Projects!$B$31*INDEX(Curves!$B$4:$AR$4,1,45-Projects!$C$31+1),0)+IF(AND(Projects!$G$32="Yes",Projects!$X$32="Yes",45&gt;=Projects!$C$32,45&lt;Projects!$C$32+Projects!$D$32),Projects!$B$32*INDEX(Curves!$B$4:$AR$4,1,45-Projects!$C$32+1),0)+IF(AND(Projects!$G$33="Yes",Projects!$X$33="Yes",45&gt;=Projects!$C$33,45&lt;Projects!$C$33+Projects!$D$33),Projects!$B$33*INDEX(Curves!$B$4:$AR$4,1,45-Projects!$C$33+1),0)+IF(AND(Projects!$G$34="Yes",Projects!$X$34="Yes",45&gt;=Projects!$C$34,45&lt;Projects!$C$34+Projects!$D$34),Projects!$B$34*INDEX(Curves!$B$4:$AR$4,1,45-Projects!$C$34+1),0)+IF(AND(Projects!$G$35="Yes",Projects!$X$35="Yes",45&gt;=Projects!$C$35,45&lt;Projects!$C$35+Projects!$D$35),Projects!$B$35*INDEX(Curves!$B$4:$AR$4,1,45-Projects!$C$35+1),0)+IF(AND(Projects!$G$36="Yes",Projects!$X$36="Yes",45&gt;=Projects!$C$36,45&lt;Projects!$C$36+Projects!$D$36),Projects!$B$36*INDEX(Curves!$B$4:$AR$4,1,45-Projects!$C$36+1),0)+IF(AND(Projects!$G$37="Yes",Projects!$X$37="Yes",45&gt;=Projects!$C$37,45&lt;Projects!$C$37+Projects!$D$37),Projects!$B$37*INDEX(Curves!$B$4:$AR$4,1,45-Projects!$C$37+1),0)+IF(AND(Projects!$G$38="Yes",Projects!$X$38="Yes",45&gt;=Projects!$C$38,45&lt;Projects!$C$38+Projects!$D$38),Projects!$B$38*INDEX(Curves!$B$4:$AR$4,1,45-Projects!$C$38+1),0)+IF(AND(Projects!$G$39="Yes",Projects!$X$39="Yes",45&gt;=Projects!$C$39,45&lt;Projects!$C$39+Projects!$D$39),Projects!$B$39*INDEX(Curves!$B$4:$AR$4,1,45-Projects!$C$39+1),0)+IF(AND(Projects!$G$40="Yes",Projects!$X$40="Yes",45&gt;=Projects!$C$40,45&lt;Projects!$C$40+Projects!$D$40),Projects!$B$40*INDEX(Curves!$B$4:$AR$4,1,45-Projects!$C$40+1),0)+IF(AND(Projects!$G$41="Yes",Projects!$X$41="Yes",45&gt;=Projects!$C$41,45&lt;Projects!$C$41+Projects!$D$41),Projects!$B$41*INDEX(Curves!$B$4:$AR$4,1,45-Projects!$C$41+1),0)+IF(AND(Projects!$G$42="Yes",Projects!$X$42="Yes",45&gt;=Projects!$C$42,45&lt;Projects!$C$42+Projects!$D$42),Projects!$B$42*INDEX(Curves!$B$4:$AR$4,1,45-Projects!$C$42+1),0)+IF(AND(Projects!$G$43="Yes",Projects!$X$43="Yes",45&gt;=Projects!$C$43,45&lt;Projects!$C$43+Projects!$D$43),Projects!$B$43*INDEX(Curves!$B$4:$AR$4,1,45-Projects!$C$43+1),0)+IF(AND(Projects!$G$44="Yes",Projects!$X$44="Yes",45&gt;=Projects!$C$44,45&lt;Projects!$C$44+Projects!$D$44),Projects!$B$44*INDEX(Curves!$B$4:$AR$4,1,45-Projects!$C$44+1),0)+IF(AND(Projects!$G$45="Yes",Projects!$X$45="Yes",45&gt;=Projects!$C$45,45&lt;Projects!$C$45+Projects!$D$45),Projects!$B$45*INDEX(Curves!$B$4:$AR$4,1,45-Projects!$C$45+1),0)+IF(AND(Projects!$G$46="Yes",Projects!$X$46="Yes",45&gt;=Projects!$C$46,45&lt;Projects!$C$46+Projects!$D$46),Projects!$B$46*INDEX(Curves!$B$4:$AR$4,1,45-Projects!$C$46+1),0)</f>
        <v>0</v>
      </c>
      <c r="AY96" s="296" t="n">
        <f aca="false">IF(AND(Projects!$G$17="Yes",Projects!$X$17="Yes",46&gt;=Projects!$C$17,46&lt;Projects!$C$17+Projects!$D$17),Projects!$B$17*INDEX(Curves!$B$4:$AR$4,1,46-Projects!$C$17+1),0)+IF(AND(Projects!$G$18="Yes",Projects!$X$18="Yes",46&gt;=Projects!$C$18,46&lt;Projects!$C$18+Projects!$D$18),Projects!$B$18*INDEX(Curves!$B$4:$AR$4,1,46-Projects!$C$18+1),0)+IF(AND(Projects!$G$19="Yes",Projects!$X$19="Yes",46&gt;=Projects!$C$19,46&lt;Projects!$C$19+Projects!$D$19),Projects!$B$19*INDEX(Curves!$B$10:$AR$10,1,46-Projects!$C$19+1),0)+IF(AND(Projects!$G$20="Yes",Projects!$X$20="Yes",46&gt;=Projects!$C$20,46&lt;Projects!$C$20+Projects!$D$20),Projects!$B$20*INDEX(Curves!$B$4:$AR$4,1,46-Projects!$C$20+1),0)+IF(AND(Projects!$G$21="Yes",Projects!$X$21="Yes",46&gt;=Projects!$C$21,46&lt;Projects!$C$21+Projects!$D$21),Projects!$B$21*INDEX(Curves!$B$11:$AR$11,1,46-Projects!$C$21+1),0)+IF(AND(Projects!$G$22="Yes",Projects!$X$22="Yes",46&gt;=Projects!$C$22,46&lt;Projects!$C$22+Projects!$D$22),Projects!$B$22*INDEX(Curves!$B$4:$AR$4,1,46-Projects!$C$22+1),0)+IF(AND(Projects!$G$23="Yes",Projects!$X$23="Yes",46&gt;=Projects!$C$23,46&lt;Projects!$C$23+Projects!$D$23),Projects!$B$23*INDEX(Curves!$B$4:$AR$4,1,46-Projects!$C$23+1),0)+IF(AND(Projects!$G$24="Yes",Projects!$X$24="Yes",46&gt;=Projects!$C$24,46&lt;Projects!$C$24+Projects!$D$24),Projects!$B$24*INDEX(Curves!$B$4:$AR$4,1,46-Projects!$C$24+1),0)+IF(AND(Projects!$G$25="Yes",Projects!$X$25="Yes",46&gt;=Projects!$C$25,46&lt;Projects!$C$25+Projects!$D$25),Projects!$B$25*INDEX(Curves!$B$4:$AR$4,1,46-Projects!$C$25+1),0)+IF(AND(Projects!$G$26="Yes",Projects!$X$26="Yes",46&gt;=Projects!$C$26,46&lt;Projects!$C$26+Projects!$D$26),Projects!$B$26*INDEX(Curves!$B$4:$AR$4,1,46-Projects!$C$26+1),0)+IF(AND(Projects!$G$27="Yes",Projects!$X$27="Yes",46&gt;=Projects!$C$27,46&lt;Projects!$C$27+Projects!$D$27),Projects!$B$27*INDEX(Curves!$B$4:$AR$4,1,46-Projects!$C$27+1),0)+IF(AND(Projects!$G$28="Yes",Projects!$X$28="Yes",46&gt;=Projects!$C$28,46&lt;Projects!$C$28+Projects!$D$28),Projects!$B$28*INDEX(Curves!$B$4:$AR$4,1,46-Projects!$C$28+1),0)+IF(AND(Projects!$G$29="Yes",Projects!$X$29="Yes",46&gt;=Projects!$C$29,46&lt;Projects!$C$29+Projects!$D$29),Projects!$B$29*INDEX(Curves!$B$4:$AR$4,1,46-Projects!$C$29+1),0)+IF(AND(Projects!$G$30="Yes",Projects!$X$30="Yes",46&gt;=Projects!$C$30,46&lt;Projects!$C$30+Projects!$D$30),Projects!$B$30*INDEX(Curves!$B$4:$AR$4,1,46-Projects!$C$30+1),0)+IF(AND(Projects!$G$31="Yes",Projects!$X$31="Yes",46&gt;=Projects!$C$31,46&lt;Projects!$C$31+Projects!$D$31),Projects!$B$31*INDEX(Curves!$B$4:$AR$4,1,46-Projects!$C$31+1),0)+IF(AND(Projects!$G$32="Yes",Projects!$X$32="Yes",46&gt;=Projects!$C$32,46&lt;Projects!$C$32+Projects!$D$32),Projects!$B$32*INDEX(Curves!$B$4:$AR$4,1,46-Projects!$C$32+1),0)+IF(AND(Projects!$G$33="Yes",Projects!$X$33="Yes",46&gt;=Projects!$C$33,46&lt;Projects!$C$33+Projects!$D$33),Projects!$B$33*INDEX(Curves!$B$4:$AR$4,1,46-Projects!$C$33+1),0)+IF(AND(Projects!$G$34="Yes",Projects!$X$34="Yes",46&gt;=Projects!$C$34,46&lt;Projects!$C$34+Projects!$D$34),Projects!$B$34*INDEX(Curves!$B$4:$AR$4,1,46-Projects!$C$34+1),0)+IF(AND(Projects!$G$35="Yes",Projects!$X$35="Yes",46&gt;=Projects!$C$35,46&lt;Projects!$C$35+Projects!$D$35),Projects!$B$35*INDEX(Curves!$B$4:$AR$4,1,46-Projects!$C$35+1),0)+IF(AND(Projects!$G$36="Yes",Projects!$X$36="Yes",46&gt;=Projects!$C$36,46&lt;Projects!$C$36+Projects!$D$36),Projects!$B$36*INDEX(Curves!$B$4:$AR$4,1,46-Projects!$C$36+1),0)+IF(AND(Projects!$G$37="Yes",Projects!$X$37="Yes",46&gt;=Projects!$C$37,46&lt;Projects!$C$37+Projects!$D$37),Projects!$B$37*INDEX(Curves!$B$4:$AR$4,1,46-Projects!$C$37+1),0)+IF(AND(Projects!$G$38="Yes",Projects!$X$38="Yes",46&gt;=Projects!$C$38,46&lt;Projects!$C$38+Projects!$D$38),Projects!$B$38*INDEX(Curves!$B$4:$AR$4,1,46-Projects!$C$38+1),0)+IF(AND(Projects!$G$39="Yes",Projects!$X$39="Yes",46&gt;=Projects!$C$39,46&lt;Projects!$C$39+Projects!$D$39),Projects!$B$39*INDEX(Curves!$B$4:$AR$4,1,46-Projects!$C$39+1),0)+IF(AND(Projects!$G$40="Yes",Projects!$X$40="Yes",46&gt;=Projects!$C$40,46&lt;Projects!$C$40+Projects!$D$40),Projects!$B$40*INDEX(Curves!$B$4:$AR$4,1,46-Projects!$C$40+1),0)+IF(AND(Projects!$G$41="Yes",Projects!$X$41="Yes",46&gt;=Projects!$C$41,46&lt;Projects!$C$41+Projects!$D$41),Projects!$B$41*INDEX(Curves!$B$4:$AR$4,1,46-Projects!$C$41+1),0)+IF(AND(Projects!$G$42="Yes",Projects!$X$42="Yes",46&gt;=Projects!$C$42,46&lt;Projects!$C$42+Projects!$D$42),Projects!$B$42*INDEX(Curves!$B$4:$AR$4,1,46-Projects!$C$42+1),0)+IF(AND(Projects!$G$43="Yes",Projects!$X$43="Yes",46&gt;=Projects!$C$43,46&lt;Projects!$C$43+Projects!$D$43),Projects!$B$43*INDEX(Curves!$B$4:$AR$4,1,46-Projects!$C$43+1),0)+IF(AND(Projects!$G$44="Yes",Projects!$X$44="Yes",46&gt;=Projects!$C$44,46&lt;Projects!$C$44+Projects!$D$44),Projects!$B$44*INDEX(Curves!$B$4:$AR$4,1,46-Projects!$C$44+1),0)+IF(AND(Projects!$G$45="Yes",Projects!$X$45="Yes",46&gt;=Projects!$C$45,46&lt;Projects!$C$45+Projects!$D$45),Projects!$B$45*INDEX(Curves!$B$4:$AR$4,1,46-Projects!$C$45+1),0)+IF(AND(Projects!$G$46="Yes",Projects!$X$46="Yes",46&gt;=Projects!$C$46,46&lt;Projects!$C$46+Projects!$D$46),Projects!$B$46*INDEX(Curves!$B$4:$AR$4,1,46-Projects!$C$46+1),0)</f>
        <v>0</v>
      </c>
      <c r="AZ96" s="296" t="n">
        <f aca="false">IF(AND(Projects!$G$17="Yes",Projects!$X$17="Yes",47&gt;=Projects!$C$17,47&lt;Projects!$C$17+Projects!$D$17),Projects!$B$17*INDEX(Curves!$B$4:$AR$4,1,47-Projects!$C$17+1),0)+IF(AND(Projects!$G$18="Yes",Projects!$X$18="Yes",47&gt;=Projects!$C$18,47&lt;Projects!$C$18+Projects!$D$18),Projects!$B$18*INDEX(Curves!$B$4:$AR$4,1,47-Projects!$C$18+1),0)+IF(AND(Projects!$G$19="Yes",Projects!$X$19="Yes",47&gt;=Projects!$C$19,47&lt;Projects!$C$19+Projects!$D$19),Projects!$B$19*INDEX(Curves!$B$10:$AR$10,1,47-Projects!$C$19+1),0)+IF(AND(Projects!$G$20="Yes",Projects!$X$20="Yes",47&gt;=Projects!$C$20,47&lt;Projects!$C$20+Projects!$D$20),Projects!$B$20*INDEX(Curves!$B$4:$AR$4,1,47-Projects!$C$20+1),0)+IF(AND(Projects!$G$21="Yes",Projects!$X$21="Yes",47&gt;=Projects!$C$21,47&lt;Projects!$C$21+Projects!$D$21),Projects!$B$21*INDEX(Curves!$B$11:$AR$11,1,47-Projects!$C$21+1),0)+IF(AND(Projects!$G$22="Yes",Projects!$X$22="Yes",47&gt;=Projects!$C$22,47&lt;Projects!$C$22+Projects!$D$22),Projects!$B$22*INDEX(Curves!$B$4:$AR$4,1,47-Projects!$C$22+1),0)+IF(AND(Projects!$G$23="Yes",Projects!$X$23="Yes",47&gt;=Projects!$C$23,47&lt;Projects!$C$23+Projects!$D$23),Projects!$B$23*INDEX(Curves!$B$4:$AR$4,1,47-Projects!$C$23+1),0)+IF(AND(Projects!$G$24="Yes",Projects!$X$24="Yes",47&gt;=Projects!$C$24,47&lt;Projects!$C$24+Projects!$D$24),Projects!$B$24*INDEX(Curves!$B$4:$AR$4,1,47-Projects!$C$24+1),0)+IF(AND(Projects!$G$25="Yes",Projects!$X$25="Yes",47&gt;=Projects!$C$25,47&lt;Projects!$C$25+Projects!$D$25),Projects!$B$25*INDEX(Curves!$B$4:$AR$4,1,47-Projects!$C$25+1),0)+IF(AND(Projects!$G$26="Yes",Projects!$X$26="Yes",47&gt;=Projects!$C$26,47&lt;Projects!$C$26+Projects!$D$26),Projects!$B$26*INDEX(Curves!$B$4:$AR$4,1,47-Projects!$C$26+1),0)+IF(AND(Projects!$G$27="Yes",Projects!$X$27="Yes",47&gt;=Projects!$C$27,47&lt;Projects!$C$27+Projects!$D$27),Projects!$B$27*INDEX(Curves!$B$4:$AR$4,1,47-Projects!$C$27+1),0)+IF(AND(Projects!$G$28="Yes",Projects!$X$28="Yes",47&gt;=Projects!$C$28,47&lt;Projects!$C$28+Projects!$D$28),Projects!$B$28*INDEX(Curves!$B$4:$AR$4,1,47-Projects!$C$28+1),0)+IF(AND(Projects!$G$29="Yes",Projects!$X$29="Yes",47&gt;=Projects!$C$29,47&lt;Projects!$C$29+Projects!$D$29),Projects!$B$29*INDEX(Curves!$B$4:$AR$4,1,47-Projects!$C$29+1),0)+IF(AND(Projects!$G$30="Yes",Projects!$X$30="Yes",47&gt;=Projects!$C$30,47&lt;Projects!$C$30+Projects!$D$30),Projects!$B$30*INDEX(Curves!$B$4:$AR$4,1,47-Projects!$C$30+1),0)+IF(AND(Projects!$G$31="Yes",Projects!$X$31="Yes",47&gt;=Projects!$C$31,47&lt;Projects!$C$31+Projects!$D$31),Projects!$B$31*INDEX(Curves!$B$4:$AR$4,1,47-Projects!$C$31+1),0)+IF(AND(Projects!$G$32="Yes",Projects!$X$32="Yes",47&gt;=Projects!$C$32,47&lt;Projects!$C$32+Projects!$D$32),Projects!$B$32*INDEX(Curves!$B$4:$AR$4,1,47-Projects!$C$32+1),0)+IF(AND(Projects!$G$33="Yes",Projects!$X$33="Yes",47&gt;=Projects!$C$33,47&lt;Projects!$C$33+Projects!$D$33),Projects!$B$33*INDEX(Curves!$B$4:$AR$4,1,47-Projects!$C$33+1),0)+IF(AND(Projects!$G$34="Yes",Projects!$X$34="Yes",47&gt;=Projects!$C$34,47&lt;Projects!$C$34+Projects!$D$34),Projects!$B$34*INDEX(Curves!$B$4:$AR$4,1,47-Projects!$C$34+1),0)+IF(AND(Projects!$G$35="Yes",Projects!$X$35="Yes",47&gt;=Projects!$C$35,47&lt;Projects!$C$35+Projects!$D$35),Projects!$B$35*INDEX(Curves!$B$4:$AR$4,1,47-Projects!$C$35+1),0)+IF(AND(Projects!$G$36="Yes",Projects!$X$36="Yes",47&gt;=Projects!$C$36,47&lt;Projects!$C$36+Projects!$D$36),Projects!$B$36*INDEX(Curves!$B$4:$AR$4,1,47-Projects!$C$36+1),0)+IF(AND(Projects!$G$37="Yes",Projects!$X$37="Yes",47&gt;=Projects!$C$37,47&lt;Projects!$C$37+Projects!$D$37),Projects!$B$37*INDEX(Curves!$B$4:$AR$4,1,47-Projects!$C$37+1),0)+IF(AND(Projects!$G$38="Yes",Projects!$X$38="Yes",47&gt;=Projects!$C$38,47&lt;Projects!$C$38+Projects!$D$38),Projects!$B$38*INDEX(Curves!$B$4:$AR$4,1,47-Projects!$C$38+1),0)+IF(AND(Projects!$G$39="Yes",Projects!$X$39="Yes",47&gt;=Projects!$C$39,47&lt;Projects!$C$39+Projects!$D$39),Projects!$B$39*INDEX(Curves!$B$4:$AR$4,1,47-Projects!$C$39+1),0)+IF(AND(Projects!$G$40="Yes",Projects!$X$40="Yes",47&gt;=Projects!$C$40,47&lt;Projects!$C$40+Projects!$D$40),Projects!$B$40*INDEX(Curves!$B$4:$AR$4,1,47-Projects!$C$40+1),0)+IF(AND(Projects!$G$41="Yes",Projects!$X$41="Yes",47&gt;=Projects!$C$41,47&lt;Projects!$C$41+Projects!$D$41),Projects!$B$41*INDEX(Curves!$B$4:$AR$4,1,47-Projects!$C$41+1),0)+IF(AND(Projects!$G$42="Yes",Projects!$X$42="Yes",47&gt;=Projects!$C$42,47&lt;Projects!$C$42+Projects!$D$42),Projects!$B$42*INDEX(Curves!$B$4:$AR$4,1,47-Projects!$C$42+1),0)+IF(AND(Projects!$G$43="Yes",Projects!$X$43="Yes",47&gt;=Projects!$C$43,47&lt;Projects!$C$43+Projects!$D$43),Projects!$B$43*INDEX(Curves!$B$4:$AR$4,1,47-Projects!$C$43+1),0)+IF(AND(Projects!$G$44="Yes",Projects!$X$44="Yes",47&gt;=Projects!$C$44,47&lt;Projects!$C$44+Projects!$D$44),Projects!$B$44*INDEX(Curves!$B$4:$AR$4,1,47-Projects!$C$44+1),0)+IF(AND(Projects!$G$45="Yes",Projects!$X$45="Yes",47&gt;=Projects!$C$45,47&lt;Projects!$C$45+Projects!$D$45),Projects!$B$45*INDEX(Curves!$B$4:$AR$4,1,47-Projects!$C$45+1),0)+IF(AND(Projects!$G$46="Yes",Projects!$X$46="Yes",47&gt;=Projects!$C$46,47&lt;Projects!$C$46+Projects!$D$46),Projects!$B$46*INDEX(Curves!$B$4:$AR$4,1,47-Projects!$C$46+1),0)</f>
        <v>0</v>
      </c>
      <c r="BA96" s="296" t="n">
        <f aca="false">IF(AND(Projects!$G$17="Yes",Projects!$X$17="Yes",48&gt;=Projects!$C$17,48&lt;Projects!$C$17+Projects!$D$17),Projects!$B$17*INDEX(Curves!$B$4:$AR$4,1,48-Projects!$C$17+1),0)+IF(AND(Projects!$G$18="Yes",Projects!$X$18="Yes",48&gt;=Projects!$C$18,48&lt;Projects!$C$18+Projects!$D$18),Projects!$B$18*INDEX(Curves!$B$4:$AR$4,1,48-Projects!$C$18+1),0)+IF(AND(Projects!$G$19="Yes",Projects!$X$19="Yes",48&gt;=Projects!$C$19,48&lt;Projects!$C$19+Projects!$D$19),Projects!$B$19*INDEX(Curves!$B$10:$AR$10,1,48-Projects!$C$19+1),0)+IF(AND(Projects!$G$20="Yes",Projects!$X$20="Yes",48&gt;=Projects!$C$20,48&lt;Projects!$C$20+Projects!$D$20),Projects!$B$20*INDEX(Curves!$B$4:$AR$4,1,48-Projects!$C$20+1),0)+IF(AND(Projects!$G$21="Yes",Projects!$X$21="Yes",48&gt;=Projects!$C$21,48&lt;Projects!$C$21+Projects!$D$21),Projects!$B$21*INDEX(Curves!$B$11:$AR$11,1,48-Projects!$C$21+1),0)+IF(AND(Projects!$G$22="Yes",Projects!$X$22="Yes",48&gt;=Projects!$C$22,48&lt;Projects!$C$22+Projects!$D$22),Projects!$B$22*INDEX(Curves!$B$4:$AR$4,1,48-Projects!$C$22+1),0)+IF(AND(Projects!$G$23="Yes",Projects!$X$23="Yes",48&gt;=Projects!$C$23,48&lt;Projects!$C$23+Projects!$D$23),Projects!$B$23*INDEX(Curves!$B$4:$AR$4,1,48-Projects!$C$23+1),0)+IF(AND(Projects!$G$24="Yes",Projects!$X$24="Yes",48&gt;=Projects!$C$24,48&lt;Projects!$C$24+Projects!$D$24),Projects!$B$24*INDEX(Curves!$B$4:$AR$4,1,48-Projects!$C$24+1),0)+IF(AND(Projects!$G$25="Yes",Projects!$X$25="Yes",48&gt;=Projects!$C$25,48&lt;Projects!$C$25+Projects!$D$25),Projects!$B$25*INDEX(Curves!$B$4:$AR$4,1,48-Projects!$C$25+1),0)+IF(AND(Projects!$G$26="Yes",Projects!$X$26="Yes",48&gt;=Projects!$C$26,48&lt;Projects!$C$26+Projects!$D$26),Projects!$B$26*INDEX(Curves!$B$4:$AR$4,1,48-Projects!$C$26+1),0)+IF(AND(Projects!$G$27="Yes",Projects!$X$27="Yes",48&gt;=Projects!$C$27,48&lt;Projects!$C$27+Projects!$D$27),Projects!$B$27*INDEX(Curves!$B$4:$AR$4,1,48-Projects!$C$27+1),0)+IF(AND(Projects!$G$28="Yes",Projects!$X$28="Yes",48&gt;=Projects!$C$28,48&lt;Projects!$C$28+Projects!$D$28),Projects!$B$28*INDEX(Curves!$B$4:$AR$4,1,48-Projects!$C$28+1),0)+IF(AND(Projects!$G$29="Yes",Projects!$X$29="Yes",48&gt;=Projects!$C$29,48&lt;Projects!$C$29+Projects!$D$29),Projects!$B$29*INDEX(Curves!$B$4:$AR$4,1,48-Projects!$C$29+1),0)+IF(AND(Projects!$G$30="Yes",Projects!$X$30="Yes",48&gt;=Projects!$C$30,48&lt;Projects!$C$30+Projects!$D$30),Projects!$B$30*INDEX(Curves!$B$4:$AR$4,1,48-Projects!$C$30+1),0)+IF(AND(Projects!$G$31="Yes",Projects!$X$31="Yes",48&gt;=Projects!$C$31,48&lt;Projects!$C$31+Projects!$D$31),Projects!$B$31*INDEX(Curves!$B$4:$AR$4,1,48-Projects!$C$31+1),0)+IF(AND(Projects!$G$32="Yes",Projects!$X$32="Yes",48&gt;=Projects!$C$32,48&lt;Projects!$C$32+Projects!$D$32),Projects!$B$32*INDEX(Curves!$B$4:$AR$4,1,48-Projects!$C$32+1),0)+IF(AND(Projects!$G$33="Yes",Projects!$X$33="Yes",48&gt;=Projects!$C$33,48&lt;Projects!$C$33+Projects!$D$33),Projects!$B$33*INDEX(Curves!$B$4:$AR$4,1,48-Projects!$C$33+1),0)+IF(AND(Projects!$G$34="Yes",Projects!$X$34="Yes",48&gt;=Projects!$C$34,48&lt;Projects!$C$34+Projects!$D$34),Projects!$B$34*INDEX(Curves!$B$4:$AR$4,1,48-Projects!$C$34+1),0)+IF(AND(Projects!$G$35="Yes",Projects!$X$35="Yes",48&gt;=Projects!$C$35,48&lt;Projects!$C$35+Projects!$D$35),Projects!$B$35*INDEX(Curves!$B$4:$AR$4,1,48-Projects!$C$35+1),0)+IF(AND(Projects!$G$36="Yes",Projects!$X$36="Yes",48&gt;=Projects!$C$36,48&lt;Projects!$C$36+Projects!$D$36),Projects!$B$36*INDEX(Curves!$B$4:$AR$4,1,48-Projects!$C$36+1),0)+IF(AND(Projects!$G$37="Yes",Projects!$X$37="Yes",48&gt;=Projects!$C$37,48&lt;Projects!$C$37+Projects!$D$37),Projects!$B$37*INDEX(Curves!$B$4:$AR$4,1,48-Projects!$C$37+1),0)+IF(AND(Projects!$G$38="Yes",Projects!$X$38="Yes",48&gt;=Projects!$C$38,48&lt;Projects!$C$38+Projects!$D$38),Projects!$B$38*INDEX(Curves!$B$4:$AR$4,1,48-Projects!$C$38+1),0)+IF(AND(Projects!$G$39="Yes",Projects!$X$39="Yes",48&gt;=Projects!$C$39,48&lt;Projects!$C$39+Projects!$D$39),Projects!$B$39*INDEX(Curves!$B$4:$AR$4,1,48-Projects!$C$39+1),0)+IF(AND(Projects!$G$40="Yes",Projects!$X$40="Yes",48&gt;=Projects!$C$40,48&lt;Projects!$C$40+Projects!$D$40),Projects!$B$40*INDEX(Curves!$B$4:$AR$4,1,48-Projects!$C$40+1),0)+IF(AND(Projects!$G$41="Yes",Projects!$X$41="Yes",48&gt;=Projects!$C$41,48&lt;Projects!$C$41+Projects!$D$41),Projects!$B$41*INDEX(Curves!$B$4:$AR$4,1,48-Projects!$C$41+1),0)+IF(AND(Projects!$G$42="Yes",Projects!$X$42="Yes",48&gt;=Projects!$C$42,48&lt;Projects!$C$42+Projects!$D$42),Projects!$B$42*INDEX(Curves!$B$4:$AR$4,1,48-Projects!$C$42+1),0)+IF(AND(Projects!$G$43="Yes",Projects!$X$43="Yes",48&gt;=Projects!$C$43,48&lt;Projects!$C$43+Projects!$D$43),Projects!$B$43*INDEX(Curves!$B$4:$AR$4,1,48-Projects!$C$43+1),0)+IF(AND(Projects!$G$44="Yes",Projects!$X$44="Yes",48&gt;=Projects!$C$44,48&lt;Projects!$C$44+Projects!$D$44),Projects!$B$44*INDEX(Curves!$B$4:$AR$4,1,48-Projects!$C$44+1),0)+IF(AND(Projects!$G$45="Yes",Projects!$X$45="Yes",48&gt;=Projects!$C$45,48&lt;Projects!$C$45+Projects!$D$45),Projects!$B$45*INDEX(Curves!$B$4:$AR$4,1,48-Projects!$C$45+1),0)+IF(AND(Projects!$G$46="Yes",Projects!$X$46="Yes",48&gt;=Projects!$C$46,48&lt;Projects!$C$46+Projects!$D$46),Projects!$B$46*INDEX(Curves!$B$4:$AR$4,1,48-Projects!$C$46+1),0)</f>
        <v>0</v>
      </c>
      <c r="BB96" s="296" t="n">
        <f aca="false">IF(AND(Projects!$G$17="Yes",Projects!$X$17="Yes",49&gt;=Projects!$C$17,49&lt;Projects!$C$17+Projects!$D$17),Projects!$B$17*INDEX(Curves!$B$4:$AR$4,1,49-Projects!$C$17+1),0)+IF(AND(Projects!$G$18="Yes",Projects!$X$18="Yes",49&gt;=Projects!$C$18,49&lt;Projects!$C$18+Projects!$D$18),Projects!$B$18*INDEX(Curves!$B$4:$AR$4,1,49-Projects!$C$18+1),0)+IF(AND(Projects!$G$19="Yes",Projects!$X$19="Yes",49&gt;=Projects!$C$19,49&lt;Projects!$C$19+Projects!$D$19),Projects!$B$19*INDEX(Curves!$B$10:$AR$10,1,49-Projects!$C$19+1),0)+IF(AND(Projects!$G$20="Yes",Projects!$X$20="Yes",49&gt;=Projects!$C$20,49&lt;Projects!$C$20+Projects!$D$20),Projects!$B$20*INDEX(Curves!$B$4:$AR$4,1,49-Projects!$C$20+1),0)+IF(AND(Projects!$G$21="Yes",Projects!$X$21="Yes",49&gt;=Projects!$C$21,49&lt;Projects!$C$21+Projects!$D$21),Projects!$B$21*INDEX(Curves!$B$11:$AR$11,1,49-Projects!$C$21+1),0)+IF(AND(Projects!$G$22="Yes",Projects!$X$22="Yes",49&gt;=Projects!$C$22,49&lt;Projects!$C$22+Projects!$D$22),Projects!$B$22*INDEX(Curves!$B$4:$AR$4,1,49-Projects!$C$22+1),0)+IF(AND(Projects!$G$23="Yes",Projects!$X$23="Yes",49&gt;=Projects!$C$23,49&lt;Projects!$C$23+Projects!$D$23),Projects!$B$23*INDEX(Curves!$B$4:$AR$4,1,49-Projects!$C$23+1),0)+IF(AND(Projects!$G$24="Yes",Projects!$X$24="Yes",49&gt;=Projects!$C$24,49&lt;Projects!$C$24+Projects!$D$24),Projects!$B$24*INDEX(Curves!$B$4:$AR$4,1,49-Projects!$C$24+1),0)+IF(AND(Projects!$G$25="Yes",Projects!$X$25="Yes",49&gt;=Projects!$C$25,49&lt;Projects!$C$25+Projects!$D$25),Projects!$B$25*INDEX(Curves!$B$4:$AR$4,1,49-Projects!$C$25+1),0)+IF(AND(Projects!$G$26="Yes",Projects!$X$26="Yes",49&gt;=Projects!$C$26,49&lt;Projects!$C$26+Projects!$D$26),Projects!$B$26*INDEX(Curves!$B$4:$AR$4,1,49-Projects!$C$26+1),0)+IF(AND(Projects!$G$27="Yes",Projects!$X$27="Yes",49&gt;=Projects!$C$27,49&lt;Projects!$C$27+Projects!$D$27),Projects!$B$27*INDEX(Curves!$B$4:$AR$4,1,49-Projects!$C$27+1),0)+IF(AND(Projects!$G$28="Yes",Projects!$X$28="Yes",49&gt;=Projects!$C$28,49&lt;Projects!$C$28+Projects!$D$28),Projects!$B$28*INDEX(Curves!$B$4:$AR$4,1,49-Projects!$C$28+1),0)+IF(AND(Projects!$G$29="Yes",Projects!$X$29="Yes",49&gt;=Projects!$C$29,49&lt;Projects!$C$29+Projects!$D$29),Projects!$B$29*INDEX(Curves!$B$4:$AR$4,1,49-Projects!$C$29+1),0)+IF(AND(Projects!$G$30="Yes",Projects!$X$30="Yes",49&gt;=Projects!$C$30,49&lt;Projects!$C$30+Projects!$D$30),Projects!$B$30*INDEX(Curves!$B$4:$AR$4,1,49-Projects!$C$30+1),0)+IF(AND(Projects!$G$31="Yes",Projects!$X$31="Yes",49&gt;=Projects!$C$31,49&lt;Projects!$C$31+Projects!$D$31),Projects!$B$31*INDEX(Curves!$B$4:$AR$4,1,49-Projects!$C$31+1),0)+IF(AND(Projects!$G$32="Yes",Projects!$X$32="Yes",49&gt;=Projects!$C$32,49&lt;Projects!$C$32+Projects!$D$32),Projects!$B$32*INDEX(Curves!$B$4:$AR$4,1,49-Projects!$C$32+1),0)+IF(AND(Projects!$G$33="Yes",Projects!$X$33="Yes",49&gt;=Projects!$C$33,49&lt;Projects!$C$33+Projects!$D$33),Projects!$B$33*INDEX(Curves!$B$4:$AR$4,1,49-Projects!$C$33+1),0)+IF(AND(Projects!$G$34="Yes",Projects!$X$34="Yes",49&gt;=Projects!$C$34,49&lt;Projects!$C$34+Projects!$D$34),Projects!$B$34*INDEX(Curves!$B$4:$AR$4,1,49-Projects!$C$34+1),0)+IF(AND(Projects!$G$35="Yes",Projects!$X$35="Yes",49&gt;=Projects!$C$35,49&lt;Projects!$C$35+Projects!$D$35),Projects!$B$35*INDEX(Curves!$B$4:$AR$4,1,49-Projects!$C$35+1),0)+IF(AND(Projects!$G$36="Yes",Projects!$X$36="Yes",49&gt;=Projects!$C$36,49&lt;Projects!$C$36+Projects!$D$36),Projects!$B$36*INDEX(Curves!$B$4:$AR$4,1,49-Projects!$C$36+1),0)+IF(AND(Projects!$G$37="Yes",Projects!$X$37="Yes",49&gt;=Projects!$C$37,49&lt;Projects!$C$37+Projects!$D$37),Projects!$B$37*INDEX(Curves!$B$4:$AR$4,1,49-Projects!$C$37+1),0)+IF(AND(Projects!$G$38="Yes",Projects!$X$38="Yes",49&gt;=Projects!$C$38,49&lt;Projects!$C$38+Projects!$D$38),Projects!$B$38*INDEX(Curves!$B$4:$AR$4,1,49-Projects!$C$38+1),0)+IF(AND(Projects!$G$39="Yes",Projects!$X$39="Yes",49&gt;=Projects!$C$39,49&lt;Projects!$C$39+Projects!$D$39),Projects!$B$39*INDEX(Curves!$B$4:$AR$4,1,49-Projects!$C$39+1),0)+IF(AND(Projects!$G$40="Yes",Projects!$X$40="Yes",49&gt;=Projects!$C$40,49&lt;Projects!$C$40+Projects!$D$40),Projects!$B$40*INDEX(Curves!$B$4:$AR$4,1,49-Projects!$C$40+1),0)+IF(AND(Projects!$G$41="Yes",Projects!$X$41="Yes",49&gt;=Projects!$C$41,49&lt;Projects!$C$41+Projects!$D$41),Projects!$B$41*INDEX(Curves!$B$4:$AR$4,1,49-Projects!$C$41+1),0)+IF(AND(Projects!$G$42="Yes",Projects!$X$42="Yes",49&gt;=Projects!$C$42,49&lt;Projects!$C$42+Projects!$D$42),Projects!$B$42*INDEX(Curves!$B$4:$AR$4,1,49-Projects!$C$42+1),0)+IF(AND(Projects!$G$43="Yes",Projects!$X$43="Yes",49&gt;=Projects!$C$43,49&lt;Projects!$C$43+Projects!$D$43),Projects!$B$43*INDEX(Curves!$B$4:$AR$4,1,49-Projects!$C$43+1),0)+IF(AND(Projects!$G$44="Yes",Projects!$X$44="Yes",49&gt;=Projects!$C$44,49&lt;Projects!$C$44+Projects!$D$44),Projects!$B$44*INDEX(Curves!$B$4:$AR$4,1,49-Projects!$C$44+1),0)+IF(AND(Projects!$G$45="Yes",Projects!$X$45="Yes",49&gt;=Projects!$C$45,49&lt;Projects!$C$45+Projects!$D$45),Projects!$B$45*INDEX(Curves!$B$4:$AR$4,1,49-Projects!$C$45+1),0)+IF(AND(Projects!$G$46="Yes",Projects!$X$46="Yes",49&gt;=Projects!$C$46,49&lt;Projects!$C$46+Projects!$D$46),Projects!$B$46*INDEX(Curves!$B$4:$AR$4,1,49-Projects!$C$46+1),0)</f>
        <v>0</v>
      </c>
      <c r="BC96" s="296" t="n">
        <f aca="false">IF(AND(Projects!$G$17="Yes",Projects!$X$17="Yes",50&gt;=Projects!$C$17,50&lt;Projects!$C$17+Projects!$D$17),Projects!$B$17*INDEX(Curves!$B$4:$AR$4,1,50-Projects!$C$17+1),0)+IF(AND(Projects!$G$18="Yes",Projects!$X$18="Yes",50&gt;=Projects!$C$18,50&lt;Projects!$C$18+Projects!$D$18),Projects!$B$18*INDEX(Curves!$B$4:$AR$4,1,50-Projects!$C$18+1),0)+IF(AND(Projects!$G$19="Yes",Projects!$X$19="Yes",50&gt;=Projects!$C$19,50&lt;Projects!$C$19+Projects!$D$19),Projects!$B$19*INDEX(Curves!$B$10:$AR$10,1,50-Projects!$C$19+1),0)+IF(AND(Projects!$G$20="Yes",Projects!$X$20="Yes",50&gt;=Projects!$C$20,50&lt;Projects!$C$20+Projects!$D$20),Projects!$B$20*INDEX(Curves!$B$4:$AR$4,1,50-Projects!$C$20+1),0)+IF(AND(Projects!$G$21="Yes",Projects!$X$21="Yes",50&gt;=Projects!$C$21,50&lt;Projects!$C$21+Projects!$D$21),Projects!$B$21*INDEX(Curves!$B$11:$AR$11,1,50-Projects!$C$21+1),0)+IF(AND(Projects!$G$22="Yes",Projects!$X$22="Yes",50&gt;=Projects!$C$22,50&lt;Projects!$C$22+Projects!$D$22),Projects!$B$22*INDEX(Curves!$B$4:$AR$4,1,50-Projects!$C$22+1),0)+IF(AND(Projects!$G$23="Yes",Projects!$X$23="Yes",50&gt;=Projects!$C$23,50&lt;Projects!$C$23+Projects!$D$23),Projects!$B$23*INDEX(Curves!$B$4:$AR$4,1,50-Projects!$C$23+1),0)+IF(AND(Projects!$G$24="Yes",Projects!$X$24="Yes",50&gt;=Projects!$C$24,50&lt;Projects!$C$24+Projects!$D$24),Projects!$B$24*INDEX(Curves!$B$4:$AR$4,1,50-Projects!$C$24+1),0)+IF(AND(Projects!$G$25="Yes",Projects!$X$25="Yes",50&gt;=Projects!$C$25,50&lt;Projects!$C$25+Projects!$D$25),Projects!$B$25*INDEX(Curves!$B$4:$AR$4,1,50-Projects!$C$25+1),0)+IF(AND(Projects!$G$26="Yes",Projects!$X$26="Yes",50&gt;=Projects!$C$26,50&lt;Projects!$C$26+Projects!$D$26),Projects!$B$26*INDEX(Curves!$B$4:$AR$4,1,50-Projects!$C$26+1),0)+IF(AND(Projects!$G$27="Yes",Projects!$X$27="Yes",50&gt;=Projects!$C$27,50&lt;Projects!$C$27+Projects!$D$27),Projects!$B$27*INDEX(Curves!$B$4:$AR$4,1,50-Projects!$C$27+1),0)+IF(AND(Projects!$G$28="Yes",Projects!$X$28="Yes",50&gt;=Projects!$C$28,50&lt;Projects!$C$28+Projects!$D$28),Projects!$B$28*INDEX(Curves!$B$4:$AR$4,1,50-Projects!$C$28+1),0)+IF(AND(Projects!$G$29="Yes",Projects!$X$29="Yes",50&gt;=Projects!$C$29,50&lt;Projects!$C$29+Projects!$D$29),Projects!$B$29*INDEX(Curves!$B$4:$AR$4,1,50-Projects!$C$29+1),0)+IF(AND(Projects!$G$30="Yes",Projects!$X$30="Yes",50&gt;=Projects!$C$30,50&lt;Projects!$C$30+Projects!$D$30),Projects!$B$30*INDEX(Curves!$B$4:$AR$4,1,50-Projects!$C$30+1),0)+IF(AND(Projects!$G$31="Yes",Projects!$X$31="Yes",50&gt;=Projects!$C$31,50&lt;Projects!$C$31+Projects!$D$31),Projects!$B$31*INDEX(Curves!$B$4:$AR$4,1,50-Projects!$C$31+1),0)+IF(AND(Projects!$G$32="Yes",Projects!$X$32="Yes",50&gt;=Projects!$C$32,50&lt;Projects!$C$32+Projects!$D$32),Projects!$B$32*INDEX(Curves!$B$4:$AR$4,1,50-Projects!$C$32+1),0)+IF(AND(Projects!$G$33="Yes",Projects!$X$33="Yes",50&gt;=Projects!$C$33,50&lt;Projects!$C$33+Projects!$D$33),Projects!$B$33*INDEX(Curves!$B$4:$AR$4,1,50-Projects!$C$33+1),0)+IF(AND(Projects!$G$34="Yes",Projects!$X$34="Yes",50&gt;=Projects!$C$34,50&lt;Projects!$C$34+Projects!$D$34),Projects!$B$34*INDEX(Curves!$B$4:$AR$4,1,50-Projects!$C$34+1),0)+IF(AND(Projects!$G$35="Yes",Projects!$X$35="Yes",50&gt;=Projects!$C$35,50&lt;Projects!$C$35+Projects!$D$35),Projects!$B$35*INDEX(Curves!$B$4:$AR$4,1,50-Projects!$C$35+1),0)+IF(AND(Projects!$G$36="Yes",Projects!$X$36="Yes",50&gt;=Projects!$C$36,50&lt;Projects!$C$36+Projects!$D$36),Projects!$B$36*INDEX(Curves!$B$4:$AR$4,1,50-Projects!$C$36+1),0)+IF(AND(Projects!$G$37="Yes",Projects!$X$37="Yes",50&gt;=Projects!$C$37,50&lt;Projects!$C$37+Projects!$D$37),Projects!$B$37*INDEX(Curves!$B$4:$AR$4,1,50-Projects!$C$37+1),0)+IF(AND(Projects!$G$38="Yes",Projects!$X$38="Yes",50&gt;=Projects!$C$38,50&lt;Projects!$C$38+Projects!$D$38),Projects!$B$38*INDEX(Curves!$B$4:$AR$4,1,50-Projects!$C$38+1),0)+IF(AND(Projects!$G$39="Yes",Projects!$X$39="Yes",50&gt;=Projects!$C$39,50&lt;Projects!$C$39+Projects!$D$39),Projects!$B$39*INDEX(Curves!$B$4:$AR$4,1,50-Projects!$C$39+1),0)+IF(AND(Projects!$G$40="Yes",Projects!$X$40="Yes",50&gt;=Projects!$C$40,50&lt;Projects!$C$40+Projects!$D$40),Projects!$B$40*INDEX(Curves!$B$4:$AR$4,1,50-Projects!$C$40+1),0)+IF(AND(Projects!$G$41="Yes",Projects!$X$41="Yes",50&gt;=Projects!$C$41,50&lt;Projects!$C$41+Projects!$D$41),Projects!$B$41*INDEX(Curves!$B$4:$AR$4,1,50-Projects!$C$41+1),0)+IF(AND(Projects!$G$42="Yes",Projects!$X$42="Yes",50&gt;=Projects!$C$42,50&lt;Projects!$C$42+Projects!$D$42),Projects!$B$42*INDEX(Curves!$B$4:$AR$4,1,50-Projects!$C$42+1),0)+IF(AND(Projects!$G$43="Yes",Projects!$X$43="Yes",50&gt;=Projects!$C$43,50&lt;Projects!$C$43+Projects!$D$43),Projects!$B$43*INDEX(Curves!$B$4:$AR$4,1,50-Projects!$C$43+1),0)+IF(AND(Projects!$G$44="Yes",Projects!$X$44="Yes",50&gt;=Projects!$C$44,50&lt;Projects!$C$44+Projects!$D$44),Projects!$B$44*INDEX(Curves!$B$4:$AR$4,1,50-Projects!$C$44+1),0)+IF(AND(Projects!$G$45="Yes",Projects!$X$45="Yes",50&gt;=Projects!$C$45,50&lt;Projects!$C$45+Projects!$D$45),Projects!$B$45*INDEX(Curves!$B$4:$AR$4,1,50-Projects!$C$45+1),0)+IF(AND(Projects!$G$46="Yes",Projects!$X$46="Yes",50&gt;=Projects!$C$46,50&lt;Projects!$C$46+Projects!$D$46),Projects!$B$46*INDEX(Curves!$B$4:$AR$4,1,50-Projects!$C$46+1),0)</f>
        <v>0</v>
      </c>
      <c r="BD96" s="296" t="n">
        <f aca="false">IF(AND(Projects!$G$17="Yes",Projects!$X$17="Yes",51&gt;=Projects!$C$17,51&lt;Projects!$C$17+Projects!$D$17),Projects!$B$17*INDEX(Curves!$B$4:$AR$4,1,51-Projects!$C$17+1),0)+IF(AND(Projects!$G$18="Yes",Projects!$X$18="Yes",51&gt;=Projects!$C$18,51&lt;Projects!$C$18+Projects!$D$18),Projects!$B$18*INDEX(Curves!$B$4:$AR$4,1,51-Projects!$C$18+1),0)+IF(AND(Projects!$G$19="Yes",Projects!$X$19="Yes",51&gt;=Projects!$C$19,51&lt;Projects!$C$19+Projects!$D$19),Projects!$B$19*INDEX(Curves!$B$10:$AR$10,1,51-Projects!$C$19+1),0)+IF(AND(Projects!$G$20="Yes",Projects!$X$20="Yes",51&gt;=Projects!$C$20,51&lt;Projects!$C$20+Projects!$D$20),Projects!$B$20*INDEX(Curves!$B$4:$AR$4,1,51-Projects!$C$20+1),0)+IF(AND(Projects!$G$21="Yes",Projects!$X$21="Yes",51&gt;=Projects!$C$21,51&lt;Projects!$C$21+Projects!$D$21),Projects!$B$21*INDEX(Curves!$B$11:$AR$11,1,51-Projects!$C$21+1),0)+IF(AND(Projects!$G$22="Yes",Projects!$X$22="Yes",51&gt;=Projects!$C$22,51&lt;Projects!$C$22+Projects!$D$22),Projects!$B$22*INDEX(Curves!$B$4:$AR$4,1,51-Projects!$C$22+1),0)+IF(AND(Projects!$G$23="Yes",Projects!$X$23="Yes",51&gt;=Projects!$C$23,51&lt;Projects!$C$23+Projects!$D$23),Projects!$B$23*INDEX(Curves!$B$4:$AR$4,1,51-Projects!$C$23+1),0)+IF(AND(Projects!$G$24="Yes",Projects!$X$24="Yes",51&gt;=Projects!$C$24,51&lt;Projects!$C$24+Projects!$D$24),Projects!$B$24*INDEX(Curves!$B$4:$AR$4,1,51-Projects!$C$24+1),0)+IF(AND(Projects!$G$25="Yes",Projects!$X$25="Yes",51&gt;=Projects!$C$25,51&lt;Projects!$C$25+Projects!$D$25),Projects!$B$25*INDEX(Curves!$B$4:$AR$4,1,51-Projects!$C$25+1),0)+IF(AND(Projects!$G$26="Yes",Projects!$X$26="Yes",51&gt;=Projects!$C$26,51&lt;Projects!$C$26+Projects!$D$26),Projects!$B$26*INDEX(Curves!$B$4:$AR$4,1,51-Projects!$C$26+1),0)+IF(AND(Projects!$G$27="Yes",Projects!$X$27="Yes",51&gt;=Projects!$C$27,51&lt;Projects!$C$27+Projects!$D$27),Projects!$B$27*INDEX(Curves!$B$4:$AR$4,1,51-Projects!$C$27+1),0)+IF(AND(Projects!$G$28="Yes",Projects!$X$28="Yes",51&gt;=Projects!$C$28,51&lt;Projects!$C$28+Projects!$D$28),Projects!$B$28*INDEX(Curves!$B$4:$AR$4,1,51-Projects!$C$28+1),0)+IF(AND(Projects!$G$29="Yes",Projects!$X$29="Yes",51&gt;=Projects!$C$29,51&lt;Projects!$C$29+Projects!$D$29),Projects!$B$29*INDEX(Curves!$B$4:$AR$4,1,51-Projects!$C$29+1),0)+IF(AND(Projects!$G$30="Yes",Projects!$X$30="Yes",51&gt;=Projects!$C$30,51&lt;Projects!$C$30+Projects!$D$30),Projects!$B$30*INDEX(Curves!$B$4:$AR$4,1,51-Projects!$C$30+1),0)+IF(AND(Projects!$G$31="Yes",Projects!$X$31="Yes",51&gt;=Projects!$C$31,51&lt;Projects!$C$31+Projects!$D$31),Projects!$B$31*INDEX(Curves!$B$4:$AR$4,1,51-Projects!$C$31+1),0)+IF(AND(Projects!$G$32="Yes",Projects!$X$32="Yes",51&gt;=Projects!$C$32,51&lt;Projects!$C$32+Projects!$D$32),Projects!$B$32*INDEX(Curves!$B$4:$AR$4,1,51-Projects!$C$32+1),0)+IF(AND(Projects!$G$33="Yes",Projects!$X$33="Yes",51&gt;=Projects!$C$33,51&lt;Projects!$C$33+Projects!$D$33),Projects!$B$33*INDEX(Curves!$B$4:$AR$4,1,51-Projects!$C$33+1),0)+IF(AND(Projects!$G$34="Yes",Projects!$X$34="Yes",51&gt;=Projects!$C$34,51&lt;Projects!$C$34+Projects!$D$34),Projects!$B$34*INDEX(Curves!$B$4:$AR$4,1,51-Projects!$C$34+1),0)+IF(AND(Projects!$G$35="Yes",Projects!$X$35="Yes",51&gt;=Projects!$C$35,51&lt;Projects!$C$35+Projects!$D$35),Projects!$B$35*INDEX(Curves!$B$4:$AR$4,1,51-Projects!$C$35+1),0)+IF(AND(Projects!$G$36="Yes",Projects!$X$36="Yes",51&gt;=Projects!$C$36,51&lt;Projects!$C$36+Projects!$D$36),Projects!$B$36*INDEX(Curves!$B$4:$AR$4,1,51-Projects!$C$36+1),0)+IF(AND(Projects!$G$37="Yes",Projects!$X$37="Yes",51&gt;=Projects!$C$37,51&lt;Projects!$C$37+Projects!$D$37),Projects!$B$37*INDEX(Curves!$B$4:$AR$4,1,51-Projects!$C$37+1),0)+IF(AND(Projects!$G$38="Yes",Projects!$X$38="Yes",51&gt;=Projects!$C$38,51&lt;Projects!$C$38+Projects!$D$38),Projects!$B$38*INDEX(Curves!$B$4:$AR$4,1,51-Projects!$C$38+1),0)+IF(AND(Projects!$G$39="Yes",Projects!$X$39="Yes",51&gt;=Projects!$C$39,51&lt;Projects!$C$39+Projects!$D$39),Projects!$B$39*INDEX(Curves!$B$4:$AR$4,1,51-Projects!$C$39+1),0)+IF(AND(Projects!$G$40="Yes",Projects!$X$40="Yes",51&gt;=Projects!$C$40,51&lt;Projects!$C$40+Projects!$D$40),Projects!$B$40*INDEX(Curves!$B$4:$AR$4,1,51-Projects!$C$40+1),0)+IF(AND(Projects!$G$41="Yes",Projects!$X$41="Yes",51&gt;=Projects!$C$41,51&lt;Projects!$C$41+Projects!$D$41),Projects!$B$41*INDEX(Curves!$B$4:$AR$4,1,51-Projects!$C$41+1),0)+IF(AND(Projects!$G$42="Yes",Projects!$X$42="Yes",51&gt;=Projects!$C$42,51&lt;Projects!$C$42+Projects!$D$42),Projects!$B$42*INDEX(Curves!$B$4:$AR$4,1,51-Projects!$C$42+1),0)+IF(AND(Projects!$G$43="Yes",Projects!$X$43="Yes",51&gt;=Projects!$C$43,51&lt;Projects!$C$43+Projects!$D$43),Projects!$B$43*INDEX(Curves!$B$4:$AR$4,1,51-Projects!$C$43+1),0)+IF(AND(Projects!$G$44="Yes",Projects!$X$44="Yes",51&gt;=Projects!$C$44,51&lt;Projects!$C$44+Projects!$D$44),Projects!$B$44*INDEX(Curves!$B$4:$AR$4,1,51-Projects!$C$44+1),0)+IF(AND(Projects!$G$45="Yes",Projects!$X$45="Yes",51&gt;=Projects!$C$45,51&lt;Projects!$C$45+Projects!$D$45),Projects!$B$45*INDEX(Curves!$B$4:$AR$4,1,51-Projects!$C$45+1),0)+IF(AND(Projects!$G$46="Yes",Projects!$X$46="Yes",51&gt;=Projects!$C$46,51&lt;Projects!$C$46+Projects!$D$46),Projects!$B$46*INDEX(Curves!$B$4:$AR$4,1,51-Projects!$C$46+1),0)</f>
        <v>0</v>
      </c>
      <c r="BE96" s="296" t="n">
        <f aca="false">IF(AND(Projects!$G$17="Yes",Projects!$X$17="Yes",52&gt;=Projects!$C$17,52&lt;Projects!$C$17+Projects!$D$17),Projects!$B$17*INDEX(Curves!$B$4:$AR$4,1,52-Projects!$C$17+1),0)+IF(AND(Projects!$G$18="Yes",Projects!$X$18="Yes",52&gt;=Projects!$C$18,52&lt;Projects!$C$18+Projects!$D$18),Projects!$B$18*INDEX(Curves!$B$4:$AR$4,1,52-Projects!$C$18+1),0)+IF(AND(Projects!$G$19="Yes",Projects!$X$19="Yes",52&gt;=Projects!$C$19,52&lt;Projects!$C$19+Projects!$D$19),Projects!$B$19*INDEX(Curves!$B$10:$AR$10,1,52-Projects!$C$19+1),0)+IF(AND(Projects!$G$20="Yes",Projects!$X$20="Yes",52&gt;=Projects!$C$20,52&lt;Projects!$C$20+Projects!$D$20),Projects!$B$20*INDEX(Curves!$B$4:$AR$4,1,52-Projects!$C$20+1),0)+IF(AND(Projects!$G$21="Yes",Projects!$X$21="Yes",52&gt;=Projects!$C$21,52&lt;Projects!$C$21+Projects!$D$21),Projects!$B$21*INDEX(Curves!$B$11:$AR$11,1,52-Projects!$C$21+1),0)+IF(AND(Projects!$G$22="Yes",Projects!$X$22="Yes",52&gt;=Projects!$C$22,52&lt;Projects!$C$22+Projects!$D$22),Projects!$B$22*INDEX(Curves!$B$4:$AR$4,1,52-Projects!$C$22+1),0)+IF(AND(Projects!$G$23="Yes",Projects!$X$23="Yes",52&gt;=Projects!$C$23,52&lt;Projects!$C$23+Projects!$D$23),Projects!$B$23*INDEX(Curves!$B$4:$AR$4,1,52-Projects!$C$23+1),0)+IF(AND(Projects!$G$24="Yes",Projects!$X$24="Yes",52&gt;=Projects!$C$24,52&lt;Projects!$C$24+Projects!$D$24),Projects!$B$24*INDEX(Curves!$B$4:$AR$4,1,52-Projects!$C$24+1),0)+IF(AND(Projects!$G$25="Yes",Projects!$X$25="Yes",52&gt;=Projects!$C$25,52&lt;Projects!$C$25+Projects!$D$25),Projects!$B$25*INDEX(Curves!$B$4:$AR$4,1,52-Projects!$C$25+1),0)+IF(AND(Projects!$G$26="Yes",Projects!$X$26="Yes",52&gt;=Projects!$C$26,52&lt;Projects!$C$26+Projects!$D$26),Projects!$B$26*INDEX(Curves!$B$4:$AR$4,1,52-Projects!$C$26+1),0)+IF(AND(Projects!$G$27="Yes",Projects!$X$27="Yes",52&gt;=Projects!$C$27,52&lt;Projects!$C$27+Projects!$D$27),Projects!$B$27*INDEX(Curves!$B$4:$AR$4,1,52-Projects!$C$27+1),0)+IF(AND(Projects!$G$28="Yes",Projects!$X$28="Yes",52&gt;=Projects!$C$28,52&lt;Projects!$C$28+Projects!$D$28),Projects!$B$28*INDEX(Curves!$B$4:$AR$4,1,52-Projects!$C$28+1),0)+IF(AND(Projects!$G$29="Yes",Projects!$X$29="Yes",52&gt;=Projects!$C$29,52&lt;Projects!$C$29+Projects!$D$29),Projects!$B$29*INDEX(Curves!$B$4:$AR$4,1,52-Projects!$C$29+1),0)+IF(AND(Projects!$G$30="Yes",Projects!$X$30="Yes",52&gt;=Projects!$C$30,52&lt;Projects!$C$30+Projects!$D$30),Projects!$B$30*INDEX(Curves!$B$4:$AR$4,1,52-Projects!$C$30+1),0)+IF(AND(Projects!$G$31="Yes",Projects!$X$31="Yes",52&gt;=Projects!$C$31,52&lt;Projects!$C$31+Projects!$D$31),Projects!$B$31*INDEX(Curves!$B$4:$AR$4,1,52-Projects!$C$31+1),0)+IF(AND(Projects!$G$32="Yes",Projects!$X$32="Yes",52&gt;=Projects!$C$32,52&lt;Projects!$C$32+Projects!$D$32),Projects!$B$32*INDEX(Curves!$B$4:$AR$4,1,52-Projects!$C$32+1),0)+IF(AND(Projects!$G$33="Yes",Projects!$X$33="Yes",52&gt;=Projects!$C$33,52&lt;Projects!$C$33+Projects!$D$33),Projects!$B$33*INDEX(Curves!$B$4:$AR$4,1,52-Projects!$C$33+1),0)+IF(AND(Projects!$G$34="Yes",Projects!$X$34="Yes",52&gt;=Projects!$C$34,52&lt;Projects!$C$34+Projects!$D$34),Projects!$B$34*INDEX(Curves!$B$4:$AR$4,1,52-Projects!$C$34+1),0)+IF(AND(Projects!$G$35="Yes",Projects!$X$35="Yes",52&gt;=Projects!$C$35,52&lt;Projects!$C$35+Projects!$D$35),Projects!$B$35*INDEX(Curves!$B$4:$AR$4,1,52-Projects!$C$35+1),0)+IF(AND(Projects!$G$36="Yes",Projects!$X$36="Yes",52&gt;=Projects!$C$36,52&lt;Projects!$C$36+Projects!$D$36),Projects!$B$36*INDEX(Curves!$B$4:$AR$4,1,52-Projects!$C$36+1),0)+IF(AND(Projects!$G$37="Yes",Projects!$X$37="Yes",52&gt;=Projects!$C$37,52&lt;Projects!$C$37+Projects!$D$37),Projects!$B$37*INDEX(Curves!$B$4:$AR$4,1,52-Projects!$C$37+1),0)+IF(AND(Projects!$G$38="Yes",Projects!$X$38="Yes",52&gt;=Projects!$C$38,52&lt;Projects!$C$38+Projects!$D$38),Projects!$B$38*INDEX(Curves!$B$4:$AR$4,1,52-Projects!$C$38+1),0)+IF(AND(Projects!$G$39="Yes",Projects!$X$39="Yes",52&gt;=Projects!$C$39,52&lt;Projects!$C$39+Projects!$D$39),Projects!$B$39*INDEX(Curves!$B$4:$AR$4,1,52-Projects!$C$39+1),0)+IF(AND(Projects!$G$40="Yes",Projects!$X$40="Yes",52&gt;=Projects!$C$40,52&lt;Projects!$C$40+Projects!$D$40),Projects!$B$40*INDEX(Curves!$B$4:$AR$4,1,52-Projects!$C$40+1),0)+IF(AND(Projects!$G$41="Yes",Projects!$X$41="Yes",52&gt;=Projects!$C$41,52&lt;Projects!$C$41+Projects!$D$41),Projects!$B$41*INDEX(Curves!$B$4:$AR$4,1,52-Projects!$C$41+1),0)+IF(AND(Projects!$G$42="Yes",Projects!$X$42="Yes",52&gt;=Projects!$C$42,52&lt;Projects!$C$42+Projects!$D$42),Projects!$B$42*INDEX(Curves!$B$4:$AR$4,1,52-Projects!$C$42+1),0)+IF(AND(Projects!$G$43="Yes",Projects!$X$43="Yes",52&gt;=Projects!$C$43,52&lt;Projects!$C$43+Projects!$D$43),Projects!$B$43*INDEX(Curves!$B$4:$AR$4,1,52-Projects!$C$43+1),0)+IF(AND(Projects!$G$44="Yes",Projects!$X$44="Yes",52&gt;=Projects!$C$44,52&lt;Projects!$C$44+Projects!$D$44),Projects!$B$44*INDEX(Curves!$B$4:$AR$4,1,52-Projects!$C$44+1),0)+IF(AND(Projects!$G$45="Yes",Projects!$X$45="Yes",52&gt;=Projects!$C$45,52&lt;Projects!$C$45+Projects!$D$45),Projects!$B$45*INDEX(Curves!$B$4:$AR$4,1,52-Projects!$C$45+1),0)+IF(AND(Projects!$G$46="Yes",Projects!$X$46="Yes",52&gt;=Projects!$C$46,52&lt;Projects!$C$46+Projects!$D$46),Projects!$B$46*INDEX(Curves!$B$4:$AR$4,1,52-Projects!$C$46+1),0)</f>
        <v>0</v>
      </c>
      <c r="BF96" s="296" t="n">
        <f aca="false">IF(AND(Projects!$G$17="Yes",Projects!$X$17="Yes",53&gt;=Projects!$C$17,53&lt;Projects!$C$17+Projects!$D$17),Projects!$B$17*INDEX(Curves!$B$4:$AR$4,1,53-Projects!$C$17+1),0)+IF(AND(Projects!$G$18="Yes",Projects!$X$18="Yes",53&gt;=Projects!$C$18,53&lt;Projects!$C$18+Projects!$D$18),Projects!$B$18*INDEX(Curves!$B$4:$AR$4,1,53-Projects!$C$18+1),0)+IF(AND(Projects!$G$19="Yes",Projects!$X$19="Yes",53&gt;=Projects!$C$19,53&lt;Projects!$C$19+Projects!$D$19),Projects!$B$19*INDEX(Curves!$B$10:$AR$10,1,53-Projects!$C$19+1),0)+IF(AND(Projects!$G$20="Yes",Projects!$X$20="Yes",53&gt;=Projects!$C$20,53&lt;Projects!$C$20+Projects!$D$20),Projects!$B$20*INDEX(Curves!$B$4:$AR$4,1,53-Projects!$C$20+1),0)+IF(AND(Projects!$G$21="Yes",Projects!$X$21="Yes",53&gt;=Projects!$C$21,53&lt;Projects!$C$21+Projects!$D$21),Projects!$B$21*INDEX(Curves!$B$11:$AR$11,1,53-Projects!$C$21+1),0)+IF(AND(Projects!$G$22="Yes",Projects!$X$22="Yes",53&gt;=Projects!$C$22,53&lt;Projects!$C$22+Projects!$D$22),Projects!$B$22*INDEX(Curves!$B$4:$AR$4,1,53-Projects!$C$22+1),0)+IF(AND(Projects!$G$23="Yes",Projects!$X$23="Yes",53&gt;=Projects!$C$23,53&lt;Projects!$C$23+Projects!$D$23),Projects!$B$23*INDEX(Curves!$B$4:$AR$4,1,53-Projects!$C$23+1),0)+IF(AND(Projects!$G$24="Yes",Projects!$X$24="Yes",53&gt;=Projects!$C$24,53&lt;Projects!$C$24+Projects!$D$24),Projects!$B$24*INDEX(Curves!$B$4:$AR$4,1,53-Projects!$C$24+1),0)+IF(AND(Projects!$G$25="Yes",Projects!$X$25="Yes",53&gt;=Projects!$C$25,53&lt;Projects!$C$25+Projects!$D$25),Projects!$B$25*INDEX(Curves!$B$4:$AR$4,1,53-Projects!$C$25+1),0)+IF(AND(Projects!$G$26="Yes",Projects!$X$26="Yes",53&gt;=Projects!$C$26,53&lt;Projects!$C$26+Projects!$D$26),Projects!$B$26*INDEX(Curves!$B$4:$AR$4,1,53-Projects!$C$26+1),0)+IF(AND(Projects!$G$27="Yes",Projects!$X$27="Yes",53&gt;=Projects!$C$27,53&lt;Projects!$C$27+Projects!$D$27),Projects!$B$27*INDEX(Curves!$B$4:$AR$4,1,53-Projects!$C$27+1),0)+IF(AND(Projects!$G$28="Yes",Projects!$X$28="Yes",53&gt;=Projects!$C$28,53&lt;Projects!$C$28+Projects!$D$28),Projects!$B$28*INDEX(Curves!$B$4:$AR$4,1,53-Projects!$C$28+1),0)+IF(AND(Projects!$G$29="Yes",Projects!$X$29="Yes",53&gt;=Projects!$C$29,53&lt;Projects!$C$29+Projects!$D$29),Projects!$B$29*INDEX(Curves!$B$4:$AR$4,1,53-Projects!$C$29+1),0)+IF(AND(Projects!$G$30="Yes",Projects!$X$30="Yes",53&gt;=Projects!$C$30,53&lt;Projects!$C$30+Projects!$D$30),Projects!$B$30*INDEX(Curves!$B$4:$AR$4,1,53-Projects!$C$30+1),0)+IF(AND(Projects!$G$31="Yes",Projects!$X$31="Yes",53&gt;=Projects!$C$31,53&lt;Projects!$C$31+Projects!$D$31),Projects!$B$31*INDEX(Curves!$B$4:$AR$4,1,53-Projects!$C$31+1),0)+IF(AND(Projects!$G$32="Yes",Projects!$X$32="Yes",53&gt;=Projects!$C$32,53&lt;Projects!$C$32+Projects!$D$32),Projects!$B$32*INDEX(Curves!$B$4:$AR$4,1,53-Projects!$C$32+1),0)+IF(AND(Projects!$G$33="Yes",Projects!$X$33="Yes",53&gt;=Projects!$C$33,53&lt;Projects!$C$33+Projects!$D$33),Projects!$B$33*INDEX(Curves!$B$4:$AR$4,1,53-Projects!$C$33+1),0)+IF(AND(Projects!$G$34="Yes",Projects!$X$34="Yes",53&gt;=Projects!$C$34,53&lt;Projects!$C$34+Projects!$D$34),Projects!$B$34*INDEX(Curves!$B$4:$AR$4,1,53-Projects!$C$34+1),0)+IF(AND(Projects!$G$35="Yes",Projects!$X$35="Yes",53&gt;=Projects!$C$35,53&lt;Projects!$C$35+Projects!$D$35),Projects!$B$35*INDEX(Curves!$B$4:$AR$4,1,53-Projects!$C$35+1),0)+IF(AND(Projects!$G$36="Yes",Projects!$X$36="Yes",53&gt;=Projects!$C$36,53&lt;Projects!$C$36+Projects!$D$36),Projects!$B$36*INDEX(Curves!$B$4:$AR$4,1,53-Projects!$C$36+1),0)+IF(AND(Projects!$G$37="Yes",Projects!$X$37="Yes",53&gt;=Projects!$C$37,53&lt;Projects!$C$37+Projects!$D$37),Projects!$B$37*INDEX(Curves!$B$4:$AR$4,1,53-Projects!$C$37+1),0)+IF(AND(Projects!$G$38="Yes",Projects!$X$38="Yes",53&gt;=Projects!$C$38,53&lt;Projects!$C$38+Projects!$D$38),Projects!$B$38*INDEX(Curves!$B$4:$AR$4,1,53-Projects!$C$38+1),0)+IF(AND(Projects!$G$39="Yes",Projects!$X$39="Yes",53&gt;=Projects!$C$39,53&lt;Projects!$C$39+Projects!$D$39),Projects!$B$39*INDEX(Curves!$B$4:$AR$4,1,53-Projects!$C$39+1),0)+IF(AND(Projects!$G$40="Yes",Projects!$X$40="Yes",53&gt;=Projects!$C$40,53&lt;Projects!$C$40+Projects!$D$40),Projects!$B$40*INDEX(Curves!$B$4:$AR$4,1,53-Projects!$C$40+1),0)+IF(AND(Projects!$G$41="Yes",Projects!$X$41="Yes",53&gt;=Projects!$C$41,53&lt;Projects!$C$41+Projects!$D$41),Projects!$B$41*INDEX(Curves!$B$4:$AR$4,1,53-Projects!$C$41+1),0)+IF(AND(Projects!$G$42="Yes",Projects!$X$42="Yes",53&gt;=Projects!$C$42,53&lt;Projects!$C$42+Projects!$D$42),Projects!$B$42*INDEX(Curves!$B$4:$AR$4,1,53-Projects!$C$42+1),0)+IF(AND(Projects!$G$43="Yes",Projects!$X$43="Yes",53&gt;=Projects!$C$43,53&lt;Projects!$C$43+Projects!$D$43),Projects!$B$43*INDEX(Curves!$B$4:$AR$4,1,53-Projects!$C$43+1),0)+IF(AND(Projects!$G$44="Yes",Projects!$X$44="Yes",53&gt;=Projects!$C$44,53&lt;Projects!$C$44+Projects!$D$44),Projects!$B$44*INDEX(Curves!$B$4:$AR$4,1,53-Projects!$C$44+1),0)+IF(AND(Projects!$G$45="Yes",Projects!$X$45="Yes",53&gt;=Projects!$C$45,53&lt;Projects!$C$45+Projects!$D$45),Projects!$B$45*INDEX(Curves!$B$4:$AR$4,1,53-Projects!$C$45+1),0)+IF(AND(Projects!$G$46="Yes",Projects!$X$46="Yes",53&gt;=Projects!$C$46,53&lt;Projects!$C$46+Projects!$D$46),Projects!$B$46*INDEX(Curves!$B$4:$AR$4,1,53-Projects!$C$46+1),0)</f>
        <v>0</v>
      </c>
      <c r="BG96" s="296" t="n">
        <f aca="false">IF(AND(Projects!$G$17="Yes",Projects!$X$17="Yes",54&gt;=Projects!$C$17,54&lt;Projects!$C$17+Projects!$D$17),Projects!$B$17*INDEX(Curves!$B$4:$AR$4,1,54-Projects!$C$17+1),0)+IF(AND(Projects!$G$18="Yes",Projects!$X$18="Yes",54&gt;=Projects!$C$18,54&lt;Projects!$C$18+Projects!$D$18),Projects!$B$18*INDEX(Curves!$B$4:$AR$4,1,54-Projects!$C$18+1),0)+IF(AND(Projects!$G$19="Yes",Projects!$X$19="Yes",54&gt;=Projects!$C$19,54&lt;Projects!$C$19+Projects!$D$19),Projects!$B$19*INDEX(Curves!$B$10:$AR$10,1,54-Projects!$C$19+1),0)+IF(AND(Projects!$G$20="Yes",Projects!$X$20="Yes",54&gt;=Projects!$C$20,54&lt;Projects!$C$20+Projects!$D$20),Projects!$B$20*INDEX(Curves!$B$4:$AR$4,1,54-Projects!$C$20+1),0)+IF(AND(Projects!$G$21="Yes",Projects!$X$21="Yes",54&gt;=Projects!$C$21,54&lt;Projects!$C$21+Projects!$D$21),Projects!$B$21*INDEX(Curves!$B$11:$AR$11,1,54-Projects!$C$21+1),0)+IF(AND(Projects!$G$22="Yes",Projects!$X$22="Yes",54&gt;=Projects!$C$22,54&lt;Projects!$C$22+Projects!$D$22),Projects!$B$22*INDEX(Curves!$B$4:$AR$4,1,54-Projects!$C$22+1),0)+IF(AND(Projects!$G$23="Yes",Projects!$X$23="Yes",54&gt;=Projects!$C$23,54&lt;Projects!$C$23+Projects!$D$23),Projects!$B$23*INDEX(Curves!$B$4:$AR$4,1,54-Projects!$C$23+1),0)+IF(AND(Projects!$G$24="Yes",Projects!$X$24="Yes",54&gt;=Projects!$C$24,54&lt;Projects!$C$24+Projects!$D$24),Projects!$B$24*INDEX(Curves!$B$4:$AR$4,1,54-Projects!$C$24+1),0)+IF(AND(Projects!$G$25="Yes",Projects!$X$25="Yes",54&gt;=Projects!$C$25,54&lt;Projects!$C$25+Projects!$D$25),Projects!$B$25*INDEX(Curves!$B$4:$AR$4,1,54-Projects!$C$25+1),0)+IF(AND(Projects!$G$26="Yes",Projects!$X$26="Yes",54&gt;=Projects!$C$26,54&lt;Projects!$C$26+Projects!$D$26),Projects!$B$26*INDEX(Curves!$B$4:$AR$4,1,54-Projects!$C$26+1),0)+IF(AND(Projects!$G$27="Yes",Projects!$X$27="Yes",54&gt;=Projects!$C$27,54&lt;Projects!$C$27+Projects!$D$27),Projects!$B$27*INDEX(Curves!$B$4:$AR$4,1,54-Projects!$C$27+1),0)+IF(AND(Projects!$G$28="Yes",Projects!$X$28="Yes",54&gt;=Projects!$C$28,54&lt;Projects!$C$28+Projects!$D$28),Projects!$B$28*INDEX(Curves!$B$4:$AR$4,1,54-Projects!$C$28+1),0)+IF(AND(Projects!$G$29="Yes",Projects!$X$29="Yes",54&gt;=Projects!$C$29,54&lt;Projects!$C$29+Projects!$D$29),Projects!$B$29*INDEX(Curves!$B$4:$AR$4,1,54-Projects!$C$29+1),0)+IF(AND(Projects!$G$30="Yes",Projects!$X$30="Yes",54&gt;=Projects!$C$30,54&lt;Projects!$C$30+Projects!$D$30),Projects!$B$30*INDEX(Curves!$B$4:$AR$4,1,54-Projects!$C$30+1),0)+IF(AND(Projects!$G$31="Yes",Projects!$X$31="Yes",54&gt;=Projects!$C$31,54&lt;Projects!$C$31+Projects!$D$31),Projects!$B$31*INDEX(Curves!$B$4:$AR$4,1,54-Projects!$C$31+1),0)+IF(AND(Projects!$G$32="Yes",Projects!$X$32="Yes",54&gt;=Projects!$C$32,54&lt;Projects!$C$32+Projects!$D$32),Projects!$B$32*INDEX(Curves!$B$4:$AR$4,1,54-Projects!$C$32+1),0)+IF(AND(Projects!$G$33="Yes",Projects!$X$33="Yes",54&gt;=Projects!$C$33,54&lt;Projects!$C$33+Projects!$D$33),Projects!$B$33*INDEX(Curves!$B$4:$AR$4,1,54-Projects!$C$33+1),0)+IF(AND(Projects!$G$34="Yes",Projects!$X$34="Yes",54&gt;=Projects!$C$34,54&lt;Projects!$C$34+Projects!$D$34),Projects!$B$34*INDEX(Curves!$B$4:$AR$4,1,54-Projects!$C$34+1),0)+IF(AND(Projects!$G$35="Yes",Projects!$X$35="Yes",54&gt;=Projects!$C$35,54&lt;Projects!$C$35+Projects!$D$35),Projects!$B$35*INDEX(Curves!$B$4:$AR$4,1,54-Projects!$C$35+1),0)+IF(AND(Projects!$G$36="Yes",Projects!$X$36="Yes",54&gt;=Projects!$C$36,54&lt;Projects!$C$36+Projects!$D$36),Projects!$B$36*INDEX(Curves!$B$4:$AR$4,1,54-Projects!$C$36+1),0)+IF(AND(Projects!$G$37="Yes",Projects!$X$37="Yes",54&gt;=Projects!$C$37,54&lt;Projects!$C$37+Projects!$D$37),Projects!$B$37*INDEX(Curves!$B$4:$AR$4,1,54-Projects!$C$37+1),0)+IF(AND(Projects!$G$38="Yes",Projects!$X$38="Yes",54&gt;=Projects!$C$38,54&lt;Projects!$C$38+Projects!$D$38),Projects!$B$38*INDEX(Curves!$B$4:$AR$4,1,54-Projects!$C$38+1),0)+IF(AND(Projects!$G$39="Yes",Projects!$X$39="Yes",54&gt;=Projects!$C$39,54&lt;Projects!$C$39+Projects!$D$39),Projects!$B$39*INDEX(Curves!$B$4:$AR$4,1,54-Projects!$C$39+1),0)+IF(AND(Projects!$G$40="Yes",Projects!$X$40="Yes",54&gt;=Projects!$C$40,54&lt;Projects!$C$40+Projects!$D$40),Projects!$B$40*INDEX(Curves!$B$4:$AR$4,1,54-Projects!$C$40+1),0)+IF(AND(Projects!$G$41="Yes",Projects!$X$41="Yes",54&gt;=Projects!$C$41,54&lt;Projects!$C$41+Projects!$D$41),Projects!$B$41*INDEX(Curves!$B$4:$AR$4,1,54-Projects!$C$41+1),0)+IF(AND(Projects!$G$42="Yes",Projects!$X$42="Yes",54&gt;=Projects!$C$42,54&lt;Projects!$C$42+Projects!$D$42),Projects!$B$42*INDEX(Curves!$B$4:$AR$4,1,54-Projects!$C$42+1),0)+IF(AND(Projects!$G$43="Yes",Projects!$X$43="Yes",54&gt;=Projects!$C$43,54&lt;Projects!$C$43+Projects!$D$43),Projects!$B$43*INDEX(Curves!$B$4:$AR$4,1,54-Projects!$C$43+1),0)+IF(AND(Projects!$G$44="Yes",Projects!$X$44="Yes",54&gt;=Projects!$C$44,54&lt;Projects!$C$44+Projects!$D$44),Projects!$B$44*INDEX(Curves!$B$4:$AR$4,1,54-Projects!$C$44+1),0)+IF(AND(Projects!$G$45="Yes",Projects!$X$45="Yes",54&gt;=Projects!$C$45,54&lt;Projects!$C$45+Projects!$D$45),Projects!$B$45*INDEX(Curves!$B$4:$AR$4,1,54-Projects!$C$45+1),0)+IF(AND(Projects!$G$46="Yes",Projects!$X$46="Yes",54&gt;=Projects!$C$46,54&lt;Projects!$C$46+Projects!$D$46),Projects!$B$46*INDEX(Curves!$B$4:$AR$4,1,54-Projects!$C$46+1),0)</f>
        <v>0</v>
      </c>
      <c r="BH96" s="296" t="n">
        <f aca="false">IF(AND(Projects!$G$17="Yes",Projects!$X$17="Yes",55&gt;=Projects!$C$17,55&lt;Projects!$C$17+Projects!$D$17),Projects!$B$17*INDEX(Curves!$B$4:$AR$4,1,55-Projects!$C$17+1),0)+IF(AND(Projects!$G$18="Yes",Projects!$X$18="Yes",55&gt;=Projects!$C$18,55&lt;Projects!$C$18+Projects!$D$18),Projects!$B$18*INDEX(Curves!$B$4:$AR$4,1,55-Projects!$C$18+1),0)+IF(AND(Projects!$G$19="Yes",Projects!$X$19="Yes",55&gt;=Projects!$C$19,55&lt;Projects!$C$19+Projects!$D$19),Projects!$B$19*INDEX(Curves!$B$10:$AR$10,1,55-Projects!$C$19+1),0)+IF(AND(Projects!$G$20="Yes",Projects!$X$20="Yes",55&gt;=Projects!$C$20,55&lt;Projects!$C$20+Projects!$D$20),Projects!$B$20*INDEX(Curves!$B$4:$AR$4,1,55-Projects!$C$20+1),0)+IF(AND(Projects!$G$21="Yes",Projects!$X$21="Yes",55&gt;=Projects!$C$21,55&lt;Projects!$C$21+Projects!$D$21),Projects!$B$21*INDEX(Curves!$B$11:$AR$11,1,55-Projects!$C$21+1),0)+IF(AND(Projects!$G$22="Yes",Projects!$X$22="Yes",55&gt;=Projects!$C$22,55&lt;Projects!$C$22+Projects!$D$22),Projects!$B$22*INDEX(Curves!$B$4:$AR$4,1,55-Projects!$C$22+1),0)+IF(AND(Projects!$G$23="Yes",Projects!$X$23="Yes",55&gt;=Projects!$C$23,55&lt;Projects!$C$23+Projects!$D$23),Projects!$B$23*INDEX(Curves!$B$4:$AR$4,1,55-Projects!$C$23+1),0)+IF(AND(Projects!$G$24="Yes",Projects!$X$24="Yes",55&gt;=Projects!$C$24,55&lt;Projects!$C$24+Projects!$D$24),Projects!$B$24*INDEX(Curves!$B$4:$AR$4,1,55-Projects!$C$24+1),0)+IF(AND(Projects!$G$25="Yes",Projects!$X$25="Yes",55&gt;=Projects!$C$25,55&lt;Projects!$C$25+Projects!$D$25),Projects!$B$25*INDEX(Curves!$B$4:$AR$4,1,55-Projects!$C$25+1),0)+IF(AND(Projects!$G$26="Yes",Projects!$X$26="Yes",55&gt;=Projects!$C$26,55&lt;Projects!$C$26+Projects!$D$26),Projects!$B$26*INDEX(Curves!$B$4:$AR$4,1,55-Projects!$C$26+1),0)+IF(AND(Projects!$G$27="Yes",Projects!$X$27="Yes",55&gt;=Projects!$C$27,55&lt;Projects!$C$27+Projects!$D$27),Projects!$B$27*INDEX(Curves!$B$4:$AR$4,1,55-Projects!$C$27+1),0)+IF(AND(Projects!$G$28="Yes",Projects!$X$28="Yes",55&gt;=Projects!$C$28,55&lt;Projects!$C$28+Projects!$D$28),Projects!$B$28*INDEX(Curves!$B$4:$AR$4,1,55-Projects!$C$28+1),0)+IF(AND(Projects!$G$29="Yes",Projects!$X$29="Yes",55&gt;=Projects!$C$29,55&lt;Projects!$C$29+Projects!$D$29),Projects!$B$29*INDEX(Curves!$B$4:$AR$4,1,55-Projects!$C$29+1),0)+IF(AND(Projects!$G$30="Yes",Projects!$X$30="Yes",55&gt;=Projects!$C$30,55&lt;Projects!$C$30+Projects!$D$30),Projects!$B$30*INDEX(Curves!$B$4:$AR$4,1,55-Projects!$C$30+1),0)+IF(AND(Projects!$G$31="Yes",Projects!$X$31="Yes",55&gt;=Projects!$C$31,55&lt;Projects!$C$31+Projects!$D$31),Projects!$B$31*INDEX(Curves!$B$4:$AR$4,1,55-Projects!$C$31+1),0)+IF(AND(Projects!$G$32="Yes",Projects!$X$32="Yes",55&gt;=Projects!$C$32,55&lt;Projects!$C$32+Projects!$D$32),Projects!$B$32*INDEX(Curves!$B$4:$AR$4,1,55-Projects!$C$32+1),0)+IF(AND(Projects!$G$33="Yes",Projects!$X$33="Yes",55&gt;=Projects!$C$33,55&lt;Projects!$C$33+Projects!$D$33),Projects!$B$33*INDEX(Curves!$B$4:$AR$4,1,55-Projects!$C$33+1),0)+IF(AND(Projects!$G$34="Yes",Projects!$X$34="Yes",55&gt;=Projects!$C$34,55&lt;Projects!$C$34+Projects!$D$34),Projects!$B$34*INDEX(Curves!$B$4:$AR$4,1,55-Projects!$C$34+1),0)+IF(AND(Projects!$G$35="Yes",Projects!$X$35="Yes",55&gt;=Projects!$C$35,55&lt;Projects!$C$35+Projects!$D$35),Projects!$B$35*INDEX(Curves!$B$4:$AR$4,1,55-Projects!$C$35+1),0)+IF(AND(Projects!$G$36="Yes",Projects!$X$36="Yes",55&gt;=Projects!$C$36,55&lt;Projects!$C$36+Projects!$D$36),Projects!$B$36*INDEX(Curves!$B$4:$AR$4,1,55-Projects!$C$36+1),0)+IF(AND(Projects!$G$37="Yes",Projects!$X$37="Yes",55&gt;=Projects!$C$37,55&lt;Projects!$C$37+Projects!$D$37),Projects!$B$37*INDEX(Curves!$B$4:$AR$4,1,55-Projects!$C$37+1),0)+IF(AND(Projects!$G$38="Yes",Projects!$X$38="Yes",55&gt;=Projects!$C$38,55&lt;Projects!$C$38+Projects!$D$38),Projects!$B$38*INDEX(Curves!$B$4:$AR$4,1,55-Projects!$C$38+1),0)+IF(AND(Projects!$G$39="Yes",Projects!$X$39="Yes",55&gt;=Projects!$C$39,55&lt;Projects!$C$39+Projects!$D$39),Projects!$B$39*INDEX(Curves!$B$4:$AR$4,1,55-Projects!$C$39+1),0)+IF(AND(Projects!$G$40="Yes",Projects!$X$40="Yes",55&gt;=Projects!$C$40,55&lt;Projects!$C$40+Projects!$D$40),Projects!$B$40*INDEX(Curves!$B$4:$AR$4,1,55-Projects!$C$40+1),0)+IF(AND(Projects!$G$41="Yes",Projects!$X$41="Yes",55&gt;=Projects!$C$41,55&lt;Projects!$C$41+Projects!$D$41),Projects!$B$41*INDEX(Curves!$B$4:$AR$4,1,55-Projects!$C$41+1),0)+IF(AND(Projects!$G$42="Yes",Projects!$X$42="Yes",55&gt;=Projects!$C$42,55&lt;Projects!$C$42+Projects!$D$42),Projects!$B$42*INDEX(Curves!$B$4:$AR$4,1,55-Projects!$C$42+1),0)+IF(AND(Projects!$G$43="Yes",Projects!$X$43="Yes",55&gt;=Projects!$C$43,55&lt;Projects!$C$43+Projects!$D$43),Projects!$B$43*INDEX(Curves!$B$4:$AR$4,1,55-Projects!$C$43+1),0)+IF(AND(Projects!$G$44="Yes",Projects!$X$44="Yes",55&gt;=Projects!$C$44,55&lt;Projects!$C$44+Projects!$D$44),Projects!$B$44*INDEX(Curves!$B$4:$AR$4,1,55-Projects!$C$44+1),0)+IF(AND(Projects!$G$45="Yes",Projects!$X$45="Yes",55&gt;=Projects!$C$45,55&lt;Projects!$C$45+Projects!$D$45),Projects!$B$45*INDEX(Curves!$B$4:$AR$4,1,55-Projects!$C$45+1),0)+IF(AND(Projects!$G$46="Yes",Projects!$X$46="Yes",55&gt;=Projects!$C$46,55&lt;Projects!$C$46+Projects!$D$46),Projects!$B$46*INDEX(Curves!$B$4:$AR$4,1,55-Projects!$C$46+1),0)</f>
        <v>0</v>
      </c>
      <c r="BI96" s="296" t="n">
        <f aca="false">IF(AND(Projects!$G$17="Yes",Projects!$X$17="Yes",56&gt;=Projects!$C$17,56&lt;Projects!$C$17+Projects!$D$17),Projects!$B$17*INDEX(Curves!$B$4:$AR$4,1,56-Projects!$C$17+1),0)+IF(AND(Projects!$G$18="Yes",Projects!$X$18="Yes",56&gt;=Projects!$C$18,56&lt;Projects!$C$18+Projects!$D$18),Projects!$B$18*INDEX(Curves!$B$4:$AR$4,1,56-Projects!$C$18+1),0)+IF(AND(Projects!$G$19="Yes",Projects!$X$19="Yes",56&gt;=Projects!$C$19,56&lt;Projects!$C$19+Projects!$D$19),Projects!$B$19*INDEX(Curves!$B$10:$AR$10,1,56-Projects!$C$19+1),0)+IF(AND(Projects!$G$20="Yes",Projects!$X$20="Yes",56&gt;=Projects!$C$20,56&lt;Projects!$C$20+Projects!$D$20),Projects!$B$20*INDEX(Curves!$B$4:$AR$4,1,56-Projects!$C$20+1),0)+IF(AND(Projects!$G$21="Yes",Projects!$X$21="Yes",56&gt;=Projects!$C$21,56&lt;Projects!$C$21+Projects!$D$21),Projects!$B$21*INDEX(Curves!$B$11:$AR$11,1,56-Projects!$C$21+1),0)+IF(AND(Projects!$G$22="Yes",Projects!$X$22="Yes",56&gt;=Projects!$C$22,56&lt;Projects!$C$22+Projects!$D$22),Projects!$B$22*INDEX(Curves!$B$4:$AR$4,1,56-Projects!$C$22+1),0)+IF(AND(Projects!$G$23="Yes",Projects!$X$23="Yes",56&gt;=Projects!$C$23,56&lt;Projects!$C$23+Projects!$D$23),Projects!$B$23*INDEX(Curves!$B$4:$AR$4,1,56-Projects!$C$23+1),0)+IF(AND(Projects!$G$24="Yes",Projects!$X$24="Yes",56&gt;=Projects!$C$24,56&lt;Projects!$C$24+Projects!$D$24),Projects!$B$24*INDEX(Curves!$B$4:$AR$4,1,56-Projects!$C$24+1),0)+IF(AND(Projects!$G$25="Yes",Projects!$X$25="Yes",56&gt;=Projects!$C$25,56&lt;Projects!$C$25+Projects!$D$25),Projects!$B$25*INDEX(Curves!$B$4:$AR$4,1,56-Projects!$C$25+1),0)+IF(AND(Projects!$G$26="Yes",Projects!$X$26="Yes",56&gt;=Projects!$C$26,56&lt;Projects!$C$26+Projects!$D$26),Projects!$B$26*INDEX(Curves!$B$4:$AR$4,1,56-Projects!$C$26+1),0)+IF(AND(Projects!$G$27="Yes",Projects!$X$27="Yes",56&gt;=Projects!$C$27,56&lt;Projects!$C$27+Projects!$D$27),Projects!$B$27*INDEX(Curves!$B$4:$AR$4,1,56-Projects!$C$27+1),0)+IF(AND(Projects!$G$28="Yes",Projects!$X$28="Yes",56&gt;=Projects!$C$28,56&lt;Projects!$C$28+Projects!$D$28),Projects!$B$28*INDEX(Curves!$B$4:$AR$4,1,56-Projects!$C$28+1),0)+IF(AND(Projects!$G$29="Yes",Projects!$X$29="Yes",56&gt;=Projects!$C$29,56&lt;Projects!$C$29+Projects!$D$29),Projects!$B$29*INDEX(Curves!$B$4:$AR$4,1,56-Projects!$C$29+1),0)+IF(AND(Projects!$G$30="Yes",Projects!$X$30="Yes",56&gt;=Projects!$C$30,56&lt;Projects!$C$30+Projects!$D$30),Projects!$B$30*INDEX(Curves!$B$4:$AR$4,1,56-Projects!$C$30+1),0)+IF(AND(Projects!$G$31="Yes",Projects!$X$31="Yes",56&gt;=Projects!$C$31,56&lt;Projects!$C$31+Projects!$D$31),Projects!$B$31*INDEX(Curves!$B$4:$AR$4,1,56-Projects!$C$31+1),0)+IF(AND(Projects!$G$32="Yes",Projects!$X$32="Yes",56&gt;=Projects!$C$32,56&lt;Projects!$C$32+Projects!$D$32),Projects!$B$32*INDEX(Curves!$B$4:$AR$4,1,56-Projects!$C$32+1),0)+IF(AND(Projects!$G$33="Yes",Projects!$X$33="Yes",56&gt;=Projects!$C$33,56&lt;Projects!$C$33+Projects!$D$33),Projects!$B$33*INDEX(Curves!$B$4:$AR$4,1,56-Projects!$C$33+1),0)+IF(AND(Projects!$G$34="Yes",Projects!$X$34="Yes",56&gt;=Projects!$C$34,56&lt;Projects!$C$34+Projects!$D$34),Projects!$B$34*INDEX(Curves!$B$4:$AR$4,1,56-Projects!$C$34+1),0)+IF(AND(Projects!$G$35="Yes",Projects!$X$35="Yes",56&gt;=Projects!$C$35,56&lt;Projects!$C$35+Projects!$D$35),Projects!$B$35*INDEX(Curves!$B$4:$AR$4,1,56-Projects!$C$35+1),0)+IF(AND(Projects!$G$36="Yes",Projects!$X$36="Yes",56&gt;=Projects!$C$36,56&lt;Projects!$C$36+Projects!$D$36),Projects!$B$36*INDEX(Curves!$B$4:$AR$4,1,56-Projects!$C$36+1),0)+IF(AND(Projects!$G$37="Yes",Projects!$X$37="Yes",56&gt;=Projects!$C$37,56&lt;Projects!$C$37+Projects!$D$37),Projects!$B$37*INDEX(Curves!$B$4:$AR$4,1,56-Projects!$C$37+1),0)+IF(AND(Projects!$G$38="Yes",Projects!$X$38="Yes",56&gt;=Projects!$C$38,56&lt;Projects!$C$38+Projects!$D$38),Projects!$B$38*INDEX(Curves!$B$4:$AR$4,1,56-Projects!$C$38+1),0)+IF(AND(Projects!$G$39="Yes",Projects!$X$39="Yes",56&gt;=Projects!$C$39,56&lt;Projects!$C$39+Projects!$D$39),Projects!$B$39*INDEX(Curves!$B$4:$AR$4,1,56-Projects!$C$39+1),0)+IF(AND(Projects!$G$40="Yes",Projects!$X$40="Yes",56&gt;=Projects!$C$40,56&lt;Projects!$C$40+Projects!$D$40),Projects!$B$40*INDEX(Curves!$B$4:$AR$4,1,56-Projects!$C$40+1),0)+IF(AND(Projects!$G$41="Yes",Projects!$X$41="Yes",56&gt;=Projects!$C$41,56&lt;Projects!$C$41+Projects!$D$41),Projects!$B$41*INDEX(Curves!$B$4:$AR$4,1,56-Projects!$C$41+1),0)+IF(AND(Projects!$G$42="Yes",Projects!$X$42="Yes",56&gt;=Projects!$C$42,56&lt;Projects!$C$42+Projects!$D$42),Projects!$B$42*INDEX(Curves!$B$4:$AR$4,1,56-Projects!$C$42+1),0)+IF(AND(Projects!$G$43="Yes",Projects!$X$43="Yes",56&gt;=Projects!$C$43,56&lt;Projects!$C$43+Projects!$D$43),Projects!$B$43*INDEX(Curves!$B$4:$AR$4,1,56-Projects!$C$43+1),0)+IF(AND(Projects!$G$44="Yes",Projects!$X$44="Yes",56&gt;=Projects!$C$44,56&lt;Projects!$C$44+Projects!$D$44),Projects!$B$44*INDEX(Curves!$B$4:$AR$4,1,56-Projects!$C$44+1),0)+IF(AND(Projects!$G$45="Yes",Projects!$X$45="Yes",56&gt;=Projects!$C$45,56&lt;Projects!$C$45+Projects!$D$45),Projects!$B$45*INDEX(Curves!$B$4:$AR$4,1,56-Projects!$C$45+1),0)+IF(AND(Projects!$G$46="Yes",Projects!$X$46="Yes",56&gt;=Projects!$C$46,56&lt;Projects!$C$46+Projects!$D$46),Projects!$B$46*INDEX(Curves!$B$4:$AR$4,1,56-Projects!$C$46+1),0)</f>
        <v>0</v>
      </c>
      <c r="BJ96" s="296" t="n">
        <f aca="false">IF(AND(Projects!$G$17="Yes",Projects!$X$17="Yes",57&gt;=Projects!$C$17,57&lt;Projects!$C$17+Projects!$D$17),Projects!$B$17*INDEX(Curves!$B$4:$AR$4,1,57-Projects!$C$17+1),0)+IF(AND(Projects!$G$18="Yes",Projects!$X$18="Yes",57&gt;=Projects!$C$18,57&lt;Projects!$C$18+Projects!$D$18),Projects!$B$18*INDEX(Curves!$B$4:$AR$4,1,57-Projects!$C$18+1),0)+IF(AND(Projects!$G$19="Yes",Projects!$X$19="Yes",57&gt;=Projects!$C$19,57&lt;Projects!$C$19+Projects!$D$19),Projects!$B$19*INDEX(Curves!$B$10:$AR$10,1,57-Projects!$C$19+1),0)+IF(AND(Projects!$G$20="Yes",Projects!$X$20="Yes",57&gt;=Projects!$C$20,57&lt;Projects!$C$20+Projects!$D$20),Projects!$B$20*INDEX(Curves!$B$4:$AR$4,1,57-Projects!$C$20+1),0)+IF(AND(Projects!$G$21="Yes",Projects!$X$21="Yes",57&gt;=Projects!$C$21,57&lt;Projects!$C$21+Projects!$D$21),Projects!$B$21*INDEX(Curves!$B$11:$AR$11,1,57-Projects!$C$21+1),0)+IF(AND(Projects!$G$22="Yes",Projects!$X$22="Yes",57&gt;=Projects!$C$22,57&lt;Projects!$C$22+Projects!$D$22),Projects!$B$22*INDEX(Curves!$B$4:$AR$4,1,57-Projects!$C$22+1),0)+IF(AND(Projects!$G$23="Yes",Projects!$X$23="Yes",57&gt;=Projects!$C$23,57&lt;Projects!$C$23+Projects!$D$23),Projects!$B$23*INDEX(Curves!$B$4:$AR$4,1,57-Projects!$C$23+1),0)+IF(AND(Projects!$G$24="Yes",Projects!$X$24="Yes",57&gt;=Projects!$C$24,57&lt;Projects!$C$24+Projects!$D$24),Projects!$B$24*INDEX(Curves!$B$4:$AR$4,1,57-Projects!$C$24+1),0)+IF(AND(Projects!$G$25="Yes",Projects!$X$25="Yes",57&gt;=Projects!$C$25,57&lt;Projects!$C$25+Projects!$D$25),Projects!$B$25*INDEX(Curves!$B$4:$AR$4,1,57-Projects!$C$25+1),0)+IF(AND(Projects!$G$26="Yes",Projects!$X$26="Yes",57&gt;=Projects!$C$26,57&lt;Projects!$C$26+Projects!$D$26),Projects!$B$26*INDEX(Curves!$B$4:$AR$4,1,57-Projects!$C$26+1),0)+IF(AND(Projects!$G$27="Yes",Projects!$X$27="Yes",57&gt;=Projects!$C$27,57&lt;Projects!$C$27+Projects!$D$27),Projects!$B$27*INDEX(Curves!$B$4:$AR$4,1,57-Projects!$C$27+1),0)+IF(AND(Projects!$G$28="Yes",Projects!$X$28="Yes",57&gt;=Projects!$C$28,57&lt;Projects!$C$28+Projects!$D$28),Projects!$B$28*INDEX(Curves!$B$4:$AR$4,1,57-Projects!$C$28+1),0)+IF(AND(Projects!$G$29="Yes",Projects!$X$29="Yes",57&gt;=Projects!$C$29,57&lt;Projects!$C$29+Projects!$D$29),Projects!$B$29*INDEX(Curves!$B$4:$AR$4,1,57-Projects!$C$29+1),0)+IF(AND(Projects!$G$30="Yes",Projects!$X$30="Yes",57&gt;=Projects!$C$30,57&lt;Projects!$C$30+Projects!$D$30),Projects!$B$30*INDEX(Curves!$B$4:$AR$4,1,57-Projects!$C$30+1),0)+IF(AND(Projects!$G$31="Yes",Projects!$X$31="Yes",57&gt;=Projects!$C$31,57&lt;Projects!$C$31+Projects!$D$31),Projects!$B$31*INDEX(Curves!$B$4:$AR$4,1,57-Projects!$C$31+1),0)+IF(AND(Projects!$G$32="Yes",Projects!$X$32="Yes",57&gt;=Projects!$C$32,57&lt;Projects!$C$32+Projects!$D$32),Projects!$B$32*INDEX(Curves!$B$4:$AR$4,1,57-Projects!$C$32+1),0)+IF(AND(Projects!$G$33="Yes",Projects!$X$33="Yes",57&gt;=Projects!$C$33,57&lt;Projects!$C$33+Projects!$D$33),Projects!$B$33*INDEX(Curves!$B$4:$AR$4,1,57-Projects!$C$33+1),0)+IF(AND(Projects!$G$34="Yes",Projects!$X$34="Yes",57&gt;=Projects!$C$34,57&lt;Projects!$C$34+Projects!$D$34),Projects!$B$34*INDEX(Curves!$B$4:$AR$4,1,57-Projects!$C$34+1),0)+IF(AND(Projects!$G$35="Yes",Projects!$X$35="Yes",57&gt;=Projects!$C$35,57&lt;Projects!$C$35+Projects!$D$35),Projects!$B$35*INDEX(Curves!$B$4:$AR$4,1,57-Projects!$C$35+1),0)+IF(AND(Projects!$G$36="Yes",Projects!$X$36="Yes",57&gt;=Projects!$C$36,57&lt;Projects!$C$36+Projects!$D$36),Projects!$B$36*INDEX(Curves!$B$4:$AR$4,1,57-Projects!$C$36+1),0)+IF(AND(Projects!$G$37="Yes",Projects!$X$37="Yes",57&gt;=Projects!$C$37,57&lt;Projects!$C$37+Projects!$D$37),Projects!$B$37*INDEX(Curves!$B$4:$AR$4,1,57-Projects!$C$37+1),0)+IF(AND(Projects!$G$38="Yes",Projects!$X$38="Yes",57&gt;=Projects!$C$38,57&lt;Projects!$C$38+Projects!$D$38),Projects!$B$38*INDEX(Curves!$B$4:$AR$4,1,57-Projects!$C$38+1),0)+IF(AND(Projects!$G$39="Yes",Projects!$X$39="Yes",57&gt;=Projects!$C$39,57&lt;Projects!$C$39+Projects!$D$39),Projects!$B$39*INDEX(Curves!$B$4:$AR$4,1,57-Projects!$C$39+1),0)+IF(AND(Projects!$G$40="Yes",Projects!$X$40="Yes",57&gt;=Projects!$C$40,57&lt;Projects!$C$40+Projects!$D$40),Projects!$B$40*INDEX(Curves!$B$4:$AR$4,1,57-Projects!$C$40+1),0)+IF(AND(Projects!$G$41="Yes",Projects!$X$41="Yes",57&gt;=Projects!$C$41,57&lt;Projects!$C$41+Projects!$D$41),Projects!$B$41*INDEX(Curves!$B$4:$AR$4,1,57-Projects!$C$41+1),0)+IF(AND(Projects!$G$42="Yes",Projects!$X$42="Yes",57&gt;=Projects!$C$42,57&lt;Projects!$C$42+Projects!$D$42),Projects!$B$42*INDEX(Curves!$B$4:$AR$4,1,57-Projects!$C$42+1),0)+IF(AND(Projects!$G$43="Yes",Projects!$X$43="Yes",57&gt;=Projects!$C$43,57&lt;Projects!$C$43+Projects!$D$43),Projects!$B$43*INDEX(Curves!$B$4:$AR$4,1,57-Projects!$C$43+1),0)+IF(AND(Projects!$G$44="Yes",Projects!$X$44="Yes",57&gt;=Projects!$C$44,57&lt;Projects!$C$44+Projects!$D$44),Projects!$B$44*INDEX(Curves!$B$4:$AR$4,1,57-Projects!$C$44+1),0)+IF(AND(Projects!$G$45="Yes",Projects!$X$45="Yes",57&gt;=Projects!$C$45,57&lt;Projects!$C$45+Projects!$D$45),Projects!$B$45*INDEX(Curves!$B$4:$AR$4,1,57-Projects!$C$45+1),0)+IF(AND(Projects!$G$46="Yes",Projects!$X$46="Yes",57&gt;=Projects!$C$46,57&lt;Projects!$C$46+Projects!$D$46),Projects!$B$46*INDEX(Curves!$B$4:$AR$4,1,57-Projects!$C$46+1),0)</f>
        <v>0</v>
      </c>
      <c r="BK96" s="296" t="n">
        <f aca="false">IF(AND(Projects!$G$17="Yes",Projects!$X$17="Yes",58&gt;=Projects!$C$17,58&lt;Projects!$C$17+Projects!$D$17),Projects!$B$17*INDEX(Curves!$B$4:$AR$4,1,58-Projects!$C$17+1),0)+IF(AND(Projects!$G$18="Yes",Projects!$X$18="Yes",58&gt;=Projects!$C$18,58&lt;Projects!$C$18+Projects!$D$18),Projects!$B$18*INDEX(Curves!$B$4:$AR$4,1,58-Projects!$C$18+1),0)+IF(AND(Projects!$G$19="Yes",Projects!$X$19="Yes",58&gt;=Projects!$C$19,58&lt;Projects!$C$19+Projects!$D$19),Projects!$B$19*INDEX(Curves!$B$10:$AR$10,1,58-Projects!$C$19+1),0)+IF(AND(Projects!$G$20="Yes",Projects!$X$20="Yes",58&gt;=Projects!$C$20,58&lt;Projects!$C$20+Projects!$D$20),Projects!$B$20*INDEX(Curves!$B$4:$AR$4,1,58-Projects!$C$20+1),0)+IF(AND(Projects!$G$21="Yes",Projects!$X$21="Yes",58&gt;=Projects!$C$21,58&lt;Projects!$C$21+Projects!$D$21),Projects!$B$21*INDEX(Curves!$B$11:$AR$11,1,58-Projects!$C$21+1),0)+IF(AND(Projects!$G$22="Yes",Projects!$X$22="Yes",58&gt;=Projects!$C$22,58&lt;Projects!$C$22+Projects!$D$22),Projects!$B$22*INDEX(Curves!$B$4:$AR$4,1,58-Projects!$C$22+1),0)+IF(AND(Projects!$G$23="Yes",Projects!$X$23="Yes",58&gt;=Projects!$C$23,58&lt;Projects!$C$23+Projects!$D$23),Projects!$B$23*INDEX(Curves!$B$4:$AR$4,1,58-Projects!$C$23+1),0)+IF(AND(Projects!$G$24="Yes",Projects!$X$24="Yes",58&gt;=Projects!$C$24,58&lt;Projects!$C$24+Projects!$D$24),Projects!$B$24*INDEX(Curves!$B$4:$AR$4,1,58-Projects!$C$24+1),0)+IF(AND(Projects!$G$25="Yes",Projects!$X$25="Yes",58&gt;=Projects!$C$25,58&lt;Projects!$C$25+Projects!$D$25),Projects!$B$25*INDEX(Curves!$B$4:$AR$4,1,58-Projects!$C$25+1),0)+IF(AND(Projects!$G$26="Yes",Projects!$X$26="Yes",58&gt;=Projects!$C$26,58&lt;Projects!$C$26+Projects!$D$26),Projects!$B$26*INDEX(Curves!$B$4:$AR$4,1,58-Projects!$C$26+1),0)+IF(AND(Projects!$G$27="Yes",Projects!$X$27="Yes",58&gt;=Projects!$C$27,58&lt;Projects!$C$27+Projects!$D$27),Projects!$B$27*INDEX(Curves!$B$4:$AR$4,1,58-Projects!$C$27+1),0)+IF(AND(Projects!$G$28="Yes",Projects!$X$28="Yes",58&gt;=Projects!$C$28,58&lt;Projects!$C$28+Projects!$D$28),Projects!$B$28*INDEX(Curves!$B$4:$AR$4,1,58-Projects!$C$28+1),0)+IF(AND(Projects!$G$29="Yes",Projects!$X$29="Yes",58&gt;=Projects!$C$29,58&lt;Projects!$C$29+Projects!$D$29),Projects!$B$29*INDEX(Curves!$B$4:$AR$4,1,58-Projects!$C$29+1),0)+IF(AND(Projects!$G$30="Yes",Projects!$X$30="Yes",58&gt;=Projects!$C$30,58&lt;Projects!$C$30+Projects!$D$30),Projects!$B$30*INDEX(Curves!$B$4:$AR$4,1,58-Projects!$C$30+1),0)+IF(AND(Projects!$G$31="Yes",Projects!$X$31="Yes",58&gt;=Projects!$C$31,58&lt;Projects!$C$31+Projects!$D$31),Projects!$B$31*INDEX(Curves!$B$4:$AR$4,1,58-Projects!$C$31+1),0)+IF(AND(Projects!$G$32="Yes",Projects!$X$32="Yes",58&gt;=Projects!$C$32,58&lt;Projects!$C$32+Projects!$D$32),Projects!$B$32*INDEX(Curves!$B$4:$AR$4,1,58-Projects!$C$32+1),0)+IF(AND(Projects!$G$33="Yes",Projects!$X$33="Yes",58&gt;=Projects!$C$33,58&lt;Projects!$C$33+Projects!$D$33),Projects!$B$33*INDEX(Curves!$B$4:$AR$4,1,58-Projects!$C$33+1),0)+IF(AND(Projects!$G$34="Yes",Projects!$X$34="Yes",58&gt;=Projects!$C$34,58&lt;Projects!$C$34+Projects!$D$34),Projects!$B$34*INDEX(Curves!$B$4:$AR$4,1,58-Projects!$C$34+1),0)+IF(AND(Projects!$G$35="Yes",Projects!$X$35="Yes",58&gt;=Projects!$C$35,58&lt;Projects!$C$35+Projects!$D$35),Projects!$B$35*INDEX(Curves!$B$4:$AR$4,1,58-Projects!$C$35+1),0)+IF(AND(Projects!$G$36="Yes",Projects!$X$36="Yes",58&gt;=Projects!$C$36,58&lt;Projects!$C$36+Projects!$D$36),Projects!$B$36*INDEX(Curves!$B$4:$AR$4,1,58-Projects!$C$36+1),0)+IF(AND(Projects!$G$37="Yes",Projects!$X$37="Yes",58&gt;=Projects!$C$37,58&lt;Projects!$C$37+Projects!$D$37),Projects!$B$37*INDEX(Curves!$B$4:$AR$4,1,58-Projects!$C$37+1),0)+IF(AND(Projects!$G$38="Yes",Projects!$X$38="Yes",58&gt;=Projects!$C$38,58&lt;Projects!$C$38+Projects!$D$38),Projects!$B$38*INDEX(Curves!$B$4:$AR$4,1,58-Projects!$C$38+1),0)+IF(AND(Projects!$G$39="Yes",Projects!$X$39="Yes",58&gt;=Projects!$C$39,58&lt;Projects!$C$39+Projects!$D$39),Projects!$B$39*INDEX(Curves!$B$4:$AR$4,1,58-Projects!$C$39+1),0)+IF(AND(Projects!$G$40="Yes",Projects!$X$40="Yes",58&gt;=Projects!$C$40,58&lt;Projects!$C$40+Projects!$D$40),Projects!$B$40*INDEX(Curves!$B$4:$AR$4,1,58-Projects!$C$40+1),0)+IF(AND(Projects!$G$41="Yes",Projects!$X$41="Yes",58&gt;=Projects!$C$41,58&lt;Projects!$C$41+Projects!$D$41),Projects!$B$41*INDEX(Curves!$B$4:$AR$4,1,58-Projects!$C$41+1),0)+IF(AND(Projects!$G$42="Yes",Projects!$X$42="Yes",58&gt;=Projects!$C$42,58&lt;Projects!$C$42+Projects!$D$42),Projects!$B$42*INDEX(Curves!$B$4:$AR$4,1,58-Projects!$C$42+1),0)+IF(AND(Projects!$G$43="Yes",Projects!$X$43="Yes",58&gt;=Projects!$C$43,58&lt;Projects!$C$43+Projects!$D$43),Projects!$B$43*INDEX(Curves!$B$4:$AR$4,1,58-Projects!$C$43+1),0)+IF(AND(Projects!$G$44="Yes",Projects!$X$44="Yes",58&gt;=Projects!$C$44,58&lt;Projects!$C$44+Projects!$D$44),Projects!$B$44*INDEX(Curves!$B$4:$AR$4,1,58-Projects!$C$44+1),0)+IF(AND(Projects!$G$45="Yes",Projects!$X$45="Yes",58&gt;=Projects!$C$45,58&lt;Projects!$C$45+Projects!$D$45),Projects!$B$45*INDEX(Curves!$B$4:$AR$4,1,58-Projects!$C$45+1),0)+IF(AND(Projects!$G$46="Yes",Projects!$X$46="Yes",58&gt;=Projects!$C$46,58&lt;Projects!$C$46+Projects!$D$46),Projects!$B$46*INDEX(Curves!$B$4:$AR$4,1,58-Projects!$C$46+1),0)</f>
        <v>0</v>
      </c>
      <c r="BL96" s="296" t="n">
        <f aca="false">IF(AND(Projects!$G$17="Yes",Projects!$X$17="Yes",59&gt;=Projects!$C$17,59&lt;Projects!$C$17+Projects!$D$17),Projects!$B$17*INDEX(Curves!$B$4:$AR$4,1,59-Projects!$C$17+1),0)+IF(AND(Projects!$G$18="Yes",Projects!$X$18="Yes",59&gt;=Projects!$C$18,59&lt;Projects!$C$18+Projects!$D$18),Projects!$B$18*INDEX(Curves!$B$4:$AR$4,1,59-Projects!$C$18+1),0)+IF(AND(Projects!$G$19="Yes",Projects!$X$19="Yes",59&gt;=Projects!$C$19,59&lt;Projects!$C$19+Projects!$D$19),Projects!$B$19*INDEX(Curves!$B$10:$AR$10,1,59-Projects!$C$19+1),0)+IF(AND(Projects!$G$20="Yes",Projects!$X$20="Yes",59&gt;=Projects!$C$20,59&lt;Projects!$C$20+Projects!$D$20),Projects!$B$20*INDEX(Curves!$B$4:$AR$4,1,59-Projects!$C$20+1),0)+IF(AND(Projects!$G$21="Yes",Projects!$X$21="Yes",59&gt;=Projects!$C$21,59&lt;Projects!$C$21+Projects!$D$21),Projects!$B$21*INDEX(Curves!$B$11:$AR$11,1,59-Projects!$C$21+1),0)+IF(AND(Projects!$G$22="Yes",Projects!$X$22="Yes",59&gt;=Projects!$C$22,59&lt;Projects!$C$22+Projects!$D$22),Projects!$B$22*INDEX(Curves!$B$4:$AR$4,1,59-Projects!$C$22+1),0)+IF(AND(Projects!$G$23="Yes",Projects!$X$23="Yes",59&gt;=Projects!$C$23,59&lt;Projects!$C$23+Projects!$D$23),Projects!$B$23*INDEX(Curves!$B$4:$AR$4,1,59-Projects!$C$23+1),0)+IF(AND(Projects!$G$24="Yes",Projects!$X$24="Yes",59&gt;=Projects!$C$24,59&lt;Projects!$C$24+Projects!$D$24),Projects!$B$24*INDEX(Curves!$B$4:$AR$4,1,59-Projects!$C$24+1),0)+IF(AND(Projects!$G$25="Yes",Projects!$X$25="Yes",59&gt;=Projects!$C$25,59&lt;Projects!$C$25+Projects!$D$25),Projects!$B$25*INDEX(Curves!$B$4:$AR$4,1,59-Projects!$C$25+1),0)+IF(AND(Projects!$G$26="Yes",Projects!$X$26="Yes",59&gt;=Projects!$C$26,59&lt;Projects!$C$26+Projects!$D$26),Projects!$B$26*INDEX(Curves!$B$4:$AR$4,1,59-Projects!$C$26+1),0)+IF(AND(Projects!$G$27="Yes",Projects!$X$27="Yes",59&gt;=Projects!$C$27,59&lt;Projects!$C$27+Projects!$D$27),Projects!$B$27*INDEX(Curves!$B$4:$AR$4,1,59-Projects!$C$27+1),0)+IF(AND(Projects!$G$28="Yes",Projects!$X$28="Yes",59&gt;=Projects!$C$28,59&lt;Projects!$C$28+Projects!$D$28),Projects!$B$28*INDEX(Curves!$B$4:$AR$4,1,59-Projects!$C$28+1),0)+IF(AND(Projects!$G$29="Yes",Projects!$X$29="Yes",59&gt;=Projects!$C$29,59&lt;Projects!$C$29+Projects!$D$29),Projects!$B$29*INDEX(Curves!$B$4:$AR$4,1,59-Projects!$C$29+1),0)+IF(AND(Projects!$G$30="Yes",Projects!$X$30="Yes",59&gt;=Projects!$C$30,59&lt;Projects!$C$30+Projects!$D$30),Projects!$B$30*INDEX(Curves!$B$4:$AR$4,1,59-Projects!$C$30+1),0)+IF(AND(Projects!$G$31="Yes",Projects!$X$31="Yes",59&gt;=Projects!$C$31,59&lt;Projects!$C$31+Projects!$D$31),Projects!$B$31*INDEX(Curves!$B$4:$AR$4,1,59-Projects!$C$31+1),0)+IF(AND(Projects!$G$32="Yes",Projects!$X$32="Yes",59&gt;=Projects!$C$32,59&lt;Projects!$C$32+Projects!$D$32),Projects!$B$32*INDEX(Curves!$B$4:$AR$4,1,59-Projects!$C$32+1),0)+IF(AND(Projects!$G$33="Yes",Projects!$X$33="Yes",59&gt;=Projects!$C$33,59&lt;Projects!$C$33+Projects!$D$33),Projects!$B$33*INDEX(Curves!$B$4:$AR$4,1,59-Projects!$C$33+1),0)+IF(AND(Projects!$G$34="Yes",Projects!$X$34="Yes",59&gt;=Projects!$C$34,59&lt;Projects!$C$34+Projects!$D$34),Projects!$B$34*INDEX(Curves!$B$4:$AR$4,1,59-Projects!$C$34+1),0)+IF(AND(Projects!$G$35="Yes",Projects!$X$35="Yes",59&gt;=Projects!$C$35,59&lt;Projects!$C$35+Projects!$D$35),Projects!$B$35*INDEX(Curves!$B$4:$AR$4,1,59-Projects!$C$35+1),0)+IF(AND(Projects!$G$36="Yes",Projects!$X$36="Yes",59&gt;=Projects!$C$36,59&lt;Projects!$C$36+Projects!$D$36),Projects!$B$36*INDEX(Curves!$B$4:$AR$4,1,59-Projects!$C$36+1),0)+IF(AND(Projects!$G$37="Yes",Projects!$X$37="Yes",59&gt;=Projects!$C$37,59&lt;Projects!$C$37+Projects!$D$37),Projects!$B$37*INDEX(Curves!$B$4:$AR$4,1,59-Projects!$C$37+1),0)+IF(AND(Projects!$G$38="Yes",Projects!$X$38="Yes",59&gt;=Projects!$C$38,59&lt;Projects!$C$38+Projects!$D$38),Projects!$B$38*INDEX(Curves!$B$4:$AR$4,1,59-Projects!$C$38+1),0)+IF(AND(Projects!$G$39="Yes",Projects!$X$39="Yes",59&gt;=Projects!$C$39,59&lt;Projects!$C$39+Projects!$D$39),Projects!$B$39*INDEX(Curves!$B$4:$AR$4,1,59-Projects!$C$39+1),0)+IF(AND(Projects!$G$40="Yes",Projects!$X$40="Yes",59&gt;=Projects!$C$40,59&lt;Projects!$C$40+Projects!$D$40),Projects!$B$40*INDEX(Curves!$B$4:$AR$4,1,59-Projects!$C$40+1),0)+IF(AND(Projects!$G$41="Yes",Projects!$X$41="Yes",59&gt;=Projects!$C$41,59&lt;Projects!$C$41+Projects!$D$41),Projects!$B$41*INDEX(Curves!$B$4:$AR$4,1,59-Projects!$C$41+1),0)+IF(AND(Projects!$G$42="Yes",Projects!$X$42="Yes",59&gt;=Projects!$C$42,59&lt;Projects!$C$42+Projects!$D$42),Projects!$B$42*INDEX(Curves!$B$4:$AR$4,1,59-Projects!$C$42+1),0)+IF(AND(Projects!$G$43="Yes",Projects!$X$43="Yes",59&gt;=Projects!$C$43,59&lt;Projects!$C$43+Projects!$D$43),Projects!$B$43*INDEX(Curves!$B$4:$AR$4,1,59-Projects!$C$43+1),0)+IF(AND(Projects!$G$44="Yes",Projects!$X$44="Yes",59&gt;=Projects!$C$44,59&lt;Projects!$C$44+Projects!$D$44),Projects!$B$44*INDEX(Curves!$B$4:$AR$4,1,59-Projects!$C$44+1),0)+IF(AND(Projects!$G$45="Yes",Projects!$X$45="Yes",59&gt;=Projects!$C$45,59&lt;Projects!$C$45+Projects!$D$45),Projects!$B$45*INDEX(Curves!$B$4:$AR$4,1,59-Projects!$C$45+1),0)+IF(AND(Projects!$G$46="Yes",Projects!$X$46="Yes",59&gt;=Projects!$C$46,59&lt;Projects!$C$46+Projects!$D$46),Projects!$B$46*INDEX(Curves!$B$4:$AR$4,1,59-Projects!$C$46+1),0)</f>
        <v>0</v>
      </c>
      <c r="BM96" s="296" t="n">
        <f aca="false">IF(AND(Projects!$G$17="Yes",Projects!$X$17="Yes",60&gt;=Projects!$C$17,60&lt;Projects!$C$17+Projects!$D$17),Projects!$B$17*INDEX(Curves!$B$4:$AR$4,1,60-Projects!$C$17+1),0)+IF(AND(Projects!$G$18="Yes",Projects!$X$18="Yes",60&gt;=Projects!$C$18,60&lt;Projects!$C$18+Projects!$D$18),Projects!$B$18*INDEX(Curves!$B$4:$AR$4,1,60-Projects!$C$18+1),0)+IF(AND(Projects!$G$19="Yes",Projects!$X$19="Yes",60&gt;=Projects!$C$19,60&lt;Projects!$C$19+Projects!$D$19),Projects!$B$19*INDEX(Curves!$B$10:$AR$10,1,60-Projects!$C$19+1),0)+IF(AND(Projects!$G$20="Yes",Projects!$X$20="Yes",60&gt;=Projects!$C$20,60&lt;Projects!$C$20+Projects!$D$20),Projects!$B$20*INDEX(Curves!$B$4:$AR$4,1,60-Projects!$C$20+1),0)+IF(AND(Projects!$G$21="Yes",Projects!$X$21="Yes",60&gt;=Projects!$C$21,60&lt;Projects!$C$21+Projects!$D$21),Projects!$B$21*INDEX(Curves!$B$11:$AR$11,1,60-Projects!$C$21+1),0)+IF(AND(Projects!$G$22="Yes",Projects!$X$22="Yes",60&gt;=Projects!$C$22,60&lt;Projects!$C$22+Projects!$D$22),Projects!$B$22*INDEX(Curves!$B$4:$AR$4,1,60-Projects!$C$22+1),0)+IF(AND(Projects!$G$23="Yes",Projects!$X$23="Yes",60&gt;=Projects!$C$23,60&lt;Projects!$C$23+Projects!$D$23),Projects!$B$23*INDEX(Curves!$B$4:$AR$4,1,60-Projects!$C$23+1),0)+IF(AND(Projects!$G$24="Yes",Projects!$X$24="Yes",60&gt;=Projects!$C$24,60&lt;Projects!$C$24+Projects!$D$24),Projects!$B$24*INDEX(Curves!$B$4:$AR$4,1,60-Projects!$C$24+1),0)+IF(AND(Projects!$G$25="Yes",Projects!$X$25="Yes",60&gt;=Projects!$C$25,60&lt;Projects!$C$25+Projects!$D$25),Projects!$B$25*INDEX(Curves!$B$4:$AR$4,1,60-Projects!$C$25+1),0)+IF(AND(Projects!$G$26="Yes",Projects!$X$26="Yes",60&gt;=Projects!$C$26,60&lt;Projects!$C$26+Projects!$D$26),Projects!$B$26*INDEX(Curves!$B$4:$AR$4,1,60-Projects!$C$26+1),0)+IF(AND(Projects!$G$27="Yes",Projects!$X$27="Yes",60&gt;=Projects!$C$27,60&lt;Projects!$C$27+Projects!$D$27),Projects!$B$27*INDEX(Curves!$B$4:$AR$4,1,60-Projects!$C$27+1),0)+IF(AND(Projects!$G$28="Yes",Projects!$X$28="Yes",60&gt;=Projects!$C$28,60&lt;Projects!$C$28+Projects!$D$28),Projects!$B$28*INDEX(Curves!$B$4:$AR$4,1,60-Projects!$C$28+1),0)+IF(AND(Projects!$G$29="Yes",Projects!$X$29="Yes",60&gt;=Projects!$C$29,60&lt;Projects!$C$29+Projects!$D$29),Projects!$B$29*INDEX(Curves!$B$4:$AR$4,1,60-Projects!$C$29+1),0)+IF(AND(Projects!$G$30="Yes",Projects!$X$30="Yes",60&gt;=Projects!$C$30,60&lt;Projects!$C$30+Projects!$D$30),Projects!$B$30*INDEX(Curves!$B$4:$AR$4,1,60-Projects!$C$30+1),0)+IF(AND(Projects!$G$31="Yes",Projects!$X$31="Yes",60&gt;=Projects!$C$31,60&lt;Projects!$C$31+Projects!$D$31),Projects!$B$31*INDEX(Curves!$B$4:$AR$4,1,60-Projects!$C$31+1),0)+IF(AND(Projects!$G$32="Yes",Projects!$X$32="Yes",60&gt;=Projects!$C$32,60&lt;Projects!$C$32+Projects!$D$32),Projects!$B$32*INDEX(Curves!$B$4:$AR$4,1,60-Projects!$C$32+1),0)+IF(AND(Projects!$G$33="Yes",Projects!$X$33="Yes",60&gt;=Projects!$C$33,60&lt;Projects!$C$33+Projects!$D$33),Projects!$B$33*INDEX(Curves!$B$4:$AR$4,1,60-Projects!$C$33+1),0)+IF(AND(Projects!$G$34="Yes",Projects!$X$34="Yes",60&gt;=Projects!$C$34,60&lt;Projects!$C$34+Projects!$D$34),Projects!$B$34*INDEX(Curves!$B$4:$AR$4,1,60-Projects!$C$34+1),0)+IF(AND(Projects!$G$35="Yes",Projects!$X$35="Yes",60&gt;=Projects!$C$35,60&lt;Projects!$C$35+Projects!$D$35),Projects!$B$35*INDEX(Curves!$B$4:$AR$4,1,60-Projects!$C$35+1),0)+IF(AND(Projects!$G$36="Yes",Projects!$X$36="Yes",60&gt;=Projects!$C$36,60&lt;Projects!$C$36+Projects!$D$36),Projects!$B$36*INDEX(Curves!$B$4:$AR$4,1,60-Projects!$C$36+1),0)+IF(AND(Projects!$G$37="Yes",Projects!$X$37="Yes",60&gt;=Projects!$C$37,60&lt;Projects!$C$37+Projects!$D$37),Projects!$B$37*INDEX(Curves!$B$4:$AR$4,1,60-Projects!$C$37+1),0)+IF(AND(Projects!$G$38="Yes",Projects!$X$38="Yes",60&gt;=Projects!$C$38,60&lt;Projects!$C$38+Projects!$D$38),Projects!$B$38*INDEX(Curves!$B$4:$AR$4,1,60-Projects!$C$38+1),0)+IF(AND(Projects!$G$39="Yes",Projects!$X$39="Yes",60&gt;=Projects!$C$39,60&lt;Projects!$C$39+Projects!$D$39),Projects!$B$39*INDEX(Curves!$B$4:$AR$4,1,60-Projects!$C$39+1),0)+IF(AND(Projects!$G$40="Yes",Projects!$X$40="Yes",60&gt;=Projects!$C$40,60&lt;Projects!$C$40+Projects!$D$40),Projects!$B$40*INDEX(Curves!$B$4:$AR$4,1,60-Projects!$C$40+1),0)+IF(AND(Projects!$G$41="Yes",Projects!$X$41="Yes",60&gt;=Projects!$C$41,60&lt;Projects!$C$41+Projects!$D$41),Projects!$B$41*INDEX(Curves!$B$4:$AR$4,1,60-Projects!$C$41+1),0)+IF(AND(Projects!$G$42="Yes",Projects!$X$42="Yes",60&gt;=Projects!$C$42,60&lt;Projects!$C$42+Projects!$D$42),Projects!$B$42*INDEX(Curves!$B$4:$AR$4,1,60-Projects!$C$42+1),0)+IF(AND(Projects!$G$43="Yes",Projects!$X$43="Yes",60&gt;=Projects!$C$43,60&lt;Projects!$C$43+Projects!$D$43),Projects!$B$43*INDEX(Curves!$B$4:$AR$4,1,60-Projects!$C$43+1),0)+IF(AND(Projects!$G$44="Yes",Projects!$X$44="Yes",60&gt;=Projects!$C$44,60&lt;Projects!$C$44+Projects!$D$44),Projects!$B$44*INDEX(Curves!$B$4:$AR$4,1,60-Projects!$C$44+1),0)+IF(AND(Projects!$G$45="Yes",Projects!$X$45="Yes",60&gt;=Projects!$C$45,60&lt;Projects!$C$45+Projects!$D$45),Projects!$B$45*INDEX(Curves!$B$4:$AR$4,1,60-Projects!$C$45+1),0)+IF(AND(Projects!$G$46="Yes",Projects!$X$46="Yes",60&gt;=Projects!$C$46,60&lt;Projects!$C$46+Projects!$D$46),Projects!$B$46*INDEX(Curves!$B$4:$AR$4,1,60-Projects!$C$46+1),0)</f>
        <v>0</v>
      </c>
      <c r="BN96" s="296" t="n">
        <f aca="false">IF(AND(Projects!$G$17="Yes",Projects!$X$17="Yes",61&gt;=Projects!$C$17,61&lt;Projects!$C$17+Projects!$D$17),Projects!$B$17*INDEX(Curves!$B$4:$AR$4,1,61-Projects!$C$17+1),0)+IF(AND(Projects!$G$18="Yes",Projects!$X$18="Yes",61&gt;=Projects!$C$18,61&lt;Projects!$C$18+Projects!$D$18),Projects!$B$18*INDEX(Curves!$B$4:$AR$4,1,61-Projects!$C$18+1),0)+IF(AND(Projects!$G$19="Yes",Projects!$X$19="Yes",61&gt;=Projects!$C$19,61&lt;Projects!$C$19+Projects!$D$19),Projects!$B$19*INDEX(Curves!$B$10:$AR$10,1,61-Projects!$C$19+1),0)+IF(AND(Projects!$G$20="Yes",Projects!$X$20="Yes",61&gt;=Projects!$C$20,61&lt;Projects!$C$20+Projects!$D$20),Projects!$B$20*INDEX(Curves!$B$4:$AR$4,1,61-Projects!$C$20+1),0)+IF(AND(Projects!$G$21="Yes",Projects!$X$21="Yes",61&gt;=Projects!$C$21,61&lt;Projects!$C$21+Projects!$D$21),Projects!$B$21*INDEX(Curves!$B$11:$AR$11,1,61-Projects!$C$21+1),0)+IF(AND(Projects!$G$22="Yes",Projects!$X$22="Yes",61&gt;=Projects!$C$22,61&lt;Projects!$C$22+Projects!$D$22),Projects!$B$22*INDEX(Curves!$B$4:$AR$4,1,61-Projects!$C$22+1),0)+IF(AND(Projects!$G$23="Yes",Projects!$X$23="Yes",61&gt;=Projects!$C$23,61&lt;Projects!$C$23+Projects!$D$23),Projects!$B$23*INDEX(Curves!$B$4:$AR$4,1,61-Projects!$C$23+1),0)+IF(AND(Projects!$G$24="Yes",Projects!$X$24="Yes",61&gt;=Projects!$C$24,61&lt;Projects!$C$24+Projects!$D$24),Projects!$B$24*INDEX(Curves!$B$4:$AR$4,1,61-Projects!$C$24+1),0)+IF(AND(Projects!$G$25="Yes",Projects!$X$25="Yes",61&gt;=Projects!$C$25,61&lt;Projects!$C$25+Projects!$D$25),Projects!$B$25*INDEX(Curves!$B$4:$AR$4,1,61-Projects!$C$25+1),0)+IF(AND(Projects!$G$26="Yes",Projects!$X$26="Yes",61&gt;=Projects!$C$26,61&lt;Projects!$C$26+Projects!$D$26),Projects!$B$26*INDEX(Curves!$B$4:$AR$4,1,61-Projects!$C$26+1),0)+IF(AND(Projects!$G$27="Yes",Projects!$X$27="Yes",61&gt;=Projects!$C$27,61&lt;Projects!$C$27+Projects!$D$27),Projects!$B$27*INDEX(Curves!$B$4:$AR$4,1,61-Projects!$C$27+1),0)+IF(AND(Projects!$G$28="Yes",Projects!$X$28="Yes",61&gt;=Projects!$C$28,61&lt;Projects!$C$28+Projects!$D$28),Projects!$B$28*INDEX(Curves!$B$4:$AR$4,1,61-Projects!$C$28+1),0)+IF(AND(Projects!$G$29="Yes",Projects!$X$29="Yes",61&gt;=Projects!$C$29,61&lt;Projects!$C$29+Projects!$D$29),Projects!$B$29*INDEX(Curves!$B$4:$AR$4,1,61-Projects!$C$29+1),0)+IF(AND(Projects!$G$30="Yes",Projects!$X$30="Yes",61&gt;=Projects!$C$30,61&lt;Projects!$C$30+Projects!$D$30),Projects!$B$30*INDEX(Curves!$B$4:$AR$4,1,61-Projects!$C$30+1),0)+IF(AND(Projects!$G$31="Yes",Projects!$X$31="Yes",61&gt;=Projects!$C$31,61&lt;Projects!$C$31+Projects!$D$31),Projects!$B$31*INDEX(Curves!$B$4:$AR$4,1,61-Projects!$C$31+1),0)+IF(AND(Projects!$G$32="Yes",Projects!$X$32="Yes",61&gt;=Projects!$C$32,61&lt;Projects!$C$32+Projects!$D$32),Projects!$B$32*INDEX(Curves!$B$4:$AR$4,1,61-Projects!$C$32+1),0)+IF(AND(Projects!$G$33="Yes",Projects!$X$33="Yes",61&gt;=Projects!$C$33,61&lt;Projects!$C$33+Projects!$D$33),Projects!$B$33*INDEX(Curves!$B$4:$AR$4,1,61-Projects!$C$33+1),0)+IF(AND(Projects!$G$34="Yes",Projects!$X$34="Yes",61&gt;=Projects!$C$34,61&lt;Projects!$C$34+Projects!$D$34),Projects!$B$34*INDEX(Curves!$B$4:$AR$4,1,61-Projects!$C$34+1),0)+IF(AND(Projects!$G$35="Yes",Projects!$X$35="Yes",61&gt;=Projects!$C$35,61&lt;Projects!$C$35+Projects!$D$35),Projects!$B$35*INDEX(Curves!$B$4:$AR$4,1,61-Projects!$C$35+1),0)+IF(AND(Projects!$G$36="Yes",Projects!$X$36="Yes",61&gt;=Projects!$C$36,61&lt;Projects!$C$36+Projects!$D$36),Projects!$B$36*INDEX(Curves!$B$4:$AR$4,1,61-Projects!$C$36+1),0)+IF(AND(Projects!$G$37="Yes",Projects!$X$37="Yes",61&gt;=Projects!$C$37,61&lt;Projects!$C$37+Projects!$D$37),Projects!$B$37*INDEX(Curves!$B$4:$AR$4,1,61-Projects!$C$37+1),0)+IF(AND(Projects!$G$38="Yes",Projects!$X$38="Yes",61&gt;=Projects!$C$38,61&lt;Projects!$C$38+Projects!$D$38),Projects!$B$38*INDEX(Curves!$B$4:$AR$4,1,61-Projects!$C$38+1),0)+IF(AND(Projects!$G$39="Yes",Projects!$X$39="Yes",61&gt;=Projects!$C$39,61&lt;Projects!$C$39+Projects!$D$39),Projects!$B$39*INDEX(Curves!$B$4:$AR$4,1,61-Projects!$C$39+1),0)+IF(AND(Projects!$G$40="Yes",Projects!$X$40="Yes",61&gt;=Projects!$C$40,61&lt;Projects!$C$40+Projects!$D$40),Projects!$B$40*INDEX(Curves!$B$4:$AR$4,1,61-Projects!$C$40+1),0)+IF(AND(Projects!$G$41="Yes",Projects!$X$41="Yes",61&gt;=Projects!$C$41,61&lt;Projects!$C$41+Projects!$D$41),Projects!$B$41*INDEX(Curves!$B$4:$AR$4,1,61-Projects!$C$41+1),0)+IF(AND(Projects!$G$42="Yes",Projects!$X$42="Yes",61&gt;=Projects!$C$42,61&lt;Projects!$C$42+Projects!$D$42),Projects!$B$42*INDEX(Curves!$B$4:$AR$4,1,61-Projects!$C$42+1),0)+IF(AND(Projects!$G$43="Yes",Projects!$X$43="Yes",61&gt;=Projects!$C$43,61&lt;Projects!$C$43+Projects!$D$43),Projects!$B$43*INDEX(Curves!$B$4:$AR$4,1,61-Projects!$C$43+1),0)+IF(AND(Projects!$G$44="Yes",Projects!$X$44="Yes",61&gt;=Projects!$C$44,61&lt;Projects!$C$44+Projects!$D$44),Projects!$B$44*INDEX(Curves!$B$4:$AR$4,1,61-Projects!$C$44+1),0)+IF(AND(Projects!$G$45="Yes",Projects!$X$45="Yes",61&gt;=Projects!$C$45,61&lt;Projects!$C$45+Projects!$D$45),Projects!$B$45*INDEX(Curves!$B$4:$AR$4,1,61-Projects!$C$45+1),0)+IF(AND(Projects!$G$46="Yes",Projects!$X$46="Yes",61&gt;=Projects!$C$46,61&lt;Projects!$C$46+Projects!$D$46),Projects!$B$46*INDEX(Curves!$B$4:$AR$4,1,61-Projects!$C$46+1),0)</f>
        <v>0</v>
      </c>
      <c r="BO96" s="296" t="n">
        <f aca="false">IF(AND(Projects!$G$17="Yes",Projects!$X$17="Yes",62&gt;=Projects!$C$17,62&lt;Projects!$C$17+Projects!$D$17),Projects!$B$17*INDEX(Curves!$B$4:$AR$4,1,62-Projects!$C$17+1),0)+IF(AND(Projects!$G$18="Yes",Projects!$X$18="Yes",62&gt;=Projects!$C$18,62&lt;Projects!$C$18+Projects!$D$18),Projects!$B$18*INDEX(Curves!$B$4:$AR$4,1,62-Projects!$C$18+1),0)+IF(AND(Projects!$G$19="Yes",Projects!$X$19="Yes",62&gt;=Projects!$C$19,62&lt;Projects!$C$19+Projects!$D$19),Projects!$B$19*INDEX(Curves!$B$10:$AR$10,1,62-Projects!$C$19+1),0)+IF(AND(Projects!$G$20="Yes",Projects!$X$20="Yes",62&gt;=Projects!$C$20,62&lt;Projects!$C$20+Projects!$D$20),Projects!$B$20*INDEX(Curves!$B$4:$AR$4,1,62-Projects!$C$20+1),0)+IF(AND(Projects!$G$21="Yes",Projects!$X$21="Yes",62&gt;=Projects!$C$21,62&lt;Projects!$C$21+Projects!$D$21),Projects!$B$21*INDEX(Curves!$B$11:$AR$11,1,62-Projects!$C$21+1),0)+IF(AND(Projects!$G$22="Yes",Projects!$X$22="Yes",62&gt;=Projects!$C$22,62&lt;Projects!$C$22+Projects!$D$22),Projects!$B$22*INDEX(Curves!$B$4:$AR$4,1,62-Projects!$C$22+1),0)+IF(AND(Projects!$G$23="Yes",Projects!$X$23="Yes",62&gt;=Projects!$C$23,62&lt;Projects!$C$23+Projects!$D$23),Projects!$B$23*INDEX(Curves!$B$4:$AR$4,1,62-Projects!$C$23+1),0)+IF(AND(Projects!$G$24="Yes",Projects!$X$24="Yes",62&gt;=Projects!$C$24,62&lt;Projects!$C$24+Projects!$D$24),Projects!$B$24*INDEX(Curves!$B$4:$AR$4,1,62-Projects!$C$24+1),0)+IF(AND(Projects!$G$25="Yes",Projects!$X$25="Yes",62&gt;=Projects!$C$25,62&lt;Projects!$C$25+Projects!$D$25),Projects!$B$25*INDEX(Curves!$B$4:$AR$4,1,62-Projects!$C$25+1),0)+IF(AND(Projects!$G$26="Yes",Projects!$X$26="Yes",62&gt;=Projects!$C$26,62&lt;Projects!$C$26+Projects!$D$26),Projects!$B$26*INDEX(Curves!$B$4:$AR$4,1,62-Projects!$C$26+1),0)+IF(AND(Projects!$G$27="Yes",Projects!$X$27="Yes",62&gt;=Projects!$C$27,62&lt;Projects!$C$27+Projects!$D$27),Projects!$B$27*INDEX(Curves!$B$4:$AR$4,1,62-Projects!$C$27+1),0)+IF(AND(Projects!$G$28="Yes",Projects!$X$28="Yes",62&gt;=Projects!$C$28,62&lt;Projects!$C$28+Projects!$D$28),Projects!$B$28*INDEX(Curves!$B$4:$AR$4,1,62-Projects!$C$28+1),0)+IF(AND(Projects!$G$29="Yes",Projects!$X$29="Yes",62&gt;=Projects!$C$29,62&lt;Projects!$C$29+Projects!$D$29),Projects!$B$29*INDEX(Curves!$B$4:$AR$4,1,62-Projects!$C$29+1),0)+IF(AND(Projects!$G$30="Yes",Projects!$X$30="Yes",62&gt;=Projects!$C$30,62&lt;Projects!$C$30+Projects!$D$30),Projects!$B$30*INDEX(Curves!$B$4:$AR$4,1,62-Projects!$C$30+1),0)+IF(AND(Projects!$G$31="Yes",Projects!$X$31="Yes",62&gt;=Projects!$C$31,62&lt;Projects!$C$31+Projects!$D$31),Projects!$B$31*INDEX(Curves!$B$4:$AR$4,1,62-Projects!$C$31+1),0)+IF(AND(Projects!$G$32="Yes",Projects!$X$32="Yes",62&gt;=Projects!$C$32,62&lt;Projects!$C$32+Projects!$D$32),Projects!$B$32*INDEX(Curves!$B$4:$AR$4,1,62-Projects!$C$32+1),0)+IF(AND(Projects!$G$33="Yes",Projects!$X$33="Yes",62&gt;=Projects!$C$33,62&lt;Projects!$C$33+Projects!$D$33),Projects!$B$33*INDEX(Curves!$B$4:$AR$4,1,62-Projects!$C$33+1),0)+IF(AND(Projects!$G$34="Yes",Projects!$X$34="Yes",62&gt;=Projects!$C$34,62&lt;Projects!$C$34+Projects!$D$34),Projects!$B$34*INDEX(Curves!$B$4:$AR$4,1,62-Projects!$C$34+1),0)+IF(AND(Projects!$G$35="Yes",Projects!$X$35="Yes",62&gt;=Projects!$C$35,62&lt;Projects!$C$35+Projects!$D$35),Projects!$B$35*INDEX(Curves!$B$4:$AR$4,1,62-Projects!$C$35+1),0)+IF(AND(Projects!$G$36="Yes",Projects!$X$36="Yes",62&gt;=Projects!$C$36,62&lt;Projects!$C$36+Projects!$D$36),Projects!$B$36*INDEX(Curves!$B$4:$AR$4,1,62-Projects!$C$36+1),0)+IF(AND(Projects!$G$37="Yes",Projects!$X$37="Yes",62&gt;=Projects!$C$37,62&lt;Projects!$C$37+Projects!$D$37),Projects!$B$37*INDEX(Curves!$B$4:$AR$4,1,62-Projects!$C$37+1),0)+IF(AND(Projects!$G$38="Yes",Projects!$X$38="Yes",62&gt;=Projects!$C$38,62&lt;Projects!$C$38+Projects!$D$38),Projects!$B$38*INDEX(Curves!$B$4:$AR$4,1,62-Projects!$C$38+1),0)+IF(AND(Projects!$G$39="Yes",Projects!$X$39="Yes",62&gt;=Projects!$C$39,62&lt;Projects!$C$39+Projects!$D$39),Projects!$B$39*INDEX(Curves!$B$4:$AR$4,1,62-Projects!$C$39+1),0)+IF(AND(Projects!$G$40="Yes",Projects!$X$40="Yes",62&gt;=Projects!$C$40,62&lt;Projects!$C$40+Projects!$D$40),Projects!$B$40*INDEX(Curves!$B$4:$AR$4,1,62-Projects!$C$40+1),0)+IF(AND(Projects!$G$41="Yes",Projects!$X$41="Yes",62&gt;=Projects!$C$41,62&lt;Projects!$C$41+Projects!$D$41),Projects!$B$41*INDEX(Curves!$B$4:$AR$4,1,62-Projects!$C$41+1),0)+IF(AND(Projects!$G$42="Yes",Projects!$X$42="Yes",62&gt;=Projects!$C$42,62&lt;Projects!$C$42+Projects!$D$42),Projects!$B$42*INDEX(Curves!$B$4:$AR$4,1,62-Projects!$C$42+1),0)+IF(AND(Projects!$G$43="Yes",Projects!$X$43="Yes",62&gt;=Projects!$C$43,62&lt;Projects!$C$43+Projects!$D$43),Projects!$B$43*INDEX(Curves!$B$4:$AR$4,1,62-Projects!$C$43+1),0)+IF(AND(Projects!$G$44="Yes",Projects!$X$44="Yes",62&gt;=Projects!$C$44,62&lt;Projects!$C$44+Projects!$D$44),Projects!$B$44*INDEX(Curves!$B$4:$AR$4,1,62-Projects!$C$44+1),0)+IF(AND(Projects!$G$45="Yes",Projects!$X$45="Yes",62&gt;=Projects!$C$45,62&lt;Projects!$C$45+Projects!$D$45),Projects!$B$45*INDEX(Curves!$B$4:$AR$4,1,62-Projects!$C$45+1),0)+IF(AND(Projects!$G$46="Yes",Projects!$X$46="Yes",62&gt;=Projects!$C$46,62&lt;Projects!$C$46+Projects!$D$46),Projects!$B$46*INDEX(Curves!$B$4:$AR$4,1,62-Projects!$C$46+1),0)</f>
        <v>0</v>
      </c>
      <c r="BP96" s="296" t="n">
        <f aca="false">IF(AND(Projects!$G$17="Yes",Projects!$X$17="Yes",63&gt;=Projects!$C$17,63&lt;Projects!$C$17+Projects!$D$17),Projects!$B$17*INDEX(Curves!$B$4:$AR$4,1,63-Projects!$C$17+1),0)+IF(AND(Projects!$G$18="Yes",Projects!$X$18="Yes",63&gt;=Projects!$C$18,63&lt;Projects!$C$18+Projects!$D$18),Projects!$B$18*INDEX(Curves!$B$4:$AR$4,1,63-Projects!$C$18+1),0)+IF(AND(Projects!$G$19="Yes",Projects!$X$19="Yes",63&gt;=Projects!$C$19,63&lt;Projects!$C$19+Projects!$D$19),Projects!$B$19*INDEX(Curves!$B$10:$AR$10,1,63-Projects!$C$19+1),0)+IF(AND(Projects!$G$20="Yes",Projects!$X$20="Yes",63&gt;=Projects!$C$20,63&lt;Projects!$C$20+Projects!$D$20),Projects!$B$20*INDEX(Curves!$B$4:$AR$4,1,63-Projects!$C$20+1),0)+IF(AND(Projects!$G$21="Yes",Projects!$X$21="Yes",63&gt;=Projects!$C$21,63&lt;Projects!$C$21+Projects!$D$21),Projects!$B$21*INDEX(Curves!$B$11:$AR$11,1,63-Projects!$C$21+1),0)+IF(AND(Projects!$G$22="Yes",Projects!$X$22="Yes",63&gt;=Projects!$C$22,63&lt;Projects!$C$22+Projects!$D$22),Projects!$B$22*INDEX(Curves!$B$4:$AR$4,1,63-Projects!$C$22+1),0)+IF(AND(Projects!$G$23="Yes",Projects!$X$23="Yes",63&gt;=Projects!$C$23,63&lt;Projects!$C$23+Projects!$D$23),Projects!$B$23*INDEX(Curves!$B$4:$AR$4,1,63-Projects!$C$23+1),0)+IF(AND(Projects!$G$24="Yes",Projects!$X$24="Yes",63&gt;=Projects!$C$24,63&lt;Projects!$C$24+Projects!$D$24),Projects!$B$24*INDEX(Curves!$B$4:$AR$4,1,63-Projects!$C$24+1),0)+IF(AND(Projects!$G$25="Yes",Projects!$X$25="Yes",63&gt;=Projects!$C$25,63&lt;Projects!$C$25+Projects!$D$25),Projects!$B$25*INDEX(Curves!$B$4:$AR$4,1,63-Projects!$C$25+1),0)+IF(AND(Projects!$G$26="Yes",Projects!$X$26="Yes",63&gt;=Projects!$C$26,63&lt;Projects!$C$26+Projects!$D$26),Projects!$B$26*INDEX(Curves!$B$4:$AR$4,1,63-Projects!$C$26+1),0)+IF(AND(Projects!$G$27="Yes",Projects!$X$27="Yes",63&gt;=Projects!$C$27,63&lt;Projects!$C$27+Projects!$D$27),Projects!$B$27*INDEX(Curves!$B$4:$AR$4,1,63-Projects!$C$27+1),0)+IF(AND(Projects!$G$28="Yes",Projects!$X$28="Yes",63&gt;=Projects!$C$28,63&lt;Projects!$C$28+Projects!$D$28),Projects!$B$28*INDEX(Curves!$B$4:$AR$4,1,63-Projects!$C$28+1),0)+IF(AND(Projects!$G$29="Yes",Projects!$X$29="Yes",63&gt;=Projects!$C$29,63&lt;Projects!$C$29+Projects!$D$29),Projects!$B$29*INDEX(Curves!$B$4:$AR$4,1,63-Projects!$C$29+1),0)+IF(AND(Projects!$G$30="Yes",Projects!$X$30="Yes",63&gt;=Projects!$C$30,63&lt;Projects!$C$30+Projects!$D$30),Projects!$B$30*INDEX(Curves!$B$4:$AR$4,1,63-Projects!$C$30+1),0)+IF(AND(Projects!$G$31="Yes",Projects!$X$31="Yes",63&gt;=Projects!$C$31,63&lt;Projects!$C$31+Projects!$D$31),Projects!$B$31*INDEX(Curves!$B$4:$AR$4,1,63-Projects!$C$31+1),0)+IF(AND(Projects!$G$32="Yes",Projects!$X$32="Yes",63&gt;=Projects!$C$32,63&lt;Projects!$C$32+Projects!$D$32),Projects!$B$32*INDEX(Curves!$B$4:$AR$4,1,63-Projects!$C$32+1),0)+IF(AND(Projects!$G$33="Yes",Projects!$X$33="Yes",63&gt;=Projects!$C$33,63&lt;Projects!$C$33+Projects!$D$33),Projects!$B$33*INDEX(Curves!$B$4:$AR$4,1,63-Projects!$C$33+1),0)+IF(AND(Projects!$G$34="Yes",Projects!$X$34="Yes",63&gt;=Projects!$C$34,63&lt;Projects!$C$34+Projects!$D$34),Projects!$B$34*INDEX(Curves!$B$4:$AR$4,1,63-Projects!$C$34+1),0)+IF(AND(Projects!$G$35="Yes",Projects!$X$35="Yes",63&gt;=Projects!$C$35,63&lt;Projects!$C$35+Projects!$D$35),Projects!$B$35*INDEX(Curves!$B$4:$AR$4,1,63-Projects!$C$35+1),0)+IF(AND(Projects!$G$36="Yes",Projects!$X$36="Yes",63&gt;=Projects!$C$36,63&lt;Projects!$C$36+Projects!$D$36),Projects!$B$36*INDEX(Curves!$B$4:$AR$4,1,63-Projects!$C$36+1),0)+IF(AND(Projects!$G$37="Yes",Projects!$X$37="Yes",63&gt;=Projects!$C$37,63&lt;Projects!$C$37+Projects!$D$37),Projects!$B$37*INDEX(Curves!$B$4:$AR$4,1,63-Projects!$C$37+1),0)+IF(AND(Projects!$G$38="Yes",Projects!$X$38="Yes",63&gt;=Projects!$C$38,63&lt;Projects!$C$38+Projects!$D$38),Projects!$B$38*INDEX(Curves!$B$4:$AR$4,1,63-Projects!$C$38+1),0)+IF(AND(Projects!$G$39="Yes",Projects!$X$39="Yes",63&gt;=Projects!$C$39,63&lt;Projects!$C$39+Projects!$D$39),Projects!$B$39*INDEX(Curves!$B$4:$AR$4,1,63-Projects!$C$39+1),0)+IF(AND(Projects!$G$40="Yes",Projects!$X$40="Yes",63&gt;=Projects!$C$40,63&lt;Projects!$C$40+Projects!$D$40),Projects!$B$40*INDEX(Curves!$B$4:$AR$4,1,63-Projects!$C$40+1),0)+IF(AND(Projects!$G$41="Yes",Projects!$X$41="Yes",63&gt;=Projects!$C$41,63&lt;Projects!$C$41+Projects!$D$41),Projects!$B$41*INDEX(Curves!$B$4:$AR$4,1,63-Projects!$C$41+1),0)+IF(AND(Projects!$G$42="Yes",Projects!$X$42="Yes",63&gt;=Projects!$C$42,63&lt;Projects!$C$42+Projects!$D$42),Projects!$B$42*INDEX(Curves!$B$4:$AR$4,1,63-Projects!$C$42+1),0)+IF(AND(Projects!$G$43="Yes",Projects!$X$43="Yes",63&gt;=Projects!$C$43,63&lt;Projects!$C$43+Projects!$D$43),Projects!$B$43*INDEX(Curves!$B$4:$AR$4,1,63-Projects!$C$43+1),0)+IF(AND(Projects!$G$44="Yes",Projects!$X$44="Yes",63&gt;=Projects!$C$44,63&lt;Projects!$C$44+Projects!$D$44),Projects!$B$44*INDEX(Curves!$B$4:$AR$4,1,63-Projects!$C$44+1),0)+IF(AND(Projects!$G$45="Yes",Projects!$X$45="Yes",63&gt;=Projects!$C$45,63&lt;Projects!$C$45+Projects!$D$45),Projects!$B$45*INDEX(Curves!$B$4:$AR$4,1,63-Projects!$C$45+1),0)+IF(AND(Projects!$G$46="Yes",Projects!$X$46="Yes",63&gt;=Projects!$C$46,63&lt;Projects!$C$46+Projects!$D$46),Projects!$B$46*INDEX(Curves!$B$4:$AR$4,1,63-Projects!$C$46+1),0)</f>
        <v>0</v>
      </c>
      <c r="BQ96" s="296" t="n">
        <f aca="false">IF(AND(Projects!$G$17="Yes",Projects!$X$17="Yes",64&gt;=Projects!$C$17,64&lt;Projects!$C$17+Projects!$D$17),Projects!$B$17*INDEX(Curves!$B$4:$AR$4,1,64-Projects!$C$17+1),0)+IF(AND(Projects!$G$18="Yes",Projects!$X$18="Yes",64&gt;=Projects!$C$18,64&lt;Projects!$C$18+Projects!$D$18),Projects!$B$18*INDEX(Curves!$B$4:$AR$4,1,64-Projects!$C$18+1),0)+IF(AND(Projects!$G$19="Yes",Projects!$X$19="Yes",64&gt;=Projects!$C$19,64&lt;Projects!$C$19+Projects!$D$19),Projects!$B$19*INDEX(Curves!$B$10:$AR$10,1,64-Projects!$C$19+1),0)+IF(AND(Projects!$G$20="Yes",Projects!$X$20="Yes",64&gt;=Projects!$C$20,64&lt;Projects!$C$20+Projects!$D$20),Projects!$B$20*INDEX(Curves!$B$4:$AR$4,1,64-Projects!$C$20+1),0)+IF(AND(Projects!$G$21="Yes",Projects!$X$21="Yes",64&gt;=Projects!$C$21,64&lt;Projects!$C$21+Projects!$D$21),Projects!$B$21*INDEX(Curves!$B$11:$AR$11,1,64-Projects!$C$21+1),0)+IF(AND(Projects!$G$22="Yes",Projects!$X$22="Yes",64&gt;=Projects!$C$22,64&lt;Projects!$C$22+Projects!$D$22),Projects!$B$22*INDEX(Curves!$B$4:$AR$4,1,64-Projects!$C$22+1),0)+IF(AND(Projects!$G$23="Yes",Projects!$X$23="Yes",64&gt;=Projects!$C$23,64&lt;Projects!$C$23+Projects!$D$23),Projects!$B$23*INDEX(Curves!$B$4:$AR$4,1,64-Projects!$C$23+1),0)+IF(AND(Projects!$G$24="Yes",Projects!$X$24="Yes",64&gt;=Projects!$C$24,64&lt;Projects!$C$24+Projects!$D$24),Projects!$B$24*INDEX(Curves!$B$4:$AR$4,1,64-Projects!$C$24+1),0)+IF(AND(Projects!$G$25="Yes",Projects!$X$25="Yes",64&gt;=Projects!$C$25,64&lt;Projects!$C$25+Projects!$D$25),Projects!$B$25*INDEX(Curves!$B$4:$AR$4,1,64-Projects!$C$25+1),0)+IF(AND(Projects!$G$26="Yes",Projects!$X$26="Yes",64&gt;=Projects!$C$26,64&lt;Projects!$C$26+Projects!$D$26),Projects!$B$26*INDEX(Curves!$B$4:$AR$4,1,64-Projects!$C$26+1),0)+IF(AND(Projects!$G$27="Yes",Projects!$X$27="Yes",64&gt;=Projects!$C$27,64&lt;Projects!$C$27+Projects!$D$27),Projects!$B$27*INDEX(Curves!$B$4:$AR$4,1,64-Projects!$C$27+1),0)+IF(AND(Projects!$G$28="Yes",Projects!$X$28="Yes",64&gt;=Projects!$C$28,64&lt;Projects!$C$28+Projects!$D$28),Projects!$B$28*INDEX(Curves!$B$4:$AR$4,1,64-Projects!$C$28+1),0)+IF(AND(Projects!$G$29="Yes",Projects!$X$29="Yes",64&gt;=Projects!$C$29,64&lt;Projects!$C$29+Projects!$D$29),Projects!$B$29*INDEX(Curves!$B$4:$AR$4,1,64-Projects!$C$29+1),0)+IF(AND(Projects!$G$30="Yes",Projects!$X$30="Yes",64&gt;=Projects!$C$30,64&lt;Projects!$C$30+Projects!$D$30),Projects!$B$30*INDEX(Curves!$B$4:$AR$4,1,64-Projects!$C$30+1),0)+IF(AND(Projects!$G$31="Yes",Projects!$X$31="Yes",64&gt;=Projects!$C$31,64&lt;Projects!$C$31+Projects!$D$31),Projects!$B$31*INDEX(Curves!$B$4:$AR$4,1,64-Projects!$C$31+1),0)+IF(AND(Projects!$G$32="Yes",Projects!$X$32="Yes",64&gt;=Projects!$C$32,64&lt;Projects!$C$32+Projects!$D$32),Projects!$B$32*INDEX(Curves!$B$4:$AR$4,1,64-Projects!$C$32+1),0)+IF(AND(Projects!$G$33="Yes",Projects!$X$33="Yes",64&gt;=Projects!$C$33,64&lt;Projects!$C$33+Projects!$D$33),Projects!$B$33*INDEX(Curves!$B$4:$AR$4,1,64-Projects!$C$33+1),0)+IF(AND(Projects!$G$34="Yes",Projects!$X$34="Yes",64&gt;=Projects!$C$34,64&lt;Projects!$C$34+Projects!$D$34),Projects!$B$34*INDEX(Curves!$B$4:$AR$4,1,64-Projects!$C$34+1),0)+IF(AND(Projects!$G$35="Yes",Projects!$X$35="Yes",64&gt;=Projects!$C$35,64&lt;Projects!$C$35+Projects!$D$35),Projects!$B$35*INDEX(Curves!$B$4:$AR$4,1,64-Projects!$C$35+1),0)+IF(AND(Projects!$G$36="Yes",Projects!$X$36="Yes",64&gt;=Projects!$C$36,64&lt;Projects!$C$36+Projects!$D$36),Projects!$B$36*INDEX(Curves!$B$4:$AR$4,1,64-Projects!$C$36+1),0)+IF(AND(Projects!$G$37="Yes",Projects!$X$37="Yes",64&gt;=Projects!$C$37,64&lt;Projects!$C$37+Projects!$D$37),Projects!$B$37*INDEX(Curves!$B$4:$AR$4,1,64-Projects!$C$37+1),0)+IF(AND(Projects!$G$38="Yes",Projects!$X$38="Yes",64&gt;=Projects!$C$38,64&lt;Projects!$C$38+Projects!$D$38),Projects!$B$38*INDEX(Curves!$B$4:$AR$4,1,64-Projects!$C$38+1),0)+IF(AND(Projects!$G$39="Yes",Projects!$X$39="Yes",64&gt;=Projects!$C$39,64&lt;Projects!$C$39+Projects!$D$39),Projects!$B$39*INDEX(Curves!$B$4:$AR$4,1,64-Projects!$C$39+1),0)+IF(AND(Projects!$G$40="Yes",Projects!$X$40="Yes",64&gt;=Projects!$C$40,64&lt;Projects!$C$40+Projects!$D$40),Projects!$B$40*INDEX(Curves!$B$4:$AR$4,1,64-Projects!$C$40+1),0)+IF(AND(Projects!$G$41="Yes",Projects!$X$41="Yes",64&gt;=Projects!$C$41,64&lt;Projects!$C$41+Projects!$D$41),Projects!$B$41*INDEX(Curves!$B$4:$AR$4,1,64-Projects!$C$41+1),0)+IF(AND(Projects!$G$42="Yes",Projects!$X$42="Yes",64&gt;=Projects!$C$42,64&lt;Projects!$C$42+Projects!$D$42),Projects!$B$42*INDEX(Curves!$B$4:$AR$4,1,64-Projects!$C$42+1),0)+IF(AND(Projects!$G$43="Yes",Projects!$X$43="Yes",64&gt;=Projects!$C$43,64&lt;Projects!$C$43+Projects!$D$43),Projects!$B$43*INDEX(Curves!$B$4:$AR$4,1,64-Projects!$C$43+1),0)+IF(AND(Projects!$G$44="Yes",Projects!$X$44="Yes",64&gt;=Projects!$C$44,64&lt;Projects!$C$44+Projects!$D$44),Projects!$B$44*INDEX(Curves!$B$4:$AR$4,1,64-Projects!$C$44+1),0)+IF(AND(Projects!$G$45="Yes",Projects!$X$45="Yes",64&gt;=Projects!$C$45,64&lt;Projects!$C$45+Projects!$D$45),Projects!$B$45*INDEX(Curves!$B$4:$AR$4,1,64-Projects!$C$45+1),0)+IF(AND(Projects!$G$46="Yes",Projects!$X$46="Yes",64&gt;=Projects!$C$46,64&lt;Projects!$C$46+Projects!$D$46),Projects!$B$46*INDEX(Curves!$B$4:$AR$4,1,64-Projects!$C$46+1),0)</f>
        <v>0</v>
      </c>
      <c r="BR96" s="296" t="n">
        <f aca="false">IF(AND(Projects!$G$17="Yes",Projects!$X$17="Yes",65&gt;=Projects!$C$17,65&lt;Projects!$C$17+Projects!$D$17),Projects!$B$17*INDEX(Curves!$B$4:$AR$4,1,65-Projects!$C$17+1),0)+IF(AND(Projects!$G$18="Yes",Projects!$X$18="Yes",65&gt;=Projects!$C$18,65&lt;Projects!$C$18+Projects!$D$18),Projects!$B$18*INDEX(Curves!$B$4:$AR$4,1,65-Projects!$C$18+1),0)+IF(AND(Projects!$G$19="Yes",Projects!$X$19="Yes",65&gt;=Projects!$C$19,65&lt;Projects!$C$19+Projects!$D$19),Projects!$B$19*INDEX(Curves!$B$10:$AR$10,1,65-Projects!$C$19+1),0)+IF(AND(Projects!$G$20="Yes",Projects!$X$20="Yes",65&gt;=Projects!$C$20,65&lt;Projects!$C$20+Projects!$D$20),Projects!$B$20*INDEX(Curves!$B$4:$AR$4,1,65-Projects!$C$20+1),0)+IF(AND(Projects!$G$21="Yes",Projects!$X$21="Yes",65&gt;=Projects!$C$21,65&lt;Projects!$C$21+Projects!$D$21),Projects!$B$21*INDEX(Curves!$B$11:$AR$11,1,65-Projects!$C$21+1),0)+IF(AND(Projects!$G$22="Yes",Projects!$X$22="Yes",65&gt;=Projects!$C$22,65&lt;Projects!$C$22+Projects!$D$22),Projects!$B$22*INDEX(Curves!$B$4:$AR$4,1,65-Projects!$C$22+1),0)+IF(AND(Projects!$G$23="Yes",Projects!$X$23="Yes",65&gt;=Projects!$C$23,65&lt;Projects!$C$23+Projects!$D$23),Projects!$B$23*INDEX(Curves!$B$4:$AR$4,1,65-Projects!$C$23+1),0)+IF(AND(Projects!$G$24="Yes",Projects!$X$24="Yes",65&gt;=Projects!$C$24,65&lt;Projects!$C$24+Projects!$D$24),Projects!$B$24*INDEX(Curves!$B$4:$AR$4,1,65-Projects!$C$24+1),0)+IF(AND(Projects!$G$25="Yes",Projects!$X$25="Yes",65&gt;=Projects!$C$25,65&lt;Projects!$C$25+Projects!$D$25),Projects!$B$25*INDEX(Curves!$B$4:$AR$4,1,65-Projects!$C$25+1),0)+IF(AND(Projects!$G$26="Yes",Projects!$X$26="Yes",65&gt;=Projects!$C$26,65&lt;Projects!$C$26+Projects!$D$26),Projects!$B$26*INDEX(Curves!$B$4:$AR$4,1,65-Projects!$C$26+1),0)+IF(AND(Projects!$G$27="Yes",Projects!$X$27="Yes",65&gt;=Projects!$C$27,65&lt;Projects!$C$27+Projects!$D$27),Projects!$B$27*INDEX(Curves!$B$4:$AR$4,1,65-Projects!$C$27+1),0)+IF(AND(Projects!$G$28="Yes",Projects!$X$28="Yes",65&gt;=Projects!$C$28,65&lt;Projects!$C$28+Projects!$D$28),Projects!$B$28*INDEX(Curves!$B$4:$AR$4,1,65-Projects!$C$28+1),0)+IF(AND(Projects!$G$29="Yes",Projects!$X$29="Yes",65&gt;=Projects!$C$29,65&lt;Projects!$C$29+Projects!$D$29),Projects!$B$29*INDEX(Curves!$B$4:$AR$4,1,65-Projects!$C$29+1),0)+IF(AND(Projects!$G$30="Yes",Projects!$X$30="Yes",65&gt;=Projects!$C$30,65&lt;Projects!$C$30+Projects!$D$30),Projects!$B$30*INDEX(Curves!$B$4:$AR$4,1,65-Projects!$C$30+1),0)+IF(AND(Projects!$G$31="Yes",Projects!$X$31="Yes",65&gt;=Projects!$C$31,65&lt;Projects!$C$31+Projects!$D$31),Projects!$B$31*INDEX(Curves!$B$4:$AR$4,1,65-Projects!$C$31+1),0)+IF(AND(Projects!$G$32="Yes",Projects!$X$32="Yes",65&gt;=Projects!$C$32,65&lt;Projects!$C$32+Projects!$D$32),Projects!$B$32*INDEX(Curves!$B$4:$AR$4,1,65-Projects!$C$32+1),0)+IF(AND(Projects!$G$33="Yes",Projects!$X$33="Yes",65&gt;=Projects!$C$33,65&lt;Projects!$C$33+Projects!$D$33),Projects!$B$33*INDEX(Curves!$B$4:$AR$4,1,65-Projects!$C$33+1),0)+IF(AND(Projects!$G$34="Yes",Projects!$X$34="Yes",65&gt;=Projects!$C$34,65&lt;Projects!$C$34+Projects!$D$34),Projects!$B$34*INDEX(Curves!$B$4:$AR$4,1,65-Projects!$C$34+1),0)+IF(AND(Projects!$G$35="Yes",Projects!$X$35="Yes",65&gt;=Projects!$C$35,65&lt;Projects!$C$35+Projects!$D$35),Projects!$B$35*INDEX(Curves!$B$4:$AR$4,1,65-Projects!$C$35+1),0)+IF(AND(Projects!$G$36="Yes",Projects!$X$36="Yes",65&gt;=Projects!$C$36,65&lt;Projects!$C$36+Projects!$D$36),Projects!$B$36*INDEX(Curves!$B$4:$AR$4,1,65-Projects!$C$36+1),0)+IF(AND(Projects!$G$37="Yes",Projects!$X$37="Yes",65&gt;=Projects!$C$37,65&lt;Projects!$C$37+Projects!$D$37),Projects!$B$37*INDEX(Curves!$B$4:$AR$4,1,65-Projects!$C$37+1),0)+IF(AND(Projects!$G$38="Yes",Projects!$X$38="Yes",65&gt;=Projects!$C$38,65&lt;Projects!$C$38+Projects!$D$38),Projects!$B$38*INDEX(Curves!$B$4:$AR$4,1,65-Projects!$C$38+1),0)+IF(AND(Projects!$G$39="Yes",Projects!$X$39="Yes",65&gt;=Projects!$C$39,65&lt;Projects!$C$39+Projects!$D$39),Projects!$B$39*INDEX(Curves!$B$4:$AR$4,1,65-Projects!$C$39+1),0)+IF(AND(Projects!$G$40="Yes",Projects!$X$40="Yes",65&gt;=Projects!$C$40,65&lt;Projects!$C$40+Projects!$D$40),Projects!$B$40*INDEX(Curves!$B$4:$AR$4,1,65-Projects!$C$40+1),0)+IF(AND(Projects!$G$41="Yes",Projects!$X$41="Yes",65&gt;=Projects!$C$41,65&lt;Projects!$C$41+Projects!$D$41),Projects!$B$41*INDEX(Curves!$B$4:$AR$4,1,65-Projects!$C$41+1),0)+IF(AND(Projects!$G$42="Yes",Projects!$X$42="Yes",65&gt;=Projects!$C$42,65&lt;Projects!$C$42+Projects!$D$42),Projects!$B$42*INDEX(Curves!$B$4:$AR$4,1,65-Projects!$C$42+1),0)+IF(AND(Projects!$G$43="Yes",Projects!$X$43="Yes",65&gt;=Projects!$C$43,65&lt;Projects!$C$43+Projects!$D$43),Projects!$B$43*INDEX(Curves!$B$4:$AR$4,1,65-Projects!$C$43+1),0)+IF(AND(Projects!$G$44="Yes",Projects!$X$44="Yes",65&gt;=Projects!$C$44,65&lt;Projects!$C$44+Projects!$D$44),Projects!$B$44*INDEX(Curves!$B$4:$AR$4,1,65-Projects!$C$44+1),0)+IF(AND(Projects!$G$45="Yes",Projects!$X$45="Yes",65&gt;=Projects!$C$45,65&lt;Projects!$C$45+Projects!$D$45),Projects!$B$45*INDEX(Curves!$B$4:$AR$4,1,65-Projects!$C$45+1),0)+IF(AND(Projects!$G$46="Yes",Projects!$X$46="Yes",65&gt;=Projects!$C$46,65&lt;Projects!$C$46+Projects!$D$46),Projects!$B$46*INDEX(Curves!$B$4:$AR$4,1,65-Projects!$C$46+1),0)</f>
        <v>0</v>
      </c>
      <c r="BS96" s="296" t="n">
        <f aca="false">IF(AND(Projects!$G$17="Yes",Projects!$X$17="Yes",66&gt;=Projects!$C$17,66&lt;Projects!$C$17+Projects!$D$17),Projects!$B$17*INDEX(Curves!$B$4:$AR$4,1,66-Projects!$C$17+1),0)+IF(AND(Projects!$G$18="Yes",Projects!$X$18="Yes",66&gt;=Projects!$C$18,66&lt;Projects!$C$18+Projects!$D$18),Projects!$B$18*INDEX(Curves!$B$4:$AR$4,1,66-Projects!$C$18+1),0)+IF(AND(Projects!$G$19="Yes",Projects!$X$19="Yes",66&gt;=Projects!$C$19,66&lt;Projects!$C$19+Projects!$D$19),Projects!$B$19*INDEX(Curves!$B$10:$AR$10,1,66-Projects!$C$19+1),0)+IF(AND(Projects!$G$20="Yes",Projects!$X$20="Yes",66&gt;=Projects!$C$20,66&lt;Projects!$C$20+Projects!$D$20),Projects!$B$20*INDEX(Curves!$B$4:$AR$4,1,66-Projects!$C$20+1),0)+IF(AND(Projects!$G$21="Yes",Projects!$X$21="Yes",66&gt;=Projects!$C$21,66&lt;Projects!$C$21+Projects!$D$21),Projects!$B$21*INDEX(Curves!$B$11:$AR$11,1,66-Projects!$C$21+1),0)+IF(AND(Projects!$G$22="Yes",Projects!$X$22="Yes",66&gt;=Projects!$C$22,66&lt;Projects!$C$22+Projects!$D$22),Projects!$B$22*INDEX(Curves!$B$4:$AR$4,1,66-Projects!$C$22+1),0)+IF(AND(Projects!$G$23="Yes",Projects!$X$23="Yes",66&gt;=Projects!$C$23,66&lt;Projects!$C$23+Projects!$D$23),Projects!$B$23*INDEX(Curves!$B$4:$AR$4,1,66-Projects!$C$23+1),0)+IF(AND(Projects!$G$24="Yes",Projects!$X$24="Yes",66&gt;=Projects!$C$24,66&lt;Projects!$C$24+Projects!$D$24),Projects!$B$24*INDEX(Curves!$B$4:$AR$4,1,66-Projects!$C$24+1),0)+IF(AND(Projects!$G$25="Yes",Projects!$X$25="Yes",66&gt;=Projects!$C$25,66&lt;Projects!$C$25+Projects!$D$25),Projects!$B$25*INDEX(Curves!$B$4:$AR$4,1,66-Projects!$C$25+1),0)+IF(AND(Projects!$G$26="Yes",Projects!$X$26="Yes",66&gt;=Projects!$C$26,66&lt;Projects!$C$26+Projects!$D$26),Projects!$B$26*INDEX(Curves!$B$4:$AR$4,1,66-Projects!$C$26+1),0)+IF(AND(Projects!$G$27="Yes",Projects!$X$27="Yes",66&gt;=Projects!$C$27,66&lt;Projects!$C$27+Projects!$D$27),Projects!$B$27*INDEX(Curves!$B$4:$AR$4,1,66-Projects!$C$27+1),0)+IF(AND(Projects!$G$28="Yes",Projects!$X$28="Yes",66&gt;=Projects!$C$28,66&lt;Projects!$C$28+Projects!$D$28),Projects!$B$28*INDEX(Curves!$B$4:$AR$4,1,66-Projects!$C$28+1),0)+IF(AND(Projects!$G$29="Yes",Projects!$X$29="Yes",66&gt;=Projects!$C$29,66&lt;Projects!$C$29+Projects!$D$29),Projects!$B$29*INDEX(Curves!$B$4:$AR$4,1,66-Projects!$C$29+1),0)+IF(AND(Projects!$G$30="Yes",Projects!$X$30="Yes",66&gt;=Projects!$C$30,66&lt;Projects!$C$30+Projects!$D$30),Projects!$B$30*INDEX(Curves!$B$4:$AR$4,1,66-Projects!$C$30+1),0)+IF(AND(Projects!$G$31="Yes",Projects!$X$31="Yes",66&gt;=Projects!$C$31,66&lt;Projects!$C$31+Projects!$D$31),Projects!$B$31*INDEX(Curves!$B$4:$AR$4,1,66-Projects!$C$31+1),0)+IF(AND(Projects!$G$32="Yes",Projects!$X$32="Yes",66&gt;=Projects!$C$32,66&lt;Projects!$C$32+Projects!$D$32),Projects!$B$32*INDEX(Curves!$B$4:$AR$4,1,66-Projects!$C$32+1),0)+IF(AND(Projects!$G$33="Yes",Projects!$X$33="Yes",66&gt;=Projects!$C$33,66&lt;Projects!$C$33+Projects!$D$33),Projects!$B$33*INDEX(Curves!$B$4:$AR$4,1,66-Projects!$C$33+1),0)+IF(AND(Projects!$G$34="Yes",Projects!$X$34="Yes",66&gt;=Projects!$C$34,66&lt;Projects!$C$34+Projects!$D$34),Projects!$B$34*INDEX(Curves!$B$4:$AR$4,1,66-Projects!$C$34+1),0)+IF(AND(Projects!$G$35="Yes",Projects!$X$35="Yes",66&gt;=Projects!$C$35,66&lt;Projects!$C$35+Projects!$D$35),Projects!$B$35*INDEX(Curves!$B$4:$AR$4,1,66-Projects!$C$35+1),0)+IF(AND(Projects!$G$36="Yes",Projects!$X$36="Yes",66&gt;=Projects!$C$36,66&lt;Projects!$C$36+Projects!$D$36),Projects!$B$36*INDEX(Curves!$B$4:$AR$4,1,66-Projects!$C$36+1),0)+IF(AND(Projects!$G$37="Yes",Projects!$X$37="Yes",66&gt;=Projects!$C$37,66&lt;Projects!$C$37+Projects!$D$37),Projects!$B$37*INDEX(Curves!$B$4:$AR$4,1,66-Projects!$C$37+1),0)+IF(AND(Projects!$G$38="Yes",Projects!$X$38="Yes",66&gt;=Projects!$C$38,66&lt;Projects!$C$38+Projects!$D$38),Projects!$B$38*INDEX(Curves!$B$4:$AR$4,1,66-Projects!$C$38+1),0)+IF(AND(Projects!$G$39="Yes",Projects!$X$39="Yes",66&gt;=Projects!$C$39,66&lt;Projects!$C$39+Projects!$D$39),Projects!$B$39*INDEX(Curves!$B$4:$AR$4,1,66-Projects!$C$39+1),0)+IF(AND(Projects!$G$40="Yes",Projects!$X$40="Yes",66&gt;=Projects!$C$40,66&lt;Projects!$C$40+Projects!$D$40),Projects!$B$40*INDEX(Curves!$B$4:$AR$4,1,66-Projects!$C$40+1),0)+IF(AND(Projects!$G$41="Yes",Projects!$X$41="Yes",66&gt;=Projects!$C$41,66&lt;Projects!$C$41+Projects!$D$41),Projects!$B$41*INDEX(Curves!$B$4:$AR$4,1,66-Projects!$C$41+1),0)+IF(AND(Projects!$G$42="Yes",Projects!$X$42="Yes",66&gt;=Projects!$C$42,66&lt;Projects!$C$42+Projects!$D$42),Projects!$B$42*INDEX(Curves!$B$4:$AR$4,1,66-Projects!$C$42+1),0)+IF(AND(Projects!$G$43="Yes",Projects!$X$43="Yes",66&gt;=Projects!$C$43,66&lt;Projects!$C$43+Projects!$D$43),Projects!$B$43*INDEX(Curves!$B$4:$AR$4,1,66-Projects!$C$43+1),0)+IF(AND(Projects!$G$44="Yes",Projects!$X$44="Yes",66&gt;=Projects!$C$44,66&lt;Projects!$C$44+Projects!$D$44),Projects!$B$44*INDEX(Curves!$B$4:$AR$4,1,66-Projects!$C$44+1),0)+IF(AND(Projects!$G$45="Yes",Projects!$X$45="Yes",66&gt;=Projects!$C$45,66&lt;Projects!$C$45+Projects!$D$45),Projects!$B$45*INDEX(Curves!$B$4:$AR$4,1,66-Projects!$C$45+1),0)+IF(AND(Projects!$G$46="Yes",Projects!$X$46="Yes",66&gt;=Projects!$C$46,66&lt;Projects!$C$46+Projects!$D$46),Projects!$B$46*INDEX(Curves!$B$4:$AR$4,1,66-Projects!$C$46+1),0)</f>
        <v>0</v>
      </c>
      <c r="BT96" s="296" t="n">
        <f aca="false">IF(AND(Projects!$G$17="Yes",Projects!$X$17="Yes",67&gt;=Projects!$C$17,67&lt;Projects!$C$17+Projects!$D$17),Projects!$B$17*INDEX(Curves!$B$4:$AR$4,1,67-Projects!$C$17+1),0)+IF(AND(Projects!$G$18="Yes",Projects!$X$18="Yes",67&gt;=Projects!$C$18,67&lt;Projects!$C$18+Projects!$D$18),Projects!$B$18*INDEX(Curves!$B$4:$AR$4,1,67-Projects!$C$18+1),0)+IF(AND(Projects!$G$19="Yes",Projects!$X$19="Yes",67&gt;=Projects!$C$19,67&lt;Projects!$C$19+Projects!$D$19),Projects!$B$19*INDEX(Curves!$B$10:$AR$10,1,67-Projects!$C$19+1),0)+IF(AND(Projects!$G$20="Yes",Projects!$X$20="Yes",67&gt;=Projects!$C$20,67&lt;Projects!$C$20+Projects!$D$20),Projects!$B$20*INDEX(Curves!$B$4:$AR$4,1,67-Projects!$C$20+1),0)+IF(AND(Projects!$G$21="Yes",Projects!$X$21="Yes",67&gt;=Projects!$C$21,67&lt;Projects!$C$21+Projects!$D$21),Projects!$B$21*INDEX(Curves!$B$11:$AR$11,1,67-Projects!$C$21+1),0)+IF(AND(Projects!$G$22="Yes",Projects!$X$22="Yes",67&gt;=Projects!$C$22,67&lt;Projects!$C$22+Projects!$D$22),Projects!$B$22*INDEX(Curves!$B$4:$AR$4,1,67-Projects!$C$22+1),0)+IF(AND(Projects!$G$23="Yes",Projects!$X$23="Yes",67&gt;=Projects!$C$23,67&lt;Projects!$C$23+Projects!$D$23),Projects!$B$23*INDEX(Curves!$B$4:$AR$4,1,67-Projects!$C$23+1),0)+IF(AND(Projects!$G$24="Yes",Projects!$X$24="Yes",67&gt;=Projects!$C$24,67&lt;Projects!$C$24+Projects!$D$24),Projects!$B$24*INDEX(Curves!$B$4:$AR$4,1,67-Projects!$C$24+1),0)+IF(AND(Projects!$G$25="Yes",Projects!$X$25="Yes",67&gt;=Projects!$C$25,67&lt;Projects!$C$25+Projects!$D$25),Projects!$B$25*INDEX(Curves!$B$4:$AR$4,1,67-Projects!$C$25+1),0)+IF(AND(Projects!$G$26="Yes",Projects!$X$26="Yes",67&gt;=Projects!$C$26,67&lt;Projects!$C$26+Projects!$D$26),Projects!$B$26*INDEX(Curves!$B$4:$AR$4,1,67-Projects!$C$26+1),0)+IF(AND(Projects!$G$27="Yes",Projects!$X$27="Yes",67&gt;=Projects!$C$27,67&lt;Projects!$C$27+Projects!$D$27),Projects!$B$27*INDEX(Curves!$B$4:$AR$4,1,67-Projects!$C$27+1),0)+IF(AND(Projects!$G$28="Yes",Projects!$X$28="Yes",67&gt;=Projects!$C$28,67&lt;Projects!$C$28+Projects!$D$28),Projects!$B$28*INDEX(Curves!$B$4:$AR$4,1,67-Projects!$C$28+1),0)+IF(AND(Projects!$G$29="Yes",Projects!$X$29="Yes",67&gt;=Projects!$C$29,67&lt;Projects!$C$29+Projects!$D$29),Projects!$B$29*INDEX(Curves!$B$4:$AR$4,1,67-Projects!$C$29+1),0)+IF(AND(Projects!$G$30="Yes",Projects!$X$30="Yes",67&gt;=Projects!$C$30,67&lt;Projects!$C$30+Projects!$D$30),Projects!$B$30*INDEX(Curves!$B$4:$AR$4,1,67-Projects!$C$30+1),0)+IF(AND(Projects!$G$31="Yes",Projects!$X$31="Yes",67&gt;=Projects!$C$31,67&lt;Projects!$C$31+Projects!$D$31),Projects!$B$31*INDEX(Curves!$B$4:$AR$4,1,67-Projects!$C$31+1),0)+IF(AND(Projects!$G$32="Yes",Projects!$X$32="Yes",67&gt;=Projects!$C$32,67&lt;Projects!$C$32+Projects!$D$32),Projects!$B$32*INDEX(Curves!$B$4:$AR$4,1,67-Projects!$C$32+1),0)+IF(AND(Projects!$G$33="Yes",Projects!$X$33="Yes",67&gt;=Projects!$C$33,67&lt;Projects!$C$33+Projects!$D$33),Projects!$B$33*INDEX(Curves!$B$4:$AR$4,1,67-Projects!$C$33+1),0)+IF(AND(Projects!$G$34="Yes",Projects!$X$34="Yes",67&gt;=Projects!$C$34,67&lt;Projects!$C$34+Projects!$D$34),Projects!$B$34*INDEX(Curves!$B$4:$AR$4,1,67-Projects!$C$34+1),0)+IF(AND(Projects!$G$35="Yes",Projects!$X$35="Yes",67&gt;=Projects!$C$35,67&lt;Projects!$C$35+Projects!$D$35),Projects!$B$35*INDEX(Curves!$B$4:$AR$4,1,67-Projects!$C$35+1),0)+IF(AND(Projects!$G$36="Yes",Projects!$X$36="Yes",67&gt;=Projects!$C$36,67&lt;Projects!$C$36+Projects!$D$36),Projects!$B$36*INDEX(Curves!$B$4:$AR$4,1,67-Projects!$C$36+1),0)+IF(AND(Projects!$G$37="Yes",Projects!$X$37="Yes",67&gt;=Projects!$C$37,67&lt;Projects!$C$37+Projects!$D$37),Projects!$B$37*INDEX(Curves!$B$4:$AR$4,1,67-Projects!$C$37+1),0)+IF(AND(Projects!$G$38="Yes",Projects!$X$38="Yes",67&gt;=Projects!$C$38,67&lt;Projects!$C$38+Projects!$D$38),Projects!$B$38*INDEX(Curves!$B$4:$AR$4,1,67-Projects!$C$38+1),0)+IF(AND(Projects!$G$39="Yes",Projects!$X$39="Yes",67&gt;=Projects!$C$39,67&lt;Projects!$C$39+Projects!$D$39),Projects!$B$39*INDEX(Curves!$B$4:$AR$4,1,67-Projects!$C$39+1),0)+IF(AND(Projects!$G$40="Yes",Projects!$X$40="Yes",67&gt;=Projects!$C$40,67&lt;Projects!$C$40+Projects!$D$40),Projects!$B$40*INDEX(Curves!$B$4:$AR$4,1,67-Projects!$C$40+1),0)+IF(AND(Projects!$G$41="Yes",Projects!$X$41="Yes",67&gt;=Projects!$C$41,67&lt;Projects!$C$41+Projects!$D$41),Projects!$B$41*INDEX(Curves!$B$4:$AR$4,1,67-Projects!$C$41+1),0)+IF(AND(Projects!$G$42="Yes",Projects!$X$42="Yes",67&gt;=Projects!$C$42,67&lt;Projects!$C$42+Projects!$D$42),Projects!$B$42*INDEX(Curves!$B$4:$AR$4,1,67-Projects!$C$42+1),0)+IF(AND(Projects!$G$43="Yes",Projects!$X$43="Yes",67&gt;=Projects!$C$43,67&lt;Projects!$C$43+Projects!$D$43),Projects!$B$43*INDEX(Curves!$B$4:$AR$4,1,67-Projects!$C$43+1),0)+IF(AND(Projects!$G$44="Yes",Projects!$X$44="Yes",67&gt;=Projects!$C$44,67&lt;Projects!$C$44+Projects!$D$44),Projects!$B$44*INDEX(Curves!$B$4:$AR$4,1,67-Projects!$C$44+1),0)+IF(AND(Projects!$G$45="Yes",Projects!$X$45="Yes",67&gt;=Projects!$C$45,67&lt;Projects!$C$45+Projects!$D$45),Projects!$B$45*INDEX(Curves!$B$4:$AR$4,1,67-Projects!$C$45+1),0)+IF(AND(Projects!$G$46="Yes",Projects!$X$46="Yes",67&gt;=Projects!$C$46,67&lt;Projects!$C$46+Projects!$D$46),Projects!$B$46*INDEX(Curves!$B$4:$AR$4,1,67-Projects!$C$46+1),0)</f>
        <v>0</v>
      </c>
      <c r="BU96" s="296" t="n">
        <f aca="false">IF(AND(Projects!$G$17="Yes",Projects!$X$17="Yes",68&gt;=Projects!$C$17,68&lt;Projects!$C$17+Projects!$D$17),Projects!$B$17*INDEX(Curves!$B$4:$AR$4,1,68-Projects!$C$17+1),0)+IF(AND(Projects!$G$18="Yes",Projects!$X$18="Yes",68&gt;=Projects!$C$18,68&lt;Projects!$C$18+Projects!$D$18),Projects!$B$18*INDEX(Curves!$B$4:$AR$4,1,68-Projects!$C$18+1),0)+IF(AND(Projects!$G$19="Yes",Projects!$X$19="Yes",68&gt;=Projects!$C$19,68&lt;Projects!$C$19+Projects!$D$19),Projects!$B$19*INDEX(Curves!$B$10:$AR$10,1,68-Projects!$C$19+1),0)+IF(AND(Projects!$G$20="Yes",Projects!$X$20="Yes",68&gt;=Projects!$C$20,68&lt;Projects!$C$20+Projects!$D$20),Projects!$B$20*INDEX(Curves!$B$4:$AR$4,1,68-Projects!$C$20+1),0)+IF(AND(Projects!$G$21="Yes",Projects!$X$21="Yes",68&gt;=Projects!$C$21,68&lt;Projects!$C$21+Projects!$D$21),Projects!$B$21*INDEX(Curves!$B$11:$AR$11,1,68-Projects!$C$21+1),0)+IF(AND(Projects!$G$22="Yes",Projects!$X$22="Yes",68&gt;=Projects!$C$22,68&lt;Projects!$C$22+Projects!$D$22),Projects!$B$22*INDEX(Curves!$B$4:$AR$4,1,68-Projects!$C$22+1),0)+IF(AND(Projects!$G$23="Yes",Projects!$X$23="Yes",68&gt;=Projects!$C$23,68&lt;Projects!$C$23+Projects!$D$23),Projects!$B$23*INDEX(Curves!$B$4:$AR$4,1,68-Projects!$C$23+1),0)+IF(AND(Projects!$G$24="Yes",Projects!$X$24="Yes",68&gt;=Projects!$C$24,68&lt;Projects!$C$24+Projects!$D$24),Projects!$B$24*INDEX(Curves!$B$4:$AR$4,1,68-Projects!$C$24+1),0)+IF(AND(Projects!$G$25="Yes",Projects!$X$25="Yes",68&gt;=Projects!$C$25,68&lt;Projects!$C$25+Projects!$D$25),Projects!$B$25*INDEX(Curves!$B$4:$AR$4,1,68-Projects!$C$25+1),0)+IF(AND(Projects!$G$26="Yes",Projects!$X$26="Yes",68&gt;=Projects!$C$26,68&lt;Projects!$C$26+Projects!$D$26),Projects!$B$26*INDEX(Curves!$B$4:$AR$4,1,68-Projects!$C$26+1),0)+IF(AND(Projects!$G$27="Yes",Projects!$X$27="Yes",68&gt;=Projects!$C$27,68&lt;Projects!$C$27+Projects!$D$27),Projects!$B$27*INDEX(Curves!$B$4:$AR$4,1,68-Projects!$C$27+1),0)+IF(AND(Projects!$G$28="Yes",Projects!$X$28="Yes",68&gt;=Projects!$C$28,68&lt;Projects!$C$28+Projects!$D$28),Projects!$B$28*INDEX(Curves!$B$4:$AR$4,1,68-Projects!$C$28+1),0)+IF(AND(Projects!$G$29="Yes",Projects!$X$29="Yes",68&gt;=Projects!$C$29,68&lt;Projects!$C$29+Projects!$D$29),Projects!$B$29*INDEX(Curves!$B$4:$AR$4,1,68-Projects!$C$29+1),0)+IF(AND(Projects!$G$30="Yes",Projects!$X$30="Yes",68&gt;=Projects!$C$30,68&lt;Projects!$C$30+Projects!$D$30),Projects!$B$30*INDEX(Curves!$B$4:$AR$4,1,68-Projects!$C$30+1),0)+IF(AND(Projects!$G$31="Yes",Projects!$X$31="Yes",68&gt;=Projects!$C$31,68&lt;Projects!$C$31+Projects!$D$31),Projects!$B$31*INDEX(Curves!$B$4:$AR$4,1,68-Projects!$C$31+1),0)+IF(AND(Projects!$G$32="Yes",Projects!$X$32="Yes",68&gt;=Projects!$C$32,68&lt;Projects!$C$32+Projects!$D$32),Projects!$B$32*INDEX(Curves!$B$4:$AR$4,1,68-Projects!$C$32+1),0)+IF(AND(Projects!$G$33="Yes",Projects!$X$33="Yes",68&gt;=Projects!$C$33,68&lt;Projects!$C$33+Projects!$D$33),Projects!$B$33*INDEX(Curves!$B$4:$AR$4,1,68-Projects!$C$33+1),0)+IF(AND(Projects!$G$34="Yes",Projects!$X$34="Yes",68&gt;=Projects!$C$34,68&lt;Projects!$C$34+Projects!$D$34),Projects!$B$34*INDEX(Curves!$B$4:$AR$4,1,68-Projects!$C$34+1),0)+IF(AND(Projects!$G$35="Yes",Projects!$X$35="Yes",68&gt;=Projects!$C$35,68&lt;Projects!$C$35+Projects!$D$35),Projects!$B$35*INDEX(Curves!$B$4:$AR$4,1,68-Projects!$C$35+1),0)+IF(AND(Projects!$G$36="Yes",Projects!$X$36="Yes",68&gt;=Projects!$C$36,68&lt;Projects!$C$36+Projects!$D$36),Projects!$B$36*INDEX(Curves!$B$4:$AR$4,1,68-Projects!$C$36+1),0)+IF(AND(Projects!$G$37="Yes",Projects!$X$37="Yes",68&gt;=Projects!$C$37,68&lt;Projects!$C$37+Projects!$D$37),Projects!$B$37*INDEX(Curves!$B$4:$AR$4,1,68-Projects!$C$37+1),0)+IF(AND(Projects!$G$38="Yes",Projects!$X$38="Yes",68&gt;=Projects!$C$38,68&lt;Projects!$C$38+Projects!$D$38),Projects!$B$38*INDEX(Curves!$B$4:$AR$4,1,68-Projects!$C$38+1),0)+IF(AND(Projects!$G$39="Yes",Projects!$X$39="Yes",68&gt;=Projects!$C$39,68&lt;Projects!$C$39+Projects!$D$39),Projects!$B$39*INDEX(Curves!$B$4:$AR$4,1,68-Projects!$C$39+1),0)+IF(AND(Projects!$G$40="Yes",Projects!$X$40="Yes",68&gt;=Projects!$C$40,68&lt;Projects!$C$40+Projects!$D$40),Projects!$B$40*INDEX(Curves!$B$4:$AR$4,1,68-Projects!$C$40+1),0)+IF(AND(Projects!$G$41="Yes",Projects!$X$41="Yes",68&gt;=Projects!$C$41,68&lt;Projects!$C$41+Projects!$D$41),Projects!$B$41*INDEX(Curves!$B$4:$AR$4,1,68-Projects!$C$41+1),0)+IF(AND(Projects!$G$42="Yes",Projects!$X$42="Yes",68&gt;=Projects!$C$42,68&lt;Projects!$C$42+Projects!$D$42),Projects!$B$42*INDEX(Curves!$B$4:$AR$4,1,68-Projects!$C$42+1),0)+IF(AND(Projects!$G$43="Yes",Projects!$X$43="Yes",68&gt;=Projects!$C$43,68&lt;Projects!$C$43+Projects!$D$43),Projects!$B$43*INDEX(Curves!$B$4:$AR$4,1,68-Projects!$C$43+1),0)+IF(AND(Projects!$G$44="Yes",Projects!$X$44="Yes",68&gt;=Projects!$C$44,68&lt;Projects!$C$44+Projects!$D$44),Projects!$B$44*INDEX(Curves!$B$4:$AR$4,1,68-Projects!$C$44+1),0)+IF(AND(Projects!$G$45="Yes",Projects!$X$45="Yes",68&gt;=Projects!$C$45,68&lt;Projects!$C$45+Projects!$D$45),Projects!$B$45*INDEX(Curves!$B$4:$AR$4,1,68-Projects!$C$45+1),0)+IF(AND(Projects!$G$46="Yes",Projects!$X$46="Yes",68&gt;=Projects!$C$46,68&lt;Projects!$C$46+Projects!$D$46),Projects!$B$46*INDEX(Curves!$B$4:$AR$4,1,68-Projects!$C$46+1),0)</f>
        <v>0</v>
      </c>
      <c r="BV96" s="296" t="n">
        <f aca="false">IF(AND(Projects!$G$17="Yes",Projects!$X$17="Yes",69&gt;=Projects!$C$17,69&lt;Projects!$C$17+Projects!$D$17),Projects!$B$17*INDEX(Curves!$B$4:$AR$4,1,69-Projects!$C$17+1),0)+IF(AND(Projects!$G$18="Yes",Projects!$X$18="Yes",69&gt;=Projects!$C$18,69&lt;Projects!$C$18+Projects!$D$18),Projects!$B$18*INDEX(Curves!$B$4:$AR$4,1,69-Projects!$C$18+1),0)+IF(AND(Projects!$G$19="Yes",Projects!$X$19="Yes",69&gt;=Projects!$C$19,69&lt;Projects!$C$19+Projects!$D$19),Projects!$B$19*INDEX(Curves!$B$10:$AR$10,1,69-Projects!$C$19+1),0)+IF(AND(Projects!$G$20="Yes",Projects!$X$20="Yes",69&gt;=Projects!$C$20,69&lt;Projects!$C$20+Projects!$D$20),Projects!$B$20*INDEX(Curves!$B$4:$AR$4,1,69-Projects!$C$20+1),0)+IF(AND(Projects!$G$21="Yes",Projects!$X$21="Yes",69&gt;=Projects!$C$21,69&lt;Projects!$C$21+Projects!$D$21),Projects!$B$21*INDEX(Curves!$B$11:$AR$11,1,69-Projects!$C$21+1),0)+IF(AND(Projects!$G$22="Yes",Projects!$X$22="Yes",69&gt;=Projects!$C$22,69&lt;Projects!$C$22+Projects!$D$22),Projects!$B$22*INDEX(Curves!$B$4:$AR$4,1,69-Projects!$C$22+1),0)+IF(AND(Projects!$G$23="Yes",Projects!$X$23="Yes",69&gt;=Projects!$C$23,69&lt;Projects!$C$23+Projects!$D$23),Projects!$B$23*INDEX(Curves!$B$4:$AR$4,1,69-Projects!$C$23+1),0)+IF(AND(Projects!$G$24="Yes",Projects!$X$24="Yes",69&gt;=Projects!$C$24,69&lt;Projects!$C$24+Projects!$D$24),Projects!$B$24*INDEX(Curves!$B$4:$AR$4,1,69-Projects!$C$24+1),0)+IF(AND(Projects!$G$25="Yes",Projects!$X$25="Yes",69&gt;=Projects!$C$25,69&lt;Projects!$C$25+Projects!$D$25),Projects!$B$25*INDEX(Curves!$B$4:$AR$4,1,69-Projects!$C$25+1),0)+IF(AND(Projects!$G$26="Yes",Projects!$X$26="Yes",69&gt;=Projects!$C$26,69&lt;Projects!$C$26+Projects!$D$26),Projects!$B$26*INDEX(Curves!$B$4:$AR$4,1,69-Projects!$C$26+1),0)+IF(AND(Projects!$G$27="Yes",Projects!$X$27="Yes",69&gt;=Projects!$C$27,69&lt;Projects!$C$27+Projects!$D$27),Projects!$B$27*INDEX(Curves!$B$4:$AR$4,1,69-Projects!$C$27+1),0)+IF(AND(Projects!$G$28="Yes",Projects!$X$28="Yes",69&gt;=Projects!$C$28,69&lt;Projects!$C$28+Projects!$D$28),Projects!$B$28*INDEX(Curves!$B$4:$AR$4,1,69-Projects!$C$28+1),0)+IF(AND(Projects!$G$29="Yes",Projects!$X$29="Yes",69&gt;=Projects!$C$29,69&lt;Projects!$C$29+Projects!$D$29),Projects!$B$29*INDEX(Curves!$B$4:$AR$4,1,69-Projects!$C$29+1),0)+IF(AND(Projects!$G$30="Yes",Projects!$X$30="Yes",69&gt;=Projects!$C$30,69&lt;Projects!$C$30+Projects!$D$30),Projects!$B$30*INDEX(Curves!$B$4:$AR$4,1,69-Projects!$C$30+1),0)+IF(AND(Projects!$G$31="Yes",Projects!$X$31="Yes",69&gt;=Projects!$C$31,69&lt;Projects!$C$31+Projects!$D$31),Projects!$B$31*INDEX(Curves!$B$4:$AR$4,1,69-Projects!$C$31+1),0)+IF(AND(Projects!$G$32="Yes",Projects!$X$32="Yes",69&gt;=Projects!$C$32,69&lt;Projects!$C$32+Projects!$D$32),Projects!$B$32*INDEX(Curves!$B$4:$AR$4,1,69-Projects!$C$32+1),0)+IF(AND(Projects!$G$33="Yes",Projects!$X$33="Yes",69&gt;=Projects!$C$33,69&lt;Projects!$C$33+Projects!$D$33),Projects!$B$33*INDEX(Curves!$B$4:$AR$4,1,69-Projects!$C$33+1),0)+IF(AND(Projects!$G$34="Yes",Projects!$X$34="Yes",69&gt;=Projects!$C$34,69&lt;Projects!$C$34+Projects!$D$34),Projects!$B$34*INDEX(Curves!$B$4:$AR$4,1,69-Projects!$C$34+1),0)+IF(AND(Projects!$G$35="Yes",Projects!$X$35="Yes",69&gt;=Projects!$C$35,69&lt;Projects!$C$35+Projects!$D$35),Projects!$B$35*INDEX(Curves!$B$4:$AR$4,1,69-Projects!$C$35+1),0)+IF(AND(Projects!$G$36="Yes",Projects!$X$36="Yes",69&gt;=Projects!$C$36,69&lt;Projects!$C$36+Projects!$D$36),Projects!$B$36*INDEX(Curves!$B$4:$AR$4,1,69-Projects!$C$36+1),0)+IF(AND(Projects!$G$37="Yes",Projects!$X$37="Yes",69&gt;=Projects!$C$37,69&lt;Projects!$C$37+Projects!$D$37),Projects!$B$37*INDEX(Curves!$B$4:$AR$4,1,69-Projects!$C$37+1),0)+IF(AND(Projects!$G$38="Yes",Projects!$X$38="Yes",69&gt;=Projects!$C$38,69&lt;Projects!$C$38+Projects!$D$38),Projects!$B$38*INDEX(Curves!$B$4:$AR$4,1,69-Projects!$C$38+1),0)+IF(AND(Projects!$G$39="Yes",Projects!$X$39="Yes",69&gt;=Projects!$C$39,69&lt;Projects!$C$39+Projects!$D$39),Projects!$B$39*INDEX(Curves!$B$4:$AR$4,1,69-Projects!$C$39+1),0)+IF(AND(Projects!$G$40="Yes",Projects!$X$40="Yes",69&gt;=Projects!$C$40,69&lt;Projects!$C$40+Projects!$D$40),Projects!$B$40*INDEX(Curves!$B$4:$AR$4,1,69-Projects!$C$40+1),0)+IF(AND(Projects!$G$41="Yes",Projects!$X$41="Yes",69&gt;=Projects!$C$41,69&lt;Projects!$C$41+Projects!$D$41),Projects!$B$41*INDEX(Curves!$B$4:$AR$4,1,69-Projects!$C$41+1),0)+IF(AND(Projects!$G$42="Yes",Projects!$X$42="Yes",69&gt;=Projects!$C$42,69&lt;Projects!$C$42+Projects!$D$42),Projects!$B$42*INDEX(Curves!$B$4:$AR$4,1,69-Projects!$C$42+1),0)+IF(AND(Projects!$G$43="Yes",Projects!$X$43="Yes",69&gt;=Projects!$C$43,69&lt;Projects!$C$43+Projects!$D$43),Projects!$B$43*INDEX(Curves!$B$4:$AR$4,1,69-Projects!$C$43+1),0)+IF(AND(Projects!$G$44="Yes",Projects!$X$44="Yes",69&gt;=Projects!$C$44,69&lt;Projects!$C$44+Projects!$D$44),Projects!$B$44*INDEX(Curves!$B$4:$AR$4,1,69-Projects!$C$44+1),0)+IF(AND(Projects!$G$45="Yes",Projects!$X$45="Yes",69&gt;=Projects!$C$45,69&lt;Projects!$C$45+Projects!$D$45),Projects!$B$45*INDEX(Curves!$B$4:$AR$4,1,69-Projects!$C$45+1),0)+IF(AND(Projects!$G$46="Yes",Projects!$X$46="Yes",69&gt;=Projects!$C$46,69&lt;Projects!$C$46+Projects!$D$46),Projects!$B$46*INDEX(Curves!$B$4:$AR$4,1,69-Projects!$C$46+1),0)</f>
        <v>0</v>
      </c>
      <c r="BW96" s="296" t="n">
        <f aca="false">IF(AND(Projects!$G$17="Yes",Projects!$X$17="Yes",70&gt;=Projects!$C$17,70&lt;Projects!$C$17+Projects!$D$17),Projects!$B$17*INDEX(Curves!$B$4:$AR$4,1,70-Projects!$C$17+1),0)+IF(AND(Projects!$G$18="Yes",Projects!$X$18="Yes",70&gt;=Projects!$C$18,70&lt;Projects!$C$18+Projects!$D$18),Projects!$B$18*INDEX(Curves!$B$4:$AR$4,1,70-Projects!$C$18+1),0)+IF(AND(Projects!$G$19="Yes",Projects!$X$19="Yes",70&gt;=Projects!$C$19,70&lt;Projects!$C$19+Projects!$D$19),Projects!$B$19*INDEX(Curves!$B$10:$AR$10,1,70-Projects!$C$19+1),0)+IF(AND(Projects!$G$20="Yes",Projects!$X$20="Yes",70&gt;=Projects!$C$20,70&lt;Projects!$C$20+Projects!$D$20),Projects!$B$20*INDEX(Curves!$B$4:$AR$4,1,70-Projects!$C$20+1),0)+IF(AND(Projects!$G$21="Yes",Projects!$X$21="Yes",70&gt;=Projects!$C$21,70&lt;Projects!$C$21+Projects!$D$21),Projects!$B$21*INDEX(Curves!$B$11:$AR$11,1,70-Projects!$C$21+1),0)+IF(AND(Projects!$G$22="Yes",Projects!$X$22="Yes",70&gt;=Projects!$C$22,70&lt;Projects!$C$22+Projects!$D$22),Projects!$B$22*INDEX(Curves!$B$4:$AR$4,1,70-Projects!$C$22+1),0)+IF(AND(Projects!$G$23="Yes",Projects!$X$23="Yes",70&gt;=Projects!$C$23,70&lt;Projects!$C$23+Projects!$D$23),Projects!$B$23*INDEX(Curves!$B$4:$AR$4,1,70-Projects!$C$23+1),0)+IF(AND(Projects!$G$24="Yes",Projects!$X$24="Yes",70&gt;=Projects!$C$24,70&lt;Projects!$C$24+Projects!$D$24),Projects!$B$24*INDEX(Curves!$B$4:$AR$4,1,70-Projects!$C$24+1),0)+IF(AND(Projects!$G$25="Yes",Projects!$X$25="Yes",70&gt;=Projects!$C$25,70&lt;Projects!$C$25+Projects!$D$25),Projects!$B$25*INDEX(Curves!$B$4:$AR$4,1,70-Projects!$C$25+1),0)+IF(AND(Projects!$G$26="Yes",Projects!$X$26="Yes",70&gt;=Projects!$C$26,70&lt;Projects!$C$26+Projects!$D$26),Projects!$B$26*INDEX(Curves!$B$4:$AR$4,1,70-Projects!$C$26+1),0)+IF(AND(Projects!$G$27="Yes",Projects!$X$27="Yes",70&gt;=Projects!$C$27,70&lt;Projects!$C$27+Projects!$D$27),Projects!$B$27*INDEX(Curves!$B$4:$AR$4,1,70-Projects!$C$27+1),0)+IF(AND(Projects!$G$28="Yes",Projects!$X$28="Yes",70&gt;=Projects!$C$28,70&lt;Projects!$C$28+Projects!$D$28),Projects!$B$28*INDEX(Curves!$B$4:$AR$4,1,70-Projects!$C$28+1),0)+IF(AND(Projects!$G$29="Yes",Projects!$X$29="Yes",70&gt;=Projects!$C$29,70&lt;Projects!$C$29+Projects!$D$29),Projects!$B$29*INDEX(Curves!$B$4:$AR$4,1,70-Projects!$C$29+1),0)+IF(AND(Projects!$G$30="Yes",Projects!$X$30="Yes",70&gt;=Projects!$C$30,70&lt;Projects!$C$30+Projects!$D$30),Projects!$B$30*INDEX(Curves!$B$4:$AR$4,1,70-Projects!$C$30+1),0)+IF(AND(Projects!$G$31="Yes",Projects!$X$31="Yes",70&gt;=Projects!$C$31,70&lt;Projects!$C$31+Projects!$D$31),Projects!$B$31*INDEX(Curves!$B$4:$AR$4,1,70-Projects!$C$31+1),0)+IF(AND(Projects!$G$32="Yes",Projects!$X$32="Yes",70&gt;=Projects!$C$32,70&lt;Projects!$C$32+Projects!$D$32),Projects!$B$32*INDEX(Curves!$B$4:$AR$4,1,70-Projects!$C$32+1),0)+IF(AND(Projects!$G$33="Yes",Projects!$X$33="Yes",70&gt;=Projects!$C$33,70&lt;Projects!$C$33+Projects!$D$33),Projects!$B$33*INDEX(Curves!$B$4:$AR$4,1,70-Projects!$C$33+1),0)+IF(AND(Projects!$G$34="Yes",Projects!$X$34="Yes",70&gt;=Projects!$C$34,70&lt;Projects!$C$34+Projects!$D$34),Projects!$B$34*INDEX(Curves!$B$4:$AR$4,1,70-Projects!$C$34+1),0)+IF(AND(Projects!$G$35="Yes",Projects!$X$35="Yes",70&gt;=Projects!$C$35,70&lt;Projects!$C$35+Projects!$D$35),Projects!$B$35*INDEX(Curves!$B$4:$AR$4,1,70-Projects!$C$35+1),0)+IF(AND(Projects!$G$36="Yes",Projects!$X$36="Yes",70&gt;=Projects!$C$36,70&lt;Projects!$C$36+Projects!$D$36),Projects!$B$36*INDEX(Curves!$B$4:$AR$4,1,70-Projects!$C$36+1),0)+IF(AND(Projects!$G$37="Yes",Projects!$X$37="Yes",70&gt;=Projects!$C$37,70&lt;Projects!$C$37+Projects!$D$37),Projects!$B$37*INDEX(Curves!$B$4:$AR$4,1,70-Projects!$C$37+1),0)+IF(AND(Projects!$G$38="Yes",Projects!$X$38="Yes",70&gt;=Projects!$C$38,70&lt;Projects!$C$38+Projects!$D$38),Projects!$B$38*INDEX(Curves!$B$4:$AR$4,1,70-Projects!$C$38+1),0)+IF(AND(Projects!$G$39="Yes",Projects!$X$39="Yes",70&gt;=Projects!$C$39,70&lt;Projects!$C$39+Projects!$D$39),Projects!$B$39*INDEX(Curves!$B$4:$AR$4,1,70-Projects!$C$39+1),0)+IF(AND(Projects!$G$40="Yes",Projects!$X$40="Yes",70&gt;=Projects!$C$40,70&lt;Projects!$C$40+Projects!$D$40),Projects!$B$40*INDEX(Curves!$B$4:$AR$4,1,70-Projects!$C$40+1),0)+IF(AND(Projects!$G$41="Yes",Projects!$X$41="Yes",70&gt;=Projects!$C$41,70&lt;Projects!$C$41+Projects!$D$41),Projects!$B$41*INDEX(Curves!$B$4:$AR$4,1,70-Projects!$C$41+1),0)+IF(AND(Projects!$G$42="Yes",Projects!$X$42="Yes",70&gt;=Projects!$C$42,70&lt;Projects!$C$42+Projects!$D$42),Projects!$B$42*INDEX(Curves!$B$4:$AR$4,1,70-Projects!$C$42+1),0)+IF(AND(Projects!$G$43="Yes",Projects!$X$43="Yes",70&gt;=Projects!$C$43,70&lt;Projects!$C$43+Projects!$D$43),Projects!$B$43*INDEX(Curves!$B$4:$AR$4,1,70-Projects!$C$43+1),0)+IF(AND(Projects!$G$44="Yes",Projects!$X$44="Yes",70&gt;=Projects!$C$44,70&lt;Projects!$C$44+Projects!$D$44),Projects!$B$44*INDEX(Curves!$B$4:$AR$4,1,70-Projects!$C$44+1),0)+IF(AND(Projects!$G$45="Yes",Projects!$X$45="Yes",70&gt;=Projects!$C$45,70&lt;Projects!$C$45+Projects!$D$45),Projects!$B$45*INDEX(Curves!$B$4:$AR$4,1,70-Projects!$C$45+1),0)+IF(AND(Projects!$G$46="Yes",Projects!$X$46="Yes",70&gt;=Projects!$C$46,70&lt;Projects!$C$46+Projects!$D$46),Projects!$B$46*INDEX(Curves!$B$4:$AR$4,1,70-Projects!$C$46+1),0)</f>
        <v>0</v>
      </c>
      <c r="BX96" s="296" t="n">
        <f aca="false">IF(AND(Projects!$G$17="Yes",Projects!$X$17="Yes",71&gt;=Projects!$C$17,71&lt;Projects!$C$17+Projects!$D$17),Projects!$B$17*INDEX(Curves!$B$4:$AR$4,1,71-Projects!$C$17+1),0)+IF(AND(Projects!$G$18="Yes",Projects!$X$18="Yes",71&gt;=Projects!$C$18,71&lt;Projects!$C$18+Projects!$D$18),Projects!$B$18*INDEX(Curves!$B$4:$AR$4,1,71-Projects!$C$18+1),0)+IF(AND(Projects!$G$19="Yes",Projects!$X$19="Yes",71&gt;=Projects!$C$19,71&lt;Projects!$C$19+Projects!$D$19),Projects!$B$19*INDEX(Curves!$B$10:$AR$10,1,71-Projects!$C$19+1),0)+IF(AND(Projects!$G$20="Yes",Projects!$X$20="Yes",71&gt;=Projects!$C$20,71&lt;Projects!$C$20+Projects!$D$20),Projects!$B$20*INDEX(Curves!$B$4:$AR$4,1,71-Projects!$C$20+1),0)+IF(AND(Projects!$G$21="Yes",Projects!$X$21="Yes",71&gt;=Projects!$C$21,71&lt;Projects!$C$21+Projects!$D$21),Projects!$B$21*INDEX(Curves!$B$11:$AR$11,1,71-Projects!$C$21+1),0)+IF(AND(Projects!$G$22="Yes",Projects!$X$22="Yes",71&gt;=Projects!$C$22,71&lt;Projects!$C$22+Projects!$D$22),Projects!$B$22*INDEX(Curves!$B$4:$AR$4,1,71-Projects!$C$22+1),0)+IF(AND(Projects!$G$23="Yes",Projects!$X$23="Yes",71&gt;=Projects!$C$23,71&lt;Projects!$C$23+Projects!$D$23),Projects!$B$23*INDEX(Curves!$B$4:$AR$4,1,71-Projects!$C$23+1),0)+IF(AND(Projects!$G$24="Yes",Projects!$X$24="Yes",71&gt;=Projects!$C$24,71&lt;Projects!$C$24+Projects!$D$24),Projects!$B$24*INDEX(Curves!$B$4:$AR$4,1,71-Projects!$C$24+1),0)+IF(AND(Projects!$G$25="Yes",Projects!$X$25="Yes",71&gt;=Projects!$C$25,71&lt;Projects!$C$25+Projects!$D$25),Projects!$B$25*INDEX(Curves!$B$4:$AR$4,1,71-Projects!$C$25+1),0)+IF(AND(Projects!$G$26="Yes",Projects!$X$26="Yes",71&gt;=Projects!$C$26,71&lt;Projects!$C$26+Projects!$D$26),Projects!$B$26*INDEX(Curves!$B$4:$AR$4,1,71-Projects!$C$26+1),0)+IF(AND(Projects!$G$27="Yes",Projects!$X$27="Yes",71&gt;=Projects!$C$27,71&lt;Projects!$C$27+Projects!$D$27),Projects!$B$27*INDEX(Curves!$B$4:$AR$4,1,71-Projects!$C$27+1),0)+IF(AND(Projects!$G$28="Yes",Projects!$X$28="Yes",71&gt;=Projects!$C$28,71&lt;Projects!$C$28+Projects!$D$28),Projects!$B$28*INDEX(Curves!$B$4:$AR$4,1,71-Projects!$C$28+1),0)+IF(AND(Projects!$G$29="Yes",Projects!$X$29="Yes",71&gt;=Projects!$C$29,71&lt;Projects!$C$29+Projects!$D$29),Projects!$B$29*INDEX(Curves!$B$4:$AR$4,1,71-Projects!$C$29+1),0)+IF(AND(Projects!$G$30="Yes",Projects!$X$30="Yes",71&gt;=Projects!$C$30,71&lt;Projects!$C$30+Projects!$D$30),Projects!$B$30*INDEX(Curves!$B$4:$AR$4,1,71-Projects!$C$30+1),0)+IF(AND(Projects!$G$31="Yes",Projects!$X$31="Yes",71&gt;=Projects!$C$31,71&lt;Projects!$C$31+Projects!$D$31),Projects!$B$31*INDEX(Curves!$B$4:$AR$4,1,71-Projects!$C$31+1),0)+IF(AND(Projects!$G$32="Yes",Projects!$X$32="Yes",71&gt;=Projects!$C$32,71&lt;Projects!$C$32+Projects!$D$32),Projects!$B$32*INDEX(Curves!$B$4:$AR$4,1,71-Projects!$C$32+1),0)+IF(AND(Projects!$G$33="Yes",Projects!$X$33="Yes",71&gt;=Projects!$C$33,71&lt;Projects!$C$33+Projects!$D$33),Projects!$B$33*INDEX(Curves!$B$4:$AR$4,1,71-Projects!$C$33+1),0)+IF(AND(Projects!$G$34="Yes",Projects!$X$34="Yes",71&gt;=Projects!$C$34,71&lt;Projects!$C$34+Projects!$D$34),Projects!$B$34*INDEX(Curves!$B$4:$AR$4,1,71-Projects!$C$34+1),0)+IF(AND(Projects!$G$35="Yes",Projects!$X$35="Yes",71&gt;=Projects!$C$35,71&lt;Projects!$C$35+Projects!$D$35),Projects!$B$35*INDEX(Curves!$B$4:$AR$4,1,71-Projects!$C$35+1),0)+IF(AND(Projects!$G$36="Yes",Projects!$X$36="Yes",71&gt;=Projects!$C$36,71&lt;Projects!$C$36+Projects!$D$36),Projects!$B$36*INDEX(Curves!$B$4:$AR$4,1,71-Projects!$C$36+1),0)+IF(AND(Projects!$G$37="Yes",Projects!$X$37="Yes",71&gt;=Projects!$C$37,71&lt;Projects!$C$37+Projects!$D$37),Projects!$B$37*INDEX(Curves!$B$4:$AR$4,1,71-Projects!$C$37+1),0)+IF(AND(Projects!$G$38="Yes",Projects!$X$38="Yes",71&gt;=Projects!$C$38,71&lt;Projects!$C$38+Projects!$D$38),Projects!$B$38*INDEX(Curves!$B$4:$AR$4,1,71-Projects!$C$38+1),0)+IF(AND(Projects!$G$39="Yes",Projects!$X$39="Yes",71&gt;=Projects!$C$39,71&lt;Projects!$C$39+Projects!$D$39),Projects!$B$39*INDEX(Curves!$B$4:$AR$4,1,71-Projects!$C$39+1),0)+IF(AND(Projects!$G$40="Yes",Projects!$X$40="Yes",71&gt;=Projects!$C$40,71&lt;Projects!$C$40+Projects!$D$40),Projects!$B$40*INDEX(Curves!$B$4:$AR$4,1,71-Projects!$C$40+1),0)+IF(AND(Projects!$G$41="Yes",Projects!$X$41="Yes",71&gt;=Projects!$C$41,71&lt;Projects!$C$41+Projects!$D$41),Projects!$B$41*INDEX(Curves!$B$4:$AR$4,1,71-Projects!$C$41+1),0)+IF(AND(Projects!$G$42="Yes",Projects!$X$42="Yes",71&gt;=Projects!$C$42,71&lt;Projects!$C$42+Projects!$D$42),Projects!$B$42*INDEX(Curves!$B$4:$AR$4,1,71-Projects!$C$42+1),0)+IF(AND(Projects!$G$43="Yes",Projects!$X$43="Yes",71&gt;=Projects!$C$43,71&lt;Projects!$C$43+Projects!$D$43),Projects!$B$43*INDEX(Curves!$B$4:$AR$4,1,71-Projects!$C$43+1),0)+IF(AND(Projects!$G$44="Yes",Projects!$X$44="Yes",71&gt;=Projects!$C$44,71&lt;Projects!$C$44+Projects!$D$44),Projects!$B$44*INDEX(Curves!$B$4:$AR$4,1,71-Projects!$C$44+1),0)+IF(AND(Projects!$G$45="Yes",Projects!$X$45="Yes",71&gt;=Projects!$C$45,71&lt;Projects!$C$45+Projects!$D$45),Projects!$B$45*INDEX(Curves!$B$4:$AR$4,1,71-Projects!$C$45+1),0)+IF(AND(Projects!$G$46="Yes",Projects!$X$46="Yes",71&gt;=Projects!$C$46,71&lt;Projects!$C$46+Projects!$D$46),Projects!$B$46*INDEX(Curves!$B$4:$AR$4,1,71-Projects!$C$46+1),0)</f>
        <v>0</v>
      </c>
      <c r="BY96" s="296" t="n">
        <f aca="false">IF(AND(Projects!$G$17="Yes",Projects!$X$17="Yes",72&gt;=Projects!$C$17,72&lt;Projects!$C$17+Projects!$D$17),Projects!$B$17*INDEX(Curves!$B$4:$AR$4,1,72-Projects!$C$17+1),0)+IF(AND(Projects!$G$18="Yes",Projects!$X$18="Yes",72&gt;=Projects!$C$18,72&lt;Projects!$C$18+Projects!$D$18),Projects!$B$18*INDEX(Curves!$B$4:$AR$4,1,72-Projects!$C$18+1),0)+IF(AND(Projects!$G$19="Yes",Projects!$X$19="Yes",72&gt;=Projects!$C$19,72&lt;Projects!$C$19+Projects!$D$19),Projects!$B$19*INDEX(Curves!$B$10:$AR$10,1,72-Projects!$C$19+1),0)+IF(AND(Projects!$G$20="Yes",Projects!$X$20="Yes",72&gt;=Projects!$C$20,72&lt;Projects!$C$20+Projects!$D$20),Projects!$B$20*INDEX(Curves!$B$4:$AR$4,1,72-Projects!$C$20+1),0)+IF(AND(Projects!$G$21="Yes",Projects!$X$21="Yes",72&gt;=Projects!$C$21,72&lt;Projects!$C$21+Projects!$D$21),Projects!$B$21*INDEX(Curves!$B$11:$AR$11,1,72-Projects!$C$21+1),0)+IF(AND(Projects!$G$22="Yes",Projects!$X$22="Yes",72&gt;=Projects!$C$22,72&lt;Projects!$C$22+Projects!$D$22),Projects!$B$22*INDEX(Curves!$B$4:$AR$4,1,72-Projects!$C$22+1),0)+IF(AND(Projects!$G$23="Yes",Projects!$X$23="Yes",72&gt;=Projects!$C$23,72&lt;Projects!$C$23+Projects!$D$23),Projects!$B$23*INDEX(Curves!$B$4:$AR$4,1,72-Projects!$C$23+1),0)+IF(AND(Projects!$G$24="Yes",Projects!$X$24="Yes",72&gt;=Projects!$C$24,72&lt;Projects!$C$24+Projects!$D$24),Projects!$B$24*INDEX(Curves!$B$4:$AR$4,1,72-Projects!$C$24+1),0)+IF(AND(Projects!$G$25="Yes",Projects!$X$25="Yes",72&gt;=Projects!$C$25,72&lt;Projects!$C$25+Projects!$D$25),Projects!$B$25*INDEX(Curves!$B$4:$AR$4,1,72-Projects!$C$25+1),0)+IF(AND(Projects!$G$26="Yes",Projects!$X$26="Yes",72&gt;=Projects!$C$26,72&lt;Projects!$C$26+Projects!$D$26),Projects!$B$26*INDEX(Curves!$B$4:$AR$4,1,72-Projects!$C$26+1),0)+IF(AND(Projects!$G$27="Yes",Projects!$X$27="Yes",72&gt;=Projects!$C$27,72&lt;Projects!$C$27+Projects!$D$27),Projects!$B$27*INDEX(Curves!$B$4:$AR$4,1,72-Projects!$C$27+1),0)+IF(AND(Projects!$G$28="Yes",Projects!$X$28="Yes",72&gt;=Projects!$C$28,72&lt;Projects!$C$28+Projects!$D$28),Projects!$B$28*INDEX(Curves!$B$4:$AR$4,1,72-Projects!$C$28+1),0)+IF(AND(Projects!$G$29="Yes",Projects!$X$29="Yes",72&gt;=Projects!$C$29,72&lt;Projects!$C$29+Projects!$D$29),Projects!$B$29*INDEX(Curves!$B$4:$AR$4,1,72-Projects!$C$29+1),0)+IF(AND(Projects!$G$30="Yes",Projects!$X$30="Yes",72&gt;=Projects!$C$30,72&lt;Projects!$C$30+Projects!$D$30),Projects!$B$30*INDEX(Curves!$B$4:$AR$4,1,72-Projects!$C$30+1),0)+IF(AND(Projects!$G$31="Yes",Projects!$X$31="Yes",72&gt;=Projects!$C$31,72&lt;Projects!$C$31+Projects!$D$31),Projects!$B$31*INDEX(Curves!$B$4:$AR$4,1,72-Projects!$C$31+1),0)+IF(AND(Projects!$G$32="Yes",Projects!$X$32="Yes",72&gt;=Projects!$C$32,72&lt;Projects!$C$32+Projects!$D$32),Projects!$B$32*INDEX(Curves!$B$4:$AR$4,1,72-Projects!$C$32+1),0)+IF(AND(Projects!$G$33="Yes",Projects!$X$33="Yes",72&gt;=Projects!$C$33,72&lt;Projects!$C$33+Projects!$D$33),Projects!$B$33*INDEX(Curves!$B$4:$AR$4,1,72-Projects!$C$33+1),0)+IF(AND(Projects!$G$34="Yes",Projects!$X$34="Yes",72&gt;=Projects!$C$34,72&lt;Projects!$C$34+Projects!$D$34),Projects!$B$34*INDEX(Curves!$B$4:$AR$4,1,72-Projects!$C$34+1),0)+IF(AND(Projects!$G$35="Yes",Projects!$X$35="Yes",72&gt;=Projects!$C$35,72&lt;Projects!$C$35+Projects!$D$35),Projects!$B$35*INDEX(Curves!$B$4:$AR$4,1,72-Projects!$C$35+1),0)+IF(AND(Projects!$G$36="Yes",Projects!$X$36="Yes",72&gt;=Projects!$C$36,72&lt;Projects!$C$36+Projects!$D$36),Projects!$B$36*INDEX(Curves!$B$4:$AR$4,1,72-Projects!$C$36+1),0)+IF(AND(Projects!$G$37="Yes",Projects!$X$37="Yes",72&gt;=Projects!$C$37,72&lt;Projects!$C$37+Projects!$D$37),Projects!$B$37*INDEX(Curves!$B$4:$AR$4,1,72-Projects!$C$37+1),0)+IF(AND(Projects!$G$38="Yes",Projects!$X$38="Yes",72&gt;=Projects!$C$38,72&lt;Projects!$C$38+Projects!$D$38),Projects!$B$38*INDEX(Curves!$B$4:$AR$4,1,72-Projects!$C$38+1),0)+IF(AND(Projects!$G$39="Yes",Projects!$X$39="Yes",72&gt;=Projects!$C$39,72&lt;Projects!$C$39+Projects!$D$39),Projects!$B$39*INDEX(Curves!$B$4:$AR$4,1,72-Projects!$C$39+1),0)+IF(AND(Projects!$G$40="Yes",Projects!$X$40="Yes",72&gt;=Projects!$C$40,72&lt;Projects!$C$40+Projects!$D$40),Projects!$B$40*INDEX(Curves!$B$4:$AR$4,1,72-Projects!$C$40+1),0)+IF(AND(Projects!$G$41="Yes",Projects!$X$41="Yes",72&gt;=Projects!$C$41,72&lt;Projects!$C$41+Projects!$D$41),Projects!$B$41*INDEX(Curves!$B$4:$AR$4,1,72-Projects!$C$41+1),0)+IF(AND(Projects!$G$42="Yes",Projects!$X$42="Yes",72&gt;=Projects!$C$42,72&lt;Projects!$C$42+Projects!$D$42),Projects!$B$42*INDEX(Curves!$B$4:$AR$4,1,72-Projects!$C$42+1),0)+IF(AND(Projects!$G$43="Yes",Projects!$X$43="Yes",72&gt;=Projects!$C$43,72&lt;Projects!$C$43+Projects!$D$43),Projects!$B$43*INDEX(Curves!$B$4:$AR$4,1,72-Projects!$C$43+1),0)+IF(AND(Projects!$G$44="Yes",Projects!$X$44="Yes",72&gt;=Projects!$C$44,72&lt;Projects!$C$44+Projects!$D$44),Projects!$B$44*INDEX(Curves!$B$4:$AR$4,1,72-Projects!$C$44+1),0)+IF(AND(Projects!$G$45="Yes",Projects!$X$45="Yes",72&gt;=Projects!$C$45,72&lt;Projects!$C$45+Projects!$D$45),Projects!$B$45*INDEX(Curves!$B$4:$AR$4,1,72-Projects!$C$45+1),0)+IF(AND(Projects!$G$46="Yes",Projects!$X$46="Yes",72&gt;=Projects!$C$46,72&lt;Projects!$C$46+Projects!$D$46),Projects!$B$46*INDEX(Curves!$B$4:$AR$4,1,72-Projects!$C$46+1),0)</f>
        <v>0</v>
      </c>
      <c r="BZ96" s="296" t="n">
        <f aca="false">IF(AND(Projects!$G$17="Yes",Projects!$X$17="Yes",73&gt;=Projects!$C$17,73&lt;Projects!$C$17+Projects!$D$17),Projects!$B$17*INDEX(Curves!$B$4:$AR$4,1,73-Projects!$C$17+1),0)+IF(AND(Projects!$G$18="Yes",Projects!$X$18="Yes",73&gt;=Projects!$C$18,73&lt;Projects!$C$18+Projects!$D$18),Projects!$B$18*INDEX(Curves!$B$4:$AR$4,1,73-Projects!$C$18+1),0)+IF(AND(Projects!$G$19="Yes",Projects!$X$19="Yes",73&gt;=Projects!$C$19,73&lt;Projects!$C$19+Projects!$D$19),Projects!$B$19*INDEX(Curves!$B$10:$AR$10,1,73-Projects!$C$19+1),0)+IF(AND(Projects!$G$20="Yes",Projects!$X$20="Yes",73&gt;=Projects!$C$20,73&lt;Projects!$C$20+Projects!$D$20),Projects!$B$20*INDEX(Curves!$B$4:$AR$4,1,73-Projects!$C$20+1),0)+IF(AND(Projects!$G$21="Yes",Projects!$X$21="Yes",73&gt;=Projects!$C$21,73&lt;Projects!$C$21+Projects!$D$21),Projects!$B$21*INDEX(Curves!$B$11:$AR$11,1,73-Projects!$C$21+1),0)+IF(AND(Projects!$G$22="Yes",Projects!$X$22="Yes",73&gt;=Projects!$C$22,73&lt;Projects!$C$22+Projects!$D$22),Projects!$B$22*INDEX(Curves!$B$4:$AR$4,1,73-Projects!$C$22+1),0)+IF(AND(Projects!$G$23="Yes",Projects!$X$23="Yes",73&gt;=Projects!$C$23,73&lt;Projects!$C$23+Projects!$D$23),Projects!$B$23*INDEX(Curves!$B$4:$AR$4,1,73-Projects!$C$23+1),0)+IF(AND(Projects!$G$24="Yes",Projects!$X$24="Yes",73&gt;=Projects!$C$24,73&lt;Projects!$C$24+Projects!$D$24),Projects!$B$24*INDEX(Curves!$B$4:$AR$4,1,73-Projects!$C$24+1),0)+IF(AND(Projects!$G$25="Yes",Projects!$X$25="Yes",73&gt;=Projects!$C$25,73&lt;Projects!$C$25+Projects!$D$25),Projects!$B$25*INDEX(Curves!$B$4:$AR$4,1,73-Projects!$C$25+1),0)+IF(AND(Projects!$G$26="Yes",Projects!$X$26="Yes",73&gt;=Projects!$C$26,73&lt;Projects!$C$26+Projects!$D$26),Projects!$B$26*INDEX(Curves!$B$4:$AR$4,1,73-Projects!$C$26+1),0)+IF(AND(Projects!$G$27="Yes",Projects!$X$27="Yes",73&gt;=Projects!$C$27,73&lt;Projects!$C$27+Projects!$D$27),Projects!$B$27*INDEX(Curves!$B$4:$AR$4,1,73-Projects!$C$27+1),0)+IF(AND(Projects!$G$28="Yes",Projects!$X$28="Yes",73&gt;=Projects!$C$28,73&lt;Projects!$C$28+Projects!$D$28),Projects!$B$28*INDEX(Curves!$B$4:$AR$4,1,73-Projects!$C$28+1),0)+IF(AND(Projects!$G$29="Yes",Projects!$X$29="Yes",73&gt;=Projects!$C$29,73&lt;Projects!$C$29+Projects!$D$29),Projects!$B$29*INDEX(Curves!$B$4:$AR$4,1,73-Projects!$C$29+1),0)+IF(AND(Projects!$G$30="Yes",Projects!$X$30="Yes",73&gt;=Projects!$C$30,73&lt;Projects!$C$30+Projects!$D$30),Projects!$B$30*INDEX(Curves!$B$4:$AR$4,1,73-Projects!$C$30+1),0)+IF(AND(Projects!$G$31="Yes",Projects!$X$31="Yes",73&gt;=Projects!$C$31,73&lt;Projects!$C$31+Projects!$D$31),Projects!$B$31*INDEX(Curves!$B$4:$AR$4,1,73-Projects!$C$31+1),0)+IF(AND(Projects!$G$32="Yes",Projects!$X$32="Yes",73&gt;=Projects!$C$32,73&lt;Projects!$C$32+Projects!$D$32),Projects!$B$32*INDEX(Curves!$B$4:$AR$4,1,73-Projects!$C$32+1),0)+IF(AND(Projects!$G$33="Yes",Projects!$X$33="Yes",73&gt;=Projects!$C$33,73&lt;Projects!$C$33+Projects!$D$33),Projects!$B$33*INDEX(Curves!$B$4:$AR$4,1,73-Projects!$C$33+1),0)+IF(AND(Projects!$G$34="Yes",Projects!$X$34="Yes",73&gt;=Projects!$C$34,73&lt;Projects!$C$34+Projects!$D$34),Projects!$B$34*INDEX(Curves!$B$4:$AR$4,1,73-Projects!$C$34+1),0)+IF(AND(Projects!$G$35="Yes",Projects!$X$35="Yes",73&gt;=Projects!$C$35,73&lt;Projects!$C$35+Projects!$D$35),Projects!$B$35*INDEX(Curves!$B$4:$AR$4,1,73-Projects!$C$35+1),0)+IF(AND(Projects!$G$36="Yes",Projects!$X$36="Yes",73&gt;=Projects!$C$36,73&lt;Projects!$C$36+Projects!$D$36),Projects!$B$36*INDEX(Curves!$B$4:$AR$4,1,73-Projects!$C$36+1),0)+IF(AND(Projects!$G$37="Yes",Projects!$X$37="Yes",73&gt;=Projects!$C$37,73&lt;Projects!$C$37+Projects!$D$37),Projects!$B$37*INDEX(Curves!$B$4:$AR$4,1,73-Projects!$C$37+1),0)+IF(AND(Projects!$G$38="Yes",Projects!$X$38="Yes",73&gt;=Projects!$C$38,73&lt;Projects!$C$38+Projects!$D$38),Projects!$B$38*INDEX(Curves!$B$4:$AR$4,1,73-Projects!$C$38+1),0)+IF(AND(Projects!$G$39="Yes",Projects!$X$39="Yes",73&gt;=Projects!$C$39,73&lt;Projects!$C$39+Projects!$D$39),Projects!$B$39*INDEX(Curves!$B$4:$AR$4,1,73-Projects!$C$39+1),0)+IF(AND(Projects!$G$40="Yes",Projects!$X$40="Yes",73&gt;=Projects!$C$40,73&lt;Projects!$C$40+Projects!$D$40),Projects!$B$40*INDEX(Curves!$B$4:$AR$4,1,73-Projects!$C$40+1),0)+IF(AND(Projects!$G$41="Yes",Projects!$X$41="Yes",73&gt;=Projects!$C$41,73&lt;Projects!$C$41+Projects!$D$41),Projects!$B$41*INDEX(Curves!$B$4:$AR$4,1,73-Projects!$C$41+1),0)+IF(AND(Projects!$G$42="Yes",Projects!$X$42="Yes",73&gt;=Projects!$C$42,73&lt;Projects!$C$42+Projects!$D$42),Projects!$B$42*INDEX(Curves!$B$4:$AR$4,1,73-Projects!$C$42+1),0)+IF(AND(Projects!$G$43="Yes",Projects!$X$43="Yes",73&gt;=Projects!$C$43,73&lt;Projects!$C$43+Projects!$D$43),Projects!$B$43*INDEX(Curves!$B$4:$AR$4,1,73-Projects!$C$43+1),0)+IF(AND(Projects!$G$44="Yes",Projects!$X$44="Yes",73&gt;=Projects!$C$44,73&lt;Projects!$C$44+Projects!$D$44),Projects!$B$44*INDEX(Curves!$B$4:$AR$4,1,73-Projects!$C$44+1),0)+IF(AND(Projects!$G$45="Yes",Projects!$X$45="Yes",73&gt;=Projects!$C$45,73&lt;Projects!$C$45+Projects!$D$45),Projects!$B$45*INDEX(Curves!$B$4:$AR$4,1,73-Projects!$C$45+1),0)+IF(AND(Projects!$G$46="Yes",Projects!$X$46="Yes",73&gt;=Projects!$C$46,73&lt;Projects!$C$46+Projects!$D$46),Projects!$B$46*INDEX(Curves!$B$4:$AR$4,1,73-Projects!$C$46+1),0)</f>
        <v>0</v>
      </c>
      <c r="CA96" s="296" t="n">
        <f aca="false">IF(AND(Projects!$G$17="Yes",Projects!$X$17="Yes",74&gt;=Projects!$C$17,74&lt;Projects!$C$17+Projects!$D$17),Projects!$B$17*INDEX(Curves!$B$4:$AR$4,1,74-Projects!$C$17+1),0)+IF(AND(Projects!$G$18="Yes",Projects!$X$18="Yes",74&gt;=Projects!$C$18,74&lt;Projects!$C$18+Projects!$D$18),Projects!$B$18*INDEX(Curves!$B$4:$AR$4,1,74-Projects!$C$18+1),0)+IF(AND(Projects!$G$19="Yes",Projects!$X$19="Yes",74&gt;=Projects!$C$19,74&lt;Projects!$C$19+Projects!$D$19),Projects!$B$19*INDEX(Curves!$B$10:$AR$10,1,74-Projects!$C$19+1),0)+IF(AND(Projects!$G$20="Yes",Projects!$X$20="Yes",74&gt;=Projects!$C$20,74&lt;Projects!$C$20+Projects!$D$20),Projects!$B$20*INDEX(Curves!$B$4:$AR$4,1,74-Projects!$C$20+1),0)+IF(AND(Projects!$G$21="Yes",Projects!$X$21="Yes",74&gt;=Projects!$C$21,74&lt;Projects!$C$21+Projects!$D$21),Projects!$B$21*INDEX(Curves!$B$11:$AR$11,1,74-Projects!$C$21+1),0)+IF(AND(Projects!$G$22="Yes",Projects!$X$22="Yes",74&gt;=Projects!$C$22,74&lt;Projects!$C$22+Projects!$D$22),Projects!$B$22*INDEX(Curves!$B$4:$AR$4,1,74-Projects!$C$22+1),0)+IF(AND(Projects!$G$23="Yes",Projects!$X$23="Yes",74&gt;=Projects!$C$23,74&lt;Projects!$C$23+Projects!$D$23),Projects!$B$23*INDEX(Curves!$B$4:$AR$4,1,74-Projects!$C$23+1),0)+IF(AND(Projects!$G$24="Yes",Projects!$X$24="Yes",74&gt;=Projects!$C$24,74&lt;Projects!$C$24+Projects!$D$24),Projects!$B$24*INDEX(Curves!$B$4:$AR$4,1,74-Projects!$C$24+1),0)+IF(AND(Projects!$G$25="Yes",Projects!$X$25="Yes",74&gt;=Projects!$C$25,74&lt;Projects!$C$25+Projects!$D$25),Projects!$B$25*INDEX(Curves!$B$4:$AR$4,1,74-Projects!$C$25+1),0)+IF(AND(Projects!$G$26="Yes",Projects!$X$26="Yes",74&gt;=Projects!$C$26,74&lt;Projects!$C$26+Projects!$D$26),Projects!$B$26*INDEX(Curves!$B$4:$AR$4,1,74-Projects!$C$26+1),0)+IF(AND(Projects!$G$27="Yes",Projects!$X$27="Yes",74&gt;=Projects!$C$27,74&lt;Projects!$C$27+Projects!$D$27),Projects!$B$27*INDEX(Curves!$B$4:$AR$4,1,74-Projects!$C$27+1),0)+IF(AND(Projects!$G$28="Yes",Projects!$X$28="Yes",74&gt;=Projects!$C$28,74&lt;Projects!$C$28+Projects!$D$28),Projects!$B$28*INDEX(Curves!$B$4:$AR$4,1,74-Projects!$C$28+1),0)+IF(AND(Projects!$G$29="Yes",Projects!$X$29="Yes",74&gt;=Projects!$C$29,74&lt;Projects!$C$29+Projects!$D$29),Projects!$B$29*INDEX(Curves!$B$4:$AR$4,1,74-Projects!$C$29+1),0)+IF(AND(Projects!$G$30="Yes",Projects!$X$30="Yes",74&gt;=Projects!$C$30,74&lt;Projects!$C$30+Projects!$D$30),Projects!$B$30*INDEX(Curves!$B$4:$AR$4,1,74-Projects!$C$30+1),0)+IF(AND(Projects!$G$31="Yes",Projects!$X$31="Yes",74&gt;=Projects!$C$31,74&lt;Projects!$C$31+Projects!$D$31),Projects!$B$31*INDEX(Curves!$B$4:$AR$4,1,74-Projects!$C$31+1),0)+IF(AND(Projects!$G$32="Yes",Projects!$X$32="Yes",74&gt;=Projects!$C$32,74&lt;Projects!$C$32+Projects!$D$32),Projects!$B$32*INDEX(Curves!$B$4:$AR$4,1,74-Projects!$C$32+1),0)+IF(AND(Projects!$G$33="Yes",Projects!$X$33="Yes",74&gt;=Projects!$C$33,74&lt;Projects!$C$33+Projects!$D$33),Projects!$B$33*INDEX(Curves!$B$4:$AR$4,1,74-Projects!$C$33+1),0)+IF(AND(Projects!$G$34="Yes",Projects!$X$34="Yes",74&gt;=Projects!$C$34,74&lt;Projects!$C$34+Projects!$D$34),Projects!$B$34*INDEX(Curves!$B$4:$AR$4,1,74-Projects!$C$34+1),0)+IF(AND(Projects!$G$35="Yes",Projects!$X$35="Yes",74&gt;=Projects!$C$35,74&lt;Projects!$C$35+Projects!$D$35),Projects!$B$35*INDEX(Curves!$B$4:$AR$4,1,74-Projects!$C$35+1),0)+IF(AND(Projects!$G$36="Yes",Projects!$X$36="Yes",74&gt;=Projects!$C$36,74&lt;Projects!$C$36+Projects!$D$36),Projects!$B$36*INDEX(Curves!$B$4:$AR$4,1,74-Projects!$C$36+1),0)+IF(AND(Projects!$G$37="Yes",Projects!$X$37="Yes",74&gt;=Projects!$C$37,74&lt;Projects!$C$37+Projects!$D$37),Projects!$B$37*INDEX(Curves!$B$4:$AR$4,1,74-Projects!$C$37+1),0)+IF(AND(Projects!$G$38="Yes",Projects!$X$38="Yes",74&gt;=Projects!$C$38,74&lt;Projects!$C$38+Projects!$D$38),Projects!$B$38*INDEX(Curves!$B$4:$AR$4,1,74-Projects!$C$38+1),0)+IF(AND(Projects!$G$39="Yes",Projects!$X$39="Yes",74&gt;=Projects!$C$39,74&lt;Projects!$C$39+Projects!$D$39),Projects!$B$39*INDEX(Curves!$B$4:$AR$4,1,74-Projects!$C$39+1),0)+IF(AND(Projects!$G$40="Yes",Projects!$X$40="Yes",74&gt;=Projects!$C$40,74&lt;Projects!$C$40+Projects!$D$40),Projects!$B$40*INDEX(Curves!$B$4:$AR$4,1,74-Projects!$C$40+1),0)+IF(AND(Projects!$G$41="Yes",Projects!$X$41="Yes",74&gt;=Projects!$C$41,74&lt;Projects!$C$41+Projects!$D$41),Projects!$B$41*INDEX(Curves!$B$4:$AR$4,1,74-Projects!$C$41+1),0)+IF(AND(Projects!$G$42="Yes",Projects!$X$42="Yes",74&gt;=Projects!$C$42,74&lt;Projects!$C$42+Projects!$D$42),Projects!$B$42*INDEX(Curves!$B$4:$AR$4,1,74-Projects!$C$42+1),0)+IF(AND(Projects!$G$43="Yes",Projects!$X$43="Yes",74&gt;=Projects!$C$43,74&lt;Projects!$C$43+Projects!$D$43),Projects!$B$43*INDEX(Curves!$B$4:$AR$4,1,74-Projects!$C$43+1),0)+IF(AND(Projects!$G$44="Yes",Projects!$X$44="Yes",74&gt;=Projects!$C$44,74&lt;Projects!$C$44+Projects!$D$44),Projects!$B$44*INDEX(Curves!$B$4:$AR$4,1,74-Projects!$C$44+1),0)+IF(AND(Projects!$G$45="Yes",Projects!$X$45="Yes",74&gt;=Projects!$C$45,74&lt;Projects!$C$45+Projects!$D$45),Projects!$B$45*INDEX(Curves!$B$4:$AR$4,1,74-Projects!$C$45+1),0)+IF(AND(Projects!$G$46="Yes",Projects!$X$46="Yes",74&gt;=Projects!$C$46,74&lt;Projects!$C$46+Projects!$D$46),Projects!$B$46*INDEX(Curves!$B$4:$AR$4,1,74-Projects!$C$46+1),0)</f>
        <v>0</v>
      </c>
      <c r="CB96" s="296" t="n">
        <f aca="false">IF(AND(Projects!$G$17="Yes",Projects!$X$17="Yes",75&gt;=Projects!$C$17,75&lt;Projects!$C$17+Projects!$D$17),Projects!$B$17*INDEX(Curves!$B$4:$AR$4,1,75-Projects!$C$17+1),0)+IF(AND(Projects!$G$18="Yes",Projects!$X$18="Yes",75&gt;=Projects!$C$18,75&lt;Projects!$C$18+Projects!$D$18),Projects!$B$18*INDEX(Curves!$B$4:$AR$4,1,75-Projects!$C$18+1),0)+IF(AND(Projects!$G$19="Yes",Projects!$X$19="Yes",75&gt;=Projects!$C$19,75&lt;Projects!$C$19+Projects!$D$19),Projects!$B$19*INDEX(Curves!$B$10:$AR$10,1,75-Projects!$C$19+1),0)+IF(AND(Projects!$G$20="Yes",Projects!$X$20="Yes",75&gt;=Projects!$C$20,75&lt;Projects!$C$20+Projects!$D$20),Projects!$B$20*INDEX(Curves!$B$4:$AR$4,1,75-Projects!$C$20+1),0)+IF(AND(Projects!$G$21="Yes",Projects!$X$21="Yes",75&gt;=Projects!$C$21,75&lt;Projects!$C$21+Projects!$D$21),Projects!$B$21*INDEX(Curves!$B$11:$AR$11,1,75-Projects!$C$21+1),0)+IF(AND(Projects!$G$22="Yes",Projects!$X$22="Yes",75&gt;=Projects!$C$22,75&lt;Projects!$C$22+Projects!$D$22),Projects!$B$22*INDEX(Curves!$B$4:$AR$4,1,75-Projects!$C$22+1),0)+IF(AND(Projects!$G$23="Yes",Projects!$X$23="Yes",75&gt;=Projects!$C$23,75&lt;Projects!$C$23+Projects!$D$23),Projects!$B$23*INDEX(Curves!$B$4:$AR$4,1,75-Projects!$C$23+1),0)+IF(AND(Projects!$G$24="Yes",Projects!$X$24="Yes",75&gt;=Projects!$C$24,75&lt;Projects!$C$24+Projects!$D$24),Projects!$B$24*INDEX(Curves!$B$4:$AR$4,1,75-Projects!$C$24+1),0)+IF(AND(Projects!$G$25="Yes",Projects!$X$25="Yes",75&gt;=Projects!$C$25,75&lt;Projects!$C$25+Projects!$D$25),Projects!$B$25*INDEX(Curves!$B$4:$AR$4,1,75-Projects!$C$25+1),0)+IF(AND(Projects!$G$26="Yes",Projects!$X$26="Yes",75&gt;=Projects!$C$26,75&lt;Projects!$C$26+Projects!$D$26),Projects!$B$26*INDEX(Curves!$B$4:$AR$4,1,75-Projects!$C$26+1),0)+IF(AND(Projects!$G$27="Yes",Projects!$X$27="Yes",75&gt;=Projects!$C$27,75&lt;Projects!$C$27+Projects!$D$27),Projects!$B$27*INDEX(Curves!$B$4:$AR$4,1,75-Projects!$C$27+1),0)+IF(AND(Projects!$G$28="Yes",Projects!$X$28="Yes",75&gt;=Projects!$C$28,75&lt;Projects!$C$28+Projects!$D$28),Projects!$B$28*INDEX(Curves!$B$4:$AR$4,1,75-Projects!$C$28+1),0)+IF(AND(Projects!$G$29="Yes",Projects!$X$29="Yes",75&gt;=Projects!$C$29,75&lt;Projects!$C$29+Projects!$D$29),Projects!$B$29*INDEX(Curves!$B$4:$AR$4,1,75-Projects!$C$29+1),0)+IF(AND(Projects!$G$30="Yes",Projects!$X$30="Yes",75&gt;=Projects!$C$30,75&lt;Projects!$C$30+Projects!$D$30),Projects!$B$30*INDEX(Curves!$B$4:$AR$4,1,75-Projects!$C$30+1),0)+IF(AND(Projects!$G$31="Yes",Projects!$X$31="Yes",75&gt;=Projects!$C$31,75&lt;Projects!$C$31+Projects!$D$31),Projects!$B$31*INDEX(Curves!$B$4:$AR$4,1,75-Projects!$C$31+1),0)+IF(AND(Projects!$G$32="Yes",Projects!$X$32="Yes",75&gt;=Projects!$C$32,75&lt;Projects!$C$32+Projects!$D$32),Projects!$B$32*INDEX(Curves!$B$4:$AR$4,1,75-Projects!$C$32+1),0)+IF(AND(Projects!$G$33="Yes",Projects!$X$33="Yes",75&gt;=Projects!$C$33,75&lt;Projects!$C$33+Projects!$D$33),Projects!$B$33*INDEX(Curves!$B$4:$AR$4,1,75-Projects!$C$33+1),0)+IF(AND(Projects!$G$34="Yes",Projects!$X$34="Yes",75&gt;=Projects!$C$34,75&lt;Projects!$C$34+Projects!$D$34),Projects!$B$34*INDEX(Curves!$B$4:$AR$4,1,75-Projects!$C$34+1),0)+IF(AND(Projects!$G$35="Yes",Projects!$X$35="Yes",75&gt;=Projects!$C$35,75&lt;Projects!$C$35+Projects!$D$35),Projects!$B$35*INDEX(Curves!$B$4:$AR$4,1,75-Projects!$C$35+1),0)+IF(AND(Projects!$G$36="Yes",Projects!$X$36="Yes",75&gt;=Projects!$C$36,75&lt;Projects!$C$36+Projects!$D$36),Projects!$B$36*INDEX(Curves!$B$4:$AR$4,1,75-Projects!$C$36+1),0)+IF(AND(Projects!$G$37="Yes",Projects!$X$37="Yes",75&gt;=Projects!$C$37,75&lt;Projects!$C$37+Projects!$D$37),Projects!$B$37*INDEX(Curves!$B$4:$AR$4,1,75-Projects!$C$37+1),0)+IF(AND(Projects!$G$38="Yes",Projects!$X$38="Yes",75&gt;=Projects!$C$38,75&lt;Projects!$C$38+Projects!$D$38),Projects!$B$38*INDEX(Curves!$B$4:$AR$4,1,75-Projects!$C$38+1),0)+IF(AND(Projects!$G$39="Yes",Projects!$X$39="Yes",75&gt;=Projects!$C$39,75&lt;Projects!$C$39+Projects!$D$39),Projects!$B$39*INDEX(Curves!$B$4:$AR$4,1,75-Projects!$C$39+1),0)+IF(AND(Projects!$G$40="Yes",Projects!$X$40="Yes",75&gt;=Projects!$C$40,75&lt;Projects!$C$40+Projects!$D$40),Projects!$B$40*INDEX(Curves!$B$4:$AR$4,1,75-Projects!$C$40+1),0)+IF(AND(Projects!$G$41="Yes",Projects!$X$41="Yes",75&gt;=Projects!$C$41,75&lt;Projects!$C$41+Projects!$D$41),Projects!$B$41*INDEX(Curves!$B$4:$AR$4,1,75-Projects!$C$41+1),0)+IF(AND(Projects!$G$42="Yes",Projects!$X$42="Yes",75&gt;=Projects!$C$42,75&lt;Projects!$C$42+Projects!$D$42),Projects!$B$42*INDEX(Curves!$B$4:$AR$4,1,75-Projects!$C$42+1),0)+IF(AND(Projects!$G$43="Yes",Projects!$X$43="Yes",75&gt;=Projects!$C$43,75&lt;Projects!$C$43+Projects!$D$43),Projects!$B$43*INDEX(Curves!$B$4:$AR$4,1,75-Projects!$C$43+1),0)+IF(AND(Projects!$G$44="Yes",Projects!$X$44="Yes",75&gt;=Projects!$C$44,75&lt;Projects!$C$44+Projects!$D$44),Projects!$B$44*INDEX(Curves!$B$4:$AR$4,1,75-Projects!$C$44+1),0)+IF(AND(Projects!$G$45="Yes",Projects!$X$45="Yes",75&gt;=Projects!$C$45,75&lt;Projects!$C$45+Projects!$D$45),Projects!$B$45*INDEX(Curves!$B$4:$AR$4,1,75-Projects!$C$45+1),0)+IF(AND(Projects!$G$46="Yes",Projects!$X$46="Yes",75&gt;=Projects!$C$46,75&lt;Projects!$C$46+Projects!$D$46),Projects!$B$46*INDEX(Curves!$B$4:$AR$4,1,75-Projects!$C$46+1),0)</f>
        <v>0</v>
      </c>
      <c r="CC96" s="296" t="n">
        <f aca="false">IF(AND(Projects!$G$17="Yes",Projects!$X$17="Yes",76&gt;=Projects!$C$17,76&lt;Projects!$C$17+Projects!$D$17),Projects!$B$17*INDEX(Curves!$B$4:$AR$4,1,76-Projects!$C$17+1),0)+IF(AND(Projects!$G$18="Yes",Projects!$X$18="Yes",76&gt;=Projects!$C$18,76&lt;Projects!$C$18+Projects!$D$18),Projects!$B$18*INDEX(Curves!$B$4:$AR$4,1,76-Projects!$C$18+1),0)+IF(AND(Projects!$G$19="Yes",Projects!$X$19="Yes",76&gt;=Projects!$C$19,76&lt;Projects!$C$19+Projects!$D$19),Projects!$B$19*INDEX(Curves!$B$10:$AR$10,1,76-Projects!$C$19+1),0)+IF(AND(Projects!$G$20="Yes",Projects!$X$20="Yes",76&gt;=Projects!$C$20,76&lt;Projects!$C$20+Projects!$D$20),Projects!$B$20*INDEX(Curves!$B$4:$AR$4,1,76-Projects!$C$20+1),0)+IF(AND(Projects!$G$21="Yes",Projects!$X$21="Yes",76&gt;=Projects!$C$21,76&lt;Projects!$C$21+Projects!$D$21),Projects!$B$21*INDEX(Curves!$B$11:$AR$11,1,76-Projects!$C$21+1),0)+IF(AND(Projects!$G$22="Yes",Projects!$X$22="Yes",76&gt;=Projects!$C$22,76&lt;Projects!$C$22+Projects!$D$22),Projects!$B$22*INDEX(Curves!$B$4:$AR$4,1,76-Projects!$C$22+1),0)+IF(AND(Projects!$G$23="Yes",Projects!$X$23="Yes",76&gt;=Projects!$C$23,76&lt;Projects!$C$23+Projects!$D$23),Projects!$B$23*INDEX(Curves!$B$4:$AR$4,1,76-Projects!$C$23+1),0)+IF(AND(Projects!$G$24="Yes",Projects!$X$24="Yes",76&gt;=Projects!$C$24,76&lt;Projects!$C$24+Projects!$D$24),Projects!$B$24*INDEX(Curves!$B$4:$AR$4,1,76-Projects!$C$24+1),0)+IF(AND(Projects!$G$25="Yes",Projects!$X$25="Yes",76&gt;=Projects!$C$25,76&lt;Projects!$C$25+Projects!$D$25),Projects!$B$25*INDEX(Curves!$B$4:$AR$4,1,76-Projects!$C$25+1),0)+IF(AND(Projects!$G$26="Yes",Projects!$X$26="Yes",76&gt;=Projects!$C$26,76&lt;Projects!$C$26+Projects!$D$26),Projects!$B$26*INDEX(Curves!$B$4:$AR$4,1,76-Projects!$C$26+1),0)+IF(AND(Projects!$G$27="Yes",Projects!$X$27="Yes",76&gt;=Projects!$C$27,76&lt;Projects!$C$27+Projects!$D$27),Projects!$B$27*INDEX(Curves!$B$4:$AR$4,1,76-Projects!$C$27+1),0)+IF(AND(Projects!$G$28="Yes",Projects!$X$28="Yes",76&gt;=Projects!$C$28,76&lt;Projects!$C$28+Projects!$D$28),Projects!$B$28*INDEX(Curves!$B$4:$AR$4,1,76-Projects!$C$28+1),0)+IF(AND(Projects!$G$29="Yes",Projects!$X$29="Yes",76&gt;=Projects!$C$29,76&lt;Projects!$C$29+Projects!$D$29),Projects!$B$29*INDEX(Curves!$B$4:$AR$4,1,76-Projects!$C$29+1),0)+IF(AND(Projects!$G$30="Yes",Projects!$X$30="Yes",76&gt;=Projects!$C$30,76&lt;Projects!$C$30+Projects!$D$30),Projects!$B$30*INDEX(Curves!$B$4:$AR$4,1,76-Projects!$C$30+1),0)+IF(AND(Projects!$G$31="Yes",Projects!$X$31="Yes",76&gt;=Projects!$C$31,76&lt;Projects!$C$31+Projects!$D$31),Projects!$B$31*INDEX(Curves!$B$4:$AR$4,1,76-Projects!$C$31+1),0)+IF(AND(Projects!$G$32="Yes",Projects!$X$32="Yes",76&gt;=Projects!$C$32,76&lt;Projects!$C$32+Projects!$D$32),Projects!$B$32*INDEX(Curves!$B$4:$AR$4,1,76-Projects!$C$32+1),0)+IF(AND(Projects!$G$33="Yes",Projects!$X$33="Yes",76&gt;=Projects!$C$33,76&lt;Projects!$C$33+Projects!$D$33),Projects!$B$33*INDEX(Curves!$B$4:$AR$4,1,76-Projects!$C$33+1),0)+IF(AND(Projects!$G$34="Yes",Projects!$X$34="Yes",76&gt;=Projects!$C$34,76&lt;Projects!$C$34+Projects!$D$34),Projects!$B$34*INDEX(Curves!$B$4:$AR$4,1,76-Projects!$C$34+1),0)+IF(AND(Projects!$G$35="Yes",Projects!$X$35="Yes",76&gt;=Projects!$C$35,76&lt;Projects!$C$35+Projects!$D$35),Projects!$B$35*INDEX(Curves!$B$4:$AR$4,1,76-Projects!$C$35+1),0)+IF(AND(Projects!$G$36="Yes",Projects!$X$36="Yes",76&gt;=Projects!$C$36,76&lt;Projects!$C$36+Projects!$D$36),Projects!$B$36*INDEX(Curves!$B$4:$AR$4,1,76-Projects!$C$36+1),0)+IF(AND(Projects!$G$37="Yes",Projects!$X$37="Yes",76&gt;=Projects!$C$37,76&lt;Projects!$C$37+Projects!$D$37),Projects!$B$37*INDEX(Curves!$B$4:$AR$4,1,76-Projects!$C$37+1),0)+IF(AND(Projects!$G$38="Yes",Projects!$X$38="Yes",76&gt;=Projects!$C$38,76&lt;Projects!$C$38+Projects!$D$38),Projects!$B$38*INDEX(Curves!$B$4:$AR$4,1,76-Projects!$C$38+1),0)+IF(AND(Projects!$G$39="Yes",Projects!$X$39="Yes",76&gt;=Projects!$C$39,76&lt;Projects!$C$39+Projects!$D$39),Projects!$B$39*INDEX(Curves!$B$4:$AR$4,1,76-Projects!$C$39+1),0)+IF(AND(Projects!$G$40="Yes",Projects!$X$40="Yes",76&gt;=Projects!$C$40,76&lt;Projects!$C$40+Projects!$D$40),Projects!$B$40*INDEX(Curves!$B$4:$AR$4,1,76-Projects!$C$40+1),0)+IF(AND(Projects!$G$41="Yes",Projects!$X$41="Yes",76&gt;=Projects!$C$41,76&lt;Projects!$C$41+Projects!$D$41),Projects!$B$41*INDEX(Curves!$B$4:$AR$4,1,76-Projects!$C$41+1),0)+IF(AND(Projects!$G$42="Yes",Projects!$X$42="Yes",76&gt;=Projects!$C$42,76&lt;Projects!$C$42+Projects!$D$42),Projects!$B$42*INDEX(Curves!$B$4:$AR$4,1,76-Projects!$C$42+1),0)+IF(AND(Projects!$G$43="Yes",Projects!$X$43="Yes",76&gt;=Projects!$C$43,76&lt;Projects!$C$43+Projects!$D$43),Projects!$B$43*INDEX(Curves!$B$4:$AR$4,1,76-Projects!$C$43+1),0)+IF(AND(Projects!$G$44="Yes",Projects!$X$44="Yes",76&gt;=Projects!$C$44,76&lt;Projects!$C$44+Projects!$D$44),Projects!$B$44*INDEX(Curves!$B$4:$AR$4,1,76-Projects!$C$44+1),0)+IF(AND(Projects!$G$45="Yes",Projects!$X$45="Yes",76&gt;=Projects!$C$45,76&lt;Projects!$C$45+Projects!$D$45),Projects!$B$45*INDEX(Curves!$B$4:$AR$4,1,76-Projects!$C$45+1),0)+IF(AND(Projects!$G$46="Yes",Projects!$X$46="Yes",76&gt;=Projects!$C$46,76&lt;Projects!$C$46+Projects!$D$46),Projects!$B$46*INDEX(Curves!$B$4:$AR$4,1,76-Projects!$C$46+1),0)</f>
        <v>0</v>
      </c>
      <c r="CD96" s="296" t="n">
        <f aca="false">IF(AND(Projects!$G$17="Yes",Projects!$X$17="Yes",77&gt;=Projects!$C$17,77&lt;Projects!$C$17+Projects!$D$17),Projects!$B$17*INDEX(Curves!$B$4:$AR$4,1,77-Projects!$C$17+1),0)+IF(AND(Projects!$G$18="Yes",Projects!$X$18="Yes",77&gt;=Projects!$C$18,77&lt;Projects!$C$18+Projects!$D$18),Projects!$B$18*INDEX(Curves!$B$4:$AR$4,1,77-Projects!$C$18+1),0)+IF(AND(Projects!$G$19="Yes",Projects!$X$19="Yes",77&gt;=Projects!$C$19,77&lt;Projects!$C$19+Projects!$D$19),Projects!$B$19*INDEX(Curves!$B$10:$AR$10,1,77-Projects!$C$19+1),0)+IF(AND(Projects!$G$20="Yes",Projects!$X$20="Yes",77&gt;=Projects!$C$20,77&lt;Projects!$C$20+Projects!$D$20),Projects!$B$20*INDEX(Curves!$B$4:$AR$4,1,77-Projects!$C$20+1),0)+IF(AND(Projects!$G$21="Yes",Projects!$X$21="Yes",77&gt;=Projects!$C$21,77&lt;Projects!$C$21+Projects!$D$21),Projects!$B$21*INDEX(Curves!$B$11:$AR$11,1,77-Projects!$C$21+1),0)+IF(AND(Projects!$G$22="Yes",Projects!$X$22="Yes",77&gt;=Projects!$C$22,77&lt;Projects!$C$22+Projects!$D$22),Projects!$B$22*INDEX(Curves!$B$4:$AR$4,1,77-Projects!$C$22+1),0)+IF(AND(Projects!$G$23="Yes",Projects!$X$23="Yes",77&gt;=Projects!$C$23,77&lt;Projects!$C$23+Projects!$D$23),Projects!$B$23*INDEX(Curves!$B$4:$AR$4,1,77-Projects!$C$23+1),0)+IF(AND(Projects!$G$24="Yes",Projects!$X$24="Yes",77&gt;=Projects!$C$24,77&lt;Projects!$C$24+Projects!$D$24),Projects!$B$24*INDEX(Curves!$B$4:$AR$4,1,77-Projects!$C$24+1),0)+IF(AND(Projects!$G$25="Yes",Projects!$X$25="Yes",77&gt;=Projects!$C$25,77&lt;Projects!$C$25+Projects!$D$25),Projects!$B$25*INDEX(Curves!$B$4:$AR$4,1,77-Projects!$C$25+1),0)+IF(AND(Projects!$G$26="Yes",Projects!$X$26="Yes",77&gt;=Projects!$C$26,77&lt;Projects!$C$26+Projects!$D$26),Projects!$B$26*INDEX(Curves!$B$4:$AR$4,1,77-Projects!$C$26+1),0)+IF(AND(Projects!$G$27="Yes",Projects!$X$27="Yes",77&gt;=Projects!$C$27,77&lt;Projects!$C$27+Projects!$D$27),Projects!$B$27*INDEX(Curves!$B$4:$AR$4,1,77-Projects!$C$27+1),0)+IF(AND(Projects!$G$28="Yes",Projects!$X$28="Yes",77&gt;=Projects!$C$28,77&lt;Projects!$C$28+Projects!$D$28),Projects!$B$28*INDEX(Curves!$B$4:$AR$4,1,77-Projects!$C$28+1),0)+IF(AND(Projects!$G$29="Yes",Projects!$X$29="Yes",77&gt;=Projects!$C$29,77&lt;Projects!$C$29+Projects!$D$29),Projects!$B$29*INDEX(Curves!$B$4:$AR$4,1,77-Projects!$C$29+1),0)+IF(AND(Projects!$G$30="Yes",Projects!$X$30="Yes",77&gt;=Projects!$C$30,77&lt;Projects!$C$30+Projects!$D$30),Projects!$B$30*INDEX(Curves!$B$4:$AR$4,1,77-Projects!$C$30+1),0)+IF(AND(Projects!$G$31="Yes",Projects!$X$31="Yes",77&gt;=Projects!$C$31,77&lt;Projects!$C$31+Projects!$D$31),Projects!$B$31*INDEX(Curves!$B$4:$AR$4,1,77-Projects!$C$31+1),0)+IF(AND(Projects!$G$32="Yes",Projects!$X$32="Yes",77&gt;=Projects!$C$32,77&lt;Projects!$C$32+Projects!$D$32),Projects!$B$32*INDEX(Curves!$B$4:$AR$4,1,77-Projects!$C$32+1),0)+IF(AND(Projects!$G$33="Yes",Projects!$X$33="Yes",77&gt;=Projects!$C$33,77&lt;Projects!$C$33+Projects!$D$33),Projects!$B$33*INDEX(Curves!$B$4:$AR$4,1,77-Projects!$C$33+1),0)+IF(AND(Projects!$G$34="Yes",Projects!$X$34="Yes",77&gt;=Projects!$C$34,77&lt;Projects!$C$34+Projects!$D$34),Projects!$B$34*INDEX(Curves!$B$4:$AR$4,1,77-Projects!$C$34+1),0)+IF(AND(Projects!$G$35="Yes",Projects!$X$35="Yes",77&gt;=Projects!$C$35,77&lt;Projects!$C$35+Projects!$D$35),Projects!$B$35*INDEX(Curves!$B$4:$AR$4,1,77-Projects!$C$35+1),0)+IF(AND(Projects!$G$36="Yes",Projects!$X$36="Yes",77&gt;=Projects!$C$36,77&lt;Projects!$C$36+Projects!$D$36),Projects!$B$36*INDEX(Curves!$B$4:$AR$4,1,77-Projects!$C$36+1),0)+IF(AND(Projects!$G$37="Yes",Projects!$X$37="Yes",77&gt;=Projects!$C$37,77&lt;Projects!$C$37+Projects!$D$37),Projects!$B$37*INDEX(Curves!$B$4:$AR$4,1,77-Projects!$C$37+1),0)+IF(AND(Projects!$G$38="Yes",Projects!$X$38="Yes",77&gt;=Projects!$C$38,77&lt;Projects!$C$38+Projects!$D$38),Projects!$B$38*INDEX(Curves!$B$4:$AR$4,1,77-Projects!$C$38+1),0)+IF(AND(Projects!$G$39="Yes",Projects!$X$39="Yes",77&gt;=Projects!$C$39,77&lt;Projects!$C$39+Projects!$D$39),Projects!$B$39*INDEX(Curves!$B$4:$AR$4,1,77-Projects!$C$39+1),0)+IF(AND(Projects!$G$40="Yes",Projects!$X$40="Yes",77&gt;=Projects!$C$40,77&lt;Projects!$C$40+Projects!$D$40),Projects!$B$40*INDEX(Curves!$B$4:$AR$4,1,77-Projects!$C$40+1),0)+IF(AND(Projects!$G$41="Yes",Projects!$X$41="Yes",77&gt;=Projects!$C$41,77&lt;Projects!$C$41+Projects!$D$41),Projects!$B$41*INDEX(Curves!$B$4:$AR$4,1,77-Projects!$C$41+1),0)+IF(AND(Projects!$G$42="Yes",Projects!$X$42="Yes",77&gt;=Projects!$C$42,77&lt;Projects!$C$42+Projects!$D$42),Projects!$B$42*INDEX(Curves!$B$4:$AR$4,1,77-Projects!$C$42+1),0)+IF(AND(Projects!$G$43="Yes",Projects!$X$43="Yes",77&gt;=Projects!$C$43,77&lt;Projects!$C$43+Projects!$D$43),Projects!$B$43*INDEX(Curves!$B$4:$AR$4,1,77-Projects!$C$43+1),0)+IF(AND(Projects!$G$44="Yes",Projects!$X$44="Yes",77&gt;=Projects!$C$44,77&lt;Projects!$C$44+Projects!$D$44),Projects!$B$44*INDEX(Curves!$B$4:$AR$4,1,77-Projects!$C$44+1),0)+IF(AND(Projects!$G$45="Yes",Projects!$X$45="Yes",77&gt;=Projects!$C$45,77&lt;Projects!$C$45+Projects!$D$45),Projects!$B$45*INDEX(Curves!$B$4:$AR$4,1,77-Projects!$C$45+1),0)+IF(AND(Projects!$G$46="Yes",Projects!$X$46="Yes",77&gt;=Projects!$C$46,77&lt;Projects!$C$46+Projects!$D$46),Projects!$B$46*INDEX(Curves!$B$4:$AR$4,1,77-Projects!$C$46+1),0)</f>
        <v>0</v>
      </c>
      <c r="CE96" s="296" t="n">
        <f aca="false">IF(AND(Projects!$G$17="Yes",Projects!$X$17="Yes",78&gt;=Projects!$C$17,78&lt;Projects!$C$17+Projects!$D$17),Projects!$B$17*INDEX(Curves!$B$4:$AR$4,1,78-Projects!$C$17+1),0)+IF(AND(Projects!$G$18="Yes",Projects!$X$18="Yes",78&gt;=Projects!$C$18,78&lt;Projects!$C$18+Projects!$D$18),Projects!$B$18*INDEX(Curves!$B$4:$AR$4,1,78-Projects!$C$18+1),0)+IF(AND(Projects!$G$19="Yes",Projects!$X$19="Yes",78&gt;=Projects!$C$19,78&lt;Projects!$C$19+Projects!$D$19),Projects!$B$19*INDEX(Curves!$B$10:$AR$10,1,78-Projects!$C$19+1),0)+IF(AND(Projects!$G$20="Yes",Projects!$X$20="Yes",78&gt;=Projects!$C$20,78&lt;Projects!$C$20+Projects!$D$20),Projects!$B$20*INDEX(Curves!$B$4:$AR$4,1,78-Projects!$C$20+1),0)+IF(AND(Projects!$G$21="Yes",Projects!$X$21="Yes",78&gt;=Projects!$C$21,78&lt;Projects!$C$21+Projects!$D$21),Projects!$B$21*INDEX(Curves!$B$11:$AR$11,1,78-Projects!$C$21+1),0)+IF(AND(Projects!$G$22="Yes",Projects!$X$22="Yes",78&gt;=Projects!$C$22,78&lt;Projects!$C$22+Projects!$D$22),Projects!$B$22*INDEX(Curves!$B$4:$AR$4,1,78-Projects!$C$22+1),0)+IF(AND(Projects!$G$23="Yes",Projects!$X$23="Yes",78&gt;=Projects!$C$23,78&lt;Projects!$C$23+Projects!$D$23),Projects!$B$23*INDEX(Curves!$B$4:$AR$4,1,78-Projects!$C$23+1),0)+IF(AND(Projects!$G$24="Yes",Projects!$X$24="Yes",78&gt;=Projects!$C$24,78&lt;Projects!$C$24+Projects!$D$24),Projects!$B$24*INDEX(Curves!$B$4:$AR$4,1,78-Projects!$C$24+1),0)+IF(AND(Projects!$G$25="Yes",Projects!$X$25="Yes",78&gt;=Projects!$C$25,78&lt;Projects!$C$25+Projects!$D$25),Projects!$B$25*INDEX(Curves!$B$4:$AR$4,1,78-Projects!$C$25+1),0)+IF(AND(Projects!$G$26="Yes",Projects!$X$26="Yes",78&gt;=Projects!$C$26,78&lt;Projects!$C$26+Projects!$D$26),Projects!$B$26*INDEX(Curves!$B$4:$AR$4,1,78-Projects!$C$26+1),0)+IF(AND(Projects!$G$27="Yes",Projects!$X$27="Yes",78&gt;=Projects!$C$27,78&lt;Projects!$C$27+Projects!$D$27),Projects!$B$27*INDEX(Curves!$B$4:$AR$4,1,78-Projects!$C$27+1),0)+IF(AND(Projects!$G$28="Yes",Projects!$X$28="Yes",78&gt;=Projects!$C$28,78&lt;Projects!$C$28+Projects!$D$28),Projects!$B$28*INDEX(Curves!$B$4:$AR$4,1,78-Projects!$C$28+1),0)+IF(AND(Projects!$G$29="Yes",Projects!$X$29="Yes",78&gt;=Projects!$C$29,78&lt;Projects!$C$29+Projects!$D$29),Projects!$B$29*INDEX(Curves!$B$4:$AR$4,1,78-Projects!$C$29+1),0)+IF(AND(Projects!$G$30="Yes",Projects!$X$30="Yes",78&gt;=Projects!$C$30,78&lt;Projects!$C$30+Projects!$D$30),Projects!$B$30*INDEX(Curves!$B$4:$AR$4,1,78-Projects!$C$30+1),0)+IF(AND(Projects!$G$31="Yes",Projects!$X$31="Yes",78&gt;=Projects!$C$31,78&lt;Projects!$C$31+Projects!$D$31),Projects!$B$31*INDEX(Curves!$B$4:$AR$4,1,78-Projects!$C$31+1),0)+IF(AND(Projects!$G$32="Yes",Projects!$X$32="Yes",78&gt;=Projects!$C$32,78&lt;Projects!$C$32+Projects!$D$32),Projects!$B$32*INDEX(Curves!$B$4:$AR$4,1,78-Projects!$C$32+1),0)+IF(AND(Projects!$G$33="Yes",Projects!$X$33="Yes",78&gt;=Projects!$C$33,78&lt;Projects!$C$33+Projects!$D$33),Projects!$B$33*INDEX(Curves!$B$4:$AR$4,1,78-Projects!$C$33+1),0)+IF(AND(Projects!$G$34="Yes",Projects!$X$34="Yes",78&gt;=Projects!$C$34,78&lt;Projects!$C$34+Projects!$D$34),Projects!$B$34*INDEX(Curves!$B$4:$AR$4,1,78-Projects!$C$34+1),0)+IF(AND(Projects!$G$35="Yes",Projects!$X$35="Yes",78&gt;=Projects!$C$35,78&lt;Projects!$C$35+Projects!$D$35),Projects!$B$35*INDEX(Curves!$B$4:$AR$4,1,78-Projects!$C$35+1),0)+IF(AND(Projects!$G$36="Yes",Projects!$X$36="Yes",78&gt;=Projects!$C$36,78&lt;Projects!$C$36+Projects!$D$36),Projects!$B$36*INDEX(Curves!$B$4:$AR$4,1,78-Projects!$C$36+1),0)+IF(AND(Projects!$G$37="Yes",Projects!$X$37="Yes",78&gt;=Projects!$C$37,78&lt;Projects!$C$37+Projects!$D$37),Projects!$B$37*INDEX(Curves!$B$4:$AR$4,1,78-Projects!$C$37+1),0)+IF(AND(Projects!$G$38="Yes",Projects!$X$38="Yes",78&gt;=Projects!$C$38,78&lt;Projects!$C$38+Projects!$D$38),Projects!$B$38*INDEX(Curves!$B$4:$AR$4,1,78-Projects!$C$38+1),0)+IF(AND(Projects!$G$39="Yes",Projects!$X$39="Yes",78&gt;=Projects!$C$39,78&lt;Projects!$C$39+Projects!$D$39),Projects!$B$39*INDEX(Curves!$B$4:$AR$4,1,78-Projects!$C$39+1),0)+IF(AND(Projects!$G$40="Yes",Projects!$X$40="Yes",78&gt;=Projects!$C$40,78&lt;Projects!$C$40+Projects!$D$40),Projects!$B$40*INDEX(Curves!$B$4:$AR$4,1,78-Projects!$C$40+1),0)+IF(AND(Projects!$G$41="Yes",Projects!$X$41="Yes",78&gt;=Projects!$C$41,78&lt;Projects!$C$41+Projects!$D$41),Projects!$B$41*INDEX(Curves!$B$4:$AR$4,1,78-Projects!$C$41+1),0)+IF(AND(Projects!$G$42="Yes",Projects!$X$42="Yes",78&gt;=Projects!$C$42,78&lt;Projects!$C$42+Projects!$D$42),Projects!$B$42*INDEX(Curves!$B$4:$AR$4,1,78-Projects!$C$42+1),0)+IF(AND(Projects!$G$43="Yes",Projects!$X$43="Yes",78&gt;=Projects!$C$43,78&lt;Projects!$C$43+Projects!$D$43),Projects!$B$43*INDEX(Curves!$B$4:$AR$4,1,78-Projects!$C$43+1),0)+IF(AND(Projects!$G$44="Yes",Projects!$X$44="Yes",78&gt;=Projects!$C$44,78&lt;Projects!$C$44+Projects!$D$44),Projects!$B$44*INDEX(Curves!$B$4:$AR$4,1,78-Projects!$C$44+1),0)+IF(AND(Projects!$G$45="Yes",Projects!$X$45="Yes",78&gt;=Projects!$C$45,78&lt;Projects!$C$45+Projects!$D$45),Projects!$B$45*INDEX(Curves!$B$4:$AR$4,1,78-Projects!$C$45+1),0)+IF(AND(Projects!$G$46="Yes",Projects!$X$46="Yes",78&gt;=Projects!$C$46,78&lt;Projects!$C$46+Projects!$D$46),Projects!$B$46*INDEX(Curves!$B$4:$AR$4,1,78-Projects!$C$46+1),0)</f>
        <v>0</v>
      </c>
      <c r="CF96" s="296" t="n">
        <f aca="false">IF(AND(Projects!$G$17="Yes",Projects!$X$17="Yes",79&gt;=Projects!$C$17,79&lt;Projects!$C$17+Projects!$D$17),Projects!$B$17*INDEX(Curves!$B$4:$AR$4,1,79-Projects!$C$17+1),0)+IF(AND(Projects!$G$18="Yes",Projects!$X$18="Yes",79&gt;=Projects!$C$18,79&lt;Projects!$C$18+Projects!$D$18),Projects!$B$18*INDEX(Curves!$B$4:$AR$4,1,79-Projects!$C$18+1),0)+IF(AND(Projects!$G$19="Yes",Projects!$X$19="Yes",79&gt;=Projects!$C$19,79&lt;Projects!$C$19+Projects!$D$19),Projects!$B$19*INDEX(Curves!$B$10:$AR$10,1,79-Projects!$C$19+1),0)+IF(AND(Projects!$G$20="Yes",Projects!$X$20="Yes",79&gt;=Projects!$C$20,79&lt;Projects!$C$20+Projects!$D$20),Projects!$B$20*INDEX(Curves!$B$4:$AR$4,1,79-Projects!$C$20+1),0)+IF(AND(Projects!$G$21="Yes",Projects!$X$21="Yes",79&gt;=Projects!$C$21,79&lt;Projects!$C$21+Projects!$D$21),Projects!$B$21*INDEX(Curves!$B$11:$AR$11,1,79-Projects!$C$21+1),0)+IF(AND(Projects!$G$22="Yes",Projects!$X$22="Yes",79&gt;=Projects!$C$22,79&lt;Projects!$C$22+Projects!$D$22),Projects!$B$22*INDEX(Curves!$B$4:$AR$4,1,79-Projects!$C$22+1),0)+IF(AND(Projects!$G$23="Yes",Projects!$X$23="Yes",79&gt;=Projects!$C$23,79&lt;Projects!$C$23+Projects!$D$23),Projects!$B$23*INDEX(Curves!$B$4:$AR$4,1,79-Projects!$C$23+1),0)+IF(AND(Projects!$G$24="Yes",Projects!$X$24="Yes",79&gt;=Projects!$C$24,79&lt;Projects!$C$24+Projects!$D$24),Projects!$B$24*INDEX(Curves!$B$4:$AR$4,1,79-Projects!$C$24+1),0)+IF(AND(Projects!$G$25="Yes",Projects!$X$25="Yes",79&gt;=Projects!$C$25,79&lt;Projects!$C$25+Projects!$D$25),Projects!$B$25*INDEX(Curves!$B$4:$AR$4,1,79-Projects!$C$25+1),0)+IF(AND(Projects!$G$26="Yes",Projects!$X$26="Yes",79&gt;=Projects!$C$26,79&lt;Projects!$C$26+Projects!$D$26),Projects!$B$26*INDEX(Curves!$B$4:$AR$4,1,79-Projects!$C$26+1),0)+IF(AND(Projects!$G$27="Yes",Projects!$X$27="Yes",79&gt;=Projects!$C$27,79&lt;Projects!$C$27+Projects!$D$27),Projects!$B$27*INDEX(Curves!$B$4:$AR$4,1,79-Projects!$C$27+1),0)+IF(AND(Projects!$G$28="Yes",Projects!$X$28="Yes",79&gt;=Projects!$C$28,79&lt;Projects!$C$28+Projects!$D$28),Projects!$B$28*INDEX(Curves!$B$4:$AR$4,1,79-Projects!$C$28+1),0)+IF(AND(Projects!$G$29="Yes",Projects!$X$29="Yes",79&gt;=Projects!$C$29,79&lt;Projects!$C$29+Projects!$D$29),Projects!$B$29*INDEX(Curves!$B$4:$AR$4,1,79-Projects!$C$29+1),0)+IF(AND(Projects!$G$30="Yes",Projects!$X$30="Yes",79&gt;=Projects!$C$30,79&lt;Projects!$C$30+Projects!$D$30),Projects!$B$30*INDEX(Curves!$B$4:$AR$4,1,79-Projects!$C$30+1),0)+IF(AND(Projects!$G$31="Yes",Projects!$X$31="Yes",79&gt;=Projects!$C$31,79&lt;Projects!$C$31+Projects!$D$31),Projects!$B$31*INDEX(Curves!$B$4:$AR$4,1,79-Projects!$C$31+1),0)+IF(AND(Projects!$G$32="Yes",Projects!$X$32="Yes",79&gt;=Projects!$C$32,79&lt;Projects!$C$32+Projects!$D$32),Projects!$B$32*INDEX(Curves!$B$4:$AR$4,1,79-Projects!$C$32+1),0)+IF(AND(Projects!$G$33="Yes",Projects!$X$33="Yes",79&gt;=Projects!$C$33,79&lt;Projects!$C$33+Projects!$D$33),Projects!$B$33*INDEX(Curves!$B$4:$AR$4,1,79-Projects!$C$33+1),0)+IF(AND(Projects!$G$34="Yes",Projects!$X$34="Yes",79&gt;=Projects!$C$34,79&lt;Projects!$C$34+Projects!$D$34),Projects!$B$34*INDEX(Curves!$B$4:$AR$4,1,79-Projects!$C$34+1),0)+IF(AND(Projects!$G$35="Yes",Projects!$X$35="Yes",79&gt;=Projects!$C$35,79&lt;Projects!$C$35+Projects!$D$35),Projects!$B$35*INDEX(Curves!$B$4:$AR$4,1,79-Projects!$C$35+1),0)+IF(AND(Projects!$G$36="Yes",Projects!$X$36="Yes",79&gt;=Projects!$C$36,79&lt;Projects!$C$36+Projects!$D$36),Projects!$B$36*INDEX(Curves!$B$4:$AR$4,1,79-Projects!$C$36+1),0)+IF(AND(Projects!$G$37="Yes",Projects!$X$37="Yes",79&gt;=Projects!$C$37,79&lt;Projects!$C$37+Projects!$D$37),Projects!$B$37*INDEX(Curves!$B$4:$AR$4,1,79-Projects!$C$37+1),0)+IF(AND(Projects!$G$38="Yes",Projects!$X$38="Yes",79&gt;=Projects!$C$38,79&lt;Projects!$C$38+Projects!$D$38),Projects!$B$38*INDEX(Curves!$B$4:$AR$4,1,79-Projects!$C$38+1),0)+IF(AND(Projects!$G$39="Yes",Projects!$X$39="Yes",79&gt;=Projects!$C$39,79&lt;Projects!$C$39+Projects!$D$39),Projects!$B$39*INDEX(Curves!$B$4:$AR$4,1,79-Projects!$C$39+1),0)+IF(AND(Projects!$G$40="Yes",Projects!$X$40="Yes",79&gt;=Projects!$C$40,79&lt;Projects!$C$40+Projects!$D$40),Projects!$B$40*INDEX(Curves!$B$4:$AR$4,1,79-Projects!$C$40+1),0)+IF(AND(Projects!$G$41="Yes",Projects!$X$41="Yes",79&gt;=Projects!$C$41,79&lt;Projects!$C$41+Projects!$D$41),Projects!$B$41*INDEX(Curves!$B$4:$AR$4,1,79-Projects!$C$41+1),0)+IF(AND(Projects!$G$42="Yes",Projects!$X$42="Yes",79&gt;=Projects!$C$42,79&lt;Projects!$C$42+Projects!$D$42),Projects!$B$42*INDEX(Curves!$B$4:$AR$4,1,79-Projects!$C$42+1),0)+IF(AND(Projects!$G$43="Yes",Projects!$X$43="Yes",79&gt;=Projects!$C$43,79&lt;Projects!$C$43+Projects!$D$43),Projects!$B$43*INDEX(Curves!$B$4:$AR$4,1,79-Projects!$C$43+1),0)+IF(AND(Projects!$G$44="Yes",Projects!$X$44="Yes",79&gt;=Projects!$C$44,79&lt;Projects!$C$44+Projects!$D$44),Projects!$B$44*INDEX(Curves!$B$4:$AR$4,1,79-Projects!$C$44+1),0)+IF(AND(Projects!$G$45="Yes",Projects!$X$45="Yes",79&gt;=Projects!$C$45,79&lt;Projects!$C$45+Projects!$D$45),Projects!$B$45*INDEX(Curves!$B$4:$AR$4,1,79-Projects!$C$45+1),0)+IF(AND(Projects!$G$46="Yes",Projects!$X$46="Yes",79&gt;=Projects!$C$46,79&lt;Projects!$C$46+Projects!$D$46),Projects!$B$46*INDEX(Curves!$B$4:$AR$4,1,79-Projects!$C$46+1),0)</f>
        <v>0</v>
      </c>
      <c r="CG96" s="296" t="n">
        <f aca="false">IF(AND(Projects!$G$17="Yes",Projects!$X$17="Yes",80&gt;=Projects!$C$17,80&lt;Projects!$C$17+Projects!$D$17),Projects!$B$17*INDEX(Curves!$B$4:$AR$4,1,80-Projects!$C$17+1),0)+IF(AND(Projects!$G$18="Yes",Projects!$X$18="Yes",80&gt;=Projects!$C$18,80&lt;Projects!$C$18+Projects!$D$18),Projects!$B$18*INDEX(Curves!$B$4:$AR$4,1,80-Projects!$C$18+1),0)+IF(AND(Projects!$G$19="Yes",Projects!$X$19="Yes",80&gt;=Projects!$C$19,80&lt;Projects!$C$19+Projects!$D$19),Projects!$B$19*INDEX(Curves!$B$10:$AR$10,1,80-Projects!$C$19+1),0)+IF(AND(Projects!$G$20="Yes",Projects!$X$20="Yes",80&gt;=Projects!$C$20,80&lt;Projects!$C$20+Projects!$D$20),Projects!$B$20*INDEX(Curves!$B$4:$AR$4,1,80-Projects!$C$20+1),0)+IF(AND(Projects!$G$21="Yes",Projects!$X$21="Yes",80&gt;=Projects!$C$21,80&lt;Projects!$C$21+Projects!$D$21),Projects!$B$21*INDEX(Curves!$B$11:$AR$11,1,80-Projects!$C$21+1),0)+IF(AND(Projects!$G$22="Yes",Projects!$X$22="Yes",80&gt;=Projects!$C$22,80&lt;Projects!$C$22+Projects!$D$22),Projects!$B$22*INDEX(Curves!$B$4:$AR$4,1,80-Projects!$C$22+1),0)+IF(AND(Projects!$G$23="Yes",Projects!$X$23="Yes",80&gt;=Projects!$C$23,80&lt;Projects!$C$23+Projects!$D$23),Projects!$B$23*INDEX(Curves!$B$4:$AR$4,1,80-Projects!$C$23+1),0)+IF(AND(Projects!$G$24="Yes",Projects!$X$24="Yes",80&gt;=Projects!$C$24,80&lt;Projects!$C$24+Projects!$D$24),Projects!$B$24*INDEX(Curves!$B$4:$AR$4,1,80-Projects!$C$24+1),0)+IF(AND(Projects!$G$25="Yes",Projects!$X$25="Yes",80&gt;=Projects!$C$25,80&lt;Projects!$C$25+Projects!$D$25),Projects!$B$25*INDEX(Curves!$B$4:$AR$4,1,80-Projects!$C$25+1),0)+IF(AND(Projects!$G$26="Yes",Projects!$X$26="Yes",80&gt;=Projects!$C$26,80&lt;Projects!$C$26+Projects!$D$26),Projects!$B$26*INDEX(Curves!$B$4:$AR$4,1,80-Projects!$C$26+1),0)+IF(AND(Projects!$G$27="Yes",Projects!$X$27="Yes",80&gt;=Projects!$C$27,80&lt;Projects!$C$27+Projects!$D$27),Projects!$B$27*INDEX(Curves!$B$4:$AR$4,1,80-Projects!$C$27+1),0)+IF(AND(Projects!$G$28="Yes",Projects!$X$28="Yes",80&gt;=Projects!$C$28,80&lt;Projects!$C$28+Projects!$D$28),Projects!$B$28*INDEX(Curves!$B$4:$AR$4,1,80-Projects!$C$28+1),0)+IF(AND(Projects!$G$29="Yes",Projects!$X$29="Yes",80&gt;=Projects!$C$29,80&lt;Projects!$C$29+Projects!$D$29),Projects!$B$29*INDEX(Curves!$B$4:$AR$4,1,80-Projects!$C$29+1),0)+IF(AND(Projects!$G$30="Yes",Projects!$X$30="Yes",80&gt;=Projects!$C$30,80&lt;Projects!$C$30+Projects!$D$30),Projects!$B$30*INDEX(Curves!$B$4:$AR$4,1,80-Projects!$C$30+1),0)+IF(AND(Projects!$G$31="Yes",Projects!$X$31="Yes",80&gt;=Projects!$C$31,80&lt;Projects!$C$31+Projects!$D$31),Projects!$B$31*INDEX(Curves!$B$4:$AR$4,1,80-Projects!$C$31+1),0)+IF(AND(Projects!$G$32="Yes",Projects!$X$32="Yes",80&gt;=Projects!$C$32,80&lt;Projects!$C$32+Projects!$D$32),Projects!$B$32*INDEX(Curves!$B$4:$AR$4,1,80-Projects!$C$32+1),0)+IF(AND(Projects!$G$33="Yes",Projects!$X$33="Yes",80&gt;=Projects!$C$33,80&lt;Projects!$C$33+Projects!$D$33),Projects!$B$33*INDEX(Curves!$B$4:$AR$4,1,80-Projects!$C$33+1),0)+IF(AND(Projects!$G$34="Yes",Projects!$X$34="Yes",80&gt;=Projects!$C$34,80&lt;Projects!$C$34+Projects!$D$34),Projects!$B$34*INDEX(Curves!$B$4:$AR$4,1,80-Projects!$C$34+1),0)+IF(AND(Projects!$G$35="Yes",Projects!$X$35="Yes",80&gt;=Projects!$C$35,80&lt;Projects!$C$35+Projects!$D$35),Projects!$B$35*INDEX(Curves!$B$4:$AR$4,1,80-Projects!$C$35+1),0)+IF(AND(Projects!$G$36="Yes",Projects!$X$36="Yes",80&gt;=Projects!$C$36,80&lt;Projects!$C$36+Projects!$D$36),Projects!$B$36*INDEX(Curves!$B$4:$AR$4,1,80-Projects!$C$36+1),0)+IF(AND(Projects!$G$37="Yes",Projects!$X$37="Yes",80&gt;=Projects!$C$37,80&lt;Projects!$C$37+Projects!$D$37),Projects!$B$37*INDEX(Curves!$B$4:$AR$4,1,80-Projects!$C$37+1),0)+IF(AND(Projects!$G$38="Yes",Projects!$X$38="Yes",80&gt;=Projects!$C$38,80&lt;Projects!$C$38+Projects!$D$38),Projects!$B$38*INDEX(Curves!$B$4:$AR$4,1,80-Projects!$C$38+1),0)+IF(AND(Projects!$G$39="Yes",Projects!$X$39="Yes",80&gt;=Projects!$C$39,80&lt;Projects!$C$39+Projects!$D$39),Projects!$B$39*INDEX(Curves!$B$4:$AR$4,1,80-Projects!$C$39+1),0)+IF(AND(Projects!$G$40="Yes",Projects!$X$40="Yes",80&gt;=Projects!$C$40,80&lt;Projects!$C$40+Projects!$D$40),Projects!$B$40*INDEX(Curves!$B$4:$AR$4,1,80-Projects!$C$40+1),0)+IF(AND(Projects!$G$41="Yes",Projects!$X$41="Yes",80&gt;=Projects!$C$41,80&lt;Projects!$C$41+Projects!$D$41),Projects!$B$41*INDEX(Curves!$B$4:$AR$4,1,80-Projects!$C$41+1),0)+IF(AND(Projects!$G$42="Yes",Projects!$X$42="Yes",80&gt;=Projects!$C$42,80&lt;Projects!$C$42+Projects!$D$42),Projects!$B$42*INDEX(Curves!$B$4:$AR$4,1,80-Projects!$C$42+1),0)+IF(AND(Projects!$G$43="Yes",Projects!$X$43="Yes",80&gt;=Projects!$C$43,80&lt;Projects!$C$43+Projects!$D$43),Projects!$B$43*INDEX(Curves!$B$4:$AR$4,1,80-Projects!$C$43+1),0)+IF(AND(Projects!$G$44="Yes",Projects!$X$44="Yes",80&gt;=Projects!$C$44,80&lt;Projects!$C$44+Projects!$D$44),Projects!$B$44*INDEX(Curves!$B$4:$AR$4,1,80-Projects!$C$44+1),0)+IF(AND(Projects!$G$45="Yes",Projects!$X$45="Yes",80&gt;=Projects!$C$45,80&lt;Projects!$C$45+Projects!$D$45),Projects!$B$45*INDEX(Curves!$B$4:$AR$4,1,80-Projects!$C$45+1),0)+IF(AND(Projects!$G$46="Yes",Projects!$X$46="Yes",80&gt;=Projects!$C$46,80&lt;Projects!$C$46+Projects!$D$46),Projects!$B$46*INDEX(Curves!$B$4:$AR$4,1,80-Projects!$C$46+1),0)</f>
        <v>0</v>
      </c>
      <c r="CH96" s="296" t="n">
        <f aca="false">IF(AND(Projects!$G$17="Yes",Projects!$X$17="Yes",81&gt;=Projects!$C$17,81&lt;Projects!$C$17+Projects!$D$17),Projects!$B$17*INDEX(Curves!$B$4:$AR$4,1,81-Projects!$C$17+1),0)+IF(AND(Projects!$G$18="Yes",Projects!$X$18="Yes",81&gt;=Projects!$C$18,81&lt;Projects!$C$18+Projects!$D$18),Projects!$B$18*INDEX(Curves!$B$4:$AR$4,1,81-Projects!$C$18+1),0)+IF(AND(Projects!$G$19="Yes",Projects!$X$19="Yes",81&gt;=Projects!$C$19,81&lt;Projects!$C$19+Projects!$D$19),Projects!$B$19*INDEX(Curves!$B$10:$AR$10,1,81-Projects!$C$19+1),0)+IF(AND(Projects!$G$20="Yes",Projects!$X$20="Yes",81&gt;=Projects!$C$20,81&lt;Projects!$C$20+Projects!$D$20),Projects!$B$20*INDEX(Curves!$B$4:$AR$4,1,81-Projects!$C$20+1),0)+IF(AND(Projects!$G$21="Yes",Projects!$X$21="Yes",81&gt;=Projects!$C$21,81&lt;Projects!$C$21+Projects!$D$21),Projects!$B$21*INDEX(Curves!$B$11:$AR$11,1,81-Projects!$C$21+1),0)+IF(AND(Projects!$G$22="Yes",Projects!$X$22="Yes",81&gt;=Projects!$C$22,81&lt;Projects!$C$22+Projects!$D$22),Projects!$B$22*INDEX(Curves!$B$4:$AR$4,1,81-Projects!$C$22+1),0)+IF(AND(Projects!$G$23="Yes",Projects!$X$23="Yes",81&gt;=Projects!$C$23,81&lt;Projects!$C$23+Projects!$D$23),Projects!$B$23*INDEX(Curves!$B$4:$AR$4,1,81-Projects!$C$23+1),0)+IF(AND(Projects!$G$24="Yes",Projects!$X$24="Yes",81&gt;=Projects!$C$24,81&lt;Projects!$C$24+Projects!$D$24),Projects!$B$24*INDEX(Curves!$B$4:$AR$4,1,81-Projects!$C$24+1),0)+IF(AND(Projects!$G$25="Yes",Projects!$X$25="Yes",81&gt;=Projects!$C$25,81&lt;Projects!$C$25+Projects!$D$25),Projects!$B$25*INDEX(Curves!$B$4:$AR$4,1,81-Projects!$C$25+1),0)+IF(AND(Projects!$G$26="Yes",Projects!$X$26="Yes",81&gt;=Projects!$C$26,81&lt;Projects!$C$26+Projects!$D$26),Projects!$B$26*INDEX(Curves!$B$4:$AR$4,1,81-Projects!$C$26+1),0)+IF(AND(Projects!$G$27="Yes",Projects!$X$27="Yes",81&gt;=Projects!$C$27,81&lt;Projects!$C$27+Projects!$D$27),Projects!$B$27*INDEX(Curves!$B$4:$AR$4,1,81-Projects!$C$27+1),0)+IF(AND(Projects!$G$28="Yes",Projects!$X$28="Yes",81&gt;=Projects!$C$28,81&lt;Projects!$C$28+Projects!$D$28),Projects!$B$28*INDEX(Curves!$B$4:$AR$4,1,81-Projects!$C$28+1),0)+IF(AND(Projects!$G$29="Yes",Projects!$X$29="Yes",81&gt;=Projects!$C$29,81&lt;Projects!$C$29+Projects!$D$29),Projects!$B$29*INDEX(Curves!$B$4:$AR$4,1,81-Projects!$C$29+1),0)+IF(AND(Projects!$G$30="Yes",Projects!$X$30="Yes",81&gt;=Projects!$C$30,81&lt;Projects!$C$30+Projects!$D$30),Projects!$B$30*INDEX(Curves!$B$4:$AR$4,1,81-Projects!$C$30+1),0)+IF(AND(Projects!$G$31="Yes",Projects!$X$31="Yes",81&gt;=Projects!$C$31,81&lt;Projects!$C$31+Projects!$D$31),Projects!$B$31*INDEX(Curves!$B$4:$AR$4,1,81-Projects!$C$31+1),0)+IF(AND(Projects!$G$32="Yes",Projects!$X$32="Yes",81&gt;=Projects!$C$32,81&lt;Projects!$C$32+Projects!$D$32),Projects!$B$32*INDEX(Curves!$B$4:$AR$4,1,81-Projects!$C$32+1),0)+IF(AND(Projects!$G$33="Yes",Projects!$X$33="Yes",81&gt;=Projects!$C$33,81&lt;Projects!$C$33+Projects!$D$33),Projects!$B$33*INDEX(Curves!$B$4:$AR$4,1,81-Projects!$C$33+1),0)+IF(AND(Projects!$G$34="Yes",Projects!$X$34="Yes",81&gt;=Projects!$C$34,81&lt;Projects!$C$34+Projects!$D$34),Projects!$B$34*INDEX(Curves!$B$4:$AR$4,1,81-Projects!$C$34+1),0)+IF(AND(Projects!$G$35="Yes",Projects!$X$35="Yes",81&gt;=Projects!$C$35,81&lt;Projects!$C$35+Projects!$D$35),Projects!$B$35*INDEX(Curves!$B$4:$AR$4,1,81-Projects!$C$35+1),0)+IF(AND(Projects!$G$36="Yes",Projects!$X$36="Yes",81&gt;=Projects!$C$36,81&lt;Projects!$C$36+Projects!$D$36),Projects!$B$36*INDEX(Curves!$B$4:$AR$4,1,81-Projects!$C$36+1),0)+IF(AND(Projects!$G$37="Yes",Projects!$X$37="Yes",81&gt;=Projects!$C$37,81&lt;Projects!$C$37+Projects!$D$37),Projects!$B$37*INDEX(Curves!$B$4:$AR$4,1,81-Projects!$C$37+1),0)+IF(AND(Projects!$G$38="Yes",Projects!$X$38="Yes",81&gt;=Projects!$C$38,81&lt;Projects!$C$38+Projects!$D$38),Projects!$B$38*INDEX(Curves!$B$4:$AR$4,1,81-Projects!$C$38+1),0)+IF(AND(Projects!$G$39="Yes",Projects!$X$39="Yes",81&gt;=Projects!$C$39,81&lt;Projects!$C$39+Projects!$D$39),Projects!$B$39*INDEX(Curves!$B$4:$AR$4,1,81-Projects!$C$39+1),0)+IF(AND(Projects!$G$40="Yes",Projects!$X$40="Yes",81&gt;=Projects!$C$40,81&lt;Projects!$C$40+Projects!$D$40),Projects!$B$40*INDEX(Curves!$B$4:$AR$4,1,81-Projects!$C$40+1),0)+IF(AND(Projects!$G$41="Yes",Projects!$X$41="Yes",81&gt;=Projects!$C$41,81&lt;Projects!$C$41+Projects!$D$41),Projects!$B$41*INDEX(Curves!$B$4:$AR$4,1,81-Projects!$C$41+1),0)+IF(AND(Projects!$G$42="Yes",Projects!$X$42="Yes",81&gt;=Projects!$C$42,81&lt;Projects!$C$42+Projects!$D$42),Projects!$B$42*INDEX(Curves!$B$4:$AR$4,1,81-Projects!$C$42+1),0)+IF(AND(Projects!$G$43="Yes",Projects!$X$43="Yes",81&gt;=Projects!$C$43,81&lt;Projects!$C$43+Projects!$D$43),Projects!$B$43*INDEX(Curves!$B$4:$AR$4,1,81-Projects!$C$43+1),0)+IF(AND(Projects!$G$44="Yes",Projects!$X$44="Yes",81&gt;=Projects!$C$44,81&lt;Projects!$C$44+Projects!$D$44),Projects!$B$44*INDEX(Curves!$B$4:$AR$4,1,81-Projects!$C$44+1),0)+IF(AND(Projects!$G$45="Yes",Projects!$X$45="Yes",81&gt;=Projects!$C$45,81&lt;Projects!$C$45+Projects!$D$45),Projects!$B$45*INDEX(Curves!$B$4:$AR$4,1,81-Projects!$C$45+1),0)+IF(AND(Projects!$G$46="Yes",Projects!$X$46="Yes",81&gt;=Projects!$C$46,81&lt;Projects!$C$46+Projects!$D$46),Projects!$B$46*INDEX(Curves!$B$4:$AR$4,1,81-Projects!$C$46+1),0)</f>
        <v>0</v>
      </c>
      <c r="CI96" s="296" t="n">
        <f aca="false">IF(AND(Projects!$G$17="Yes",Projects!$X$17="Yes",82&gt;=Projects!$C$17,82&lt;Projects!$C$17+Projects!$D$17),Projects!$B$17*INDEX(Curves!$B$4:$AR$4,1,82-Projects!$C$17+1),0)+IF(AND(Projects!$G$18="Yes",Projects!$X$18="Yes",82&gt;=Projects!$C$18,82&lt;Projects!$C$18+Projects!$D$18),Projects!$B$18*INDEX(Curves!$B$4:$AR$4,1,82-Projects!$C$18+1),0)+IF(AND(Projects!$G$19="Yes",Projects!$X$19="Yes",82&gt;=Projects!$C$19,82&lt;Projects!$C$19+Projects!$D$19),Projects!$B$19*INDEX(Curves!$B$10:$AR$10,1,82-Projects!$C$19+1),0)+IF(AND(Projects!$G$20="Yes",Projects!$X$20="Yes",82&gt;=Projects!$C$20,82&lt;Projects!$C$20+Projects!$D$20),Projects!$B$20*INDEX(Curves!$B$4:$AR$4,1,82-Projects!$C$20+1),0)+IF(AND(Projects!$G$21="Yes",Projects!$X$21="Yes",82&gt;=Projects!$C$21,82&lt;Projects!$C$21+Projects!$D$21),Projects!$B$21*INDEX(Curves!$B$11:$AR$11,1,82-Projects!$C$21+1),0)+IF(AND(Projects!$G$22="Yes",Projects!$X$22="Yes",82&gt;=Projects!$C$22,82&lt;Projects!$C$22+Projects!$D$22),Projects!$B$22*INDEX(Curves!$B$4:$AR$4,1,82-Projects!$C$22+1),0)+IF(AND(Projects!$G$23="Yes",Projects!$X$23="Yes",82&gt;=Projects!$C$23,82&lt;Projects!$C$23+Projects!$D$23),Projects!$B$23*INDEX(Curves!$B$4:$AR$4,1,82-Projects!$C$23+1),0)+IF(AND(Projects!$G$24="Yes",Projects!$X$24="Yes",82&gt;=Projects!$C$24,82&lt;Projects!$C$24+Projects!$D$24),Projects!$B$24*INDEX(Curves!$B$4:$AR$4,1,82-Projects!$C$24+1),0)+IF(AND(Projects!$G$25="Yes",Projects!$X$25="Yes",82&gt;=Projects!$C$25,82&lt;Projects!$C$25+Projects!$D$25),Projects!$B$25*INDEX(Curves!$B$4:$AR$4,1,82-Projects!$C$25+1),0)+IF(AND(Projects!$G$26="Yes",Projects!$X$26="Yes",82&gt;=Projects!$C$26,82&lt;Projects!$C$26+Projects!$D$26),Projects!$B$26*INDEX(Curves!$B$4:$AR$4,1,82-Projects!$C$26+1),0)+IF(AND(Projects!$G$27="Yes",Projects!$X$27="Yes",82&gt;=Projects!$C$27,82&lt;Projects!$C$27+Projects!$D$27),Projects!$B$27*INDEX(Curves!$B$4:$AR$4,1,82-Projects!$C$27+1),0)+IF(AND(Projects!$G$28="Yes",Projects!$X$28="Yes",82&gt;=Projects!$C$28,82&lt;Projects!$C$28+Projects!$D$28),Projects!$B$28*INDEX(Curves!$B$4:$AR$4,1,82-Projects!$C$28+1),0)+IF(AND(Projects!$G$29="Yes",Projects!$X$29="Yes",82&gt;=Projects!$C$29,82&lt;Projects!$C$29+Projects!$D$29),Projects!$B$29*INDEX(Curves!$B$4:$AR$4,1,82-Projects!$C$29+1),0)+IF(AND(Projects!$G$30="Yes",Projects!$X$30="Yes",82&gt;=Projects!$C$30,82&lt;Projects!$C$30+Projects!$D$30),Projects!$B$30*INDEX(Curves!$B$4:$AR$4,1,82-Projects!$C$30+1),0)+IF(AND(Projects!$G$31="Yes",Projects!$X$31="Yes",82&gt;=Projects!$C$31,82&lt;Projects!$C$31+Projects!$D$31),Projects!$B$31*INDEX(Curves!$B$4:$AR$4,1,82-Projects!$C$31+1),0)+IF(AND(Projects!$G$32="Yes",Projects!$X$32="Yes",82&gt;=Projects!$C$32,82&lt;Projects!$C$32+Projects!$D$32),Projects!$B$32*INDEX(Curves!$B$4:$AR$4,1,82-Projects!$C$32+1),0)+IF(AND(Projects!$G$33="Yes",Projects!$X$33="Yes",82&gt;=Projects!$C$33,82&lt;Projects!$C$33+Projects!$D$33),Projects!$B$33*INDEX(Curves!$B$4:$AR$4,1,82-Projects!$C$33+1),0)+IF(AND(Projects!$G$34="Yes",Projects!$X$34="Yes",82&gt;=Projects!$C$34,82&lt;Projects!$C$34+Projects!$D$34),Projects!$B$34*INDEX(Curves!$B$4:$AR$4,1,82-Projects!$C$34+1),0)+IF(AND(Projects!$G$35="Yes",Projects!$X$35="Yes",82&gt;=Projects!$C$35,82&lt;Projects!$C$35+Projects!$D$35),Projects!$B$35*INDEX(Curves!$B$4:$AR$4,1,82-Projects!$C$35+1),0)+IF(AND(Projects!$G$36="Yes",Projects!$X$36="Yes",82&gt;=Projects!$C$36,82&lt;Projects!$C$36+Projects!$D$36),Projects!$B$36*INDEX(Curves!$B$4:$AR$4,1,82-Projects!$C$36+1),0)+IF(AND(Projects!$G$37="Yes",Projects!$X$37="Yes",82&gt;=Projects!$C$37,82&lt;Projects!$C$37+Projects!$D$37),Projects!$B$37*INDEX(Curves!$B$4:$AR$4,1,82-Projects!$C$37+1),0)+IF(AND(Projects!$G$38="Yes",Projects!$X$38="Yes",82&gt;=Projects!$C$38,82&lt;Projects!$C$38+Projects!$D$38),Projects!$B$38*INDEX(Curves!$B$4:$AR$4,1,82-Projects!$C$38+1),0)+IF(AND(Projects!$G$39="Yes",Projects!$X$39="Yes",82&gt;=Projects!$C$39,82&lt;Projects!$C$39+Projects!$D$39),Projects!$B$39*INDEX(Curves!$B$4:$AR$4,1,82-Projects!$C$39+1),0)+IF(AND(Projects!$G$40="Yes",Projects!$X$40="Yes",82&gt;=Projects!$C$40,82&lt;Projects!$C$40+Projects!$D$40),Projects!$B$40*INDEX(Curves!$B$4:$AR$4,1,82-Projects!$C$40+1),0)+IF(AND(Projects!$G$41="Yes",Projects!$X$41="Yes",82&gt;=Projects!$C$41,82&lt;Projects!$C$41+Projects!$D$41),Projects!$B$41*INDEX(Curves!$B$4:$AR$4,1,82-Projects!$C$41+1),0)+IF(AND(Projects!$G$42="Yes",Projects!$X$42="Yes",82&gt;=Projects!$C$42,82&lt;Projects!$C$42+Projects!$D$42),Projects!$B$42*INDEX(Curves!$B$4:$AR$4,1,82-Projects!$C$42+1),0)+IF(AND(Projects!$G$43="Yes",Projects!$X$43="Yes",82&gt;=Projects!$C$43,82&lt;Projects!$C$43+Projects!$D$43),Projects!$B$43*INDEX(Curves!$B$4:$AR$4,1,82-Projects!$C$43+1),0)+IF(AND(Projects!$G$44="Yes",Projects!$X$44="Yes",82&gt;=Projects!$C$44,82&lt;Projects!$C$44+Projects!$D$44),Projects!$B$44*INDEX(Curves!$B$4:$AR$4,1,82-Projects!$C$44+1),0)+IF(AND(Projects!$G$45="Yes",Projects!$X$45="Yes",82&gt;=Projects!$C$45,82&lt;Projects!$C$45+Projects!$D$45),Projects!$B$45*INDEX(Curves!$B$4:$AR$4,1,82-Projects!$C$45+1),0)+IF(AND(Projects!$G$46="Yes",Projects!$X$46="Yes",82&gt;=Projects!$C$46,82&lt;Projects!$C$46+Projects!$D$46),Projects!$B$46*INDEX(Curves!$B$4:$AR$4,1,82-Projects!$C$46+1),0)</f>
        <v>0</v>
      </c>
      <c r="CJ96" s="296" t="n">
        <f aca="false">IF(AND(Projects!$G$17="Yes",Projects!$X$17="Yes",83&gt;=Projects!$C$17,83&lt;Projects!$C$17+Projects!$D$17),Projects!$B$17*INDEX(Curves!$B$4:$AR$4,1,83-Projects!$C$17+1),0)+IF(AND(Projects!$G$18="Yes",Projects!$X$18="Yes",83&gt;=Projects!$C$18,83&lt;Projects!$C$18+Projects!$D$18),Projects!$B$18*INDEX(Curves!$B$4:$AR$4,1,83-Projects!$C$18+1),0)+IF(AND(Projects!$G$19="Yes",Projects!$X$19="Yes",83&gt;=Projects!$C$19,83&lt;Projects!$C$19+Projects!$D$19),Projects!$B$19*INDEX(Curves!$B$10:$AR$10,1,83-Projects!$C$19+1),0)+IF(AND(Projects!$G$20="Yes",Projects!$X$20="Yes",83&gt;=Projects!$C$20,83&lt;Projects!$C$20+Projects!$D$20),Projects!$B$20*INDEX(Curves!$B$4:$AR$4,1,83-Projects!$C$20+1),0)+IF(AND(Projects!$G$21="Yes",Projects!$X$21="Yes",83&gt;=Projects!$C$21,83&lt;Projects!$C$21+Projects!$D$21),Projects!$B$21*INDEX(Curves!$B$11:$AR$11,1,83-Projects!$C$21+1),0)+IF(AND(Projects!$G$22="Yes",Projects!$X$22="Yes",83&gt;=Projects!$C$22,83&lt;Projects!$C$22+Projects!$D$22),Projects!$B$22*INDEX(Curves!$B$4:$AR$4,1,83-Projects!$C$22+1),0)+IF(AND(Projects!$G$23="Yes",Projects!$X$23="Yes",83&gt;=Projects!$C$23,83&lt;Projects!$C$23+Projects!$D$23),Projects!$B$23*INDEX(Curves!$B$4:$AR$4,1,83-Projects!$C$23+1),0)+IF(AND(Projects!$G$24="Yes",Projects!$X$24="Yes",83&gt;=Projects!$C$24,83&lt;Projects!$C$24+Projects!$D$24),Projects!$B$24*INDEX(Curves!$B$4:$AR$4,1,83-Projects!$C$24+1),0)+IF(AND(Projects!$G$25="Yes",Projects!$X$25="Yes",83&gt;=Projects!$C$25,83&lt;Projects!$C$25+Projects!$D$25),Projects!$B$25*INDEX(Curves!$B$4:$AR$4,1,83-Projects!$C$25+1),0)+IF(AND(Projects!$G$26="Yes",Projects!$X$26="Yes",83&gt;=Projects!$C$26,83&lt;Projects!$C$26+Projects!$D$26),Projects!$B$26*INDEX(Curves!$B$4:$AR$4,1,83-Projects!$C$26+1),0)+IF(AND(Projects!$G$27="Yes",Projects!$X$27="Yes",83&gt;=Projects!$C$27,83&lt;Projects!$C$27+Projects!$D$27),Projects!$B$27*INDEX(Curves!$B$4:$AR$4,1,83-Projects!$C$27+1),0)+IF(AND(Projects!$G$28="Yes",Projects!$X$28="Yes",83&gt;=Projects!$C$28,83&lt;Projects!$C$28+Projects!$D$28),Projects!$B$28*INDEX(Curves!$B$4:$AR$4,1,83-Projects!$C$28+1),0)+IF(AND(Projects!$G$29="Yes",Projects!$X$29="Yes",83&gt;=Projects!$C$29,83&lt;Projects!$C$29+Projects!$D$29),Projects!$B$29*INDEX(Curves!$B$4:$AR$4,1,83-Projects!$C$29+1),0)+IF(AND(Projects!$G$30="Yes",Projects!$X$30="Yes",83&gt;=Projects!$C$30,83&lt;Projects!$C$30+Projects!$D$30),Projects!$B$30*INDEX(Curves!$B$4:$AR$4,1,83-Projects!$C$30+1),0)+IF(AND(Projects!$G$31="Yes",Projects!$X$31="Yes",83&gt;=Projects!$C$31,83&lt;Projects!$C$31+Projects!$D$31),Projects!$B$31*INDEX(Curves!$B$4:$AR$4,1,83-Projects!$C$31+1),0)+IF(AND(Projects!$G$32="Yes",Projects!$X$32="Yes",83&gt;=Projects!$C$32,83&lt;Projects!$C$32+Projects!$D$32),Projects!$B$32*INDEX(Curves!$B$4:$AR$4,1,83-Projects!$C$32+1),0)+IF(AND(Projects!$G$33="Yes",Projects!$X$33="Yes",83&gt;=Projects!$C$33,83&lt;Projects!$C$33+Projects!$D$33),Projects!$B$33*INDEX(Curves!$B$4:$AR$4,1,83-Projects!$C$33+1),0)+IF(AND(Projects!$G$34="Yes",Projects!$X$34="Yes",83&gt;=Projects!$C$34,83&lt;Projects!$C$34+Projects!$D$34),Projects!$B$34*INDEX(Curves!$B$4:$AR$4,1,83-Projects!$C$34+1),0)+IF(AND(Projects!$G$35="Yes",Projects!$X$35="Yes",83&gt;=Projects!$C$35,83&lt;Projects!$C$35+Projects!$D$35),Projects!$B$35*INDEX(Curves!$B$4:$AR$4,1,83-Projects!$C$35+1),0)+IF(AND(Projects!$G$36="Yes",Projects!$X$36="Yes",83&gt;=Projects!$C$36,83&lt;Projects!$C$36+Projects!$D$36),Projects!$B$36*INDEX(Curves!$B$4:$AR$4,1,83-Projects!$C$36+1),0)+IF(AND(Projects!$G$37="Yes",Projects!$X$37="Yes",83&gt;=Projects!$C$37,83&lt;Projects!$C$37+Projects!$D$37),Projects!$B$37*INDEX(Curves!$B$4:$AR$4,1,83-Projects!$C$37+1),0)+IF(AND(Projects!$G$38="Yes",Projects!$X$38="Yes",83&gt;=Projects!$C$38,83&lt;Projects!$C$38+Projects!$D$38),Projects!$B$38*INDEX(Curves!$B$4:$AR$4,1,83-Projects!$C$38+1),0)+IF(AND(Projects!$G$39="Yes",Projects!$X$39="Yes",83&gt;=Projects!$C$39,83&lt;Projects!$C$39+Projects!$D$39),Projects!$B$39*INDEX(Curves!$B$4:$AR$4,1,83-Projects!$C$39+1),0)+IF(AND(Projects!$G$40="Yes",Projects!$X$40="Yes",83&gt;=Projects!$C$40,83&lt;Projects!$C$40+Projects!$D$40),Projects!$B$40*INDEX(Curves!$B$4:$AR$4,1,83-Projects!$C$40+1),0)+IF(AND(Projects!$G$41="Yes",Projects!$X$41="Yes",83&gt;=Projects!$C$41,83&lt;Projects!$C$41+Projects!$D$41),Projects!$B$41*INDEX(Curves!$B$4:$AR$4,1,83-Projects!$C$41+1),0)+IF(AND(Projects!$G$42="Yes",Projects!$X$42="Yes",83&gt;=Projects!$C$42,83&lt;Projects!$C$42+Projects!$D$42),Projects!$B$42*INDEX(Curves!$B$4:$AR$4,1,83-Projects!$C$42+1),0)+IF(AND(Projects!$G$43="Yes",Projects!$X$43="Yes",83&gt;=Projects!$C$43,83&lt;Projects!$C$43+Projects!$D$43),Projects!$B$43*INDEX(Curves!$B$4:$AR$4,1,83-Projects!$C$43+1),0)+IF(AND(Projects!$G$44="Yes",Projects!$X$44="Yes",83&gt;=Projects!$C$44,83&lt;Projects!$C$44+Projects!$D$44),Projects!$B$44*INDEX(Curves!$B$4:$AR$4,1,83-Projects!$C$44+1),0)+IF(AND(Projects!$G$45="Yes",Projects!$X$45="Yes",83&gt;=Projects!$C$45,83&lt;Projects!$C$45+Projects!$D$45),Projects!$B$45*INDEX(Curves!$B$4:$AR$4,1,83-Projects!$C$45+1),0)+IF(AND(Projects!$G$46="Yes",Projects!$X$46="Yes",83&gt;=Projects!$C$46,83&lt;Projects!$C$46+Projects!$D$46),Projects!$B$46*INDEX(Curves!$B$4:$AR$4,1,83-Projects!$C$46+1),0)</f>
        <v>0</v>
      </c>
      <c r="CK96" s="296" t="n">
        <f aca="false">IF(AND(Projects!$G$17="Yes",Projects!$X$17="Yes",84&gt;=Projects!$C$17,84&lt;Projects!$C$17+Projects!$D$17),Projects!$B$17*INDEX(Curves!$B$4:$AR$4,1,84-Projects!$C$17+1),0)+IF(AND(Projects!$G$18="Yes",Projects!$X$18="Yes",84&gt;=Projects!$C$18,84&lt;Projects!$C$18+Projects!$D$18),Projects!$B$18*INDEX(Curves!$B$4:$AR$4,1,84-Projects!$C$18+1),0)+IF(AND(Projects!$G$19="Yes",Projects!$X$19="Yes",84&gt;=Projects!$C$19,84&lt;Projects!$C$19+Projects!$D$19),Projects!$B$19*INDEX(Curves!$B$10:$AR$10,1,84-Projects!$C$19+1),0)+IF(AND(Projects!$G$20="Yes",Projects!$X$20="Yes",84&gt;=Projects!$C$20,84&lt;Projects!$C$20+Projects!$D$20),Projects!$B$20*INDEX(Curves!$B$4:$AR$4,1,84-Projects!$C$20+1),0)+IF(AND(Projects!$G$21="Yes",Projects!$X$21="Yes",84&gt;=Projects!$C$21,84&lt;Projects!$C$21+Projects!$D$21),Projects!$B$21*INDEX(Curves!$B$11:$AR$11,1,84-Projects!$C$21+1),0)+IF(AND(Projects!$G$22="Yes",Projects!$X$22="Yes",84&gt;=Projects!$C$22,84&lt;Projects!$C$22+Projects!$D$22),Projects!$B$22*INDEX(Curves!$B$4:$AR$4,1,84-Projects!$C$22+1),0)+IF(AND(Projects!$G$23="Yes",Projects!$X$23="Yes",84&gt;=Projects!$C$23,84&lt;Projects!$C$23+Projects!$D$23),Projects!$B$23*INDEX(Curves!$B$4:$AR$4,1,84-Projects!$C$23+1),0)+IF(AND(Projects!$G$24="Yes",Projects!$X$24="Yes",84&gt;=Projects!$C$24,84&lt;Projects!$C$24+Projects!$D$24),Projects!$B$24*INDEX(Curves!$B$4:$AR$4,1,84-Projects!$C$24+1),0)+IF(AND(Projects!$G$25="Yes",Projects!$X$25="Yes",84&gt;=Projects!$C$25,84&lt;Projects!$C$25+Projects!$D$25),Projects!$B$25*INDEX(Curves!$B$4:$AR$4,1,84-Projects!$C$25+1),0)+IF(AND(Projects!$G$26="Yes",Projects!$X$26="Yes",84&gt;=Projects!$C$26,84&lt;Projects!$C$26+Projects!$D$26),Projects!$B$26*INDEX(Curves!$B$4:$AR$4,1,84-Projects!$C$26+1),0)+IF(AND(Projects!$G$27="Yes",Projects!$X$27="Yes",84&gt;=Projects!$C$27,84&lt;Projects!$C$27+Projects!$D$27),Projects!$B$27*INDEX(Curves!$B$4:$AR$4,1,84-Projects!$C$27+1),0)+IF(AND(Projects!$G$28="Yes",Projects!$X$28="Yes",84&gt;=Projects!$C$28,84&lt;Projects!$C$28+Projects!$D$28),Projects!$B$28*INDEX(Curves!$B$4:$AR$4,1,84-Projects!$C$28+1),0)+IF(AND(Projects!$G$29="Yes",Projects!$X$29="Yes",84&gt;=Projects!$C$29,84&lt;Projects!$C$29+Projects!$D$29),Projects!$B$29*INDEX(Curves!$B$4:$AR$4,1,84-Projects!$C$29+1),0)+IF(AND(Projects!$G$30="Yes",Projects!$X$30="Yes",84&gt;=Projects!$C$30,84&lt;Projects!$C$30+Projects!$D$30),Projects!$B$30*INDEX(Curves!$B$4:$AR$4,1,84-Projects!$C$30+1),0)+IF(AND(Projects!$G$31="Yes",Projects!$X$31="Yes",84&gt;=Projects!$C$31,84&lt;Projects!$C$31+Projects!$D$31),Projects!$B$31*INDEX(Curves!$B$4:$AR$4,1,84-Projects!$C$31+1),0)+IF(AND(Projects!$G$32="Yes",Projects!$X$32="Yes",84&gt;=Projects!$C$32,84&lt;Projects!$C$32+Projects!$D$32),Projects!$B$32*INDEX(Curves!$B$4:$AR$4,1,84-Projects!$C$32+1),0)+IF(AND(Projects!$G$33="Yes",Projects!$X$33="Yes",84&gt;=Projects!$C$33,84&lt;Projects!$C$33+Projects!$D$33),Projects!$B$33*INDEX(Curves!$B$4:$AR$4,1,84-Projects!$C$33+1),0)+IF(AND(Projects!$G$34="Yes",Projects!$X$34="Yes",84&gt;=Projects!$C$34,84&lt;Projects!$C$34+Projects!$D$34),Projects!$B$34*INDEX(Curves!$B$4:$AR$4,1,84-Projects!$C$34+1),0)+IF(AND(Projects!$G$35="Yes",Projects!$X$35="Yes",84&gt;=Projects!$C$35,84&lt;Projects!$C$35+Projects!$D$35),Projects!$B$35*INDEX(Curves!$B$4:$AR$4,1,84-Projects!$C$35+1),0)+IF(AND(Projects!$G$36="Yes",Projects!$X$36="Yes",84&gt;=Projects!$C$36,84&lt;Projects!$C$36+Projects!$D$36),Projects!$B$36*INDEX(Curves!$B$4:$AR$4,1,84-Projects!$C$36+1),0)+IF(AND(Projects!$G$37="Yes",Projects!$X$37="Yes",84&gt;=Projects!$C$37,84&lt;Projects!$C$37+Projects!$D$37),Projects!$B$37*INDEX(Curves!$B$4:$AR$4,1,84-Projects!$C$37+1),0)+IF(AND(Projects!$G$38="Yes",Projects!$X$38="Yes",84&gt;=Projects!$C$38,84&lt;Projects!$C$38+Projects!$D$38),Projects!$B$38*INDEX(Curves!$B$4:$AR$4,1,84-Projects!$C$38+1),0)+IF(AND(Projects!$G$39="Yes",Projects!$X$39="Yes",84&gt;=Projects!$C$39,84&lt;Projects!$C$39+Projects!$D$39),Projects!$B$39*INDEX(Curves!$B$4:$AR$4,1,84-Projects!$C$39+1),0)+IF(AND(Projects!$G$40="Yes",Projects!$X$40="Yes",84&gt;=Projects!$C$40,84&lt;Projects!$C$40+Projects!$D$40),Projects!$B$40*INDEX(Curves!$B$4:$AR$4,1,84-Projects!$C$40+1),0)+IF(AND(Projects!$G$41="Yes",Projects!$X$41="Yes",84&gt;=Projects!$C$41,84&lt;Projects!$C$41+Projects!$D$41),Projects!$B$41*INDEX(Curves!$B$4:$AR$4,1,84-Projects!$C$41+1),0)+IF(AND(Projects!$G$42="Yes",Projects!$X$42="Yes",84&gt;=Projects!$C$42,84&lt;Projects!$C$42+Projects!$D$42),Projects!$B$42*INDEX(Curves!$B$4:$AR$4,1,84-Projects!$C$42+1),0)+IF(AND(Projects!$G$43="Yes",Projects!$X$43="Yes",84&gt;=Projects!$C$43,84&lt;Projects!$C$43+Projects!$D$43),Projects!$B$43*INDEX(Curves!$B$4:$AR$4,1,84-Projects!$C$43+1),0)+IF(AND(Projects!$G$44="Yes",Projects!$X$44="Yes",84&gt;=Projects!$C$44,84&lt;Projects!$C$44+Projects!$D$44),Projects!$B$44*INDEX(Curves!$B$4:$AR$4,1,84-Projects!$C$44+1),0)+IF(AND(Projects!$G$45="Yes",Projects!$X$45="Yes",84&gt;=Projects!$C$45,84&lt;Projects!$C$45+Projects!$D$45),Projects!$B$45*INDEX(Curves!$B$4:$AR$4,1,84-Projects!$C$45+1),0)+IF(AND(Projects!$G$46="Yes",Projects!$X$46="Yes",84&gt;=Projects!$C$46,84&lt;Projects!$C$46+Projects!$D$46),Projects!$B$46*INDEX(Curves!$B$4:$AR$4,1,84-Projects!$C$46+1),0)</f>
        <v>0</v>
      </c>
      <c r="CL96" s="296" t="n">
        <f aca="false">IF(AND(Projects!$G$17="Yes",Projects!$X$17="Yes",85&gt;=Projects!$C$17,85&lt;Projects!$C$17+Projects!$D$17),Projects!$B$17*INDEX(Curves!$B$4:$AR$4,1,85-Projects!$C$17+1),0)+IF(AND(Projects!$G$18="Yes",Projects!$X$18="Yes",85&gt;=Projects!$C$18,85&lt;Projects!$C$18+Projects!$D$18),Projects!$B$18*INDEX(Curves!$B$4:$AR$4,1,85-Projects!$C$18+1),0)+IF(AND(Projects!$G$19="Yes",Projects!$X$19="Yes",85&gt;=Projects!$C$19,85&lt;Projects!$C$19+Projects!$D$19),Projects!$B$19*INDEX(Curves!$B$10:$AR$10,1,85-Projects!$C$19+1),0)+IF(AND(Projects!$G$20="Yes",Projects!$X$20="Yes",85&gt;=Projects!$C$20,85&lt;Projects!$C$20+Projects!$D$20),Projects!$B$20*INDEX(Curves!$B$4:$AR$4,1,85-Projects!$C$20+1),0)+IF(AND(Projects!$G$21="Yes",Projects!$X$21="Yes",85&gt;=Projects!$C$21,85&lt;Projects!$C$21+Projects!$D$21),Projects!$B$21*INDEX(Curves!$B$11:$AR$11,1,85-Projects!$C$21+1),0)+IF(AND(Projects!$G$22="Yes",Projects!$X$22="Yes",85&gt;=Projects!$C$22,85&lt;Projects!$C$22+Projects!$D$22),Projects!$B$22*INDEX(Curves!$B$4:$AR$4,1,85-Projects!$C$22+1),0)+IF(AND(Projects!$G$23="Yes",Projects!$X$23="Yes",85&gt;=Projects!$C$23,85&lt;Projects!$C$23+Projects!$D$23),Projects!$B$23*INDEX(Curves!$B$4:$AR$4,1,85-Projects!$C$23+1),0)+IF(AND(Projects!$G$24="Yes",Projects!$X$24="Yes",85&gt;=Projects!$C$24,85&lt;Projects!$C$24+Projects!$D$24),Projects!$B$24*INDEX(Curves!$B$4:$AR$4,1,85-Projects!$C$24+1),0)+IF(AND(Projects!$G$25="Yes",Projects!$X$25="Yes",85&gt;=Projects!$C$25,85&lt;Projects!$C$25+Projects!$D$25),Projects!$B$25*INDEX(Curves!$B$4:$AR$4,1,85-Projects!$C$25+1),0)+IF(AND(Projects!$G$26="Yes",Projects!$X$26="Yes",85&gt;=Projects!$C$26,85&lt;Projects!$C$26+Projects!$D$26),Projects!$B$26*INDEX(Curves!$B$4:$AR$4,1,85-Projects!$C$26+1),0)+IF(AND(Projects!$G$27="Yes",Projects!$X$27="Yes",85&gt;=Projects!$C$27,85&lt;Projects!$C$27+Projects!$D$27),Projects!$B$27*INDEX(Curves!$B$4:$AR$4,1,85-Projects!$C$27+1),0)+IF(AND(Projects!$G$28="Yes",Projects!$X$28="Yes",85&gt;=Projects!$C$28,85&lt;Projects!$C$28+Projects!$D$28),Projects!$B$28*INDEX(Curves!$B$4:$AR$4,1,85-Projects!$C$28+1),0)+IF(AND(Projects!$G$29="Yes",Projects!$X$29="Yes",85&gt;=Projects!$C$29,85&lt;Projects!$C$29+Projects!$D$29),Projects!$B$29*INDEX(Curves!$B$4:$AR$4,1,85-Projects!$C$29+1),0)+IF(AND(Projects!$G$30="Yes",Projects!$X$30="Yes",85&gt;=Projects!$C$30,85&lt;Projects!$C$30+Projects!$D$30),Projects!$B$30*INDEX(Curves!$B$4:$AR$4,1,85-Projects!$C$30+1),0)+IF(AND(Projects!$G$31="Yes",Projects!$X$31="Yes",85&gt;=Projects!$C$31,85&lt;Projects!$C$31+Projects!$D$31),Projects!$B$31*INDEX(Curves!$B$4:$AR$4,1,85-Projects!$C$31+1),0)+IF(AND(Projects!$G$32="Yes",Projects!$X$32="Yes",85&gt;=Projects!$C$32,85&lt;Projects!$C$32+Projects!$D$32),Projects!$B$32*INDEX(Curves!$B$4:$AR$4,1,85-Projects!$C$32+1),0)+IF(AND(Projects!$G$33="Yes",Projects!$X$33="Yes",85&gt;=Projects!$C$33,85&lt;Projects!$C$33+Projects!$D$33),Projects!$B$33*INDEX(Curves!$B$4:$AR$4,1,85-Projects!$C$33+1),0)+IF(AND(Projects!$G$34="Yes",Projects!$X$34="Yes",85&gt;=Projects!$C$34,85&lt;Projects!$C$34+Projects!$D$34),Projects!$B$34*INDEX(Curves!$B$4:$AR$4,1,85-Projects!$C$34+1),0)+IF(AND(Projects!$G$35="Yes",Projects!$X$35="Yes",85&gt;=Projects!$C$35,85&lt;Projects!$C$35+Projects!$D$35),Projects!$B$35*INDEX(Curves!$B$4:$AR$4,1,85-Projects!$C$35+1),0)+IF(AND(Projects!$G$36="Yes",Projects!$X$36="Yes",85&gt;=Projects!$C$36,85&lt;Projects!$C$36+Projects!$D$36),Projects!$B$36*INDEX(Curves!$B$4:$AR$4,1,85-Projects!$C$36+1),0)+IF(AND(Projects!$G$37="Yes",Projects!$X$37="Yes",85&gt;=Projects!$C$37,85&lt;Projects!$C$37+Projects!$D$37),Projects!$B$37*INDEX(Curves!$B$4:$AR$4,1,85-Projects!$C$37+1),0)+IF(AND(Projects!$G$38="Yes",Projects!$X$38="Yes",85&gt;=Projects!$C$38,85&lt;Projects!$C$38+Projects!$D$38),Projects!$B$38*INDEX(Curves!$B$4:$AR$4,1,85-Projects!$C$38+1),0)+IF(AND(Projects!$G$39="Yes",Projects!$X$39="Yes",85&gt;=Projects!$C$39,85&lt;Projects!$C$39+Projects!$D$39),Projects!$B$39*INDEX(Curves!$B$4:$AR$4,1,85-Projects!$C$39+1),0)+IF(AND(Projects!$G$40="Yes",Projects!$X$40="Yes",85&gt;=Projects!$C$40,85&lt;Projects!$C$40+Projects!$D$40),Projects!$B$40*INDEX(Curves!$B$4:$AR$4,1,85-Projects!$C$40+1),0)+IF(AND(Projects!$G$41="Yes",Projects!$X$41="Yes",85&gt;=Projects!$C$41,85&lt;Projects!$C$41+Projects!$D$41),Projects!$B$41*INDEX(Curves!$B$4:$AR$4,1,85-Projects!$C$41+1),0)+IF(AND(Projects!$G$42="Yes",Projects!$X$42="Yes",85&gt;=Projects!$C$42,85&lt;Projects!$C$42+Projects!$D$42),Projects!$B$42*INDEX(Curves!$B$4:$AR$4,1,85-Projects!$C$42+1),0)+IF(AND(Projects!$G$43="Yes",Projects!$X$43="Yes",85&gt;=Projects!$C$43,85&lt;Projects!$C$43+Projects!$D$43),Projects!$B$43*INDEX(Curves!$B$4:$AR$4,1,85-Projects!$C$43+1),0)+IF(AND(Projects!$G$44="Yes",Projects!$X$44="Yes",85&gt;=Projects!$C$44,85&lt;Projects!$C$44+Projects!$D$44),Projects!$B$44*INDEX(Curves!$B$4:$AR$4,1,85-Projects!$C$44+1),0)+IF(AND(Projects!$G$45="Yes",Projects!$X$45="Yes",85&gt;=Projects!$C$45,85&lt;Projects!$C$45+Projects!$D$45),Projects!$B$45*INDEX(Curves!$B$4:$AR$4,1,85-Projects!$C$45+1),0)+IF(AND(Projects!$G$46="Yes",Projects!$X$46="Yes",85&gt;=Projects!$C$46,85&lt;Projects!$C$46+Projects!$D$46),Projects!$B$46*INDEX(Curves!$B$4:$AR$4,1,85-Projects!$C$46+1),0)</f>
        <v>0</v>
      </c>
      <c r="CM96" s="296" t="n">
        <f aca="false">IF(AND(Projects!$G$17="Yes",Projects!$X$17="Yes",86&gt;=Projects!$C$17,86&lt;Projects!$C$17+Projects!$D$17),Projects!$B$17*INDEX(Curves!$B$4:$AR$4,1,86-Projects!$C$17+1),0)+IF(AND(Projects!$G$18="Yes",Projects!$X$18="Yes",86&gt;=Projects!$C$18,86&lt;Projects!$C$18+Projects!$D$18),Projects!$B$18*INDEX(Curves!$B$4:$AR$4,1,86-Projects!$C$18+1),0)+IF(AND(Projects!$G$19="Yes",Projects!$X$19="Yes",86&gt;=Projects!$C$19,86&lt;Projects!$C$19+Projects!$D$19),Projects!$B$19*INDEX(Curves!$B$10:$AR$10,1,86-Projects!$C$19+1),0)+IF(AND(Projects!$G$20="Yes",Projects!$X$20="Yes",86&gt;=Projects!$C$20,86&lt;Projects!$C$20+Projects!$D$20),Projects!$B$20*INDEX(Curves!$B$4:$AR$4,1,86-Projects!$C$20+1),0)+IF(AND(Projects!$G$21="Yes",Projects!$X$21="Yes",86&gt;=Projects!$C$21,86&lt;Projects!$C$21+Projects!$D$21),Projects!$B$21*INDEX(Curves!$B$11:$AR$11,1,86-Projects!$C$21+1),0)+IF(AND(Projects!$G$22="Yes",Projects!$X$22="Yes",86&gt;=Projects!$C$22,86&lt;Projects!$C$22+Projects!$D$22),Projects!$B$22*INDEX(Curves!$B$4:$AR$4,1,86-Projects!$C$22+1),0)+IF(AND(Projects!$G$23="Yes",Projects!$X$23="Yes",86&gt;=Projects!$C$23,86&lt;Projects!$C$23+Projects!$D$23),Projects!$B$23*INDEX(Curves!$B$4:$AR$4,1,86-Projects!$C$23+1),0)+IF(AND(Projects!$G$24="Yes",Projects!$X$24="Yes",86&gt;=Projects!$C$24,86&lt;Projects!$C$24+Projects!$D$24),Projects!$B$24*INDEX(Curves!$B$4:$AR$4,1,86-Projects!$C$24+1),0)+IF(AND(Projects!$G$25="Yes",Projects!$X$25="Yes",86&gt;=Projects!$C$25,86&lt;Projects!$C$25+Projects!$D$25),Projects!$B$25*INDEX(Curves!$B$4:$AR$4,1,86-Projects!$C$25+1),0)+IF(AND(Projects!$G$26="Yes",Projects!$X$26="Yes",86&gt;=Projects!$C$26,86&lt;Projects!$C$26+Projects!$D$26),Projects!$B$26*INDEX(Curves!$B$4:$AR$4,1,86-Projects!$C$26+1),0)+IF(AND(Projects!$G$27="Yes",Projects!$X$27="Yes",86&gt;=Projects!$C$27,86&lt;Projects!$C$27+Projects!$D$27),Projects!$B$27*INDEX(Curves!$B$4:$AR$4,1,86-Projects!$C$27+1),0)+IF(AND(Projects!$G$28="Yes",Projects!$X$28="Yes",86&gt;=Projects!$C$28,86&lt;Projects!$C$28+Projects!$D$28),Projects!$B$28*INDEX(Curves!$B$4:$AR$4,1,86-Projects!$C$28+1),0)+IF(AND(Projects!$G$29="Yes",Projects!$X$29="Yes",86&gt;=Projects!$C$29,86&lt;Projects!$C$29+Projects!$D$29),Projects!$B$29*INDEX(Curves!$B$4:$AR$4,1,86-Projects!$C$29+1),0)+IF(AND(Projects!$G$30="Yes",Projects!$X$30="Yes",86&gt;=Projects!$C$30,86&lt;Projects!$C$30+Projects!$D$30),Projects!$B$30*INDEX(Curves!$B$4:$AR$4,1,86-Projects!$C$30+1),0)+IF(AND(Projects!$G$31="Yes",Projects!$X$31="Yes",86&gt;=Projects!$C$31,86&lt;Projects!$C$31+Projects!$D$31),Projects!$B$31*INDEX(Curves!$B$4:$AR$4,1,86-Projects!$C$31+1),0)+IF(AND(Projects!$G$32="Yes",Projects!$X$32="Yes",86&gt;=Projects!$C$32,86&lt;Projects!$C$32+Projects!$D$32),Projects!$B$32*INDEX(Curves!$B$4:$AR$4,1,86-Projects!$C$32+1),0)+IF(AND(Projects!$G$33="Yes",Projects!$X$33="Yes",86&gt;=Projects!$C$33,86&lt;Projects!$C$33+Projects!$D$33),Projects!$B$33*INDEX(Curves!$B$4:$AR$4,1,86-Projects!$C$33+1),0)+IF(AND(Projects!$G$34="Yes",Projects!$X$34="Yes",86&gt;=Projects!$C$34,86&lt;Projects!$C$34+Projects!$D$34),Projects!$B$34*INDEX(Curves!$B$4:$AR$4,1,86-Projects!$C$34+1),0)+IF(AND(Projects!$G$35="Yes",Projects!$X$35="Yes",86&gt;=Projects!$C$35,86&lt;Projects!$C$35+Projects!$D$35),Projects!$B$35*INDEX(Curves!$B$4:$AR$4,1,86-Projects!$C$35+1),0)+IF(AND(Projects!$G$36="Yes",Projects!$X$36="Yes",86&gt;=Projects!$C$36,86&lt;Projects!$C$36+Projects!$D$36),Projects!$B$36*INDEX(Curves!$B$4:$AR$4,1,86-Projects!$C$36+1),0)+IF(AND(Projects!$G$37="Yes",Projects!$X$37="Yes",86&gt;=Projects!$C$37,86&lt;Projects!$C$37+Projects!$D$37),Projects!$B$37*INDEX(Curves!$B$4:$AR$4,1,86-Projects!$C$37+1),0)+IF(AND(Projects!$G$38="Yes",Projects!$X$38="Yes",86&gt;=Projects!$C$38,86&lt;Projects!$C$38+Projects!$D$38),Projects!$B$38*INDEX(Curves!$B$4:$AR$4,1,86-Projects!$C$38+1),0)+IF(AND(Projects!$G$39="Yes",Projects!$X$39="Yes",86&gt;=Projects!$C$39,86&lt;Projects!$C$39+Projects!$D$39),Projects!$B$39*INDEX(Curves!$B$4:$AR$4,1,86-Projects!$C$39+1),0)+IF(AND(Projects!$G$40="Yes",Projects!$X$40="Yes",86&gt;=Projects!$C$40,86&lt;Projects!$C$40+Projects!$D$40),Projects!$B$40*INDEX(Curves!$B$4:$AR$4,1,86-Projects!$C$40+1),0)+IF(AND(Projects!$G$41="Yes",Projects!$X$41="Yes",86&gt;=Projects!$C$41,86&lt;Projects!$C$41+Projects!$D$41),Projects!$B$41*INDEX(Curves!$B$4:$AR$4,1,86-Projects!$C$41+1),0)+IF(AND(Projects!$G$42="Yes",Projects!$X$42="Yes",86&gt;=Projects!$C$42,86&lt;Projects!$C$42+Projects!$D$42),Projects!$B$42*INDEX(Curves!$B$4:$AR$4,1,86-Projects!$C$42+1),0)+IF(AND(Projects!$G$43="Yes",Projects!$X$43="Yes",86&gt;=Projects!$C$43,86&lt;Projects!$C$43+Projects!$D$43),Projects!$B$43*INDEX(Curves!$B$4:$AR$4,1,86-Projects!$C$43+1),0)+IF(AND(Projects!$G$44="Yes",Projects!$X$44="Yes",86&gt;=Projects!$C$44,86&lt;Projects!$C$44+Projects!$D$44),Projects!$B$44*INDEX(Curves!$B$4:$AR$4,1,86-Projects!$C$44+1),0)+IF(AND(Projects!$G$45="Yes",Projects!$X$45="Yes",86&gt;=Projects!$C$45,86&lt;Projects!$C$45+Projects!$D$45),Projects!$B$45*INDEX(Curves!$B$4:$AR$4,1,86-Projects!$C$45+1),0)+IF(AND(Projects!$G$46="Yes",Projects!$X$46="Yes",86&gt;=Projects!$C$46,86&lt;Projects!$C$46+Projects!$D$46),Projects!$B$46*INDEX(Curves!$B$4:$AR$4,1,86-Projects!$C$46+1),0)</f>
        <v>0</v>
      </c>
      <c r="CN96" s="296" t="n">
        <f aca="false">IF(AND(Projects!$G$17="Yes",Projects!$X$17="Yes",87&gt;=Projects!$C$17,87&lt;Projects!$C$17+Projects!$D$17),Projects!$B$17*INDEX(Curves!$B$4:$AR$4,1,87-Projects!$C$17+1),0)+IF(AND(Projects!$G$18="Yes",Projects!$X$18="Yes",87&gt;=Projects!$C$18,87&lt;Projects!$C$18+Projects!$D$18),Projects!$B$18*INDEX(Curves!$B$4:$AR$4,1,87-Projects!$C$18+1),0)+IF(AND(Projects!$G$19="Yes",Projects!$X$19="Yes",87&gt;=Projects!$C$19,87&lt;Projects!$C$19+Projects!$D$19),Projects!$B$19*INDEX(Curves!$B$10:$AR$10,1,87-Projects!$C$19+1),0)+IF(AND(Projects!$G$20="Yes",Projects!$X$20="Yes",87&gt;=Projects!$C$20,87&lt;Projects!$C$20+Projects!$D$20),Projects!$B$20*INDEX(Curves!$B$4:$AR$4,1,87-Projects!$C$20+1),0)+IF(AND(Projects!$G$21="Yes",Projects!$X$21="Yes",87&gt;=Projects!$C$21,87&lt;Projects!$C$21+Projects!$D$21),Projects!$B$21*INDEX(Curves!$B$11:$AR$11,1,87-Projects!$C$21+1),0)+IF(AND(Projects!$G$22="Yes",Projects!$X$22="Yes",87&gt;=Projects!$C$22,87&lt;Projects!$C$22+Projects!$D$22),Projects!$B$22*INDEX(Curves!$B$4:$AR$4,1,87-Projects!$C$22+1),0)+IF(AND(Projects!$G$23="Yes",Projects!$X$23="Yes",87&gt;=Projects!$C$23,87&lt;Projects!$C$23+Projects!$D$23),Projects!$B$23*INDEX(Curves!$B$4:$AR$4,1,87-Projects!$C$23+1),0)+IF(AND(Projects!$G$24="Yes",Projects!$X$24="Yes",87&gt;=Projects!$C$24,87&lt;Projects!$C$24+Projects!$D$24),Projects!$B$24*INDEX(Curves!$B$4:$AR$4,1,87-Projects!$C$24+1),0)+IF(AND(Projects!$G$25="Yes",Projects!$X$25="Yes",87&gt;=Projects!$C$25,87&lt;Projects!$C$25+Projects!$D$25),Projects!$B$25*INDEX(Curves!$B$4:$AR$4,1,87-Projects!$C$25+1),0)+IF(AND(Projects!$G$26="Yes",Projects!$X$26="Yes",87&gt;=Projects!$C$26,87&lt;Projects!$C$26+Projects!$D$26),Projects!$B$26*INDEX(Curves!$B$4:$AR$4,1,87-Projects!$C$26+1),0)+IF(AND(Projects!$G$27="Yes",Projects!$X$27="Yes",87&gt;=Projects!$C$27,87&lt;Projects!$C$27+Projects!$D$27),Projects!$B$27*INDEX(Curves!$B$4:$AR$4,1,87-Projects!$C$27+1),0)+IF(AND(Projects!$G$28="Yes",Projects!$X$28="Yes",87&gt;=Projects!$C$28,87&lt;Projects!$C$28+Projects!$D$28),Projects!$B$28*INDEX(Curves!$B$4:$AR$4,1,87-Projects!$C$28+1),0)+IF(AND(Projects!$G$29="Yes",Projects!$X$29="Yes",87&gt;=Projects!$C$29,87&lt;Projects!$C$29+Projects!$D$29),Projects!$B$29*INDEX(Curves!$B$4:$AR$4,1,87-Projects!$C$29+1),0)+IF(AND(Projects!$G$30="Yes",Projects!$X$30="Yes",87&gt;=Projects!$C$30,87&lt;Projects!$C$30+Projects!$D$30),Projects!$B$30*INDEX(Curves!$B$4:$AR$4,1,87-Projects!$C$30+1),0)+IF(AND(Projects!$G$31="Yes",Projects!$X$31="Yes",87&gt;=Projects!$C$31,87&lt;Projects!$C$31+Projects!$D$31),Projects!$B$31*INDEX(Curves!$B$4:$AR$4,1,87-Projects!$C$31+1),0)+IF(AND(Projects!$G$32="Yes",Projects!$X$32="Yes",87&gt;=Projects!$C$32,87&lt;Projects!$C$32+Projects!$D$32),Projects!$B$32*INDEX(Curves!$B$4:$AR$4,1,87-Projects!$C$32+1),0)+IF(AND(Projects!$G$33="Yes",Projects!$X$33="Yes",87&gt;=Projects!$C$33,87&lt;Projects!$C$33+Projects!$D$33),Projects!$B$33*INDEX(Curves!$B$4:$AR$4,1,87-Projects!$C$33+1),0)+IF(AND(Projects!$G$34="Yes",Projects!$X$34="Yes",87&gt;=Projects!$C$34,87&lt;Projects!$C$34+Projects!$D$34),Projects!$B$34*INDEX(Curves!$B$4:$AR$4,1,87-Projects!$C$34+1),0)+IF(AND(Projects!$G$35="Yes",Projects!$X$35="Yes",87&gt;=Projects!$C$35,87&lt;Projects!$C$35+Projects!$D$35),Projects!$B$35*INDEX(Curves!$B$4:$AR$4,1,87-Projects!$C$35+1),0)+IF(AND(Projects!$G$36="Yes",Projects!$X$36="Yes",87&gt;=Projects!$C$36,87&lt;Projects!$C$36+Projects!$D$36),Projects!$B$36*INDEX(Curves!$B$4:$AR$4,1,87-Projects!$C$36+1),0)+IF(AND(Projects!$G$37="Yes",Projects!$X$37="Yes",87&gt;=Projects!$C$37,87&lt;Projects!$C$37+Projects!$D$37),Projects!$B$37*INDEX(Curves!$B$4:$AR$4,1,87-Projects!$C$37+1),0)+IF(AND(Projects!$G$38="Yes",Projects!$X$38="Yes",87&gt;=Projects!$C$38,87&lt;Projects!$C$38+Projects!$D$38),Projects!$B$38*INDEX(Curves!$B$4:$AR$4,1,87-Projects!$C$38+1),0)+IF(AND(Projects!$G$39="Yes",Projects!$X$39="Yes",87&gt;=Projects!$C$39,87&lt;Projects!$C$39+Projects!$D$39),Projects!$B$39*INDEX(Curves!$B$4:$AR$4,1,87-Projects!$C$39+1),0)+IF(AND(Projects!$G$40="Yes",Projects!$X$40="Yes",87&gt;=Projects!$C$40,87&lt;Projects!$C$40+Projects!$D$40),Projects!$B$40*INDEX(Curves!$B$4:$AR$4,1,87-Projects!$C$40+1),0)+IF(AND(Projects!$G$41="Yes",Projects!$X$41="Yes",87&gt;=Projects!$C$41,87&lt;Projects!$C$41+Projects!$D$41),Projects!$B$41*INDEX(Curves!$B$4:$AR$4,1,87-Projects!$C$41+1),0)+IF(AND(Projects!$G$42="Yes",Projects!$X$42="Yes",87&gt;=Projects!$C$42,87&lt;Projects!$C$42+Projects!$D$42),Projects!$B$42*INDEX(Curves!$B$4:$AR$4,1,87-Projects!$C$42+1),0)+IF(AND(Projects!$G$43="Yes",Projects!$X$43="Yes",87&gt;=Projects!$C$43,87&lt;Projects!$C$43+Projects!$D$43),Projects!$B$43*INDEX(Curves!$B$4:$AR$4,1,87-Projects!$C$43+1),0)+IF(AND(Projects!$G$44="Yes",Projects!$X$44="Yes",87&gt;=Projects!$C$44,87&lt;Projects!$C$44+Projects!$D$44),Projects!$B$44*INDEX(Curves!$B$4:$AR$4,1,87-Projects!$C$44+1),0)+IF(AND(Projects!$G$45="Yes",Projects!$X$45="Yes",87&gt;=Projects!$C$45,87&lt;Projects!$C$45+Projects!$D$45),Projects!$B$45*INDEX(Curves!$B$4:$AR$4,1,87-Projects!$C$45+1),0)+IF(AND(Projects!$G$46="Yes",Projects!$X$46="Yes",87&gt;=Projects!$C$46,87&lt;Projects!$C$46+Projects!$D$46),Projects!$B$46*INDEX(Curves!$B$4:$AR$4,1,87-Projects!$C$46+1),0)</f>
        <v>0</v>
      </c>
      <c r="CO96" s="296" t="n">
        <f aca="false">IF(AND(Projects!$G$17="Yes",Projects!$X$17="Yes",88&gt;=Projects!$C$17,88&lt;Projects!$C$17+Projects!$D$17),Projects!$B$17*INDEX(Curves!$B$4:$AR$4,1,88-Projects!$C$17+1),0)+IF(AND(Projects!$G$18="Yes",Projects!$X$18="Yes",88&gt;=Projects!$C$18,88&lt;Projects!$C$18+Projects!$D$18),Projects!$B$18*INDEX(Curves!$B$4:$AR$4,1,88-Projects!$C$18+1),0)+IF(AND(Projects!$G$19="Yes",Projects!$X$19="Yes",88&gt;=Projects!$C$19,88&lt;Projects!$C$19+Projects!$D$19),Projects!$B$19*INDEX(Curves!$B$10:$AR$10,1,88-Projects!$C$19+1),0)+IF(AND(Projects!$G$20="Yes",Projects!$X$20="Yes",88&gt;=Projects!$C$20,88&lt;Projects!$C$20+Projects!$D$20),Projects!$B$20*INDEX(Curves!$B$4:$AR$4,1,88-Projects!$C$20+1),0)+IF(AND(Projects!$G$21="Yes",Projects!$X$21="Yes",88&gt;=Projects!$C$21,88&lt;Projects!$C$21+Projects!$D$21),Projects!$B$21*INDEX(Curves!$B$11:$AR$11,1,88-Projects!$C$21+1),0)+IF(AND(Projects!$G$22="Yes",Projects!$X$22="Yes",88&gt;=Projects!$C$22,88&lt;Projects!$C$22+Projects!$D$22),Projects!$B$22*INDEX(Curves!$B$4:$AR$4,1,88-Projects!$C$22+1),0)+IF(AND(Projects!$G$23="Yes",Projects!$X$23="Yes",88&gt;=Projects!$C$23,88&lt;Projects!$C$23+Projects!$D$23),Projects!$B$23*INDEX(Curves!$B$4:$AR$4,1,88-Projects!$C$23+1),0)+IF(AND(Projects!$G$24="Yes",Projects!$X$24="Yes",88&gt;=Projects!$C$24,88&lt;Projects!$C$24+Projects!$D$24),Projects!$B$24*INDEX(Curves!$B$4:$AR$4,1,88-Projects!$C$24+1),0)+IF(AND(Projects!$G$25="Yes",Projects!$X$25="Yes",88&gt;=Projects!$C$25,88&lt;Projects!$C$25+Projects!$D$25),Projects!$B$25*INDEX(Curves!$B$4:$AR$4,1,88-Projects!$C$25+1),0)+IF(AND(Projects!$G$26="Yes",Projects!$X$26="Yes",88&gt;=Projects!$C$26,88&lt;Projects!$C$26+Projects!$D$26),Projects!$B$26*INDEX(Curves!$B$4:$AR$4,1,88-Projects!$C$26+1),0)+IF(AND(Projects!$G$27="Yes",Projects!$X$27="Yes",88&gt;=Projects!$C$27,88&lt;Projects!$C$27+Projects!$D$27),Projects!$B$27*INDEX(Curves!$B$4:$AR$4,1,88-Projects!$C$27+1),0)+IF(AND(Projects!$G$28="Yes",Projects!$X$28="Yes",88&gt;=Projects!$C$28,88&lt;Projects!$C$28+Projects!$D$28),Projects!$B$28*INDEX(Curves!$B$4:$AR$4,1,88-Projects!$C$28+1),0)+IF(AND(Projects!$G$29="Yes",Projects!$X$29="Yes",88&gt;=Projects!$C$29,88&lt;Projects!$C$29+Projects!$D$29),Projects!$B$29*INDEX(Curves!$B$4:$AR$4,1,88-Projects!$C$29+1),0)+IF(AND(Projects!$G$30="Yes",Projects!$X$30="Yes",88&gt;=Projects!$C$30,88&lt;Projects!$C$30+Projects!$D$30),Projects!$B$30*INDEX(Curves!$B$4:$AR$4,1,88-Projects!$C$30+1),0)+IF(AND(Projects!$G$31="Yes",Projects!$X$31="Yes",88&gt;=Projects!$C$31,88&lt;Projects!$C$31+Projects!$D$31),Projects!$B$31*INDEX(Curves!$B$4:$AR$4,1,88-Projects!$C$31+1),0)+IF(AND(Projects!$G$32="Yes",Projects!$X$32="Yes",88&gt;=Projects!$C$32,88&lt;Projects!$C$32+Projects!$D$32),Projects!$B$32*INDEX(Curves!$B$4:$AR$4,1,88-Projects!$C$32+1),0)+IF(AND(Projects!$G$33="Yes",Projects!$X$33="Yes",88&gt;=Projects!$C$33,88&lt;Projects!$C$33+Projects!$D$33),Projects!$B$33*INDEX(Curves!$B$4:$AR$4,1,88-Projects!$C$33+1),0)+IF(AND(Projects!$G$34="Yes",Projects!$X$34="Yes",88&gt;=Projects!$C$34,88&lt;Projects!$C$34+Projects!$D$34),Projects!$B$34*INDEX(Curves!$B$4:$AR$4,1,88-Projects!$C$34+1),0)+IF(AND(Projects!$G$35="Yes",Projects!$X$35="Yes",88&gt;=Projects!$C$35,88&lt;Projects!$C$35+Projects!$D$35),Projects!$B$35*INDEX(Curves!$B$4:$AR$4,1,88-Projects!$C$35+1),0)+IF(AND(Projects!$G$36="Yes",Projects!$X$36="Yes",88&gt;=Projects!$C$36,88&lt;Projects!$C$36+Projects!$D$36),Projects!$B$36*INDEX(Curves!$B$4:$AR$4,1,88-Projects!$C$36+1),0)+IF(AND(Projects!$G$37="Yes",Projects!$X$37="Yes",88&gt;=Projects!$C$37,88&lt;Projects!$C$37+Projects!$D$37),Projects!$B$37*INDEX(Curves!$B$4:$AR$4,1,88-Projects!$C$37+1),0)+IF(AND(Projects!$G$38="Yes",Projects!$X$38="Yes",88&gt;=Projects!$C$38,88&lt;Projects!$C$38+Projects!$D$38),Projects!$B$38*INDEX(Curves!$B$4:$AR$4,1,88-Projects!$C$38+1),0)+IF(AND(Projects!$G$39="Yes",Projects!$X$39="Yes",88&gt;=Projects!$C$39,88&lt;Projects!$C$39+Projects!$D$39),Projects!$B$39*INDEX(Curves!$B$4:$AR$4,1,88-Projects!$C$39+1),0)+IF(AND(Projects!$G$40="Yes",Projects!$X$40="Yes",88&gt;=Projects!$C$40,88&lt;Projects!$C$40+Projects!$D$40),Projects!$B$40*INDEX(Curves!$B$4:$AR$4,1,88-Projects!$C$40+1),0)+IF(AND(Projects!$G$41="Yes",Projects!$X$41="Yes",88&gt;=Projects!$C$41,88&lt;Projects!$C$41+Projects!$D$41),Projects!$B$41*INDEX(Curves!$B$4:$AR$4,1,88-Projects!$C$41+1),0)+IF(AND(Projects!$G$42="Yes",Projects!$X$42="Yes",88&gt;=Projects!$C$42,88&lt;Projects!$C$42+Projects!$D$42),Projects!$B$42*INDEX(Curves!$B$4:$AR$4,1,88-Projects!$C$42+1),0)+IF(AND(Projects!$G$43="Yes",Projects!$X$43="Yes",88&gt;=Projects!$C$43,88&lt;Projects!$C$43+Projects!$D$43),Projects!$B$43*INDEX(Curves!$B$4:$AR$4,1,88-Projects!$C$43+1),0)+IF(AND(Projects!$G$44="Yes",Projects!$X$44="Yes",88&gt;=Projects!$C$44,88&lt;Projects!$C$44+Projects!$D$44),Projects!$B$44*INDEX(Curves!$B$4:$AR$4,1,88-Projects!$C$44+1),0)+IF(AND(Projects!$G$45="Yes",Projects!$X$45="Yes",88&gt;=Projects!$C$45,88&lt;Projects!$C$45+Projects!$D$45),Projects!$B$45*INDEX(Curves!$B$4:$AR$4,1,88-Projects!$C$45+1),0)+IF(AND(Projects!$G$46="Yes",Projects!$X$46="Yes",88&gt;=Projects!$C$46,88&lt;Projects!$C$46+Projects!$D$46),Projects!$B$46*INDEX(Curves!$B$4:$AR$4,1,88-Projects!$C$46+1),0)</f>
        <v>0</v>
      </c>
      <c r="CP96" s="296" t="n">
        <f aca="false">IF(AND(Projects!$G$17="Yes",Projects!$X$17="Yes",89&gt;=Projects!$C$17,89&lt;Projects!$C$17+Projects!$D$17),Projects!$B$17*INDEX(Curves!$B$4:$AR$4,1,89-Projects!$C$17+1),0)+IF(AND(Projects!$G$18="Yes",Projects!$X$18="Yes",89&gt;=Projects!$C$18,89&lt;Projects!$C$18+Projects!$D$18),Projects!$B$18*INDEX(Curves!$B$4:$AR$4,1,89-Projects!$C$18+1),0)+IF(AND(Projects!$G$19="Yes",Projects!$X$19="Yes",89&gt;=Projects!$C$19,89&lt;Projects!$C$19+Projects!$D$19),Projects!$B$19*INDEX(Curves!$B$10:$AR$10,1,89-Projects!$C$19+1),0)+IF(AND(Projects!$G$20="Yes",Projects!$X$20="Yes",89&gt;=Projects!$C$20,89&lt;Projects!$C$20+Projects!$D$20),Projects!$B$20*INDEX(Curves!$B$4:$AR$4,1,89-Projects!$C$20+1),0)+IF(AND(Projects!$G$21="Yes",Projects!$X$21="Yes",89&gt;=Projects!$C$21,89&lt;Projects!$C$21+Projects!$D$21),Projects!$B$21*INDEX(Curves!$B$11:$AR$11,1,89-Projects!$C$21+1),0)+IF(AND(Projects!$G$22="Yes",Projects!$X$22="Yes",89&gt;=Projects!$C$22,89&lt;Projects!$C$22+Projects!$D$22),Projects!$B$22*INDEX(Curves!$B$4:$AR$4,1,89-Projects!$C$22+1),0)+IF(AND(Projects!$G$23="Yes",Projects!$X$23="Yes",89&gt;=Projects!$C$23,89&lt;Projects!$C$23+Projects!$D$23),Projects!$B$23*INDEX(Curves!$B$4:$AR$4,1,89-Projects!$C$23+1),0)+IF(AND(Projects!$G$24="Yes",Projects!$X$24="Yes",89&gt;=Projects!$C$24,89&lt;Projects!$C$24+Projects!$D$24),Projects!$B$24*INDEX(Curves!$B$4:$AR$4,1,89-Projects!$C$24+1),0)+IF(AND(Projects!$G$25="Yes",Projects!$X$25="Yes",89&gt;=Projects!$C$25,89&lt;Projects!$C$25+Projects!$D$25),Projects!$B$25*INDEX(Curves!$B$4:$AR$4,1,89-Projects!$C$25+1),0)+IF(AND(Projects!$G$26="Yes",Projects!$X$26="Yes",89&gt;=Projects!$C$26,89&lt;Projects!$C$26+Projects!$D$26),Projects!$B$26*INDEX(Curves!$B$4:$AR$4,1,89-Projects!$C$26+1),0)+IF(AND(Projects!$G$27="Yes",Projects!$X$27="Yes",89&gt;=Projects!$C$27,89&lt;Projects!$C$27+Projects!$D$27),Projects!$B$27*INDEX(Curves!$B$4:$AR$4,1,89-Projects!$C$27+1),0)+IF(AND(Projects!$G$28="Yes",Projects!$X$28="Yes",89&gt;=Projects!$C$28,89&lt;Projects!$C$28+Projects!$D$28),Projects!$B$28*INDEX(Curves!$B$4:$AR$4,1,89-Projects!$C$28+1),0)+IF(AND(Projects!$G$29="Yes",Projects!$X$29="Yes",89&gt;=Projects!$C$29,89&lt;Projects!$C$29+Projects!$D$29),Projects!$B$29*INDEX(Curves!$B$4:$AR$4,1,89-Projects!$C$29+1),0)+IF(AND(Projects!$G$30="Yes",Projects!$X$30="Yes",89&gt;=Projects!$C$30,89&lt;Projects!$C$30+Projects!$D$30),Projects!$B$30*INDEX(Curves!$B$4:$AR$4,1,89-Projects!$C$30+1),0)+IF(AND(Projects!$G$31="Yes",Projects!$X$31="Yes",89&gt;=Projects!$C$31,89&lt;Projects!$C$31+Projects!$D$31),Projects!$B$31*INDEX(Curves!$B$4:$AR$4,1,89-Projects!$C$31+1),0)+IF(AND(Projects!$G$32="Yes",Projects!$X$32="Yes",89&gt;=Projects!$C$32,89&lt;Projects!$C$32+Projects!$D$32),Projects!$B$32*INDEX(Curves!$B$4:$AR$4,1,89-Projects!$C$32+1),0)+IF(AND(Projects!$G$33="Yes",Projects!$X$33="Yes",89&gt;=Projects!$C$33,89&lt;Projects!$C$33+Projects!$D$33),Projects!$B$33*INDEX(Curves!$B$4:$AR$4,1,89-Projects!$C$33+1),0)+IF(AND(Projects!$G$34="Yes",Projects!$X$34="Yes",89&gt;=Projects!$C$34,89&lt;Projects!$C$34+Projects!$D$34),Projects!$B$34*INDEX(Curves!$B$4:$AR$4,1,89-Projects!$C$34+1),0)+IF(AND(Projects!$G$35="Yes",Projects!$X$35="Yes",89&gt;=Projects!$C$35,89&lt;Projects!$C$35+Projects!$D$35),Projects!$B$35*INDEX(Curves!$B$4:$AR$4,1,89-Projects!$C$35+1),0)+IF(AND(Projects!$G$36="Yes",Projects!$X$36="Yes",89&gt;=Projects!$C$36,89&lt;Projects!$C$36+Projects!$D$36),Projects!$B$36*INDEX(Curves!$B$4:$AR$4,1,89-Projects!$C$36+1),0)+IF(AND(Projects!$G$37="Yes",Projects!$X$37="Yes",89&gt;=Projects!$C$37,89&lt;Projects!$C$37+Projects!$D$37),Projects!$B$37*INDEX(Curves!$B$4:$AR$4,1,89-Projects!$C$37+1),0)+IF(AND(Projects!$G$38="Yes",Projects!$X$38="Yes",89&gt;=Projects!$C$38,89&lt;Projects!$C$38+Projects!$D$38),Projects!$B$38*INDEX(Curves!$B$4:$AR$4,1,89-Projects!$C$38+1),0)+IF(AND(Projects!$G$39="Yes",Projects!$X$39="Yes",89&gt;=Projects!$C$39,89&lt;Projects!$C$39+Projects!$D$39),Projects!$B$39*INDEX(Curves!$B$4:$AR$4,1,89-Projects!$C$39+1),0)+IF(AND(Projects!$G$40="Yes",Projects!$X$40="Yes",89&gt;=Projects!$C$40,89&lt;Projects!$C$40+Projects!$D$40),Projects!$B$40*INDEX(Curves!$B$4:$AR$4,1,89-Projects!$C$40+1),0)+IF(AND(Projects!$G$41="Yes",Projects!$X$41="Yes",89&gt;=Projects!$C$41,89&lt;Projects!$C$41+Projects!$D$41),Projects!$B$41*INDEX(Curves!$B$4:$AR$4,1,89-Projects!$C$41+1),0)+IF(AND(Projects!$G$42="Yes",Projects!$X$42="Yes",89&gt;=Projects!$C$42,89&lt;Projects!$C$42+Projects!$D$42),Projects!$B$42*INDEX(Curves!$B$4:$AR$4,1,89-Projects!$C$42+1),0)+IF(AND(Projects!$G$43="Yes",Projects!$X$43="Yes",89&gt;=Projects!$C$43,89&lt;Projects!$C$43+Projects!$D$43),Projects!$B$43*INDEX(Curves!$B$4:$AR$4,1,89-Projects!$C$43+1),0)+IF(AND(Projects!$G$44="Yes",Projects!$X$44="Yes",89&gt;=Projects!$C$44,89&lt;Projects!$C$44+Projects!$D$44),Projects!$B$44*INDEX(Curves!$B$4:$AR$4,1,89-Projects!$C$44+1),0)+IF(AND(Projects!$G$45="Yes",Projects!$X$45="Yes",89&gt;=Projects!$C$45,89&lt;Projects!$C$45+Projects!$D$45),Projects!$B$45*INDEX(Curves!$B$4:$AR$4,1,89-Projects!$C$45+1),0)+IF(AND(Projects!$G$46="Yes",Projects!$X$46="Yes",89&gt;=Projects!$C$46,89&lt;Projects!$C$46+Projects!$D$46),Projects!$B$46*INDEX(Curves!$B$4:$AR$4,1,89-Projects!$C$46+1),0)</f>
        <v>0</v>
      </c>
      <c r="CQ96" s="296" t="n">
        <f aca="false">IF(AND(Projects!$G$17="Yes",Projects!$X$17="Yes",90&gt;=Projects!$C$17,90&lt;Projects!$C$17+Projects!$D$17),Projects!$B$17*INDEX(Curves!$B$4:$AR$4,1,90-Projects!$C$17+1),0)+IF(AND(Projects!$G$18="Yes",Projects!$X$18="Yes",90&gt;=Projects!$C$18,90&lt;Projects!$C$18+Projects!$D$18),Projects!$B$18*INDEX(Curves!$B$4:$AR$4,1,90-Projects!$C$18+1),0)+IF(AND(Projects!$G$19="Yes",Projects!$X$19="Yes",90&gt;=Projects!$C$19,90&lt;Projects!$C$19+Projects!$D$19),Projects!$B$19*INDEX(Curves!$B$10:$AR$10,1,90-Projects!$C$19+1),0)+IF(AND(Projects!$G$20="Yes",Projects!$X$20="Yes",90&gt;=Projects!$C$20,90&lt;Projects!$C$20+Projects!$D$20),Projects!$B$20*INDEX(Curves!$B$4:$AR$4,1,90-Projects!$C$20+1),0)+IF(AND(Projects!$G$21="Yes",Projects!$X$21="Yes",90&gt;=Projects!$C$21,90&lt;Projects!$C$21+Projects!$D$21),Projects!$B$21*INDEX(Curves!$B$11:$AR$11,1,90-Projects!$C$21+1),0)+IF(AND(Projects!$G$22="Yes",Projects!$X$22="Yes",90&gt;=Projects!$C$22,90&lt;Projects!$C$22+Projects!$D$22),Projects!$B$22*INDEX(Curves!$B$4:$AR$4,1,90-Projects!$C$22+1),0)+IF(AND(Projects!$G$23="Yes",Projects!$X$23="Yes",90&gt;=Projects!$C$23,90&lt;Projects!$C$23+Projects!$D$23),Projects!$B$23*INDEX(Curves!$B$4:$AR$4,1,90-Projects!$C$23+1),0)+IF(AND(Projects!$G$24="Yes",Projects!$X$24="Yes",90&gt;=Projects!$C$24,90&lt;Projects!$C$24+Projects!$D$24),Projects!$B$24*INDEX(Curves!$B$4:$AR$4,1,90-Projects!$C$24+1),0)+IF(AND(Projects!$G$25="Yes",Projects!$X$25="Yes",90&gt;=Projects!$C$25,90&lt;Projects!$C$25+Projects!$D$25),Projects!$B$25*INDEX(Curves!$B$4:$AR$4,1,90-Projects!$C$25+1),0)+IF(AND(Projects!$G$26="Yes",Projects!$X$26="Yes",90&gt;=Projects!$C$26,90&lt;Projects!$C$26+Projects!$D$26),Projects!$B$26*INDEX(Curves!$B$4:$AR$4,1,90-Projects!$C$26+1),0)+IF(AND(Projects!$G$27="Yes",Projects!$X$27="Yes",90&gt;=Projects!$C$27,90&lt;Projects!$C$27+Projects!$D$27),Projects!$B$27*INDEX(Curves!$B$4:$AR$4,1,90-Projects!$C$27+1),0)+IF(AND(Projects!$G$28="Yes",Projects!$X$28="Yes",90&gt;=Projects!$C$28,90&lt;Projects!$C$28+Projects!$D$28),Projects!$B$28*INDEX(Curves!$B$4:$AR$4,1,90-Projects!$C$28+1),0)+IF(AND(Projects!$G$29="Yes",Projects!$X$29="Yes",90&gt;=Projects!$C$29,90&lt;Projects!$C$29+Projects!$D$29),Projects!$B$29*INDEX(Curves!$B$4:$AR$4,1,90-Projects!$C$29+1),0)+IF(AND(Projects!$G$30="Yes",Projects!$X$30="Yes",90&gt;=Projects!$C$30,90&lt;Projects!$C$30+Projects!$D$30),Projects!$B$30*INDEX(Curves!$B$4:$AR$4,1,90-Projects!$C$30+1),0)+IF(AND(Projects!$G$31="Yes",Projects!$X$31="Yes",90&gt;=Projects!$C$31,90&lt;Projects!$C$31+Projects!$D$31),Projects!$B$31*INDEX(Curves!$B$4:$AR$4,1,90-Projects!$C$31+1),0)+IF(AND(Projects!$G$32="Yes",Projects!$X$32="Yes",90&gt;=Projects!$C$32,90&lt;Projects!$C$32+Projects!$D$32),Projects!$B$32*INDEX(Curves!$B$4:$AR$4,1,90-Projects!$C$32+1),0)+IF(AND(Projects!$G$33="Yes",Projects!$X$33="Yes",90&gt;=Projects!$C$33,90&lt;Projects!$C$33+Projects!$D$33),Projects!$B$33*INDEX(Curves!$B$4:$AR$4,1,90-Projects!$C$33+1),0)+IF(AND(Projects!$G$34="Yes",Projects!$X$34="Yes",90&gt;=Projects!$C$34,90&lt;Projects!$C$34+Projects!$D$34),Projects!$B$34*INDEX(Curves!$B$4:$AR$4,1,90-Projects!$C$34+1),0)+IF(AND(Projects!$G$35="Yes",Projects!$X$35="Yes",90&gt;=Projects!$C$35,90&lt;Projects!$C$35+Projects!$D$35),Projects!$B$35*INDEX(Curves!$B$4:$AR$4,1,90-Projects!$C$35+1),0)+IF(AND(Projects!$G$36="Yes",Projects!$X$36="Yes",90&gt;=Projects!$C$36,90&lt;Projects!$C$36+Projects!$D$36),Projects!$B$36*INDEX(Curves!$B$4:$AR$4,1,90-Projects!$C$36+1),0)+IF(AND(Projects!$G$37="Yes",Projects!$X$37="Yes",90&gt;=Projects!$C$37,90&lt;Projects!$C$37+Projects!$D$37),Projects!$B$37*INDEX(Curves!$B$4:$AR$4,1,90-Projects!$C$37+1),0)+IF(AND(Projects!$G$38="Yes",Projects!$X$38="Yes",90&gt;=Projects!$C$38,90&lt;Projects!$C$38+Projects!$D$38),Projects!$B$38*INDEX(Curves!$B$4:$AR$4,1,90-Projects!$C$38+1),0)+IF(AND(Projects!$G$39="Yes",Projects!$X$39="Yes",90&gt;=Projects!$C$39,90&lt;Projects!$C$39+Projects!$D$39),Projects!$B$39*INDEX(Curves!$B$4:$AR$4,1,90-Projects!$C$39+1),0)+IF(AND(Projects!$G$40="Yes",Projects!$X$40="Yes",90&gt;=Projects!$C$40,90&lt;Projects!$C$40+Projects!$D$40),Projects!$B$40*INDEX(Curves!$B$4:$AR$4,1,90-Projects!$C$40+1),0)+IF(AND(Projects!$G$41="Yes",Projects!$X$41="Yes",90&gt;=Projects!$C$41,90&lt;Projects!$C$41+Projects!$D$41),Projects!$B$41*INDEX(Curves!$B$4:$AR$4,1,90-Projects!$C$41+1),0)+IF(AND(Projects!$G$42="Yes",Projects!$X$42="Yes",90&gt;=Projects!$C$42,90&lt;Projects!$C$42+Projects!$D$42),Projects!$B$42*INDEX(Curves!$B$4:$AR$4,1,90-Projects!$C$42+1),0)+IF(AND(Projects!$G$43="Yes",Projects!$X$43="Yes",90&gt;=Projects!$C$43,90&lt;Projects!$C$43+Projects!$D$43),Projects!$B$43*INDEX(Curves!$B$4:$AR$4,1,90-Projects!$C$43+1),0)+IF(AND(Projects!$G$44="Yes",Projects!$X$44="Yes",90&gt;=Projects!$C$44,90&lt;Projects!$C$44+Projects!$D$44),Projects!$B$44*INDEX(Curves!$B$4:$AR$4,1,90-Projects!$C$44+1),0)+IF(AND(Projects!$G$45="Yes",Projects!$X$45="Yes",90&gt;=Projects!$C$45,90&lt;Projects!$C$45+Projects!$D$45),Projects!$B$45*INDEX(Curves!$B$4:$AR$4,1,90-Projects!$C$45+1),0)+IF(AND(Projects!$G$46="Yes",Projects!$X$46="Yes",90&gt;=Projects!$C$46,90&lt;Projects!$C$46+Projects!$D$46),Projects!$B$46*INDEX(Curves!$B$4:$AR$4,1,90-Projects!$C$46+1),0)</f>
        <v>0</v>
      </c>
      <c r="CR96" s="296" t="n">
        <f aca="false">IF(AND(Projects!$G$17="Yes",Projects!$X$17="Yes",91&gt;=Projects!$C$17,91&lt;Projects!$C$17+Projects!$D$17),Projects!$B$17*INDEX(Curves!$B$4:$AR$4,1,91-Projects!$C$17+1),0)+IF(AND(Projects!$G$18="Yes",Projects!$X$18="Yes",91&gt;=Projects!$C$18,91&lt;Projects!$C$18+Projects!$D$18),Projects!$B$18*INDEX(Curves!$B$4:$AR$4,1,91-Projects!$C$18+1),0)+IF(AND(Projects!$G$19="Yes",Projects!$X$19="Yes",91&gt;=Projects!$C$19,91&lt;Projects!$C$19+Projects!$D$19),Projects!$B$19*INDEX(Curves!$B$10:$AR$10,1,91-Projects!$C$19+1),0)+IF(AND(Projects!$G$20="Yes",Projects!$X$20="Yes",91&gt;=Projects!$C$20,91&lt;Projects!$C$20+Projects!$D$20),Projects!$B$20*INDEX(Curves!$B$4:$AR$4,1,91-Projects!$C$20+1),0)+IF(AND(Projects!$G$21="Yes",Projects!$X$21="Yes",91&gt;=Projects!$C$21,91&lt;Projects!$C$21+Projects!$D$21),Projects!$B$21*INDEX(Curves!$B$11:$AR$11,1,91-Projects!$C$21+1),0)+IF(AND(Projects!$G$22="Yes",Projects!$X$22="Yes",91&gt;=Projects!$C$22,91&lt;Projects!$C$22+Projects!$D$22),Projects!$B$22*INDEX(Curves!$B$4:$AR$4,1,91-Projects!$C$22+1),0)+IF(AND(Projects!$G$23="Yes",Projects!$X$23="Yes",91&gt;=Projects!$C$23,91&lt;Projects!$C$23+Projects!$D$23),Projects!$B$23*INDEX(Curves!$B$4:$AR$4,1,91-Projects!$C$23+1),0)+IF(AND(Projects!$G$24="Yes",Projects!$X$24="Yes",91&gt;=Projects!$C$24,91&lt;Projects!$C$24+Projects!$D$24),Projects!$B$24*INDEX(Curves!$B$4:$AR$4,1,91-Projects!$C$24+1),0)+IF(AND(Projects!$G$25="Yes",Projects!$X$25="Yes",91&gt;=Projects!$C$25,91&lt;Projects!$C$25+Projects!$D$25),Projects!$B$25*INDEX(Curves!$B$4:$AR$4,1,91-Projects!$C$25+1),0)+IF(AND(Projects!$G$26="Yes",Projects!$X$26="Yes",91&gt;=Projects!$C$26,91&lt;Projects!$C$26+Projects!$D$26),Projects!$B$26*INDEX(Curves!$B$4:$AR$4,1,91-Projects!$C$26+1),0)+IF(AND(Projects!$G$27="Yes",Projects!$X$27="Yes",91&gt;=Projects!$C$27,91&lt;Projects!$C$27+Projects!$D$27),Projects!$B$27*INDEX(Curves!$B$4:$AR$4,1,91-Projects!$C$27+1),0)+IF(AND(Projects!$G$28="Yes",Projects!$X$28="Yes",91&gt;=Projects!$C$28,91&lt;Projects!$C$28+Projects!$D$28),Projects!$B$28*INDEX(Curves!$B$4:$AR$4,1,91-Projects!$C$28+1),0)+IF(AND(Projects!$G$29="Yes",Projects!$X$29="Yes",91&gt;=Projects!$C$29,91&lt;Projects!$C$29+Projects!$D$29),Projects!$B$29*INDEX(Curves!$B$4:$AR$4,1,91-Projects!$C$29+1),0)+IF(AND(Projects!$G$30="Yes",Projects!$X$30="Yes",91&gt;=Projects!$C$30,91&lt;Projects!$C$30+Projects!$D$30),Projects!$B$30*INDEX(Curves!$B$4:$AR$4,1,91-Projects!$C$30+1),0)+IF(AND(Projects!$G$31="Yes",Projects!$X$31="Yes",91&gt;=Projects!$C$31,91&lt;Projects!$C$31+Projects!$D$31),Projects!$B$31*INDEX(Curves!$B$4:$AR$4,1,91-Projects!$C$31+1),0)+IF(AND(Projects!$G$32="Yes",Projects!$X$32="Yes",91&gt;=Projects!$C$32,91&lt;Projects!$C$32+Projects!$D$32),Projects!$B$32*INDEX(Curves!$B$4:$AR$4,1,91-Projects!$C$32+1),0)+IF(AND(Projects!$G$33="Yes",Projects!$X$33="Yes",91&gt;=Projects!$C$33,91&lt;Projects!$C$33+Projects!$D$33),Projects!$B$33*INDEX(Curves!$B$4:$AR$4,1,91-Projects!$C$33+1),0)+IF(AND(Projects!$G$34="Yes",Projects!$X$34="Yes",91&gt;=Projects!$C$34,91&lt;Projects!$C$34+Projects!$D$34),Projects!$B$34*INDEX(Curves!$B$4:$AR$4,1,91-Projects!$C$34+1),0)+IF(AND(Projects!$G$35="Yes",Projects!$X$35="Yes",91&gt;=Projects!$C$35,91&lt;Projects!$C$35+Projects!$D$35),Projects!$B$35*INDEX(Curves!$B$4:$AR$4,1,91-Projects!$C$35+1),0)+IF(AND(Projects!$G$36="Yes",Projects!$X$36="Yes",91&gt;=Projects!$C$36,91&lt;Projects!$C$36+Projects!$D$36),Projects!$B$36*INDEX(Curves!$B$4:$AR$4,1,91-Projects!$C$36+1),0)+IF(AND(Projects!$G$37="Yes",Projects!$X$37="Yes",91&gt;=Projects!$C$37,91&lt;Projects!$C$37+Projects!$D$37),Projects!$B$37*INDEX(Curves!$B$4:$AR$4,1,91-Projects!$C$37+1),0)+IF(AND(Projects!$G$38="Yes",Projects!$X$38="Yes",91&gt;=Projects!$C$38,91&lt;Projects!$C$38+Projects!$D$38),Projects!$B$38*INDEX(Curves!$B$4:$AR$4,1,91-Projects!$C$38+1),0)+IF(AND(Projects!$G$39="Yes",Projects!$X$39="Yes",91&gt;=Projects!$C$39,91&lt;Projects!$C$39+Projects!$D$39),Projects!$B$39*INDEX(Curves!$B$4:$AR$4,1,91-Projects!$C$39+1),0)+IF(AND(Projects!$G$40="Yes",Projects!$X$40="Yes",91&gt;=Projects!$C$40,91&lt;Projects!$C$40+Projects!$D$40),Projects!$B$40*INDEX(Curves!$B$4:$AR$4,1,91-Projects!$C$40+1),0)+IF(AND(Projects!$G$41="Yes",Projects!$X$41="Yes",91&gt;=Projects!$C$41,91&lt;Projects!$C$41+Projects!$D$41),Projects!$B$41*INDEX(Curves!$B$4:$AR$4,1,91-Projects!$C$41+1),0)+IF(AND(Projects!$G$42="Yes",Projects!$X$42="Yes",91&gt;=Projects!$C$42,91&lt;Projects!$C$42+Projects!$D$42),Projects!$B$42*INDEX(Curves!$B$4:$AR$4,1,91-Projects!$C$42+1),0)+IF(AND(Projects!$G$43="Yes",Projects!$X$43="Yes",91&gt;=Projects!$C$43,91&lt;Projects!$C$43+Projects!$D$43),Projects!$B$43*INDEX(Curves!$B$4:$AR$4,1,91-Projects!$C$43+1),0)+IF(AND(Projects!$G$44="Yes",Projects!$X$44="Yes",91&gt;=Projects!$C$44,91&lt;Projects!$C$44+Projects!$D$44),Projects!$B$44*INDEX(Curves!$B$4:$AR$4,1,91-Projects!$C$44+1),0)+IF(AND(Projects!$G$45="Yes",Projects!$X$45="Yes",91&gt;=Projects!$C$45,91&lt;Projects!$C$45+Projects!$D$45),Projects!$B$45*INDEX(Curves!$B$4:$AR$4,1,91-Projects!$C$45+1),0)+IF(AND(Projects!$G$46="Yes",Projects!$X$46="Yes",91&gt;=Projects!$C$46,91&lt;Projects!$C$46+Projects!$D$46),Projects!$B$46*INDEX(Curves!$B$4:$AR$4,1,91-Projects!$C$46+1),0)</f>
        <v>0</v>
      </c>
      <c r="CS96" s="296" t="n">
        <f aca="false">IF(AND(Projects!$G$17="Yes",Projects!$X$17="Yes",92&gt;=Projects!$C$17,92&lt;Projects!$C$17+Projects!$D$17),Projects!$B$17*INDEX(Curves!$B$4:$AR$4,1,92-Projects!$C$17+1),0)+IF(AND(Projects!$G$18="Yes",Projects!$X$18="Yes",92&gt;=Projects!$C$18,92&lt;Projects!$C$18+Projects!$D$18),Projects!$B$18*INDEX(Curves!$B$4:$AR$4,1,92-Projects!$C$18+1),0)+IF(AND(Projects!$G$19="Yes",Projects!$X$19="Yes",92&gt;=Projects!$C$19,92&lt;Projects!$C$19+Projects!$D$19),Projects!$B$19*INDEX(Curves!$B$10:$AR$10,1,92-Projects!$C$19+1),0)+IF(AND(Projects!$G$20="Yes",Projects!$X$20="Yes",92&gt;=Projects!$C$20,92&lt;Projects!$C$20+Projects!$D$20),Projects!$B$20*INDEX(Curves!$B$4:$AR$4,1,92-Projects!$C$20+1),0)+IF(AND(Projects!$G$21="Yes",Projects!$X$21="Yes",92&gt;=Projects!$C$21,92&lt;Projects!$C$21+Projects!$D$21),Projects!$B$21*INDEX(Curves!$B$11:$AR$11,1,92-Projects!$C$21+1),0)+IF(AND(Projects!$G$22="Yes",Projects!$X$22="Yes",92&gt;=Projects!$C$22,92&lt;Projects!$C$22+Projects!$D$22),Projects!$B$22*INDEX(Curves!$B$4:$AR$4,1,92-Projects!$C$22+1),0)+IF(AND(Projects!$G$23="Yes",Projects!$X$23="Yes",92&gt;=Projects!$C$23,92&lt;Projects!$C$23+Projects!$D$23),Projects!$B$23*INDEX(Curves!$B$4:$AR$4,1,92-Projects!$C$23+1),0)+IF(AND(Projects!$G$24="Yes",Projects!$X$24="Yes",92&gt;=Projects!$C$24,92&lt;Projects!$C$24+Projects!$D$24),Projects!$B$24*INDEX(Curves!$B$4:$AR$4,1,92-Projects!$C$24+1),0)+IF(AND(Projects!$G$25="Yes",Projects!$X$25="Yes",92&gt;=Projects!$C$25,92&lt;Projects!$C$25+Projects!$D$25),Projects!$B$25*INDEX(Curves!$B$4:$AR$4,1,92-Projects!$C$25+1),0)+IF(AND(Projects!$G$26="Yes",Projects!$X$26="Yes",92&gt;=Projects!$C$26,92&lt;Projects!$C$26+Projects!$D$26),Projects!$B$26*INDEX(Curves!$B$4:$AR$4,1,92-Projects!$C$26+1),0)+IF(AND(Projects!$G$27="Yes",Projects!$X$27="Yes",92&gt;=Projects!$C$27,92&lt;Projects!$C$27+Projects!$D$27),Projects!$B$27*INDEX(Curves!$B$4:$AR$4,1,92-Projects!$C$27+1),0)+IF(AND(Projects!$G$28="Yes",Projects!$X$28="Yes",92&gt;=Projects!$C$28,92&lt;Projects!$C$28+Projects!$D$28),Projects!$B$28*INDEX(Curves!$B$4:$AR$4,1,92-Projects!$C$28+1),0)+IF(AND(Projects!$G$29="Yes",Projects!$X$29="Yes",92&gt;=Projects!$C$29,92&lt;Projects!$C$29+Projects!$D$29),Projects!$B$29*INDEX(Curves!$B$4:$AR$4,1,92-Projects!$C$29+1),0)+IF(AND(Projects!$G$30="Yes",Projects!$X$30="Yes",92&gt;=Projects!$C$30,92&lt;Projects!$C$30+Projects!$D$30),Projects!$B$30*INDEX(Curves!$B$4:$AR$4,1,92-Projects!$C$30+1),0)+IF(AND(Projects!$G$31="Yes",Projects!$X$31="Yes",92&gt;=Projects!$C$31,92&lt;Projects!$C$31+Projects!$D$31),Projects!$B$31*INDEX(Curves!$B$4:$AR$4,1,92-Projects!$C$31+1),0)+IF(AND(Projects!$G$32="Yes",Projects!$X$32="Yes",92&gt;=Projects!$C$32,92&lt;Projects!$C$32+Projects!$D$32),Projects!$B$32*INDEX(Curves!$B$4:$AR$4,1,92-Projects!$C$32+1),0)+IF(AND(Projects!$G$33="Yes",Projects!$X$33="Yes",92&gt;=Projects!$C$33,92&lt;Projects!$C$33+Projects!$D$33),Projects!$B$33*INDEX(Curves!$B$4:$AR$4,1,92-Projects!$C$33+1),0)+IF(AND(Projects!$G$34="Yes",Projects!$X$34="Yes",92&gt;=Projects!$C$34,92&lt;Projects!$C$34+Projects!$D$34),Projects!$B$34*INDEX(Curves!$B$4:$AR$4,1,92-Projects!$C$34+1),0)+IF(AND(Projects!$G$35="Yes",Projects!$X$35="Yes",92&gt;=Projects!$C$35,92&lt;Projects!$C$35+Projects!$D$35),Projects!$B$35*INDEX(Curves!$B$4:$AR$4,1,92-Projects!$C$35+1),0)+IF(AND(Projects!$G$36="Yes",Projects!$X$36="Yes",92&gt;=Projects!$C$36,92&lt;Projects!$C$36+Projects!$D$36),Projects!$B$36*INDEX(Curves!$B$4:$AR$4,1,92-Projects!$C$36+1),0)+IF(AND(Projects!$G$37="Yes",Projects!$X$37="Yes",92&gt;=Projects!$C$37,92&lt;Projects!$C$37+Projects!$D$37),Projects!$B$37*INDEX(Curves!$B$4:$AR$4,1,92-Projects!$C$37+1),0)+IF(AND(Projects!$G$38="Yes",Projects!$X$38="Yes",92&gt;=Projects!$C$38,92&lt;Projects!$C$38+Projects!$D$38),Projects!$B$38*INDEX(Curves!$B$4:$AR$4,1,92-Projects!$C$38+1),0)+IF(AND(Projects!$G$39="Yes",Projects!$X$39="Yes",92&gt;=Projects!$C$39,92&lt;Projects!$C$39+Projects!$D$39),Projects!$B$39*INDEX(Curves!$B$4:$AR$4,1,92-Projects!$C$39+1),0)+IF(AND(Projects!$G$40="Yes",Projects!$X$40="Yes",92&gt;=Projects!$C$40,92&lt;Projects!$C$40+Projects!$D$40),Projects!$B$40*INDEX(Curves!$B$4:$AR$4,1,92-Projects!$C$40+1),0)+IF(AND(Projects!$G$41="Yes",Projects!$X$41="Yes",92&gt;=Projects!$C$41,92&lt;Projects!$C$41+Projects!$D$41),Projects!$B$41*INDEX(Curves!$B$4:$AR$4,1,92-Projects!$C$41+1),0)+IF(AND(Projects!$G$42="Yes",Projects!$X$42="Yes",92&gt;=Projects!$C$42,92&lt;Projects!$C$42+Projects!$D$42),Projects!$B$42*INDEX(Curves!$B$4:$AR$4,1,92-Projects!$C$42+1),0)+IF(AND(Projects!$G$43="Yes",Projects!$X$43="Yes",92&gt;=Projects!$C$43,92&lt;Projects!$C$43+Projects!$D$43),Projects!$B$43*INDEX(Curves!$B$4:$AR$4,1,92-Projects!$C$43+1),0)+IF(AND(Projects!$G$44="Yes",Projects!$X$44="Yes",92&gt;=Projects!$C$44,92&lt;Projects!$C$44+Projects!$D$44),Projects!$B$44*INDEX(Curves!$B$4:$AR$4,1,92-Projects!$C$44+1),0)+IF(AND(Projects!$G$45="Yes",Projects!$X$45="Yes",92&gt;=Projects!$C$45,92&lt;Projects!$C$45+Projects!$D$45),Projects!$B$45*INDEX(Curves!$B$4:$AR$4,1,92-Projects!$C$45+1),0)+IF(AND(Projects!$G$46="Yes",Projects!$X$46="Yes",92&gt;=Projects!$C$46,92&lt;Projects!$C$46+Projects!$D$46),Projects!$B$46*INDEX(Curves!$B$4:$AR$4,1,92-Projects!$C$46+1),0)</f>
        <v>0</v>
      </c>
      <c r="CT96" s="296" t="n">
        <f aca="false">IF(AND(Projects!$G$17="Yes",Projects!$X$17="Yes",93&gt;=Projects!$C$17,93&lt;Projects!$C$17+Projects!$D$17),Projects!$B$17*INDEX(Curves!$B$4:$AR$4,1,93-Projects!$C$17+1),0)+IF(AND(Projects!$G$18="Yes",Projects!$X$18="Yes",93&gt;=Projects!$C$18,93&lt;Projects!$C$18+Projects!$D$18),Projects!$B$18*INDEX(Curves!$B$4:$AR$4,1,93-Projects!$C$18+1),0)+IF(AND(Projects!$G$19="Yes",Projects!$X$19="Yes",93&gt;=Projects!$C$19,93&lt;Projects!$C$19+Projects!$D$19),Projects!$B$19*INDEX(Curves!$B$10:$AR$10,1,93-Projects!$C$19+1),0)+IF(AND(Projects!$G$20="Yes",Projects!$X$20="Yes",93&gt;=Projects!$C$20,93&lt;Projects!$C$20+Projects!$D$20),Projects!$B$20*INDEX(Curves!$B$4:$AR$4,1,93-Projects!$C$20+1),0)+IF(AND(Projects!$G$21="Yes",Projects!$X$21="Yes",93&gt;=Projects!$C$21,93&lt;Projects!$C$21+Projects!$D$21),Projects!$B$21*INDEX(Curves!$B$11:$AR$11,1,93-Projects!$C$21+1),0)+IF(AND(Projects!$G$22="Yes",Projects!$X$22="Yes",93&gt;=Projects!$C$22,93&lt;Projects!$C$22+Projects!$D$22),Projects!$B$22*INDEX(Curves!$B$4:$AR$4,1,93-Projects!$C$22+1),0)+IF(AND(Projects!$G$23="Yes",Projects!$X$23="Yes",93&gt;=Projects!$C$23,93&lt;Projects!$C$23+Projects!$D$23),Projects!$B$23*INDEX(Curves!$B$4:$AR$4,1,93-Projects!$C$23+1),0)+IF(AND(Projects!$G$24="Yes",Projects!$X$24="Yes",93&gt;=Projects!$C$24,93&lt;Projects!$C$24+Projects!$D$24),Projects!$B$24*INDEX(Curves!$B$4:$AR$4,1,93-Projects!$C$24+1),0)+IF(AND(Projects!$G$25="Yes",Projects!$X$25="Yes",93&gt;=Projects!$C$25,93&lt;Projects!$C$25+Projects!$D$25),Projects!$B$25*INDEX(Curves!$B$4:$AR$4,1,93-Projects!$C$25+1),0)+IF(AND(Projects!$G$26="Yes",Projects!$X$26="Yes",93&gt;=Projects!$C$26,93&lt;Projects!$C$26+Projects!$D$26),Projects!$B$26*INDEX(Curves!$B$4:$AR$4,1,93-Projects!$C$26+1),0)+IF(AND(Projects!$G$27="Yes",Projects!$X$27="Yes",93&gt;=Projects!$C$27,93&lt;Projects!$C$27+Projects!$D$27),Projects!$B$27*INDEX(Curves!$B$4:$AR$4,1,93-Projects!$C$27+1),0)+IF(AND(Projects!$G$28="Yes",Projects!$X$28="Yes",93&gt;=Projects!$C$28,93&lt;Projects!$C$28+Projects!$D$28),Projects!$B$28*INDEX(Curves!$B$4:$AR$4,1,93-Projects!$C$28+1),0)+IF(AND(Projects!$G$29="Yes",Projects!$X$29="Yes",93&gt;=Projects!$C$29,93&lt;Projects!$C$29+Projects!$D$29),Projects!$B$29*INDEX(Curves!$B$4:$AR$4,1,93-Projects!$C$29+1),0)+IF(AND(Projects!$G$30="Yes",Projects!$X$30="Yes",93&gt;=Projects!$C$30,93&lt;Projects!$C$30+Projects!$D$30),Projects!$B$30*INDEX(Curves!$B$4:$AR$4,1,93-Projects!$C$30+1),0)+IF(AND(Projects!$G$31="Yes",Projects!$X$31="Yes",93&gt;=Projects!$C$31,93&lt;Projects!$C$31+Projects!$D$31),Projects!$B$31*INDEX(Curves!$B$4:$AR$4,1,93-Projects!$C$31+1),0)+IF(AND(Projects!$G$32="Yes",Projects!$X$32="Yes",93&gt;=Projects!$C$32,93&lt;Projects!$C$32+Projects!$D$32),Projects!$B$32*INDEX(Curves!$B$4:$AR$4,1,93-Projects!$C$32+1),0)+IF(AND(Projects!$G$33="Yes",Projects!$X$33="Yes",93&gt;=Projects!$C$33,93&lt;Projects!$C$33+Projects!$D$33),Projects!$B$33*INDEX(Curves!$B$4:$AR$4,1,93-Projects!$C$33+1),0)+IF(AND(Projects!$G$34="Yes",Projects!$X$34="Yes",93&gt;=Projects!$C$34,93&lt;Projects!$C$34+Projects!$D$34),Projects!$B$34*INDEX(Curves!$B$4:$AR$4,1,93-Projects!$C$34+1),0)+IF(AND(Projects!$G$35="Yes",Projects!$X$35="Yes",93&gt;=Projects!$C$35,93&lt;Projects!$C$35+Projects!$D$35),Projects!$B$35*INDEX(Curves!$B$4:$AR$4,1,93-Projects!$C$35+1),0)+IF(AND(Projects!$G$36="Yes",Projects!$X$36="Yes",93&gt;=Projects!$C$36,93&lt;Projects!$C$36+Projects!$D$36),Projects!$B$36*INDEX(Curves!$B$4:$AR$4,1,93-Projects!$C$36+1),0)+IF(AND(Projects!$G$37="Yes",Projects!$X$37="Yes",93&gt;=Projects!$C$37,93&lt;Projects!$C$37+Projects!$D$37),Projects!$B$37*INDEX(Curves!$B$4:$AR$4,1,93-Projects!$C$37+1),0)+IF(AND(Projects!$G$38="Yes",Projects!$X$38="Yes",93&gt;=Projects!$C$38,93&lt;Projects!$C$38+Projects!$D$38),Projects!$B$38*INDEX(Curves!$B$4:$AR$4,1,93-Projects!$C$38+1),0)+IF(AND(Projects!$G$39="Yes",Projects!$X$39="Yes",93&gt;=Projects!$C$39,93&lt;Projects!$C$39+Projects!$D$39),Projects!$B$39*INDEX(Curves!$B$4:$AR$4,1,93-Projects!$C$39+1),0)+IF(AND(Projects!$G$40="Yes",Projects!$X$40="Yes",93&gt;=Projects!$C$40,93&lt;Projects!$C$40+Projects!$D$40),Projects!$B$40*INDEX(Curves!$B$4:$AR$4,1,93-Projects!$C$40+1),0)+IF(AND(Projects!$G$41="Yes",Projects!$X$41="Yes",93&gt;=Projects!$C$41,93&lt;Projects!$C$41+Projects!$D$41),Projects!$B$41*INDEX(Curves!$B$4:$AR$4,1,93-Projects!$C$41+1),0)+IF(AND(Projects!$G$42="Yes",Projects!$X$42="Yes",93&gt;=Projects!$C$42,93&lt;Projects!$C$42+Projects!$D$42),Projects!$B$42*INDEX(Curves!$B$4:$AR$4,1,93-Projects!$C$42+1),0)+IF(AND(Projects!$G$43="Yes",Projects!$X$43="Yes",93&gt;=Projects!$C$43,93&lt;Projects!$C$43+Projects!$D$43),Projects!$B$43*INDEX(Curves!$B$4:$AR$4,1,93-Projects!$C$43+1),0)+IF(AND(Projects!$G$44="Yes",Projects!$X$44="Yes",93&gt;=Projects!$C$44,93&lt;Projects!$C$44+Projects!$D$44),Projects!$B$44*INDEX(Curves!$B$4:$AR$4,1,93-Projects!$C$44+1),0)+IF(AND(Projects!$G$45="Yes",Projects!$X$45="Yes",93&gt;=Projects!$C$45,93&lt;Projects!$C$45+Projects!$D$45),Projects!$B$45*INDEX(Curves!$B$4:$AR$4,1,93-Projects!$C$45+1),0)+IF(AND(Projects!$G$46="Yes",Projects!$X$46="Yes",93&gt;=Projects!$C$46,93&lt;Projects!$C$46+Projects!$D$46),Projects!$B$46*INDEX(Curves!$B$4:$AR$4,1,93-Projects!$C$46+1),0)</f>
        <v>0</v>
      </c>
      <c r="CU96" s="296" t="n">
        <f aca="false">IF(AND(Projects!$G$17="Yes",Projects!$X$17="Yes",94&gt;=Projects!$C$17,94&lt;Projects!$C$17+Projects!$D$17),Projects!$B$17*INDEX(Curves!$B$4:$AR$4,1,94-Projects!$C$17+1),0)+IF(AND(Projects!$G$18="Yes",Projects!$X$18="Yes",94&gt;=Projects!$C$18,94&lt;Projects!$C$18+Projects!$D$18),Projects!$B$18*INDEX(Curves!$B$4:$AR$4,1,94-Projects!$C$18+1),0)+IF(AND(Projects!$G$19="Yes",Projects!$X$19="Yes",94&gt;=Projects!$C$19,94&lt;Projects!$C$19+Projects!$D$19),Projects!$B$19*INDEX(Curves!$B$10:$AR$10,1,94-Projects!$C$19+1),0)+IF(AND(Projects!$G$20="Yes",Projects!$X$20="Yes",94&gt;=Projects!$C$20,94&lt;Projects!$C$20+Projects!$D$20),Projects!$B$20*INDEX(Curves!$B$4:$AR$4,1,94-Projects!$C$20+1),0)+IF(AND(Projects!$G$21="Yes",Projects!$X$21="Yes",94&gt;=Projects!$C$21,94&lt;Projects!$C$21+Projects!$D$21),Projects!$B$21*INDEX(Curves!$B$11:$AR$11,1,94-Projects!$C$21+1),0)+IF(AND(Projects!$G$22="Yes",Projects!$X$22="Yes",94&gt;=Projects!$C$22,94&lt;Projects!$C$22+Projects!$D$22),Projects!$B$22*INDEX(Curves!$B$4:$AR$4,1,94-Projects!$C$22+1),0)+IF(AND(Projects!$G$23="Yes",Projects!$X$23="Yes",94&gt;=Projects!$C$23,94&lt;Projects!$C$23+Projects!$D$23),Projects!$B$23*INDEX(Curves!$B$4:$AR$4,1,94-Projects!$C$23+1),0)+IF(AND(Projects!$G$24="Yes",Projects!$X$24="Yes",94&gt;=Projects!$C$24,94&lt;Projects!$C$24+Projects!$D$24),Projects!$B$24*INDEX(Curves!$B$4:$AR$4,1,94-Projects!$C$24+1),0)+IF(AND(Projects!$G$25="Yes",Projects!$X$25="Yes",94&gt;=Projects!$C$25,94&lt;Projects!$C$25+Projects!$D$25),Projects!$B$25*INDEX(Curves!$B$4:$AR$4,1,94-Projects!$C$25+1),0)+IF(AND(Projects!$G$26="Yes",Projects!$X$26="Yes",94&gt;=Projects!$C$26,94&lt;Projects!$C$26+Projects!$D$26),Projects!$B$26*INDEX(Curves!$B$4:$AR$4,1,94-Projects!$C$26+1),0)+IF(AND(Projects!$G$27="Yes",Projects!$X$27="Yes",94&gt;=Projects!$C$27,94&lt;Projects!$C$27+Projects!$D$27),Projects!$B$27*INDEX(Curves!$B$4:$AR$4,1,94-Projects!$C$27+1),0)+IF(AND(Projects!$G$28="Yes",Projects!$X$28="Yes",94&gt;=Projects!$C$28,94&lt;Projects!$C$28+Projects!$D$28),Projects!$B$28*INDEX(Curves!$B$4:$AR$4,1,94-Projects!$C$28+1),0)+IF(AND(Projects!$G$29="Yes",Projects!$X$29="Yes",94&gt;=Projects!$C$29,94&lt;Projects!$C$29+Projects!$D$29),Projects!$B$29*INDEX(Curves!$B$4:$AR$4,1,94-Projects!$C$29+1),0)+IF(AND(Projects!$G$30="Yes",Projects!$X$30="Yes",94&gt;=Projects!$C$30,94&lt;Projects!$C$30+Projects!$D$30),Projects!$B$30*INDEX(Curves!$B$4:$AR$4,1,94-Projects!$C$30+1),0)+IF(AND(Projects!$G$31="Yes",Projects!$X$31="Yes",94&gt;=Projects!$C$31,94&lt;Projects!$C$31+Projects!$D$31),Projects!$B$31*INDEX(Curves!$B$4:$AR$4,1,94-Projects!$C$31+1),0)+IF(AND(Projects!$G$32="Yes",Projects!$X$32="Yes",94&gt;=Projects!$C$32,94&lt;Projects!$C$32+Projects!$D$32),Projects!$B$32*INDEX(Curves!$B$4:$AR$4,1,94-Projects!$C$32+1),0)+IF(AND(Projects!$G$33="Yes",Projects!$X$33="Yes",94&gt;=Projects!$C$33,94&lt;Projects!$C$33+Projects!$D$33),Projects!$B$33*INDEX(Curves!$B$4:$AR$4,1,94-Projects!$C$33+1),0)+IF(AND(Projects!$G$34="Yes",Projects!$X$34="Yes",94&gt;=Projects!$C$34,94&lt;Projects!$C$34+Projects!$D$34),Projects!$B$34*INDEX(Curves!$B$4:$AR$4,1,94-Projects!$C$34+1),0)+IF(AND(Projects!$G$35="Yes",Projects!$X$35="Yes",94&gt;=Projects!$C$35,94&lt;Projects!$C$35+Projects!$D$35),Projects!$B$35*INDEX(Curves!$B$4:$AR$4,1,94-Projects!$C$35+1),0)+IF(AND(Projects!$G$36="Yes",Projects!$X$36="Yes",94&gt;=Projects!$C$36,94&lt;Projects!$C$36+Projects!$D$36),Projects!$B$36*INDEX(Curves!$B$4:$AR$4,1,94-Projects!$C$36+1),0)+IF(AND(Projects!$G$37="Yes",Projects!$X$37="Yes",94&gt;=Projects!$C$37,94&lt;Projects!$C$37+Projects!$D$37),Projects!$B$37*INDEX(Curves!$B$4:$AR$4,1,94-Projects!$C$37+1),0)+IF(AND(Projects!$G$38="Yes",Projects!$X$38="Yes",94&gt;=Projects!$C$38,94&lt;Projects!$C$38+Projects!$D$38),Projects!$B$38*INDEX(Curves!$B$4:$AR$4,1,94-Projects!$C$38+1),0)+IF(AND(Projects!$G$39="Yes",Projects!$X$39="Yes",94&gt;=Projects!$C$39,94&lt;Projects!$C$39+Projects!$D$39),Projects!$B$39*INDEX(Curves!$B$4:$AR$4,1,94-Projects!$C$39+1),0)+IF(AND(Projects!$G$40="Yes",Projects!$X$40="Yes",94&gt;=Projects!$C$40,94&lt;Projects!$C$40+Projects!$D$40),Projects!$B$40*INDEX(Curves!$B$4:$AR$4,1,94-Projects!$C$40+1),0)+IF(AND(Projects!$G$41="Yes",Projects!$X$41="Yes",94&gt;=Projects!$C$41,94&lt;Projects!$C$41+Projects!$D$41),Projects!$B$41*INDEX(Curves!$B$4:$AR$4,1,94-Projects!$C$41+1),0)+IF(AND(Projects!$G$42="Yes",Projects!$X$42="Yes",94&gt;=Projects!$C$42,94&lt;Projects!$C$42+Projects!$D$42),Projects!$B$42*INDEX(Curves!$B$4:$AR$4,1,94-Projects!$C$42+1),0)+IF(AND(Projects!$G$43="Yes",Projects!$X$43="Yes",94&gt;=Projects!$C$43,94&lt;Projects!$C$43+Projects!$D$43),Projects!$B$43*INDEX(Curves!$B$4:$AR$4,1,94-Projects!$C$43+1),0)+IF(AND(Projects!$G$44="Yes",Projects!$X$44="Yes",94&gt;=Projects!$C$44,94&lt;Projects!$C$44+Projects!$D$44),Projects!$B$44*INDEX(Curves!$B$4:$AR$4,1,94-Projects!$C$44+1),0)+IF(AND(Projects!$G$45="Yes",Projects!$X$45="Yes",94&gt;=Projects!$C$45,94&lt;Projects!$C$45+Projects!$D$45),Projects!$B$45*INDEX(Curves!$B$4:$AR$4,1,94-Projects!$C$45+1),0)+IF(AND(Projects!$G$46="Yes",Projects!$X$46="Yes",94&gt;=Projects!$C$46,94&lt;Projects!$C$46+Projects!$D$46),Projects!$B$46*INDEX(Curves!$B$4:$AR$4,1,94-Projects!$C$46+1),0)</f>
        <v>0</v>
      </c>
      <c r="CV96" s="296" t="n">
        <f aca="false">IF(AND(Projects!$G$17="Yes",Projects!$X$17="Yes",95&gt;=Projects!$C$17,95&lt;Projects!$C$17+Projects!$D$17),Projects!$B$17*INDEX(Curves!$B$4:$AR$4,1,95-Projects!$C$17+1),0)+IF(AND(Projects!$G$18="Yes",Projects!$X$18="Yes",95&gt;=Projects!$C$18,95&lt;Projects!$C$18+Projects!$D$18),Projects!$B$18*INDEX(Curves!$B$4:$AR$4,1,95-Projects!$C$18+1),0)+IF(AND(Projects!$G$19="Yes",Projects!$X$19="Yes",95&gt;=Projects!$C$19,95&lt;Projects!$C$19+Projects!$D$19),Projects!$B$19*INDEX(Curves!$B$10:$AR$10,1,95-Projects!$C$19+1),0)+IF(AND(Projects!$G$20="Yes",Projects!$X$20="Yes",95&gt;=Projects!$C$20,95&lt;Projects!$C$20+Projects!$D$20),Projects!$B$20*INDEX(Curves!$B$4:$AR$4,1,95-Projects!$C$20+1),0)+IF(AND(Projects!$G$21="Yes",Projects!$X$21="Yes",95&gt;=Projects!$C$21,95&lt;Projects!$C$21+Projects!$D$21),Projects!$B$21*INDEX(Curves!$B$11:$AR$11,1,95-Projects!$C$21+1),0)+IF(AND(Projects!$G$22="Yes",Projects!$X$22="Yes",95&gt;=Projects!$C$22,95&lt;Projects!$C$22+Projects!$D$22),Projects!$B$22*INDEX(Curves!$B$4:$AR$4,1,95-Projects!$C$22+1),0)+IF(AND(Projects!$G$23="Yes",Projects!$X$23="Yes",95&gt;=Projects!$C$23,95&lt;Projects!$C$23+Projects!$D$23),Projects!$B$23*INDEX(Curves!$B$4:$AR$4,1,95-Projects!$C$23+1),0)+IF(AND(Projects!$G$24="Yes",Projects!$X$24="Yes",95&gt;=Projects!$C$24,95&lt;Projects!$C$24+Projects!$D$24),Projects!$B$24*INDEX(Curves!$B$4:$AR$4,1,95-Projects!$C$24+1),0)+IF(AND(Projects!$G$25="Yes",Projects!$X$25="Yes",95&gt;=Projects!$C$25,95&lt;Projects!$C$25+Projects!$D$25),Projects!$B$25*INDEX(Curves!$B$4:$AR$4,1,95-Projects!$C$25+1),0)+IF(AND(Projects!$G$26="Yes",Projects!$X$26="Yes",95&gt;=Projects!$C$26,95&lt;Projects!$C$26+Projects!$D$26),Projects!$B$26*INDEX(Curves!$B$4:$AR$4,1,95-Projects!$C$26+1),0)+IF(AND(Projects!$G$27="Yes",Projects!$X$27="Yes",95&gt;=Projects!$C$27,95&lt;Projects!$C$27+Projects!$D$27),Projects!$B$27*INDEX(Curves!$B$4:$AR$4,1,95-Projects!$C$27+1),0)+IF(AND(Projects!$G$28="Yes",Projects!$X$28="Yes",95&gt;=Projects!$C$28,95&lt;Projects!$C$28+Projects!$D$28),Projects!$B$28*INDEX(Curves!$B$4:$AR$4,1,95-Projects!$C$28+1),0)+IF(AND(Projects!$G$29="Yes",Projects!$X$29="Yes",95&gt;=Projects!$C$29,95&lt;Projects!$C$29+Projects!$D$29),Projects!$B$29*INDEX(Curves!$B$4:$AR$4,1,95-Projects!$C$29+1),0)+IF(AND(Projects!$G$30="Yes",Projects!$X$30="Yes",95&gt;=Projects!$C$30,95&lt;Projects!$C$30+Projects!$D$30),Projects!$B$30*INDEX(Curves!$B$4:$AR$4,1,95-Projects!$C$30+1),0)+IF(AND(Projects!$G$31="Yes",Projects!$X$31="Yes",95&gt;=Projects!$C$31,95&lt;Projects!$C$31+Projects!$D$31),Projects!$B$31*INDEX(Curves!$B$4:$AR$4,1,95-Projects!$C$31+1),0)+IF(AND(Projects!$G$32="Yes",Projects!$X$32="Yes",95&gt;=Projects!$C$32,95&lt;Projects!$C$32+Projects!$D$32),Projects!$B$32*INDEX(Curves!$B$4:$AR$4,1,95-Projects!$C$32+1),0)+IF(AND(Projects!$G$33="Yes",Projects!$X$33="Yes",95&gt;=Projects!$C$33,95&lt;Projects!$C$33+Projects!$D$33),Projects!$B$33*INDEX(Curves!$B$4:$AR$4,1,95-Projects!$C$33+1),0)+IF(AND(Projects!$G$34="Yes",Projects!$X$34="Yes",95&gt;=Projects!$C$34,95&lt;Projects!$C$34+Projects!$D$34),Projects!$B$34*INDEX(Curves!$B$4:$AR$4,1,95-Projects!$C$34+1),0)+IF(AND(Projects!$G$35="Yes",Projects!$X$35="Yes",95&gt;=Projects!$C$35,95&lt;Projects!$C$35+Projects!$D$35),Projects!$B$35*INDEX(Curves!$B$4:$AR$4,1,95-Projects!$C$35+1),0)+IF(AND(Projects!$G$36="Yes",Projects!$X$36="Yes",95&gt;=Projects!$C$36,95&lt;Projects!$C$36+Projects!$D$36),Projects!$B$36*INDEX(Curves!$B$4:$AR$4,1,95-Projects!$C$36+1),0)+IF(AND(Projects!$G$37="Yes",Projects!$X$37="Yes",95&gt;=Projects!$C$37,95&lt;Projects!$C$37+Projects!$D$37),Projects!$B$37*INDEX(Curves!$B$4:$AR$4,1,95-Projects!$C$37+1),0)+IF(AND(Projects!$G$38="Yes",Projects!$X$38="Yes",95&gt;=Projects!$C$38,95&lt;Projects!$C$38+Projects!$D$38),Projects!$B$38*INDEX(Curves!$B$4:$AR$4,1,95-Projects!$C$38+1),0)+IF(AND(Projects!$G$39="Yes",Projects!$X$39="Yes",95&gt;=Projects!$C$39,95&lt;Projects!$C$39+Projects!$D$39),Projects!$B$39*INDEX(Curves!$B$4:$AR$4,1,95-Projects!$C$39+1),0)+IF(AND(Projects!$G$40="Yes",Projects!$X$40="Yes",95&gt;=Projects!$C$40,95&lt;Projects!$C$40+Projects!$D$40),Projects!$B$40*INDEX(Curves!$B$4:$AR$4,1,95-Projects!$C$40+1),0)+IF(AND(Projects!$G$41="Yes",Projects!$X$41="Yes",95&gt;=Projects!$C$41,95&lt;Projects!$C$41+Projects!$D$41),Projects!$B$41*INDEX(Curves!$B$4:$AR$4,1,95-Projects!$C$41+1),0)+IF(AND(Projects!$G$42="Yes",Projects!$X$42="Yes",95&gt;=Projects!$C$42,95&lt;Projects!$C$42+Projects!$D$42),Projects!$B$42*INDEX(Curves!$B$4:$AR$4,1,95-Projects!$C$42+1),0)+IF(AND(Projects!$G$43="Yes",Projects!$X$43="Yes",95&gt;=Projects!$C$43,95&lt;Projects!$C$43+Projects!$D$43),Projects!$B$43*INDEX(Curves!$B$4:$AR$4,1,95-Projects!$C$43+1),0)+IF(AND(Projects!$G$44="Yes",Projects!$X$44="Yes",95&gt;=Projects!$C$44,95&lt;Projects!$C$44+Projects!$D$44),Projects!$B$44*INDEX(Curves!$B$4:$AR$4,1,95-Projects!$C$44+1),0)+IF(AND(Projects!$G$45="Yes",Projects!$X$45="Yes",95&gt;=Projects!$C$45,95&lt;Projects!$C$45+Projects!$D$45),Projects!$B$45*INDEX(Curves!$B$4:$AR$4,1,95-Projects!$C$45+1),0)+IF(AND(Projects!$G$46="Yes",Projects!$X$46="Yes",95&gt;=Projects!$C$46,95&lt;Projects!$C$46+Projects!$D$46),Projects!$B$46*INDEX(Curves!$B$4:$AR$4,1,95-Projects!$C$46+1),0)</f>
        <v>0</v>
      </c>
      <c r="CW96" s="296" t="n">
        <f aca="false">IF(AND(Projects!$G$17="Yes",Projects!$X$17="Yes",96&gt;=Projects!$C$17,96&lt;Projects!$C$17+Projects!$D$17),Projects!$B$17*INDEX(Curves!$B$4:$AR$4,1,96-Projects!$C$17+1),0)+IF(AND(Projects!$G$18="Yes",Projects!$X$18="Yes",96&gt;=Projects!$C$18,96&lt;Projects!$C$18+Projects!$D$18),Projects!$B$18*INDEX(Curves!$B$4:$AR$4,1,96-Projects!$C$18+1),0)+IF(AND(Projects!$G$19="Yes",Projects!$X$19="Yes",96&gt;=Projects!$C$19,96&lt;Projects!$C$19+Projects!$D$19),Projects!$B$19*INDEX(Curves!$B$10:$AR$10,1,96-Projects!$C$19+1),0)+IF(AND(Projects!$G$20="Yes",Projects!$X$20="Yes",96&gt;=Projects!$C$20,96&lt;Projects!$C$20+Projects!$D$20),Projects!$B$20*INDEX(Curves!$B$4:$AR$4,1,96-Projects!$C$20+1),0)+IF(AND(Projects!$G$21="Yes",Projects!$X$21="Yes",96&gt;=Projects!$C$21,96&lt;Projects!$C$21+Projects!$D$21),Projects!$B$21*INDEX(Curves!$B$11:$AR$11,1,96-Projects!$C$21+1),0)+IF(AND(Projects!$G$22="Yes",Projects!$X$22="Yes",96&gt;=Projects!$C$22,96&lt;Projects!$C$22+Projects!$D$22),Projects!$B$22*INDEX(Curves!$B$4:$AR$4,1,96-Projects!$C$22+1),0)+IF(AND(Projects!$G$23="Yes",Projects!$X$23="Yes",96&gt;=Projects!$C$23,96&lt;Projects!$C$23+Projects!$D$23),Projects!$B$23*INDEX(Curves!$B$4:$AR$4,1,96-Projects!$C$23+1),0)+IF(AND(Projects!$G$24="Yes",Projects!$X$24="Yes",96&gt;=Projects!$C$24,96&lt;Projects!$C$24+Projects!$D$24),Projects!$B$24*INDEX(Curves!$B$4:$AR$4,1,96-Projects!$C$24+1),0)+IF(AND(Projects!$G$25="Yes",Projects!$X$25="Yes",96&gt;=Projects!$C$25,96&lt;Projects!$C$25+Projects!$D$25),Projects!$B$25*INDEX(Curves!$B$4:$AR$4,1,96-Projects!$C$25+1),0)+IF(AND(Projects!$G$26="Yes",Projects!$X$26="Yes",96&gt;=Projects!$C$26,96&lt;Projects!$C$26+Projects!$D$26),Projects!$B$26*INDEX(Curves!$B$4:$AR$4,1,96-Projects!$C$26+1),0)+IF(AND(Projects!$G$27="Yes",Projects!$X$27="Yes",96&gt;=Projects!$C$27,96&lt;Projects!$C$27+Projects!$D$27),Projects!$B$27*INDEX(Curves!$B$4:$AR$4,1,96-Projects!$C$27+1),0)+IF(AND(Projects!$G$28="Yes",Projects!$X$28="Yes",96&gt;=Projects!$C$28,96&lt;Projects!$C$28+Projects!$D$28),Projects!$B$28*INDEX(Curves!$B$4:$AR$4,1,96-Projects!$C$28+1),0)+IF(AND(Projects!$G$29="Yes",Projects!$X$29="Yes",96&gt;=Projects!$C$29,96&lt;Projects!$C$29+Projects!$D$29),Projects!$B$29*INDEX(Curves!$B$4:$AR$4,1,96-Projects!$C$29+1),0)+IF(AND(Projects!$G$30="Yes",Projects!$X$30="Yes",96&gt;=Projects!$C$30,96&lt;Projects!$C$30+Projects!$D$30),Projects!$B$30*INDEX(Curves!$B$4:$AR$4,1,96-Projects!$C$30+1),0)+IF(AND(Projects!$G$31="Yes",Projects!$X$31="Yes",96&gt;=Projects!$C$31,96&lt;Projects!$C$31+Projects!$D$31),Projects!$B$31*INDEX(Curves!$B$4:$AR$4,1,96-Projects!$C$31+1),0)+IF(AND(Projects!$G$32="Yes",Projects!$X$32="Yes",96&gt;=Projects!$C$32,96&lt;Projects!$C$32+Projects!$D$32),Projects!$B$32*INDEX(Curves!$B$4:$AR$4,1,96-Projects!$C$32+1),0)+IF(AND(Projects!$G$33="Yes",Projects!$X$33="Yes",96&gt;=Projects!$C$33,96&lt;Projects!$C$33+Projects!$D$33),Projects!$B$33*INDEX(Curves!$B$4:$AR$4,1,96-Projects!$C$33+1),0)+IF(AND(Projects!$G$34="Yes",Projects!$X$34="Yes",96&gt;=Projects!$C$34,96&lt;Projects!$C$34+Projects!$D$34),Projects!$B$34*INDEX(Curves!$B$4:$AR$4,1,96-Projects!$C$34+1),0)+IF(AND(Projects!$G$35="Yes",Projects!$X$35="Yes",96&gt;=Projects!$C$35,96&lt;Projects!$C$35+Projects!$D$35),Projects!$B$35*INDEX(Curves!$B$4:$AR$4,1,96-Projects!$C$35+1),0)+IF(AND(Projects!$G$36="Yes",Projects!$X$36="Yes",96&gt;=Projects!$C$36,96&lt;Projects!$C$36+Projects!$D$36),Projects!$B$36*INDEX(Curves!$B$4:$AR$4,1,96-Projects!$C$36+1),0)+IF(AND(Projects!$G$37="Yes",Projects!$X$37="Yes",96&gt;=Projects!$C$37,96&lt;Projects!$C$37+Projects!$D$37),Projects!$B$37*INDEX(Curves!$B$4:$AR$4,1,96-Projects!$C$37+1),0)+IF(AND(Projects!$G$38="Yes",Projects!$X$38="Yes",96&gt;=Projects!$C$38,96&lt;Projects!$C$38+Projects!$D$38),Projects!$B$38*INDEX(Curves!$B$4:$AR$4,1,96-Projects!$C$38+1),0)+IF(AND(Projects!$G$39="Yes",Projects!$X$39="Yes",96&gt;=Projects!$C$39,96&lt;Projects!$C$39+Projects!$D$39),Projects!$B$39*INDEX(Curves!$B$4:$AR$4,1,96-Projects!$C$39+1),0)+IF(AND(Projects!$G$40="Yes",Projects!$X$40="Yes",96&gt;=Projects!$C$40,96&lt;Projects!$C$40+Projects!$D$40),Projects!$B$40*INDEX(Curves!$B$4:$AR$4,1,96-Projects!$C$40+1),0)+IF(AND(Projects!$G$41="Yes",Projects!$X$41="Yes",96&gt;=Projects!$C$41,96&lt;Projects!$C$41+Projects!$D$41),Projects!$B$41*INDEX(Curves!$B$4:$AR$4,1,96-Projects!$C$41+1),0)+IF(AND(Projects!$G$42="Yes",Projects!$X$42="Yes",96&gt;=Projects!$C$42,96&lt;Projects!$C$42+Projects!$D$42),Projects!$B$42*INDEX(Curves!$B$4:$AR$4,1,96-Projects!$C$42+1),0)+IF(AND(Projects!$G$43="Yes",Projects!$X$43="Yes",96&gt;=Projects!$C$43,96&lt;Projects!$C$43+Projects!$D$43),Projects!$B$43*INDEX(Curves!$B$4:$AR$4,1,96-Projects!$C$43+1),0)+IF(AND(Projects!$G$44="Yes",Projects!$X$44="Yes",96&gt;=Projects!$C$44,96&lt;Projects!$C$44+Projects!$D$44),Projects!$B$44*INDEX(Curves!$B$4:$AR$4,1,96-Projects!$C$44+1),0)+IF(AND(Projects!$G$45="Yes",Projects!$X$45="Yes",96&gt;=Projects!$C$45,96&lt;Projects!$C$45+Projects!$D$45),Projects!$B$45*INDEX(Curves!$B$4:$AR$4,1,96-Projects!$C$45+1),0)+IF(AND(Projects!$G$46="Yes",Projects!$X$46="Yes",96&gt;=Projects!$C$46,96&lt;Projects!$C$46+Projects!$D$46),Projects!$B$46*INDEX(Curves!$B$4:$AR$4,1,96-Projects!$C$46+1),0)</f>
        <v>0</v>
      </c>
      <c r="CX96" s="296" t="n">
        <f aca="false">IF(AND(Projects!$G$17="Yes",Projects!$X$17="Yes",97&gt;=Projects!$C$17,97&lt;Projects!$C$17+Projects!$D$17),Projects!$B$17*INDEX(Curves!$B$4:$AR$4,1,97-Projects!$C$17+1),0)+IF(AND(Projects!$G$18="Yes",Projects!$X$18="Yes",97&gt;=Projects!$C$18,97&lt;Projects!$C$18+Projects!$D$18),Projects!$B$18*INDEX(Curves!$B$4:$AR$4,1,97-Projects!$C$18+1),0)+IF(AND(Projects!$G$19="Yes",Projects!$X$19="Yes",97&gt;=Projects!$C$19,97&lt;Projects!$C$19+Projects!$D$19),Projects!$B$19*INDEX(Curves!$B$10:$AR$10,1,97-Projects!$C$19+1),0)+IF(AND(Projects!$G$20="Yes",Projects!$X$20="Yes",97&gt;=Projects!$C$20,97&lt;Projects!$C$20+Projects!$D$20),Projects!$B$20*INDEX(Curves!$B$4:$AR$4,1,97-Projects!$C$20+1),0)+IF(AND(Projects!$G$21="Yes",Projects!$X$21="Yes",97&gt;=Projects!$C$21,97&lt;Projects!$C$21+Projects!$D$21),Projects!$B$21*INDEX(Curves!$B$11:$AR$11,1,97-Projects!$C$21+1),0)+IF(AND(Projects!$G$22="Yes",Projects!$X$22="Yes",97&gt;=Projects!$C$22,97&lt;Projects!$C$22+Projects!$D$22),Projects!$B$22*INDEX(Curves!$B$4:$AR$4,1,97-Projects!$C$22+1),0)+IF(AND(Projects!$G$23="Yes",Projects!$X$23="Yes",97&gt;=Projects!$C$23,97&lt;Projects!$C$23+Projects!$D$23),Projects!$B$23*INDEX(Curves!$B$4:$AR$4,1,97-Projects!$C$23+1),0)+IF(AND(Projects!$G$24="Yes",Projects!$X$24="Yes",97&gt;=Projects!$C$24,97&lt;Projects!$C$24+Projects!$D$24),Projects!$B$24*INDEX(Curves!$B$4:$AR$4,1,97-Projects!$C$24+1),0)+IF(AND(Projects!$G$25="Yes",Projects!$X$25="Yes",97&gt;=Projects!$C$25,97&lt;Projects!$C$25+Projects!$D$25),Projects!$B$25*INDEX(Curves!$B$4:$AR$4,1,97-Projects!$C$25+1),0)+IF(AND(Projects!$G$26="Yes",Projects!$X$26="Yes",97&gt;=Projects!$C$26,97&lt;Projects!$C$26+Projects!$D$26),Projects!$B$26*INDEX(Curves!$B$4:$AR$4,1,97-Projects!$C$26+1),0)+IF(AND(Projects!$G$27="Yes",Projects!$X$27="Yes",97&gt;=Projects!$C$27,97&lt;Projects!$C$27+Projects!$D$27),Projects!$B$27*INDEX(Curves!$B$4:$AR$4,1,97-Projects!$C$27+1),0)+IF(AND(Projects!$G$28="Yes",Projects!$X$28="Yes",97&gt;=Projects!$C$28,97&lt;Projects!$C$28+Projects!$D$28),Projects!$B$28*INDEX(Curves!$B$4:$AR$4,1,97-Projects!$C$28+1),0)+IF(AND(Projects!$G$29="Yes",Projects!$X$29="Yes",97&gt;=Projects!$C$29,97&lt;Projects!$C$29+Projects!$D$29),Projects!$B$29*INDEX(Curves!$B$4:$AR$4,1,97-Projects!$C$29+1),0)+IF(AND(Projects!$G$30="Yes",Projects!$X$30="Yes",97&gt;=Projects!$C$30,97&lt;Projects!$C$30+Projects!$D$30),Projects!$B$30*INDEX(Curves!$B$4:$AR$4,1,97-Projects!$C$30+1),0)+IF(AND(Projects!$G$31="Yes",Projects!$X$31="Yes",97&gt;=Projects!$C$31,97&lt;Projects!$C$31+Projects!$D$31),Projects!$B$31*INDEX(Curves!$B$4:$AR$4,1,97-Projects!$C$31+1),0)+IF(AND(Projects!$G$32="Yes",Projects!$X$32="Yes",97&gt;=Projects!$C$32,97&lt;Projects!$C$32+Projects!$D$32),Projects!$B$32*INDEX(Curves!$B$4:$AR$4,1,97-Projects!$C$32+1),0)+IF(AND(Projects!$G$33="Yes",Projects!$X$33="Yes",97&gt;=Projects!$C$33,97&lt;Projects!$C$33+Projects!$D$33),Projects!$B$33*INDEX(Curves!$B$4:$AR$4,1,97-Projects!$C$33+1),0)+IF(AND(Projects!$G$34="Yes",Projects!$X$34="Yes",97&gt;=Projects!$C$34,97&lt;Projects!$C$34+Projects!$D$34),Projects!$B$34*INDEX(Curves!$B$4:$AR$4,1,97-Projects!$C$34+1),0)+IF(AND(Projects!$G$35="Yes",Projects!$X$35="Yes",97&gt;=Projects!$C$35,97&lt;Projects!$C$35+Projects!$D$35),Projects!$B$35*INDEX(Curves!$B$4:$AR$4,1,97-Projects!$C$35+1),0)+IF(AND(Projects!$G$36="Yes",Projects!$X$36="Yes",97&gt;=Projects!$C$36,97&lt;Projects!$C$36+Projects!$D$36),Projects!$B$36*INDEX(Curves!$B$4:$AR$4,1,97-Projects!$C$36+1),0)+IF(AND(Projects!$G$37="Yes",Projects!$X$37="Yes",97&gt;=Projects!$C$37,97&lt;Projects!$C$37+Projects!$D$37),Projects!$B$37*INDEX(Curves!$B$4:$AR$4,1,97-Projects!$C$37+1),0)+IF(AND(Projects!$G$38="Yes",Projects!$X$38="Yes",97&gt;=Projects!$C$38,97&lt;Projects!$C$38+Projects!$D$38),Projects!$B$38*INDEX(Curves!$B$4:$AR$4,1,97-Projects!$C$38+1),0)+IF(AND(Projects!$G$39="Yes",Projects!$X$39="Yes",97&gt;=Projects!$C$39,97&lt;Projects!$C$39+Projects!$D$39),Projects!$B$39*INDEX(Curves!$B$4:$AR$4,1,97-Projects!$C$39+1),0)+IF(AND(Projects!$G$40="Yes",Projects!$X$40="Yes",97&gt;=Projects!$C$40,97&lt;Projects!$C$40+Projects!$D$40),Projects!$B$40*INDEX(Curves!$B$4:$AR$4,1,97-Projects!$C$40+1),0)+IF(AND(Projects!$G$41="Yes",Projects!$X$41="Yes",97&gt;=Projects!$C$41,97&lt;Projects!$C$41+Projects!$D$41),Projects!$B$41*INDEX(Curves!$B$4:$AR$4,1,97-Projects!$C$41+1),0)+IF(AND(Projects!$G$42="Yes",Projects!$X$42="Yes",97&gt;=Projects!$C$42,97&lt;Projects!$C$42+Projects!$D$42),Projects!$B$42*INDEX(Curves!$B$4:$AR$4,1,97-Projects!$C$42+1),0)+IF(AND(Projects!$G$43="Yes",Projects!$X$43="Yes",97&gt;=Projects!$C$43,97&lt;Projects!$C$43+Projects!$D$43),Projects!$B$43*INDEX(Curves!$B$4:$AR$4,1,97-Projects!$C$43+1),0)+IF(AND(Projects!$G$44="Yes",Projects!$X$44="Yes",97&gt;=Projects!$C$44,97&lt;Projects!$C$44+Projects!$D$44),Projects!$B$44*INDEX(Curves!$B$4:$AR$4,1,97-Projects!$C$44+1),0)+IF(AND(Projects!$G$45="Yes",Projects!$X$45="Yes",97&gt;=Projects!$C$45,97&lt;Projects!$C$45+Projects!$D$45),Projects!$B$45*INDEX(Curves!$B$4:$AR$4,1,97-Projects!$C$45+1),0)+IF(AND(Projects!$G$46="Yes",Projects!$X$46="Yes",97&gt;=Projects!$C$46,97&lt;Projects!$C$46+Projects!$D$46),Projects!$B$46*INDEX(Curves!$B$4:$AR$4,1,97-Projects!$C$46+1),0)</f>
        <v>0</v>
      </c>
      <c r="CY96" s="296" t="n">
        <f aca="false">IF(AND(Projects!$G$17="Yes",Projects!$X$17="Yes",98&gt;=Projects!$C$17,98&lt;Projects!$C$17+Projects!$D$17),Projects!$B$17*INDEX(Curves!$B$4:$AR$4,1,98-Projects!$C$17+1),0)+IF(AND(Projects!$G$18="Yes",Projects!$X$18="Yes",98&gt;=Projects!$C$18,98&lt;Projects!$C$18+Projects!$D$18),Projects!$B$18*INDEX(Curves!$B$4:$AR$4,1,98-Projects!$C$18+1),0)+IF(AND(Projects!$G$19="Yes",Projects!$X$19="Yes",98&gt;=Projects!$C$19,98&lt;Projects!$C$19+Projects!$D$19),Projects!$B$19*INDEX(Curves!$B$10:$AR$10,1,98-Projects!$C$19+1),0)+IF(AND(Projects!$G$20="Yes",Projects!$X$20="Yes",98&gt;=Projects!$C$20,98&lt;Projects!$C$20+Projects!$D$20),Projects!$B$20*INDEX(Curves!$B$4:$AR$4,1,98-Projects!$C$20+1),0)+IF(AND(Projects!$G$21="Yes",Projects!$X$21="Yes",98&gt;=Projects!$C$21,98&lt;Projects!$C$21+Projects!$D$21),Projects!$B$21*INDEX(Curves!$B$11:$AR$11,1,98-Projects!$C$21+1),0)+IF(AND(Projects!$G$22="Yes",Projects!$X$22="Yes",98&gt;=Projects!$C$22,98&lt;Projects!$C$22+Projects!$D$22),Projects!$B$22*INDEX(Curves!$B$4:$AR$4,1,98-Projects!$C$22+1),0)+IF(AND(Projects!$G$23="Yes",Projects!$X$23="Yes",98&gt;=Projects!$C$23,98&lt;Projects!$C$23+Projects!$D$23),Projects!$B$23*INDEX(Curves!$B$4:$AR$4,1,98-Projects!$C$23+1),0)+IF(AND(Projects!$G$24="Yes",Projects!$X$24="Yes",98&gt;=Projects!$C$24,98&lt;Projects!$C$24+Projects!$D$24),Projects!$B$24*INDEX(Curves!$B$4:$AR$4,1,98-Projects!$C$24+1),0)+IF(AND(Projects!$G$25="Yes",Projects!$X$25="Yes",98&gt;=Projects!$C$25,98&lt;Projects!$C$25+Projects!$D$25),Projects!$B$25*INDEX(Curves!$B$4:$AR$4,1,98-Projects!$C$25+1),0)+IF(AND(Projects!$G$26="Yes",Projects!$X$26="Yes",98&gt;=Projects!$C$26,98&lt;Projects!$C$26+Projects!$D$26),Projects!$B$26*INDEX(Curves!$B$4:$AR$4,1,98-Projects!$C$26+1),0)+IF(AND(Projects!$G$27="Yes",Projects!$X$27="Yes",98&gt;=Projects!$C$27,98&lt;Projects!$C$27+Projects!$D$27),Projects!$B$27*INDEX(Curves!$B$4:$AR$4,1,98-Projects!$C$27+1),0)+IF(AND(Projects!$G$28="Yes",Projects!$X$28="Yes",98&gt;=Projects!$C$28,98&lt;Projects!$C$28+Projects!$D$28),Projects!$B$28*INDEX(Curves!$B$4:$AR$4,1,98-Projects!$C$28+1),0)+IF(AND(Projects!$G$29="Yes",Projects!$X$29="Yes",98&gt;=Projects!$C$29,98&lt;Projects!$C$29+Projects!$D$29),Projects!$B$29*INDEX(Curves!$B$4:$AR$4,1,98-Projects!$C$29+1),0)+IF(AND(Projects!$G$30="Yes",Projects!$X$30="Yes",98&gt;=Projects!$C$30,98&lt;Projects!$C$30+Projects!$D$30),Projects!$B$30*INDEX(Curves!$B$4:$AR$4,1,98-Projects!$C$30+1),0)+IF(AND(Projects!$G$31="Yes",Projects!$X$31="Yes",98&gt;=Projects!$C$31,98&lt;Projects!$C$31+Projects!$D$31),Projects!$B$31*INDEX(Curves!$B$4:$AR$4,1,98-Projects!$C$31+1),0)+IF(AND(Projects!$G$32="Yes",Projects!$X$32="Yes",98&gt;=Projects!$C$32,98&lt;Projects!$C$32+Projects!$D$32),Projects!$B$32*INDEX(Curves!$B$4:$AR$4,1,98-Projects!$C$32+1),0)+IF(AND(Projects!$G$33="Yes",Projects!$X$33="Yes",98&gt;=Projects!$C$33,98&lt;Projects!$C$33+Projects!$D$33),Projects!$B$33*INDEX(Curves!$B$4:$AR$4,1,98-Projects!$C$33+1),0)+IF(AND(Projects!$G$34="Yes",Projects!$X$34="Yes",98&gt;=Projects!$C$34,98&lt;Projects!$C$34+Projects!$D$34),Projects!$B$34*INDEX(Curves!$B$4:$AR$4,1,98-Projects!$C$34+1),0)+IF(AND(Projects!$G$35="Yes",Projects!$X$35="Yes",98&gt;=Projects!$C$35,98&lt;Projects!$C$35+Projects!$D$35),Projects!$B$35*INDEX(Curves!$B$4:$AR$4,1,98-Projects!$C$35+1),0)+IF(AND(Projects!$G$36="Yes",Projects!$X$36="Yes",98&gt;=Projects!$C$36,98&lt;Projects!$C$36+Projects!$D$36),Projects!$B$36*INDEX(Curves!$B$4:$AR$4,1,98-Projects!$C$36+1),0)+IF(AND(Projects!$G$37="Yes",Projects!$X$37="Yes",98&gt;=Projects!$C$37,98&lt;Projects!$C$37+Projects!$D$37),Projects!$B$37*INDEX(Curves!$B$4:$AR$4,1,98-Projects!$C$37+1),0)+IF(AND(Projects!$G$38="Yes",Projects!$X$38="Yes",98&gt;=Projects!$C$38,98&lt;Projects!$C$38+Projects!$D$38),Projects!$B$38*INDEX(Curves!$B$4:$AR$4,1,98-Projects!$C$38+1),0)+IF(AND(Projects!$G$39="Yes",Projects!$X$39="Yes",98&gt;=Projects!$C$39,98&lt;Projects!$C$39+Projects!$D$39),Projects!$B$39*INDEX(Curves!$B$4:$AR$4,1,98-Projects!$C$39+1),0)+IF(AND(Projects!$G$40="Yes",Projects!$X$40="Yes",98&gt;=Projects!$C$40,98&lt;Projects!$C$40+Projects!$D$40),Projects!$B$40*INDEX(Curves!$B$4:$AR$4,1,98-Projects!$C$40+1),0)+IF(AND(Projects!$G$41="Yes",Projects!$X$41="Yes",98&gt;=Projects!$C$41,98&lt;Projects!$C$41+Projects!$D$41),Projects!$B$41*INDEX(Curves!$B$4:$AR$4,1,98-Projects!$C$41+1),0)+IF(AND(Projects!$G$42="Yes",Projects!$X$42="Yes",98&gt;=Projects!$C$42,98&lt;Projects!$C$42+Projects!$D$42),Projects!$B$42*INDEX(Curves!$B$4:$AR$4,1,98-Projects!$C$42+1),0)+IF(AND(Projects!$G$43="Yes",Projects!$X$43="Yes",98&gt;=Projects!$C$43,98&lt;Projects!$C$43+Projects!$D$43),Projects!$B$43*INDEX(Curves!$B$4:$AR$4,1,98-Projects!$C$43+1),0)+IF(AND(Projects!$G$44="Yes",Projects!$X$44="Yes",98&gt;=Projects!$C$44,98&lt;Projects!$C$44+Projects!$D$44),Projects!$B$44*INDEX(Curves!$B$4:$AR$4,1,98-Projects!$C$44+1),0)+IF(AND(Projects!$G$45="Yes",Projects!$X$45="Yes",98&gt;=Projects!$C$45,98&lt;Projects!$C$45+Projects!$D$45),Projects!$B$45*INDEX(Curves!$B$4:$AR$4,1,98-Projects!$C$45+1),0)+IF(AND(Projects!$G$46="Yes",Projects!$X$46="Yes",98&gt;=Projects!$C$46,98&lt;Projects!$C$46+Projects!$D$46),Projects!$B$46*INDEX(Curves!$B$4:$AR$4,1,98-Projects!$C$46+1),0)</f>
        <v>0</v>
      </c>
      <c r="CZ96" s="296" t="n">
        <f aca="false">IF(AND(Projects!$G$17="Yes",Projects!$X$17="Yes",99&gt;=Projects!$C$17,99&lt;Projects!$C$17+Projects!$D$17),Projects!$B$17*INDEX(Curves!$B$4:$AR$4,1,99-Projects!$C$17+1),0)+IF(AND(Projects!$G$18="Yes",Projects!$X$18="Yes",99&gt;=Projects!$C$18,99&lt;Projects!$C$18+Projects!$D$18),Projects!$B$18*INDEX(Curves!$B$4:$AR$4,1,99-Projects!$C$18+1),0)+IF(AND(Projects!$G$19="Yes",Projects!$X$19="Yes",99&gt;=Projects!$C$19,99&lt;Projects!$C$19+Projects!$D$19),Projects!$B$19*INDEX(Curves!$B$10:$AR$10,1,99-Projects!$C$19+1),0)+IF(AND(Projects!$G$20="Yes",Projects!$X$20="Yes",99&gt;=Projects!$C$20,99&lt;Projects!$C$20+Projects!$D$20),Projects!$B$20*INDEX(Curves!$B$4:$AR$4,1,99-Projects!$C$20+1),0)+IF(AND(Projects!$G$21="Yes",Projects!$X$21="Yes",99&gt;=Projects!$C$21,99&lt;Projects!$C$21+Projects!$D$21),Projects!$B$21*INDEX(Curves!$B$11:$AR$11,1,99-Projects!$C$21+1),0)+IF(AND(Projects!$G$22="Yes",Projects!$X$22="Yes",99&gt;=Projects!$C$22,99&lt;Projects!$C$22+Projects!$D$22),Projects!$B$22*INDEX(Curves!$B$4:$AR$4,1,99-Projects!$C$22+1),0)+IF(AND(Projects!$G$23="Yes",Projects!$X$23="Yes",99&gt;=Projects!$C$23,99&lt;Projects!$C$23+Projects!$D$23),Projects!$B$23*INDEX(Curves!$B$4:$AR$4,1,99-Projects!$C$23+1),0)+IF(AND(Projects!$G$24="Yes",Projects!$X$24="Yes",99&gt;=Projects!$C$24,99&lt;Projects!$C$24+Projects!$D$24),Projects!$B$24*INDEX(Curves!$B$4:$AR$4,1,99-Projects!$C$24+1),0)+IF(AND(Projects!$G$25="Yes",Projects!$X$25="Yes",99&gt;=Projects!$C$25,99&lt;Projects!$C$25+Projects!$D$25),Projects!$B$25*INDEX(Curves!$B$4:$AR$4,1,99-Projects!$C$25+1),0)+IF(AND(Projects!$G$26="Yes",Projects!$X$26="Yes",99&gt;=Projects!$C$26,99&lt;Projects!$C$26+Projects!$D$26),Projects!$B$26*INDEX(Curves!$B$4:$AR$4,1,99-Projects!$C$26+1),0)+IF(AND(Projects!$G$27="Yes",Projects!$X$27="Yes",99&gt;=Projects!$C$27,99&lt;Projects!$C$27+Projects!$D$27),Projects!$B$27*INDEX(Curves!$B$4:$AR$4,1,99-Projects!$C$27+1),0)+IF(AND(Projects!$G$28="Yes",Projects!$X$28="Yes",99&gt;=Projects!$C$28,99&lt;Projects!$C$28+Projects!$D$28),Projects!$B$28*INDEX(Curves!$B$4:$AR$4,1,99-Projects!$C$28+1),0)+IF(AND(Projects!$G$29="Yes",Projects!$X$29="Yes",99&gt;=Projects!$C$29,99&lt;Projects!$C$29+Projects!$D$29),Projects!$B$29*INDEX(Curves!$B$4:$AR$4,1,99-Projects!$C$29+1),0)+IF(AND(Projects!$G$30="Yes",Projects!$X$30="Yes",99&gt;=Projects!$C$30,99&lt;Projects!$C$30+Projects!$D$30),Projects!$B$30*INDEX(Curves!$B$4:$AR$4,1,99-Projects!$C$30+1),0)+IF(AND(Projects!$G$31="Yes",Projects!$X$31="Yes",99&gt;=Projects!$C$31,99&lt;Projects!$C$31+Projects!$D$31),Projects!$B$31*INDEX(Curves!$B$4:$AR$4,1,99-Projects!$C$31+1),0)+IF(AND(Projects!$G$32="Yes",Projects!$X$32="Yes",99&gt;=Projects!$C$32,99&lt;Projects!$C$32+Projects!$D$32),Projects!$B$32*INDEX(Curves!$B$4:$AR$4,1,99-Projects!$C$32+1),0)+IF(AND(Projects!$G$33="Yes",Projects!$X$33="Yes",99&gt;=Projects!$C$33,99&lt;Projects!$C$33+Projects!$D$33),Projects!$B$33*INDEX(Curves!$B$4:$AR$4,1,99-Projects!$C$33+1),0)+IF(AND(Projects!$G$34="Yes",Projects!$X$34="Yes",99&gt;=Projects!$C$34,99&lt;Projects!$C$34+Projects!$D$34),Projects!$B$34*INDEX(Curves!$B$4:$AR$4,1,99-Projects!$C$34+1),0)+IF(AND(Projects!$G$35="Yes",Projects!$X$35="Yes",99&gt;=Projects!$C$35,99&lt;Projects!$C$35+Projects!$D$35),Projects!$B$35*INDEX(Curves!$B$4:$AR$4,1,99-Projects!$C$35+1),0)+IF(AND(Projects!$G$36="Yes",Projects!$X$36="Yes",99&gt;=Projects!$C$36,99&lt;Projects!$C$36+Projects!$D$36),Projects!$B$36*INDEX(Curves!$B$4:$AR$4,1,99-Projects!$C$36+1),0)+IF(AND(Projects!$G$37="Yes",Projects!$X$37="Yes",99&gt;=Projects!$C$37,99&lt;Projects!$C$37+Projects!$D$37),Projects!$B$37*INDEX(Curves!$B$4:$AR$4,1,99-Projects!$C$37+1),0)+IF(AND(Projects!$G$38="Yes",Projects!$X$38="Yes",99&gt;=Projects!$C$38,99&lt;Projects!$C$38+Projects!$D$38),Projects!$B$38*INDEX(Curves!$B$4:$AR$4,1,99-Projects!$C$38+1),0)+IF(AND(Projects!$G$39="Yes",Projects!$X$39="Yes",99&gt;=Projects!$C$39,99&lt;Projects!$C$39+Projects!$D$39),Projects!$B$39*INDEX(Curves!$B$4:$AR$4,1,99-Projects!$C$39+1),0)+IF(AND(Projects!$G$40="Yes",Projects!$X$40="Yes",99&gt;=Projects!$C$40,99&lt;Projects!$C$40+Projects!$D$40),Projects!$B$40*INDEX(Curves!$B$4:$AR$4,1,99-Projects!$C$40+1),0)+IF(AND(Projects!$G$41="Yes",Projects!$X$41="Yes",99&gt;=Projects!$C$41,99&lt;Projects!$C$41+Projects!$D$41),Projects!$B$41*INDEX(Curves!$B$4:$AR$4,1,99-Projects!$C$41+1),0)+IF(AND(Projects!$G$42="Yes",Projects!$X$42="Yes",99&gt;=Projects!$C$42,99&lt;Projects!$C$42+Projects!$D$42),Projects!$B$42*INDEX(Curves!$B$4:$AR$4,1,99-Projects!$C$42+1),0)+IF(AND(Projects!$G$43="Yes",Projects!$X$43="Yes",99&gt;=Projects!$C$43,99&lt;Projects!$C$43+Projects!$D$43),Projects!$B$43*INDEX(Curves!$B$4:$AR$4,1,99-Projects!$C$43+1),0)+IF(AND(Projects!$G$44="Yes",Projects!$X$44="Yes",99&gt;=Projects!$C$44,99&lt;Projects!$C$44+Projects!$D$44),Projects!$B$44*INDEX(Curves!$B$4:$AR$4,1,99-Projects!$C$44+1),0)+IF(AND(Projects!$G$45="Yes",Projects!$X$45="Yes",99&gt;=Projects!$C$45,99&lt;Projects!$C$45+Projects!$D$45),Projects!$B$45*INDEX(Curves!$B$4:$AR$4,1,99-Projects!$C$45+1),0)+IF(AND(Projects!$G$46="Yes",Projects!$X$46="Yes",99&gt;=Projects!$C$46,99&lt;Projects!$C$46+Projects!$D$46),Projects!$B$46*INDEX(Curves!$B$4:$AR$4,1,99-Projects!$C$46+1),0)</f>
        <v>0</v>
      </c>
      <c r="DA96" s="296" t="n">
        <f aca="false">IF(AND(Projects!$G$17="Yes",Projects!$X$17="Yes",100&gt;=Projects!$C$17,100&lt;Projects!$C$17+Projects!$D$17),Projects!$B$17*INDEX(Curves!$B$4:$AR$4,1,100-Projects!$C$17+1),0)+IF(AND(Projects!$G$18="Yes",Projects!$X$18="Yes",100&gt;=Projects!$C$18,100&lt;Projects!$C$18+Projects!$D$18),Projects!$B$18*INDEX(Curves!$B$4:$AR$4,1,100-Projects!$C$18+1),0)+IF(AND(Projects!$G$19="Yes",Projects!$X$19="Yes",100&gt;=Projects!$C$19,100&lt;Projects!$C$19+Projects!$D$19),Projects!$B$19*INDEX(Curves!$B$10:$AR$10,1,100-Projects!$C$19+1),0)+IF(AND(Projects!$G$20="Yes",Projects!$X$20="Yes",100&gt;=Projects!$C$20,100&lt;Projects!$C$20+Projects!$D$20),Projects!$B$20*INDEX(Curves!$B$4:$AR$4,1,100-Projects!$C$20+1),0)+IF(AND(Projects!$G$21="Yes",Projects!$X$21="Yes",100&gt;=Projects!$C$21,100&lt;Projects!$C$21+Projects!$D$21),Projects!$B$21*INDEX(Curves!$B$11:$AR$11,1,100-Projects!$C$21+1),0)+IF(AND(Projects!$G$22="Yes",Projects!$X$22="Yes",100&gt;=Projects!$C$22,100&lt;Projects!$C$22+Projects!$D$22),Projects!$B$22*INDEX(Curves!$B$4:$AR$4,1,100-Projects!$C$22+1),0)+IF(AND(Projects!$G$23="Yes",Projects!$X$23="Yes",100&gt;=Projects!$C$23,100&lt;Projects!$C$23+Projects!$D$23),Projects!$B$23*INDEX(Curves!$B$4:$AR$4,1,100-Projects!$C$23+1),0)+IF(AND(Projects!$G$24="Yes",Projects!$X$24="Yes",100&gt;=Projects!$C$24,100&lt;Projects!$C$24+Projects!$D$24),Projects!$B$24*INDEX(Curves!$B$4:$AR$4,1,100-Projects!$C$24+1),0)+IF(AND(Projects!$G$25="Yes",Projects!$X$25="Yes",100&gt;=Projects!$C$25,100&lt;Projects!$C$25+Projects!$D$25),Projects!$B$25*INDEX(Curves!$B$4:$AR$4,1,100-Projects!$C$25+1),0)+IF(AND(Projects!$G$26="Yes",Projects!$X$26="Yes",100&gt;=Projects!$C$26,100&lt;Projects!$C$26+Projects!$D$26),Projects!$B$26*INDEX(Curves!$B$4:$AR$4,1,100-Projects!$C$26+1),0)+IF(AND(Projects!$G$27="Yes",Projects!$X$27="Yes",100&gt;=Projects!$C$27,100&lt;Projects!$C$27+Projects!$D$27),Projects!$B$27*INDEX(Curves!$B$4:$AR$4,1,100-Projects!$C$27+1),0)+IF(AND(Projects!$G$28="Yes",Projects!$X$28="Yes",100&gt;=Projects!$C$28,100&lt;Projects!$C$28+Projects!$D$28),Projects!$B$28*INDEX(Curves!$B$4:$AR$4,1,100-Projects!$C$28+1),0)+IF(AND(Projects!$G$29="Yes",Projects!$X$29="Yes",100&gt;=Projects!$C$29,100&lt;Projects!$C$29+Projects!$D$29),Projects!$B$29*INDEX(Curves!$B$4:$AR$4,1,100-Projects!$C$29+1),0)+IF(AND(Projects!$G$30="Yes",Projects!$X$30="Yes",100&gt;=Projects!$C$30,100&lt;Projects!$C$30+Projects!$D$30),Projects!$B$30*INDEX(Curves!$B$4:$AR$4,1,100-Projects!$C$30+1),0)+IF(AND(Projects!$G$31="Yes",Projects!$X$31="Yes",100&gt;=Projects!$C$31,100&lt;Projects!$C$31+Projects!$D$31),Projects!$B$31*INDEX(Curves!$B$4:$AR$4,1,100-Projects!$C$31+1),0)+IF(AND(Projects!$G$32="Yes",Projects!$X$32="Yes",100&gt;=Projects!$C$32,100&lt;Projects!$C$32+Projects!$D$32),Projects!$B$32*INDEX(Curves!$B$4:$AR$4,1,100-Projects!$C$32+1),0)+IF(AND(Projects!$G$33="Yes",Projects!$X$33="Yes",100&gt;=Projects!$C$33,100&lt;Projects!$C$33+Projects!$D$33),Projects!$B$33*INDEX(Curves!$B$4:$AR$4,1,100-Projects!$C$33+1),0)+IF(AND(Projects!$G$34="Yes",Projects!$X$34="Yes",100&gt;=Projects!$C$34,100&lt;Projects!$C$34+Projects!$D$34),Projects!$B$34*INDEX(Curves!$B$4:$AR$4,1,100-Projects!$C$34+1),0)+IF(AND(Projects!$G$35="Yes",Projects!$X$35="Yes",100&gt;=Projects!$C$35,100&lt;Projects!$C$35+Projects!$D$35),Projects!$B$35*INDEX(Curves!$B$4:$AR$4,1,100-Projects!$C$35+1),0)+IF(AND(Projects!$G$36="Yes",Projects!$X$36="Yes",100&gt;=Projects!$C$36,100&lt;Projects!$C$36+Projects!$D$36),Projects!$B$36*INDEX(Curves!$B$4:$AR$4,1,100-Projects!$C$36+1),0)+IF(AND(Projects!$G$37="Yes",Projects!$X$37="Yes",100&gt;=Projects!$C$37,100&lt;Projects!$C$37+Projects!$D$37),Projects!$B$37*INDEX(Curves!$B$4:$AR$4,1,100-Projects!$C$37+1),0)+IF(AND(Projects!$G$38="Yes",Projects!$X$38="Yes",100&gt;=Projects!$C$38,100&lt;Projects!$C$38+Projects!$D$38),Projects!$B$38*INDEX(Curves!$B$4:$AR$4,1,100-Projects!$C$38+1),0)+IF(AND(Projects!$G$39="Yes",Projects!$X$39="Yes",100&gt;=Projects!$C$39,100&lt;Projects!$C$39+Projects!$D$39),Projects!$B$39*INDEX(Curves!$B$4:$AR$4,1,100-Projects!$C$39+1),0)+IF(AND(Projects!$G$40="Yes",Projects!$X$40="Yes",100&gt;=Projects!$C$40,100&lt;Projects!$C$40+Projects!$D$40),Projects!$B$40*INDEX(Curves!$B$4:$AR$4,1,100-Projects!$C$40+1),0)+IF(AND(Projects!$G$41="Yes",Projects!$X$41="Yes",100&gt;=Projects!$C$41,100&lt;Projects!$C$41+Projects!$D$41),Projects!$B$41*INDEX(Curves!$B$4:$AR$4,1,100-Projects!$C$41+1),0)+IF(AND(Projects!$G$42="Yes",Projects!$X$42="Yes",100&gt;=Projects!$C$42,100&lt;Projects!$C$42+Projects!$D$42),Projects!$B$42*INDEX(Curves!$B$4:$AR$4,1,100-Projects!$C$42+1),0)+IF(AND(Projects!$G$43="Yes",Projects!$X$43="Yes",100&gt;=Projects!$C$43,100&lt;Projects!$C$43+Projects!$D$43),Projects!$B$43*INDEX(Curves!$B$4:$AR$4,1,100-Projects!$C$43+1),0)+IF(AND(Projects!$G$44="Yes",Projects!$X$44="Yes",100&gt;=Projects!$C$44,100&lt;Projects!$C$44+Projects!$D$44),Projects!$B$44*INDEX(Curves!$B$4:$AR$4,1,100-Projects!$C$44+1),0)+IF(AND(Projects!$G$45="Yes",Projects!$X$45="Yes",100&gt;=Projects!$C$45,100&lt;Projects!$C$45+Projects!$D$45),Projects!$B$45*INDEX(Curves!$B$4:$AR$4,1,100-Projects!$C$45+1),0)+IF(AND(Projects!$G$46="Yes",Projects!$X$46="Yes",100&gt;=Projects!$C$46,100&lt;Projects!$C$46+Projects!$D$46),Projects!$B$46*INDEX(Curves!$B$4:$AR$4,1,100-Projects!$C$46+1),0)</f>
        <v>0</v>
      </c>
      <c r="DB96" s="296" t="n">
        <f aca="false">IF(AND(Projects!$G$17="Yes",Projects!$X$17="Yes",101&gt;=Projects!$C$17,101&lt;Projects!$C$17+Projects!$D$17),Projects!$B$17*INDEX(Curves!$B$4:$AR$4,1,101-Projects!$C$17+1),0)+IF(AND(Projects!$G$18="Yes",Projects!$X$18="Yes",101&gt;=Projects!$C$18,101&lt;Projects!$C$18+Projects!$D$18),Projects!$B$18*INDEX(Curves!$B$4:$AR$4,1,101-Projects!$C$18+1),0)+IF(AND(Projects!$G$19="Yes",Projects!$X$19="Yes",101&gt;=Projects!$C$19,101&lt;Projects!$C$19+Projects!$D$19),Projects!$B$19*INDEX(Curves!$B$10:$AR$10,1,101-Projects!$C$19+1),0)+IF(AND(Projects!$G$20="Yes",Projects!$X$20="Yes",101&gt;=Projects!$C$20,101&lt;Projects!$C$20+Projects!$D$20),Projects!$B$20*INDEX(Curves!$B$4:$AR$4,1,101-Projects!$C$20+1),0)+IF(AND(Projects!$G$21="Yes",Projects!$X$21="Yes",101&gt;=Projects!$C$21,101&lt;Projects!$C$21+Projects!$D$21),Projects!$B$21*INDEX(Curves!$B$11:$AR$11,1,101-Projects!$C$21+1),0)+IF(AND(Projects!$G$22="Yes",Projects!$X$22="Yes",101&gt;=Projects!$C$22,101&lt;Projects!$C$22+Projects!$D$22),Projects!$B$22*INDEX(Curves!$B$4:$AR$4,1,101-Projects!$C$22+1),0)+IF(AND(Projects!$G$23="Yes",Projects!$X$23="Yes",101&gt;=Projects!$C$23,101&lt;Projects!$C$23+Projects!$D$23),Projects!$B$23*INDEX(Curves!$B$4:$AR$4,1,101-Projects!$C$23+1),0)+IF(AND(Projects!$G$24="Yes",Projects!$X$24="Yes",101&gt;=Projects!$C$24,101&lt;Projects!$C$24+Projects!$D$24),Projects!$B$24*INDEX(Curves!$B$4:$AR$4,1,101-Projects!$C$24+1),0)+IF(AND(Projects!$G$25="Yes",Projects!$X$25="Yes",101&gt;=Projects!$C$25,101&lt;Projects!$C$25+Projects!$D$25),Projects!$B$25*INDEX(Curves!$B$4:$AR$4,1,101-Projects!$C$25+1),0)+IF(AND(Projects!$G$26="Yes",Projects!$X$26="Yes",101&gt;=Projects!$C$26,101&lt;Projects!$C$26+Projects!$D$26),Projects!$B$26*INDEX(Curves!$B$4:$AR$4,1,101-Projects!$C$26+1),0)+IF(AND(Projects!$G$27="Yes",Projects!$X$27="Yes",101&gt;=Projects!$C$27,101&lt;Projects!$C$27+Projects!$D$27),Projects!$B$27*INDEX(Curves!$B$4:$AR$4,1,101-Projects!$C$27+1),0)+IF(AND(Projects!$G$28="Yes",Projects!$X$28="Yes",101&gt;=Projects!$C$28,101&lt;Projects!$C$28+Projects!$D$28),Projects!$B$28*INDEX(Curves!$B$4:$AR$4,1,101-Projects!$C$28+1),0)+IF(AND(Projects!$G$29="Yes",Projects!$X$29="Yes",101&gt;=Projects!$C$29,101&lt;Projects!$C$29+Projects!$D$29),Projects!$B$29*INDEX(Curves!$B$4:$AR$4,1,101-Projects!$C$29+1),0)+IF(AND(Projects!$G$30="Yes",Projects!$X$30="Yes",101&gt;=Projects!$C$30,101&lt;Projects!$C$30+Projects!$D$30),Projects!$B$30*INDEX(Curves!$B$4:$AR$4,1,101-Projects!$C$30+1),0)+IF(AND(Projects!$G$31="Yes",Projects!$X$31="Yes",101&gt;=Projects!$C$31,101&lt;Projects!$C$31+Projects!$D$31),Projects!$B$31*INDEX(Curves!$B$4:$AR$4,1,101-Projects!$C$31+1),0)+IF(AND(Projects!$G$32="Yes",Projects!$X$32="Yes",101&gt;=Projects!$C$32,101&lt;Projects!$C$32+Projects!$D$32),Projects!$B$32*INDEX(Curves!$B$4:$AR$4,1,101-Projects!$C$32+1),0)+IF(AND(Projects!$G$33="Yes",Projects!$X$33="Yes",101&gt;=Projects!$C$33,101&lt;Projects!$C$33+Projects!$D$33),Projects!$B$33*INDEX(Curves!$B$4:$AR$4,1,101-Projects!$C$33+1),0)+IF(AND(Projects!$G$34="Yes",Projects!$X$34="Yes",101&gt;=Projects!$C$34,101&lt;Projects!$C$34+Projects!$D$34),Projects!$B$34*INDEX(Curves!$B$4:$AR$4,1,101-Projects!$C$34+1),0)+IF(AND(Projects!$G$35="Yes",Projects!$X$35="Yes",101&gt;=Projects!$C$35,101&lt;Projects!$C$35+Projects!$D$35),Projects!$B$35*INDEX(Curves!$B$4:$AR$4,1,101-Projects!$C$35+1),0)+IF(AND(Projects!$G$36="Yes",Projects!$X$36="Yes",101&gt;=Projects!$C$36,101&lt;Projects!$C$36+Projects!$D$36),Projects!$B$36*INDEX(Curves!$B$4:$AR$4,1,101-Projects!$C$36+1),0)+IF(AND(Projects!$G$37="Yes",Projects!$X$37="Yes",101&gt;=Projects!$C$37,101&lt;Projects!$C$37+Projects!$D$37),Projects!$B$37*INDEX(Curves!$B$4:$AR$4,1,101-Projects!$C$37+1),0)+IF(AND(Projects!$G$38="Yes",Projects!$X$38="Yes",101&gt;=Projects!$C$38,101&lt;Projects!$C$38+Projects!$D$38),Projects!$B$38*INDEX(Curves!$B$4:$AR$4,1,101-Projects!$C$38+1),0)+IF(AND(Projects!$G$39="Yes",Projects!$X$39="Yes",101&gt;=Projects!$C$39,101&lt;Projects!$C$39+Projects!$D$39),Projects!$B$39*INDEX(Curves!$B$4:$AR$4,1,101-Projects!$C$39+1),0)+IF(AND(Projects!$G$40="Yes",Projects!$X$40="Yes",101&gt;=Projects!$C$40,101&lt;Projects!$C$40+Projects!$D$40),Projects!$B$40*INDEX(Curves!$B$4:$AR$4,1,101-Projects!$C$40+1),0)+IF(AND(Projects!$G$41="Yes",Projects!$X$41="Yes",101&gt;=Projects!$C$41,101&lt;Projects!$C$41+Projects!$D$41),Projects!$B$41*INDEX(Curves!$B$4:$AR$4,1,101-Projects!$C$41+1),0)+IF(AND(Projects!$G$42="Yes",Projects!$X$42="Yes",101&gt;=Projects!$C$42,101&lt;Projects!$C$42+Projects!$D$42),Projects!$B$42*INDEX(Curves!$B$4:$AR$4,1,101-Projects!$C$42+1),0)+IF(AND(Projects!$G$43="Yes",Projects!$X$43="Yes",101&gt;=Projects!$C$43,101&lt;Projects!$C$43+Projects!$D$43),Projects!$B$43*INDEX(Curves!$B$4:$AR$4,1,101-Projects!$C$43+1),0)+IF(AND(Projects!$G$44="Yes",Projects!$X$44="Yes",101&gt;=Projects!$C$44,101&lt;Projects!$C$44+Projects!$D$44),Projects!$B$44*INDEX(Curves!$B$4:$AR$4,1,101-Projects!$C$44+1),0)+IF(AND(Projects!$G$45="Yes",Projects!$X$45="Yes",101&gt;=Projects!$C$45,101&lt;Projects!$C$45+Projects!$D$45),Projects!$B$45*INDEX(Curves!$B$4:$AR$4,1,101-Projects!$C$45+1),0)+IF(AND(Projects!$G$46="Yes",Projects!$X$46="Yes",101&gt;=Projects!$C$46,101&lt;Projects!$C$46+Projects!$D$46),Projects!$B$46*INDEX(Curves!$B$4:$AR$4,1,101-Projects!$C$46+1),0)</f>
        <v>0</v>
      </c>
      <c r="DC96" s="296" t="n">
        <f aca="false">IF(AND(Projects!$G$17="Yes",Projects!$X$17="Yes",102&gt;=Projects!$C$17,102&lt;Projects!$C$17+Projects!$D$17),Projects!$B$17*INDEX(Curves!$B$4:$AR$4,1,102-Projects!$C$17+1),0)+IF(AND(Projects!$G$18="Yes",Projects!$X$18="Yes",102&gt;=Projects!$C$18,102&lt;Projects!$C$18+Projects!$D$18),Projects!$B$18*INDEX(Curves!$B$4:$AR$4,1,102-Projects!$C$18+1),0)+IF(AND(Projects!$G$19="Yes",Projects!$X$19="Yes",102&gt;=Projects!$C$19,102&lt;Projects!$C$19+Projects!$D$19),Projects!$B$19*INDEX(Curves!$B$10:$AR$10,1,102-Projects!$C$19+1),0)+IF(AND(Projects!$G$20="Yes",Projects!$X$20="Yes",102&gt;=Projects!$C$20,102&lt;Projects!$C$20+Projects!$D$20),Projects!$B$20*INDEX(Curves!$B$4:$AR$4,1,102-Projects!$C$20+1),0)+IF(AND(Projects!$G$21="Yes",Projects!$X$21="Yes",102&gt;=Projects!$C$21,102&lt;Projects!$C$21+Projects!$D$21),Projects!$B$21*INDEX(Curves!$B$11:$AR$11,1,102-Projects!$C$21+1),0)+IF(AND(Projects!$G$22="Yes",Projects!$X$22="Yes",102&gt;=Projects!$C$22,102&lt;Projects!$C$22+Projects!$D$22),Projects!$B$22*INDEX(Curves!$B$4:$AR$4,1,102-Projects!$C$22+1),0)+IF(AND(Projects!$G$23="Yes",Projects!$X$23="Yes",102&gt;=Projects!$C$23,102&lt;Projects!$C$23+Projects!$D$23),Projects!$B$23*INDEX(Curves!$B$4:$AR$4,1,102-Projects!$C$23+1),0)+IF(AND(Projects!$G$24="Yes",Projects!$X$24="Yes",102&gt;=Projects!$C$24,102&lt;Projects!$C$24+Projects!$D$24),Projects!$B$24*INDEX(Curves!$B$4:$AR$4,1,102-Projects!$C$24+1),0)+IF(AND(Projects!$G$25="Yes",Projects!$X$25="Yes",102&gt;=Projects!$C$25,102&lt;Projects!$C$25+Projects!$D$25),Projects!$B$25*INDEX(Curves!$B$4:$AR$4,1,102-Projects!$C$25+1),0)+IF(AND(Projects!$G$26="Yes",Projects!$X$26="Yes",102&gt;=Projects!$C$26,102&lt;Projects!$C$26+Projects!$D$26),Projects!$B$26*INDEX(Curves!$B$4:$AR$4,1,102-Projects!$C$26+1),0)+IF(AND(Projects!$G$27="Yes",Projects!$X$27="Yes",102&gt;=Projects!$C$27,102&lt;Projects!$C$27+Projects!$D$27),Projects!$B$27*INDEX(Curves!$B$4:$AR$4,1,102-Projects!$C$27+1),0)+IF(AND(Projects!$G$28="Yes",Projects!$X$28="Yes",102&gt;=Projects!$C$28,102&lt;Projects!$C$28+Projects!$D$28),Projects!$B$28*INDEX(Curves!$B$4:$AR$4,1,102-Projects!$C$28+1),0)+IF(AND(Projects!$G$29="Yes",Projects!$X$29="Yes",102&gt;=Projects!$C$29,102&lt;Projects!$C$29+Projects!$D$29),Projects!$B$29*INDEX(Curves!$B$4:$AR$4,1,102-Projects!$C$29+1),0)+IF(AND(Projects!$G$30="Yes",Projects!$X$30="Yes",102&gt;=Projects!$C$30,102&lt;Projects!$C$30+Projects!$D$30),Projects!$B$30*INDEX(Curves!$B$4:$AR$4,1,102-Projects!$C$30+1),0)+IF(AND(Projects!$G$31="Yes",Projects!$X$31="Yes",102&gt;=Projects!$C$31,102&lt;Projects!$C$31+Projects!$D$31),Projects!$B$31*INDEX(Curves!$B$4:$AR$4,1,102-Projects!$C$31+1),0)+IF(AND(Projects!$G$32="Yes",Projects!$X$32="Yes",102&gt;=Projects!$C$32,102&lt;Projects!$C$32+Projects!$D$32),Projects!$B$32*INDEX(Curves!$B$4:$AR$4,1,102-Projects!$C$32+1),0)+IF(AND(Projects!$G$33="Yes",Projects!$X$33="Yes",102&gt;=Projects!$C$33,102&lt;Projects!$C$33+Projects!$D$33),Projects!$B$33*INDEX(Curves!$B$4:$AR$4,1,102-Projects!$C$33+1),0)+IF(AND(Projects!$G$34="Yes",Projects!$X$34="Yes",102&gt;=Projects!$C$34,102&lt;Projects!$C$34+Projects!$D$34),Projects!$B$34*INDEX(Curves!$B$4:$AR$4,1,102-Projects!$C$34+1),0)+IF(AND(Projects!$G$35="Yes",Projects!$X$35="Yes",102&gt;=Projects!$C$35,102&lt;Projects!$C$35+Projects!$D$35),Projects!$B$35*INDEX(Curves!$B$4:$AR$4,1,102-Projects!$C$35+1),0)+IF(AND(Projects!$G$36="Yes",Projects!$X$36="Yes",102&gt;=Projects!$C$36,102&lt;Projects!$C$36+Projects!$D$36),Projects!$B$36*INDEX(Curves!$B$4:$AR$4,1,102-Projects!$C$36+1),0)+IF(AND(Projects!$G$37="Yes",Projects!$X$37="Yes",102&gt;=Projects!$C$37,102&lt;Projects!$C$37+Projects!$D$37),Projects!$B$37*INDEX(Curves!$B$4:$AR$4,1,102-Projects!$C$37+1),0)+IF(AND(Projects!$G$38="Yes",Projects!$X$38="Yes",102&gt;=Projects!$C$38,102&lt;Projects!$C$38+Projects!$D$38),Projects!$B$38*INDEX(Curves!$B$4:$AR$4,1,102-Projects!$C$38+1),0)+IF(AND(Projects!$G$39="Yes",Projects!$X$39="Yes",102&gt;=Projects!$C$39,102&lt;Projects!$C$39+Projects!$D$39),Projects!$B$39*INDEX(Curves!$B$4:$AR$4,1,102-Projects!$C$39+1),0)+IF(AND(Projects!$G$40="Yes",Projects!$X$40="Yes",102&gt;=Projects!$C$40,102&lt;Projects!$C$40+Projects!$D$40),Projects!$B$40*INDEX(Curves!$B$4:$AR$4,1,102-Projects!$C$40+1),0)+IF(AND(Projects!$G$41="Yes",Projects!$X$41="Yes",102&gt;=Projects!$C$41,102&lt;Projects!$C$41+Projects!$D$41),Projects!$B$41*INDEX(Curves!$B$4:$AR$4,1,102-Projects!$C$41+1),0)+IF(AND(Projects!$G$42="Yes",Projects!$X$42="Yes",102&gt;=Projects!$C$42,102&lt;Projects!$C$42+Projects!$D$42),Projects!$B$42*INDEX(Curves!$B$4:$AR$4,1,102-Projects!$C$42+1),0)+IF(AND(Projects!$G$43="Yes",Projects!$X$43="Yes",102&gt;=Projects!$C$43,102&lt;Projects!$C$43+Projects!$D$43),Projects!$B$43*INDEX(Curves!$B$4:$AR$4,1,102-Projects!$C$43+1),0)+IF(AND(Projects!$G$44="Yes",Projects!$X$44="Yes",102&gt;=Projects!$C$44,102&lt;Projects!$C$44+Projects!$D$44),Projects!$B$44*INDEX(Curves!$B$4:$AR$4,1,102-Projects!$C$44+1),0)+IF(AND(Projects!$G$45="Yes",Projects!$X$45="Yes",102&gt;=Projects!$C$45,102&lt;Projects!$C$45+Projects!$D$45),Projects!$B$45*INDEX(Curves!$B$4:$AR$4,1,102-Projects!$C$45+1),0)+IF(AND(Projects!$G$46="Yes",Projects!$X$46="Yes",102&gt;=Projects!$C$46,102&lt;Projects!$C$46+Projects!$D$46),Projects!$B$46*INDEX(Curves!$B$4:$AR$4,1,102-Projects!$C$46+1),0)</f>
        <v>0</v>
      </c>
      <c r="DD96" s="296" t="n">
        <f aca="false">IF(AND(Projects!$G$17="Yes",Projects!$X$17="Yes",103&gt;=Projects!$C$17,103&lt;Projects!$C$17+Projects!$D$17),Projects!$B$17*INDEX(Curves!$B$4:$AR$4,1,103-Projects!$C$17+1),0)+IF(AND(Projects!$G$18="Yes",Projects!$X$18="Yes",103&gt;=Projects!$C$18,103&lt;Projects!$C$18+Projects!$D$18),Projects!$B$18*INDEX(Curves!$B$4:$AR$4,1,103-Projects!$C$18+1),0)+IF(AND(Projects!$G$19="Yes",Projects!$X$19="Yes",103&gt;=Projects!$C$19,103&lt;Projects!$C$19+Projects!$D$19),Projects!$B$19*INDEX(Curves!$B$10:$AR$10,1,103-Projects!$C$19+1),0)+IF(AND(Projects!$G$20="Yes",Projects!$X$20="Yes",103&gt;=Projects!$C$20,103&lt;Projects!$C$20+Projects!$D$20),Projects!$B$20*INDEX(Curves!$B$4:$AR$4,1,103-Projects!$C$20+1),0)+IF(AND(Projects!$G$21="Yes",Projects!$X$21="Yes",103&gt;=Projects!$C$21,103&lt;Projects!$C$21+Projects!$D$21),Projects!$B$21*INDEX(Curves!$B$11:$AR$11,1,103-Projects!$C$21+1),0)+IF(AND(Projects!$G$22="Yes",Projects!$X$22="Yes",103&gt;=Projects!$C$22,103&lt;Projects!$C$22+Projects!$D$22),Projects!$B$22*INDEX(Curves!$B$4:$AR$4,1,103-Projects!$C$22+1),0)+IF(AND(Projects!$G$23="Yes",Projects!$X$23="Yes",103&gt;=Projects!$C$23,103&lt;Projects!$C$23+Projects!$D$23),Projects!$B$23*INDEX(Curves!$B$4:$AR$4,1,103-Projects!$C$23+1),0)+IF(AND(Projects!$G$24="Yes",Projects!$X$24="Yes",103&gt;=Projects!$C$24,103&lt;Projects!$C$24+Projects!$D$24),Projects!$B$24*INDEX(Curves!$B$4:$AR$4,1,103-Projects!$C$24+1),0)+IF(AND(Projects!$G$25="Yes",Projects!$X$25="Yes",103&gt;=Projects!$C$25,103&lt;Projects!$C$25+Projects!$D$25),Projects!$B$25*INDEX(Curves!$B$4:$AR$4,1,103-Projects!$C$25+1),0)+IF(AND(Projects!$G$26="Yes",Projects!$X$26="Yes",103&gt;=Projects!$C$26,103&lt;Projects!$C$26+Projects!$D$26),Projects!$B$26*INDEX(Curves!$B$4:$AR$4,1,103-Projects!$C$26+1),0)+IF(AND(Projects!$G$27="Yes",Projects!$X$27="Yes",103&gt;=Projects!$C$27,103&lt;Projects!$C$27+Projects!$D$27),Projects!$B$27*INDEX(Curves!$B$4:$AR$4,1,103-Projects!$C$27+1),0)+IF(AND(Projects!$G$28="Yes",Projects!$X$28="Yes",103&gt;=Projects!$C$28,103&lt;Projects!$C$28+Projects!$D$28),Projects!$B$28*INDEX(Curves!$B$4:$AR$4,1,103-Projects!$C$28+1),0)+IF(AND(Projects!$G$29="Yes",Projects!$X$29="Yes",103&gt;=Projects!$C$29,103&lt;Projects!$C$29+Projects!$D$29),Projects!$B$29*INDEX(Curves!$B$4:$AR$4,1,103-Projects!$C$29+1),0)+IF(AND(Projects!$G$30="Yes",Projects!$X$30="Yes",103&gt;=Projects!$C$30,103&lt;Projects!$C$30+Projects!$D$30),Projects!$B$30*INDEX(Curves!$B$4:$AR$4,1,103-Projects!$C$30+1),0)+IF(AND(Projects!$G$31="Yes",Projects!$X$31="Yes",103&gt;=Projects!$C$31,103&lt;Projects!$C$31+Projects!$D$31),Projects!$B$31*INDEX(Curves!$B$4:$AR$4,1,103-Projects!$C$31+1),0)+IF(AND(Projects!$G$32="Yes",Projects!$X$32="Yes",103&gt;=Projects!$C$32,103&lt;Projects!$C$32+Projects!$D$32),Projects!$B$32*INDEX(Curves!$B$4:$AR$4,1,103-Projects!$C$32+1),0)+IF(AND(Projects!$G$33="Yes",Projects!$X$33="Yes",103&gt;=Projects!$C$33,103&lt;Projects!$C$33+Projects!$D$33),Projects!$B$33*INDEX(Curves!$B$4:$AR$4,1,103-Projects!$C$33+1),0)+IF(AND(Projects!$G$34="Yes",Projects!$X$34="Yes",103&gt;=Projects!$C$34,103&lt;Projects!$C$34+Projects!$D$34),Projects!$B$34*INDEX(Curves!$B$4:$AR$4,1,103-Projects!$C$34+1),0)+IF(AND(Projects!$G$35="Yes",Projects!$X$35="Yes",103&gt;=Projects!$C$35,103&lt;Projects!$C$35+Projects!$D$35),Projects!$B$35*INDEX(Curves!$B$4:$AR$4,1,103-Projects!$C$35+1),0)+IF(AND(Projects!$G$36="Yes",Projects!$X$36="Yes",103&gt;=Projects!$C$36,103&lt;Projects!$C$36+Projects!$D$36),Projects!$B$36*INDEX(Curves!$B$4:$AR$4,1,103-Projects!$C$36+1),0)+IF(AND(Projects!$G$37="Yes",Projects!$X$37="Yes",103&gt;=Projects!$C$37,103&lt;Projects!$C$37+Projects!$D$37),Projects!$B$37*INDEX(Curves!$B$4:$AR$4,1,103-Projects!$C$37+1),0)+IF(AND(Projects!$G$38="Yes",Projects!$X$38="Yes",103&gt;=Projects!$C$38,103&lt;Projects!$C$38+Projects!$D$38),Projects!$B$38*INDEX(Curves!$B$4:$AR$4,1,103-Projects!$C$38+1),0)+IF(AND(Projects!$G$39="Yes",Projects!$X$39="Yes",103&gt;=Projects!$C$39,103&lt;Projects!$C$39+Projects!$D$39),Projects!$B$39*INDEX(Curves!$B$4:$AR$4,1,103-Projects!$C$39+1),0)+IF(AND(Projects!$G$40="Yes",Projects!$X$40="Yes",103&gt;=Projects!$C$40,103&lt;Projects!$C$40+Projects!$D$40),Projects!$B$40*INDEX(Curves!$B$4:$AR$4,1,103-Projects!$C$40+1),0)+IF(AND(Projects!$G$41="Yes",Projects!$X$41="Yes",103&gt;=Projects!$C$41,103&lt;Projects!$C$41+Projects!$D$41),Projects!$B$41*INDEX(Curves!$B$4:$AR$4,1,103-Projects!$C$41+1),0)+IF(AND(Projects!$G$42="Yes",Projects!$X$42="Yes",103&gt;=Projects!$C$42,103&lt;Projects!$C$42+Projects!$D$42),Projects!$B$42*INDEX(Curves!$B$4:$AR$4,1,103-Projects!$C$42+1),0)+IF(AND(Projects!$G$43="Yes",Projects!$X$43="Yes",103&gt;=Projects!$C$43,103&lt;Projects!$C$43+Projects!$D$43),Projects!$B$43*INDEX(Curves!$B$4:$AR$4,1,103-Projects!$C$43+1),0)+IF(AND(Projects!$G$44="Yes",Projects!$X$44="Yes",103&gt;=Projects!$C$44,103&lt;Projects!$C$44+Projects!$D$44),Projects!$B$44*INDEX(Curves!$B$4:$AR$4,1,103-Projects!$C$44+1),0)+IF(AND(Projects!$G$45="Yes",Projects!$X$45="Yes",103&gt;=Projects!$C$45,103&lt;Projects!$C$45+Projects!$D$45),Projects!$B$45*INDEX(Curves!$B$4:$AR$4,1,103-Projects!$C$45+1),0)+IF(AND(Projects!$G$46="Yes",Projects!$X$46="Yes",103&gt;=Projects!$C$46,103&lt;Projects!$C$46+Projects!$D$46),Projects!$B$46*INDEX(Curves!$B$4:$AR$4,1,103-Projects!$C$46+1),0)</f>
        <v>0</v>
      </c>
      <c r="DE96" s="296" t="n">
        <f aca="false">IF(AND(Projects!$G$17="Yes",Projects!$X$17="Yes",104&gt;=Projects!$C$17,104&lt;Projects!$C$17+Projects!$D$17),Projects!$B$17*INDEX(Curves!$B$4:$AR$4,1,104-Projects!$C$17+1),0)+IF(AND(Projects!$G$18="Yes",Projects!$X$18="Yes",104&gt;=Projects!$C$18,104&lt;Projects!$C$18+Projects!$D$18),Projects!$B$18*INDEX(Curves!$B$4:$AR$4,1,104-Projects!$C$18+1),0)+IF(AND(Projects!$G$19="Yes",Projects!$X$19="Yes",104&gt;=Projects!$C$19,104&lt;Projects!$C$19+Projects!$D$19),Projects!$B$19*INDEX(Curves!$B$10:$AR$10,1,104-Projects!$C$19+1),0)+IF(AND(Projects!$G$20="Yes",Projects!$X$20="Yes",104&gt;=Projects!$C$20,104&lt;Projects!$C$20+Projects!$D$20),Projects!$B$20*INDEX(Curves!$B$4:$AR$4,1,104-Projects!$C$20+1),0)+IF(AND(Projects!$G$21="Yes",Projects!$X$21="Yes",104&gt;=Projects!$C$21,104&lt;Projects!$C$21+Projects!$D$21),Projects!$B$21*INDEX(Curves!$B$11:$AR$11,1,104-Projects!$C$21+1),0)+IF(AND(Projects!$G$22="Yes",Projects!$X$22="Yes",104&gt;=Projects!$C$22,104&lt;Projects!$C$22+Projects!$D$22),Projects!$B$22*INDEX(Curves!$B$4:$AR$4,1,104-Projects!$C$22+1),0)+IF(AND(Projects!$G$23="Yes",Projects!$X$23="Yes",104&gt;=Projects!$C$23,104&lt;Projects!$C$23+Projects!$D$23),Projects!$B$23*INDEX(Curves!$B$4:$AR$4,1,104-Projects!$C$23+1),0)+IF(AND(Projects!$G$24="Yes",Projects!$X$24="Yes",104&gt;=Projects!$C$24,104&lt;Projects!$C$24+Projects!$D$24),Projects!$B$24*INDEX(Curves!$B$4:$AR$4,1,104-Projects!$C$24+1),0)+IF(AND(Projects!$G$25="Yes",Projects!$X$25="Yes",104&gt;=Projects!$C$25,104&lt;Projects!$C$25+Projects!$D$25),Projects!$B$25*INDEX(Curves!$B$4:$AR$4,1,104-Projects!$C$25+1),0)+IF(AND(Projects!$G$26="Yes",Projects!$X$26="Yes",104&gt;=Projects!$C$26,104&lt;Projects!$C$26+Projects!$D$26),Projects!$B$26*INDEX(Curves!$B$4:$AR$4,1,104-Projects!$C$26+1),0)+IF(AND(Projects!$G$27="Yes",Projects!$X$27="Yes",104&gt;=Projects!$C$27,104&lt;Projects!$C$27+Projects!$D$27),Projects!$B$27*INDEX(Curves!$B$4:$AR$4,1,104-Projects!$C$27+1),0)+IF(AND(Projects!$G$28="Yes",Projects!$X$28="Yes",104&gt;=Projects!$C$28,104&lt;Projects!$C$28+Projects!$D$28),Projects!$B$28*INDEX(Curves!$B$4:$AR$4,1,104-Projects!$C$28+1),0)+IF(AND(Projects!$G$29="Yes",Projects!$X$29="Yes",104&gt;=Projects!$C$29,104&lt;Projects!$C$29+Projects!$D$29),Projects!$B$29*INDEX(Curves!$B$4:$AR$4,1,104-Projects!$C$29+1),0)+IF(AND(Projects!$G$30="Yes",Projects!$X$30="Yes",104&gt;=Projects!$C$30,104&lt;Projects!$C$30+Projects!$D$30),Projects!$B$30*INDEX(Curves!$B$4:$AR$4,1,104-Projects!$C$30+1),0)+IF(AND(Projects!$G$31="Yes",Projects!$X$31="Yes",104&gt;=Projects!$C$31,104&lt;Projects!$C$31+Projects!$D$31),Projects!$B$31*INDEX(Curves!$B$4:$AR$4,1,104-Projects!$C$31+1),0)+IF(AND(Projects!$G$32="Yes",Projects!$X$32="Yes",104&gt;=Projects!$C$32,104&lt;Projects!$C$32+Projects!$D$32),Projects!$B$32*INDEX(Curves!$B$4:$AR$4,1,104-Projects!$C$32+1),0)+IF(AND(Projects!$G$33="Yes",Projects!$X$33="Yes",104&gt;=Projects!$C$33,104&lt;Projects!$C$33+Projects!$D$33),Projects!$B$33*INDEX(Curves!$B$4:$AR$4,1,104-Projects!$C$33+1),0)+IF(AND(Projects!$G$34="Yes",Projects!$X$34="Yes",104&gt;=Projects!$C$34,104&lt;Projects!$C$34+Projects!$D$34),Projects!$B$34*INDEX(Curves!$B$4:$AR$4,1,104-Projects!$C$34+1),0)+IF(AND(Projects!$G$35="Yes",Projects!$X$35="Yes",104&gt;=Projects!$C$35,104&lt;Projects!$C$35+Projects!$D$35),Projects!$B$35*INDEX(Curves!$B$4:$AR$4,1,104-Projects!$C$35+1),0)+IF(AND(Projects!$G$36="Yes",Projects!$X$36="Yes",104&gt;=Projects!$C$36,104&lt;Projects!$C$36+Projects!$D$36),Projects!$B$36*INDEX(Curves!$B$4:$AR$4,1,104-Projects!$C$36+1),0)+IF(AND(Projects!$G$37="Yes",Projects!$X$37="Yes",104&gt;=Projects!$C$37,104&lt;Projects!$C$37+Projects!$D$37),Projects!$B$37*INDEX(Curves!$B$4:$AR$4,1,104-Projects!$C$37+1),0)+IF(AND(Projects!$G$38="Yes",Projects!$X$38="Yes",104&gt;=Projects!$C$38,104&lt;Projects!$C$38+Projects!$D$38),Projects!$B$38*INDEX(Curves!$B$4:$AR$4,1,104-Projects!$C$38+1),0)+IF(AND(Projects!$G$39="Yes",Projects!$X$39="Yes",104&gt;=Projects!$C$39,104&lt;Projects!$C$39+Projects!$D$39),Projects!$B$39*INDEX(Curves!$B$4:$AR$4,1,104-Projects!$C$39+1),0)+IF(AND(Projects!$G$40="Yes",Projects!$X$40="Yes",104&gt;=Projects!$C$40,104&lt;Projects!$C$40+Projects!$D$40),Projects!$B$40*INDEX(Curves!$B$4:$AR$4,1,104-Projects!$C$40+1),0)+IF(AND(Projects!$G$41="Yes",Projects!$X$41="Yes",104&gt;=Projects!$C$41,104&lt;Projects!$C$41+Projects!$D$41),Projects!$B$41*INDEX(Curves!$B$4:$AR$4,1,104-Projects!$C$41+1),0)+IF(AND(Projects!$G$42="Yes",Projects!$X$42="Yes",104&gt;=Projects!$C$42,104&lt;Projects!$C$42+Projects!$D$42),Projects!$B$42*INDEX(Curves!$B$4:$AR$4,1,104-Projects!$C$42+1),0)+IF(AND(Projects!$G$43="Yes",Projects!$X$43="Yes",104&gt;=Projects!$C$43,104&lt;Projects!$C$43+Projects!$D$43),Projects!$B$43*INDEX(Curves!$B$4:$AR$4,1,104-Projects!$C$43+1),0)+IF(AND(Projects!$G$44="Yes",Projects!$X$44="Yes",104&gt;=Projects!$C$44,104&lt;Projects!$C$44+Projects!$D$44),Projects!$B$44*INDEX(Curves!$B$4:$AR$4,1,104-Projects!$C$44+1),0)+IF(AND(Projects!$G$45="Yes",Projects!$X$45="Yes",104&gt;=Projects!$C$45,104&lt;Projects!$C$45+Projects!$D$45),Projects!$B$45*INDEX(Curves!$B$4:$AR$4,1,104-Projects!$C$45+1),0)+IF(AND(Projects!$G$46="Yes",Projects!$X$46="Yes",104&gt;=Projects!$C$46,104&lt;Projects!$C$46+Projects!$D$46),Projects!$B$46*INDEX(Curves!$B$4:$AR$4,1,104-Projects!$C$46+1),0)</f>
        <v>0</v>
      </c>
      <c r="DF96" s="296" t="n">
        <f aca="false">IF(AND(Projects!$G$17="Yes",Projects!$X$17="Yes",105&gt;=Projects!$C$17,105&lt;Projects!$C$17+Projects!$D$17),Projects!$B$17*INDEX(Curves!$B$4:$AR$4,1,105-Projects!$C$17+1),0)+IF(AND(Projects!$G$18="Yes",Projects!$X$18="Yes",105&gt;=Projects!$C$18,105&lt;Projects!$C$18+Projects!$D$18),Projects!$B$18*INDEX(Curves!$B$4:$AR$4,1,105-Projects!$C$18+1),0)+IF(AND(Projects!$G$19="Yes",Projects!$X$19="Yes",105&gt;=Projects!$C$19,105&lt;Projects!$C$19+Projects!$D$19),Projects!$B$19*INDEX(Curves!$B$10:$AR$10,1,105-Projects!$C$19+1),0)+IF(AND(Projects!$G$20="Yes",Projects!$X$20="Yes",105&gt;=Projects!$C$20,105&lt;Projects!$C$20+Projects!$D$20),Projects!$B$20*INDEX(Curves!$B$4:$AR$4,1,105-Projects!$C$20+1),0)+IF(AND(Projects!$G$21="Yes",Projects!$X$21="Yes",105&gt;=Projects!$C$21,105&lt;Projects!$C$21+Projects!$D$21),Projects!$B$21*INDEX(Curves!$B$11:$AR$11,1,105-Projects!$C$21+1),0)+IF(AND(Projects!$G$22="Yes",Projects!$X$22="Yes",105&gt;=Projects!$C$22,105&lt;Projects!$C$22+Projects!$D$22),Projects!$B$22*INDEX(Curves!$B$4:$AR$4,1,105-Projects!$C$22+1),0)+IF(AND(Projects!$G$23="Yes",Projects!$X$23="Yes",105&gt;=Projects!$C$23,105&lt;Projects!$C$23+Projects!$D$23),Projects!$B$23*INDEX(Curves!$B$4:$AR$4,1,105-Projects!$C$23+1),0)+IF(AND(Projects!$G$24="Yes",Projects!$X$24="Yes",105&gt;=Projects!$C$24,105&lt;Projects!$C$24+Projects!$D$24),Projects!$B$24*INDEX(Curves!$B$4:$AR$4,1,105-Projects!$C$24+1),0)+IF(AND(Projects!$G$25="Yes",Projects!$X$25="Yes",105&gt;=Projects!$C$25,105&lt;Projects!$C$25+Projects!$D$25),Projects!$B$25*INDEX(Curves!$B$4:$AR$4,1,105-Projects!$C$25+1),0)+IF(AND(Projects!$G$26="Yes",Projects!$X$26="Yes",105&gt;=Projects!$C$26,105&lt;Projects!$C$26+Projects!$D$26),Projects!$B$26*INDEX(Curves!$B$4:$AR$4,1,105-Projects!$C$26+1),0)+IF(AND(Projects!$G$27="Yes",Projects!$X$27="Yes",105&gt;=Projects!$C$27,105&lt;Projects!$C$27+Projects!$D$27),Projects!$B$27*INDEX(Curves!$B$4:$AR$4,1,105-Projects!$C$27+1),0)+IF(AND(Projects!$G$28="Yes",Projects!$X$28="Yes",105&gt;=Projects!$C$28,105&lt;Projects!$C$28+Projects!$D$28),Projects!$B$28*INDEX(Curves!$B$4:$AR$4,1,105-Projects!$C$28+1),0)+IF(AND(Projects!$G$29="Yes",Projects!$X$29="Yes",105&gt;=Projects!$C$29,105&lt;Projects!$C$29+Projects!$D$29),Projects!$B$29*INDEX(Curves!$B$4:$AR$4,1,105-Projects!$C$29+1),0)+IF(AND(Projects!$G$30="Yes",Projects!$X$30="Yes",105&gt;=Projects!$C$30,105&lt;Projects!$C$30+Projects!$D$30),Projects!$B$30*INDEX(Curves!$B$4:$AR$4,1,105-Projects!$C$30+1),0)+IF(AND(Projects!$G$31="Yes",Projects!$X$31="Yes",105&gt;=Projects!$C$31,105&lt;Projects!$C$31+Projects!$D$31),Projects!$B$31*INDEX(Curves!$B$4:$AR$4,1,105-Projects!$C$31+1),0)+IF(AND(Projects!$G$32="Yes",Projects!$X$32="Yes",105&gt;=Projects!$C$32,105&lt;Projects!$C$32+Projects!$D$32),Projects!$B$32*INDEX(Curves!$B$4:$AR$4,1,105-Projects!$C$32+1),0)+IF(AND(Projects!$G$33="Yes",Projects!$X$33="Yes",105&gt;=Projects!$C$33,105&lt;Projects!$C$33+Projects!$D$33),Projects!$B$33*INDEX(Curves!$B$4:$AR$4,1,105-Projects!$C$33+1),0)+IF(AND(Projects!$G$34="Yes",Projects!$X$34="Yes",105&gt;=Projects!$C$34,105&lt;Projects!$C$34+Projects!$D$34),Projects!$B$34*INDEX(Curves!$B$4:$AR$4,1,105-Projects!$C$34+1),0)+IF(AND(Projects!$G$35="Yes",Projects!$X$35="Yes",105&gt;=Projects!$C$35,105&lt;Projects!$C$35+Projects!$D$35),Projects!$B$35*INDEX(Curves!$B$4:$AR$4,1,105-Projects!$C$35+1),0)+IF(AND(Projects!$G$36="Yes",Projects!$X$36="Yes",105&gt;=Projects!$C$36,105&lt;Projects!$C$36+Projects!$D$36),Projects!$B$36*INDEX(Curves!$B$4:$AR$4,1,105-Projects!$C$36+1),0)+IF(AND(Projects!$G$37="Yes",Projects!$X$37="Yes",105&gt;=Projects!$C$37,105&lt;Projects!$C$37+Projects!$D$37),Projects!$B$37*INDEX(Curves!$B$4:$AR$4,1,105-Projects!$C$37+1),0)+IF(AND(Projects!$G$38="Yes",Projects!$X$38="Yes",105&gt;=Projects!$C$38,105&lt;Projects!$C$38+Projects!$D$38),Projects!$B$38*INDEX(Curves!$B$4:$AR$4,1,105-Projects!$C$38+1),0)+IF(AND(Projects!$G$39="Yes",Projects!$X$39="Yes",105&gt;=Projects!$C$39,105&lt;Projects!$C$39+Projects!$D$39),Projects!$B$39*INDEX(Curves!$B$4:$AR$4,1,105-Projects!$C$39+1),0)+IF(AND(Projects!$G$40="Yes",Projects!$X$40="Yes",105&gt;=Projects!$C$40,105&lt;Projects!$C$40+Projects!$D$40),Projects!$B$40*INDEX(Curves!$B$4:$AR$4,1,105-Projects!$C$40+1),0)+IF(AND(Projects!$G$41="Yes",Projects!$X$41="Yes",105&gt;=Projects!$C$41,105&lt;Projects!$C$41+Projects!$D$41),Projects!$B$41*INDEX(Curves!$B$4:$AR$4,1,105-Projects!$C$41+1),0)+IF(AND(Projects!$G$42="Yes",Projects!$X$42="Yes",105&gt;=Projects!$C$42,105&lt;Projects!$C$42+Projects!$D$42),Projects!$B$42*INDEX(Curves!$B$4:$AR$4,1,105-Projects!$C$42+1),0)+IF(AND(Projects!$G$43="Yes",Projects!$X$43="Yes",105&gt;=Projects!$C$43,105&lt;Projects!$C$43+Projects!$D$43),Projects!$B$43*INDEX(Curves!$B$4:$AR$4,1,105-Projects!$C$43+1),0)+IF(AND(Projects!$G$44="Yes",Projects!$X$44="Yes",105&gt;=Projects!$C$44,105&lt;Projects!$C$44+Projects!$D$44),Projects!$B$44*INDEX(Curves!$B$4:$AR$4,1,105-Projects!$C$44+1),0)+IF(AND(Projects!$G$45="Yes",Projects!$X$45="Yes",105&gt;=Projects!$C$45,105&lt;Projects!$C$45+Projects!$D$45),Projects!$B$45*INDEX(Curves!$B$4:$AR$4,1,105-Projects!$C$45+1),0)+IF(AND(Projects!$G$46="Yes",Projects!$X$46="Yes",105&gt;=Projects!$C$46,105&lt;Projects!$C$46+Projects!$D$46),Projects!$B$46*INDEX(Curves!$B$4:$AR$4,1,105-Projects!$C$46+1),0)</f>
        <v>0</v>
      </c>
    </row>
    <row r="97" customFormat="false" ht="15" hidden="false" customHeight="true" outlineLevel="0" collapsed="false">
      <c r="A97" s="72" t="s">
        <v>1099</v>
      </c>
      <c r="C97" s="296" t="n">
        <f aca="false">C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D97" s="296" t="n">
        <f aca="false">D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E97" s="296" t="n">
        <f aca="false">E96+SUMPRODUCT((Projects!$G$17:$G$46="Yes")*(Projects!$X$17:$X$46="Yes")*(0&gt;=Projects!$C$17:$C$46)*(0&lt;Projects!$C$17:$C$46+Projects!$D$17:$D$46)*Projects!$B$17:$B$46*Assumptions!$B$10/Projects!$D$17:$D$46*0.95)+SUMPRODUCT((Projects!$G$17:$G$46="Yes")*(Projects!$X$17:$X$46="Yes")*(0=Projects!$C$17:$C$46+Projects!$D$17:$D$46-1)*Projects!$B$17:$B$46*Assumptions!$B$10*0.05)+SUMPRODUCT((Projects!$G$17:$G$46="Yes")*(Projects!$X$17:$X$46="Yes")*(0&gt;=Projects!$C$17:$C$46)*(0&lt;Projects!$C$17:$C$46+Projects!$D$17:$D$46)*Projects!$B$17:$B$46*Assumptions!$B$11/Projects!$D$17:$D$46*0.95)+SUMPRODUCT((Projects!$G$17:$G$46="Yes")*(Projects!$X$17:$X$46="Yes")*(0=Projects!$C$17:$C$46+Projects!$D$17:$D$46-1)*Projects!$B$17:$B$46*Assumptions!$B$11*0.05)+SUMPRODUCT((Projects!$G$17:$G$46="Yes")*(Projects!$X$17:$X$46="Yes")*(0&gt;=Projects!$C$17:$C$46)*(0&lt;Projects!$C$17:$C$46+Projects!$D$17:$D$46)*Projects!$B$17:$B$46*Assumptions!$B$12/Projects!$D$17:$D$46*0.95)+SUMPRODUCT((Projects!$G$17:$G$46="Yes")*(Projects!$X$17:$X$46="Yes")*(0=Projects!$C$17:$C$46+Projects!$D$17:$D$46-1)*Projects!$B$17:$B$46*Assumptions!$B$12*0.05)</f>
        <v>0</v>
      </c>
      <c r="F97" s="296" t="n">
        <f aca="false">F96+SUMPRODUCT((Projects!$G$17:$G$46="Yes")*(Projects!$X$17:$X$46="Yes")*(1&gt;=Projects!$C$17:$C$46)*(1&lt;Projects!$C$17:$C$46+Projects!$D$17:$D$46)*Projects!$B$17:$B$46*Assumptions!$B$10/Projects!$D$17:$D$46*0.95)+SUMPRODUCT((Projects!$G$17:$G$46="Yes")*(Projects!$X$17:$X$46="Yes")*(1=Projects!$C$17:$C$46+Projects!$D$17:$D$46-1)*Projects!$B$17:$B$46*Assumptions!$B$10*0.05)+SUMPRODUCT((Projects!$G$17:$G$46="Yes")*(Projects!$X$17:$X$46="Yes")*(1&gt;=Projects!$C$17:$C$46)*(1&lt;Projects!$C$17:$C$46+Projects!$D$17:$D$46)*Projects!$B$17:$B$46*Assumptions!$B$11/Projects!$D$17:$D$46*0.95)+SUMPRODUCT((Projects!$G$17:$G$46="Yes")*(Projects!$X$17:$X$46="Yes")*(1=Projects!$C$17:$C$46+Projects!$D$17:$D$46-1)*Projects!$B$17:$B$46*Assumptions!$B$11*0.05)+SUMPRODUCT((Projects!$G$17:$G$46="Yes")*(Projects!$X$17:$X$46="Yes")*(1&gt;=Projects!$C$17:$C$46)*(1&lt;Projects!$C$17:$C$46+Projects!$D$17:$D$46)*Projects!$B$17:$B$46*Assumptions!$B$12/Projects!$D$17:$D$46*0.95)+SUMPRODUCT((Projects!$G$17:$G$46="Yes")*(Projects!$X$17:$X$46="Yes")*(1=Projects!$C$17:$C$46+Projects!$D$17:$D$46-1)*Projects!$B$17:$B$46*Assumptions!$B$12*0.05)</f>
        <v>0</v>
      </c>
      <c r="G97" s="296" t="n">
        <f aca="false">G96+SUMPRODUCT((Projects!$G$17:$G$46="Yes")*(Projects!$X$17:$X$46="Yes")*(2&gt;=Projects!$C$17:$C$46)*(2&lt;Projects!$C$17:$C$46+Projects!$D$17:$D$46)*Projects!$B$17:$B$46*Assumptions!$B$10/Projects!$D$17:$D$46*0.95)+SUMPRODUCT((Projects!$G$17:$G$46="Yes")*(Projects!$X$17:$X$46="Yes")*(2=Projects!$C$17:$C$46+Projects!$D$17:$D$46-1)*Projects!$B$17:$B$46*Assumptions!$B$10*0.05)+SUMPRODUCT((Projects!$G$17:$G$46="Yes")*(Projects!$X$17:$X$46="Yes")*(2&gt;=Projects!$C$17:$C$46)*(2&lt;Projects!$C$17:$C$46+Projects!$D$17:$D$46)*Projects!$B$17:$B$46*Assumptions!$B$11/Projects!$D$17:$D$46*0.95)+SUMPRODUCT((Projects!$G$17:$G$46="Yes")*(Projects!$X$17:$X$46="Yes")*(2=Projects!$C$17:$C$46+Projects!$D$17:$D$46-1)*Projects!$B$17:$B$46*Assumptions!$B$11*0.05)+SUMPRODUCT((Projects!$G$17:$G$46="Yes")*(Projects!$X$17:$X$46="Yes")*(2&gt;=Projects!$C$17:$C$46)*(2&lt;Projects!$C$17:$C$46+Projects!$D$17:$D$46)*Projects!$B$17:$B$46*Assumptions!$B$12/Projects!$D$17:$D$46*0.95)+SUMPRODUCT((Projects!$G$17:$G$46="Yes")*(Projects!$X$17:$X$46="Yes")*(2=Projects!$C$17:$C$46+Projects!$D$17:$D$46-1)*Projects!$B$17:$B$46*Assumptions!$B$12*0.05)</f>
        <v>0</v>
      </c>
      <c r="H97" s="296" t="n">
        <f aca="false">H96+SUMPRODUCT((Projects!$G$17:$G$46="Yes")*(Projects!$X$17:$X$46="Yes")*(3&gt;=Projects!$C$17:$C$46)*(3&lt;Projects!$C$17:$C$46+Projects!$D$17:$D$46)*Projects!$B$17:$B$46*Assumptions!$B$10/Projects!$D$17:$D$46*0.95)+SUMPRODUCT((Projects!$G$17:$G$46="Yes")*(Projects!$X$17:$X$46="Yes")*(3=Projects!$C$17:$C$46+Projects!$D$17:$D$46-1)*Projects!$B$17:$B$46*Assumptions!$B$10*0.05)+SUMPRODUCT((Projects!$G$17:$G$46="Yes")*(Projects!$X$17:$X$46="Yes")*(3&gt;=Projects!$C$17:$C$46)*(3&lt;Projects!$C$17:$C$46+Projects!$D$17:$D$46)*Projects!$B$17:$B$46*Assumptions!$B$11/Projects!$D$17:$D$46*0.95)+SUMPRODUCT((Projects!$G$17:$G$46="Yes")*(Projects!$X$17:$X$46="Yes")*(3=Projects!$C$17:$C$46+Projects!$D$17:$D$46-1)*Projects!$B$17:$B$46*Assumptions!$B$11*0.05)+SUMPRODUCT((Projects!$G$17:$G$46="Yes")*(Projects!$X$17:$X$46="Yes")*(3&gt;=Projects!$C$17:$C$46)*(3&lt;Projects!$C$17:$C$46+Projects!$D$17:$D$46)*Projects!$B$17:$B$46*Assumptions!$B$12/Projects!$D$17:$D$46*0.95)+SUMPRODUCT((Projects!$G$17:$G$46="Yes")*(Projects!$X$17:$X$46="Yes")*(3=Projects!$C$17:$C$46+Projects!$D$17:$D$46-1)*Projects!$B$17:$B$46*Assumptions!$B$12*0.05)</f>
        <v>0</v>
      </c>
      <c r="I97" s="296" t="n">
        <f aca="false">I96+SUMPRODUCT((Projects!$G$17:$G$46="Yes")*(Projects!$X$17:$X$46="Yes")*(4&gt;=Projects!$C$17:$C$46)*(4&lt;Projects!$C$17:$C$46+Projects!$D$17:$D$46)*Projects!$B$17:$B$46*Assumptions!$B$10/Projects!$D$17:$D$46*0.95)+SUMPRODUCT((Projects!$G$17:$G$46="Yes")*(Projects!$X$17:$X$46="Yes")*(4=Projects!$C$17:$C$46+Projects!$D$17:$D$46-1)*Projects!$B$17:$B$46*Assumptions!$B$10*0.05)+SUMPRODUCT((Projects!$G$17:$G$46="Yes")*(Projects!$X$17:$X$46="Yes")*(4&gt;=Projects!$C$17:$C$46)*(4&lt;Projects!$C$17:$C$46+Projects!$D$17:$D$46)*Projects!$B$17:$B$46*Assumptions!$B$11/Projects!$D$17:$D$46*0.95)+SUMPRODUCT((Projects!$G$17:$G$46="Yes")*(Projects!$X$17:$X$46="Yes")*(4=Projects!$C$17:$C$46+Projects!$D$17:$D$46-1)*Projects!$B$17:$B$46*Assumptions!$B$11*0.05)+SUMPRODUCT((Projects!$G$17:$G$46="Yes")*(Projects!$X$17:$X$46="Yes")*(4&gt;=Projects!$C$17:$C$46)*(4&lt;Projects!$C$17:$C$46+Projects!$D$17:$D$46)*Projects!$B$17:$B$46*Assumptions!$B$12/Projects!$D$17:$D$46*0.95)+SUMPRODUCT((Projects!$G$17:$G$46="Yes")*(Projects!$X$17:$X$46="Yes")*(4=Projects!$C$17:$C$46+Projects!$D$17:$D$46-1)*Projects!$B$17:$B$46*Assumptions!$B$12*0.05)</f>
        <v>0</v>
      </c>
      <c r="J97" s="296" t="n">
        <f aca="false">J96+SUMPRODUCT((Projects!$G$17:$G$46="Yes")*(Projects!$X$17:$X$46="Yes")*(5&gt;=Projects!$C$17:$C$46)*(5&lt;Projects!$C$17:$C$46+Projects!$D$17:$D$46)*Projects!$B$17:$B$46*Assumptions!$B$10/Projects!$D$17:$D$46*0.95)+SUMPRODUCT((Projects!$G$17:$G$46="Yes")*(Projects!$X$17:$X$46="Yes")*(5=Projects!$C$17:$C$46+Projects!$D$17:$D$46-1)*Projects!$B$17:$B$46*Assumptions!$B$10*0.05)+SUMPRODUCT((Projects!$G$17:$G$46="Yes")*(Projects!$X$17:$X$46="Yes")*(5&gt;=Projects!$C$17:$C$46)*(5&lt;Projects!$C$17:$C$46+Projects!$D$17:$D$46)*Projects!$B$17:$B$46*Assumptions!$B$11/Projects!$D$17:$D$46*0.95)+SUMPRODUCT((Projects!$G$17:$G$46="Yes")*(Projects!$X$17:$X$46="Yes")*(5=Projects!$C$17:$C$46+Projects!$D$17:$D$46-1)*Projects!$B$17:$B$46*Assumptions!$B$11*0.05)+SUMPRODUCT((Projects!$G$17:$G$46="Yes")*(Projects!$X$17:$X$46="Yes")*(5&gt;=Projects!$C$17:$C$46)*(5&lt;Projects!$C$17:$C$46+Projects!$D$17:$D$46)*Projects!$B$17:$B$46*Assumptions!$B$12/Projects!$D$17:$D$46*0.95)+SUMPRODUCT((Projects!$G$17:$G$46="Yes")*(Projects!$X$17:$X$46="Yes")*(5=Projects!$C$17:$C$46+Projects!$D$17:$D$46-1)*Projects!$B$17:$B$46*Assumptions!$B$12*0.05)</f>
        <v>0</v>
      </c>
      <c r="K97" s="296" t="n">
        <f aca="false">K96+SUMPRODUCT((Projects!$G$17:$G$46="Yes")*(Projects!$X$17:$X$46="Yes")*(6&gt;=Projects!$C$17:$C$46)*(6&lt;Projects!$C$17:$C$46+Projects!$D$17:$D$46)*Projects!$B$17:$B$46*Assumptions!$B$10/Projects!$D$17:$D$46*0.95)+SUMPRODUCT((Projects!$G$17:$G$46="Yes")*(Projects!$X$17:$X$46="Yes")*(6=Projects!$C$17:$C$46+Projects!$D$17:$D$46-1)*Projects!$B$17:$B$46*Assumptions!$B$10*0.05)+SUMPRODUCT((Projects!$G$17:$G$46="Yes")*(Projects!$X$17:$X$46="Yes")*(6&gt;=Projects!$C$17:$C$46)*(6&lt;Projects!$C$17:$C$46+Projects!$D$17:$D$46)*Projects!$B$17:$B$46*Assumptions!$B$11/Projects!$D$17:$D$46*0.95)+SUMPRODUCT((Projects!$G$17:$G$46="Yes")*(Projects!$X$17:$X$46="Yes")*(6=Projects!$C$17:$C$46+Projects!$D$17:$D$46-1)*Projects!$B$17:$B$46*Assumptions!$B$11*0.05)+SUMPRODUCT((Projects!$G$17:$G$46="Yes")*(Projects!$X$17:$X$46="Yes")*(6&gt;=Projects!$C$17:$C$46)*(6&lt;Projects!$C$17:$C$46+Projects!$D$17:$D$46)*Projects!$B$17:$B$46*Assumptions!$B$12/Projects!$D$17:$D$46*0.95)+SUMPRODUCT((Projects!$G$17:$G$46="Yes")*(Projects!$X$17:$X$46="Yes")*(6=Projects!$C$17:$C$46+Projects!$D$17:$D$46-1)*Projects!$B$17:$B$46*Assumptions!$B$12*0.05)</f>
        <v>0</v>
      </c>
      <c r="L97" s="296" t="n">
        <f aca="false">L96+SUMPRODUCT((Projects!$G$17:$G$46="Yes")*(Projects!$X$17:$X$46="Yes")*(7&gt;=Projects!$C$17:$C$46)*(7&lt;Projects!$C$17:$C$46+Projects!$D$17:$D$46)*Projects!$B$17:$B$46*Assumptions!$B$10/Projects!$D$17:$D$46*0.95)+SUMPRODUCT((Projects!$G$17:$G$46="Yes")*(Projects!$X$17:$X$46="Yes")*(7=Projects!$C$17:$C$46+Projects!$D$17:$D$46-1)*Projects!$B$17:$B$46*Assumptions!$B$10*0.05)+SUMPRODUCT((Projects!$G$17:$G$46="Yes")*(Projects!$X$17:$X$46="Yes")*(7&gt;=Projects!$C$17:$C$46)*(7&lt;Projects!$C$17:$C$46+Projects!$D$17:$D$46)*Projects!$B$17:$B$46*Assumptions!$B$11/Projects!$D$17:$D$46*0.95)+SUMPRODUCT((Projects!$G$17:$G$46="Yes")*(Projects!$X$17:$X$46="Yes")*(7=Projects!$C$17:$C$46+Projects!$D$17:$D$46-1)*Projects!$B$17:$B$46*Assumptions!$B$11*0.05)+SUMPRODUCT((Projects!$G$17:$G$46="Yes")*(Projects!$X$17:$X$46="Yes")*(7&gt;=Projects!$C$17:$C$46)*(7&lt;Projects!$C$17:$C$46+Projects!$D$17:$D$46)*Projects!$B$17:$B$46*Assumptions!$B$12/Projects!$D$17:$D$46*0.95)+SUMPRODUCT((Projects!$G$17:$G$46="Yes")*(Projects!$X$17:$X$46="Yes")*(7=Projects!$C$17:$C$46+Projects!$D$17:$D$46-1)*Projects!$B$17:$B$46*Assumptions!$B$12*0.05)</f>
        <v>0</v>
      </c>
      <c r="M97" s="296" t="n">
        <f aca="false">M96+SUMPRODUCT((Projects!$G$17:$G$46="Yes")*(Projects!$X$17:$X$46="Yes")*(8&gt;=Projects!$C$17:$C$46)*(8&lt;Projects!$C$17:$C$46+Projects!$D$17:$D$46)*Projects!$B$17:$B$46*Assumptions!$B$10/Projects!$D$17:$D$46*0.95)+SUMPRODUCT((Projects!$G$17:$G$46="Yes")*(Projects!$X$17:$X$46="Yes")*(8=Projects!$C$17:$C$46+Projects!$D$17:$D$46-1)*Projects!$B$17:$B$46*Assumptions!$B$10*0.05)+SUMPRODUCT((Projects!$G$17:$G$46="Yes")*(Projects!$X$17:$X$46="Yes")*(8&gt;=Projects!$C$17:$C$46)*(8&lt;Projects!$C$17:$C$46+Projects!$D$17:$D$46)*Projects!$B$17:$B$46*Assumptions!$B$11/Projects!$D$17:$D$46*0.95)+SUMPRODUCT((Projects!$G$17:$G$46="Yes")*(Projects!$X$17:$X$46="Yes")*(8=Projects!$C$17:$C$46+Projects!$D$17:$D$46-1)*Projects!$B$17:$B$46*Assumptions!$B$11*0.05)+SUMPRODUCT((Projects!$G$17:$G$46="Yes")*(Projects!$X$17:$X$46="Yes")*(8&gt;=Projects!$C$17:$C$46)*(8&lt;Projects!$C$17:$C$46+Projects!$D$17:$D$46)*Projects!$B$17:$B$46*Assumptions!$B$12/Projects!$D$17:$D$46*0.95)+SUMPRODUCT((Projects!$G$17:$G$46="Yes")*(Projects!$X$17:$X$46="Yes")*(8=Projects!$C$17:$C$46+Projects!$D$17:$D$46-1)*Projects!$B$17:$B$46*Assumptions!$B$12*0.05)</f>
        <v>0</v>
      </c>
      <c r="N97" s="296" t="n">
        <f aca="false">N96+SUMPRODUCT((Projects!$G$17:$G$46="Yes")*(Projects!$X$17:$X$46="Yes")*(9&gt;=Projects!$C$17:$C$46)*(9&lt;Projects!$C$17:$C$46+Projects!$D$17:$D$46)*Projects!$B$17:$B$46*Assumptions!$B$10/Projects!$D$17:$D$46*0.95)+SUMPRODUCT((Projects!$G$17:$G$46="Yes")*(Projects!$X$17:$X$46="Yes")*(9=Projects!$C$17:$C$46+Projects!$D$17:$D$46-1)*Projects!$B$17:$B$46*Assumptions!$B$10*0.05)+SUMPRODUCT((Projects!$G$17:$G$46="Yes")*(Projects!$X$17:$X$46="Yes")*(9&gt;=Projects!$C$17:$C$46)*(9&lt;Projects!$C$17:$C$46+Projects!$D$17:$D$46)*Projects!$B$17:$B$46*Assumptions!$B$11/Projects!$D$17:$D$46*0.95)+SUMPRODUCT((Projects!$G$17:$G$46="Yes")*(Projects!$X$17:$X$46="Yes")*(9=Projects!$C$17:$C$46+Projects!$D$17:$D$46-1)*Projects!$B$17:$B$46*Assumptions!$B$11*0.05)+SUMPRODUCT((Projects!$G$17:$G$46="Yes")*(Projects!$X$17:$X$46="Yes")*(9&gt;=Projects!$C$17:$C$46)*(9&lt;Projects!$C$17:$C$46+Projects!$D$17:$D$46)*Projects!$B$17:$B$46*Assumptions!$B$12/Projects!$D$17:$D$46*0.95)+SUMPRODUCT((Projects!$G$17:$G$46="Yes")*(Projects!$X$17:$X$46="Yes")*(9=Projects!$C$17:$C$46+Projects!$D$17:$D$46-1)*Projects!$B$17:$B$46*Assumptions!$B$12*0.05)</f>
        <v>0</v>
      </c>
      <c r="O97" s="296" t="n">
        <f aca="false">O96+SUMPRODUCT((Projects!$G$17:$G$46="Yes")*(Projects!$X$17:$X$46="Yes")*(10&gt;=Projects!$C$17:$C$46)*(10&lt;Projects!$C$17:$C$46+Projects!$D$17:$D$46)*Projects!$B$17:$B$46*Assumptions!$B$10/Projects!$D$17:$D$46*0.95)+SUMPRODUCT((Projects!$G$17:$G$46="Yes")*(Projects!$X$17:$X$46="Yes")*(10=Projects!$C$17:$C$46+Projects!$D$17:$D$46-1)*Projects!$B$17:$B$46*Assumptions!$B$10*0.05)+SUMPRODUCT((Projects!$G$17:$G$46="Yes")*(Projects!$X$17:$X$46="Yes")*(10&gt;=Projects!$C$17:$C$46)*(10&lt;Projects!$C$17:$C$46+Projects!$D$17:$D$46)*Projects!$B$17:$B$46*Assumptions!$B$11/Projects!$D$17:$D$46*0.95)+SUMPRODUCT((Projects!$G$17:$G$46="Yes")*(Projects!$X$17:$X$46="Yes")*(10=Projects!$C$17:$C$46+Projects!$D$17:$D$46-1)*Projects!$B$17:$B$46*Assumptions!$B$11*0.05)+SUMPRODUCT((Projects!$G$17:$G$46="Yes")*(Projects!$X$17:$X$46="Yes")*(10&gt;=Projects!$C$17:$C$46)*(10&lt;Projects!$C$17:$C$46+Projects!$D$17:$D$46)*Projects!$B$17:$B$46*Assumptions!$B$12/Projects!$D$17:$D$46*0.95)+SUMPRODUCT((Projects!$G$17:$G$46="Yes")*(Projects!$X$17:$X$46="Yes")*(10=Projects!$C$17:$C$46+Projects!$D$17:$D$46-1)*Projects!$B$17:$B$46*Assumptions!$B$12*0.05)</f>
        <v>0</v>
      </c>
      <c r="P97" s="296" t="n">
        <f aca="false">P96+SUMPRODUCT((Projects!$G$17:$G$46="Yes")*(Projects!$X$17:$X$46="Yes")*(11&gt;=Projects!$C$17:$C$46)*(11&lt;Projects!$C$17:$C$46+Projects!$D$17:$D$46)*Projects!$B$17:$B$46*Assumptions!$B$10/Projects!$D$17:$D$46*0.95)+SUMPRODUCT((Projects!$G$17:$G$46="Yes")*(Projects!$X$17:$X$46="Yes")*(11=Projects!$C$17:$C$46+Projects!$D$17:$D$46-1)*Projects!$B$17:$B$46*Assumptions!$B$10*0.05)+SUMPRODUCT((Projects!$G$17:$G$46="Yes")*(Projects!$X$17:$X$46="Yes")*(11&gt;=Projects!$C$17:$C$46)*(11&lt;Projects!$C$17:$C$46+Projects!$D$17:$D$46)*Projects!$B$17:$B$46*Assumptions!$B$11/Projects!$D$17:$D$46*0.95)+SUMPRODUCT((Projects!$G$17:$G$46="Yes")*(Projects!$X$17:$X$46="Yes")*(11=Projects!$C$17:$C$46+Projects!$D$17:$D$46-1)*Projects!$B$17:$B$46*Assumptions!$B$11*0.05)+SUMPRODUCT((Projects!$G$17:$G$46="Yes")*(Projects!$X$17:$X$46="Yes")*(11&gt;=Projects!$C$17:$C$46)*(11&lt;Projects!$C$17:$C$46+Projects!$D$17:$D$46)*Projects!$B$17:$B$46*Assumptions!$B$12/Projects!$D$17:$D$46*0.95)+SUMPRODUCT((Projects!$G$17:$G$46="Yes")*(Projects!$X$17:$X$46="Yes")*(11=Projects!$C$17:$C$46+Projects!$D$17:$D$46-1)*Projects!$B$17:$B$46*Assumptions!$B$12*0.05)</f>
        <v>0</v>
      </c>
      <c r="Q97" s="296" t="n">
        <f aca="false">Q96+SUMPRODUCT((Projects!$G$17:$G$46="Yes")*(Projects!$X$17:$X$46="Yes")*(12&gt;=Projects!$C$17:$C$46)*(12&lt;Projects!$C$17:$C$46+Projects!$D$17:$D$46)*Projects!$B$17:$B$46*Assumptions!$B$10/Projects!$D$17:$D$46*0.95)+SUMPRODUCT((Projects!$G$17:$G$46="Yes")*(Projects!$X$17:$X$46="Yes")*(12=Projects!$C$17:$C$46+Projects!$D$17:$D$46-1)*Projects!$B$17:$B$46*Assumptions!$B$10*0.05)+SUMPRODUCT((Projects!$G$17:$G$46="Yes")*(Projects!$X$17:$X$46="Yes")*(12&gt;=Projects!$C$17:$C$46)*(12&lt;Projects!$C$17:$C$46+Projects!$D$17:$D$46)*Projects!$B$17:$B$46*Assumptions!$B$11/Projects!$D$17:$D$46*0.95)+SUMPRODUCT((Projects!$G$17:$G$46="Yes")*(Projects!$X$17:$X$46="Yes")*(12=Projects!$C$17:$C$46+Projects!$D$17:$D$46-1)*Projects!$B$17:$B$46*Assumptions!$B$11*0.05)+SUMPRODUCT((Projects!$G$17:$G$46="Yes")*(Projects!$X$17:$X$46="Yes")*(12&gt;=Projects!$C$17:$C$46)*(12&lt;Projects!$C$17:$C$46+Projects!$D$17:$D$46)*Projects!$B$17:$B$46*Assumptions!$B$12/Projects!$D$17:$D$46*0.95)+SUMPRODUCT((Projects!$G$17:$G$46="Yes")*(Projects!$X$17:$X$46="Yes")*(12=Projects!$C$17:$C$46+Projects!$D$17:$D$46-1)*Projects!$B$17:$B$46*Assumptions!$B$12*0.05)</f>
        <v>0</v>
      </c>
      <c r="R97" s="296" t="n">
        <f aca="false">R96+SUMPRODUCT((Projects!$G$17:$G$46="Yes")*(Projects!$X$17:$X$46="Yes")*(13&gt;=Projects!$C$17:$C$46)*(13&lt;Projects!$C$17:$C$46+Projects!$D$17:$D$46)*Projects!$B$17:$B$46*Assumptions!$B$10/Projects!$D$17:$D$46*0.95)+SUMPRODUCT((Projects!$G$17:$G$46="Yes")*(Projects!$X$17:$X$46="Yes")*(13=Projects!$C$17:$C$46+Projects!$D$17:$D$46-1)*Projects!$B$17:$B$46*Assumptions!$B$10*0.05)+SUMPRODUCT((Projects!$G$17:$G$46="Yes")*(Projects!$X$17:$X$46="Yes")*(13&gt;=Projects!$C$17:$C$46)*(13&lt;Projects!$C$17:$C$46+Projects!$D$17:$D$46)*Projects!$B$17:$B$46*Assumptions!$B$11/Projects!$D$17:$D$46*0.95)+SUMPRODUCT((Projects!$G$17:$G$46="Yes")*(Projects!$X$17:$X$46="Yes")*(13=Projects!$C$17:$C$46+Projects!$D$17:$D$46-1)*Projects!$B$17:$B$46*Assumptions!$B$11*0.05)+SUMPRODUCT((Projects!$G$17:$G$46="Yes")*(Projects!$X$17:$X$46="Yes")*(13&gt;=Projects!$C$17:$C$46)*(13&lt;Projects!$C$17:$C$46+Projects!$D$17:$D$46)*Projects!$B$17:$B$46*Assumptions!$B$12/Projects!$D$17:$D$46*0.95)+SUMPRODUCT((Projects!$G$17:$G$46="Yes")*(Projects!$X$17:$X$46="Yes")*(13=Projects!$C$17:$C$46+Projects!$D$17:$D$46-1)*Projects!$B$17:$B$46*Assumptions!$B$12*0.05)</f>
        <v>0</v>
      </c>
      <c r="S97" s="296" t="n">
        <f aca="false">S96+SUMPRODUCT((Projects!$G$17:$G$46="Yes")*(Projects!$X$17:$X$46="Yes")*(14&gt;=Projects!$C$17:$C$46)*(14&lt;Projects!$C$17:$C$46+Projects!$D$17:$D$46)*Projects!$B$17:$B$46*Assumptions!$B$10/Projects!$D$17:$D$46*0.95)+SUMPRODUCT((Projects!$G$17:$G$46="Yes")*(Projects!$X$17:$X$46="Yes")*(14=Projects!$C$17:$C$46+Projects!$D$17:$D$46-1)*Projects!$B$17:$B$46*Assumptions!$B$10*0.05)+SUMPRODUCT((Projects!$G$17:$G$46="Yes")*(Projects!$X$17:$X$46="Yes")*(14&gt;=Projects!$C$17:$C$46)*(14&lt;Projects!$C$17:$C$46+Projects!$D$17:$D$46)*Projects!$B$17:$B$46*Assumptions!$B$11/Projects!$D$17:$D$46*0.95)+SUMPRODUCT((Projects!$G$17:$G$46="Yes")*(Projects!$X$17:$X$46="Yes")*(14=Projects!$C$17:$C$46+Projects!$D$17:$D$46-1)*Projects!$B$17:$B$46*Assumptions!$B$11*0.05)+SUMPRODUCT((Projects!$G$17:$G$46="Yes")*(Projects!$X$17:$X$46="Yes")*(14&gt;=Projects!$C$17:$C$46)*(14&lt;Projects!$C$17:$C$46+Projects!$D$17:$D$46)*Projects!$B$17:$B$46*Assumptions!$B$12/Projects!$D$17:$D$46*0.95)+SUMPRODUCT((Projects!$G$17:$G$46="Yes")*(Projects!$X$17:$X$46="Yes")*(14=Projects!$C$17:$C$46+Projects!$D$17:$D$46-1)*Projects!$B$17:$B$46*Assumptions!$B$12*0.05)</f>
        <v>0</v>
      </c>
      <c r="T97" s="296" t="n">
        <f aca="false">T96+SUMPRODUCT((Projects!$G$17:$G$46="Yes")*(Projects!$X$17:$X$46="Yes")*(15&gt;=Projects!$C$17:$C$46)*(15&lt;Projects!$C$17:$C$46+Projects!$D$17:$D$46)*Projects!$B$17:$B$46*Assumptions!$B$10/Projects!$D$17:$D$46*0.95)+SUMPRODUCT((Projects!$G$17:$G$46="Yes")*(Projects!$X$17:$X$46="Yes")*(15=Projects!$C$17:$C$46+Projects!$D$17:$D$46-1)*Projects!$B$17:$B$46*Assumptions!$B$10*0.05)+SUMPRODUCT((Projects!$G$17:$G$46="Yes")*(Projects!$X$17:$X$46="Yes")*(15&gt;=Projects!$C$17:$C$46)*(15&lt;Projects!$C$17:$C$46+Projects!$D$17:$D$46)*Projects!$B$17:$B$46*Assumptions!$B$11/Projects!$D$17:$D$46*0.95)+SUMPRODUCT((Projects!$G$17:$G$46="Yes")*(Projects!$X$17:$X$46="Yes")*(15=Projects!$C$17:$C$46+Projects!$D$17:$D$46-1)*Projects!$B$17:$B$46*Assumptions!$B$11*0.05)+SUMPRODUCT((Projects!$G$17:$G$46="Yes")*(Projects!$X$17:$X$46="Yes")*(15&gt;=Projects!$C$17:$C$46)*(15&lt;Projects!$C$17:$C$46+Projects!$D$17:$D$46)*Projects!$B$17:$B$46*Assumptions!$B$12/Projects!$D$17:$D$46*0.95)+SUMPRODUCT((Projects!$G$17:$G$46="Yes")*(Projects!$X$17:$X$46="Yes")*(15=Projects!$C$17:$C$46+Projects!$D$17:$D$46-1)*Projects!$B$17:$B$46*Assumptions!$B$12*0.05)</f>
        <v>0</v>
      </c>
      <c r="U97" s="296" t="n">
        <f aca="false">U96+SUMPRODUCT((Projects!$G$17:$G$46="Yes")*(Projects!$X$17:$X$46="Yes")*(16&gt;=Projects!$C$17:$C$46)*(16&lt;Projects!$C$17:$C$46+Projects!$D$17:$D$46)*Projects!$B$17:$B$46*Assumptions!$B$10/Projects!$D$17:$D$46*0.95)+SUMPRODUCT((Projects!$G$17:$G$46="Yes")*(Projects!$X$17:$X$46="Yes")*(16=Projects!$C$17:$C$46+Projects!$D$17:$D$46-1)*Projects!$B$17:$B$46*Assumptions!$B$10*0.05)+SUMPRODUCT((Projects!$G$17:$G$46="Yes")*(Projects!$X$17:$X$46="Yes")*(16&gt;=Projects!$C$17:$C$46)*(16&lt;Projects!$C$17:$C$46+Projects!$D$17:$D$46)*Projects!$B$17:$B$46*Assumptions!$B$11/Projects!$D$17:$D$46*0.95)+SUMPRODUCT((Projects!$G$17:$G$46="Yes")*(Projects!$X$17:$X$46="Yes")*(16=Projects!$C$17:$C$46+Projects!$D$17:$D$46-1)*Projects!$B$17:$B$46*Assumptions!$B$11*0.05)+SUMPRODUCT((Projects!$G$17:$G$46="Yes")*(Projects!$X$17:$X$46="Yes")*(16&gt;=Projects!$C$17:$C$46)*(16&lt;Projects!$C$17:$C$46+Projects!$D$17:$D$46)*Projects!$B$17:$B$46*Assumptions!$B$12/Projects!$D$17:$D$46*0.95)+SUMPRODUCT((Projects!$G$17:$G$46="Yes")*(Projects!$X$17:$X$46="Yes")*(16=Projects!$C$17:$C$46+Projects!$D$17:$D$46-1)*Projects!$B$17:$B$46*Assumptions!$B$12*0.05)</f>
        <v>0</v>
      </c>
      <c r="V97" s="296" t="n">
        <f aca="false">V96+SUMPRODUCT((Projects!$G$17:$G$46="Yes")*(Projects!$X$17:$X$46="Yes")*(17&gt;=Projects!$C$17:$C$46)*(17&lt;Projects!$C$17:$C$46+Projects!$D$17:$D$46)*Projects!$B$17:$B$46*Assumptions!$B$10/Projects!$D$17:$D$46*0.95)+SUMPRODUCT((Projects!$G$17:$G$46="Yes")*(Projects!$X$17:$X$46="Yes")*(17=Projects!$C$17:$C$46+Projects!$D$17:$D$46-1)*Projects!$B$17:$B$46*Assumptions!$B$10*0.05)+SUMPRODUCT((Projects!$G$17:$G$46="Yes")*(Projects!$X$17:$X$46="Yes")*(17&gt;=Projects!$C$17:$C$46)*(17&lt;Projects!$C$17:$C$46+Projects!$D$17:$D$46)*Projects!$B$17:$B$46*Assumptions!$B$11/Projects!$D$17:$D$46*0.95)+SUMPRODUCT((Projects!$G$17:$G$46="Yes")*(Projects!$X$17:$X$46="Yes")*(17=Projects!$C$17:$C$46+Projects!$D$17:$D$46-1)*Projects!$B$17:$B$46*Assumptions!$B$11*0.05)+SUMPRODUCT((Projects!$G$17:$G$46="Yes")*(Projects!$X$17:$X$46="Yes")*(17&gt;=Projects!$C$17:$C$46)*(17&lt;Projects!$C$17:$C$46+Projects!$D$17:$D$46)*Projects!$B$17:$B$46*Assumptions!$B$12/Projects!$D$17:$D$46*0.95)+SUMPRODUCT((Projects!$G$17:$G$46="Yes")*(Projects!$X$17:$X$46="Yes")*(17=Projects!$C$17:$C$46+Projects!$D$17:$D$46-1)*Projects!$B$17:$B$46*Assumptions!$B$12*0.05)</f>
        <v>0</v>
      </c>
      <c r="W97" s="296" t="n">
        <f aca="false">W96+SUMPRODUCT((Projects!$G$17:$G$46="Yes")*(Projects!$X$17:$X$46="Yes")*(18&gt;=Projects!$C$17:$C$46)*(18&lt;Projects!$C$17:$C$46+Projects!$D$17:$D$46)*Projects!$B$17:$B$46*Assumptions!$B$10/Projects!$D$17:$D$46*0.95)+SUMPRODUCT((Projects!$G$17:$G$46="Yes")*(Projects!$X$17:$X$46="Yes")*(18=Projects!$C$17:$C$46+Projects!$D$17:$D$46-1)*Projects!$B$17:$B$46*Assumptions!$B$10*0.05)+SUMPRODUCT((Projects!$G$17:$G$46="Yes")*(Projects!$X$17:$X$46="Yes")*(18&gt;=Projects!$C$17:$C$46)*(18&lt;Projects!$C$17:$C$46+Projects!$D$17:$D$46)*Projects!$B$17:$B$46*Assumptions!$B$11/Projects!$D$17:$D$46*0.95)+SUMPRODUCT((Projects!$G$17:$G$46="Yes")*(Projects!$X$17:$X$46="Yes")*(18=Projects!$C$17:$C$46+Projects!$D$17:$D$46-1)*Projects!$B$17:$B$46*Assumptions!$B$11*0.05)+SUMPRODUCT((Projects!$G$17:$G$46="Yes")*(Projects!$X$17:$X$46="Yes")*(18&gt;=Projects!$C$17:$C$46)*(18&lt;Projects!$C$17:$C$46+Projects!$D$17:$D$46)*Projects!$B$17:$B$46*Assumptions!$B$12/Projects!$D$17:$D$46*0.95)+SUMPRODUCT((Projects!$G$17:$G$46="Yes")*(Projects!$X$17:$X$46="Yes")*(18=Projects!$C$17:$C$46+Projects!$D$17:$D$46-1)*Projects!$B$17:$B$46*Assumptions!$B$12*0.05)</f>
        <v>0</v>
      </c>
      <c r="X97" s="296" t="n">
        <f aca="false">X96+SUMPRODUCT((Projects!$G$17:$G$46="Yes")*(Projects!$X$17:$X$46="Yes")*(19&gt;=Projects!$C$17:$C$46)*(19&lt;Projects!$C$17:$C$46+Projects!$D$17:$D$46)*Projects!$B$17:$B$46*Assumptions!$B$10/Projects!$D$17:$D$46*0.95)+SUMPRODUCT((Projects!$G$17:$G$46="Yes")*(Projects!$X$17:$X$46="Yes")*(19=Projects!$C$17:$C$46+Projects!$D$17:$D$46-1)*Projects!$B$17:$B$46*Assumptions!$B$10*0.05)+SUMPRODUCT((Projects!$G$17:$G$46="Yes")*(Projects!$X$17:$X$46="Yes")*(19&gt;=Projects!$C$17:$C$46)*(19&lt;Projects!$C$17:$C$46+Projects!$D$17:$D$46)*Projects!$B$17:$B$46*Assumptions!$B$11/Projects!$D$17:$D$46*0.95)+SUMPRODUCT((Projects!$G$17:$G$46="Yes")*(Projects!$X$17:$X$46="Yes")*(19=Projects!$C$17:$C$46+Projects!$D$17:$D$46-1)*Projects!$B$17:$B$46*Assumptions!$B$11*0.05)+SUMPRODUCT((Projects!$G$17:$G$46="Yes")*(Projects!$X$17:$X$46="Yes")*(19&gt;=Projects!$C$17:$C$46)*(19&lt;Projects!$C$17:$C$46+Projects!$D$17:$D$46)*Projects!$B$17:$B$46*Assumptions!$B$12/Projects!$D$17:$D$46*0.95)+SUMPRODUCT((Projects!$G$17:$G$46="Yes")*(Projects!$X$17:$X$46="Yes")*(19=Projects!$C$17:$C$46+Projects!$D$17:$D$46-1)*Projects!$B$17:$B$46*Assumptions!$B$12*0.05)</f>
        <v>782885.612848774</v>
      </c>
      <c r="Y97" s="296" t="n">
        <f aca="false">Y96+SUMPRODUCT((Projects!$G$17:$G$46="Yes")*(Projects!$X$17:$X$46="Yes")*(20&gt;=Projects!$C$17:$C$46)*(20&lt;Projects!$C$17:$C$46+Projects!$D$17:$D$46)*Projects!$B$17:$B$46*Assumptions!$B$10/Projects!$D$17:$D$46*0.95)+SUMPRODUCT((Projects!$G$17:$G$46="Yes")*(Projects!$X$17:$X$46="Yes")*(20=Projects!$C$17:$C$46+Projects!$D$17:$D$46-1)*Projects!$B$17:$B$46*Assumptions!$B$10*0.05)+SUMPRODUCT((Projects!$G$17:$G$46="Yes")*(Projects!$X$17:$X$46="Yes")*(20&gt;=Projects!$C$17:$C$46)*(20&lt;Projects!$C$17:$C$46+Projects!$D$17:$D$46)*Projects!$B$17:$B$46*Assumptions!$B$11/Projects!$D$17:$D$46*0.95)+SUMPRODUCT((Projects!$G$17:$G$46="Yes")*(Projects!$X$17:$X$46="Yes")*(20=Projects!$C$17:$C$46+Projects!$D$17:$D$46-1)*Projects!$B$17:$B$46*Assumptions!$B$11*0.05)+SUMPRODUCT((Projects!$G$17:$G$46="Yes")*(Projects!$X$17:$X$46="Yes")*(20&gt;=Projects!$C$17:$C$46)*(20&lt;Projects!$C$17:$C$46+Projects!$D$17:$D$46)*Projects!$B$17:$B$46*Assumptions!$B$12/Projects!$D$17:$D$46*0.95)+SUMPRODUCT((Projects!$G$17:$G$46="Yes")*(Projects!$X$17:$X$46="Yes")*(20=Projects!$C$17:$C$46+Projects!$D$17:$D$46-1)*Projects!$B$17:$B$46*Assumptions!$B$12*0.05)</f>
        <v>939150.020990294</v>
      </c>
      <c r="Z97" s="296" t="n">
        <f aca="false">Z96+SUMPRODUCT((Projects!$G$17:$G$46="Yes")*(Projects!$X$17:$X$46="Yes")*(21&gt;=Projects!$C$17:$C$46)*(21&lt;Projects!$C$17:$C$46+Projects!$D$17:$D$46)*Projects!$B$17:$B$46*Assumptions!$B$10/Projects!$D$17:$D$46*0.95)+SUMPRODUCT((Projects!$G$17:$G$46="Yes")*(Projects!$X$17:$X$46="Yes")*(21=Projects!$C$17:$C$46+Projects!$D$17:$D$46-1)*Projects!$B$17:$B$46*Assumptions!$B$10*0.05)+SUMPRODUCT((Projects!$G$17:$G$46="Yes")*(Projects!$X$17:$X$46="Yes")*(21&gt;=Projects!$C$17:$C$46)*(21&lt;Projects!$C$17:$C$46+Projects!$D$17:$D$46)*Projects!$B$17:$B$46*Assumptions!$B$11/Projects!$D$17:$D$46*0.95)+SUMPRODUCT((Projects!$G$17:$G$46="Yes")*(Projects!$X$17:$X$46="Yes")*(21=Projects!$C$17:$C$46+Projects!$D$17:$D$46-1)*Projects!$B$17:$B$46*Assumptions!$B$11*0.05)+SUMPRODUCT((Projects!$G$17:$G$46="Yes")*(Projects!$X$17:$X$46="Yes")*(21&gt;=Projects!$C$17:$C$46)*(21&lt;Projects!$C$17:$C$46+Projects!$D$17:$D$46)*Projects!$B$17:$B$46*Assumptions!$B$12/Projects!$D$17:$D$46*0.95)+SUMPRODUCT((Projects!$G$17:$G$46="Yes")*(Projects!$X$17:$X$46="Yes")*(21=Projects!$C$17:$C$46+Projects!$D$17:$D$46-1)*Projects!$B$17:$B$46*Assumptions!$B$12*0.05)</f>
        <v>1107351.98881847</v>
      </c>
      <c r="AA97" s="296" t="n">
        <f aca="false">AA96+SUMPRODUCT((Projects!$G$17:$G$46="Yes")*(Projects!$X$17:$X$46="Yes")*(22&gt;=Projects!$C$17:$C$46)*(22&lt;Projects!$C$17:$C$46+Projects!$D$17:$D$46)*Projects!$B$17:$B$46*Assumptions!$B$10/Projects!$D$17:$D$46*0.95)+SUMPRODUCT((Projects!$G$17:$G$46="Yes")*(Projects!$X$17:$X$46="Yes")*(22=Projects!$C$17:$C$46+Projects!$D$17:$D$46-1)*Projects!$B$17:$B$46*Assumptions!$B$10*0.05)+SUMPRODUCT((Projects!$G$17:$G$46="Yes")*(Projects!$X$17:$X$46="Yes")*(22&gt;=Projects!$C$17:$C$46)*(22&lt;Projects!$C$17:$C$46+Projects!$D$17:$D$46)*Projects!$B$17:$B$46*Assumptions!$B$11/Projects!$D$17:$D$46*0.95)+SUMPRODUCT((Projects!$G$17:$G$46="Yes")*(Projects!$X$17:$X$46="Yes")*(22=Projects!$C$17:$C$46+Projects!$D$17:$D$46-1)*Projects!$B$17:$B$46*Assumptions!$B$11*0.05)+SUMPRODUCT((Projects!$G$17:$G$46="Yes")*(Projects!$X$17:$X$46="Yes")*(22&gt;=Projects!$C$17:$C$46)*(22&lt;Projects!$C$17:$C$46+Projects!$D$17:$D$46)*Projects!$B$17:$B$46*Assumptions!$B$12/Projects!$D$17:$D$46*0.95)+SUMPRODUCT((Projects!$G$17:$G$46="Yes")*(Projects!$X$17:$X$46="Yes")*(22=Projects!$C$17:$C$46+Projects!$D$17:$D$46-1)*Projects!$B$17:$B$46*Assumptions!$B$12*0.05)</f>
        <v>1280784.45973787</v>
      </c>
      <c r="AB97" s="296" t="n">
        <f aca="false">AB96+SUMPRODUCT((Projects!$G$17:$G$46="Yes")*(Projects!$X$17:$X$46="Yes")*(23&gt;=Projects!$C$17:$C$46)*(23&lt;Projects!$C$17:$C$46+Projects!$D$17:$D$46)*Projects!$B$17:$B$46*Assumptions!$B$10/Projects!$D$17:$D$46*0.95)+SUMPRODUCT((Projects!$G$17:$G$46="Yes")*(Projects!$X$17:$X$46="Yes")*(23=Projects!$C$17:$C$46+Projects!$D$17:$D$46-1)*Projects!$B$17:$B$46*Assumptions!$B$10*0.05)+SUMPRODUCT((Projects!$G$17:$G$46="Yes")*(Projects!$X$17:$X$46="Yes")*(23&gt;=Projects!$C$17:$C$46)*(23&lt;Projects!$C$17:$C$46+Projects!$D$17:$D$46)*Projects!$B$17:$B$46*Assumptions!$B$11/Projects!$D$17:$D$46*0.95)+SUMPRODUCT((Projects!$G$17:$G$46="Yes")*(Projects!$X$17:$X$46="Yes")*(23=Projects!$C$17:$C$46+Projects!$D$17:$D$46-1)*Projects!$B$17:$B$46*Assumptions!$B$11*0.05)+SUMPRODUCT((Projects!$G$17:$G$46="Yes")*(Projects!$X$17:$X$46="Yes")*(23&gt;=Projects!$C$17:$C$46)*(23&lt;Projects!$C$17:$C$46+Projects!$D$17:$D$46)*Projects!$B$17:$B$46*Assumptions!$B$12/Projects!$D$17:$D$46*0.95)+SUMPRODUCT((Projects!$G$17:$G$46="Yes")*(Projects!$X$17:$X$46="Yes")*(23=Projects!$C$17:$C$46+Projects!$D$17:$D$46-1)*Projects!$B$17:$B$46*Assumptions!$B$12*0.05)</f>
        <v>1451113.66566535</v>
      </c>
      <c r="AC97" s="296" t="n">
        <f aca="false">AC96+SUMPRODUCT((Projects!$G$17:$G$46="Yes")*(Projects!$X$17:$X$46="Yes")*(24&gt;=Projects!$C$17:$C$46)*(24&lt;Projects!$C$17:$C$46+Projects!$D$17:$D$46)*Projects!$B$17:$B$46*Assumptions!$B$10/Projects!$D$17:$D$46*0.95)+SUMPRODUCT((Projects!$G$17:$G$46="Yes")*(Projects!$X$17:$X$46="Yes")*(24=Projects!$C$17:$C$46+Projects!$D$17:$D$46-1)*Projects!$B$17:$B$46*Assumptions!$B$10*0.05)+SUMPRODUCT((Projects!$G$17:$G$46="Yes")*(Projects!$X$17:$X$46="Yes")*(24&gt;=Projects!$C$17:$C$46)*(24&lt;Projects!$C$17:$C$46+Projects!$D$17:$D$46)*Projects!$B$17:$B$46*Assumptions!$B$11/Projects!$D$17:$D$46*0.95)+SUMPRODUCT((Projects!$G$17:$G$46="Yes")*(Projects!$X$17:$X$46="Yes")*(24=Projects!$C$17:$C$46+Projects!$D$17:$D$46-1)*Projects!$B$17:$B$46*Assumptions!$B$11*0.05)+SUMPRODUCT((Projects!$G$17:$G$46="Yes")*(Projects!$X$17:$X$46="Yes")*(24&gt;=Projects!$C$17:$C$46)*(24&lt;Projects!$C$17:$C$46+Projects!$D$17:$D$46)*Projects!$B$17:$B$46*Assumptions!$B$12/Projects!$D$17:$D$46*0.95)+SUMPRODUCT((Projects!$G$17:$G$46="Yes")*(Projects!$X$17:$X$46="Yes")*(24=Projects!$C$17:$C$46+Projects!$D$17:$D$46-1)*Projects!$B$17:$B$46*Assumptions!$B$12*0.05)</f>
        <v>1608879.65364167</v>
      </c>
      <c r="AD97" s="296" t="n">
        <f aca="false">AD96+SUMPRODUCT((Projects!$G$17:$G$46="Yes")*(Projects!$X$17:$X$46="Yes")*(25&gt;=Projects!$C$17:$C$46)*(25&lt;Projects!$C$17:$C$46+Projects!$D$17:$D$46)*Projects!$B$17:$B$46*Assumptions!$B$10/Projects!$D$17:$D$46*0.95)+SUMPRODUCT((Projects!$G$17:$G$46="Yes")*(Projects!$X$17:$X$46="Yes")*(25=Projects!$C$17:$C$46+Projects!$D$17:$D$46-1)*Projects!$B$17:$B$46*Assumptions!$B$10*0.05)+SUMPRODUCT((Projects!$G$17:$G$46="Yes")*(Projects!$X$17:$X$46="Yes")*(25&gt;=Projects!$C$17:$C$46)*(25&lt;Projects!$C$17:$C$46+Projects!$D$17:$D$46)*Projects!$B$17:$B$46*Assumptions!$B$11/Projects!$D$17:$D$46*0.95)+SUMPRODUCT((Projects!$G$17:$G$46="Yes")*(Projects!$X$17:$X$46="Yes")*(25=Projects!$C$17:$C$46+Projects!$D$17:$D$46-1)*Projects!$B$17:$B$46*Assumptions!$B$11*0.05)+SUMPRODUCT((Projects!$G$17:$G$46="Yes")*(Projects!$X$17:$X$46="Yes")*(25&gt;=Projects!$C$17:$C$46)*(25&lt;Projects!$C$17:$C$46+Projects!$D$17:$D$46)*Projects!$B$17:$B$46*Assumptions!$B$12/Projects!$D$17:$D$46*0.95)+SUMPRODUCT((Projects!$G$17:$G$46="Yes")*(Projects!$X$17:$X$46="Yes")*(25=Projects!$C$17:$C$46+Projects!$D$17:$D$46-1)*Projects!$B$17:$B$46*Assumptions!$B$12*0.05)</f>
        <v>1744397.23373237</v>
      </c>
      <c r="AE97" s="296" t="n">
        <f aca="false">AE96+SUMPRODUCT((Projects!$G$17:$G$46="Yes")*(Projects!$X$17:$X$46="Yes")*(26&gt;=Projects!$C$17:$C$46)*(26&lt;Projects!$C$17:$C$46+Projects!$D$17:$D$46)*Projects!$B$17:$B$46*Assumptions!$B$10/Projects!$D$17:$D$46*0.95)+SUMPRODUCT((Projects!$G$17:$G$46="Yes")*(Projects!$X$17:$X$46="Yes")*(26=Projects!$C$17:$C$46+Projects!$D$17:$D$46-1)*Projects!$B$17:$B$46*Assumptions!$B$10*0.05)+SUMPRODUCT((Projects!$G$17:$G$46="Yes")*(Projects!$X$17:$X$46="Yes")*(26&gt;=Projects!$C$17:$C$46)*(26&lt;Projects!$C$17:$C$46+Projects!$D$17:$D$46)*Projects!$B$17:$B$46*Assumptions!$B$11/Projects!$D$17:$D$46*0.95)+SUMPRODUCT((Projects!$G$17:$G$46="Yes")*(Projects!$X$17:$X$46="Yes")*(26=Projects!$C$17:$C$46+Projects!$D$17:$D$46-1)*Projects!$B$17:$B$46*Assumptions!$B$11*0.05)+SUMPRODUCT((Projects!$G$17:$G$46="Yes")*(Projects!$X$17:$X$46="Yes")*(26&gt;=Projects!$C$17:$C$46)*(26&lt;Projects!$C$17:$C$46+Projects!$D$17:$D$46)*Projects!$B$17:$B$46*Assumptions!$B$12/Projects!$D$17:$D$46*0.95)+SUMPRODUCT((Projects!$G$17:$G$46="Yes")*(Projects!$X$17:$X$46="Yes")*(26=Projects!$C$17:$C$46+Projects!$D$17:$D$46-1)*Projects!$B$17:$B$46*Assumptions!$B$12*0.05)</f>
        <v>1848681.95325923</v>
      </c>
      <c r="AF97" s="296" t="n">
        <f aca="false">AF96+SUMPRODUCT((Projects!$G$17:$G$46="Yes")*(Projects!$X$17:$X$46="Yes")*(27&gt;=Projects!$C$17:$C$46)*(27&lt;Projects!$C$17:$C$46+Projects!$D$17:$D$46)*Projects!$B$17:$B$46*Assumptions!$B$10/Projects!$D$17:$D$46*0.95)+SUMPRODUCT((Projects!$G$17:$G$46="Yes")*(Projects!$X$17:$X$46="Yes")*(27=Projects!$C$17:$C$46+Projects!$D$17:$D$46-1)*Projects!$B$17:$B$46*Assumptions!$B$10*0.05)+SUMPRODUCT((Projects!$G$17:$G$46="Yes")*(Projects!$X$17:$X$46="Yes")*(27&gt;=Projects!$C$17:$C$46)*(27&lt;Projects!$C$17:$C$46+Projects!$D$17:$D$46)*Projects!$B$17:$B$46*Assumptions!$B$11/Projects!$D$17:$D$46*0.95)+SUMPRODUCT((Projects!$G$17:$G$46="Yes")*(Projects!$X$17:$X$46="Yes")*(27=Projects!$C$17:$C$46+Projects!$D$17:$D$46-1)*Projects!$B$17:$B$46*Assumptions!$B$11*0.05)+SUMPRODUCT((Projects!$G$17:$G$46="Yes")*(Projects!$X$17:$X$46="Yes")*(27&gt;=Projects!$C$17:$C$46)*(27&lt;Projects!$C$17:$C$46+Projects!$D$17:$D$46)*Projects!$B$17:$B$46*Assumptions!$B$12/Projects!$D$17:$D$46*0.95)+SUMPRODUCT((Projects!$G$17:$G$46="Yes")*(Projects!$X$17:$X$46="Yes")*(27=Projects!$C$17:$C$46+Projects!$D$17:$D$46-1)*Projects!$B$17:$B$46*Assumptions!$B$12*0.05)</f>
        <v>1914451.15002347</v>
      </c>
      <c r="AG97" s="296" t="n">
        <f aca="false">AG96+SUMPRODUCT((Projects!$G$17:$G$46="Yes")*(Projects!$X$17:$X$46="Yes")*(28&gt;=Projects!$C$17:$C$46)*(28&lt;Projects!$C$17:$C$46+Projects!$D$17:$D$46)*Projects!$B$17:$B$46*Assumptions!$B$10/Projects!$D$17:$D$46*0.95)+SUMPRODUCT((Projects!$G$17:$G$46="Yes")*(Projects!$X$17:$X$46="Yes")*(28=Projects!$C$17:$C$46+Projects!$D$17:$D$46-1)*Projects!$B$17:$B$46*Assumptions!$B$10*0.05)+SUMPRODUCT((Projects!$G$17:$G$46="Yes")*(Projects!$X$17:$X$46="Yes")*(28&gt;=Projects!$C$17:$C$46)*(28&lt;Projects!$C$17:$C$46+Projects!$D$17:$D$46)*Projects!$B$17:$B$46*Assumptions!$B$11/Projects!$D$17:$D$46*0.95)+SUMPRODUCT((Projects!$G$17:$G$46="Yes")*(Projects!$X$17:$X$46="Yes")*(28=Projects!$C$17:$C$46+Projects!$D$17:$D$46-1)*Projects!$B$17:$B$46*Assumptions!$B$11*0.05)+SUMPRODUCT((Projects!$G$17:$G$46="Yes")*(Projects!$X$17:$X$46="Yes")*(28&gt;=Projects!$C$17:$C$46)*(28&lt;Projects!$C$17:$C$46+Projects!$D$17:$D$46)*Projects!$B$17:$B$46*Assumptions!$B$12/Projects!$D$17:$D$46*0.95)+SUMPRODUCT((Projects!$G$17:$G$46="Yes")*(Projects!$X$17:$X$46="Yes")*(28=Projects!$C$17:$C$46+Projects!$D$17:$D$46-1)*Projects!$B$17:$B$46*Assumptions!$B$12*0.05)</f>
        <v>1936924.79488431</v>
      </c>
      <c r="AH97" s="296" t="n">
        <f aca="false">AH96+SUMPRODUCT((Projects!$G$17:$G$46="Yes")*(Projects!$X$17:$X$46="Yes")*(29&gt;=Projects!$C$17:$C$46)*(29&lt;Projects!$C$17:$C$46+Projects!$D$17:$D$46)*Projects!$B$17:$B$46*Assumptions!$B$10/Projects!$D$17:$D$46*0.95)+SUMPRODUCT((Projects!$G$17:$G$46="Yes")*(Projects!$X$17:$X$46="Yes")*(29=Projects!$C$17:$C$46+Projects!$D$17:$D$46-1)*Projects!$B$17:$B$46*Assumptions!$B$10*0.05)+SUMPRODUCT((Projects!$G$17:$G$46="Yes")*(Projects!$X$17:$X$46="Yes")*(29&gt;=Projects!$C$17:$C$46)*(29&lt;Projects!$C$17:$C$46+Projects!$D$17:$D$46)*Projects!$B$17:$B$46*Assumptions!$B$11/Projects!$D$17:$D$46*0.95)+SUMPRODUCT((Projects!$G$17:$G$46="Yes")*(Projects!$X$17:$X$46="Yes")*(29=Projects!$C$17:$C$46+Projects!$D$17:$D$46-1)*Projects!$B$17:$B$46*Assumptions!$B$11*0.05)+SUMPRODUCT((Projects!$G$17:$G$46="Yes")*(Projects!$X$17:$X$46="Yes")*(29&gt;=Projects!$C$17:$C$46)*(29&lt;Projects!$C$17:$C$46+Projects!$D$17:$D$46)*Projects!$B$17:$B$46*Assumptions!$B$12/Projects!$D$17:$D$46*0.95)+SUMPRODUCT((Projects!$G$17:$G$46="Yes")*(Projects!$X$17:$X$46="Yes")*(29=Projects!$C$17:$C$46+Projects!$D$17:$D$46-1)*Projects!$B$17:$B$46*Assumptions!$B$12*0.05)</f>
        <v>1914451.15002347</v>
      </c>
      <c r="AI97" s="296" t="n">
        <f aca="false">AI96+SUMPRODUCT((Projects!$G$17:$G$46="Yes")*(Projects!$X$17:$X$46="Yes")*(30&gt;=Projects!$C$17:$C$46)*(30&lt;Projects!$C$17:$C$46+Projects!$D$17:$D$46)*Projects!$B$17:$B$46*Assumptions!$B$10/Projects!$D$17:$D$46*0.95)+SUMPRODUCT((Projects!$G$17:$G$46="Yes")*(Projects!$X$17:$X$46="Yes")*(30=Projects!$C$17:$C$46+Projects!$D$17:$D$46-1)*Projects!$B$17:$B$46*Assumptions!$B$10*0.05)+SUMPRODUCT((Projects!$G$17:$G$46="Yes")*(Projects!$X$17:$X$46="Yes")*(30&gt;=Projects!$C$17:$C$46)*(30&lt;Projects!$C$17:$C$46+Projects!$D$17:$D$46)*Projects!$B$17:$B$46*Assumptions!$B$11/Projects!$D$17:$D$46*0.95)+SUMPRODUCT((Projects!$G$17:$G$46="Yes")*(Projects!$X$17:$X$46="Yes")*(30=Projects!$C$17:$C$46+Projects!$D$17:$D$46-1)*Projects!$B$17:$B$46*Assumptions!$B$11*0.05)+SUMPRODUCT((Projects!$G$17:$G$46="Yes")*(Projects!$X$17:$X$46="Yes")*(30&gt;=Projects!$C$17:$C$46)*(30&lt;Projects!$C$17:$C$46+Projects!$D$17:$D$46)*Projects!$B$17:$B$46*Assumptions!$B$12/Projects!$D$17:$D$46*0.95)+SUMPRODUCT((Projects!$G$17:$G$46="Yes")*(Projects!$X$17:$X$46="Yes")*(30=Projects!$C$17:$C$46+Projects!$D$17:$D$46-1)*Projects!$B$17:$B$46*Assumptions!$B$12*0.05)</f>
        <v>1848681.95325923</v>
      </c>
      <c r="AJ97" s="296" t="n">
        <f aca="false">AJ96+SUMPRODUCT((Projects!$G$17:$G$46="Yes")*(Projects!$X$17:$X$46="Yes")*(31&gt;=Projects!$C$17:$C$46)*(31&lt;Projects!$C$17:$C$46+Projects!$D$17:$D$46)*Projects!$B$17:$B$46*Assumptions!$B$10/Projects!$D$17:$D$46*0.95)+SUMPRODUCT((Projects!$G$17:$G$46="Yes")*(Projects!$X$17:$X$46="Yes")*(31=Projects!$C$17:$C$46+Projects!$D$17:$D$46-1)*Projects!$B$17:$B$46*Assumptions!$B$10*0.05)+SUMPRODUCT((Projects!$G$17:$G$46="Yes")*(Projects!$X$17:$X$46="Yes")*(31&gt;=Projects!$C$17:$C$46)*(31&lt;Projects!$C$17:$C$46+Projects!$D$17:$D$46)*Projects!$B$17:$B$46*Assumptions!$B$11/Projects!$D$17:$D$46*0.95)+SUMPRODUCT((Projects!$G$17:$G$46="Yes")*(Projects!$X$17:$X$46="Yes")*(31=Projects!$C$17:$C$46+Projects!$D$17:$D$46-1)*Projects!$B$17:$B$46*Assumptions!$B$11*0.05)+SUMPRODUCT((Projects!$G$17:$G$46="Yes")*(Projects!$X$17:$X$46="Yes")*(31&gt;=Projects!$C$17:$C$46)*(31&lt;Projects!$C$17:$C$46+Projects!$D$17:$D$46)*Projects!$B$17:$B$46*Assumptions!$B$12/Projects!$D$17:$D$46*0.95)+SUMPRODUCT((Projects!$G$17:$G$46="Yes")*(Projects!$X$17:$X$46="Yes")*(31=Projects!$C$17:$C$46+Projects!$D$17:$D$46-1)*Projects!$B$17:$B$46*Assumptions!$B$12*0.05)</f>
        <v>1744397.23373237</v>
      </c>
      <c r="AK97" s="296" t="n">
        <f aca="false">AK96+SUMPRODUCT((Projects!$G$17:$G$46="Yes")*(Projects!$X$17:$X$46="Yes")*(32&gt;=Projects!$C$17:$C$46)*(32&lt;Projects!$C$17:$C$46+Projects!$D$17:$D$46)*Projects!$B$17:$B$46*Assumptions!$B$10/Projects!$D$17:$D$46*0.95)+SUMPRODUCT((Projects!$G$17:$G$46="Yes")*(Projects!$X$17:$X$46="Yes")*(32=Projects!$C$17:$C$46+Projects!$D$17:$D$46-1)*Projects!$B$17:$B$46*Assumptions!$B$10*0.05)+SUMPRODUCT((Projects!$G$17:$G$46="Yes")*(Projects!$X$17:$X$46="Yes")*(32&gt;=Projects!$C$17:$C$46)*(32&lt;Projects!$C$17:$C$46+Projects!$D$17:$D$46)*Projects!$B$17:$B$46*Assumptions!$B$11/Projects!$D$17:$D$46*0.95)+SUMPRODUCT((Projects!$G$17:$G$46="Yes")*(Projects!$X$17:$X$46="Yes")*(32=Projects!$C$17:$C$46+Projects!$D$17:$D$46-1)*Projects!$B$17:$B$46*Assumptions!$B$11*0.05)+SUMPRODUCT((Projects!$G$17:$G$46="Yes")*(Projects!$X$17:$X$46="Yes")*(32&gt;=Projects!$C$17:$C$46)*(32&lt;Projects!$C$17:$C$46+Projects!$D$17:$D$46)*Projects!$B$17:$B$46*Assumptions!$B$12/Projects!$D$17:$D$46*0.95)+SUMPRODUCT((Projects!$G$17:$G$46="Yes")*(Projects!$X$17:$X$46="Yes")*(32=Projects!$C$17:$C$46+Projects!$D$17:$D$46-1)*Projects!$B$17:$B$46*Assumptions!$B$12*0.05)</f>
        <v>1608879.65364167</v>
      </c>
      <c r="AL97" s="296" t="n">
        <f aca="false">AL96+SUMPRODUCT((Projects!$G$17:$G$46="Yes")*(Projects!$X$17:$X$46="Yes")*(33&gt;=Projects!$C$17:$C$46)*(33&lt;Projects!$C$17:$C$46+Projects!$D$17:$D$46)*Projects!$B$17:$B$46*Assumptions!$B$10/Projects!$D$17:$D$46*0.95)+SUMPRODUCT((Projects!$G$17:$G$46="Yes")*(Projects!$X$17:$X$46="Yes")*(33=Projects!$C$17:$C$46+Projects!$D$17:$D$46-1)*Projects!$B$17:$B$46*Assumptions!$B$10*0.05)+SUMPRODUCT((Projects!$G$17:$G$46="Yes")*(Projects!$X$17:$X$46="Yes")*(33&gt;=Projects!$C$17:$C$46)*(33&lt;Projects!$C$17:$C$46+Projects!$D$17:$D$46)*Projects!$B$17:$B$46*Assumptions!$B$11/Projects!$D$17:$D$46*0.95)+SUMPRODUCT((Projects!$G$17:$G$46="Yes")*(Projects!$X$17:$X$46="Yes")*(33=Projects!$C$17:$C$46+Projects!$D$17:$D$46-1)*Projects!$B$17:$B$46*Assumptions!$B$11*0.05)+SUMPRODUCT((Projects!$G$17:$G$46="Yes")*(Projects!$X$17:$X$46="Yes")*(33&gt;=Projects!$C$17:$C$46)*(33&lt;Projects!$C$17:$C$46+Projects!$D$17:$D$46)*Projects!$B$17:$B$46*Assumptions!$B$12/Projects!$D$17:$D$46*0.95)+SUMPRODUCT((Projects!$G$17:$G$46="Yes")*(Projects!$X$17:$X$46="Yes")*(33=Projects!$C$17:$C$46+Projects!$D$17:$D$46-1)*Projects!$B$17:$B$46*Assumptions!$B$12*0.05)</f>
        <v>1451113.66566535</v>
      </c>
      <c r="AM97" s="296" t="n">
        <f aca="false">AM96+SUMPRODUCT((Projects!$G$17:$G$46="Yes")*(Projects!$X$17:$X$46="Yes")*(34&gt;=Projects!$C$17:$C$46)*(34&lt;Projects!$C$17:$C$46+Projects!$D$17:$D$46)*Projects!$B$17:$B$46*Assumptions!$B$10/Projects!$D$17:$D$46*0.95)+SUMPRODUCT((Projects!$G$17:$G$46="Yes")*(Projects!$X$17:$X$46="Yes")*(34=Projects!$C$17:$C$46+Projects!$D$17:$D$46-1)*Projects!$B$17:$B$46*Assumptions!$B$10*0.05)+SUMPRODUCT((Projects!$G$17:$G$46="Yes")*(Projects!$X$17:$X$46="Yes")*(34&gt;=Projects!$C$17:$C$46)*(34&lt;Projects!$C$17:$C$46+Projects!$D$17:$D$46)*Projects!$B$17:$B$46*Assumptions!$B$11/Projects!$D$17:$D$46*0.95)+SUMPRODUCT((Projects!$G$17:$G$46="Yes")*(Projects!$X$17:$X$46="Yes")*(34=Projects!$C$17:$C$46+Projects!$D$17:$D$46-1)*Projects!$B$17:$B$46*Assumptions!$B$11*0.05)+SUMPRODUCT((Projects!$G$17:$G$46="Yes")*(Projects!$X$17:$X$46="Yes")*(34&gt;=Projects!$C$17:$C$46)*(34&lt;Projects!$C$17:$C$46+Projects!$D$17:$D$46)*Projects!$B$17:$B$46*Assumptions!$B$12/Projects!$D$17:$D$46*0.95)+SUMPRODUCT((Projects!$G$17:$G$46="Yes")*(Projects!$X$17:$X$46="Yes")*(34=Projects!$C$17:$C$46+Projects!$D$17:$D$46-1)*Projects!$B$17:$B$46*Assumptions!$B$12*0.05)</f>
        <v>1280784.45973787</v>
      </c>
      <c r="AN97" s="296" t="n">
        <f aca="false">AN96+SUMPRODUCT((Projects!$G$17:$G$46="Yes")*(Projects!$X$17:$X$46="Yes")*(35&gt;=Projects!$C$17:$C$46)*(35&lt;Projects!$C$17:$C$46+Projects!$D$17:$D$46)*Projects!$B$17:$B$46*Assumptions!$B$10/Projects!$D$17:$D$46*0.95)+SUMPRODUCT((Projects!$G$17:$G$46="Yes")*(Projects!$X$17:$X$46="Yes")*(35=Projects!$C$17:$C$46+Projects!$D$17:$D$46-1)*Projects!$B$17:$B$46*Assumptions!$B$10*0.05)+SUMPRODUCT((Projects!$G$17:$G$46="Yes")*(Projects!$X$17:$X$46="Yes")*(35&gt;=Projects!$C$17:$C$46)*(35&lt;Projects!$C$17:$C$46+Projects!$D$17:$D$46)*Projects!$B$17:$B$46*Assumptions!$B$11/Projects!$D$17:$D$46*0.95)+SUMPRODUCT((Projects!$G$17:$G$46="Yes")*(Projects!$X$17:$X$46="Yes")*(35=Projects!$C$17:$C$46+Projects!$D$17:$D$46-1)*Projects!$B$17:$B$46*Assumptions!$B$11*0.05)+SUMPRODUCT((Projects!$G$17:$G$46="Yes")*(Projects!$X$17:$X$46="Yes")*(35&gt;=Projects!$C$17:$C$46)*(35&lt;Projects!$C$17:$C$46+Projects!$D$17:$D$46)*Projects!$B$17:$B$46*Assumptions!$B$12/Projects!$D$17:$D$46*0.95)+SUMPRODUCT((Projects!$G$17:$G$46="Yes")*(Projects!$X$17:$X$46="Yes")*(35=Projects!$C$17:$C$46+Projects!$D$17:$D$46-1)*Projects!$B$17:$B$46*Assumptions!$B$12*0.05)</f>
        <v>1107351.98881847</v>
      </c>
      <c r="AO97" s="296" t="n">
        <f aca="false">AO96+SUMPRODUCT((Projects!$G$17:$G$46="Yes")*(Projects!$X$17:$X$46="Yes")*(36&gt;=Projects!$C$17:$C$46)*(36&lt;Projects!$C$17:$C$46+Projects!$D$17:$D$46)*Projects!$B$17:$B$46*Assumptions!$B$10/Projects!$D$17:$D$46*0.95)+SUMPRODUCT((Projects!$G$17:$G$46="Yes")*(Projects!$X$17:$X$46="Yes")*(36=Projects!$C$17:$C$46+Projects!$D$17:$D$46-1)*Projects!$B$17:$B$46*Assumptions!$B$10*0.05)+SUMPRODUCT((Projects!$G$17:$G$46="Yes")*(Projects!$X$17:$X$46="Yes")*(36&gt;=Projects!$C$17:$C$46)*(36&lt;Projects!$C$17:$C$46+Projects!$D$17:$D$46)*Projects!$B$17:$B$46*Assumptions!$B$11/Projects!$D$17:$D$46*0.95)+SUMPRODUCT((Projects!$G$17:$G$46="Yes")*(Projects!$X$17:$X$46="Yes")*(36=Projects!$C$17:$C$46+Projects!$D$17:$D$46-1)*Projects!$B$17:$B$46*Assumptions!$B$11*0.05)+SUMPRODUCT((Projects!$G$17:$G$46="Yes")*(Projects!$X$17:$X$46="Yes")*(36&gt;=Projects!$C$17:$C$46)*(36&lt;Projects!$C$17:$C$46+Projects!$D$17:$D$46)*Projects!$B$17:$B$46*Assumptions!$B$12/Projects!$D$17:$D$46*0.95)+SUMPRODUCT((Projects!$G$17:$G$46="Yes")*(Projects!$X$17:$X$46="Yes")*(36=Projects!$C$17:$C$46+Projects!$D$17:$D$46-1)*Projects!$B$17:$B$46*Assumptions!$B$12*0.05)</f>
        <v>939150.020990294</v>
      </c>
      <c r="AP97" s="296" t="n">
        <f aca="false">AP96+SUMPRODUCT((Projects!$G$17:$G$46="Yes")*(Projects!$X$17:$X$46="Yes")*(37&gt;=Projects!$C$17:$C$46)*(37&lt;Projects!$C$17:$C$46+Projects!$D$17:$D$46)*Projects!$B$17:$B$46*Assumptions!$B$10/Projects!$D$17:$D$46*0.95)+SUMPRODUCT((Projects!$G$17:$G$46="Yes")*(Projects!$X$17:$X$46="Yes")*(37=Projects!$C$17:$C$46+Projects!$D$17:$D$46-1)*Projects!$B$17:$B$46*Assumptions!$B$10*0.05)+SUMPRODUCT((Projects!$G$17:$G$46="Yes")*(Projects!$X$17:$X$46="Yes")*(37&gt;=Projects!$C$17:$C$46)*(37&lt;Projects!$C$17:$C$46+Projects!$D$17:$D$46)*Projects!$B$17:$B$46*Assumptions!$B$11/Projects!$D$17:$D$46*0.95)+SUMPRODUCT((Projects!$G$17:$G$46="Yes")*(Projects!$X$17:$X$46="Yes")*(37=Projects!$C$17:$C$46+Projects!$D$17:$D$46-1)*Projects!$B$17:$B$46*Assumptions!$B$11*0.05)+SUMPRODUCT((Projects!$G$17:$G$46="Yes")*(Projects!$X$17:$X$46="Yes")*(37&gt;=Projects!$C$17:$C$46)*(37&lt;Projects!$C$17:$C$46+Projects!$D$17:$D$46)*Projects!$B$17:$B$46*Assumptions!$B$12/Projects!$D$17:$D$46*0.95)+SUMPRODUCT((Projects!$G$17:$G$46="Yes")*(Projects!$X$17:$X$46="Yes")*(37=Projects!$C$17:$C$46+Projects!$D$17:$D$46-1)*Projects!$B$17:$B$46*Assumptions!$B$12*0.05)</f>
        <v>782885.612848774</v>
      </c>
      <c r="AQ97" s="296" t="n">
        <f aca="false">AQ96+SUMPRODUCT((Projects!$G$17:$G$46="Yes")*(Projects!$X$17:$X$46="Yes")*(38&gt;=Projects!$C$17:$C$46)*(38&lt;Projects!$C$17:$C$46+Projects!$D$17:$D$46)*Projects!$B$17:$B$46*Assumptions!$B$10/Projects!$D$17:$D$46*0.95)+SUMPRODUCT((Projects!$G$17:$G$46="Yes")*(Projects!$X$17:$X$46="Yes")*(38=Projects!$C$17:$C$46+Projects!$D$17:$D$46-1)*Projects!$B$17:$B$46*Assumptions!$B$10*0.05)+SUMPRODUCT((Projects!$G$17:$G$46="Yes")*(Projects!$X$17:$X$46="Yes")*(38&gt;=Projects!$C$17:$C$46)*(38&lt;Projects!$C$17:$C$46+Projects!$D$17:$D$46)*Projects!$B$17:$B$46*Assumptions!$B$11/Projects!$D$17:$D$46*0.95)+SUMPRODUCT((Projects!$G$17:$G$46="Yes")*(Projects!$X$17:$X$46="Yes")*(38=Projects!$C$17:$C$46+Projects!$D$17:$D$46-1)*Projects!$B$17:$B$46*Assumptions!$B$11*0.05)+SUMPRODUCT((Projects!$G$17:$G$46="Yes")*(Projects!$X$17:$X$46="Yes")*(38&gt;=Projects!$C$17:$C$46)*(38&lt;Projects!$C$17:$C$46+Projects!$D$17:$D$46)*Projects!$B$17:$B$46*Assumptions!$B$12/Projects!$D$17:$D$46*0.95)+SUMPRODUCT((Projects!$G$17:$G$46="Yes")*(Projects!$X$17:$X$46="Yes")*(38=Projects!$C$17:$C$46+Projects!$D$17:$D$46-1)*Projects!$B$17:$B$46*Assumptions!$B$12*0.05)</f>
        <v>119262.404858914</v>
      </c>
      <c r="AR97" s="296" t="n">
        <f aca="false">AR96+SUMPRODUCT((Projects!$G$17:$G$46="Yes")*(Projects!$X$17:$X$46="Yes")*(39&gt;=Projects!$C$17:$C$46)*(39&lt;Projects!$C$17:$C$46+Projects!$D$17:$D$46)*Projects!$B$17:$B$46*Assumptions!$B$10/Projects!$D$17:$D$46*0.95)+SUMPRODUCT((Projects!$G$17:$G$46="Yes")*(Projects!$X$17:$X$46="Yes")*(39=Projects!$C$17:$C$46+Projects!$D$17:$D$46-1)*Projects!$B$17:$B$46*Assumptions!$B$10*0.05)+SUMPRODUCT((Projects!$G$17:$G$46="Yes")*(Projects!$X$17:$X$46="Yes")*(39&gt;=Projects!$C$17:$C$46)*(39&lt;Projects!$C$17:$C$46+Projects!$D$17:$D$46)*Projects!$B$17:$B$46*Assumptions!$B$11/Projects!$D$17:$D$46*0.95)+SUMPRODUCT((Projects!$G$17:$G$46="Yes")*(Projects!$X$17:$X$46="Yes")*(39=Projects!$C$17:$C$46+Projects!$D$17:$D$46-1)*Projects!$B$17:$B$46*Assumptions!$B$11*0.05)+SUMPRODUCT((Projects!$G$17:$G$46="Yes")*(Projects!$X$17:$X$46="Yes")*(39&gt;=Projects!$C$17:$C$46)*(39&lt;Projects!$C$17:$C$46+Projects!$D$17:$D$46)*Projects!$B$17:$B$46*Assumptions!$B$12/Projects!$D$17:$D$46*0.95)+SUMPRODUCT((Projects!$G$17:$G$46="Yes")*(Projects!$X$17:$X$46="Yes")*(39=Projects!$C$17:$C$46+Projects!$D$17:$D$46-1)*Projects!$B$17:$B$46*Assumptions!$B$12*0.05)</f>
        <v>119262.404858914</v>
      </c>
      <c r="AS97" s="296" t="n">
        <f aca="false">AS96+SUMPRODUCT((Projects!$G$17:$G$46="Yes")*(Projects!$X$17:$X$46="Yes")*(40&gt;=Projects!$C$17:$C$46)*(40&lt;Projects!$C$17:$C$46+Projects!$D$17:$D$46)*Projects!$B$17:$B$46*Assumptions!$B$10/Projects!$D$17:$D$46*0.95)+SUMPRODUCT((Projects!$G$17:$G$46="Yes")*(Projects!$X$17:$X$46="Yes")*(40=Projects!$C$17:$C$46+Projects!$D$17:$D$46-1)*Projects!$B$17:$B$46*Assumptions!$B$10*0.05)+SUMPRODUCT((Projects!$G$17:$G$46="Yes")*(Projects!$X$17:$X$46="Yes")*(40&gt;=Projects!$C$17:$C$46)*(40&lt;Projects!$C$17:$C$46+Projects!$D$17:$D$46)*Projects!$B$17:$B$46*Assumptions!$B$11/Projects!$D$17:$D$46*0.95)+SUMPRODUCT((Projects!$G$17:$G$46="Yes")*(Projects!$X$17:$X$46="Yes")*(40=Projects!$C$17:$C$46+Projects!$D$17:$D$46-1)*Projects!$B$17:$B$46*Assumptions!$B$11*0.05)+SUMPRODUCT((Projects!$G$17:$G$46="Yes")*(Projects!$X$17:$X$46="Yes")*(40&gt;=Projects!$C$17:$C$46)*(40&lt;Projects!$C$17:$C$46+Projects!$D$17:$D$46)*Projects!$B$17:$B$46*Assumptions!$B$12/Projects!$D$17:$D$46*0.95)+SUMPRODUCT((Projects!$G$17:$G$46="Yes")*(Projects!$X$17:$X$46="Yes")*(40=Projects!$C$17:$C$46+Projects!$D$17:$D$46-1)*Projects!$B$17:$B$46*Assumptions!$B$12*0.05)</f>
        <v>119262.404858914</v>
      </c>
      <c r="AT97" s="296" t="n">
        <f aca="false">AT96+SUMPRODUCT((Projects!$G$17:$G$46="Yes")*(Projects!$X$17:$X$46="Yes")*(41&gt;=Projects!$C$17:$C$46)*(41&lt;Projects!$C$17:$C$46+Projects!$D$17:$D$46)*Projects!$B$17:$B$46*Assumptions!$B$10/Projects!$D$17:$D$46*0.95)+SUMPRODUCT((Projects!$G$17:$G$46="Yes")*(Projects!$X$17:$X$46="Yes")*(41=Projects!$C$17:$C$46+Projects!$D$17:$D$46-1)*Projects!$B$17:$B$46*Assumptions!$B$10*0.05)+SUMPRODUCT((Projects!$G$17:$G$46="Yes")*(Projects!$X$17:$X$46="Yes")*(41&gt;=Projects!$C$17:$C$46)*(41&lt;Projects!$C$17:$C$46+Projects!$D$17:$D$46)*Projects!$B$17:$B$46*Assumptions!$B$11/Projects!$D$17:$D$46*0.95)+SUMPRODUCT((Projects!$G$17:$G$46="Yes")*(Projects!$X$17:$X$46="Yes")*(41=Projects!$C$17:$C$46+Projects!$D$17:$D$46-1)*Projects!$B$17:$B$46*Assumptions!$B$11*0.05)+SUMPRODUCT((Projects!$G$17:$G$46="Yes")*(Projects!$X$17:$X$46="Yes")*(41&gt;=Projects!$C$17:$C$46)*(41&lt;Projects!$C$17:$C$46+Projects!$D$17:$D$46)*Projects!$B$17:$B$46*Assumptions!$B$12/Projects!$D$17:$D$46*0.95)+SUMPRODUCT((Projects!$G$17:$G$46="Yes")*(Projects!$X$17:$X$46="Yes")*(41=Projects!$C$17:$C$46+Projects!$D$17:$D$46-1)*Projects!$B$17:$B$46*Assumptions!$B$12*0.05)</f>
        <v>119262.404858914</v>
      </c>
      <c r="AU97" s="296" t="n">
        <f aca="false">AU96+SUMPRODUCT((Projects!$G$17:$G$46="Yes")*(Projects!$X$17:$X$46="Yes")*(42&gt;=Projects!$C$17:$C$46)*(42&lt;Projects!$C$17:$C$46+Projects!$D$17:$D$46)*Projects!$B$17:$B$46*Assumptions!$B$10/Projects!$D$17:$D$46*0.95)+SUMPRODUCT((Projects!$G$17:$G$46="Yes")*(Projects!$X$17:$X$46="Yes")*(42=Projects!$C$17:$C$46+Projects!$D$17:$D$46-1)*Projects!$B$17:$B$46*Assumptions!$B$10*0.05)+SUMPRODUCT((Projects!$G$17:$G$46="Yes")*(Projects!$X$17:$X$46="Yes")*(42&gt;=Projects!$C$17:$C$46)*(42&lt;Projects!$C$17:$C$46+Projects!$D$17:$D$46)*Projects!$B$17:$B$46*Assumptions!$B$11/Projects!$D$17:$D$46*0.95)+SUMPRODUCT((Projects!$G$17:$G$46="Yes")*(Projects!$X$17:$X$46="Yes")*(42=Projects!$C$17:$C$46+Projects!$D$17:$D$46-1)*Projects!$B$17:$B$46*Assumptions!$B$11*0.05)+SUMPRODUCT((Projects!$G$17:$G$46="Yes")*(Projects!$X$17:$X$46="Yes")*(42&gt;=Projects!$C$17:$C$46)*(42&lt;Projects!$C$17:$C$46+Projects!$D$17:$D$46)*Projects!$B$17:$B$46*Assumptions!$B$12/Projects!$D$17:$D$46*0.95)+SUMPRODUCT((Projects!$G$17:$G$46="Yes")*(Projects!$X$17:$X$46="Yes")*(42=Projects!$C$17:$C$46+Projects!$D$17:$D$46-1)*Projects!$B$17:$B$46*Assumptions!$B$12*0.05)</f>
        <v>269909.653101753</v>
      </c>
      <c r="AV97" s="296" t="n">
        <f aca="false">AV96+SUMPRODUCT((Projects!$G$17:$G$46="Yes")*(Projects!$X$17:$X$46="Yes")*(43&gt;=Projects!$C$17:$C$46)*(43&lt;Projects!$C$17:$C$46+Projects!$D$17:$D$46)*Projects!$B$17:$B$46*Assumptions!$B$10/Projects!$D$17:$D$46*0.95)+SUMPRODUCT((Projects!$G$17:$G$46="Yes")*(Projects!$X$17:$X$46="Yes")*(43=Projects!$C$17:$C$46+Projects!$D$17:$D$46-1)*Projects!$B$17:$B$46*Assumptions!$B$10*0.05)+SUMPRODUCT((Projects!$G$17:$G$46="Yes")*(Projects!$X$17:$X$46="Yes")*(43&gt;=Projects!$C$17:$C$46)*(43&lt;Projects!$C$17:$C$46+Projects!$D$17:$D$46)*Projects!$B$17:$B$46*Assumptions!$B$11/Projects!$D$17:$D$46*0.95)+SUMPRODUCT((Projects!$G$17:$G$46="Yes")*(Projects!$X$17:$X$46="Yes")*(43=Projects!$C$17:$C$46+Projects!$D$17:$D$46-1)*Projects!$B$17:$B$46*Assumptions!$B$11*0.05)+SUMPRODUCT((Projects!$G$17:$G$46="Yes")*(Projects!$X$17:$X$46="Yes")*(43&gt;=Projects!$C$17:$C$46)*(43&lt;Projects!$C$17:$C$46+Projects!$D$17:$D$46)*Projects!$B$17:$B$46*Assumptions!$B$12/Projects!$D$17:$D$46*0.95)+SUMPRODUCT((Projects!$G$17:$G$46="Yes")*(Projects!$X$17:$X$46="Yes")*(43=Projects!$C$17:$C$46+Projects!$D$17:$D$46-1)*Projects!$B$17:$B$46*Assumptions!$B$12*0.05)</f>
        <v>0</v>
      </c>
      <c r="AW97" s="296" t="n">
        <f aca="false">AW96+SUMPRODUCT((Projects!$G$17:$G$46="Yes")*(Projects!$X$17:$X$46="Yes")*(44&gt;=Projects!$C$17:$C$46)*(44&lt;Projects!$C$17:$C$46+Projects!$D$17:$D$46)*Projects!$B$17:$B$46*Assumptions!$B$10/Projects!$D$17:$D$46*0.95)+SUMPRODUCT((Projects!$G$17:$G$46="Yes")*(Projects!$X$17:$X$46="Yes")*(44=Projects!$C$17:$C$46+Projects!$D$17:$D$46-1)*Projects!$B$17:$B$46*Assumptions!$B$10*0.05)+SUMPRODUCT((Projects!$G$17:$G$46="Yes")*(Projects!$X$17:$X$46="Yes")*(44&gt;=Projects!$C$17:$C$46)*(44&lt;Projects!$C$17:$C$46+Projects!$D$17:$D$46)*Projects!$B$17:$B$46*Assumptions!$B$11/Projects!$D$17:$D$46*0.95)+SUMPRODUCT((Projects!$G$17:$G$46="Yes")*(Projects!$X$17:$X$46="Yes")*(44=Projects!$C$17:$C$46+Projects!$D$17:$D$46-1)*Projects!$B$17:$B$46*Assumptions!$B$11*0.05)+SUMPRODUCT((Projects!$G$17:$G$46="Yes")*(Projects!$X$17:$X$46="Yes")*(44&gt;=Projects!$C$17:$C$46)*(44&lt;Projects!$C$17:$C$46+Projects!$D$17:$D$46)*Projects!$B$17:$B$46*Assumptions!$B$12/Projects!$D$17:$D$46*0.95)+SUMPRODUCT((Projects!$G$17:$G$46="Yes")*(Projects!$X$17:$X$46="Yes")*(44=Projects!$C$17:$C$46+Projects!$D$17:$D$46-1)*Projects!$B$17:$B$46*Assumptions!$B$12*0.05)</f>
        <v>0</v>
      </c>
      <c r="AX97" s="296" t="n">
        <f aca="false">AX96+SUMPRODUCT((Projects!$G$17:$G$46="Yes")*(Projects!$X$17:$X$46="Yes")*(45&gt;=Projects!$C$17:$C$46)*(45&lt;Projects!$C$17:$C$46+Projects!$D$17:$D$46)*Projects!$B$17:$B$46*Assumptions!$B$10/Projects!$D$17:$D$46*0.95)+SUMPRODUCT((Projects!$G$17:$G$46="Yes")*(Projects!$X$17:$X$46="Yes")*(45=Projects!$C$17:$C$46+Projects!$D$17:$D$46-1)*Projects!$B$17:$B$46*Assumptions!$B$10*0.05)+SUMPRODUCT((Projects!$G$17:$G$46="Yes")*(Projects!$X$17:$X$46="Yes")*(45&gt;=Projects!$C$17:$C$46)*(45&lt;Projects!$C$17:$C$46+Projects!$D$17:$D$46)*Projects!$B$17:$B$46*Assumptions!$B$11/Projects!$D$17:$D$46*0.95)+SUMPRODUCT((Projects!$G$17:$G$46="Yes")*(Projects!$X$17:$X$46="Yes")*(45=Projects!$C$17:$C$46+Projects!$D$17:$D$46-1)*Projects!$B$17:$B$46*Assumptions!$B$11*0.05)+SUMPRODUCT((Projects!$G$17:$G$46="Yes")*(Projects!$X$17:$X$46="Yes")*(45&gt;=Projects!$C$17:$C$46)*(45&lt;Projects!$C$17:$C$46+Projects!$D$17:$D$46)*Projects!$B$17:$B$46*Assumptions!$B$12/Projects!$D$17:$D$46*0.95)+SUMPRODUCT((Projects!$G$17:$G$46="Yes")*(Projects!$X$17:$X$46="Yes")*(45=Projects!$C$17:$C$46+Projects!$D$17:$D$46-1)*Projects!$B$17:$B$46*Assumptions!$B$12*0.05)</f>
        <v>0</v>
      </c>
      <c r="AY97" s="296" t="n">
        <f aca="false">AY96+SUMPRODUCT((Projects!$G$17:$G$46="Yes")*(Projects!$X$17:$X$46="Yes")*(46&gt;=Projects!$C$17:$C$46)*(46&lt;Projects!$C$17:$C$46+Projects!$D$17:$D$46)*Projects!$B$17:$B$46*Assumptions!$B$10/Projects!$D$17:$D$46*0.95)+SUMPRODUCT((Projects!$G$17:$G$46="Yes")*(Projects!$X$17:$X$46="Yes")*(46=Projects!$C$17:$C$46+Projects!$D$17:$D$46-1)*Projects!$B$17:$B$46*Assumptions!$B$10*0.05)+SUMPRODUCT((Projects!$G$17:$G$46="Yes")*(Projects!$X$17:$X$46="Yes")*(46&gt;=Projects!$C$17:$C$46)*(46&lt;Projects!$C$17:$C$46+Projects!$D$17:$D$46)*Projects!$B$17:$B$46*Assumptions!$B$11/Projects!$D$17:$D$46*0.95)+SUMPRODUCT((Projects!$G$17:$G$46="Yes")*(Projects!$X$17:$X$46="Yes")*(46=Projects!$C$17:$C$46+Projects!$D$17:$D$46-1)*Projects!$B$17:$B$46*Assumptions!$B$11*0.05)+SUMPRODUCT((Projects!$G$17:$G$46="Yes")*(Projects!$X$17:$X$46="Yes")*(46&gt;=Projects!$C$17:$C$46)*(46&lt;Projects!$C$17:$C$46+Projects!$D$17:$D$46)*Projects!$B$17:$B$46*Assumptions!$B$12/Projects!$D$17:$D$46*0.95)+SUMPRODUCT((Projects!$G$17:$G$46="Yes")*(Projects!$X$17:$X$46="Yes")*(46=Projects!$C$17:$C$46+Projects!$D$17:$D$46-1)*Projects!$B$17:$B$46*Assumptions!$B$12*0.05)</f>
        <v>0</v>
      </c>
      <c r="AZ97" s="296" t="n">
        <f aca="false">AZ96+SUMPRODUCT((Projects!$G$17:$G$46="Yes")*(Projects!$X$17:$X$46="Yes")*(47&gt;=Projects!$C$17:$C$46)*(47&lt;Projects!$C$17:$C$46+Projects!$D$17:$D$46)*Projects!$B$17:$B$46*Assumptions!$B$10/Projects!$D$17:$D$46*0.95)+SUMPRODUCT((Projects!$G$17:$G$46="Yes")*(Projects!$X$17:$X$46="Yes")*(47=Projects!$C$17:$C$46+Projects!$D$17:$D$46-1)*Projects!$B$17:$B$46*Assumptions!$B$10*0.05)+SUMPRODUCT((Projects!$G$17:$G$46="Yes")*(Projects!$X$17:$X$46="Yes")*(47&gt;=Projects!$C$17:$C$46)*(47&lt;Projects!$C$17:$C$46+Projects!$D$17:$D$46)*Projects!$B$17:$B$46*Assumptions!$B$11/Projects!$D$17:$D$46*0.95)+SUMPRODUCT((Projects!$G$17:$G$46="Yes")*(Projects!$X$17:$X$46="Yes")*(47=Projects!$C$17:$C$46+Projects!$D$17:$D$46-1)*Projects!$B$17:$B$46*Assumptions!$B$11*0.05)+SUMPRODUCT((Projects!$G$17:$G$46="Yes")*(Projects!$X$17:$X$46="Yes")*(47&gt;=Projects!$C$17:$C$46)*(47&lt;Projects!$C$17:$C$46+Projects!$D$17:$D$46)*Projects!$B$17:$B$46*Assumptions!$B$12/Projects!$D$17:$D$46*0.95)+SUMPRODUCT((Projects!$G$17:$G$46="Yes")*(Projects!$X$17:$X$46="Yes")*(47=Projects!$C$17:$C$46+Projects!$D$17:$D$46-1)*Projects!$B$17:$B$46*Assumptions!$B$12*0.05)</f>
        <v>0</v>
      </c>
      <c r="BA97" s="296" t="n">
        <f aca="false">BA96+SUMPRODUCT((Projects!$G$17:$G$46="Yes")*(Projects!$X$17:$X$46="Yes")*(48&gt;=Projects!$C$17:$C$46)*(48&lt;Projects!$C$17:$C$46+Projects!$D$17:$D$46)*Projects!$B$17:$B$46*Assumptions!$B$10/Projects!$D$17:$D$46*0.95)+SUMPRODUCT((Projects!$G$17:$G$46="Yes")*(Projects!$X$17:$X$46="Yes")*(48=Projects!$C$17:$C$46+Projects!$D$17:$D$46-1)*Projects!$B$17:$B$46*Assumptions!$B$10*0.05)+SUMPRODUCT((Projects!$G$17:$G$46="Yes")*(Projects!$X$17:$X$46="Yes")*(48&gt;=Projects!$C$17:$C$46)*(48&lt;Projects!$C$17:$C$46+Projects!$D$17:$D$46)*Projects!$B$17:$B$46*Assumptions!$B$11/Projects!$D$17:$D$46*0.95)+SUMPRODUCT((Projects!$G$17:$G$46="Yes")*(Projects!$X$17:$X$46="Yes")*(48=Projects!$C$17:$C$46+Projects!$D$17:$D$46-1)*Projects!$B$17:$B$46*Assumptions!$B$11*0.05)+SUMPRODUCT((Projects!$G$17:$G$46="Yes")*(Projects!$X$17:$X$46="Yes")*(48&gt;=Projects!$C$17:$C$46)*(48&lt;Projects!$C$17:$C$46+Projects!$D$17:$D$46)*Projects!$B$17:$B$46*Assumptions!$B$12/Projects!$D$17:$D$46*0.95)+SUMPRODUCT((Projects!$G$17:$G$46="Yes")*(Projects!$X$17:$X$46="Yes")*(48=Projects!$C$17:$C$46+Projects!$D$17:$D$46-1)*Projects!$B$17:$B$46*Assumptions!$B$12*0.05)</f>
        <v>0</v>
      </c>
      <c r="BB97" s="296" t="n">
        <f aca="false">BB96+SUMPRODUCT((Projects!$G$17:$G$46="Yes")*(Projects!$X$17:$X$46="Yes")*(49&gt;=Projects!$C$17:$C$46)*(49&lt;Projects!$C$17:$C$46+Projects!$D$17:$D$46)*Projects!$B$17:$B$46*Assumptions!$B$10/Projects!$D$17:$D$46*0.95)+SUMPRODUCT((Projects!$G$17:$G$46="Yes")*(Projects!$X$17:$X$46="Yes")*(49=Projects!$C$17:$C$46+Projects!$D$17:$D$46-1)*Projects!$B$17:$B$46*Assumptions!$B$10*0.05)+SUMPRODUCT((Projects!$G$17:$G$46="Yes")*(Projects!$X$17:$X$46="Yes")*(49&gt;=Projects!$C$17:$C$46)*(49&lt;Projects!$C$17:$C$46+Projects!$D$17:$D$46)*Projects!$B$17:$B$46*Assumptions!$B$11/Projects!$D$17:$D$46*0.95)+SUMPRODUCT((Projects!$G$17:$G$46="Yes")*(Projects!$X$17:$X$46="Yes")*(49=Projects!$C$17:$C$46+Projects!$D$17:$D$46-1)*Projects!$B$17:$B$46*Assumptions!$B$11*0.05)+SUMPRODUCT((Projects!$G$17:$G$46="Yes")*(Projects!$X$17:$X$46="Yes")*(49&gt;=Projects!$C$17:$C$46)*(49&lt;Projects!$C$17:$C$46+Projects!$D$17:$D$46)*Projects!$B$17:$B$46*Assumptions!$B$12/Projects!$D$17:$D$46*0.95)+SUMPRODUCT((Projects!$G$17:$G$46="Yes")*(Projects!$X$17:$X$46="Yes")*(49=Projects!$C$17:$C$46+Projects!$D$17:$D$46-1)*Projects!$B$17:$B$46*Assumptions!$B$12*0.05)</f>
        <v>0</v>
      </c>
      <c r="BC97" s="296" t="n">
        <f aca="false">BC96+SUMPRODUCT((Projects!$G$17:$G$46="Yes")*(Projects!$X$17:$X$46="Yes")*(50&gt;=Projects!$C$17:$C$46)*(50&lt;Projects!$C$17:$C$46+Projects!$D$17:$D$46)*Projects!$B$17:$B$46*Assumptions!$B$10/Projects!$D$17:$D$46*0.95)+SUMPRODUCT((Projects!$G$17:$G$46="Yes")*(Projects!$X$17:$X$46="Yes")*(50=Projects!$C$17:$C$46+Projects!$D$17:$D$46-1)*Projects!$B$17:$B$46*Assumptions!$B$10*0.05)+SUMPRODUCT((Projects!$G$17:$G$46="Yes")*(Projects!$X$17:$X$46="Yes")*(50&gt;=Projects!$C$17:$C$46)*(50&lt;Projects!$C$17:$C$46+Projects!$D$17:$D$46)*Projects!$B$17:$B$46*Assumptions!$B$11/Projects!$D$17:$D$46*0.95)+SUMPRODUCT((Projects!$G$17:$G$46="Yes")*(Projects!$X$17:$X$46="Yes")*(50=Projects!$C$17:$C$46+Projects!$D$17:$D$46-1)*Projects!$B$17:$B$46*Assumptions!$B$11*0.05)+SUMPRODUCT((Projects!$G$17:$G$46="Yes")*(Projects!$X$17:$X$46="Yes")*(50&gt;=Projects!$C$17:$C$46)*(50&lt;Projects!$C$17:$C$46+Projects!$D$17:$D$46)*Projects!$B$17:$B$46*Assumptions!$B$12/Projects!$D$17:$D$46*0.95)+SUMPRODUCT((Projects!$G$17:$G$46="Yes")*(Projects!$X$17:$X$46="Yes")*(50=Projects!$C$17:$C$46+Projects!$D$17:$D$46-1)*Projects!$B$17:$B$46*Assumptions!$B$12*0.05)</f>
        <v>0</v>
      </c>
      <c r="BD97" s="296" t="n">
        <f aca="false">BD96+SUMPRODUCT((Projects!$G$17:$G$46="Yes")*(Projects!$X$17:$X$46="Yes")*(51&gt;=Projects!$C$17:$C$46)*(51&lt;Projects!$C$17:$C$46+Projects!$D$17:$D$46)*Projects!$B$17:$B$46*Assumptions!$B$10/Projects!$D$17:$D$46*0.95)+SUMPRODUCT((Projects!$G$17:$G$46="Yes")*(Projects!$X$17:$X$46="Yes")*(51=Projects!$C$17:$C$46+Projects!$D$17:$D$46-1)*Projects!$B$17:$B$46*Assumptions!$B$10*0.05)+SUMPRODUCT((Projects!$G$17:$G$46="Yes")*(Projects!$X$17:$X$46="Yes")*(51&gt;=Projects!$C$17:$C$46)*(51&lt;Projects!$C$17:$C$46+Projects!$D$17:$D$46)*Projects!$B$17:$B$46*Assumptions!$B$11/Projects!$D$17:$D$46*0.95)+SUMPRODUCT((Projects!$G$17:$G$46="Yes")*(Projects!$X$17:$X$46="Yes")*(51=Projects!$C$17:$C$46+Projects!$D$17:$D$46-1)*Projects!$B$17:$B$46*Assumptions!$B$11*0.05)+SUMPRODUCT((Projects!$G$17:$G$46="Yes")*(Projects!$X$17:$X$46="Yes")*(51&gt;=Projects!$C$17:$C$46)*(51&lt;Projects!$C$17:$C$46+Projects!$D$17:$D$46)*Projects!$B$17:$B$46*Assumptions!$B$12/Projects!$D$17:$D$46*0.95)+SUMPRODUCT((Projects!$G$17:$G$46="Yes")*(Projects!$X$17:$X$46="Yes")*(51=Projects!$C$17:$C$46+Projects!$D$17:$D$46-1)*Projects!$B$17:$B$46*Assumptions!$B$12*0.05)</f>
        <v>0</v>
      </c>
      <c r="BE97" s="296" t="n">
        <f aca="false">BE96+SUMPRODUCT((Projects!$G$17:$G$46="Yes")*(Projects!$X$17:$X$46="Yes")*(52&gt;=Projects!$C$17:$C$46)*(52&lt;Projects!$C$17:$C$46+Projects!$D$17:$D$46)*Projects!$B$17:$B$46*Assumptions!$B$10/Projects!$D$17:$D$46*0.95)+SUMPRODUCT((Projects!$G$17:$G$46="Yes")*(Projects!$X$17:$X$46="Yes")*(52=Projects!$C$17:$C$46+Projects!$D$17:$D$46-1)*Projects!$B$17:$B$46*Assumptions!$B$10*0.05)+SUMPRODUCT((Projects!$G$17:$G$46="Yes")*(Projects!$X$17:$X$46="Yes")*(52&gt;=Projects!$C$17:$C$46)*(52&lt;Projects!$C$17:$C$46+Projects!$D$17:$D$46)*Projects!$B$17:$B$46*Assumptions!$B$11/Projects!$D$17:$D$46*0.95)+SUMPRODUCT((Projects!$G$17:$G$46="Yes")*(Projects!$X$17:$X$46="Yes")*(52=Projects!$C$17:$C$46+Projects!$D$17:$D$46-1)*Projects!$B$17:$B$46*Assumptions!$B$11*0.05)+SUMPRODUCT((Projects!$G$17:$G$46="Yes")*(Projects!$X$17:$X$46="Yes")*(52&gt;=Projects!$C$17:$C$46)*(52&lt;Projects!$C$17:$C$46+Projects!$D$17:$D$46)*Projects!$B$17:$B$46*Assumptions!$B$12/Projects!$D$17:$D$46*0.95)+SUMPRODUCT((Projects!$G$17:$G$46="Yes")*(Projects!$X$17:$X$46="Yes")*(52=Projects!$C$17:$C$46+Projects!$D$17:$D$46-1)*Projects!$B$17:$B$46*Assumptions!$B$12*0.05)</f>
        <v>0</v>
      </c>
      <c r="BF97" s="296" t="n">
        <f aca="false">BF96+SUMPRODUCT((Projects!$G$17:$G$46="Yes")*(Projects!$X$17:$X$46="Yes")*(53&gt;=Projects!$C$17:$C$46)*(53&lt;Projects!$C$17:$C$46+Projects!$D$17:$D$46)*Projects!$B$17:$B$46*Assumptions!$B$10/Projects!$D$17:$D$46*0.95)+SUMPRODUCT((Projects!$G$17:$G$46="Yes")*(Projects!$X$17:$X$46="Yes")*(53=Projects!$C$17:$C$46+Projects!$D$17:$D$46-1)*Projects!$B$17:$B$46*Assumptions!$B$10*0.05)+SUMPRODUCT((Projects!$G$17:$G$46="Yes")*(Projects!$X$17:$X$46="Yes")*(53&gt;=Projects!$C$17:$C$46)*(53&lt;Projects!$C$17:$C$46+Projects!$D$17:$D$46)*Projects!$B$17:$B$46*Assumptions!$B$11/Projects!$D$17:$D$46*0.95)+SUMPRODUCT((Projects!$G$17:$G$46="Yes")*(Projects!$X$17:$X$46="Yes")*(53=Projects!$C$17:$C$46+Projects!$D$17:$D$46-1)*Projects!$B$17:$B$46*Assumptions!$B$11*0.05)+SUMPRODUCT((Projects!$G$17:$G$46="Yes")*(Projects!$X$17:$X$46="Yes")*(53&gt;=Projects!$C$17:$C$46)*(53&lt;Projects!$C$17:$C$46+Projects!$D$17:$D$46)*Projects!$B$17:$B$46*Assumptions!$B$12/Projects!$D$17:$D$46*0.95)+SUMPRODUCT((Projects!$G$17:$G$46="Yes")*(Projects!$X$17:$X$46="Yes")*(53=Projects!$C$17:$C$46+Projects!$D$17:$D$46-1)*Projects!$B$17:$B$46*Assumptions!$B$12*0.05)</f>
        <v>0</v>
      </c>
      <c r="BG97" s="296" t="n">
        <f aca="false">BG96+SUMPRODUCT((Projects!$G$17:$G$46="Yes")*(Projects!$X$17:$X$46="Yes")*(54&gt;=Projects!$C$17:$C$46)*(54&lt;Projects!$C$17:$C$46+Projects!$D$17:$D$46)*Projects!$B$17:$B$46*Assumptions!$B$10/Projects!$D$17:$D$46*0.95)+SUMPRODUCT((Projects!$G$17:$G$46="Yes")*(Projects!$X$17:$X$46="Yes")*(54=Projects!$C$17:$C$46+Projects!$D$17:$D$46-1)*Projects!$B$17:$B$46*Assumptions!$B$10*0.05)+SUMPRODUCT((Projects!$G$17:$G$46="Yes")*(Projects!$X$17:$X$46="Yes")*(54&gt;=Projects!$C$17:$C$46)*(54&lt;Projects!$C$17:$C$46+Projects!$D$17:$D$46)*Projects!$B$17:$B$46*Assumptions!$B$11/Projects!$D$17:$D$46*0.95)+SUMPRODUCT((Projects!$G$17:$G$46="Yes")*(Projects!$X$17:$X$46="Yes")*(54=Projects!$C$17:$C$46+Projects!$D$17:$D$46-1)*Projects!$B$17:$B$46*Assumptions!$B$11*0.05)+SUMPRODUCT((Projects!$G$17:$G$46="Yes")*(Projects!$X$17:$X$46="Yes")*(54&gt;=Projects!$C$17:$C$46)*(54&lt;Projects!$C$17:$C$46+Projects!$D$17:$D$46)*Projects!$B$17:$B$46*Assumptions!$B$12/Projects!$D$17:$D$46*0.95)+SUMPRODUCT((Projects!$G$17:$G$46="Yes")*(Projects!$X$17:$X$46="Yes")*(54=Projects!$C$17:$C$46+Projects!$D$17:$D$46-1)*Projects!$B$17:$B$46*Assumptions!$B$12*0.05)</f>
        <v>0</v>
      </c>
      <c r="BH97" s="296" t="n">
        <f aca="false">BH96+SUMPRODUCT((Projects!$G$17:$G$46="Yes")*(Projects!$X$17:$X$46="Yes")*(55&gt;=Projects!$C$17:$C$46)*(55&lt;Projects!$C$17:$C$46+Projects!$D$17:$D$46)*Projects!$B$17:$B$46*Assumptions!$B$10/Projects!$D$17:$D$46*0.95)+SUMPRODUCT((Projects!$G$17:$G$46="Yes")*(Projects!$X$17:$X$46="Yes")*(55=Projects!$C$17:$C$46+Projects!$D$17:$D$46-1)*Projects!$B$17:$B$46*Assumptions!$B$10*0.05)+SUMPRODUCT((Projects!$G$17:$G$46="Yes")*(Projects!$X$17:$X$46="Yes")*(55&gt;=Projects!$C$17:$C$46)*(55&lt;Projects!$C$17:$C$46+Projects!$D$17:$D$46)*Projects!$B$17:$B$46*Assumptions!$B$11/Projects!$D$17:$D$46*0.95)+SUMPRODUCT((Projects!$G$17:$G$46="Yes")*(Projects!$X$17:$X$46="Yes")*(55=Projects!$C$17:$C$46+Projects!$D$17:$D$46-1)*Projects!$B$17:$B$46*Assumptions!$B$11*0.05)+SUMPRODUCT((Projects!$G$17:$G$46="Yes")*(Projects!$X$17:$X$46="Yes")*(55&gt;=Projects!$C$17:$C$46)*(55&lt;Projects!$C$17:$C$46+Projects!$D$17:$D$46)*Projects!$B$17:$B$46*Assumptions!$B$12/Projects!$D$17:$D$46*0.95)+SUMPRODUCT((Projects!$G$17:$G$46="Yes")*(Projects!$X$17:$X$46="Yes")*(55=Projects!$C$17:$C$46+Projects!$D$17:$D$46-1)*Projects!$B$17:$B$46*Assumptions!$B$12*0.05)</f>
        <v>0</v>
      </c>
      <c r="BI97" s="296" t="n">
        <f aca="false">BI96+SUMPRODUCT((Projects!$G$17:$G$46="Yes")*(Projects!$X$17:$X$46="Yes")*(56&gt;=Projects!$C$17:$C$46)*(56&lt;Projects!$C$17:$C$46+Projects!$D$17:$D$46)*Projects!$B$17:$B$46*Assumptions!$B$10/Projects!$D$17:$D$46*0.95)+SUMPRODUCT((Projects!$G$17:$G$46="Yes")*(Projects!$X$17:$X$46="Yes")*(56=Projects!$C$17:$C$46+Projects!$D$17:$D$46-1)*Projects!$B$17:$B$46*Assumptions!$B$10*0.05)+SUMPRODUCT((Projects!$G$17:$G$46="Yes")*(Projects!$X$17:$X$46="Yes")*(56&gt;=Projects!$C$17:$C$46)*(56&lt;Projects!$C$17:$C$46+Projects!$D$17:$D$46)*Projects!$B$17:$B$46*Assumptions!$B$11/Projects!$D$17:$D$46*0.95)+SUMPRODUCT((Projects!$G$17:$G$46="Yes")*(Projects!$X$17:$X$46="Yes")*(56=Projects!$C$17:$C$46+Projects!$D$17:$D$46-1)*Projects!$B$17:$B$46*Assumptions!$B$11*0.05)+SUMPRODUCT((Projects!$G$17:$G$46="Yes")*(Projects!$X$17:$X$46="Yes")*(56&gt;=Projects!$C$17:$C$46)*(56&lt;Projects!$C$17:$C$46+Projects!$D$17:$D$46)*Projects!$B$17:$B$46*Assumptions!$B$12/Projects!$D$17:$D$46*0.95)+SUMPRODUCT((Projects!$G$17:$G$46="Yes")*(Projects!$X$17:$X$46="Yes")*(56=Projects!$C$17:$C$46+Projects!$D$17:$D$46-1)*Projects!$B$17:$B$46*Assumptions!$B$12*0.05)</f>
        <v>0</v>
      </c>
      <c r="BJ97" s="296" t="n">
        <f aca="false">BJ96+SUMPRODUCT((Projects!$G$17:$G$46="Yes")*(Projects!$X$17:$X$46="Yes")*(57&gt;=Projects!$C$17:$C$46)*(57&lt;Projects!$C$17:$C$46+Projects!$D$17:$D$46)*Projects!$B$17:$B$46*Assumptions!$B$10/Projects!$D$17:$D$46*0.95)+SUMPRODUCT((Projects!$G$17:$G$46="Yes")*(Projects!$X$17:$X$46="Yes")*(57=Projects!$C$17:$C$46+Projects!$D$17:$D$46-1)*Projects!$B$17:$B$46*Assumptions!$B$10*0.05)+SUMPRODUCT((Projects!$G$17:$G$46="Yes")*(Projects!$X$17:$X$46="Yes")*(57&gt;=Projects!$C$17:$C$46)*(57&lt;Projects!$C$17:$C$46+Projects!$D$17:$D$46)*Projects!$B$17:$B$46*Assumptions!$B$11/Projects!$D$17:$D$46*0.95)+SUMPRODUCT((Projects!$G$17:$G$46="Yes")*(Projects!$X$17:$X$46="Yes")*(57=Projects!$C$17:$C$46+Projects!$D$17:$D$46-1)*Projects!$B$17:$B$46*Assumptions!$B$11*0.05)+SUMPRODUCT((Projects!$G$17:$G$46="Yes")*(Projects!$X$17:$X$46="Yes")*(57&gt;=Projects!$C$17:$C$46)*(57&lt;Projects!$C$17:$C$46+Projects!$D$17:$D$46)*Projects!$B$17:$B$46*Assumptions!$B$12/Projects!$D$17:$D$46*0.95)+SUMPRODUCT((Projects!$G$17:$G$46="Yes")*(Projects!$X$17:$X$46="Yes")*(57=Projects!$C$17:$C$46+Projects!$D$17:$D$46-1)*Projects!$B$17:$B$46*Assumptions!$B$12*0.05)</f>
        <v>0</v>
      </c>
      <c r="BK97" s="296" t="n">
        <f aca="false">BK96+SUMPRODUCT((Projects!$G$17:$G$46="Yes")*(Projects!$X$17:$X$46="Yes")*(58&gt;=Projects!$C$17:$C$46)*(58&lt;Projects!$C$17:$C$46+Projects!$D$17:$D$46)*Projects!$B$17:$B$46*Assumptions!$B$10/Projects!$D$17:$D$46*0.95)+SUMPRODUCT((Projects!$G$17:$G$46="Yes")*(Projects!$X$17:$X$46="Yes")*(58=Projects!$C$17:$C$46+Projects!$D$17:$D$46-1)*Projects!$B$17:$B$46*Assumptions!$B$10*0.05)+SUMPRODUCT((Projects!$G$17:$G$46="Yes")*(Projects!$X$17:$X$46="Yes")*(58&gt;=Projects!$C$17:$C$46)*(58&lt;Projects!$C$17:$C$46+Projects!$D$17:$D$46)*Projects!$B$17:$B$46*Assumptions!$B$11/Projects!$D$17:$D$46*0.95)+SUMPRODUCT((Projects!$G$17:$G$46="Yes")*(Projects!$X$17:$X$46="Yes")*(58=Projects!$C$17:$C$46+Projects!$D$17:$D$46-1)*Projects!$B$17:$B$46*Assumptions!$B$11*0.05)+SUMPRODUCT((Projects!$G$17:$G$46="Yes")*(Projects!$X$17:$X$46="Yes")*(58&gt;=Projects!$C$17:$C$46)*(58&lt;Projects!$C$17:$C$46+Projects!$D$17:$D$46)*Projects!$B$17:$B$46*Assumptions!$B$12/Projects!$D$17:$D$46*0.95)+SUMPRODUCT((Projects!$G$17:$G$46="Yes")*(Projects!$X$17:$X$46="Yes")*(58=Projects!$C$17:$C$46+Projects!$D$17:$D$46-1)*Projects!$B$17:$B$46*Assumptions!$B$12*0.05)</f>
        <v>0</v>
      </c>
      <c r="BL97" s="296" t="n">
        <f aca="false">BL96+SUMPRODUCT((Projects!$G$17:$G$46="Yes")*(Projects!$X$17:$X$46="Yes")*(59&gt;=Projects!$C$17:$C$46)*(59&lt;Projects!$C$17:$C$46+Projects!$D$17:$D$46)*Projects!$B$17:$B$46*Assumptions!$B$10/Projects!$D$17:$D$46*0.95)+SUMPRODUCT((Projects!$G$17:$G$46="Yes")*(Projects!$X$17:$X$46="Yes")*(59=Projects!$C$17:$C$46+Projects!$D$17:$D$46-1)*Projects!$B$17:$B$46*Assumptions!$B$10*0.05)+SUMPRODUCT((Projects!$G$17:$G$46="Yes")*(Projects!$X$17:$X$46="Yes")*(59&gt;=Projects!$C$17:$C$46)*(59&lt;Projects!$C$17:$C$46+Projects!$D$17:$D$46)*Projects!$B$17:$B$46*Assumptions!$B$11/Projects!$D$17:$D$46*0.95)+SUMPRODUCT((Projects!$G$17:$G$46="Yes")*(Projects!$X$17:$X$46="Yes")*(59=Projects!$C$17:$C$46+Projects!$D$17:$D$46-1)*Projects!$B$17:$B$46*Assumptions!$B$11*0.05)+SUMPRODUCT((Projects!$G$17:$G$46="Yes")*(Projects!$X$17:$X$46="Yes")*(59&gt;=Projects!$C$17:$C$46)*(59&lt;Projects!$C$17:$C$46+Projects!$D$17:$D$46)*Projects!$B$17:$B$46*Assumptions!$B$12/Projects!$D$17:$D$46*0.95)+SUMPRODUCT((Projects!$G$17:$G$46="Yes")*(Projects!$X$17:$X$46="Yes")*(59=Projects!$C$17:$C$46+Projects!$D$17:$D$46-1)*Projects!$B$17:$B$46*Assumptions!$B$12*0.05)</f>
        <v>0</v>
      </c>
      <c r="BM97" s="296" t="n">
        <f aca="false">BM96+SUMPRODUCT((Projects!$G$17:$G$46="Yes")*(Projects!$X$17:$X$46="Yes")*(60&gt;=Projects!$C$17:$C$46)*(60&lt;Projects!$C$17:$C$46+Projects!$D$17:$D$46)*Projects!$B$17:$B$46*Assumptions!$B$10/Projects!$D$17:$D$46*0.95)+SUMPRODUCT((Projects!$G$17:$G$46="Yes")*(Projects!$X$17:$X$46="Yes")*(60=Projects!$C$17:$C$46+Projects!$D$17:$D$46-1)*Projects!$B$17:$B$46*Assumptions!$B$10*0.05)+SUMPRODUCT((Projects!$G$17:$G$46="Yes")*(Projects!$X$17:$X$46="Yes")*(60&gt;=Projects!$C$17:$C$46)*(60&lt;Projects!$C$17:$C$46+Projects!$D$17:$D$46)*Projects!$B$17:$B$46*Assumptions!$B$11/Projects!$D$17:$D$46*0.95)+SUMPRODUCT((Projects!$G$17:$G$46="Yes")*(Projects!$X$17:$X$46="Yes")*(60=Projects!$C$17:$C$46+Projects!$D$17:$D$46-1)*Projects!$B$17:$B$46*Assumptions!$B$11*0.05)+SUMPRODUCT((Projects!$G$17:$G$46="Yes")*(Projects!$X$17:$X$46="Yes")*(60&gt;=Projects!$C$17:$C$46)*(60&lt;Projects!$C$17:$C$46+Projects!$D$17:$D$46)*Projects!$B$17:$B$46*Assumptions!$B$12/Projects!$D$17:$D$46*0.95)+SUMPRODUCT((Projects!$G$17:$G$46="Yes")*(Projects!$X$17:$X$46="Yes")*(60=Projects!$C$17:$C$46+Projects!$D$17:$D$46-1)*Projects!$B$17:$B$46*Assumptions!$B$12*0.05)</f>
        <v>0</v>
      </c>
      <c r="BN97" s="296" t="n">
        <f aca="false">BN96+SUMPRODUCT((Projects!$G$17:$G$46="Yes")*(Projects!$X$17:$X$46="Yes")*(61&gt;=Projects!$C$17:$C$46)*(61&lt;Projects!$C$17:$C$46+Projects!$D$17:$D$46)*Projects!$B$17:$B$46*Assumptions!$B$10/Projects!$D$17:$D$46*0.95)+SUMPRODUCT((Projects!$G$17:$G$46="Yes")*(Projects!$X$17:$X$46="Yes")*(61=Projects!$C$17:$C$46+Projects!$D$17:$D$46-1)*Projects!$B$17:$B$46*Assumptions!$B$10*0.05)+SUMPRODUCT((Projects!$G$17:$G$46="Yes")*(Projects!$X$17:$X$46="Yes")*(61&gt;=Projects!$C$17:$C$46)*(61&lt;Projects!$C$17:$C$46+Projects!$D$17:$D$46)*Projects!$B$17:$B$46*Assumptions!$B$11/Projects!$D$17:$D$46*0.95)+SUMPRODUCT((Projects!$G$17:$G$46="Yes")*(Projects!$X$17:$X$46="Yes")*(61=Projects!$C$17:$C$46+Projects!$D$17:$D$46-1)*Projects!$B$17:$B$46*Assumptions!$B$11*0.05)+SUMPRODUCT((Projects!$G$17:$G$46="Yes")*(Projects!$X$17:$X$46="Yes")*(61&gt;=Projects!$C$17:$C$46)*(61&lt;Projects!$C$17:$C$46+Projects!$D$17:$D$46)*Projects!$B$17:$B$46*Assumptions!$B$12/Projects!$D$17:$D$46*0.95)+SUMPRODUCT((Projects!$G$17:$G$46="Yes")*(Projects!$X$17:$X$46="Yes")*(61=Projects!$C$17:$C$46+Projects!$D$17:$D$46-1)*Projects!$B$17:$B$46*Assumptions!$B$12*0.05)</f>
        <v>0</v>
      </c>
      <c r="BO97" s="296" t="n">
        <f aca="false">BO96+SUMPRODUCT((Projects!$G$17:$G$46="Yes")*(Projects!$X$17:$X$46="Yes")*(62&gt;=Projects!$C$17:$C$46)*(62&lt;Projects!$C$17:$C$46+Projects!$D$17:$D$46)*Projects!$B$17:$B$46*Assumptions!$B$10/Projects!$D$17:$D$46*0.95)+SUMPRODUCT((Projects!$G$17:$G$46="Yes")*(Projects!$X$17:$X$46="Yes")*(62=Projects!$C$17:$C$46+Projects!$D$17:$D$46-1)*Projects!$B$17:$B$46*Assumptions!$B$10*0.05)+SUMPRODUCT((Projects!$G$17:$G$46="Yes")*(Projects!$X$17:$X$46="Yes")*(62&gt;=Projects!$C$17:$C$46)*(62&lt;Projects!$C$17:$C$46+Projects!$D$17:$D$46)*Projects!$B$17:$B$46*Assumptions!$B$11/Projects!$D$17:$D$46*0.95)+SUMPRODUCT((Projects!$G$17:$G$46="Yes")*(Projects!$X$17:$X$46="Yes")*(62=Projects!$C$17:$C$46+Projects!$D$17:$D$46-1)*Projects!$B$17:$B$46*Assumptions!$B$11*0.05)+SUMPRODUCT((Projects!$G$17:$G$46="Yes")*(Projects!$X$17:$X$46="Yes")*(62&gt;=Projects!$C$17:$C$46)*(62&lt;Projects!$C$17:$C$46+Projects!$D$17:$D$46)*Projects!$B$17:$B$46*Assumptions!$B$12/Projects!$D$17:$D$46*0.95)+SUMPRODUCT((Projects!$G$17:$G$46="Yes")*(Projects!$X$17:$X$46="Yes")*(62=Projects!$C$17:$C$46+Projects!$D$17:$D$46-1)*Projects!$B$17:$B$46*Assumptions!$B$12*0.05)</f>
        <v>0</v>
      </c>
      <c r="BP97" s="296" t="n">
        <f aca="false">BP96+SUMPRODUCT((Projects!$G$17:$G$46="Yes")*(Projects!$X$17:$X$46="Yes")*(63&gt;=Projects!$C$17:$C$46)*(63&lt;Projects!$C$17:$C$46+Projects!$D$17:$D$46)*Projects!$B$17:$B$46*Assumptions!$B$10/Projects!$D$17:$D$46*0.95)+SUMPRODUCT((Projects!$G$17:$G$46="Yes")*(Projects!$X$17:$X$46="Yes")*(63=Projects!$C$17:$C$46+Projects!$D$17:$D$46-1)*Projects!$B$17:$B$46*Assumptions!$B$10*0.05)+SUMPRODUCT((Projects!$G$17:$G$46="Yes")*(Projects!$X$17:$X$46="Yes")*(63&gt;=Projects!$C$17:$C$46)*(63&lt;Projects!$C$17:$C$46+Projects!$D$17:$D$46)*Projects!$B$17:$B$46*Assumptions!$B$11/Projects!$D$17:$D$46*0.95)+SUMPRODUCT((Projects!$G$17:$G$46="Yes")*(Projects!$X$17:$X$46="Yes")*(63=Projects!$C$17:$C$46+Projects!$D$17:$D$46-1)*Projects!$B$17:$B$46*Assumptions!$B$11*0.05)+SUMPRODUCT((Projects!$G$17:$G$46="Yes")*(Projects!$X$17:$X$46="Yes")*(63&gt;=Projects!$C$17:$C$46)*(63&lt;Projects!$C$17:$C$46+Projects!$D$17:$D$46)*Projects!$B$17:$B$46*Assumptions!$B$12/Projects!$D$17:$D$46*0.95)+SUMPRODUCT((Projects!$G$17:$G$46="Yes")*(Projects!$X$17:$X$46="Yes")*(63=Projects!$C$17:$C$46+Projects!$D$17:$D$46-1)*Projects!$B$17:$B$46*Assumptions!$B$12*0.05)</f>
        <v>0</v>
      </c>
      <c r="BQ97" s="296" t="n">
        <f aca="false">BQ96+SUMPRODUCT((Projects!$G$17:$G$46="Yes")*(Projects!$X$17:$X$46="Yes")*(64&gt;=Projects!$C$17:$C$46)*(64&lt;Projects!$C$17:$C$46+Projects!$D$17:$D$46)*Projects!$B$17:$B$46*Assumptions!$B$10/Projects!$D$17:$D$46*0.95)+SUMPRODUCT((Projects!$G$17:$G$46="Yes")*(Projects!$X$17:$X$46="Yes")*(64=Projects!$C$17:$C$46+Projects!$D$17:$D$46-1)*Projects!$B$17:$B$46*Assumptions!$B$10*0.05)+SUMPRODUCT((Projects!$G$17:$G$46="Yes")*(Projects!$X$17:$X$46="Yes")*(64&gt;=Projects!$C$17:$C$46)*(64&lt;Projects!$C$17:$C$46+Projects!$D$17:$D$46)*Projects!$B$17:$B$46*Assumptions!$B$11/Projects!$D$17:$D$46*0.95)+SUMPRODUCT((Projects!$G$17:$G$46="Yes")*(Projects!$X$17:$X$46="Yes")*(64=Projects!$C$17:$C$46+Projects!$D$17:$D$46-1)*Projects!$B$17:$B$46*Assumptions!$B$11*0.05)+SUMPRODUCT((Projects!$G$17:$G$46="Yes")*(Projects!$X$17:$X$46="Yes")*(64&gt;=Projects!$C$17:$C$46)*(64&lt;Projects!$C$17:$C$46+Projects!$D$17:$D$46)*Projects!$B$17:$B$46*Assumptions!$B$12/Projects!$D$17:$D$46*0.95)+SUMPRODUCT((Projects!$G$17:$G$46="Yes")*(Projects!$X$17:$X$46="Yes")*(64=Projects!$C$17:$C$46+Projects!$D$17:$D$46-1)*Projects!$B$17:$B$46*Assumptions!$B$12*0.05)</f>
        <v>0</v>
      </c>
      <c r="BR97" s="296" t="n">
        <f aca="false">BR96+SUMPRODUCT((Projects!$G$17:$G$46="Yes")*(Projects!$X$17:$X$46="Yes")*(65&gt;=Projects!$C$17:$C$46)*(65&lt;Projects!$C$17:$C$46+Projects!$D$17:$D$46)*Projects!$B$17:$B$46*Assumptions!$B$10/Projects!$D$17:$D$46*0.95)+SUMPRODUCT((Projects!$G$17:$G$46="Yes")*(Projects!$X$17:$X$46="Yes")*(65=Projects!$C$17:$C$46+Projects!$D$17:$D$46-1)*Projects!$B$17:$B$46*Assumptions!$B$10*0.05)+SUMPRODUCT((Projects!$G$17:$G$46="Yes")*(Projects!$X$17:$X$46="Yes")*(65&gt;=Projects!$C$17:$C$46)*(65&lt;Projects!$C$17:$C$46+Projects!$D$17:$D$46)*Projects!$B$17:$B$46*Assumptions!$B$11/Projects!$D$17:$D$46*0.95)+SUMPRODUCT((Projects!$G$17:$G$46="Yes")*(Projects!$X$17:$X$46="Yes")*(65=Projects!$C$17:$C$46+Projects!$D$17:$D$46-1)*Projects!$B$17:$B$46*Assumptions!$B$11*0.05)+SUMPRODUCT((Projects!$G$17:$G$46="Yes")*(Projects!$X$17:$X$46="Yes")*(65&gt;=Projects!$C$17:$C$46)*(65&lt;Projects!$C$17:$C$46+Projects!$D$17:$D$46)*Projects!$B$17:$B$46*Assumptions!$B$12/Projects!$D$17:$D$46*0.95)+SUMPRODUCT((Projects!$G$17:$G$46="Yes")*(Projects!$X$17:$X$46="Yes")*(65=Projects!$C$17:$C$46+Projects!$D$17:$D$46-1)*Projects!$B$17:$B$46*Assumptions!$B$12*0.05)</f>
        <v>0</v>
      </c>
      <c r="BS97" s="296" t="n">
        <f aca="false">BS96+SUMPRODUCT((Projects!$G$17:$G$46="Yes")*(Projects!$X$17:$X$46="Yes")*(66&gt;=Projects!$C$17:$C$46)*(66&lt;Projects!$C$17:$C$46+Projects!$D$17:$D$46)*Projects!$B$17:$B$46*Assumptions!$B$10/Projects!$D$17:$D$46*0.95)+SUMPRODUCT((Projects!$G$17:$G$46="Yes")*(Projects!$X$17:$X$46="Yes")*(66=Projects!$C$17:$C$46+Projects!$D$17:$D$46-1)*Projects!$B$17:$B$46*Assumptions!$B$10*0.05)+SUMPRODUCT((Projects!$G$17:$G$46="Yes")*(Projects!$X$17:$X$46="Yes")*(66&gt;=Projects!$C$17:$C$46)*(66&lt;Projects!$C$17:$C$46+Projects!$D$17:$D$46)*Projects!$B$17:$B$46*Assumptions!$B$11/Projects!$D$17:$D$46*0.95)+SUMPRODUCT((Projects!$G$17:$G$46="Yes")*(Projects!$X$17:$X$46="Yes")*(66=Projects!$C$17:$C$46+Projects!$D$17:$D$46-1)*Projects!$B$17:$B$46*Assumptions!$B$11*0.05)+SUMPRODUCT((Projects!$G$17:$G$46="Yes")*(Projects!$X$17:$X$46="Yes")*(66&gt;=Projects!$C$17:$C$46)*(66&lt;Projects!$C$17:$C$46+Projects!$D$17:$D$46)*Projects!$B$17:$B$46*Assumptions!$B$12/Projects!$D$17:$D$46*0.95)+SUMPRODUCT((Projects!$G$17:$G$46="Yes")*(Projects!$X$17:$X$46="Yes")*(66=Projects!$C$17:$C$46+Projects!$D$17:$D$46-1)*Projects!$B$17:$B$46*Assumptions!$B$12*0.05)</f>
        <v>0</v>
      </c>
      <c r="BT97" s="296" t="n">
        <f aca="false">BT96+SUMPRODUCT((Projects!$G$17:$G$46="Yes")*(Projects!$X$17:$X$46="Yes")*(67&gt;=Projects!$C$17:$C$46)*(67&lt;Projects!$C$17:$C$46+Projects!$D$17:$D$46)*Projects!$B$17:$B$46*Assumptions!$B$10/Projects!$D$17:$D$46*0.95)+SUMPRODUCT((Projects!$G$17:$G$46="Yes")*(Projects!$X$17:$X$46="Yes")*(67=Projects!$C$17:$C$46+Projects!$D$17:$D$46-1)*Projects!$B$17:$B$46*Assumptions!$B$10*0.05)+SUMPRODUCT((Projects!$G$17:$G$46="Yes")*(Projects!$X$17:$X$46="Yes")*(67&gt;=Projects!$C$17:$C$46)*(67&lt;Projects!$C$17:$C$46+Projects!$D$17:$D$46)*Projects!$B$17:$B$46*Assumptions!$B$11/Projects!$D$17:$D$46*0.95)+SUMPRODUCT((Projects!$G$17:$G$46="Yes")*(Projects!$X$17:$X$46="Yes")*(67=Projects!$C$17:$C$46+Projects!$D$17:$D$46-1)*Projects!$B$17:$B$46*Assumptions!$B$11*0.05)+SUMPRODUCT((Projects!$G$17:$G$46="Yes")*(Projects!$X$17:$X$46="Yes")*(67&gt;=Projects!$C$17:$C$46)*(67&lt;Projects!$C$17:$C$46+Projects!$D$17:$D$46)*Projects!$B$17:$B$46*Assumptions!$B$12/Projects!$D$17:$D$46*0.95)+SUMPRODUCT((Projects!$G$17:$G$46="Yes")*(Projects!$X$17:$X$46="Yes")*(67=Projects!$C$17:$C$46+Projects!$D$17:$D$46-1)*Projects!$B$17:$B$46*Assumptions!$B$12*0.05)</f>
        <v>0</v>
      </c>
      <c r="BU97" s="296" t="n">
        <f aca="false">BU96+SUMPRODUCT((Projects!$G$17:$G$46="Yes")*(Projects!$X$17:$X$46="Yes")*(68&gt;=Projects!$C$17:$C$46)*(68&lt;Projects!$C$17:$C$46+Projects!$D$17:$D$46)*Projects!$B$17:$B$46*Assumptions!$B$10/Projects!$D$17:$D$46*0.95)+SUMPRODUCT((Projects!$G$17:$G$46="Yes")*(Projects!$X$17:$X$46="Yes")*(68=Projects!$C$17:$C$46+Projects!$D$17:$D$46-1)*Projects!$B$17:$B$46*Assumptions!$B$10*0.05)+SUMPRODUCT((Projects!$G$17:$G$46="Yes")*(Projects!$X$17:$X$46="Yes")*(68&gt;=Projects!$C$17:$C$46)*(68&lt;Projects!$C$17:$C$46+Projects!$D$17:$D$46)*Projects!$B$17:$B$46*Assumptions!$B$11/Projects!$D$17:$D$46*0.95)+SUMPRODUCT((Projects!$G$17:$G$46="Yes")*(Projects!$X$17:$X$46="Yes")*(68=Projects!$C$17:$C$46+Projects!$D$17:$D$46-1)*Projects!$B$17:$B$46*Assumptions!$B$11*0.05)+SUMPRODUCT((Projects!$G$17:$G$46="Yes")*(Projects!$X$17:$X$46="Yes")*(68&gt;=Projects!$C$17:$C$46)*(68&lt;Projects!$C$17:$C$46+Projects!$D$17:$D$46)*Projects!$B$17:$B$46*Assumptions!$B$12/Projects!$D$17:$D$46*0.95)+SUMPRODUCT((Projects!$G$17:$G$46="Yes")*(Projects!$X$17:$X$46="Yes")*(68=Projects!$C$17:$C$46+Projects!$D$17:$D$46-1)*Projects!$B$17:$B$46*Assumptions!$B$12*0.05)</f>
        <v>0</v>
      </c>
      <c r="BV97" s="296" t="n">
        <f aca="false">BV96+SUMPRODUCT((Projects!$G$17:$G$46="Yes")*(Projects!$X$17:$X$46="Yes")*(69&gt;=Projects!$C$17:$C$46)*(69&lt;Projects!$C$17:$C$46+Projects!$D$17:$D$46)*Projects!$B$17:$B$46*Assumptions!$B$10/Projects!$D$17:$D$46*0.95)+SUMPRODUCT((Projects!$G$17:$G$46="Yes")*(Projects!$X$17:$X$46="Yes")*(69=Projects!$C$17:$C$46+Projects!$D$17:$D$46-1)*Projects!$B$17:$B$46*Assumptions!$B$10*0.05)+SUMPRODUCT((Projects!$G$17:$G$46="Yes")*(Projects!$X$17:$X$46="Yes")*(69&gt;=Projects!$C$17:$C$46)*(69&lt;Projects!$C$17:$C$46+Projects!$D$17:$D$46)*Projects!$B$17:$B$46*Assumptions!$B$11/Projects!$D$17:$D$46*0.95)+SUMPRODUCT((Projects!$G$17:$G$46="Yes")*(Projects!$X$17:$X$46="Yes")*(69=Projects!$C$17:$C$46+Projects!$D$17:$D$46-1)*Projects!$B$17:$B$46*Assumptions!$B$11*0.05)+SUMPRODUCT((Projects!$G$17:$G$46="Yes")*(Projects!$X$17:$X$46="Yes")*(69&gt;=Projects!$C$17:$C$46)*(69&lt;Projects!$C$17:$C$46+Projects!$D$17:$D$46)*Projects!$B$17:$B$46*Assumptions!$B$12/Projects!$D$17:$D$46*0.95)+SUMPRODUCT((Projects!$G$17:$G$46="Yes")*(Projects!$X$17:$X$46="Yes")*(69=Projects!$C$17:$C$46+Projects!$D$17:$D$46-1)*Projects!$B$17:$B$46*Assumptions!$B$12*0.05)</f>
        <v>0</v>
      </c>
      <c r="BW97" s="296" t="n">
        <f aca="false">BW96+SUMPRODUCT((Projects!$G$17:$G$46="Yes")*(Projects!$X$17:$X$46="Yes")*(70&gt;=Projects!$C$17:$C$46)*(70&lt;Projects!$C$17:$C$46+Projects!$D$17:$D$46)*Projects!$B$17:$B$46*Assumptions!$B$10/Projects!$D$17:$D$46*0.95)+SUMPRODUCT((Projects!$G$17:$G$46="Yes")*(Projects!$X$17:$X$46="Yes")*(70=Projects!$C$17:$C$46+Projects!$D$17:$D$46-1)*Projects!$B$17:$B$46*Assumptions!$B$10*0.05)+SUMPRODUCT((Projects!$G$17:$G$46="Yes")*(Projects!$X$17:$X$46="Yes")*(70&gt;=Projects!$C$17:$C$46)*(70&lt;Projects!$C$17:$C$46+Projects!$D$17:$D$46)*Projects!$B$17:$B$46*Assumptions!$B$11/Projects!$D$17:$D$46*0.95)+SUMPRODUCT((Projects!$G$17:$G$46="Yes")*(Projects!$X$17:$X$46="Yes")*(70=Projects!$C$17:$C$46+Projects!$D$17:$D$46-1)*Projects!$B$17:$B$46*Assumptions!$B$11*0.05)+SUMPRODUCT((Projects!$G$17:$G$46="Yes")*(Projects!$X$17:$X$46="Yes")*(70&gt;=Projects!$C$17:$C$46)*(70&lt;Projects!$C$17:$C$46+Projects!$D$17:$D$46)*Projects!$B$17:$B$46*Assumptions!$B$12/Projects!$D$17:$D$46*0.95)+SUMPRODUCT((Projects!$G$17:$G$46="Yes")*(Projects!$X$17:$X$46="Yes")*(70=Projects!$C$17:$C$46+Projects!$D$17:$D$46-1)*Projects!$B$17:$B$46*Assumptions!$B$12*0.05)</f>
        <v>0</v>
      </c>
      <c r="BX97" s="296" t="n">
        <f aca="false">BX96+SUMPRODUCT((Projects!$G$17:$G$46="Yes")*(Projects!$X$17:$X$46="Yes")*(71&gt;=Projects!$C$17:$C$46)*(71&lt;Projects!$C$17:$C$46+Projects!$D$17:$D$46)*Projects!$B$17:$B$46*Assumptions!$B$10/Projects!$D$17:$D$46*0.95)+SUMPRODUCT((Projects!$G$17:$G$46="Yes")*(Projects!$X$17:$X$46="Yes")*(71=Projects!$C$17:$C$46+Projects!$D$17:$D$46-1)*Projects!$B$17:$B$46*Assumptions!$B$10*0.05)+SUMPRODUCT((Projects!$G$17:$G$46="Yes")*(Projects!$X$17:$X$46="Yes")*(71&gt;=Projects!$C$17:$C$46)*(71&lt;Projects!$C$17:$C$46+Projects!$D$17:$D$46)*Projects!$B$17:$B$46*Assumptions!$B$11/Projects!$D$17:$D$46*0.95)+SUMPRODUCT((Projects!$G$17:$G$46="Yes")*(Projects!$X$17:$X$46="Yes")*(71=Projects!$C$17:$C$46+Projects!$D$17:$D$46-1)*Projects!$B$17:$B$46*Assumptions!$B$11*0.05)+SUMPRODUCT((Projects!$G$17:$G$46="Yes")*(Projects!$X$17:$X$46="Yes")*(71&gt;=Projects!$C$17:$C$46)*(71&lt;Projects!$C$17:$C$46+Projects!$D$17:$D$46)*Projects!$B$17:$B$46*Assumptions!$B$12/Projects!$D$17:$D$46*0.95)+SUMPRODUCT((Projects!$G$17:$G$46="Yes")*(Projects!$X$17:$X$46="Yes")*(71=Projects!$C$17:$C$46+Projects!$D$17:$D$46-1)*Projects!$B$17:$B$46*Assumptions!$B$12*0.05)</f>
        <v>0</v>
      </c>
      <c r="BY97" s="296" t="n">
        <f aca="false">BY96+SUMPRODUCT((Projects!$G$17:$G$46="Yes")*(Projects!$X$17:$X$46="Yes")*(72&gt;=Projects!$C$17:$C$46)*(72&lt;Projects!$C$17:$C$46+Projects!$D$17:$D$46)*Projects!$B$17:$B$46*Assumptions!$B$10/Projects!$D$17:$D$46*0.95)+SUMPRODUCT((Projects!$G$17:$G$46="Yes")*(Projects!$X$17:$X$46="Yes")*(72=Projects!$C$17:$C$46+Projects!$D$17:$D$46-1)*Projects!$B$17:$B$46*Assumptions!$B$10*0.05)+SUMPRODUCT((Projects!$G$17:$G$46="Yes")*(Projects!$X$17:$X$46="Yes")*(72&gt;=Projects!$C$17:$C$46)*(72&lt;Projects!$C$17:$C$46+Projects!$D$17:$D$46)*Projects!$B$17:$B$46*Assumptions!$B$11/Projects!$D$17:$D$46*0.95)+SUMPRODUCT((Projects!$G$17:$G$46="Yes")*(Projects!$X$17:$X$46="Yes")*(72=Projects!$C$17:$C$46+Projects!$D$17:$D$46-1)*Projects!$B$17:$B$46*Assumptions!$B$11*0.05)+SUMPRODUCT((Projects!$G$17:$G$46="Yes")*(Projects!$X$17:$X$46="Yes")*(72&gt;=Projects!$C$17:$C$46)*(72&lt;Projects!$C$17:$C$46+Projects!$D$17:$D$46)*Projects!$B$17:$B$46*Assumptions!$B$12/Projects!$D$17:$D$46*0.95)+SUMPRODUCT((Projects!$G$17:$G$46="Yes")*(Projects!$X$17:$X$46="Yes")*(72=Projects!$C$17:$C$46+Projects!$D$17:$D$46-1)*Projects!$B$17:$B$46*Assumptions!$B$12*0.05)</f>
        <v>0</v>
      </c>
      <c r="BZ97" s="296" t="n">
        <f aca="false">BZ96+SUMPRODUCT((Projects!$G$17:$G$46="Yes")*(Projects!$X$17:$X$46="Yes")*(73&gt;=Projects!$C$17:$C$46)*(73&lt;Projects!$C$17:$C$46+Projects!$D$17:$D$46)*Projects!$B$17:$B$46*Assumptions!$B$10/Projects!$D$17:$D$46*0.95)+SUMPRODUCT((Projects!$G$17:$G$46="Yes")*(Projects!$X$17:$X$46="Yes")*(73=Projects!$C$17:$C$46+Projects!$D$17:$D$46-1)*Projects!$B$17:$B$46*Assumptions!$B$10*0.05)+SUMPRODUCT((Projects!$G$17:$G$46="Yes")*(Projects!$X$17:$X$46="Yes")*(73&gt;=Projects!$C$17:$C$46)*(73&lt;Projects!$C$17:$C$46+Projects!$D$17:$D$46)*Projects!$B$17:$B$46*Assumptions!$B$11/Projects!$D$17:$D$46*0.95)+SUMPRODUCT((Projects!$G$17:$G$46="Yes")*(Projects!$X$17:$X$46="Yes")*(73=Projects!$C$17:$C$46+Projects!$D$17:$D$46-1)*Projects!$B$17:$B$46*Assumptions!$B$11*0.05)+SUMPRODUCT((Projects!$G$17:$G$46="Yes")*(Projects!$X$17:$X$46="Yes")*(73&gt;=Projects!$C$17:$C$46)*(73&lt;Projects!$C$17:$C$46+Projects!$D$17:$D$46)*Projects!$B$17:$B$46*Assumptions!$B$12/Projects!$D$17:$D$46*0.95)+SUMPRODUCT((Projects!$G$17:$G$46="Yes")*(Projects!$X$17:$X$46="Yes")*(73=Projects!$C$17:$C$46+Projects!$D$17:$D$46-1)*Projects!$B$17:$B$46*Assumptions!$B$12*0.05)</f>
        <v>0</v>
      </c>
      <c r="CA97" s="296" t="n">
        <f aca="false">CA96+SUMPRODUCT((Projects!$G$17:$G$46="Yes")*(Projects!$X$17:$X$46="Yes")*(74&gt;=Projects!$C$17:$C$46)*(74&lt;Projects!$C$17:$C$46+Projects!$D$17:$D$46)*Projects!$B$17:$B$46*Assumptions!$B$10/Projects!$D$17:$D$46*0.95)+SUMPRODUCT((Projects!$G$17:$G$46="Yes")*(Projects!$X$17:$X$46="Yes")*(74=Projects!$C$17:$C$46+Projects!$D$17:$D$46-1)*Projects!$B$17:$B$46*Assumptions!$B$10*0.05)+SUMPRODUCT((Projects!$G$17:$G$46="Yes")*(Projects!$X$17:$X$46="Yes")*(74&gt;=Projects!$C$17:$C$46)*(74&lt;Projects!$C$17:$C$46+Projects!$D$17:$D$46)*Projects!$B$17:$B$46*Assumptions!$B$11/Projects!$D$17:$D$46*0.95)+SUMPRODUCT((Projects!$G$17:$G$46="Yes")*(Projects!$X$17:$X$46="Yes")*(74=Projects!$C$17:$C$46+Projects!$D$17:$D$46-1)*Projects!$B$17:$B$46*Assumptions!$B$11*0.05)+SUMPRODUCT((Projects!$G$17:$G$46="Yes")*(Projects!$X$17:$X$46="Yes")*(74&gt;=Projects!$C$17:$C$46)*(74&lt;Projects!$C$17:$C$46+Projects!$D$17:$D$46)*Projects!$B$17:$B$46*Assumptions!$B$12/Projects!$D$17:$D$46*0.95)+SUMPRODUCT((Projects!$G$17:$G$46="Yes")*(Projects!$X$17:$X$46="Yes")*(74=Projects!$C$17:$C$46+Projects!$D$17:$D$46-1)*Projects!$B$17:$B$46*Assumptions!$B$12*0.05)</f>
        <v>0</v>
      </c>
      <c r="CB97" s="296" t="n">
        <f aca="false">CB96+SUMPRODUCT((Projects!$G$17:$G$46="Yes")*(Projects!$X$17:$X$46="Yes")*(75&gt;=Projects!$C$17:$C$46)*(75&lt;Projects!$C$17:$C$46+Projects!$D$17:$D$46)*Projects!$B$17:$B$46*Assumptions!$B$10/Projects!$D$17:$D$46*0.95)+SUMPRODUCT((Projects!$G$17:$G$46="Yes")*(Projects!$X$17:$X$46="Yes")*(75=Projects!$C$17:$C$46+Projects!$D$17:$D$46-1)*Projects!$B$17:$B$46*Assumptions!$B$10*0.05)+SUMPRODUCT((Projects!$G$17:$G$46="Yes")*(Projects!$X$17:$X$46="Yes")*(75&gt;=Projects!$C$17:$C$46)*(75&lt;Projects!$C$17:$C$46+Projects!$D$17:$D$46)*Projects!$B$17:$B$46*Assumptions!$B$11/Projects!$D$17:$D$46*0.95)+SUMPRODUCT((Projects!$G$17:$G$46="Yes")*(Projects!$X$17:$X$46="Yes")*(75=Projects!$C$17:$C$46+Projects!$D$17:$D$46-1)*Projects!$B$17:$B$46*Assumptions!$B$11*0.05)+SUMPRODUCT((Projects!$G$17:$G$46="Yes")*(Projects!$X$17:$X$46="Yes")*(75&gt;=Projects!$C$17:$C$46)*(75&lt;Projects!$C$17:$C$46+Projects!$D$17:$D$46)*Projects!$B$17:$B$46*Assumptions!$B$12/Projects!$D$17:$D$46*0.95)+SUMPRODUCT((Projects!$G$17:$G$46="Yes")*(Projects!$X$17:$X$46="Yes")*(75=Projects!$C$17:$C$46+Projects!$D$17:$D$46-1)*Projects!$B$17:$B$46*Assumptions!$B$12*0.05)</f>
        <v>0</v>
      </c>
      <c r="CC97" s="296" t="n">
        <f aca="false">CC96+SUMPRODUCT((Projects!$G$17:$G$46="Yes")*(Projects!$X$17:$X$46="Yes")*(76&gt;=Projects!$C$17:$C$46)*(76&lt;Projects!$C$17:$C$46+Projects!$D$17:$D$46)*Projects!$B$17:$B$46*Assumptions!$B$10/Projects!$D$17:$D$46*0.95)+SUMPRODUCT((Projects!$G$17:$G$46="Yes")*(Projects!$X$17:$X$46="Yes")*(76=Projects!$C$17:$C$46+Projects!$D$17:$D$46-1)*Projects!$B$17:$B$46*Assumptions!$B$10*0.05)+SUMPRODUCT((Projects!$G$17:$G$46="Yes")*(Projects!$X$17:$X$46="Yes")*(76&gt;=Projects!$C$17:$C$46)*(76&lt;Projects!$C$17:$C$46+Projects!$D$17:$D$46)*Projects!$B$17:$B$46*Assumptions!$B$11/Projects!$D$17:$D$46*0.95)+SUMPRODUCT((Projects!$G$17:$G$46="Yes")*(Projects!$X$17:$X$46="Yes")*(76=Projects!$C$17:$C$46+Projects!$D$17:$D$46-1)*Projects!$B$17:$B$46*Assumptions!$B$11*0.05)+SUMPRODUCT((Projects!$G$17:$G$46="Yes")*(Projects!$X$17:$X$46="Yes")*(76&gt;=Projects!$C$17:$C$46)*(76&lt;Projects!$C$17:$C$46+Projects!$D$17:$D$46)*Projects!$B$17:$B$46*Assumptions!$B$12/Projects!$D$17:$D$46*0.95)+SUMPRODUCT((Projects!$G$17:$G$46="Yes")*(Projects!$X$17:$X$46="Yes")*(76=Projects!$C$17:$C$46+Projects!$D$17:$D$46-1)*Projects!$B$17:$B$46*Assumptions!$B$12*0.05)</f>
        <v>0</v>
      </c>
      <c r="CD97" s="296" t="n">
        <f aca="false">CD96+SUMPRODUCT((Projects!$G$17:$G$46="Yes")*(Projects!$X$17:$X$46="Yes")*(77&gt;=Projects!$C$17:$C$46)*(77&lt;Projects!$C$17:$C$46+Projects!$D$17:$D$46)*Projects!$B$17:$B$46*Assumptions!$B$10/Projects!$D$17:$D$46*0.95)+SUMPRODUCT((Projects!$G$17:$G$46="Yes")*(Projects!$X$17:$X$46="Yes")*(77=Projects!$C$17:$C$46+Projects!$D$17:$D$46-1)*Projects!$B$17:$B$46*Assumptions!$B$10*0.05)+SUMPRODUCT((Projects!$G$17:$G$46="Yes")*(Projects!$X$17:$X$46="Yes")*(77&gt;=Projects!$C$17:$C$46)*(77&lt;Projects!$C$17:$C$46+Projects!$D$17:$D$46)*Projects!$B$17:$B$46*Assumptions!$B$11/Projects!$D$17:$D$46*0.95)+SUMPRODUCT((Projects!$G$17:$G$46="Yes")*(Projects!$X$17:$X$46="Yes")*(77=Projects!$C$17:$C$46+Projects!$D$17:$D$46-1)*Projects!$B$17:$B$46*Assumptions!$B$11*0.05)+SUMPRODUCT((Projects!$G$17:$G$46="Yes")*(Projects!$X$17:$X$46="Yes")*(77&gt;=Projects!$C$17:$C$46)*(77&lt;Projects!$C$17:$C$46+Projects!$D$17:$D$46)*Projects!$B$17:$B$46*Assumptions!$B$12/Projects!$D$17:$D$46*0.95)+SUMPRODUCT((Projects!$G$17:$G$46="Yes")*(Projects!$X$17:$X$46="Yes")*(77=Projects!$C$17:$C$46+Projects!$D$17:$D$46-1)*Projects!$B$17:$B$46*Assumptions!$B$12*0.05)</f>
        <v>0</v>
      </c>
      <c r="CE97" s="296" t="n">
        <f aca="false">CE96+SUMPRODUCT((Projects!$G$17:$G$46="Yes")*(Projects!$X$17:$X$46="Yes")*(78&gt;=Projects!$C$17:$C$46)*(78&lt;Projects!$C$17:$C$46+Projects!$D$17:$D$46)*Projects!$B$17:$B$46*Assumptions!$B$10/Projects!$D$17:$D$46*0.95)+SUMPRODUCT((Projects!$G$17:$G$46="Yes")*(Projects!$X$17:$X$46="Yes")*(78=Projects!$C$17:$C$46+Projects!$D$17:$D$46-1)*Projects!$B$17:$B$46*Assumptions!$B$10*0.05)+SUMPRODUCT((Projects!$G$17:$G$46="Yes")*(Projects!$X$17:$X$46="Yes")*(78&gt;=Projects!$C$17:$C$46)*(78&lt;Projects!$C$17:$C$46+Projects!$D$17:$D$46)*Projects!$B$17:$B$46*Assumptions!$B$11/Projects!$D$17:$D$46*0.95)+SUMPRODUCT((Projects!$G$17:$G$46="Yes")*(Projects!$X$17:$X$46="Yes")*(78=Projects!$C$17:$C$46+Projects!$D$17:$D$46-1)*Projects!$B$17:$B$46*Assumptions!$B$11*0.05)+SUMPRODUCT((Projects!$G$17:$G$46="Yes")*(Projects!$X$17:$X$46="Yes")*(78&gt;=Projects!$C$17:$C$46)*(78&lt;Projects!$C$17:$C$46+Projects!$D$17:$D$46)*Projects!$B$17:$B$46*Assumptions!$B$12/Projects!$D$17:$D$46*0.95)+SUMPRODUCT((Projects!$G$17:$G$46="Yes")*(Projects!$X$17:$X$46="Yes")*(78=Projects!$C$17:$C$46+Projects!$D$17:$D$46-1)*Projects!$B$17:$B$46*Assumptions!$B$12*0.05)</f>
        <v>0</v>
      </c>
      <c r="CF97" s="296" t="n">
        <f aca="false">CF96+SUMPRODUCT((Projects!$G$17:$G$46="Yes")*(Projects!$X$17:$X$46="Yes")*(79&gt;=Projects!$C$17:$C$46)*(79&lt;Projects!$C$17:$C$46+Projects!$D$17:$D$46)*Projects!$B$17:$B$46*Assumptions!$B$10/Projects!$D$17:$D$46*0.95)+SUMPRODUCT((Projects!$G$17:$G$46="Yes")*(Projects!$X$17:$X$46="Yes")*(79=Projects!$C$17:$C$46+Projects!$D$17:$D$46-1)*Projects!$B$17:$B$46*Assumptions!$B$10*0.05)+SUMPRODUCT((Projects!$G$17:$G$46="Yes")*(Projects!$X$17:$X$46="Yes")*(79&gt;=Projects!$C$17:$C$46)*(79&lt;Projects!$C$17:$C$46+Projects!$D$17:$D$46)*Projects!$B$17:$B$46*Assumptions!$B$11/Projects!$D$17:$D$46*0.95)+SUMPRODUCT((Projects!$G$17:$G$46="Yes")*(Projects!$X$17:$X$46="Yes")*(79=Projects!$C$17:$C$46+Projects!$D$17:$D$46-1)*Projects!$B$17:$B$46*Assumptions!$B$11*0.05)+SUMPRODUCT((Projects!$G$17:$G$46="Yes")*(Projects!$X$17:$X$46="Yes")*(79&gt;=Projects!$C$17:$C$46)*(79&lt;Projects!$C$17:$C$46+Projects!$D$17:$D$46)*Projects!$B$17:$B$46*Assumptions!$B$12/Projects!$D$17:$D$46*0.95)+SUMPRODUCT((Projects!$G$17:$G$46="Yes")*(Projects!$X$17:$X$46="Yes")*(79=Projects!$C$17:$C$46+Projects!$D$17:$D$46-1)*Projects!$B$17:$B$46*Assumptions!$B$12*0.05)</f>
        <v>0</v>
      </c>
      <c r="CG97" s="296" t="n">
        <f aca="false">CG96+SUMPRODUCT((Projects!$G$17:$G$46="Yes")*(Projects!$X$17:$X$46="Yes")*(80&gt;=Projects!$C$17:$C$46)*(80&lt;Projects!$C$17:$C$46+Projects!$D$17:$D$46)*Projects!$B$17:$B$46*Assumptions!$B$10/Projects!$D$17:$D$46*0.95)+SUMPRODUCT((Projects!$G$17:$G$46="Yes")*(Projects!$X$17:$X$46="Yes")*(80=Projects!$C$17:$C$46+Projects!$D$17:$D$46-1)*Projects!$B$17:$B$46*Assumptions!$B$10*0.05)+SUMPRODUCT((Projects!$G$17:$G$46="Yes")*(Projects!$X$17:$X$46="Yes")*(80&gt;=Projects!$C$17:$C$46)*(80&lt;Projects!$C$17:$C$46+Projects!$D$17:$D$46)*Projects!$B$17:$B$46*Assumptions!$B$11/Projects!$D$17:$D$46*0.95)+SUMPRODUCT((Projects!$G$17:$G$46="Yes")*(Projects!$X$17:$X$46="Yes")*(80=Projects!$C$17:$C$46+Projects!$D$17:$D$46-1)*Projects!$B$17:$B$46*Assumptions!$B$11*0.05)+SUMPRODUCT((Projects!$G$17:$G$46="Yes")*(Projects!$X$17:$X$46="Yes")*(80&gt;=Projects!$C$17:$C$46)*(80&lt;Projects!$C$17:$C$46+Projects!$D$17:$D$46)*Projects!$B$17:$B$46*Assumptions!$B$12/Projects!$D$17:$D$46*0.95)+SUMPRODUCT((Projects!$G$17:$G$46="Yes")*(Projects!$X$17:$X$46="Yes")*(80=Projects!$C$17:$C$46+Projects!$D$17:$D$46-1)*Projects!$B$17:$B$46*Assumptions!$B$12*0.05)</f>
        <v>0</v>
      </c>
      <c r="CH97" s="296" t="n">
        <f aca="false">CH96+SUMPRODUCT((Projects!$G$17:$G$46="Yes")*(Projects!$X$17:$X$46="Yes")*(81&gt;=Projects!$C$17:$C$46)*(81&lt;Projects!$C$17:$C$46+Projects!$D$17:$D$46)*Projects!$B$17:$B$46*Assumptions!$B$10/Projects!$D$17:$D$46*0.95)+SUMPRODUCT((Projects!$G$17:$G$46="Yes")*(Projects!$X$17:$X$46="Yes")*(81=Projects!$C$17:$C$46+Projects!$D$17:$D$46-1)*Projects!$B$17:$B$46*Assumptions!$B$10*0.05)+SUMPRODUCT((Projects!$G$17:$G$46="Yes")*(Projects!$X$17:$X$46="Yes")*(81&gt;=Projects!$C$17:$C$46)*(81&lt;Projects!$C$17:$C$46+Projects!$D$17:$D$46)*Projects!$B$17:$B$46*Assumptions!$B$11/Projects!$D$17:$D$46*0.95)+SUMPRODUCT((Projects!$G$17:$G$46="Yes")*(Projects!$X$17:$X$46="Yes")*(81=Projects!$C$17:$C$46+Projects!$D$17:$D$46-1)*Projects!$B$17:$B$46*Assumptions!$B$11*0.05)+SUMPRODUCT((Projects!$G$17:$G$46="Yes")*(Projects!$X$17:$X$46="Yes")*(81&gt;=Projects!$C$17:$C$46)*(81&lt;Projects!$C$17:$C$46+Projects!$D$17:$D$46)*Projects!$B$17:$B$46*Assumptions!$B$12/Projects!$D$17:$D$46*0.95)+SUMPRODUCT((Projects!$G$17:$G$46="Yes")*(Projects!$X$17:$X$46="Yes")*(81=Projects!$C$17:$C$46+Projects!$D$17:$D$46-1)*Projects!$B$17:$B$46*Assumptions!$B$12*0.05)</f>
        <v>0</v>
      </c>
      <c r="CI97" s="296" t="n">
        <f aca="false">CI96+SUMPRODUCT((Projects!$G$17:$G$46="Yes")*(Projects!$X$17:$X$46="Yes")*(82&gt;=Projects!$C$17:$C$46)*(82&lt;Projects!$C$17:$C$46+Projects!$D$17:$D$46)*Projects!$B$17:$B$46*Assumptions!$B$10/Projects!$D$17:$D$46*0.95)+SUMPRODUCT((Projects!$G$17:$G$46="Yes")*(Projects!$X$17:$X$46="Yes")*(82=Projects!$C$17:$C$46+Projects!$D$17:$D$46-1)*Projects!$B$17:$B$46*Assumptions!$B$10*0.05)+SUMPRODUCT((Projects!$G$17:$G$46="Yes")*(Projects!$X$17:$X$46="Yes")*(82&gt;=Projects!$C$17:$C$46)*(82&lt;Projects!$C$17:$C$46+Projects!$D$17:$D$46)*Projects!$B$17:$B$46*Assumptions!$B$11/Projects!$D$17:$D$46*0.95)+SUMPRODUCT((Projects!$G$17:$G$46="Yes")*(Projects!$X$17:$X$46="Yes")*(82=Projects!$C$17:$C$46+Projects!$D$17:$D$46-1)*Projects!$B$17:$B$46*Assumptions!$B$11*0.05)+SUMPRODUCT((Projects!$G$17:$G$46="Yes")*(Projects!$X$17:$X$46="Yes")*(82&gt;=Projects!$C$17:$C$46)*(82&lt;Projects!$C$17:$C$46+Projects!$D$17:$D$46)*Projects!$B$17:$B$46*Assumptions!$B$12/Projects!$D$17:$D$46*0.95)+SUMPRODUCT((Projects!$G$17:$G$46="Yes")*(Projects!$X$17:$X$46="Yes")*(82=Projects!$C$17:$C$46+Projects!$D$17:$D$46-1)*Projects!$B$17:$B$46*Assumptions!$B$12*0.05)</f>
        <v>0</v>
      </c>
      <c r="CJ97" s="296" t="n">
        <f aca="false">CJ96+SUMPRODUCT((Projects!$G$17:$G$46="Yes")*(Projects!$X$17:$X$46="Yes")*(83&gt;=Projects!$C$17:$C$46)*(83&lt;Projects!$C$17:$C$46+Projects!$D$17:$D$46)*Projects!$B$17:$B$46*Assumptions!$B$10/Projects!$D$17:$D$46*0.95)+SUMPRODUCT((Projects!$G$17:$G$46="Yes")*(Projects!$X$17:$X$46="Yes")*(83=Projects!$C$17:$C$46+Projects!$D$17:$D$46-1)*Projects!$B$17:$B$46*Assumptions!$B$10*0.05)+SUMPRODUCT((Projects!$G$17:$G$46="Yes")*(Projects!$X$17:$X$46="Yes")*(83&gt;=Projects!$C$17:$C$46)*(83&lt;Projects!$C$17:$C$46+Projects!$D$17:$D$46)*Projects!$B$17:$B$46*Assumptions!$B$11/Projects!$D$17:$D$46*0.95)+SUMPRODUCT((Projects!$G$17:$G$46="Yes")*(Projects!$X$17:$X$46="Yes")*(83=Projects!$C$17:$C$46+Projects!$D$17:$D$46-1)*Projects!$B$17:$B$46*Assumptions!$B$11*0.05)+SUMPRODUCT((Projects!$G$17:$G$46="Yes")*(Projects!$X$17:$X$46="Yes")*(83&gt;=Projects!$C$17:$C$46)*(83&lt;Projects!$C$17:$C$46+Projects!$D$17:$D$46)*Projects!$B$17:$B$46*Assumptions!$B$12/Projects!$D$17:$D$46*0.95)+SUMPRODUCT((Projects!$G$17:$G$46="Yes")*(Projects!$X$17:$X$46="Yes")*(83=Projects!$C$17:$C$46+Projects!$D$17:$D$46-1)*Projects!$B$17:$B$46*Assumptions!$B$12*0.05)</f>
        <v>0</v>
      </c>
      <c r="CK97" s="296" t="n">
        <f aca="false">CK96+SUMPRODUCT((Projects!$G$17:$G$46="Yes")*(Projects!$X$17:$X$46="Yes")*(84&gt;=Projects!$C$17:$C$46)*(84&lt;Projects!$C$17:$C$46+Projects!$D$17:$D$46)*Projects!$B$17:$B$46*Assumptions!$B$10/Projects!$D$17:$D$46*0.95)+SUMPRODUCT((Projects!$G$17:$G$46="Yes")*(Projects!$X$17:$X$46="Yes")*(84=Projects!$C$17:$C$46+Projects!$D$17:$D$46-1)*Projects!$B$17:$B$46*Assumptions!$B$10*0.05)+SUMPRODUCT((Projects!$G$17:$G$46="Yes")*(Projects!$X$17:$X$46="Yes")*(84&gt;=Projects!$C$17:$C$46)*(84&lt;Projects!$C$17:$C$46+Projects!$D$17:$D$46)*Projects!$B$17:$B$46*Assumptions!$B$11/Projects!$D$17:$D$46*0.95)+SUMPRODUCT((Projects!$G$17:$G$46="Yes")*(Projects!$X$17:$X$46="Yes")*(84=Projects!$C$17:$C$46+Projects!$D$17:$D$46-1)*Projects!$B$17:$B$46*Assumptions!$B$11*0.05)+SUMPRODUCT((Projects!$G$17:$G$46="Yes")*(Projects!$X$17:$X$46="Yes")*(84&gt;=Projects!$C$17:$C$46)*(84&lt;Projects!$C$17:$C$46+Projects!$D$17:$D$46)*Projects!$B$17:$B$46*Assumptions!$B$12/Projects!$D$17:$D$46*0.95)+SUMPRODUCT((Projects!$G$17:$G$46="Yes")*(Projects!$X$17:$X$46="Yes")*(84=Projects!$C$17:$C$46+Projects!$D$17:$D$46-1)*Projects!$B$17:$B$46*Assumptions!$B$12*0.05)</f>
        <v>0</v>
      </c>
      <c r="CL97" s="296" t="n">
        <f aca="false">CL96+SUMPRODUCT((Projects!$G$17:$G$46="Yes")*(Projects!$X$17:$X$46="Yes")*(85&gt;=Projects!$C$17:$C$46)*(85&lt;Projects!$C$17:$C$46+Projects!$D$17:$D$46)*Projects!$B$17:$B$46*Assumptions!$B$10/Projects!$D$17:$D$46*0.95)+SUMPRODUCT((Projects!$G$17:$G$46="Yes")*(Projects!$X$17:$X$46="Yes")*(85=Projects!$C$17:$C$46+Projects!$D$17:$D$46-1)*Projects!$B$17:$B$46*Assumptions!$B$10*0.05)+SUMPRODUCT((Projects!$G$17:$G$46="Yes")*(Projects!$X$17:$X$46="Yes")*(85&gt;=Projects!$C$17:$C$46)*(85&lt;Projects!$C$17:$C$46+Projects!$D$17:$D$46)*Projects!$B$17:$B$46*Assumptions!$B$11/Projects!$D$17:$D$46*0.95)+SUMPRODUCT((Projects!$G$17:$G$46="Yes")*(Projects!$X$17:$X$46="Yes")*(85=Projects!$C$17:$C$46+Projects!$D$17:$D$46-1)*Projects!$B$17:$B$46*Assumptions!$B$11*0.05)+SUMPRODUCT((Projects!$G$17:$G$46="Yes")*(Projects!$X$17:$X$46="Yes")*(85&gt;=Projects!$C$17:$C$46)*(85&lt;Projects!$C$17:$C$46+Projects!$D$17:$D$46)*Projects!$B$17:$B$46*Assumptions!$B$12/Projects!$D$17:$D$46*0.95)+SUMPRODUCT((Projects!$G$17:$G$46="Yes")*(Projects!$X$17:$X$46="Yes")*(85=Projects!$C$17:$C$46+Projects!$D$17:$D$46-1)*Projects!$B$17:$B$46*Assumptions!$B$12*0.05)</f>
        <v>0</v>
      </c>
      <c r="CM97" s="296" t="n">
        <f aca="false">CM96+SUMPRODUCT((Projects!$G$17:$G$46="Yes")*(Projects!$X$17:$X$46="Yes")*(86&gt;=Projects!$C$17:$C$46)*(86&lt;Projects!$C$17:$C$46+Projects!$D$17:$D$46)*Projects!$B$17:$B$46*Assumptions!$B$10/Projects!$D$17:$D$46*0.95)+SUMPRODUCT((Projects!$G$17:$G$46="Yes")*(Projects!$X$17:$X$46="Yes")*(86=Projects!$C$17:$C$46+Projects!$D$17:$D$46-1)*Projects!$B$17:$B$46*Assumptions!$B$10*0.05)+SUMPRODUCT((Projects!$G$17:$G$46="Yes")*(Projects!$X$17:$X$46="Yes")*(86&gt;=Projects!$C$17:$C$46)*(86&lt;Projects!$C$17:$C$46+Projects!$D$17:$D$46)*Projects!$B$17:$B$46*Assumptions!$B$11/Projects!$D$17:$D$46*0.95)+SUMPRODUCT((Projects!$G$17:$G$46="Yes")*(Projects!$X$17:$X$46="Yes")*(86=Projects!$C$17:$C$46+Projects!$D$17:$D$46-1)*Projects!$B$17:$B$46*Assumptions!$B$11*0.05)+SUMPRODUCT((Projects!$G$17:$G$46="Yes")*(Projects!$X$17:$X$46="Yes")*(86&gt;=Projects!$C$17:$C$46)*(86&lt;Projects!$C$17:$C$46+Projects!$D$17:$D$46)*Projects!$B$17:$B$46*Assumptions!$B$12/Projects!$D$17:$D$46*0.95)+SUMPRODUCT((Projects!$G$17:$G$46="Yes")*(Projects!$X$17:$X$46="Yes")*(86=Projects!$C$17:$C$46+Projects!$D$17:$D$46-1)*Projects!$B$17:$B$46*Assumptions!$B$12*0.05)</f>
        <v>0</v>
      </c>
      <c r="CN97" s="296" t="n">
        <f aca="false">CN96+SUMPRODUCT((Projects!$G$17:$G$46="Yes")*(Projects!$X$17:$X$46="Yes")*(87&gt;=Projects!$C$17:$C$46)*(87&lt;Projects!$C$17:$C$46+Projects!$D$17:$D$46)*Projects!$B$17:$B$46*Assumptions!$B$10/Projects!$D$17:$D$46*0.95)+SUMPRODUCT((Projects!$G$17:$G$46="Yes")*(Projects!$X$17:$X$46="Yes")*(87=Projects!$C$17:$C$46+Projects!$D$17:$D$46-1)*Projects!$B$17:$B$46*Assumptions!$B$10*0.05)+SUMPRODUCT((Projects!$G$17:$G$46="Yes")*(Projects!$X$17:$X$46="Yes")*(87&gt;=Projects!$C$17:$C$46)*(87&lt;Projects!$C$17:$C$46+Projects!$D$17:$D$46)*Projects!$B$17:$B$46*Assumptions!$B$11/Projects!$D$17:$D$46*0.95)+SUMPRODUCT((Projects!$G$17:$G$46="Yes")*(Projects!$X$17:$X$46="Yes")*(87=Projects!$C$17:$C$46+Projects!$D$17:$D$46-1)*Projects!$B$17:$B$46*Assumptions!$B$11*0.05)+SUMPRODUCT((Projects!$G$17:$G$46="Yes")*(Projects!$X$17:$X$46="Yes")*(87&gt;=Projects!$C$17:$C$46)*(87&lt;Projects!$C$17:$C$46+Projects!$D$17:$D$46)*Projects!$B$17:$B$46*Assumptions!$B$12/Projects!$D$17:$D$46*0.95)+SUMPRODUCT((Projects!$G$17:$G$46="Yes")*(Projects!$X$17:$X$46="Yes")*(87=Projects!$C$17:$C$46+Projects!$D$17:$D$46-1)*Projects!$B$17:$B$46*Assumptions!$B$12*0.05)</f>
        <v>0</v>
      </c>
      <c r="CO97" s="296" t="n">
        <f aca="false">CO96+SUMPRODUCT((Projects!$G$17:$G$46="Yes")*(Projects!$X$17:$X$46="Yes")*(88&gt;=Projects!$C$17:$C$46)*(88&lt;Projects!$C$17:$C$46+Projects!$D$17:$D$46)*Projects!$B$17:$B$46*Assumptions!$B$10/Projects!$D$17:$D$46*0.95)+SUMPRODUCT((Projects!$G$17:$G$46="Yes")*(Projects!$X$17:$X$46="Yes")*(88=Projects!$C$17:$C$46+Projects!$D$17:$D$46-1)*Projects!$B$17:$B$46*Assumptions!$B$10*0.05)+SUMPRODUCT((Projects!$G$17:$G$46="Yes")*(Projects!$X$17:$X$46="Yes")*(88&gt;=Projects!$C$17:$C$46)*(88&lt;Projects!$C$17:$C$46+Projects!$D$17:$D$46)*Projects!$B$17:$B$46*Assumptions!$B$11/Projects!$D$17:$D$46*0.95)+SUMPRODUCT((Projects!$G$17:$G$46="Yes")*(Projects!$X$17:$X$46="Yes")*(88=Projects!$C$17:$C$46+Projects!$D$17:$D$46-1)*Projects!$B$17:$B$46*Assumptions!$B$11*0.05)+SUMPRODUCT((Projects!$G$17:$G$46="Yes")*(Projects!$X$17:$X$46="Yes")*(88&gt;=Projects!$C$17:$C$46)*(88&lt;Projects!$C$17:$C$46+Projects!$D$17:$D$46)*Projects!$B$17:$B$46*Assumptions!$B$12/Projects!$D$17:$D$46*0.95)+SUMPRODUCT((Projects!$G$17:$G$46="Yes")*(Projects!$X$17:$X$46="Yes")*(88=Projects!$C$17:$C$46+Projects!$D$17:$D$46-1)*Projects!$B$17:$B$46*Assumptions!$B$12*0.05)</f>
        <v>0</v>
      </c>
      <c r="CP97" s="296" t="n">
        <f aca="false">CP96+SUMPRODUCT((Projects!$G$17:$G$46="Yes")*(Projects!$X$17:$X$46="Yes")*(89&gt;=Projects!$C$17:$C$46)*(89&lt;Projects!$C$17:$C$46+Projects!$D$17:$D$46)*Projects!$B$17:$B$46*Assumptions!$B$10/Projects!$D$17:$D$46*0.95)+SUMPRODUCT((Projects!$G$17:$G$46="Yes")*(Projects!$X$17:$X$46="Yes")*(89=Projects!$C$17:$C$46+Projects!$D$17:$D$46-1)*Projects!$B$17:$B$46*Assumptions!$B$10*0.05)+SUMPRODUCT((Projects!$G$17:$G$46="Yes")*(Projects!$X$17:$X$46="Yes")*(89&gt;=Projects!$C$17:$C$46)*(89&lt;Projects!$C$17:$C$46+Projects!$D$17:$D$46)*Projects!$B$17:$B$46*Assumptions!$B$11/Projects!$D$17:$D$46*0.95)+SUMPRODUCT((Projects!$G$17:$G$46="Yes")*(Projects!$X$17:$X$46="Yes")*(89=Projects!$C$17:$C$46+Projects!$D$17:$D$46-1)*Projects!$B$17:$B$46*Assumptions!$B$11*0.05)+SUMPRODUCT((Projects!$G$17:$G$46="Yes")*(Projects!$X$17:$X$46="Yes")*(89&gt;=Projects!$C$17:$C$46)*(89&lt;Projects!$C$17:$C$46+Projects!$D$17:$D$46)*Projects!$B$17:$B$46*Assumptions!$B$12/Projects!$D$17:$D$46*0.95)+SUMPRODUCT((Projects!$G$17:$G$46="Yes")*(Projects!$X$17:$X$46="Yes")*(89=Projects!$C$17:$C$46+Projects!$D$17:$D$46-1)*Projects!$B$17:$B$46*Assumptions!$B$12*0.05)</f>
        <v>0</v>
      </c>
      <c r="CQ97" s="296" t="n">
        <f aca="false">CQ96+SUMPRODUCT((Projects!$G$17:$G$46="Yes")*(Projects!$X$17:$X$46="Yes")*(90&gt;=Projects!$C$17:$C$46)*(90&lt;Projects!$C$17:$C$46+Projects!$D$17:$D$46)*Projects!$B$17:$B$46*Assumptions!$B$10/Projects!$D$17:$D$46*0.95)+SUMPRODUCT((Projects!$G$17:$G$46="Yes")*(Projects!$X$17:$X$46="Yes")*(90=Projects!$C$17:$C$46+Projects!$D$17:$D$46-1)*Projects!$B$17:$B$46*Assumptions!$B$10*0.05)+SUMPRODUCT((Projects!$G$17:$G$46="Yes")*(Projects!$X$17:$X$46="Yes")*(90&gt;=Projects!$C$17:$C$46)*(90&lt;Projects!$C$17:$C$46+Projects!$D$17:$D$46)*Projects!$B$17:$B$46*Assumptions!$B$11/Projects!$D$17:$D$46*0.95)+SUMPRODUCT((Projects!$G$17:$G$46="Yes")*(Projects!$X$17:$X$46="Yes")*(90=Projects!$C$17:$C$46+Projects!$D$17:$D$46-1)*Projects!$B$17:$B$46*Assumptions!$B$11*0.05)+SUMPRODUCT((Projects!$G$17:$G$46="Yes")*(Projects!$X$17:$X$46="Yes")*(90&gt;=Projects!$C$17:$C$46)*(90&lt;Projects!$C$17:$C$46+Projects!$D$17:$D$46)*Projects!$B$17:$B$46*Assumptions!$B$12/Projects!$D$17:$D$46*0.95)+SUMPRODUCT((Projects!$G$17:$G$46="Yes")*(Projects!$X$17:$X$46="Yes")*(90=Projects!$C$17:$C$46+Projects!$D$17:$D$46-1)*Projects!$B$17:$B$46*Assumptions!$B$12*0.05)</f>
        <v>0</v>
      </c>
      <c r="CR97" s="296" t="n">
        <f aca="false">CR96+SUMPRODUCT((Projects!$G$17:$G$46="Yes")*(Projects!$X$17:$X$46="Yes")*(91&gt;=Projects!$C$17:$C$46)*(91&lt;Projects!$C$17:$C$46+Projects!$D$17:$D$46)*Projects!$B$17:$B$46*Assumptions!$B$10/Projects!$D$17:$D$46*0.95)+SUMPRODUCT((Projects!$G$17:$G$46="Yes")*(Projects!$X$17:$X$46="Yes")*(91=Projects!$C$17:$C$46+Projects!$D$17:$D$46-1)*Projects!$B$17:$B$46*Assumptions!$B$10*0.05)+SUMPRODUCT((Projects!$G$17:$G$46="Yes")*(Projects!$X$17:$X$46="Yes")*(91&gt;=Projects!$C$17:$C$46)*(91&lt;Projects!$C$17:$C$46+Projects!$D$17:$D$46)*Projects!$B$17:$B$46*Assumptions!$B$11/Projects!$D$17:$D$46*0.95)+SUMPRODUCT((Projects!$G$17:$G$46="Yes")*(Projects!$X$17:$X$46="Yes")*(91=Projects!$C$17:$C$46+Projects!$D$17:$D$46-1)*Projects!$B$17:$B$46*Assumptions!$B$11*0.05)+SUMPRODUCT((Projects!$G$17:$G$46="Yes")*(Projects!$X$17:$X$46="Yes")*(91&gt;=Projects!$C$17:$C$46)*(91&lt;Projects!$C$17:$C$46+Projects!$D$17:$D$46)*Projects!$B$17:$B$46*Assumptions!$B$12/Projects!$D$17:$D$46*0.95)+SUMPRODUCT((Projects!$G$17:$G$46="Yes")*(Projects!$X$17:$X$46="Yes")*(91=Projects!$C$17:$C$46+Projects!$D$17:$D$46-1)*Projects!$B$17:$B$46*Assumptions!$B$12*0.05)</f>
        <v>0</v>
      </c>
      <c r="CS97" s="296" t="n">
        <f aca="false">CS96+SUMPRODUCT((Projects!$G$17:$G$46="Yes")*(Projects!$X$17:$X$46="Yes")*(92&gt;=Projects!$C$17:$C$46)*(92&lt;Projects!$C$17:$C$46+Projects!$D$17:$D$46)*Projects!$B$17:$B$46*Assumptions!$B$10/Projects!$D$17:$D$46*0.95)+SUMPRODUCT((Projects!$G$17:$G$46="Yes")*(Projects!$X$17:$X$46="Yes")*(92=Projects!$C$17:$C$46+Projects!$D$17:$D$46-1)*Projects!$B$17:$B$46*Assumptions!$B$10*0.05)+SUMPRODUCT((Projects!$G$17:$G$46="Yes")*(Projects!$X$17:$X$46="Yes")*(92&gt;=Projects!$C$17:$C$46)*(92&lt;Projects!$C$17:$C$46+Projects!$D$17:$D$46)*Projects!$B$17:$B$46*Assumptions!$B$11/Projects!$D$17:$D$46*0.95)+SUMPRODUCT((Projects!$G$17:$G$46="Yes")*(Projects!$X$17:$X$46="Yes")*(92=Projects!$C$17:$C$46+Projects!$D$17:$D$46-1)*Projects!$B$17:$B$46*Assumptions!$B$11*0.05)+SUMPRODUCT((Projects!$G$17:$G$46="Yes")*(Projects!$X$17:$X$46="Yes")*(92&gt;=Projects!$C$17:$C$46)*(92&lt;Projects!$C$17:$C$46+Projects!$D$17:$D$46)*Projects!$B$17:$B$46*Assumptions!$B$12/Projects!$D$17:$D$46*0.95)+SUMPRODUCT((Projects!$G$17:$G$46="Yes")*(Projects!$X$17:$X$46="Yes")*(92=Projects!$C$17:$C$46+Projects!$D$17:$D$46-1)*Projects!$B$17:$B$46*Assumptions!$B$12*0.05)</f>
        <v>0</v>
      </c>
      <c r="CT97" s="296" t="n">
        <f aca="false">CT96+SUMPRODUCT((Projects!$G$17:$G$46="Yes")*(Projects!$X$17:$X$46="Yes")*(93&gt;=Projects!$C$17:$C$46)*(93&lt;Projects!$C$17:$C$46+Projects!$D$17:$D$46)*Projects!$B$17:$B$46*Assumptions!$B$10/Projects!$D$17:$D$46*0.95)+SUMPRODUCT((Projects!$G$17:$G$46="Yes")*(Projects!$X$17:$X$46="Yes")*(93=Projects!$C$17:$C$46+Projects!$D$17:$D$46-1)*Projects!$B$17:$B$46*Assumptions!$B$10*0.05)+SUMPRODUCT((Projects!$G$17:$G$46="Yes")*(Projects!$X$17:$X$46="Yes")*(93&gt;=Projects!$C$17:$C$46)*(93&lt;Projects!$C$17:$C$46+Projects!$D$17:$D$46)*Projects!$B$17:$B$46*Assumptions!$B$11/Projects!$D$17:$D$46*0.95)+SUMPRODUCT((Projects!$G$17:$G$46="Yes")*(Projects!$X$17:$X$46="Yes")*(93=Projects!$C$17:$C$46+Projects!$D$17:$D$46-1)*Projects!$B$17:$B$46*Assumptions!$B$11*0.05)+SUMPRODUCT((Projects!$G$17:$G$46="Yes")*(Projects!$X$17:$X$46="Yes")*(93&gt;=Projects!$C$17:$C$46)*(93&lt;Projects!$C$17:$C$46+Projects!$D$17:$D$46)*Projects!$B$17:$B$46*Assumptions!$B$12/Projects!$D$17:$D$46*0.95)+SUMPRODUCT((Projects!$G$17:$G$46="Yes")*(Projects!$X$17:$X$46="Yes")*(93=Projects!$C$17:$C$46+Projects!$D$17:$D$46-1)*Projects!$B$17:$B$46*Assumptions!$B$12*0.05)</f>
        <v>0</v>
      </c>
      <c r="CU97" s="296" t="n">
        <f aca="false">CU96+SUMPRODUCT((Projects!$G$17:$G$46="Yes")*(Projects!$X$17:$X$46="Yes")*(94&gt;=Projects!$C$17:$C$46)*(94&lt;Projects!$C$17:$C$46+Projects!$D$17:$D$46)*Projects!$B$17:$B$46*Assumptions!$B$10/Projects!$D$17:$D$46*0.95)+SUMPRODUCT((Projects!$G$17:$G$46="Yes")*(Projects!$X$17:$X$46="Yes")*(94=Projects!$C$17:$C$46+Projects!$D$17:$D$46-1)*Projects!$B$17:$B$46*Assumptions!$B$10*0.05)+SUMPRODUCT((Projects!$G$17:$G$46="Yes")*(Projects!$X$17:$X$46="Yes")*(94&gt;=Projects!$C$17:$C$46)*(94&lt;Projects!$C$17:$C$46+Projects!$D$17:$D$46)*Projects!$B$17:$B$46*Assumptions!$B$11/Projects!$D$17:$D$46*0.95)+SUMPRODUCT((Projects!$G$17:$G$46="Yes")*(Projects!$X$17:$X$46="Yes")*(94=Projects!$C$17:$C$46+Projects!$D$17:$D$46-1)*Projects!$B$17:$B$46*Assumptions!$B$11*0.05)+SUMPRODUCT((Projects!$G$17:$G$46="Yes")*(Projects!$X$17:$X$46="Yes")*(94&gt;=Projects!$C$17:$C$46)*(94&lt;Projects!$C$17:$C$46+Projects!$D$17:$D$46)*Projects!$B$17:$B$46*Assumptions!$B$12/Projects!$D$17:$D$46*0.95)+SUMPRODUCT((Projects!$G$17:$G$46="Yes")*(Projects!$X$17:$X$46="Yes")*(94=Projects!$C$17:$C$46+Projects!$D$17:$D$46-1)*Projects!$B$17:$B$46*Assumptions!$B$12*0.05)</f>
        <v>0</v>
      </c>
      <c r="CV97" s="296" t="n">
        <f aca="false">CV96+SUMPRODUCT((Projects!$G$17:$G$46="Yes")*(Projects!$X$17:$X$46="Yes")*(95&gt;=Projects!$C$17:$C$46)*(95&lt;Projects!$C$17:$C$46+Projects!$D$17:$D$46)*Projects!$B$17:$B$46*Assumptions!$B$10/Projects!$D$17:$D$46*0.95)+SUMPRODUCT((Projects!$G$17:$G$46="Yes")*(Projects!$X$17:$X$46="Yes")*(95=Projects!$C$17:$C$46+Projects!$D$17:$D$46-1)*Projects!$B$17:$B$46*Assumptions!$B$10*0.05)+SUMPRODUCT((Projects!$G$17:$G$46="Yes")*(Projects!$X$17:$X$46="Yes")*(95&gt;=Projects!$C$17:$C$46)*(95&lt;Projects!$C$17:$C$46+Projects!$D$17:$D$46)*Projects!$B$17:$B$46*Assumptions!$B$11/Projects!$D$17:$D$46*0.95)+SUMPRODUCT((Projects!$G$17:$G$46="Yes")*(Projects!$X$17:$X$46="Yes")*(95=Projects!$C$17:$C$46+Projects!$D$17:$D$46-1)*Projects!$B$17:$B$46*Assumptions!$B$11*0.05)+SUMPRODUCT((Projects!$G$17:$G$46="Yes")*(Projects!$X$17:$X$46="Yes")*(95&gt;=Projects!$C$17:$C$46)*(95&lt;Projects!$C$17:$C$46+Projects!$D$17:$D$46)*Projects!$B$17:$B$46*Assumptions!$B$12/Projects!$D$17:$D$46*0.95)+SUMPRODUCT((Projects!$G$17:$G$46="Yes")*(Projects!$X$17:$X$46="Yes")*(95=Projects!$C$17:$C$46+Projects!$D$17:$D$46-1)*Projects!$B$17:$B$46*Assumptions!$B$12*0.05)</f>
        <v>0</v>
      </c>
      <c r="CW97" s="296" t="n">
        <f aca="false">CW96+SUMPRODUCT((Projects!$G$17:$G$46="Yes")*(Projects!$X$17:$X$46="Yes")*(96&gt;=Projects!$C$17:$C$46)*(96&lt;Projects!$C$17:$C$46+Projects!$D$17:$D$46)*Projects!$B$17:$B$46*Assumptions!$B$10/Projects!$D$17:$D$46*0.95)+SUMPRODUCT((Projects!$G$17:$G$46="Yes")*(Projects!$X$17:$X$46="Yes")*(96=Projects!$C$17:$C$46+Projects!$D$17:$D$46-1)*Projects!$B$17:$B$46*Assumptions!$B$10*0.05)+SUMPRODUCT((Projects!$G$17:$G$46="Yes")*(Projects!$X$17:$X$46="Yes")*(96&gt;=Projects!$C$17:$C$46)*(96&lt;Projects!$C$17:$C$46+Projects!$D$17:$D$46)*Projects!$B$17:$B$46*Assumptions!$B$11/Projects!$D$17:$D$46*0.95)+SUMPRODUCT((Projects!$G$17:$G$46="Yes")*(Projects!$X$17:$X$46="Yes")*(96=Projects!$C$17:$C$46+Projects!$D$17:$D$46-1)*Projects!$B$17:$B$46*Assumptions!$B$11*0.05)+SUMPRODUCT((Projects!$G$17:$G$46="Yes")*(Projects!$X$17:$X$46="Yes")*(96&gt;=Projects!$C$17:$C$46)*(96&lt;Projects!$C$17:$C$46+Projects!$D$17:$D$46)*Projects!$B$17:$B$46*Assumptions!$B$12/Projects!$D$17:$D$46*0.95)+SUMPRODUCT((Projects!$G$17:$G$46="Yes")*(Projects!$X$17:$X$46="Yes")*(96=Projects!$C$17:$C$46+Projects!$D$17:$D$46-1)*Projects!$B$17:$B$46*Assumptions!$B$12*0.05)</f>
        <v>0</v>
      </c>
      <c r="CX97" s="296" t="n">
        <f aca="false">CX96+SUMPRODUCT((Projects!$G$17:$G$46="Yes")*(Projects!$X$17:$X$46="Yes")*(97&gt;=Projects!$C$17:$C$46)*(97&lt;Projects!$C$17:$C$46+Projects!$D$17:$D$46)*Projects!$B$17:$B$46*Assumptions!$B$10/Projects!$D$17:$D$46*0.95)+SUMPRODUCT((Projects!$G$17:$G$46="Yes")*(Projects!$X$17:$X$46="Yes")*(97=Projects!$C$17:$C$46+Projects!$D$17:$D$46-1)*Projects!$B$17:$B$46*Assumptions!$B$10*0.05)+SUMPRODUCT((Projects!$G$17:$G$46="Yes")*(Projects!$X$17:$X$46="Yes")*(97&gt;=Projects!$C$17:$C$46)*(97&lt;Projects!$C$17:$C$46+Projects!$D$17:$D$46)*Projects!$B$17:$B$46*Assumptions!$B$11/Projects!$D$17:$D$46*0.95)+SUMPRODUCT((Projects!$G$17:$G$46="Yes")*(Projects!$X$17:$X$46="Yes")*(97=Projects!$C$17:$C$46+Projects!$D$17:$D$46-1)*Projects!$B$17:$B$46*Assumptions!$B$11*0.05)+SUMPRODUCT((Projects!$G$17:$G$46="Yes")*(Projects!$X$17:$X$46="Yes")*(97&gt;=Projects!$C$17:$C$46)*(97&lt;Projects!$C$17:$C$46+Projects!$D$17:$D$46)*Projects!$B$17:$B$46*Assumptions!$B$12/Projects!$D$17:$D$46*0.95)+SUMPRODUCT((Projects!$G$17:$G$46="Yes")*(Projects!$X$17:$X$46="Yes")*(97=Projects!$C$17:$C$46+Projects!$D$17:$D$46-1)*Projects!$B$17:$B$46*Assumptions!$B$12*0.05)</f>
        <v>0</v>
      </c>
      <c r="CY97" s="296" t="n">
        <f aca="false">CY96+SUMPRODUCT((Projects!$G$17:$G$46="Yes")*(Projects!$X$17:$X$46="Yes")*(98&gt;=Projects!$C$17:$C$46)*(98&lt;Projects!$C$17:$C$46+Projects!$D$17:$D$46)*Projects!$B$17:$B$46*Assumptions!$B$10/Projects!$D$17:$D$46*0.95)+SUMPRODUCT((Projects!$G$17:$G$46="Yes")*(Projects!$X$17:$X$46="Yes")*(98=Projects!$C$17:$C$46+Projects!$D$17:$D$46-1)*Projects!$B$17:$B$46*Assumptions!$B$10*0.05)+SUMPRODUCT((Projects!$G$17:$G$46="Yes")*(Projects!$X$17:$X$46="Yes")*(98&gt;=Projects!$C$17:$C$46)*(98&lt;Projects!$C$17:$C$46+Projects!$D$17:$D$46)*Projects!$B$17:$B$46*Assumptions!$B$11/Projects!$D$17:$D$46*0.95)+SUMPRODUCT((Projects!$G$17:$G$46="Yes")*(Projects!$X$17:$X$46="Yes")*(98=Projects!$C$17:$C$46+Projects!$D$17:$D$46-1)*Projects!$B$17:$B$46*Assumptions!$B$11*0.05)+SUMPRODUCT((Projects!$G$17:$G$46="Yes")*(Projects!$X$17:$X$46="Yes")*(98&gt;=Projects!$C$17:$C$46)*(98&lt;Projects!$C$17:$C$46+Projects!$D$17:$D$46)*Projects!$B$17:$B$46*Assumptions!$B$12/Projects!$D$17:$D$46*0.95)+SUMPRODUCT((Projects!$G$17:$G$46="Yes")*(Projects!$X$17:$X$46="Yes")*(98=Projects!$C$17:$C$46+Projects!$D$17:$D$46-1)*Projects!$B$17:$B$46*Assumptions!$B$12*0.05)</f>
        <v>0</v>
      </c>
      <c r="CZ97" s="296" t="n">
        <f aca="false">CZ96+SUMPRODUCT((Projects!$G$17:$G$46="Yes")*(Projects!$X$17:$X$46="Yes")*(99&gt;=Projects!$C$17:$C$46)*(99&lt;Projects!$C$17:$C$46+Projects!$D$17:$D$46)*Projects!$B$17:$B$46*Assumptions!$B$10/Projects!$D$17:$D$46*0.95)+SUMPRODUCT((Projects!$G$17:$G$46="Yes")*(Projects!$X$17:$X$46="Yes")*(99=Projects!$C$17:$C$46+Projects!$D$17:$D$46-1)*Projects!$B$17:$B$46*Assumptions!$B$10*0.05)+SUMPRODUCT((Projects!$G$17:$G$46="Yes")*(Projects!$X$17:$X$46="Yes")*(99&gt;=Projects!$C$17:$C$46)*(99&lt;Projects!$C$17:$C$46+Projects!$D$17:$D$46)*Projects!$B$17:$B$46*Assumptions!$B$11/Projects!$D$17:$D$46*0.95)+SUMPRODUCT((Projects!$G$17:$G$46="Yes")*(Projects!$X$17:$X$46="Yes")*(99=Projects!$C$17:$C$46+Projects!$D$17:$D$46-1)*Projects!$B$17:$B$46*Assumptions!$B$11*0.05)+SUMPRODUCT((Projects!$G$17:$G$46="Yes")*(Projects!$X$17:$X$46="Yes")*(99&gt;=Projects!$C$17:$C$46)*(99&lt;Projects!$C$17:$C$46+Projects!$D$17:$D$46)*Projects!$B$17:$B$46*Assumptions!$B$12/Projects!$D$17:$D$46*0.95)+SUMPRODUCT((Projects!$G$17:$G$46="Yes")*(Projects!$X$17:$X$46="Yes")*(99=Projects!$C$17:$C$46+Projects!$D$17:$D$46-1)*Projects!$B$17:$B$46*Assumptions!$B$12*0.05)</f>
        <v>0</v>
      </c>
      <c r="DA97" s="296" t="n">
        <f aca="false">DA96+SUMPRODUCT((Projects!$G$17:$G$46="Yes")*(Projects!$X$17:$X$46="Yes")*(100&gt;=Projects!$C$17:$C$46)*(100&lt;Projects!$C$17:$C$46+Projects!$D$17:$D$46)*Projects!$B$17:$B$46*Assumptions!$B$10/Projects!$D$17:$D$46*0.95)+SUMPRODUCT((Projects!$G$17:$G$46="Yes")*(Projects!$X$17:$X$46="Yes")*(100=Projects!$C$17:$C$46+Projects!$D$17:$D$46-1)*Projects!$B$17:$B$46*Assumptions!$B$10*0.05)+SUMPRODUCT((Projects!$G$17:$G$46="Yes")*(Projects!$X$17:$X$46="Yes")*(100&gt;=Projects!$C$17:$C$46)*(100&lt;Projects!$C$17:$C$46+Projects!$D$17:$D$46)*Projects!$B$17:$B$46*Assumptions!$B$11/Projects!$D$17:$D$46*0.95)+SUMPRODUCT((Projects!$G$17:$G$46="Yes")*(Projects!$X$17:$X$46="Yes")*(100=Projects!$C$17:$C$46+Projects!$D$17:$D$46-1)*Projects!$B$17:$B$46*Assumptions!$B$11*0.05)+SUMPRODUCT((Projects!$G$17:$G$46="Yes")*(Projects!$X$17:$X$46="Yes")*(100&gt;=Projects!$C$17:$C$46)*(100&lt;Projects!$C$17:$C$46+Projects!$D$17:$D$46)*Projects!$B$17:$B$46*Assumptions!$B$12/Projects!$D$17:$D$46*0.95)+SUMPRODUCT((Projects!$G$17:$G$46="Yes")*(Projects!$X$17:$X$46="Yes")*(100=Projects!$C$17:$C$46+Projects!$D$17:$D$46-1)*Projects!$B$17:$B$46*Assumptions!$B$12*0.05)</f>
        <v>0</v>
      </c>
      <c r="DB97" s="296" t="n">
        <f aca="false">DB96+SUMPRODUCT((Projects!$G$17:$G$46="Yes")*(Projects!$X$17:$X$46="Yes")*(101&gt;=Projects!$C$17:$C$46)*(101&lt;Projects!$C$17:$C$46+Projects!$D$17:$D$46)*Projects!$B$17:$B$46*Assumptions!$B$10/Projects!$D$17:$D$46*0.95)+SUMPRODUCT((Projects!$G$17:$G$46="Yes")*(Projects!$X$17:$X$46="Yes")*(101=Projects!$C$17:$C$46+Projects!$D$17:$D$46-1)*Projects!$B$17:$B$46*Assumptions!$B$10*0.05)+SUMPRODUCT((Projects!$G$17:$G$46="Yes")*(Projects!$X$17:$X$46="Yes")*(101&gt;=Projects!$C$17:$C$46)*(101&lt;Projects!$C$17:$C$46+Projects!$D$17:$D$46)*Projects!$B$17:$B$46*Assumptions!$B$11/Projects!$D$17:$D$46*0.95)+SUMPRODUCT((Projects!$G$17:$G$46="Yes")*(Projects!$X$17:$X$46="Yes")*(101=Projects!$C$17:$C$46+Projects!$D$17:$D$46-1)*Projects!$B$17:$B$46*Assumptions!$B$11*0.05)+SUMPRODUCT((Projects!$G$17:$G$46="Yes")*(Projects!$X$17:$X$46="Yes")*(101&gt;=Projects!$C$17:$C$46)*(101&lt;Projects!$C$17:$C$46+Projects!$D$17:$D$46)*Projects!$B$17:$B$46*Assumptions!$B$12/Projects!$D$17:$D$46*0.95)+SUMPRODUCT((Projects!$G$17:$G$46="Yes")*(Projects!$X$17:$X$46="Yes")*(101=Projects!$C$17:$C$46+Projects!$D$17:$D$46-1)*Projects!$B$17:$B$46*Assumptions!$B$12*0.05)</f>
        <v>0</v>
      </c>
      <c r="DC97" s="296" t="n">
        <f aca="false">DC96+SUMPRODUCT((Projects!$G$17:$G$46="Yes")*(Projects!$X$17:$X$46="Yes")*(102&gt;=Projects!$C$17:$C$46)*(102&lt;Projects!$C$17:$C$46+Projects!$D$17:$D$46)*Projects!$B$17:$B$46*Assumptions!$B$10/Projects!$D$17:$D$46*0.95)+SUMPRODUCT((Projects!$G$17:$G$46="Yes")*(Projects!$X$17:$X$46="Yes")*(102=Projects!$C$17:$C$46+Projects!$D$17:$D$46-1)*Projects!$B$17:$B$46*Assumptions!$B$10*0.05)+SUMPRODUCT((Projects!$G$17:$G$46="Yes")*(Projects!$X$17:$X$46="Yes")*(102&gt;=Projects!$C$17:$C$46)*(102&lt;Projects!$C$17:$C$46+Projects!$D$17:$D$46)*Projects!$B$17:$B$46*Assumptions!$B$11/Projects!$D$17:$D$46*0.95)+SUMPRODUCT((Projects!$G$17:$G$46="Yes")*(Projects!$X$17:$X$46="Yes")*(102=Projects!$C$17:$C$46+Projects!$D$17:$D$46-1)*Projects!$B$17:$B$46*Assumptions!$B$11*0.05)+SUMPRODUCT((Projects!$G$17:$G$46="Yes")*(Projects!$X$17:$X$46="Yes")*(102&gt;=Projects!$C$17:$C$46)*(102&lt;Projects!$C$17:$C$46+Projects!$D$17:$D$46)*Projects!$B$17:$B$46*Assumptions!$B$12/Projects!$D$17:$D$46*0.95)+SUMPRODUCT((Projects!$G$17:$G$46="Yes")*(Projects!$X$17:$X$46="Yes")*(102=Projects!$C$17:$C$46+Projects!$D$17:$D$46-1)*Projects!$B$17:$B$46*Assumptions!$B$12*0.05)</f>
        <v>0</v>
      </c>
      <c r="DD97" s="296" t="n">
        <f aca="false">DD96+SUMPRODUCT((Projects!$G$17:$G$46="Yes")*(Projects!$X$17:$X$46="Yes")*(103&gt;=Projects!$C$17:$C$46)*(103&lt;Projects!$C$17:$C$46+Projects!$D$17:$D$46)*Projects!$B$17:$B$46*Assumptions!$B$10/Projects!$D$17:$D$46*0.95)+SUMPRODUCT((Projects!$G$17:$G$46="Yes")*(Projects!$X$17:$X$46="Yes")*(103=Projects!$C$17:$C$46+Projects!$D$17:$D$46-1)*Projects!$B$17:$B$46*Assumptions!$B$10*0.05)+SUMPRODUCT((Projects!$G$17:$G$46="Yes")*(Projects!$X$17:$X$46="Yes")*(103&gt;=Projects!$C$17:$C$46)*(103&lt;Projects!$C$17:$C$46+Projects!$D$17:$D$46)*Projects!$B$17:$B$46*Assumptions!$B$11/Projects!$D$17:$D$46*0.95)+SUMPRODUCT((Projects!$G$17:$G$46="Yes")*(Projects!$X$17:$X$46="Yes")*(103=Projects!$C$17:$C$46+Projects!$D$17:$D$46-1)*Projects!$B$17:$B$46*Assumptions!$B$11*0.05)+SUMPRODUCT((Projects!$G$17:$G$46="Yes")*(Projects!$X$17:$X$46="Yes")*(103&gt;=Projects!$C$17:$C$46)*(103&lt;Projects!$C$17:$C$46+Projects!$D$17:$D$46)*Projects!$B$17:$B$46*Assumptions!$B$12/Projects!$D$17:$D$46*0.95)+SUMPRODUCT((Projects!$G$17:$G$46="Yes")*(Projects!$X$17:$X$46="Yes")*(103=Projects!$C$17:$C$46+Projects!$D$17:$D$46-1)*Projects!$B$17:$B$46*Assumptions!$B$12*0.05)</f>
        <v>0</v>
      </c>
      <c r="DE97" s="296" t="n">
        <f aca="false">DE96+SUMPRODUCT((Projects!$G$17:$G$46="Yes")*(Projects!$X$17:$X$46="Yes")*(104&gt;=Projects!$C$17:$C$46)*(104&lt;Projects!$C$17:$C$46+Projects!$D$17:$D$46)*Projects!$B$17:$B$46*Assumptions!$B$10/Projects!$D$17:$D$46*0.95)+SUMPRODUCT((Projects!$G$17:$G$46="Yes")*(Projects!$X$17:$X$46="Yes")*(104=Projects!$C$17:$C$46+Projects!$D$17:$D$46-1)*Projects!$B$17:$B$46*Assumptions!$B$10*0.05)+SUMPRODUCT((Projects!$G$17:$G$46="Yes")*(Projects!$X$17:$X$46="Yes")*(104&gt;=Projects!$C$17:$C$46)*(104&lt;Projects!$C$17:$C$46+Projects!$D$17:$D$46)*Projects!$B$17:$B$46*Assumptions!$B$11/Projects!$D$17:$D$46*0.95)+SUMPRODUCT((Projects!$G$17:$G$46="Yes")*(Projects!$X$17:$X$46="Yes")*(104=Projects!$C$17:$C$46+Projects!$D$17:$D$46-1)*Projects!$B$17:$B$46*Assumptions!$B$11*0.05)+SUMPRODUCT((Projects!$G$17:$G$46="Yes")*(Projects!$X$17:$X$46="Yes")*(104&gt;=Projects!$C$17:$C$46)*(104&lt;Projects!$C$17:$C$46+Projects!$D$17:$D$46)*Projects!$B$17:$B$46*Assumptions!$B$12/Projects!$D$17:$D$46*0.95)+SUMPRODUCT((Projects!$G$17:$G$46="Yes")*(Projects!$X$17:$X$46="Yes")*(104=Projects!$C$17:$C$46+Projects!$D$17:$D$46-1)*Projects!$B$17:$B$46*Assumptions!$B$12*0.05)</f>
        <v>0</v>
      </c>
      <c r="DF97" s="296" t="n">
        <f aca="false">DF96+SUMPRODUCT((Projects!$G$17:$G$46="Yes")*(Projects!$X$17:$X$46="Yes")*(105&gt;=Projects!$C$17:$C$46)*(105&lt;Projects!$C$17:$C$46+Projects!$D$17:$D$46)*Projects!$B$17:$B$46*Assumptions!$B$10/Projects!$D$17:$D$46*0.95)+SUMPRODUCT((Projects!$G$17:$G$46="Yes")*(Projects!$X$17:$X$46="Yes")*(105=Projects!$C$17:$C$46+Projects!$D$17:$D$46-1)*Projects!$B$17:$B$46*Assumptions!$B$10*0.05)+SUMPRODUCT((Projects!$G$17:$G$46="Yes")*(Projects!$X$17:$X$46="Yes")*(105&gt;=Projects!$C$17:$C$46)*(105&lt;Projects!$C$17:$C$46+Projects!$D$17:$D$46)*Projects!$B$17:$B$46*Assumptions!$B$11/Projects!$D$17:$D$46*0.95)+SUMPRODUCT((Projects!$G$17:$G$46="Yes")*(Projects!$X$17:$X$46="Yes")*(105=Projects!$C$17:$C$46+Projects!$D$17:$D$46-1)*Projects!$B$17:$B$46*Assumptions!$B$11*0.05)+SUMPRODUCT((Projects!$G$17:$G$46="Yes")*(Projects!$X$17:$X$46="Yes")*(105&gt;=Projects!$C$17:$C$46)*(105&lt;Projects!$C$17:$C$46+Projects!$D$17:$D$46)*Projects!$B$17:$B$46*Assumptions!$B$12/Projects!$D$17:$D$46*0.95)+SUMPRODUCT((Projects!$G$17:$G$46="Yes")*(Projects!$X$17:$X$46="Yes")*(105=Projects!$C$17:$C$46+Projects!$D$17:$D$46-1)*Projects!$B$17:$B$46*Assumptions!$B$12*0.05)</f>
        <v>0</v>
      </c>
    </row>
    <row r="98" customFormat="false" ht="15" hidden="false" customHeight="true" outlineLevel="0" collapsed="false">
      <c r="A98" s="72" t="s">
        <v>1100</v>
      </c>
      <c r="C98" s="297" t="n">
        <f aca="false">IFERROR((C97-C96)/(Model!B199-(Model!B196)),0)</f>
        <v>0</v>
      </c>
      <c r="D98" s="297" t="n">
        <f aca="false">IFERROR((D97-D96)/(Model!C199-(Model!C196)),0)</f>
        <v>-0</v>
      </c>
      <c r="E98" s="297" t="n">
        <f aca="false">IFERROR((E97-E96)/(Model!D199-(Model!D196)),0)</f>
        <v>0</v>
      </c>
      <c r="F98" s="297" t="n">
        <f aca="false">IFERROR((F97-F96)/(Model!E199-(Model!E196)),0)</f>
        <v>0</v>
      </c>
      <c r="G98" s="297" t="n">
        <f aca="false">IFERROR((G97-G96)/(Model!F199-(Model!F196)),0)</f>
        <v>0</v>
      </c>
      <c r="H98" s="297" t="n">
        <f aca="false">IFERROR((H97-H96)/(Model!G199-(Model!G196)),0)</f>
        <v>0</v>
      </c>
      <c r="I98" s="297" t="n">
        <f aca="false">IFERROR((I97-I96)/(Model!H199-(Model!H196)),0)</f>
        <v>0</v>
      </c>
      <c r="J98" s="297" t="n">
        <f aca="false">IFERROR((J97-J96)/(Model!I199-(Model!I196)),0)</f>
        <v>0</v>
      </c>
      <c r="K98" s="297" t="n">
        <f aca="false">IFERROR((K97-K96)/(Model!J199-(Model!J196)),0)</f>
        <v>0</v>
      </c>
      <c r="L98" s="297" t="n">
        <f aca="false">IFERROR((L97-L96)/(Model!K199-(Model!K196)),0)</f>
        <v>0</v>
      </c>
      <c r="M98" s="297" t="n">
        <f aca="false">IFERROR((M97-M96)/(Model!L199-(Model!L196)),0)</f>
        <v>0</v>
      </c>
      <c r="N98" s="297" t="n">
        <f aca="false">IFERROR((N97-N96)/(Model!M199-(Model!M196)),0)</f>
        <v>0</v>
      </c>
      <c r="O98" s="297" t="n">
        <f aca="false">IFERROR((O97-O96)/(Model!N199-(Model!N196)),0)</f>
        <v>0</v>
      </c>
      <c r="P98" s="297" t="n">
        <f aca="false">IFERROR((P97-P96)/(Model!O199-(Model!O196)),0)</f>
        <v>0</v>
      </c>
      <c r="Q98" s="297" t="n">
        <f aca="false">IFERROR((Q97-Q96)/(Model!P199-(Model!P196)),0)</f>
        <v>0</v>
      </c>
      <c r="R98" s="297" t="n">
        <f aca="false">IFERROR((R97-R96)/(Model!Q199-(Model!Q196)),0)</f>
        <v>0</v>
      </c>
      <c r="S98" s="297" t="n">
        <f aca="false">IFERROR((S97-S96)/(Model!R199-(Model!R196)),0)</f>
        <v>0</v>
      </c>
      <c r="T98" s="297" t="n">
        <f aca="false">IFERROR((T97-T96)/(Model!S199-(Model!S196)),0)</f>
        <v>0</v>
      </c>
      <c r="U98" s="297" t="n">
        <f aca="false">IFERROR((U97-U96)/(Model!T199-(Model!T196)),0)</f>
        <v>0</v>
      </c>
      <c r="V98" s="297" t="n">
        <f aca="false">IFERROR((V97-V96)/(Model!U199-(Model!U196)),0)</f>
        <v>0</v>
      </c>
      <c r="W98" s="297" t="n">
        <f aca="false">IFERROR((W97-W96)/(Model!V199-(Model!V196)),0)</f>
        <v>0</v>
      </c>
      <c r="X98" s="297" t="n">
        <f aca="false">IFERROR((X97-X96)/(Model!W199-(Model!W196)),0)</f>
        <v>0.0910591445578039</v>
      </c>
      <c r="Y98" s="297" t="n">
        <f aca="false">IFERROR((Y97-Y96)/(Model!X199-(Model!X196)),0)</f>
        <v>0.0816648426840815</v>
      </c>
      <c r="Z98" s="297" t="n">
        <f aca="false">IFERROR((Z97-Z96)/(Model!Y199-(Model!Y196)),0)</f>
        <v>0.0934027602243218</v>
      </c>
      <c r="AA98" s="297" t="n">
        <f aca="false">IFERROR((AA97-AA96)/(Model!Z199-(Model!Z196)),0)</f>
        <v>0.0866236097336228</v>
      </c>
      <c r="AB98" s="297" t="n">
        <f aca="false">IFERROR((AB97-AB96)/(Model!AA199-(Model!AA196)),0)</f>
        <v>0.0926942252141961</v>
      </c>
      <c r="AC98" s="297" t="n">
        <f aca="false">IFERROR((AC97-AC96)/(Model!AB199-(Model!AB196)),0)</f>
        <v>0.103843018322234</v>
      </c>
      <c r="AD98" s="297" t="n">
        <f aca="false">IFERROR((AD97-AD96)/(Model!AC199-(Model!AC196)),0)</f>
        <v>0.113340303192448</v>
      </c>
      <c r="AE98" s="297" t="n">
        <f aca="false">IFERROR((AE97-AE96)/(Model!AD199-(Model!AD196)),0)</f>
        <v>0.110960695675173</v>
      </c>
      <c r="AF98" s="297" t="n">
        <f aca="false">IFERROR((AF97-AF96)/(Model!AE199-(Model!AE196)),0)</f>
        <v>0.0974716452381042</v>
      </c>
      <c r="AG98" s="297" t="n">
        <f aca="false">IFERROR((AG97-AG96)/(Model!AF199-(Model!AF196)),0)</f>
        <v>0.0863004543979409</v>
      </c>
      <c r="AH98" s="297" t="n">
        <f aca="false">IFERROR((AH97-AH96)/(Model!AG199-(Model!AG196)),0)</f>
        <v>0.0906701514737941</v>
      </c>
      <c r="AI98" s="297" t="n">
        <f aca="false">IFERROR((AI97-AI96)/(Model!AH199-(Model!AH196)),0)</f>
        <v>0.0923110429013357</v>
      </c>
      <c r="AJ98" s="297" t="n">
        <f aca="false">IFERROR((AJ97-AJ96)/(Model!AI199-(Model!AI196)),0)</f>
        <v>0.113182810258874</v>
      </c>
      <c r="AK98" s="297" t="n">
        <f aca="false">IFERROR((AK97-AK96)/(Model!AJ199-(Model!AJ196)),0)</f>
        <v>0.118954094614006</v>
      </c>
      <c r="AL98" s="297" t="n">
        <f aca="false">IFERROR((AL97-AL96)/(Model!AK199-(Model!AK196)),0)</f>
        <v>0.142131297439072</v>
      </c>
      <c r="AM98" s="297" t="n">
        <f aca="false">IFERROR((AM97-AM96)/(Model!AL199-(Model!AL196)),0)</f>
        <v>0.139787232297627</v>
      </c>
      <c r="AN98" s="297" t="n">
        <f aca="false">IFERROR((AN97-AN96)/(Model!AM199-(Model!AM196)),0)</f>
        <v>0.137898890614857</v>
      </c>
      <c r="AO98" s="297" t="n">
        <f aca="false">IFERROR((AO97-AO96)/(Model!AN199-(Model!AN196)),0)</f>
        <v>0.141342719137256</v>
      </c>
      <c r="AP98" s="297" t="n">
        <f aca="false">IFERROR((AP97-AP96)/(Model!AO199-(Model!AO196)),0)</f>
        <v>0.166606132539466</v>
      </c>
      <c r="AQ98" s="297" t="n">
        <f aca="false">IFERROR((AQ97-AQ96)/(Model!AP199-(Model!AP196)),0)</f>
        <v>0.175690079148083</v>
      </c>
      <c r="AR98" s="297" t="n">
        <f aca="false">IFERROR((AR97-AR96)/(Model!AQ199-(Model!AQ196)),0)</f>
        <v>0.265324582610077</v>
      </c>
      <c r="AS98" s="297" t="n">
        <f aca="false">IFERROR((AS97-AS96)/(Model!AR199-(Model!AR196)),0)</f>
        <v>0.265324582610077</v>
      </c>
      <c r="AT98" s="297" t="n">
        <f aca="false">IFERROR((AT97-AT96)/(Model!AS199-(Model!AS196)),0)</f>
        <v>0.265324582610077</v>
      </c>
      <c r="AU98" s="297" t="n">
        <f aca="false">IFERROR((AU97-AU96)/(Model!AT199-(Model!AT196)),0)</f>
        <v>0.44974186005324</v>
      </c>
      <c r="AV98" s="297" t="n">
        <f aca="false">IFERROR((AV97-AV96)/(Model!AU199-(Model!AU196)),0)</f>
        <v>0</v>
      </c>
      <c r="AW98" s="297" t="n">
        <f aca="false">IFERROR((AW97-AW96)/(Model!AV199-(Model!AV196)),0)</f>
        <v>0</v>
      </c>
      <c r="AX98" s="297" t="n">
        <f aca="false">IFERROR((AX97-AX96)/(Model!AW199-(Model!AW196)),0)</f>
        <v>0</v>
      </c>
      <c r="AY98" s="297" t="n">
        <f aca="false">IFERROR((AY97-AY96)/(Model!AX199-(Model!AX196)),0)</f>
        <v>0</v>
      </c>
      <c r="AZ98" s="297" t="n">
        <f aca="false">IFERROR((AZ97-AZ96)/(Model!AY199-(Model!AY196)),0)</f>
        <v>0</v>
      </c>
      <c r="BA98" s="297" t="n">
        <f aca="false">IFERROR((BA97-BA96)/(Model!AZ199-(Model!AZ196)),0)</f>
        <v>0</v>
      </c>
      <c r="BB98" s="297" t="n">
        <f aca="false">IFERROR((BB97-BB96)/(Model!BA199-(Model!BA196)),0)</f>
        <v>0</v>
      </c>
      <c r="BC98" s="297" t="n">
        <f aca="false">IFERROR((BC97-BC96)/(Model!BB199-(Model!BB196)),0)</f>
        <v>0</v>
      </c>
      <c r="BD98" s="297" t="n">
        <f aca="false">IFERROR((BD97-BD96)/(Model!BC199-(Model!BC196)),0)</f>
        <v>0</v>
      </c>
      <c r="BE98" s="297" t="n">
        <f aca="false">IFERROR((BE97-BE96)/(Model!BD199-(Model!BD196)),0)</f>
        <v>0</v>
      </c>
      <c r="BF98" s="297" t="n">
        <f aca="false">IFERROR((BF97-BF96)/(Model!BE199-(Model!BE196)),0)</f>
        <v>0</v>
      </c>
      <c r="BG98" s="297" t="n">
        <f aca="false">IFERROR((BG97-BG96)/(Model!BF199-(Model!BF196)),0)</f>
        <v>0</v>
      </c>
      <c r="BH98" s="297" t="n">
        <f aca="false">IFERROR((BH97-BH96)/(Model!BG199-(Model!BG196)),0)</f>
        <v>0</v>
      </c>
      <c r="BI98" s="297" t="n">
        <f aca="false">IFERROR((BI97-BI96)/(Model!BH199-(Model!BH196)),0)</f>
        <v>0</v>
      </c>
      <c r="BJ98" s="297" t="n">
        <f aca="false">IFERROR((BJ97-BJ96)/(Model!BI199-(Model!BI196)),0)</f>
        <v>0</v>
      </c>
      <c r="BK98" s="297" t="n">
        <f aca="false">IFERROR((BK97-BK96)/(Model!BJ199-(Model!BJ196)),0)</f>
        <v>0</v>
      </c>
      <c r="BL98" s="297" t="n">
        <f aca="false">IFERROR((BL97-BL96)/(Model!BK199-(Model!BK196)),0)</f>
        <v>0</v>
      </c>
      <c r="BM98" s="297" t="n">
        <f aca="false">IFERROR((BM97-BM96)/(Model!BL199-(Model!BL196)),0)</f>
        <v>0</v>
      </c>
      <c r="BN98" s="297" t="n">
        <f aca="false">IFERROR((BN97-BN96)/(Model!BM199-(Model!BM196)),0)</f>
        <v>0</v>
      </c>
      <c r="BO98" s="297" t="n">
        <f aca="false">IFERROR((BO97-BO96)/(Model!BN199-(Model!BN196)),0)</f>
        <v>0</v>
      </c>
      <c r="BP98" s="297" t="n">
        <f aca="false">IFERROR((BP97-BP96)/(Model!BO199-(Model!BO196)),0)</f>
        <v>0</v>
      </c>
      <c r="BQ98" s="297" t="n">
        <f aca="false">IFERROR((BQ97-BQ96)/(Model!BP199-(Model!BP196)),0)</f>
        <v>0</v>
      </c>
      <c r="BR98" s="297" t="n">
        <f aca="false">IFERROR((BR97-BR96)/(Model!BQ199-(Model!BQ196)),0)</f>
        <v>0</v>
      </c>
      <c r="BS98" s="297" t="n">
        <f aca="false">IFERROR((BS97-BS96)/(Model!BR199-(Model!BR196)),0)</f>
        <v>0</v>
      </c>
      <c r="BT98" s="297" t="n">
        <f aca="false">IFERROR((BT97-BT96)/(Model!BS199-(Model!BS196)),0)</f>
        <v>0</v>
      </c>
      <c r="BU98" s="297" t="n">
        <f aca="false">IFERROR((BU97-BU96)/(Model!BT199-(Model!BT196)),0)</f>
        <v>0</v>
      </c>
      <c r="BV98" s="297" t="n">
        <f aca="false">IFERROR((BV97-BV96)/(Model!BU199-(Model!BU196)),0)</f>
        <v>0</v>
      </c>
      <c r="BW98" s="297" t="n">
        <f aca="false">IFERROR((BW97-BW96)/(Model!BV199-(Model!BV196)),0)</f>
        <v>0</v>
      </c>
      <c r="BX98" s="297" t="n">
        <f aca="false">IFERROR((BX97-BX96)/(Model!BW199-(Model!BW196)),0)</f>
        <v>0</v>
      </c>
      <c r="BY98" s="297" t="n">
        <f aca="false">IFERROR((BY97-BY96)/(Model!BX199-(Model!BX196)),0)</f>
        <v>0</v>
      </c>
      <c r="BZ98" s="297" t="n">
        <f aca="false">IFERROR((BZ97-BZ96)/(Model!BY199-(Model!BY196)),0)</f>
        <v>0</v>
      </c>
      <c r="CA98" s="297" t="n">
        <f aca="false">IFERROR((CA97-CA96)/(Model!BZ199-(Model!BZ196)),0)</f>
        <v>0</v>
      </c>
      <c r="CB98" s="297" t="n">
        <f aca="false">IFERROR((CB97-CB96)/(Model!CA199-(Model!CA196)),0)</f>
        <v>0</v>
      </c>
      <c r="CC98" s="297" t="n">
        <f aca="false">IFERROR((CC97-CC96)/(Model!CB199-(Model!CB196)),0)</f>
        <v>0</v>
      </c>
      <c r="CD98" s="297" t="n">
        <f aca="false">IFERROR((CD97-CD96)/(Model!CC199-(Model!CC196)),0)</f>
        <v>0</v>
      </c>
      <c r="CE98" s="297" t="n">
        <f aca="false">IFERROR((CE97-CE96)/(Model!CD199-(Model!CD196)),0)</f>
        <v>0</v>
      </c>
      <c r="CF98" s="297" t="n">
        <f aca="false">IFERROR((CF97-CF96)/(Model!CE199-(Model!CE196)),0)</f>
        <v>0</v>
      </c>
      <c r="CG98" s="297" t="n">
        <f aca="false">IFERROR((CG97-CG96)/(Model!CF199-(Model!CF196)),0)</f>
        <v>0</v>
      </c>
      <c r="CH98" s="297" t="n">
        <f aca="false">IFERROR((CH97-CH96)/(Model!CG199-(Model!CG196)),0)</f>
        <v>0</v>
      </c>
      <c r="CI98" s="297" t="n">
        <f aca="false">IFERROR((CI97-CI96)/(Model!CH199-(Model!CH196)),0)</f>
        <v>0</v>
      </c>
      <c r="CJ98" s="297" t="n">
        <f aca="false">IFERROR((CJ97-CJ96)/(Model!CI199-(Model!CI196)),0)</f>
        <v>0</v>
      </c>
      <c r="CK98" s="297" t="n">
        <f aca="false">IFERROR((CK97-CK96)/(Model!CJ199-(Model!CJ196)),0)</f>
        <v>0</v>
      </c>
      <c r="CL98" s="297" t="n">
        <f aca="false">IFERROR((CL97-CL96)/(Model!CK199-(Model!CK196)),0)</f>
        <v>0</v>
      </c>
      <c r="CM98" s="297" t="n">
        <f aca="false">IFERROR((CM97-CM96)/(Model!CL199-(Model!CL196)),0)</f>
        <v>0</v>
      </c>
      <c r="CN98" s="297" t="n">
        <f aca="false">IFERROR((CN97-CN96)/(Model!CM199-(Model!CM196)),0)</f>
        <v>0</v>
      </c>
      <c r="CO98" s="297" t="n">
        <f aca="false">IFERROR((CO97-CO96)/(Model!CN199-(Model!CN196)),0)</f>
        <v>0</v>
      </c>
      <c r="CP98" s="297" t="n">
        <f aca="false">IFERROR((CP97-CP96)/(Model!CO199-(Model!CO196)),0)</f>
        <v>0</v>
      </c>
      <c r="CQ98" s="297" t="n">
        <f aca="false">IFERROR((CQ97-CQ96)/(Model!CP199-(Model!CP196)),0)</f>
        <v>0</v>
      </c>
      <c r="CR98" s="297" t="n">
        <f aca="false">IFERROR((CR97-CR96)/(Model!CQ199-(Model!CQ196)),0)</f>
        <v>0</v>
      </c>
      <c r="CS98" s="297" t="n">
        <f aca="false">IFERROR((CS97-CS96)/(Model!CR199-(Model!CR196)),0)</f>
        <v>0</v>
      </c>
      <c r="CT98" s="297" t="n">
        <f aca="false">IFERROR((CT97-CT96)/(Model!CS199-(Model!CS196)),0)</f>
        <v>0</v>
      </c>
      <c r="CU98" s="297" t="n">
        <f aca="false">IFERROR((CU97-CU96)/(Model!CT199-(Model!CT196)),0)</f>
        <v>0</v>
      </c>
      <c r="CV98" s="297" t="n">
        <f aca="false">IFERROR((CV97-CV96)/(Model!CU199-(Model!CU196)),0)</f>
        <v>0</v>
      </c>
      <c r="CW98" s="297" t="n">
        <f aca="false">IFERROR((CW97-CW96)/(Model!CV199-(Model!CV196)),0)</f>
        <v>0</v>
      </c>
      <c r="CX98" s="297" t="n">
        <f aca="false">IFERROR((CX97-CX96)/(Model!CW199-(Model!CW196)),0)</f>
        <v>0</v>
      </c>
      <c r="CY98" s="297" t="n">
        <f aca="false">IFERROR((CY97-CY96)/(Model!CX199-(Model!CX196)),0)</f>
        <v>0</v>
      </c>
      <c r="CZ98" s="297" t="n">
        <f aca="false">IFERROR((CZ97-CZ96)/(Model!CY199-(Model!CY196)),0)</f>
        <v>0</v>
      </c>
      <c r="DA98" s="297" t="n">
        <f aca="false">IFERROR((DA97-DA96)/(Model!CZ199-(Model!CZ196)),0)</f>
        <v>0</v>
      </c>
      <c r="DB98" s="297" t="n">
        <f aca="false">IFERROR((DB97-DB96)/(Model!DA199-(Model!DA196)),0)</f>
        <v>0</v>
      </c>
      <c r="DC98" s="297" t="n">
        <f aca="false">IFERROR((DC97-DC96)/(Model!DB199-(Model!DB196)),0)</f>
        <v>0</v>
      </c>
      <c r="DD98" s="297" t="n">
        <f aca="false">IFERROR((DD97-DD96)/(Model!DC199-(Model!DC196)),0)</f>
        <v>0</v>
      </c>
      <c r="DE98" s="297" t="n">
        <f aca="false">IFERROR((DE97-DE96)/(Model!DD199-(Model!DD196)),0)</f>
        <v>0</v>
      </c>
      <c r="DF98" s="297" t="n">
        <f aca="false">IFERROR((DF97-DF96)/(Model!DE199-(Model!DE196)),0)</f>
        <v>0</v>
      </c>
    </row>
    <row r="99" customFormat="false" ht="15" hidden="false" customHeight="true" outlineLevel="0" collapsed="false">
      <c r="A99" s="72" t="s">
        <v>1101</v>
      </c>
      <c r="B99" s="295" t="n">
        <f aca="false">SUM(Actuals!C17:N17)</f>
        <v>4987438.48</v>
      </c>
      <c r="C99" s="296" t="n">
        <f aca="false">Model!B199+SUM(Model!B203:B233)+Model!B235-(Model!B196)</f>
        <v>-41844.6399999999</v>
      </c>
      <c r="D99" s="296" t="n">
        <f aca="false">Model!C199+SUM(Model!C203:C233)+Model!C235-(Model!C196)</f>
        <v>-311309.31</v>
      </c>
      <c r="E99" s="296" t="n">
        <f aca="false">Model!D199+SUM(Model!D203:D233)+Model!D235-(Model!D196)</f>
        <v>242246.78</v>
      </c>
      <c r="F99" s="296" t="n">
        <f aca="false">Model!E199+SUM(Model!E203:E233)+Model!E235-(Model!E196)</f>
        <v>373926.69</v>
      </c>
      <c r="G99" s="296" t="n">
        <f aca="false">Model!F199+SUM(Model!F203:F233)+Model!F235-(Model!F196)</f>
        <v>27621.8500000002</v>
      </c>
      <c r="H99" s="296" t="n">
        <f aca="false">Model!G199+SUM(Model!G203:G233)+Model!G235-(Model!G196)</f>
        <v>318509.92</v>
      </c>
      <c r="I99" s="296" t="n">
        <f aca="false">Model!H199+SUM(Model!H203:H233)+Model!H235-(Model!H196)</f>
        <v>1446747.85</v>
      </c>
      <c r="J99" s="296" t="n">
        <f aca="false">Model!I199+SUM(Model!I203:I233)+Model!I235-(Model!I196)</f>
        <v>177182.13</v>
      </c>
      <c r="K99" s="296" t="n">
        <f aca="false">Model!J199+SUM(Model!J203:J233)+Model!J235-(Model!J196)</f>
        <v>-35254.7100000004</v>
      </c>
      <c r="L99" s="296" t="n">
        <f aca="false">Model!K199+SUM(Model!K203:K233)+Model!K235-(Model!K196)</f>
        <v>103378.790333334</v>
      </c>
      <c r="M99" s="296" t="n">
        <f aca="false">Model!L199+SUM(Model!L203:L233)+Model!L235-(Model!L196)</f>
        <v>52159.3503333338</v>
      </c>
      <c r="N99" s="296" t="n">
        <f aca="false">Model!M199+SUM(Model!M203:M233)+Model!M235-(Model!M196)</f>
        <v>35166.2903333338</v>
      </c>
      <c r="O99" s="296" t="n">
        <f aca="false">Model!N199+SUM(Model!N203:N233)+Model!N235-(Model!N196)</f>
        <v>240471.06871865</v>
      </c>
      <c r="P99" s="296" t="n">
        <f aca="false">Model!O199+SUM(Model!O203:O233)+Model!O235-(Model!O196)</f>
        <v>248763.335199601</v>
      </c>
      <c r="Q99" s="296" t="n">
        <f aca="false">Model!P199+SUM(Model!P203:P233)+Model!P235-(Model!P196)</f>
        <v>300112.9551996</v>
      </c>
      <c r="R99" s="296" t="n">
        <f aca="false">Model!Q199+SUM(Model!Q203:Q233)+Model!Q235-(Model!Q196)</f>
        <v>367059.254927281</v>
      </c>
      <c r="S99" s="296" t="n">
        <f aca="false">Model!R199+SUM(Model!R203:R233)+Model!R235-(Model!R196)</f>
        <v>387306.744323028</v>
      </c>
      <c r="T99" s="296" t="n">
        <f aca="false">Model!S199+SUM(Model!S203:S233)+Model!S235-(Model!S196)</f>
        <v>594164.367621384</v>
      </c>
      <c r="U99" s="296" t="n">
        <f aca="false">Model!T199+SUM(Model!T203:T233)+Model!T235-(Model!T196)</f>
        <v>720502.047621382</v>
      </c>
      <c r="V99" s="296" t="n">
        <f aca="false">Model!U199+SUM(Model!U203:U233)+Model!U235-(Model!U196)</f>
        <v>616799.987621383</v>
      </c>
      <c r="W99" s="296" t="n">
        <f aca="false">Model!V199+SUM(Model!V203:V233)+Model!V235-(Model!V196)</f>
        <v>788266.519726133</v>
      </c>
      <c r="X99" s="296" t="n">
        <f aca="false">Model!W199+SUM(Model!W203:W233)+Model!W235-(Model!W196)</f>
        <v>716938.046885045</v>
      </c>
      <c r="Y99" s="296" t="n">
        <f aca="false">Model!X199+SUM(Model!X203:X233)+Model!X235-(Model!X196)</f>
        <v>909602.006885048</v>
      </c>
      <c r="Z99" s="296" t="n">
        <f aca="false">Model!Y199+SUM(Model!Y203:Y233)+Model!Y235-(Model!Y196)</f>
        <v>526075.086885048</v>
      </c>
      <c r="AA99" s="296" t="n">
        <f aca="false">Model!Z199+SUM(Model!Z203:Z233)+Model!Z235-(Model!Z196)</f>
        <v>813816.355125048</v>
      </c>
      <c r="AB99" s="296" t="n">
        <f aca="false">Model!AA199+SUM(Model!AA203:AA233)+Model!AA235-(Model!AA196)</f>
        <v>723649.415125044</v>
      </c>
      <c r="AC99" s="296" t="n">
        <f aca="false">Model!AB199+SUM(Model!AB203:AB233)+Model!AB235-(Model!AB196)</f>
        <v>585515.145125045</v>
      </c>
      <c r="AD99" s="296" t="n">
        <f aca="false">Model!AC199+SUM(Model!AC203:AC233)+Model!AC235-(Model!AC196)</f>
        <v>493787.195509662</v>
      </c>
      <c r="AE99" s="296" t="n">
        <f aca="false">Model!AD199+SUM(Model!AD203:AD233)+Model!AD235-(Model!AD196)</f>
        <v>541007.968201969</v>
      </c>
      <c r="AF99" s="296" t="n">
        <f aca="false">Model!AE199+SUM(Model!AE203:AE233)+Model!AE235-(Model!AE196)</f>
        <v>711674.365993592</v>
      </c>
      <c r="AG99" s="296" t="n">
        <f aca="false">Model!AF199+SUM(Model!AF203:AF233)+Model!AF235-(Model!AF196)</f>
        <v>870058.492712246</v>
      </c>
      <c r="AH99" s="296" t="n">
        <f aca="false">Model!AG199+SUM(Model!AG203:AG233)+Model!AG235-(Model!AG196)</f>
        <v>806640.74190974</v>
      </c>
      <c r="AI99" s="296" t="n">
        <f aca="false">Model!AH199+SUM(Model!AH203:AH233)+Model!AH235-(Model!AH196)</f>
        <v>799934.878123049</v>
      </c>
      <c r="AJ99" s="296" t="n">
        <f aca="false">Model!AI199+SUM(Model!AI203:AI233)+Model!AI235-(Model!AI196)</f>
        <v>573994.903066317</v>
      </c>
      <c r="AK99" s="296" t="n">
        <f aca="false">Model!AJ199+SUM(Model!AJ203:AJ233)+Model!AJ235-(Model!AJ196)</f>
        <v>522871.92246206</v>
      </c>
      <c r="AL99" s="296" t="n">
        <f aca="false">Model!AK199+SUM(Model!AK203:AK233)+Model!AK235-(Model!AK196)</f>
        <v>159380.313670563</v>
      </c>
      <c r="AM99" s="296" t="n">
        <f aca="false">Model!AL199+SUM(Model!AL203:AL233)+Model!AL235-(Model!AL196)</f>
        <v>364267.625275363</v>
      </c>
      <c r="AN99" s="296" t="n">
        <f aca="false">Model!AM199+SUM(Model!AM203:AM233)+Model!AM235-(Model!AM196)</f>
        <v>382214.352659977</v>
      </c>
      <c r="AO99" s="296" t="n">
        <f aca="false">Model!AN199+SUM(Model!AN203:AN233)+Model!AN235-(Model!AN196)</f>
        <v>388204.242264726</v>
      </c>
      <c r="AP99" s="296" t="n">
        <f aca="false">Model!AO199+SUM(Model!AO203:AO233)+Model!AO235-(Model!AO196)</f>
        <v>275548.781662921</v>
      </c>
      <c r="AQ99" s="296" t="n">
        <f aca="false">Model!AP199+SUM(Model!AP203:AP233)+Model!AP235-(Model!AP196)</f>
        <v>260844.698938363</v>
      </c>
      <c r="AR99" s="296" t="n">
        <f aca="false">Model!AQ199+SUM(Model!AQ203:AQ233)+Model!AQ235-(Model!AQ196)</f>
        <v>33965.0530140927</v>
      </c>
      <c r="AS99" s="296" t="n">
        <f aca="false">Model!AR199+SUM(Model!AR203:AR233)+Model!AR235-(Model!AR196)</f>
        <v>43580.4376294773</v>
      </c>
      <c r="AT99" s="296" t="n">
        <f aca="false">Model!AS199+SUM(Model!AS203:AS233)+Model!AS235-(Model!AS196)</f>
        <v>43580.4376294773</v>
      </c>
      <c r="AU99" s="296" t="n">
        <f aca="false">Model!AT199+SUM(Model!AT203:AT233)+Model!AT235-(Model!AT196)</f>
        <v>194227.685872317</v>
      </c>
      <c r="AV99" s="296" t="n">
        <f aca="false">Model!AU199+SUM(Model!AU203:AU233)+Model!AU235-(Model!AU196)</f>
        <v>-73235.2143448211</v>
      </c>
      <c r="AW99" s="296" t="n">
        <f aca="false">Model!AV199+SUM(Model!AV203:AV233)+Model!AV235-(Model!AV196)</f>
        <v>208865.755624063</v>
      </c>
      <c r="AX99" s="296" t="n">
        <f aca="false">Model!AW199+SUM(Model!AW203:AW233)+Model!AW235-(Model!AW196)</f>
        <v>-436194.033786653</v>
      </c>
      <c r="AY99" s="296" t="n">
        <f aca="false">Model!AX199+SUM(Model!AX203:AX233)+Model!AX235-(Model!AX196)</f>
        <v>-243660.107279757</v>
      </c>
      <c r="AZ99" s="296" t="n">
        <f aca="false">Model!AY199+SUM(Model!AY203:AY233)+Model!AY235-(Model!AY196)</f>
        <v>-243660.107279757</v>
      </c>
      <c r="BA99" s="296" t="n">
        <f aca="false">Model!AZ199+SUM(Model!AZ203:AZ233)+Model!AZ235-(Model!AZ196)</f>
        <v>-243660.107279757</v>
      </c>
      <c r="BB99" s="296" t="n">
        <f aca="false">Model!BA199+SUM(Model!BA203:BA233)+Model!BA235-(Model!BA196)</f>
        <v>-243660.107279757</v>
      </c>
      <c r="BC99" s="296" t="n">
        <f aca="false">Model!BB199+SUM(Model!BB203:BB233)+Model!BB235-(Model!BB196)</f>
        <v>-243660.107279757</v>
      </c>
      <c r="BD99" s="296" t="n">
        <f aca="false">Model!BC199+SUM(Model!BC203:BC233)+Model!BC235-(Model!BC196)</f>
        <v>-243660.107279757</v>
      </c>
      <c r="BE99" s="296" t="n">
        <f aca="false">Model!BD199+SUM(Model!BD203:BD233)+Model!BD235-(Model!BD196)</f>
        <v>-243660.107279757</v>
      </c>
      <c r="BF99" s="296" t="n">
        <f aca="false">Model!BE199+SUM(Model!BE203:BE233)+Model!BE235-(Model!BE196)</f>
        <v>-243660.107279757</v>
      </c>
      <c r="BG99" s="296" t="n">
        <f aca="false">Model!BF199+SUM(Model!BF203:BF233)+Model!BF235-(Model!BF196)</f>
        <v>-243660.107279757</v>
      </c>
      <c r="BH99" s="296" t="n">
        <f aca="false">Model!BG199+SUM(Model!BG203:BG233)+Model!BG235-(Model!BG196)</f>
        <v>-243660.107279757</v>
      </c>
      <c r="BI99" s="296" t="n">
        <f aca="false">Model!BH199+SUM(Model!BH203:BH233)+Model!BH235-(Model!BH196)</f>
        <v>5276.1677758426</v>
      </c>
      <c r="BJ99" s="296" t="n">
        <f aca="false">Model!BI199+SUM(Model!BI203:BI233)+Model!BI235-(Model!BI196)</f>
        <v>-601319.748148304</v>
      </c>
      <c r="BK99" s="296" t="n">
        <f aca="false">Model!BJ199+SUM(Model!BJ203:BJ233)+Model!BJ235-(Model!BJ196)</f>
        <v>-408935.14311127</v>
      </c>
      <c r="BL99" s="296" t="n">
        <f aca="false">Model!BK199+SUM(Model!BK203:BK233)+Model!BK235-(Model!BK196)</f>
        <v>-408935.14311127</v>
      </c>
      <c r="BM99" s="296" t="n">
        <f aca="false">Model!BL199+SUM(Model!BL203:BL233)+Model!BL235-(Model!BL196)</f>
        <v>-408935.14311127</v>
      </c>
      <c r="BN99" s="296" t="n">
        <f aca="false">Model!BM199+SUM(Model!BM203:BM233)+Model!BM235-(Model!BM196)</f>
        <v>-408935.14311127</v>
      </c>
      <c r="BO99" s="296" t="n">
        <f aca="false">Model!BN199+SUM(Model!BN203:BN233)+Model!BN235-(Model!BN196)</f>
        <v>-408935.14311127</v>
      </c>
      <c r="BP99" s="296" t="n">
        <f aca="false">Model!BO199+SUM(Model!BO203:BO233)+Model!BO235-(Model!BO196)</f>
        <v>-408935.14311127</v>
      </c>
      <c r="BQ99" s="296" t="n">
        <f aca="false">Model!BP199+SUM(Model!BP203:BP233)+Model!BP235-(Model!BP196)</f>
        <v>-408935.14311127</v>
      </c>
      <c r="BR99" s="296" t="n">
        <f aca="false">Model!BQ199+SUM(Model!BQ203:BQ233)+Model!BQ235-(Model!BQ196)</f>
        <v>-408935.14311127</v>
      </c>
      <c r="BS99" s="296" t="n">
        <f aca="false">Model!BR199+SUM(Model!BR203:BR233)+Model!BR235-(Model!BR196)</f>
        <v>-408935.14311127</v>
      </c>
      <c r="BT99" s="296" t="n">
        <f aca="false">Model!BS199+SUM(Model!BS203:BS233)+Model!BS235-(Model!BS196)</f>
        <v>-408935.14311127</v>
      </c>
      <c r="BU99" s="296" t="n">
        <f aca="false">Model!BT199+SUM(Model!BT203:BT233)+Model!BT235-(Model!BT196)</f>
        <v>-408935.14311127</v>
      </c>
      <c r="BV99" s="296" t="n">
        <f aca="false">Model!BU199+SUM(Model!BU203:BU233)+Model!BU235-(Model!BU196)</f>
        <v>-608935.14311127</v>
      </c>
      <c r="BW99" s="296" t="n">
        <f aca="false">Model!BV199+SUM(Model!BV203:BV233)+Model!BV235-(Model!BV196)</f>
        <v>-416702.845973495</v>
      </c>
      <c r="BX99" s="296" t="n">
        <f aca="false">Model!BW199+SUM(Model!BW203:BW233)+Model!BW235-(Model!BW196)</f>
        <v>-416702.845973495</v>
      </c>
      <c r="BY99" s="296" t="n">
        <f aca="false">Model!BX199+SUM(Model!BX203:BX233)+Model!BX235-(Model!BX196)</f>
        <v>-416702.845973495</v>
      </c>
      <c r="BZ99" s="296" t="n">
        <f aca="false">Model!BY199+SUM(Model!BY203:BY233)+Model!BY235-(Model!BY196)</f>
        <v>-416702.845973495</v>
      </c>
      <c r="CA99" s="296" t="n">
        <f aca="false">Model!BZ199+SUM(Model!BZ203:BZ233)+Model!BZ235-(Model!BZ196)</f>
        <v>-416702.845973495</v>
      </c>
      <c r="CB99" s="296" t="n">
        <f aca="false">Model!CA199+SUM(Model!CA203:CA233)+Model!CA235-(Model!CA196)</f>
        <v>-416702.845973495</v>
      </c>
      <c r="CC99" s="296" t="n">
        <f aca="false">Model!CB199+SUM(Model!CB203:CB233)+Model!CB235-(Model!CB196)</f>
        <v>-416702.845973495</v>
      </c>
      <c r="CD99" s="296" t="n">
        <f aca="false">Model!CC199+SUM(Model!CC203:CC233)+Model!CC235-(Model!CC196)</f>
        <v>-416702.845973495</v>
      </c>
      <c r="CE99" s="296" t="n">
        <f aca="false">Model!CD199+SUM(Model!CD203:CD233)+Model!CD235-(Model!CD196)</f>
        <v>-416702.845973495</v>
      </c>
      <c r="CF99" s="296" t="n">
        <f aca="false">Model!CE199+SUM(Model!CE203:CE233)+Model!CE235-(Model!CE196)</f>
        <v>-416702.845973495</v>
      </c>
      <c r="CG99" s="296" t="n">
        <f aca="false">Model!CF199+SUM(Model!CF203:CF233)+Model!CF235-(Model!CF196)</f>
        <v>-416702.845973495</v>
      </c>
      <c r="CH99" s="296" t="n">
        <f aca="false">Model!CG199+SUM(Model!CG203:CG233)+Model!CG235-(Model!CG196)</f>
        <v>-616702.845973496</v>
      </c>
      <c r="CI99" s="296" t="n">
        <f aca="false">Model!CH199+SUM(Model!CH203:CH233)+Model!CH235-(Model!CH196)</f>
        <v>-424625.902892966</v>
      </c>
      <c r="CJ99" s="296" t="n">
        <f aca="false">Model!CI199+SUM(Model!CI203:CI233)+Model!CI235-(Model!CI196)</f>
        <v>-424625.902892966</v>
      </c>
      <c r="CK99" s="296" t="n">
        <f aca="false">Model!CJ199+SUM(Model!CJ203:CJ233)+Model!CJ235-(Model!CJ196)</f>
        <v>-424625.902892966</v>
      </c>
      <c r="CL99" s="296" t="n">
        <f aca="false">Model!CK199+SUM(Model!CK203:CK233)+Model!CK235-(Model!CK196)</f>
        <v>-424625.902892966</v>
      </c>
      <c r="CM99" s="296" t="n">
        <f aca="false">Model!CL199+SUM(Model!CL203:CL233)+Model!CL235-(Model!CL196)</f>
        <v>-424625.902892966</v>
      </c>
      <c r="CN99" s="296" t="n">
        <f aca="false">Model!CM199+SUM(Model!CM203:CM233)+Model!CM235-(Model!CM196)</f>
        <v>-424625.902892966</v>
      </c>
      <c r="CO99" s="296" t="n">
        <f aca="false">Model!CN199+SUM(Model!CN203:CN233)+Model!CN235-(Model!CN196)</f>
        <v>-424625.902892966</v>
      </c>
      <c r="CP99" s="296" t="n">
        <f aca="false">Model!CO199+SUM(Model!CO203:CO233)+Model!CO235-(Model!CO196)</f>
        <v>-424625.902892966</v>
      </c>
      <c r="CQ99" s="296" t="n">
        <f aca="false">Model!CP199+SUM(Model!CP203:CP233)+Model!CP235-(Model!CP196)</f>
        <v>-424625.902892966</v>
      </c>
      <c r="CR99" s="296" t="n">
        <f aca="false">Model!CQ199+SUM(Model!CQ203:CQ233)+Model!CQ235-(Model!CQ196)</f>
        <v>-424625.902892966</v>
      </c>
      <c r="CS99" s="296" t="n">
        <f aca="false">Model!CR199+SUM(Model!CR203:CR233)+Model!CR235-(Model!CR196)</f>
        <v>-424625.902892966</v>
      </c>
      <c r="CT99" s="296" t="n">
        <f aca="false">Model!CS199+SUM(Model!CS203:CS233)+Model!CS235-(Model!CS196)</f>
        <v>-624625.902892965</v>
      </c>
      <c r="CU99" s="296" t="n">
        <f aca="false">Model!CT199+SUM(Model!CT203:CT233)+Model!CT235-(Model!CT196)</f>
        <v>-392165.313083151</v>
      </c>
      <c r="CV99" s="296" t="n">
        <f aca="false">Model!CU199+SUM(Model!CU203:CU233)+Model!CU235-(Model!CU196)</f>
        <v>-392165.313083151</v>
      </c>
      <c r="CW99" s="296" t="n">
        <f aca="false">Model!CV199+SUM(Model!CV203:CV233)+Model!CV235-(Model!CV196)</f>
        <v>-392165.313083151</v>
      </c>
      <c r="CX99" s="296" t="n">
        <f aca="false">Model!CW199+SUM(Model!CW203:CW233)+Model!CW235-(Model!CW196)</f>
        <v>-392165.313083151</v>
      </c>
      <c r="CY99" s="296" t="n">
        <f aca="false">Model!CX199+SUM(Model!CX203:CX233)+Model!CX235-(Model!CX196)</f>
        <v>-392165.313083151</v>
      </c>
      <c r="CZ99" s="296" t="n">
        <f aca="false">Model!CY199+SUM(Model!CY203:CY233)+Model!CY235-(Model!CY196)</f>
        <v>-392165.313083151</v>
      </c>
      <c r="DA99" s="296" t="n">
        <f aca="false">Model!CZ199+SUM(Model!CZ203:CZ233)+Model!CZ235-(Model!CZ196)</f>
        <v>-392165.313083151</v>
      </c>
      <c r="DB99" s="296" t="n">
        <f aca="false">Model!DA199+SUM(Model!DA203:DA233)+Model!DA235-(Model!DA196)</f>
        <v>-392165.313083151</v>
      </c>
      <c r="DC99" s="296" t="n">
        <f aca="false">Model!DB199+SUM(Model!DB203:DB233)+Model!DB235-(Model!DB196)</f>
        <v>-392165.313083151</v>
      </c>
      <c r="DD99" s="296" t="n">
        <f aca="false">Model!DC199+SUM(Model!DC203:DC233)+Model!DC235-(Model!DC196)</f>
        <v>-392165.313083151</v>
      </c>
      <c r="DE99" s="296" t="n">
        <f aca="false">Model!DD199+SUM(Model!DD203:DD233)+Model!DD235-(Model!DD196)</f>
        <v>-392165.313083151</v>
      </c>
      <c r="DF99" s="296" t="n">
        <f aca="false">Model!DE199+SUM(Model!DE203:DE233)+Model!DE235-(Model!DE196)</f>
        <v>-592165.313083151</v>
      </c>
    </row>
    <row r="100" customFormat="false" ht="15" hidden="false" customHeight="true" outlineLevel="0" collapsed="false">
      <c r="A100" s="72" t="s">
        <v>1102</v>
      </c>
      <c r="B100" s="295" t="n">
        <f aca="false">SUM(Actuals!C55:N55)</f>
        <v>-2795054.33</v>
      </c>
      <c r="C100" s="125" t="n">
        <f aca="false">C98*C99</f>
        <v>-0</v>
      </c>
      <c r="D100" s="125" t="n">
        <f aca="false">D98*D99</f>
        <v>0</v>
      </c>
      <c r="E100" s="125" t="n">
        <f aca="false">E98*E99</f>
        <v>0</v>
      </c>
      <c r="F100" s="125" t="n">
        <f aca="false">F98*F99</f>
        <v>0</v>
      </c>
      <c r="G100" s="125" t="n">
        <f aca="false">G98*G99</f>
        <v>0</v>
      </c>
      <c r="H100" s="125" t="n">
        <f aca="false">H98*H99</f>
        <v>0</v>
      </c>
      <c r="I100" s="125" t="n">
        <f aca="false">I98*I99</f>
        <v>0</v>
      </c>
      <c r="J100" s="125" t="n">
        <f aca="false">J98*J99</f>
        <v>0</v>
      </c>
      <c r="K100" s="125" t="n">
        <f aca="false">K98*K99</f>
        <v>-0</v>
      </c>
      <c r="L100" s="125" t="n">
        <f aca="false">L98*L99</f>
        <v>0</v>
      </c>
      <c r="M100" s="125" t="n">
        <f aca="false">M98*M99</f>
        <v>0</v>
      </c>
      <c r="N100" s="125" t="n">
        <f aca="false">N98*N99</f>
        <v>0</v>
      </c>
      <c r="O100" s="125" t="n">
        <f aca="false">O98*O99</f>
        <v>0</v>
      </c>
      <c r="P100" s="125" t="n">
        <f aca="false">P98*P99</f>
        <v>0</v>
      </c>
      <c r="Q100" s="125" t="n">
        <f aca="false">Q98*Q99</f>
        <v>0</v>
      </c>
      <c r="R100" s="125" t="n">
        <f aca="false">R98*R99</f>
        <v>0</v>
      </c>
      <c r="S100" s="125" t="n">
        <f aca="false">S98*S99</f>
        <v>0</v>
      </c>
      <c r="T100" s="125" t="n">
        <f aca="false">T98*T99</f>
        <v>0</v>
      </c>
      <c r="U100" s="125" t="n">
        <f aca="false">U98*U99</f>
        <v>0</v>
      </c>
      <c r="V100" s="125" t="n">
        <f aca="false">V98*V99</f>
        <v>0</v>
      </c>
      <c r="W100" s="125" t="n">
        <f aca="false">W98*W99</f>
        <v>0</v>
      </c>
      <c r="X100" s="125" t="n">
        <f aca="false">X98*X99</f>
        <v>65283.7652502949</v>
      </c>
      <c r="Y100" s="125" t="n">
        <f aca="false">Y98*Y99</f>
        <v>74282.5047973922</v>
      </c>
      <c r="Z100" s="125" t="n">
        <f aca="false">Z98*Z99</f>
        <v>49136.8652003134</v>
      </c>
      <c r="AA100" s="125" t="n">
        <f aca="false">AA98*AA99</f>
        <v>70495.7103411915</v>
      </c>
      <c r="AB100" s="125" t="n">
        <f aca="false">AB98*AB99</f>
        <v>67078.1218617221</v>
      </c>
      <c r="AC100" s="125" t="n">
        <f aca="false">AC98*AC99</f>
        <v>60801.6599431656</v>
      </c>
      <c r="AD100" s="125" t="n">
        <f aca="false">AD98*AD99</f>
        <v>55965.9904516137</v>
      </c>
      <c r="AE100" s="125" t="n">
        <f aca="false">AE98*AE99</f>
        <v>60030.6205175024</v>
      </c>
      <c r="AF100" s="125" t="n">
        <f aca="false">AF98*AF99</f>
        <v>69368.0713271802</v>
      </c>
      <c r="AG100" s="125" t="n">
        <f aca="false">AG98*AG99</f>
        <v>75086.4432738544</v>
      </c>
      <c r="AH100" s="125" t="n">
        <f aca="false">AH98*AH99</f>
        <v>73138.2382538897</v>
      </c>
      <c r="AI100" s="125" t="n">
        <f aca="false">AI98*AI99</f>
        <v>73842.8228526915</v>
      </c>
      <c r="AJ100" s="125" t="n">
        <f aca="false">AJ98*AJ99</f>
        <v>64966.3562033157</v>
      </c>
      <c r="AK100" s="125" t="n">
        <f aca="false">AK98*AK99</f>
        <v>62197.7561355593</v>
      </c>
      <c r="AL100" s="125" t="n">
        <f aca="false">AL98*AL99</f>
        <v>22652.9307682434</v>
      </c>
      <c r="AM100" s="125" t="n">
        <f aca="false">AM98*AM99</f>
        <v>50919.9631528723</v>
      </c>
      <c r="AN100" s="125" t="n">
        <f aca="false">AN98*AN99</f>
        <v>52706.9352088864</v>
      </c>
      <c r="AO100" s="125" t="n">
        <f aca="false">AO98*AO99</f>
        <v>54869.8431823146</v>
      </c>
      <c r="AP100" s="125" t="n">
        <f aca="false">AP98*AP99</f>
        <v>45908.1168388209</v>
      </c>
      <c r="AQ100" s="125" t="n">
        <f aca="false">AQ98*AQ99</f>
        <v>45827.8258018387</v>
      </c>
      <c r="AR100" s="125" t="n">
        <f aca="false">AR98*AR99</f>
        <v>9011.76351429326</v>
      </c>
      <c r="AS100" s="125" t="n">
        <f aca="false">AS98*AS99</f>
        <v>11562.9614240055</v>
      </c>
      <c r="AT100" s="125" t="n">
        <f aca="false">AT98*AT99</f>
        <v>11562.9614240055</v>
      </c>
      <c r="AU100" s="125" t="n">
        <f aca="false">AU98*AU99</f>
        <v>87352.320718052</v>
      </c>
      <c r="AV100" s="125" t="n">
        <f aca="false">AV98*AV99</f>
        <v>-0</v>
      </c>
      <c r="AW100" s="125" t="n">
        <f aca="false">AW98*AW99</f>
        <v>0</v>
      </c>
      <c r="AX100" s="125" t="n">
        <f aca="false">AX98*AX99</f>
        <v>-0</v>
      </c>
      <c r="AY100" s="125" t="n">
        <f aca="false">AY98*AY99</f>
        <v>-0</v>
      </c>
      <c r="AZ100" s="125" t="n">
        <f aca="false">AZ98*AZ99</f>
        <v>-0</v>
      </c>
      <c r="BA100" s="125" t="n">
        <f aca="false">BA98*BA99</f>
        <v>-0</v>
      </c>
      <c r="BB100" s="125" t="n">
        <f aca="false">BB98*BB99</f>
        <v>-0</v>
      </c>
      <c r="BC100" s="125" t="n">
        <f aca="false">BC98*BC99</f>
        <v>-0</v>
      </c>
      <c r="BD100" s="125" t="n">
        <f aca="false">BD98*BD99</f>
        <v>-0</v>
      </c>
      <c r="BE100" s="125" t="n">
        <f aca="false">BE98*BE99</f>
        <v>-0</v>
      </c>
      <c r="BF100" s="125" t="n">
        <f aca="false">BF98*BF99</f>
        <v>-0</v>
      </c>
      <c r="BG100" s="125" t="n">
        <f aca="false">BG98*BG99</f>
        <v>-0</v>
      </c>
      <c r="BH100" s="125" t="n">
        <f aca="false">BH98*BH99</f>
        <v>-0</v>
      </c>
      <c r="BI100" s="125" t="n">
        <f aca="false">BI98*BI99</f>
        <v>0</v>
      </c>
      <c r="BJ100" s="125" t="n">
        <f aca="false">BJ98*BJ99</f>
        <v>-0</v>
      </c>
      <c r="BK100" s="125" t="n">
        <f aca="false">BK98*BK99</f>
        <v>-0</v>
      </c>
      <c r="BL100" s="125" t="n">
        <f aca="false">BL98*BL99</f>
        <v>-0</v>
      </c>
      <c r="BM100" s="125" t="n">
        <f aca="false">BM98*BM99</f>
        <v>-0</v>
      </c>
      <c r="BN100" s="125" t="n">
        <f aca="false">BN98*BN99</f>
        <v>-0</v>
      </c>
      <c r="BO100" s="125" t="n">
        <f aca="false">BO98*BO99</f>
        <v>-0</v>
      </c>
      <c r="BP100" s="125" t="n">
        <f aca="false">BP98*BP99</f>
        <v>-0</v>
      </c>
      <c r="BQ100" s="125" t="n">
        <f aca="false">BQ98*BQ99</f>
        <v>-0</v>
      </c>
      <c r="BR100" s="125" t="n">
        <f aca="false">BR98*BR99</f>
        <v>-0</v>
      </c>
      <c r="BS100" s="125" t="n">
        <f aca="false">BS98*BS99</f>
        <v>-0</v>
      </c>
      <c r="BT100" s="125" t="n">
        <f aca="false">BT98*BT99</f>
        <v>-0</v>
      </c>
      <c r="BU100" s="125" t="n">
        <f aca="false">BU98*BU99</f>
        <v>-0</v>
      </c>
      <c r="BV100" s="125" t="n">
        <f aca="false">BV98*BV99</f>
        <v>-0</v>
      </c>
      <c r="BW100" s="125" t="n">
        <f aca="false">BW98*BW99</f>
        <v>-0</v>
      </c>
      <c r="BX100" s="125" t="n">
        <f aca="false">BX98*BX99</f>
        <v>-0</v>
      </c>
      <c r="BY100" s="125" t="n">
        <f aca="false">BY98*BY99</f>
        <v>-0</v>
      </c>
      <c r="BZ100" s="125" t="n">
        <f aca="false">BZ98*BZ99</f>
        <v>-0</v>
      </c>
      <c r="CA100" s="125" t="n">
        <f aca="false">CA98*CA99</f>
        <v>-0</v>
      </c>
      <c r="CB100" s="125" t="n">
        <f aca="false">CB98*CB99</f>
        <v>-0</v>
      </c>
      <c r="CC100" s="125" t="n">
        <f aca="false">CC98*CC99</f>
        <v>-0</v>
      </c>
      <c r="CD100" s="125" t="n">
        <f aca="false">CD98*CD99</f>
        <v>-0</v>
      </c>
      <c r="CE100" s="125" t="n">
        <f aca="false">CE98*CE99</f>
        <v>-0</v>
      </c>
      <c r="CF100" s="125" t="n">
        <f aca="false">CF98*CF99</f>
        <v>-0</v>
      </c>
      <c r="CG100" s="125" t="n">
        <f aca="false">CG98*CG99</f>
        <v>-0</v>
      </c>
      <c r="CH100" s="125" t="n">
        <f aca="false">CH98*CH99</f>
        <v>-0</v>
      </c>
      <c r="CI100" s="125" t="n">
        <f aca="false">CI98*CI99</f>
        <v>-0</v>
      </c>
      <c r="CJ100" s="125" t="n">
        <f aca="false">CJ98*CJ99</f>
        <v>-0</v>
      </c>
      <c r="CK100" s="125" t="n">
        <f aca="false">CK98*CK99</f>
        <v>-0</v>
      </c>
      <c r="CL100" s="125" t="n">
        <f aca="false">CL98*CL99</f>
        <v>-0</v>
      </c>
      <c r="CM100" s="125" t="n">
        <f aca="false">CM98*CM99</f>
        <v>-0</v>
      </c>
      <c r="CN100" s="125" t="n">
        <f aca="false">CN98*CN99</f>
        <v>-0</v>
      </c>
      <c r="CO100" s="125" t="n">
        <f aca="false">CO98*CO99</f>
        <v>-0</v>
      </c>
      <c r="CP100" s="125" t="n">
        <f aca="false">CP98*CP99</f>
        <v>-0</v>
      </c>
      <c r="CQ100" s="125" t="n">
        <f aca="false">CQ98*CQ99</f>
        <v>-0</v>
      </c>
      <c r="CR100" s="125" t="n">
        <f aca="false">CR98*CR99</f>
        <v>-0</v>
      </c>
      <c r="CS100" s="125" t="n">
        <f aca="false">CS98*CS99</f>
        <v>-0</v>
      </c>
      <c r="CT100" s="125" t="n">
        <f aca="false">CT98*CT99</f>
        <v>-0</v>
      </c>
      <c r="CU100" s="125" t="n">
        <f aca="false">CU98*CU99</f>
        <v>-0</v>
      </c>
      <c r="CV100" s="125" t="n">
        <f aca="false">CV98*CV99</f>
        <v>-0</v>
      </c>
      <c r="CW100" s="125" t="n">
        <f aca="false">CW98*CW99</f>
        <v>-0</v>
      </c>
      <c r="CX100" s="125" t="n">
        <f aca="false">CX98*CX99</f>
        <v>-0</v>
      </c>
      <c r="CY100" s="125" t="n">
        <f aca="false">CY98*CY99</f>
        <v>-0</v>
      </c>
      <c r="CZ100" s="125" t="n">
        <f aca="false">CZ98*CZ99</f>
        <v>-0</v>
      </c>
      <c r="DA100" s="125" t="n">
        <f aca="false">DA98*DA99</f>
        <v>-0</v>
      </c>
      <c r="DB100" s="125" t="n">
        <f aca="false">DB98*DB99</f>
        <v>-0</v>
      </c>
      <c r="DC100" s="125" t="n">
        <f aca="false">DC98*DC99</f>
        <v>-0</v>
      </c>
      <c r="DD100" s="125" t="n">
        <f aca="false">DD98*DD99</f>
        <v>-0</v>
      </c>
      <c r="DE100" s="125" t="n">
        <f aca="false">DE98*DE99</f>
        <v>-0</v>
      </c>
      <c r="DF100" s="125" t="n">
        <f aca="false">DF98*DF99</f>
        <v>-0</v>
      </c>
    </row>
    <row r="101" customFormat="false" ht="15" hidden="false" customHeight="true" outlineLevel="0" collapsed="false">
      <c r="A101" s="72" t="s">
        <v>1103</v>
      </c>
      <c r="C101" s="298"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D101" s="298"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E101" s="298" t="n">
        <f aca="false">IF(AND(Projects!$G$17="Yes",Projects!$X$17="Yes",Projects!$M$17="Yes",0&gt;=Projects!$C$17,0&lt;Projects!$C$17+Projects!$D$17),Projects!$B$17*INDEX(Curves!$B$4:$AR$4,1,0-Projects!$C$17+1),0)+IF(AND(Projects!$G$18="Yes",Projects!$X$18="Yes",Projects!$M$18="Yes",0&gt;=Projects!$C$18,0&lt;Projects!$C$18+Projects!$D$18),Projects!$B$18*INDEX(Curves!$B$4:$AR$4,1,0-Projects!$C$18+1),0)+IF(AND(Projects!$G$19="Yes",Projects!$X$19="Yes",Projects!$M$19="Yes",0&gt;=Projects!$C$19,0&lt;Projects!$C$19+Projects!$D$19),Projects!$B$19*INDEX(Curves!$B$10:$AR$10,1,0-Projects!$C$19+1),0)+IF(AND(Projects!$G$20="Yes",Projects!$X$20="Yes",Projects!$M$20="Yes",0&gt;=Projects!$C$20,0&lt;Projects!$C$20+Projects!$D$20),Projects!$B$20*INDEX(Curves!$B$4:$AR$4,1,0-Projects!$C$20+1),0)+IF(AND(Projects!$G$21="Yes",Projects!$X$21="Yes",Projects!$M$21="Yes",0&gt;=Projects!$C$21,0&lt;Projects!$C$21+Projects!$D$21),Projects!$B$21*INDEX(Curves!$B$11:$AR$11,1,0-Projects!$C$21+1),0)+IF(AND(Projects!$G$22="Yes",Projects!$X$22="Yes",Projects!$M$22="Yes",0&gt;=Projects!$C$22,0&lt;Projects!$C$22+Projects!$D$22),Projects!$B$22*INDEX(Curves!$B$4:$AR$4,1,0-Projects!$C$22+1),0)+IF(AND(Projects!$G$23="Yes",Projects!$X$23="Yes",Projects!$M$23="Yes",0&gt;=Projects!$C$23,0&lt;Projects!$C$23+Projects!$D$23),Projects!$B$23*INDEX(Curves!$B$4:$AR$4,1,0-Projects!$C$23+1),0)+IF(AND(Projects!$G$24="Yes",Projects!$X$24="Yes",Projects!$M$24="Yes",0&gt;=Projects!$C$24,0&lt;Projects!$C$24+Projects!$D$24),Projects!$B$24*INDEX(Curves!$B$4:$AR$4,1,0-Projects!$C$24+1),0)+IF(AND(Projects!$G$25="Yes",Projects!$X$25="Yes",Projects!$M$25="Yes",0&gt;=Projects!$C$25,0&lt;Projects!$C$25+Projects!$D$25),Projects!$B$25*INDEX(Curves!$B$4:$AR$4,1,0-Projects!$C$25+1),0)+IF(AND(Projects!$G$26="Yes",Projects!$X$26="Yes",Projects!$M$26="Yes",0&gt;=Projects!$C$26,0&lt;Projects!$C$26+Projects!$D$26),Projects!$B$26*INDEX(Curves!$B$4:$AR$4,1,0-Projects!$C$26+1),0)+IF(AND(Projects!$G$27="Yes",Projects!$X$27="Yes",Projects!$M$27="Yes",0&gt;=Projects!$C$27,0&lt;Projects!$C$27+Projects!$D$27),Projects!$B$27*INDEX(Curves!$B$4:$AR$4,1,0-Projects!$C$27+1),0)+IF(AND(Projects!$G$28="Yes",Projects!$X$28="Yes",Projects!$M$28="Yes",0&gt;=Projects!$C$28,0&lt;Projects!$C$28+Projects!$D$28),Projects!$B$28*INDEX(Curves!$B$4:$AR$4,1,0-Projects!$C$28+1),0)+IF(AND(Projects!$G$29="Yes",Projects!$X$29="Yes",Projects!$M$29="Yes",0&gt;=Projects!$C$29,0&lt;Projects!$C$29+Projects!$D$29),Projects!$B$29*INDEX(Curves!$B$4:$AR$4,1,0-Projects!$C$29+1),0)+IF(AND(Projects!$G$30="Yes",Projects!$X$30="Yes",Projects!$M$30="Yes",0&gt;=Projects!$C$30,0&lt;Projects!$C$30+Projects!$D$30),Projects!$B$30*INDEX(Curves!$B$4:$AR$4,1,0-Projects!$C$30+1),0)+IF(AND(Projects!$G$31="Yes",Projects!$X$31="Yes",Projects!$M$31="Yes",0&gt;=Projects!$C$31,0&lt;Projects!$C$31+Projects!$D$31),Projects!$B$31*INDEX(Curves!$B$4:$AR$4,1,0-Projects!$C$31+1),0)+IF(AND(Projects!$G$32="Yes",Projects!$X$32="Yes",Projects!$M$32="Yes",0&gt;=Projects!$C$32,0&lt;Projects!$C$32+Projects!$D$32),Projects!$B$32*INDEX(Curves!$B$4:$AR$4,1,0-Projects!$C$32+1),0)+IF(AND(Projects!$G$33="Yes",Projects!$X$33="Yes",Projects!$M$33="Yes",0&gt;=Projects!$C$33,0&lt;Projects!$C$33+Projects!$D$33),Projects!$B$33*INDEX(Curves!$B$4:$AR$4,1,0-Projects!$C$33+1),0)+IF(AND(Projects!$G$34="Yes",Projects!$X$34="Yes",Projects!$M$34="Yes",0&gt;=Projects!$C$34,0&lt;Projects!$C$34+Projects!$D$34),Projects!$B$34*INDEX(Curves!$B$4:$AR$4,1,0-Projects!$C$34+1),0)+IF(AND(Projects!$G$35="Yes",Projects!$X$35="Yes",Projects!$M$35="Yes",0&gt;=Projects!$C$35,0&lt;Projects!$C$35+Projects!$D$35),Projects!$B$35*INDEX(Curves!$B$4:$AR$4,1,0-Projects!$C$35+1),0)+IF(AND(Projects!$G$36="Yes",Projects!$X$36="Yes",Projects!$M$36="Yes",0&gt;=Projects!$C$36,0&lt;Projects!$C$36+Projects!$D$36),Projects!$B$36*INDEX(Curves!$B$4:$AR$4,1,0-Projects!$C$36+1),0)+IF(AND(Projects!$G$37="Yes",Projects!$X$37="Yes",Projects!$M$37="Yes",0&gt;=Projects!$C$37,0&lt;Projects!$C$37+Projects!$D$37),Projects!$B$37*INDEX(Curves!$B$4:$AR$4,1,0-Projects!$C$37+1),0)+IF(AND(Projects!$G$38="Yes",Projects!$X$38="Yes",Projects!$M$38="Yes",0&gt;=Projects!$C$38,0&lt;Projects!$C$38+Projects!$D$38),Projects!$B$38*INDEX(Curves!$B$4:$AR$4,1,0-Projects!$C$38+1),0)+IF(AND(Projects!$G$39="Yes",Projects!$X$39="Yes",Projects!$M$39="Yes",0&gt;=Projects!$C$39,0&lt;Projects!$C$39+Projects!$D$39),Projects!$B$39*INDEX(Curves!$B$4:$AR$4,1,0-Projects!$C$39+1),0)+IF(AND(Projects!$G$40="Yes",Projects!$X$40="Yes",Projects!$M$40="Yes",0&gt;=Projects!$C$40,0&lt;Projects!$C$40+Projects!$D$40),Projects!$B$40*INDEX(Curves!$B$4:$AR$4,1,0-Projects!$C$40+1),0)+IF(AND(Projects!$G$41="Yes",Projects!$X$41="Yes",Projects!$M$41="Yes",0&gt;=Projects!$C$41,0&lt;Projects!$C$41+Projects!$D$41),Projects!$B$41*INDEX(Curves!$B$4:$AR$4,1,0-Projects!$C$41+1),0)+IF(AND(Projects!$G$42="Yes",Projects!$X$42="Yes",Projects!$M$42="Yes",0&gt;=Projects!$C$42,0&lt;Projects!$C$42+Projects!$D$42),Projects!$B$42*INDEX(Curves!$B$4:$AR$4,1,0-Projects!$C$42+1),0)+IF(AND(Projects!$G$43="Yes",Projects!$X$43="Yes",Projects!$M$43="Yes",0&gt;=Projects!$C$43,0&lt;Projects!$C$43+Projects!$D$43),Projects!$B$43*INDEX(Curves!$B$4:$AR$4,1,0-Projects!$C$43+1),0)+IF(AND(Projects!$G$44="Yes",Projects!$X$44="Yes",Projects!$M$44="Yes",0&gt;=Projects!$C$44,0&lt;Projects!$C$44+Projects!$D$44),Projects!$B$44*INDEX(Curves!$B$4:$AR$4,1,0-Projects!$C$44+1),0)+IF(AND(Projects!$G$45="Yes",Projects!$X$45="Yes",Projects!$M$45="Yes",0&gt;=Projects!$C$45,0&lt;Projects!$C$45+Projects!$D$45),Projects!$B$45*INDEX(Curves!$B$4:$AR$4,1,0-Projects!$C$45+1),0)+IF(AND(Projects!$G$46="Yes",Projects!$X$46="Yes",Projects!$M$46="Yes",0&gt;=Projects!$C$46,0&lt;Projects!$C$46+Projects!$D$46),Projects!$B$46*INDEX(Curves!$B$4:$AR$4,1,0-Projects!$C$46+1),0)</f>
        <v>0</v>
      </c>
      <c r="F101" s="298" t="n">
        <f aca="false">IF(AND(Projects!$G$17="Yes",Projects!$X$17="Yes",Projects!$M$17="Yes",1&gt;=Projects!$C$17,1&lt;Projects!$C$17+Projects!$D$17),Projects!$B$17*INDEX(Curves!$B$4:$AR$4,1,1-Projects!$C$17+1),0)+IF(AND(Projects!$G$18="Yes",Projects!$X$18="Yes",Projects!$M$18="Yes",1&gt;=Projects!$C$18,1&lt;Projects!$C$18+Projects!$D$18),Projects!$B$18*INDEX(Curves!$B$4:$AR$4,1,1-Projects!$C$18+1),0)+IF(AND(Projects!$G$19="Yes",Projects!$X$19="Yes",Projects!$M$19="Yes",1&gt;=Projects!$C$19,1&lt;Projects!$C$19+Projects!$D$19),Projects!$B$19*INDEX(Curves!$B$10:$AR$10,1,1-Projects!$C$19+1),0)+IF(AND(Projects!$G$20="Yes",Projects!$X$20="Yes",Projects!$M$20="Yes",1&gt;=Projects!$C$20,1&lt;Projects!$C$20+Projects!$D$20),Projects!$B$20*INDEX(Curves!$B$4:$AR$4,1,1-Projects!$C$20+1),0)+IF(AND(Projects!$G$21="Yes",Projects!$X$21="Yes",Projects!$M$21="Yes",1&gt;=Projects!$C$21,1&lt;Projects!$C$21+Projects!$D$21),Projects!$B$21*INDEX(Curves!$B$11:$AR$11,1,1-Projects!$C$21+1),0)+IF(AND(Projects!$G$22="Yes",Projects!$X$22="Yes",Projects!$M$22="Yes",1&gt;=Projects!$C$22,1&lt;Projects!$C$22+Projects!$D$22),Projects!$B$22*INDEX(Curves!$B$4:$AR$4,1,1-Projects!$C$22+1),0)+IF(AND(Projects!$G$23="Yes",Projects!$X$23="Yes",Projects!$M$23="Yes",1&gt;=Projects!$C$23,1&lt;Projects!$C$23+Projects!$D$23),Projects!$B$23*INDEX(Curves!$B$4:$AR$4,1,1-Projects!$C$23+1),0)+IF(AND(Projects!$G$24="Yes",Projects!$X$24="Yes",Projects!$M$24="Yes",1&gt;=Projects!$C$24,1&lt;Projects!$C$24+Projects!$D$24),Projects!$B$24*INDEX(Curves!$B$4:$AR$4,1,1-Projects!$C$24+1),0)+IF(AND(Projects!$G$25="Yes",Projects!$X$25="Yes",Projects!$M$25="Yes",1&gt;=Projects!$C$25,1&lt;Projects!$C$25+Projects!$D$25),Projects!$B$25*INDEX(Curves!$B$4:$AR$4,1,1-Projects!$C$25+1),0)+IF(AND(Projects!$G$26="Yes",Projects!$X$26="Yes",Projects!$M$26="Yes",1&gt;=Projects!$C$26,1&lt;Projects!$C$26+Projects!$D$26),Projects!$B$26*INDEX(Curves!$B$4:$AR$4,1,1-Projects!$C$26+1),0)+IF(AND(Projects!$G$27="Yes",Projects!$X$27="Yes",Projects!$M$27="Yes",1&gt;=Projects!$C$27,1&lt;Projects!$C$27+Projects!$D$27),Projects!$B$27*INDEX(Curves!$B$4:$AR$4,1,1-Projects!$C$27+1),0)+IF(AND(Projects!$G$28="Yes",Projects!$X$28="Yes",Projects!$M$28="Yes",1&gt;=Projects!$C$28,1&lt;Projects!$C$28+Projects!$D$28),Projects!$B$28*INDEX(Curves!$B$4:$AR$4,1,1-Projects!$C$28+1),0)+IF(AND(Projects!$G$29="Yes",Projects!$X$29="Yes",Projects!$M$29="Yes",1&gt;=Projects!$C$29,1&lt;Projects!$C$29+Projects!$D$29),Projects!$B$29*INDEX(Curves!$B$4:$AR$4,1,1-Projects!$C$29+1),0)+IF(AND(Projects!$G$30="Yes",Projects!$X$30="Yes",Projects!$M$30="Yes",1&gt;=Projects!$C$30,1&lt;Projects!$C$30+Projects!$D$30),Projects!$B$30*INDEX(Curves!$B$4:$AR$4,1,1-Projects!$C$30+1),0)+IF(AND(Projects!$G$31="Yes",Projects!$X$31="Yes",Projects!$M$31="Yes",1&gt;=Projects!$C$31,1&lt;Projects!$C$31+Projects!$D$31),Projects!$B$31*INDEX(Curves!$B$4:$AR$4,1,1-Projects!$C$31+1),0)+IF(AND(Projects!$G$32="Yes",Projects!$X$32="Yes",Projects!$M$32="Yes",1&gt;=Projects!$C$32,1&lt;Projects!$C$32+Projects!$D$32),Projects!$B$32*INDEX(Curves!$B$4:$AR$4,1,1-Projects!$C$32+1),0)+IF(AND(Projects!$G$33="Yes",Projects!$X$33="Yes",Projects!$M$33="Yes",1&gt;=Projects!$C$33,1&lt;Projects!$C$33+Projects!$D$33),Projects!$B$33*INDEX(Curves!$B$4:$AR$4,1,1-Projects!$C$33+1),0)+IF(AND(Projects!$G$34="Yes",Projects!$X$34="Yes",Projects!$M$34="Yes",1&gt;=Projects!$C$34,1&lt;Projects!$C$34+Projects!$D$34),Projects!$B$34*INDEX(Curves!$B$4:$AR$4,1,1-Projects!$C$34+1),0)+IF(AND(Projects!$G$35="Yes",Projects!$X$35="Yes",Projects!$M$35="Yes",1&gt;=Projects!$C$35,1&lt;Projects!$C$35+Projects!$D$35),Projects!$B$35*INDEX(Curves!$B$4:$AR$4,1,1-Projects!$C$35+1),0)+IF(AND(Projects!$G$36="Yes",Projects!$X$36="Yes",Projects!$M$36="Yes",1&gt;=Projects!$C$36,1&lt;Projects!$C$36+Projects!$D$36),Projects!$B$36*INDEX(Curves!$B$4:$AR$4,1,1-Projects!$C$36+1),0)+IF(AND(Projects!$G$37="Yes",Projects!$X$37="Yes",Projects!$M$37="Yes",1&gt;=Projects!$C$37,1&lt;Projects!$C$37+Projects!$D$37),Projects!$B$37*INDEX(Curves!$B$4:$AR$4,1,1-Projects!$C$37+1),0)+IF(AND(Projects!$G$38="Yes",Projects!$X$38="Yes",Projects!$M$38="Yes",1&gt;=Projects!$C$38,1&lt;Projects!$C$38+Projects!$D$38),Projects!$B$38*INDEX(Curves!$B$4:$AR$4,1,1-Projects!$C$38+1),0)+IF(AND(Projects!$G$39="Yes",Projects!$X$39="Yes",Projects!$M$39="Yes",1&gt;=Projects!$C$39,1&lt;Projects!$C$39+Projects!$D$39),Projects!$B$39*INDEX(Curves!$B$4:$AR$4,1,1-Projects!$C$39+1),0)+IF(AND(Projects!$G$40="Yes",Projects!$X$40="Yes",Projects!$M$40="Yes",1&gt;=Projects!$C$40,1&lt;Projects!$C$40+Projects!$D$40),Projects!$B$40*INDEX(Curves!$B$4:$AR$4,1,1-Projects!$C$40+1),0)+IF(AND(Projects!$G$41="Yes",Projects!$X$41="Yes",Projects!$M$41="Yes",1&gt;=Projects!$C$41,1&lt;Projects!$C$41+Projects!$D$41),Projects!$B$41*INDEX(Curves!$B$4:$AR$4,1,1-Projects!$C$41+1),0)+IF(AND(Projects!$G$42="Yes",Projects!$X$42="Yes",Projects!$M$42="Yes",1&gt;=Projects!$C$42,1&lt;Projects!$C$42+Projects!$D$42),Projects!$B$42*INDEX(Curves!$B$4:$AR$4,1,1-Projects!$C$42+1),0)+IF(AND(Projects!$G$43="Yes",Projects!$X$43="Yes",Projects!$M$43="Yes",1&gt;=Projects!$C$43,1&lt;Projects!$C$43+Projects!$D$43),Projects!$B$43*INDEX(Curves!$B$4:$AR$4,1,1-Projects!$C$43+1),0)+IF(AND(Projects!$G$44="Yes",Projects!$X$44="Yes",Projects!$M$44="Yes",1&gt;=Projects!$C$44,1&lt;Projects!$C$44+Projects!$D$44),Projects!$B$44*INDEX(Curves!$B$4:$AR$4,1,1-Projects!$C$44+1),0)+IF(AND(Projects!$G$45="Yes",Projects!$X$45="Yes",Projects!$M$45="Yes",1&gt;=Projects!$C$45,1&lt;Projects!$C$45+Projects!$D$45),Projects!$B$45*INDEX(Curves!$B$4:$AR$4,1,1-Projects!$C$45+1),0)+IF(AND(Projects!$G$46="Yes",Projects!$X$46="Yes",Projects!$M$46="Yes",1&gt;=Projects!$C$46,1&lt;Projects!$C$46+Projects!$D$46),Projects!$B$46*INDEX(Curves!$B$4:$AR$4,1,1-Projects!$C$46+1),0)</f>
        <v>0</v>
      </c>
      <c r="G101" s="298" t="n">
        <f aca="false">IF(AND(Projects!$G$17="Yes",Projects!$X$17="Yes",Projects!$M$17="Yes",2&gt;=Projects!$C$17,2&lt;Projects!$C$17+Projects!$D$17),Projects!$B$17*INDEX(Curves!$B$4:$AR$4,1,2-Projects!$C$17+1),0)+IF(AND(Projects!$G$18="Yes",Projects!$X$18="Yes",Projects!$M$18="Yes",2&gt;=Projects!$C$18,2&lt;Projects!$C$18+Projects!$D$18),Projects!$B$18*INDEX(Curves!$B$4:$AR$4,1,2-Projects!$C$18+1),0)+IF(AND(Projects!$G$19="Yes",Projects!$X$19="Yes",Projects!$M$19="Yes",2&gt;=Projects!$C$19,2&lt;Projects!$C$19+Projects!$D$19),Projects!$B$19*INDEX(Curves!$B$10:$AR$10,1,2-Projects!$C$19+1),0)+IF(AND(Projects!$G$20="Yes",Projects!$X$20="Yes",Projects!$M$20="Yes",2&gt;=Projects!$C$20,2&lt;Projects!$C$20+Projects!$D$20),Projects!$B$20*INDEX(Curves!$B$4:$AR$4,1,2-Projects!$C$20+1),0)+IF(AND(Projects!$G$21="Yes",Projects!$X$21="Yes",Projects!$M$21="Yes",2&gt;=Projects!$C$21,2&lt;Projects!$C$21+Projects!$D$21),Projects!$B$21*INDEX(Curves!$B$11:$AR$11,1,2-Projects!$C$21+1),0)+IF(AND(Projects!$G$22="Yes",Projects!$X$22="Yes",Projects!$M$22="Yes",2&gt;=Projects!$C$22,2&lt;Projects!$C$22+Projects!$D$22),Projects!$B$22*INDEX(Curves!$B$4:$AR$4,1,2-Projects!$C$22+1),0)+IF(AND(Projects!$G$23="Yes",Projects!$X$23="Yes",Projects!$M$23="Yes",2&gt;=Projects!$C$23,2&lt;Projects!$C$23+Projects!$D$23),Projects!$B$23*INDEX(Curves!$B$4:$AR$4,1,2-Projects!$C$23+1),0)+IF(AND(Projects!$G$24="Yes",Projects!$X$24="Yes",Projects!$M$24="Yes",2&gt;=Projects!$C$24,2&lt;Projects!$C$24+Projects!$D$24),Projects!$B$24*INDEX(Curves!$B$4:$AR$4,1,2-Projects!$C$24+1),0)+IF(AND(Projects!$G$25="Yes",Projects!$X$25="Yes",Projects!$M$25="Yes",2&gt;=Projects!$C$25,2&lt;Projects!$C$25+Projects!$D$25),Projects!$B$25*INDEX(Curves!$B$4:$AR$4,1,2-Projects!$C$25+1),0)+IF(AND(Projects!$G$26="Yes",Projects!$X$26="Yes",Projects!$M$26="Yes",2&gt;=Projects!$C$26,2&lt;Projects!$C$26+Projects!$D$26),Projects!$B$26*INDEX(Curves!$B$4:$AR$4,1,2-Projects!$C$26+1),0)+IF(AND(Projects!$G$27="Yes",Projects!$X$27="Yes",Projects!$M$27="Yes",2&gt;=Projects!$C$27,2&lt;Projects!$C$27+Projects!$D$27),Projects!$B$27*INDEX(Curves!$B$4:$AR$4,1,2-Projects!$C$27+1),0)+IF(AND(Projects!$G$28="Yes",Projects!$X$28="Yes",Projects!$M$28="Yes",2&gt;=Projects!$C$28,2&lt;Projects!$C$28+Projects!$D$28),Projects!$B$28*INDEX(Curves!$B$4:$AR$4,1,2-Projects!$C$28+1),0)+IF(AND(Projects!$G$29="Yes",Projects!$X$29="Yes",Projects!$M$29="Yes",2&gt;=Projects!$C$29,2&lt;Projects!$C$29+Projects!$D$29),Projects!$B$29*INDEX(Curves!$B$4:$AR$4,1,2-Projects!$C$29+1),0)+IF(AND(Projects!$G$30="Yes",Projects!$X$30="Yes",Projects!$M$30="Yes",2&gt;=Projects!$C$30,2&lt;Projects!$C$30+Projects!$D$30),Projects!$B$30*INDEX(Curves!$B$4:$AR$4,1,2-Projects!$C$30+1),0)+IF(AND(Projects!$G$31="Yes",Projects!$X$31="Yes",Projects!$M$31="Yes",2&gt;=Projects!$C$31,2&lt;Projects!$C$31+Projects!$D$31),Projects!$B$31*INDEX(Curves!$B$4:$AR$4,1,2-Projects!$C$31+1),0)+IF(AND(Projects!$G$32="Yes",Projects!$X$32="Yes",Projects!$M$32="Yes",2&gt;=Projects!$C$32,2&lt;Projects!$C$32+Projects!$D$32),Projects!$B$32*INDEX(Curves!$B$4:$AR$4,1,2-Projects!$C$32+1),0)+IF(AND(Projects!$G$33="Yes",Projects!$X$33="Yes",Projects!$M$33="Yes",2&gt;=Projects!$C$33,2&lt;Projects!$C$33+Projects!$D$33),Projects!$B$33*INDEX(Curves!$B$4:$AR$4,1,2-Projects!$C$33+1),0)+IF(AND(Projects!$G$34="Yes",Projects!$X$34="Yes",Projects!$M$34="Yes",2&gt;=Projects!$C$34,2&lt;Projects!$C$34+Projects!$D$34),Projects!$B$34*INDEX(Curves!$B$4:$AR$4,1,2-Projects!$C$34+1),0)+IF(AND(Projects!$G$35="Yes",Projects!$X$35="Yes",Projects!$M$35="Yes",2&gt;=Projects!$C$35,2&lt;Projects!$C$35+Projects!$D$35),Projects!$B$35*INDEX(Curves!$B$4:$AR$4,1,2-Projects!$C$35+1),0)+IF(AND(Projects!$G$36="Yes",Projects!$X$36="Yes",Projects!$M$36="Yes",2&gt;=Projects!$C$36,2&lt;Projects!$C$36+Projects!$D$36),Projects!$B$36*INDEX(Curves!$B$4:$AR$4,1,2-Projects!$C$36+1),0)+IF(AND(Projects!$G$37="Yes",Projects!$X$37="Yes",Projects!$M$37="Yes",2&gt;=Projects!$C$37,2&lt;Projects!$C$37+Projects!$D$37),Projects!$B$37*INDEX(Curves!$B$4:$AR$4,1,2-Projects!$C$37+1),0)+IF(AND(Projects!$G$38="Yes",Projects!$X$38="Yes",Projects!$M$38="Yes",2&gt;=Projects!$C$38,2&lt;Projects!$C$38+Projects!$D$38),Projects!$B$38*INDEX(Curves!$B$4:$AR$4,1,2-Projects!$C$38+1),0)+IF(AND(Projects!$G$39="Yes",Projects!$X$39="Yes",Projects!$M$39="Yes",2&gt;=Projects!$C$39,2&lt;Projects!$C$39+Projects!$D$39),Projects!$B$39*INDEX(Curves!$B$4:$AR$4,1,2-Projects!$C$39+1),0)+IF(AND(Projects!$G$40="Yes",Projects!$X$40="Yes",Projects!$M$40="Yes",2&gt;=Projects!$C$40,2&lt;Projects!$C$40+Projects!$D$40),Projects!$B$40*INDEX(Curves!$B$4:$AR$4,1,2-Projects!$C$40+1),0)+IF(AND(Projects!$G$41="Yes",Projects!$X$41="Yes",Projects!$M$41="Yes",2&gt;=Projects!$C$41,2&lt;Projects!$C$41+Projects!$D$41),Projects!$B$41*INDEX(Curves!$B$4:$AR$4,1,2-Projects!$C$41+1),0)+IF(AND(Projects!$G$42="Yes",Projects!$X$42="Yes",Projects!$M$42="Yes",2&gt;=Projects!$C$42,2&lt;Projects!$C$42+Projects!$D$42),Projects!$B$42*INDEX(Curves!$B$4:$AR$4,1,2-Projects!$C$42+1),0)+IF(AND(Projects!$G$43="Yes",Projects!$X$43="Yes",Projects!$M$43="Yes",2&gt;=Projects!$C$43,2&lt;Projects!$C$43+Projects!$D$43),Projects!$B$43*INDEX(Curves!$B$4:$AR$4,1,2-Projects!$C$43+1),0)+IF(AND(Projects!$G$44="Yes",Projects!$X$44="Yes",Projects!$M$44="Yes",2&gt;=Projects!$C$44,2&lt;Projects!$C$44+Projects!$D$44),Projects!$B$44*INDEX(Curves!$B$4:$AR$4,1,2-Projects!$C$44+1),0)+IF(AND(Projects!$G$45="Yes",Projects!$X$45="Yes",Projects!$M$45="Yes",2&gt;=Projects!$C$45,2&lt;Projects!$C$45+Projects!$D$45),Projects!$B$45*INDEX(Curves!$B$4:$AR$4,1,2-Projects!$C$45+1),0)+IF(AND(Projects!$G$46="Yes",Projects!$X$46="Yes",Projects!$M$46="Yes",2&gt;=Projects!$C$46,2&lt;Projects!$C$46+Projects!$D$46),Projects!$B$46*INDEX(Curves!$B$4:$AR$4,1,2-Projects!$C$46+1),0)</f>
        <v>0</v>
      </c>
      <c r="H101" s="298" t="n">
        <f aca="false">IF(AND(Projects!$G$17="Yes",Projects!$X$17="Yes",Projects!$M$17="Yes",3&gt;=Projects!$C$17,3&lt;Projects!$C$17+Projects!$D$17),Projects!$B$17*INDEX(Curves!$B$4:$AR$4,1,3-Projects!$C$17+1),0)+IF(AND(Projects!$G$18="Yes",Projects!$X$18="Yes",Projects!$M$18="Yes",3&gt;=Projects!$C$18,3&lt;Projects!$C$18+Projects!$D$18),Projects!$B$18*INDEX(Curves!$B$4:$AR$4,1,3-Projects!$C$18+1),0)+IF(AND(Projects!$G$19="Yes",Projects!$X$19="Yes",Projects!$M$19="Yes",3&gt;=Projects!$C$19,3&lt;Projects!$C$19+Projects!$D$19),Projects!$B$19*INDEX(Curves!$B$10:$AR$10,1,3-Projects!$C$19+1),0)+IF(AND(Projects!$G$20="Yes",Projects!$X$20="Yes",Projects!$M$20="Yes",3&gt;=Projects!$C$20,3&lt;Projects!$C$20+Projects!$D$20),Projects!$B$20*INDEX(Curves!$B$4:$AR$4,1,3-Projects!$C$20+1),0)+IF(AND(Projects!$G$21="Yes",Projects!$X$21="Yes",Projects!$M$21="Yes",3&gt;=Projects!$C$21,3&lt;Projects!$C$21+Projects!$D$21),Projects!$B$21*INDEX(Curves!$B$11:$AR$11,1,3-Projects!$C$21+1),0)+IF(AND(Projects!$G$22="Yes",Projects!$X$22="Yes",Projects!$M$22="Yes",3&gt;=Projects!$C$22,3&lt;Projects!$C$22+Projects!$D$22),Projects!$B$22*INDEX(Curves!$B$4:$AR$4,1,3-Projects!$C$22+1),0)+IF(AND(Projects!$G$23="Yes",Projects!$X$23="Yes",Projects!$M$23="Yes",3&gt;=Projects!$C$23,3&lt;Projects!$C$23+Projects!$D$23),Projects!$B$23*INDEX(Curves!$B$4:$AR$4,1,3-Projects!$C$23+1),0)+IF(AND(Projects!$G$24="Yes",Projects!$X$24="Yes",Projects!$M$24="Yes",3&gt;=Projects!$C$24,3&lt;Projects!$C$24+Projects!$D$24),Projects!$B$24*INDEX(Curves!$B$4:$AR$4,1,3-Projects!$C$24+1),0)+IF(AND(Projects!$G$25="Yes",Projects!$X$25="Yes",Projects!$M$25="Yes",3&gt;=Projects!$C$25,3&lt;Projects!$C$25+Projects!$D$25),Projects!$B$25*INDEX(Curves!$B$4:$AR$4,1,3-Projects!$C$25+1),0)+IF(AND(Projects!$G$26="Yes",Projects!$X$26="Yes",Projects!$M$26="Yes",3&gt;=Projects!$C$26,3&lt;Projects!$C$26+Projects!$D$26),Projects!$B$26*INDEX(Curves!$B$4:$AR$4,1,3-Projects!$C$26+1),0)+IF(AND(Projects!$G$27="Yes",Projects!$X$27="Yes",Projects!$M$27="Yes",3&gt;=Projects!$C$27,3&lt;Projects!$C$27+Projects!$D$27),Projects!$B$27*INDEX(Curves!$B$4:$AR$4,1,3-Projects!$C$27+1),0)+IF(AND(Projects!$G$28="Yes",Projects!$X$28="Yes",Projects!$M$28="Yes",3&gt;=Projects!$C$28,3&lt;Projects!$C$28+Projects!$D$28),Projects!$B$28*INDEX(Curves!$B$4:$AR$4,1,3-Projects!$C$28+1),0)+IF(AND(Projects!$G$29="Yes",Projects!$X$29="Yes",Projects!$M$29="Yes",3&gt;=Projects!$C$29,3&lt;Projects!$C$29+Projects!$D$29),Projects!$B$29*INDEX(Curves!$B$4:$AR$4,1,3-Projects!$C$29+1),0)+IF(AND(Projects!$G$30="Yes",Projects!$X$30="Yes",Projects!$M$30="Yes",3&gt;=Projects!$C$30,3&lt;Projects!$C$30+Projects!$D$30),Projects!$B$30*INDEX(Curves!$B$4:$AR$4,1,3-Projects!$C$30+1),0)+IF(AND(Projects!$G$31="Yes",Projects!$X$31="Yes",Projects!$M$31="Yes",3&gt;=Projects!$C$31,3&lt;Projects!$C$31+Projects!$D$31),Projects!$B$31*INDEX(Curves!$B$4:$AR$4,1,3-Projects!$C$31+1),0)+IF(AND(Projects!$G$32="Yes",Projects!$X$32="Yes",Projects!$M$32="Yes",3&gt;=Projects!$C$32,3&lt;Projects!$C$32+Projects!$D$32),Projects!$B$32*INDEX(Curves!$B$4:$AR$4,1,3-Projects!$C$32+1),0)+IF(AND(Projects!$G$33="Yes",Projects!$X$33="Yes",Projects!$M$33="Yes",3&gt;=Projects!$C$33,3&lt;Projects!$C$33+Projects!$D$33),Projects!$B$33*INDEX(Curves!$B$4:$AR$4,1,3-Projects!$C$33+1),0)+IF(AND(Projects!$G$34="Yes",Projects!$X$34="Yes",Projects!$M$34="Yes",3&gt;=Projects!$C$34,3&lt;Projects!$C$34+Projects!$D$34),Projects!$B$34*INDEX(Curves!$B$4:$AR$4,1,3-Projects!$C$34+1),0)+IF(AND(Projects!$G$35="Yes",Projects!$X$35="Yes",Projects!$M$35="Yes",3&gt;=Projects!$C$35,3&lt;Projects!$C$35+Projects!$D$35),Projects!$B$35*INDEX(Curves!$B$4:$AR$4,1,3-Projects!$C$35+1),0)+IF(AND(Projects!$G$36="Yes",Projects!$X$36="Yes",Projects!$M$36="Yes",3&gt;=Projects!$C$36,3&lt;Projects!$C$36+Projects!$D$36),Projects!$B$36*INDEX(Curves!$B$4:$AR$4,1,3-Projects!$C$36+1),0)+IF(AND(Projects!$G$37="Yes",Projects!$X$37="Yes",Projects!$M$37="Yes",3&gt;=Projects!$C$37,3&lt;Projects!$C$37+Projects!$D$37),Projects!$B$37*INDEX(Curves!$B$4:$AR$4,1,3-Projects!$C$37+1),0)+IF(AND(Projects!$G$38="Yes",Projects!$X$38="Yes",Projects!$M$38="Yes",3&gt;=Projects!$C$38,3&lt;Projects!$C$38+Projects!$D$38),Projects!$B$38*INDEX(Curves!$B$4:$AR$4,1,3-Projects!$C$38+1),0)+IF(AND(Projects!$G$39="Yes",Projects!$X$39="Yes",Projects!$M$39="Yes",3&gt;=Projects!$C$39,3&lt;Projects!$C$39+Projects!$D$39),Projects!$B$39*INDEX(Curves!$B$4:$AR$4,1,3-Projects!$C$39+1),0)+IF(AND(Projects!$G$40="Yes",Projects!$X$40="Yes",Projects!$M$40="Yes",3&gt;=Projects!$C$40,3&lt;Projects!$C$40+Projects!$D$40),Projects!$B$40*INDEX(Curves!$B$4:$AR$4,1,3-Projects!$C$40+1),0)+IF(AND(Projects!$G$41="Yes",Projects!$X$41="Yes",Projects!$M$41="Yes",3&gt;=Projects!$C$41,3&lt;Projects!$C$41+Projects!$D$41),Projects!$B$41*INDEX(Curves!$B$4:$AR$4,1,3-Projects!$C$41+1),0)+IF(AND(Projects!$G$42="Yes",Projects!$X$42="Yes",Projects!$M$42="Yes",3&gt;=Projects!$C$42,3&lt;Projects!$C$42+Projects!$D$42),Projects!$B$42*INDEX(Curves!$B$4:$AR$4,1,3-Projects!$C$42+1),0)+IF(AND(Projects!$G$43="Yes",Projects!$X$43="Yes",Projects!$M$43="Yes",3&gt;=Projects!$C$43,3&lt;Projects!$C$43+Projects!$D$43),Projects!$B$43*INDEX(Curves!$B$4:$AR$4,1,3-Projects!$C$43+1),0)+IF(AND(Projects!$G$44="Yes",Projects!$X$44="Yes",Projects!$M$44="Yes",3&gt;=Projects!$C$44,3&lt;Projects!$C$44+Projects!$D$44),Projects!$B$44*INDEX(Curves!$B$4:$AR$4,1,3-Projects!$C$44+1),0)+IF(AND(Projects!$G$45="Yes",Projects!$X$45="Yes",Projects!$M$45="Yes",3&gt;=Projects!$C$45,3&lt;Projects!$C$45+Projects!$D$45),Projects!$B$45*INDEX(Curves!$B$4:$AR$4,1,3-Projects!$C$45+1),0)+IF(AND(Projects!$G$46="Yes",Projects!$X$46="Yes",Projects!$M$46="Yes",3&gt;=Projects!$C$46,3&lt;Projects!$C$46+Projects!$D$46),Projects!$B$46*INDEX(Curves!$B$4:$AR$4,1,3-Projects!$C$46+1),0)</f>
        <v>0</v>
      </c>
      <c r="I101" s="298" t="n">
        <f aca="false">IF(AND(Projects!$G$17="Yes",Projects!$X$17="Yes",Projects!$M$17="Yes",4&gt;=Projects!$C$17,4&lt;Projects!$C$17+Projects!$D$17),Projects!$B$17*INDEX(Curves!$B$4:$AR$4,1,4-Projects!$C$17+1),0)+IF(AND(Projects!$G$18="Yes",Projects!$X$18="Yes",Projects!$M$18="Yes",4&gt;=Projects!$C$18,4&lt;Projects!$C$18+Projects!$D$18),Projects!$B$18*INDEX(Curves!$B$4:$AR$4,1,4-Projects!$C$18+1),0)+IF(AND(Projects!$G$19="Yes",Projects!$X$19="Yes",Projects!$M$19="Yes",4&gt;=Projects!$C$19,4&lt;Projects!$C$19+Projects!$D$19),Projects!$B$19*INDEX(Curves!$B$10:$AR$10,1,4-Projects!$C$19+1),0)+IF(AND(Projects!$G$20="Yes",Projects!$X$20="Yes",Projects!$M$20="Yes",4&gt;=Projects!$C$20,4&lt;Projects!$C$20+Projects!$D$20),Projects!$B$20*INDEX(Curves!$B$4:$AR$4,1,4-Projects!$C$20+1),0)+IF(AND(Projects!$G$21="Yes",Projects!$X$21="Yes",Projects!$M$21="Yes",4&gt;=Projects!$C$21,4&lt;Projects!$C$21+Projects!$D$21),Projects!$B$21*INDEX(Curves!$B$11:$AR$11,1,4-Projects!$C$21+1),0)+IF(AND(Projects!$G$22="Yes",Projects!$X$22="Yes",Projects!$M$22="Yes",4&gt;=Projects!$C$22,4&lt;Projects!$C$22+Projects!$D$22),Projects!$B$22*INDEX(Curves!$B$4:$AR$4,1,4-Projects!$C$22+1),0)+IF(AND(Projects!$G$23="Yes",Projects!$X$23="Yes",Projects!$M$23="Yes",4&gt;=Projects!$C$23,4&lt;Projects!$C$23+Projects!$D$23),Projects!$B$23*INDEX(Curves!$B$4:$AR$4,1,4-Projects!$C$23+1),0)+IF(AND(Projects!$G$24="Yes",Projects!$X$24="Yes",Projects!$M$24="Yes",4&gt;=Projects!$C$24,4&lt;Projects!$C$24+Projects!$D$24),Projects!$B$24*INDEX(Curves!$B$4:$AR$4,1,4-Projects!$C$24+1),0)+IF(AND(Projects!$G$25="Yes",Projects!$X$25="Yes",Projects!$M$25="Yes",4&gt;=Projects!$C$25,4&lt;Projects!$C$25+Projects!$D$25),Projects!$B$25*INDEX(Curves!$B$4:$AR$4,1,4-Projects!$C$25+1),0)+IF(AND(Projects!$G$26="Yes",Projects!$X$26="Yes",Projects!$M$26="Yes",4&gt;=Projects!$C$26,4&lt;Projects!$C$26+Projects!$D$26),Projects!$B$26*INDEX(Curves!$B$4:$AR$4,1,4-Projects!$C$26+1),0)+IF(AND(Projects!$G$27="Yes",Projects!$X$27="Yes",Projects!$M$27="Yes",4&gt;=Projects!$C$27,4&lt;Projects!$C$27+Projects!$D$27),Projects!$B$27*INDEX(Curves!$B$4:$AR$4,1,4-Projects!$C$27+1),0)+IF(AND(Projects!$G$28="Yes",Projects!$X$28="Yes",Projects!$M$28="Yes",4&gt;=Projects!$C$28,4&lt;Projects!$C$28+Projects!$D$28),Projects!$B$28*INDEX(Curves!$B$4:$AR$4,1,4-Projects!$C$28+1),0)+IF(AND(Projects!$G$29="Yes",Projects!$X$29="Yes",Projects!$M$29="Yes",4&gt;=Projects!$C$29,4&lt;Projects!$C$29+Projects!$D$29),Projects!$B$29*INDEX(Curves!$B$4:$AR$4,1,4-Projects!$C$29+1),0)+IF(AND(Projects!$G$30="Yes",Projects!$X$30="Yes",Projects!$M$30="Yes",4&gt;=Projects!$C$30,4&lt;Projects!$C$30+Projects!$D$30),Projects!$B$30*INDEX(Curves!$B$4:$AR$4,1,4-Projects!$C$30+1),0)+IF(AND(Projects!$G$31="Yes",Projects!$X$31="Yes",Projects!$M$31="Yes",4&gt;=Projects!$C$31,4&lt;Projects!$C$31+Projects!$D$31),Projects!$B$31*INDEX(Curves!$B$4:$AR$4,1,4-Projects!$C$31+1),0)+IF(AND(Projects!$G$32="Yes",Projects!$X$32="Yes",Projects!$M$32="Yes",4&gt;=Projects!$C$32,4&lt;Projects!$C$32+Projects!$D$32),Projects!$B$32*INDEX(Curves!$B$4:$AR$4,1,4-Projects!$C$32+1),0)+IF(AND(Projects!$G$33="Yes",Projects!$X$33="Yes",Projects!$M$33="Yes",4&gt;=Projects!$C$33,4&lt;Projects!$C$33+Projects!$D$33),Projects!$B$33*INDEX(Curves!$B$4:$AR$4,1,4-Projects!$C$33+1),0)+IF(AND(Projects!$G$34="Yes",Projects!$X$34="Yes",Projects!$M$34="Yes",4&gt;=Projects!$C$34,4&lt;Projects!$C$34+Projects!$D$34),Projects!$B$34*INDEX(Curves!$B$4:$AR$4,1,4-Projects!$C$34+1),0)+IF(AND(Projects!$G$35="Yes",Projects!$X$35="Yes",Projects!$M$35="Yes",4&gt;=Projects!$C$35,4&lt;Projects!$C$35+Projects!$D$35),Projects!$B$35*INDEX(Curves!$B$4:$AR$4,1,4-Projects!$C$35+1),0)+IF(AND(Projects!$G$36="Yes",Projects!$X$36="Yes",Projects!$M$36="Yes",4&gt;=Projects!$C$36,4&lt;Projects!$C$36+Projects!$D$36),Projects!$B$36*INDEX(Curves!$B$4:$AR$4,1,4-Projects!$C$36+1),0)+IF(AND(Projects!$G$37="Yes",Projects!$X$37="Yes",Projects!$M$37="Yes",4&gt;=Projects!$C$37,4&lt;Projects!$C$37+Projects!$D$37),Projects!$B$37*INDEX(Curves!$B$4:$AR$4,1,4-Projects!$C$37+1),0)+IF(AND(Projects!$G$38="Yes",Projects!$X$38="Yes",Projects!$M$38="Yes",4&gt;=Projects!$C$38,4&lt;Projects!$C$38+Projects!$D$38),Projects!$B$38*INDEX(Curves!$B$4:$AR$4,1,4-Projects!$C$38+1),0)+IF(AND(Projects!$G$39="Yes",Projects!$X$39="Yes",Projects!$M$39="Yes",4&gt;=Projects!$C$39,4&lt;Projects!$C$39+Projects!$D$39),Projects!$B$39*INDEX(Curves!$B$4:$AR$4,1,4-Projects!$C$39+1),0)+IF(AND(Projects!$G$40="Yes",Projects!$X$40="Yes",Projects!$M$40="Yes",4&gt;=Projects!$C$40,4&lt;Projects!$C$40+Projects!$D$40),Projects!$B$40*INDEX(Curves!$B$4:$AR$4,1,4-Projects!$C$40+1),0)+IF(AND(Projects!$G$41="Yes",Projects!$X$41="Yes",Projects!$M$41="Yes",4&gt;=Projects!$C$41,4&lt;Projects!$C$41+Projects!$D$41),Projects!$B$41*INDEX(Curves!$B$4:$AR$4,1,4-Projects!$C$41+1),0)+IF(AND(Projects!$G$42="Yes",Projects!$X$42="Yes",Projects!$M$42="Yes",4&gt;=Projects!$C$42,4&lt;Projects!$C$42+Projects!$D$42),Projects!$B$42*INDEX(Curves!$B$4:$AR$4,1,4-Projects!$C$42+1),0)+IF(AND(Projects!$G$43="Yes",Projects!$X$43="Yes",Projects!$M$43="Yes",4&gt;=Projects!$C$43,4&lt;Projects!$C$43+Projects!$D$43),Projects!$B$43*INDEX(Curves!$B$4:$AR$4,1,4-Projects!$C$43+1),0)+IF(AND(Projects!$G$44="Yes",Projects!$X$44="Yes",Projects!$M$44="Yes",4&gt;=Projects!$C$44,4&lt;Projects!$C$44+Projects!$D$44),Projects!$B$44*INDEX(Curves!$B$4:$AR$4,1,4-Projects!$C$44+1),0)+IF(AND(Projects!$G$45="Yes",Projects!$X$45="Yes",Projects!$M$45="Yes",4&gt;=Projects!$C$45,4&lt;Projects!$C$45+Projects!$D$45),Projects!$B$45*INDEX(Curves!$B$4:$AR$4,1,4-Projects!$C$45+1),0)+IF(AND(Projects!$G$46="Yes",Projects!$X$46="Yes",Projects!$M$46="Yes",4&gt;=Projects!$C$46,4&lt;Projects!$C$46+Projects!$D$46),Projects!$B$46*INDEX(Curves!$B$4:$AR$4,1,4-Projects!$C$46+1),0)</f>
        <v>0</v>
      </c>
      <c r="J101" s="298" t="n">
        <f aca="false">IF(AND(Projects!$G$17="Yes",Projects!$X$17="Yes",Projects!$M$17="Yes",5&gt;=Projects!$C$17,5&lt;Projects!$C$17+Projects!$D$17),Projects!$B$17*INDEX(Curves!$B$4:$AR$4,1,5-Projects!$C$17+1),0)+IF(AND(Projects!$G$18="Yes",Projects!$X$18="Yes",Projects!$M$18="Yes",5&gt;=Projects!$C$18,5&lt;Projects!$C$18+Projects!$D$18),Projects!$B$18*INDEX(Curves!$B$4:$AR$4,1,5-Projects!$C$18+1),0)+IF(AND(Projects!$G$19="Yes",Projects!$X$19="Yes",Projects!$M$19="Yes",5&gt;=Projects!$C$19,5&lt;Projects!$C$19+Projects!$D$19),Projects!$B$19*INDEX(Curves!$B$10:$AR$10,1,5-Projects!$C$19+1),0)+IF(AND(Projects!$G$20="Yes",Projects!$X$20="Yes",Projects!$M$20="Yes",5&gt;=Projects!$C$20,5&lt;Projects!$C$20+Projects!$D$20),Projects!$B$20*INDEX(Curves!$B$4:$AR$4,1,5-Projects!$C$20+1),0)+IF(AND(Projects!$G$21="Yes",Projects!$X$21="Yes",Projects!$M$21="Yes",5&gt;=Projects!$C$21,5&lt;Projects!$C$21+Projects!$D$21),Projects!$B$21*INDEX(Curves!$B$11:$AR$11,1,5-Projects!$C$21+1),0)+IF(AND(Projects!$G$22="Yes",Projects!$X$22="Yes",Projects!$M$22="Yes",5&gt;=Projects!$C$22,5&lt;Projects!$C$22+Projects!$D$22),Projects!$B$22*INDEX(Curves!$B$4:$AR$4,1,5-Projects!$C$22+1),0)+IF(AND(Projects!$G$23="Yes",Projects!$X$23="Yes",Projects!$M$23="Yes",5&gt;=Projects!$C$23,5&lt;Projects!$C$23+Projects!$D$23),Projects!$B$23*INDEX(Curves!$B$4:$AR$4,1,5-Projects!$C$23+1),0)+IF(AND(Projects!$G$24="Yes",Projects!$X$24="Yes",Projects!$M$24="Yes",5&gt;=Projects!$C$24,5&lt;Projects!$C$24+Projects!$D$24),Projects!$B$24*INDEX(Curves!$B$4:$AR$4,1,5-Projects!$C$24+1),0)+IF(AND(Projects!$G$25="Yes",Projects!$X$25="Yes",Projects!$M$25="Yes",5&gt;=Projects!$C$25,5&lt;Projects!$C$25+Projects!$D$25),Projects!$B$25*INDEX(Curves!$B$4:$AR$4,1,5-Projects!$C$25+1),0)+IF(AND(Projects!$G$26="Yes",Projects!$X$26="Yes",Projects!$M$26="Yes",5&gt;=Projects!$C$26,5&lt;Projects!$C$26+Projects!$D$26),Projects!$B$26*INDEX(Curves!$B$4:$AR$4,1,5-Projects!$C$26+1),0)+IF(AND(Projects!$G$27="Yes",Projects!$X$27="Yes",Projects!$M$27="Yes",5&gt;=Projects!$C$27,5&lt;Projects!$C$27+Projects!$D$27),Projects!$B$27*INDEX(Curves!$B$4:$AR$4,1,5-Projects!$C$27+1),0)+IF(AND(Projects!$G$28="Yes",Projects!$X$28="Yes",Projects!$M$28="Yes",5&gt;=Projects!$C$28,5&lt;Projects!$C$28+Projects!$D$28),Projects!$B$28*INDEX(Curves!$B$4:$AR$4,1,5-Projects!$C$28+1),0)+IF(AND(Projects!$G$29="Yes",Projects!$X$29="Yes",Projects!$M$29="Yes",5&gt;=Projects!$C$29,5&lt;Projects!$C$29+Projects!$D$29),Projects!$B$29*INDEX(Curves!$B$4:$AR$4,1,5-Projects!$C$29+1),0)+IF(AND(Projects!$G$30="Yes",Projects!$X$30="Yes",Projects!$M$30="Yes",5&gt;=Projects!$C$30,5&lt;Projects!$C$30+Projects!$D$30),Projects!$B$30*INDEX(Curves!$B$4:$AR$4,1,5-Projects!$C$30+1),0)+IF(AND(Projects!$G$31="Yes",Projects!$X$31="Yes",Projects!$M$31="Yes",5&gt;=Projects!$C$31,5&lt;Projects!$C$31+Projects!$D$31),Projects!$B$31*INDEX(Curves!$B$4:$AR$4,1,5-Projects!$C$31+1),0)+IF(AND(Projects!$G$32="Yes",Projects!$X$32="Yes",Projects!$M$32="Yes",5&gt;=Projects!$C$32,5&lt;Projects!$C$32+Projects!$D$32),Projects!$B$32*INDEX(Curves!$B$4:$AR$4,1,5-Projects!$C$32+1),0)+IF(AND(Projects!$G$33="Yes",Projects!$X$33="Yes",Projects!$M$33="Yes",5&gt;=Projects!$C$33,5&lt;Projects!$C$33+Projects!$D$33),Projects!$B$33*INDEX(Curves!$B$4:$AR$4,1,5-Projects!$C$33+1),0)+IF(AND(Projects!$G$34="Yes",Projects!$X$34="Yes",Projects!$M$34="Yes",5&gt;=Projects!$C$34,5&lt;Projects!$C$34+Projects!$D$34),Projects!$B$34*INDEX(Curves!$B$4:$AR$4,1,5-Projects!$C$34+1),0)+IF(AND(Projects!$G$35="Yes",Projects!$X$35="Yes",Projects!$M$35="Yes",5&gt;=Projects!$C$35,5&lt;Projects!$C$35+Projects!$D$35),Projects!$B$35*INDEX(Curves!$B$4:$AR$4,1,5-Projects!$C$35+1),0)+IF(AND(Projects!$G$36="Yes",Projects!$X$36="Yes",Projects!$M$36="Yes",5&gt;=Projects!$C$36,5&lt;Projects!$C$36+Projects!$D$36),Projects!$B$36*INDEX(Curves!$B$4:$AR$4,1,5-Projects!$C$36+1),0)+IF(AND(Projects!$G$37="Yes",Projects!$X$37="Yes",Projects!$M$37="Yes",5&gt;=Projects!$C$37,5&lt;Projects!$C$37+Projects!$D$37),Projects!$B$37*INDEX(Curves!$B$4:$AR$4,1,5-Projects!$C$37+1),0)+IF(AND(Projects!$G$38="Yes",Projects!$X$38="Yes",Projects!$M$38="Yes",5&gt;=Projects!$C$38,5&lt;Projects!$C$38+Projects!$D$38),Projects!$B$38*INDEX(Curves!$B$4:$AR$4,1,5-Projects!$C$38+1),0)+IF(AND(Projects!$G$39="Yes",Projects!$X$39="Yes",Projects!$M$39="Yes",5&gt;=Projects!$C$39,5&lt;Projects!$C$39+Projects!$D$39),Projects!$B$39*INDEX(Curves!$B$4:$AR$4,1,5-Projects!$C$39+1),0)+IF(AND(Projects!$G$40="Yes",Projects!$X$40="Yes",Projects!$M$40="Yes",5&gt;=Projects!$C$40,5&lt;Projects!$C$40+Projects!$D$40),Projects!$B$40*INDEX(Curves!$B$4:$AR$4,1,5-Projects!$C$40+1),0)+IF(AND(Projects!$G$41="Yes",Projects!$X$41="Yes",Projects!$M$41="Yes",5&gt;=Projects!$C$41,5&lt;Projects!$C$41+Projects!$D$41),Projects!$B$41*INDEX(Curves!$B$4:$AR$4,1,5-Projects!$C$41+1),0)+IF(AND(Projects!$G$42="Yes",Projects!$X$42="Yes",Projects!$M$42="Yes",5&gt;=Projects!$C$42,5&lt;Projects!$C$42+Projects!$D$42),Projects!$B$42*INDEX(Curves!$B$4:$AR$4,1,5-Projects!$C$42+1),0)+IF(AND(Projects!$G$43="Yes",Projects!$X$43="Yes",Projects!$M$43="Yes",5&gt;=Projects!$C$43,5&lt;Projects!$C$43+Projects!$D$43),Projects!$B$43*INDEX(Curves!$B$4:$AR$4,1,5-Projects!$C$43+1),0)+IF(AND(Projects!$G$44="Yes",Projects!$X$44="Yes",Projects!$M$44="Yes",5&gt;=Projects!$C$44,5&lt;Projects!$C$44+Projects!$D$44),Projects!$B$44*INDEX(Curves!$B$4:$AR$4,1,5-Projects!$C$44+1),0)+IF(AND(Projects!$G$45="Yes",Projects!$X$45="Yes",Projects!$M$45="Yes",5&gt;=Projects!$C$45,5&lt;Projects!$C$45+Projects!$D$45),Projects!$B$45*INDEX(Curves!$B$4:$AR$4,1,5-Projects!$C$45+1),0)+IF(AND(Projects!$G$46="Yes",Projects!$X$46="Yes",Projects!$M$46="Yes",5&gt;=Projects!$C$46,5&lt;Projects!$C$46+Projects!$D$46),Projects!$B$46*INDEX(Curves!$B$4:$AR$4,1,5-Projects!$C$46+1),0)</f>
        <v>0</v>
      </c>
      <c r="K101" s="298" t="n">
        <f aca="false">IF(AND(Projects!$G$17="Yes",Projects!$X$17="Yes",Projects!$M$17="Yes",6&gt;=Projects!$C$17,6&lt;Projects!$C$17+Projects!$D$17),Projects!$B$17*INDEX(Curves!$B$4:$AR$4,1,6-Projects!$C$17+1),0)+IF(AND(Projects!$G$18="Yes",Projects!$X$18="Yes",Projects!$M$18="Yes",6&gt;=Projects!$C$18,6&lt;Projects!$C$18+Projects!$D$18),Projects!$B$18*INDEX(Curves!$B$4:$AR$4,1,6-Projects!$C$18+1),0)+IF(AND(Projects!$G$19="Yes",Projects!$X$19="Yes",Projects!$M$19="Yes",6&gt;=Projects!$C$19,6&lt;Projects!$C$19+Projects!$D$19),Projects!$B$19*INDEX(Curves!$B$10:$AR$10,1,6-Projects!$C$19+1),0)+IF(AND(Projects!$G$20="Yes",Projects!$X$20="Yes",Projects!$M$20="Yes",6&gt;=Projects!$C$20,6&lt;Projects!$C$20+Projects!$D$20),Projects!$B$20*INDEX(Curves!$B$4:$AR$4,1,6-Projects!$C$20+1),0)+IF(AND(Projects!$G$21="Yes",Projects!$X$21="Yes",Projects!$M$21="Yes",6&gt;=Projects!$C$21,6&lt;Projects!$C$21+Projects!$D$21),Projects!$B$21*INDEX(Curves!$B$11:$AR$11,1,6-Projects!$C$21+1),0)+IF(AND(Projects!$G$22="Yes",Projects!$X$22="Yes",Projects!$M$22="Yes",6&gt;=Projects!$C$22,6&lt;Projects!$C$22+Projects!$D$22),Projects!$B$22*INDEX(Curves!$B$4:$AR$4,1,6-Projects!$C$22+1),0)+IF(AND(Projects!$G$23="Yes",Projects!$X$23="Yes",Projects!$M$23="Yes",6&gt;=Projects!$C$23,6&lt;Projects!$C$23+Projects!$D$23),Projects!$B$23*INDEX(Curves!$B$4:$AR$4,1,6-Projects!$C$23+1),0)+IF(AND(Projects!$G$24="Yes",Projects!$X$24="Yes",Projects!$M$24="Yes",6&gt;=Projects!$C$24,6&lt;Projects!$C$24+Projects!$D$24),Projects!$B$24*INDEX(Curves!$B$4:$AR$4,1,6-Projects!$C$24+1),0)+IF(AND(Projects!$G$25="Yes",Projects!$X$25="Yes",Projects!$M$25="Yes",6&gt;=Projects!$C$25,6&lt;Projects!$C$25+Projects!$D$25),Projects!$B$25*INDEX(Curves!$B$4:$AR$4,1,6-Projects!$C$25+1),0)+IF(AND(Projects!$G$26="Yes",Projects!$X$26="Yes",Projects!$M$26="Yes",6&gt;=Projects!$C$26,6&lt;Projects!$C$26+Projects!$D$26),Projects!$B$26*INDEX(Curves!$B$4:$AR$4,1,6-Projects!$C$26+1),0)+IF(AND(Projects!$G$27="Yes",Projects!$X$27="Yes",Projects!$M$27="Yes",6&gt;=Projects!$C$27,6&lt;Projects!$C$27+Projects!$D$27),Projects!$B$27*INDEX(Curves!$B$4:$AR$4,1,6-Projects!$C$27+1),0)+IF(AND(Projects!$G$28="Yes",Projects!$X$28="Yes",Projects!$M$28="Yes",6&gt;=Projects!$C$28,6&lt;Projects!$C$28+Projects!$D$28),Projects!$B$28*INDEX(Curves!$B$4:$AR$4,1,6-Projects!$C$28+1),0)+IF(AND(Projects!$G$29="Yes",Projects!$X$29="Yes",Projects!$M$29="Yes",6&gt;=Projects!$C$29,6&lt;Projects!$C$29+Projects!$D$29),Projects!$B$29*INDEX(Curves!$B$4:$AR$4,1,6-Projects!$C$29+1),0)+IF(AND(Projects!$G$30="Yes",Projects!$X$30="Yes",Projects!$M$30="Yes",6&gt;=Projects!$C$30,6&lt;Projects!$C$30+Projects!$D$30),Projects!$B$30*INDEX(Curves!$B$4:$AR$4,1,6-Projects!$C$30+1),0)+IF(AND(Projects!$G$31="Yes",Projects!$X$31="Yes",Projects!$M$31="Yes",6&gt;=Projects!$C$31,6&lt;Projects!$C$31+Projects!$D$31),Projects!$B$31*INDEX(Curves!$B$4:$AR$4,1,6-Projects!$C$31+1),0)+IF(AND(Projects!$G$32="Yes",Projects!$X$32="Yes",Projects!$M$32="Yes",6&gt;=Projects!$C$32,6&lt;Projects!$C$32+Projects!$D$32),Projects!$B$32*INDEX(Curves!$B$4:$AR$4,1,6-Projects!$C$32+1),0)+IF(AND(Projects!$G$33="Yes",Projects!$X$33="Yes",Projects!$M$33="Yes",6&gt;=Projects!$C$33,6&lt;Projects!$C$33+Projects!$D$33),Projects!$B$33*INDEX(Curves!$B$4:$AR$4,1,6-Projects!$C$33+1),0)+IF(AND(Projects!$G$34="Yes",Projects!$X$34="Yes",Projects!$M$34="Yes",6&gt;=Projects!$C$34,6&lt;Projects!$C$34+Projects!$D$34),Projects!$B$34*INDEX(Curves!$B$4:$AR$4,1,6-Projects!$C$34+1),0)+IF(AND(Projects!$G$35="Yes",Projects!$X$35="Yes",Projects!$M$35="Yes",6&gt;=Projects!$C$35,6&lt;Projects!$C$35+Projects!$D$35),Projects!$B$35*INDEX(Curves!$B$4:$AR$4,1,6-Projects!$C$35+1),0)+IF(AND(Projects!$G$36="Yes",Projects!$X$36="Yes",Projects!$M$36="Yes",6&gt;=Projects!$C$36,6&lt;Projects!$C$36+Projects!$D$36),Projects!$B$36*INDEX(Curves!$B$4:$AR$4,1,6-Projects!$C$36+1),0)+IF(AND(Projects!$G$37="Yes",Projects!$X$37="Yes",Projects!$M$37="Yes",6&gt;=Projects!$C$37,6&lt;Projects!$C$37+Projects!$D$37),Projects!$B$37*INDEX(Curves!$B$4:$AR$4,1,6-Projects!$C$37+1),0)+IF(AND(Projects!$G$38="Yes",Projects!$X$38="Yes",Projects!$M$38="Yes",6&gt;=Projects!$C$38,6&lt;Projects!$C$38+Projects!$D$38),Projects!$B$38*INDEX(Curves!$B$4:$AR$4,1,6-Projects!$C$38+1),0)+IF(AND(Projects!$G$39="Yes",Projects!$X$39="Yes",Projects!$M$39="Yes",6&gt;=Projects!$C$39,6&lt;Projects!$C$39+Projects!$D$39),Projects!$B$39*INDEX(Curves!$B$4:$AR$4,1,6-Projects!$C$39+1),0)+IF(AND(Projects!$G$40="Yes",Projects!$X$40="Yes",Projects!$M$40="Yes",6&gt;=Projects!$C$40,6&lt;Projects!$C$40+Projects!$D$40),Projects!$B$40*INDEX(Curves!$B$4:$AR$4,1,6-Projects!$C$40+1),0)+IF(AND(Projects!$G$41="Yes",Projects!$X$41="Yes",Projects!$M$41="Yes",6&gt;=Projects!$C$41,6&lt;Projects!$C$41+Projects!$D$41),Projects!$B$41*INDEX(Curves!$B$4:$AR$4,1,6-Projects!$C$41+1),0)+IF(AND(Projects!$G$42="Yes",Projects!$X$42="Yes",Projects!$M$42="Yes",6&gt;=Projects!$C$42,6&lt;Projects!$C$42+Projects!$D$42),Projects!$B$42*INDEX(Curves!$B$4:$AR$4,1,6-Projects!$C$42+1),0)+IF(AND(Projects!$G$43="Yes",Projects!$X$43="Yes",Projects!$M$43="Yes",6&gt;=Projects!$C$43,6&lt;Projects!$C$43+Projects!$D$43),Projects!$B$43*INDEX(Curves!$B$4:$AR$4,1,6-Projects!$C$43+1),0)+IF(AND(Projects!$G$44="Yes",Projects!$X$44="Yes",Projects!$M$44="Yes",6&gt;=Projects!$C$44,6&lt;Projects!$C$44+Projects!$D$44),Projects!$B$44*INDEX(Curves!$B$4:$AR$4,1,6-Projects!$C$44+1),0)+IF(AND(Projects!$G$45="Yes",Projects!$X$45="Yes",Projects!$M$45="Yes",6&gt;=Projects!$C$45,6&lt;Projects!$C$45+Projects!$D$45),Projects!$B$45*INDEX(Curves!$B$4:$AR$4,1,6-Projects!$C$45+1),0)+IF(AND(Projects!$G$46="Yes",Projects!$X$46="Yes",Projects!$M$46="Yes",6&gt;=Projects!$C$46,6&lt;Projects!$C$46+Projects!$D$46),Projects!$B$46*INDEX(Curves!$B$4:$AR$4,1,6-Projects!$C$46+1),0)</f>
        <v>0</v>
      </c>
      <c r="L101" s="298" t="n">
        <f aca="false">IF(AND(Projects!$G$17="Yes",Projects!$X$17="Yes",Projects!$M$17="Yes",7&gt;=Projects!$C$17,7&lt;Projects!$C$17+Projects!$D$17),Projects!$B$17*INDEX(Curves!$B$4:$AR$4,1,7-Projects!$C$17+1),0)+IF(AND(Projects!$G$18="Yes",Projects!$X$18="Yes",Projects!$M$18="Yes",7&gt;=Projects!$C$18,7&lt;Projects!$C$18+Projects!$D$18),Projects!$B$18*INDEX(Curves!$B$4:$AR$4,1,7-Projects!$C$18+1),0)+IF(AND(Projects!$G$19="Yes",Projects!$X$19="Yes",Projects!$M$19="Yes",7&gt;=Projects!$C$19,7&lt;Projects!$C$19+Projects!$D$19),Projects!$B$19*INDEX(Curves!$B$10:$AR$10,1,7-Projects!$C$19+1),0)+IF(AND(Projects!$G$20="Yes",Projects!$X$20="Yes",Projects!$M$20="Yes",7&gt;=Projects!$C$20,7&lt;Projects!$C$20+Projects!$D$20),Projects!$B$20*INDEX(Curves!$B$4:$AR$4,1,7-Projects!$C$20+1),0)+IF(AND(Projects!$G$21="Yes",Projects!$X$21="Yes",Projects!$M$21="Yes",7&gt;=Projects!$C$21,7&lt;Projects!$C$21+Projects!$D$21),Projects!$B$21*INDEX(Curves!$B$11:$AR$11,1,7-Projects!$C$21+1),0)+IF(AND(Projects!$G$22="Yes",Projects!$X$22="Yes",Projects!$M$22="Yes",7&gt;=Projects!$C$22,7&lt;Projects!$C$22+Projects!$D$22),Projects!$B$22*INDEX(Curves!$B$4:$AR$4,1,7-Projects!$C$22+1),0)+IF(AND(Projects!$G$23="Yes",Projects!$X$23="Yes",Projects!$M$23="Yes",7&gt;=Projects!$C$23,7&lt;Projects!$C$23+Projects!$D$23),Projects!$B$23*INDEX(Curves!$B$4:$AR$4,1,7-Projects!$C$23+1),0)+IF(AND(Projects!$G$24="Yes",Projects!$X$24="Yes",Projects!$M$24="Yes",7&gt;=Projects!$C$24,7&lt;Projects!$C$24+Projects!$D$24),Projects!$B$24*INDEX(Curves!$B$4:$AR$4,1,7-Projects!$C$24+1),0)+IF(AND(Projects!$G$25="Yes",Projects!$X$25="Yes",Projects!$M$25="Yes",7&gt;=Projects!$C$25,7&lt;Projects!$C$25+Projects!$D$25),Projects!$B$25*INDEX(Curves!$B$4:$AR$4,1,7-Projects!$C$25+1),0)+IF(AND(Projects!$G$26="Yes",Projects!$X$26="Yes",Projects!$M$26="Yes",7&gt;=Projects!$C$26,7&lt;Projects!$C$26+Projects!$D$26),Projects!$B$26*INDEX(Curves!$B$4:$AR$4,1,7-Projects!$C$26+1),0)+IF(AND(Projects!$G$27="Yes",Projects!$X$27="Yes",Projects!$M$27="Yes",7&gt;=Projects!$C$27,7&lt;Projects!$C$27+Projects!$D$27),Projects!$B$27*INDEX(Curves!$B$4:$AR$4,1,7-Projects!$C$27+1),0)+IF(AND(Projects!$G$28="Yes",Projects!$X$28="Yes",Projects!$M$28="Yes",7&gt;=Projects!$C$28,7&lt;Projects!$C$28+Projects!$D$28),Projects!$B$28*INDEX(Curves!$B$4:$AR$4,1,7-Projects!$C$28+1),0)+IF(AND(Projects!$G$29="Yes",Projects!$X$29="Yes",Projects!$M$29="Yes",7&gt;=Projects!$C$29,7&lt;Projects!$C$29+Projects!$D$29),Projects!$B$29*INDEX(Curves!$B$4:$AR$4,1,7-Projects!$C$29+1),0)+IF(AND(Projects!$G$30="Yes",Projects!$X$30="Yes",Projects!$M$30="Yes",7&gt;=Projects!$C$30,7&lt;Projects!$C$30+Projects!$D$30),Projects!$B$30*INDEX(Curves!$B$4:$AR$4,1,7-Projects!$C$30+1),0)+IF(AND(Projects!$G$31="Yes",Projects!$X$31="Yes",Projects!$M$31="Yes",7&gt;=Projects!$C$31,7&lt;Projects!$C$31+Projects!$D$31),Projects!$B$31*INDEX(Curves!$B$4:$AR$4,1,7-Projects!$C$31+1),0)+IF(AND(Projects!$G$32="Yes",Projects!$X$32="Yes",Projects!$M$32="Yes",7&gt;=Projects!$C$32,7&lt;Projects!$C$32+Projects!$D$32),Projects!$B$32*INDEX(Curves!$B$4:$AR$4,1,7-Projects!$C$32+1),0)+IF(AND(Projects!$G$33="Yes",Projects!$X$33="Yes",Projects!$M$33="Yes",7&gt;=Projects!$C$33,7&lt;Projects!$C$33+Projects!$D$33),Projects!$B$33*INDEX(Curves!$B$4:$AR$4,1,7-Projects!$C$33+1),0)+IF(AND(Projects!$G$34="Yes",Projects!$X$34="Yes",Projects!$M$34="Yes",7&gt;=Projects!$C$34,7&lt;Projects!$C$34+Projects!$D$34),Projects!$B$34*INDEX(Curves!$B$4:$AR$4,1,7-Projects!$C$34+1),0)+IF(AND(Projects!$G$35="Yes",Projects!$X$35="Yes",Projects!$M$35="Yes",7&gt;=Projects!$C$35,7&lt;Projects!$C$35+Projects!$D$35),Projects!$B$35*INDEX(Curves!$B$4:$AR$4,1,7-Projects!$C$35+1),0)+IF(AND(Projects!$G$36="Yes",Projects!$X$36="Yes",Projects!$M$36="Yes",7&gt;=Projects!$C$36,7&lt;Projects!$C$36+Projects!$D$36),Projects!$B$36*INDEX(Curves!$B$4:$AR$4,1,7-Projects!$C$36+1),0)+IF(AND(Projects!$G$37="Yes",Projects!$X$37="Yes",Projects!$M$37="Yes",7&gt;=Projects!$C$37,7&lt;Projects!$C$37+Projects!$D$37),Projects!$B$37*INDEX(Curves!$B$4:$AR$4,1,7-Projects!$C$37+1),0)+IF(AND(Projects!$G$38="Yes",Projects!$X$38="Yes",Projects!$M$38="Yes",7&gt;=Projects!$C$38,7&lt;Projects!$C$38+Projects!$D$38),Projects!$B$38*INDEX(Curves!$B$4:$AR$4,1,7-Projects!$C$38+1),0)+IF(AND(Projects!$G$39="Yes",Projects!$X$39="Yes",Projects!$M$39="Yes",7&gt;=Projects!$C$39,7&lt;Projects!$C$39+Projects!$D$39),Projects!$B$39*INDEX(Curves!$B$4:$AR$4,1,7-Projects!$C$39+1),0)+IF(AND(Projects!$G$40="Yes",Projects!$X$40="Yes",Projects!$M$40="Yes",7&gt;=Projects!$C$40,7&lt;Projects!$C$40+Projects!$D$40),Projects!$B$40*INDEX(Curves!$B$4:$AR$4,1,7-Projects!$C$40+1),0)+IF(AND(Projects!$G$41="Yes",Projects!$X$41="Yes",Projects!$M$41="Yes",7&gt;=Projects!$C$41,7&lt;Projects!$C$41+Projects!$D$41),Projects!$B$41*INDEX(Curves!$B$4:$AR$4,1,7-Projects!$C$41+1),0)+IF(AND(Projects!$G$42="Yes",Projects!$X$42="Yes",Projects!$M$42="Yes",7&gt;=Projects!$C$42,7&lt;Projects!$C$42+Projects!$D$42),Projects!$B$42*INDEX(Curves!$B$4:$AR$4,1,7-Projects!$C$42+1),0)+IF(AND(Projects!$G$43="Yes",Projects!$X$43="Yes",Projects!$M$43="Yes",7&gt;=Projects!$C$43,7&lt;Projects!$C$43+Projects!$D$43),Projects!$B$43*INDEX(Curves!$B$4:$AR$4,1,7-Projects!$C$43+1),0)+IF(AND(Projects!$G$44="Yes",Projects!$X$44="Yes",Projects!$M$44="Yes",7&gt;=Projects!$C$44,7&lt;Projects!$C$44+Projects!$D$44),Projects!$B$44*INDEX(Curves!$B$4:$AR$4,1,7-Projects!$C$44+1),0)+IF(AND(Projects!$G$45="Yes",Projects!$X$45="Yes",Projects!$M$45="Yes",7&gt;=Projects!$C$45,7&lt;Projects!$C$45+Projects!$D$45),Projects!$B$45*INDEX(Curves!$B$4:$AR$4,1,7-Projects!$C$45+1),0)+IF(AND(Projects!$G$46="Yes",Projects!$X$46="Yes",Projects!$M$46="Yes",7&gt;=Projects!$C$46,7&lt;Projects!$C$46+Projects!$D$46),Projects!$B$46*INDEX(Curves!$B$4:$AR$4,1,7-Projects!$C$46+1),0)</f>
        <v>0</v>
      </c>
      <c r="M101" s="298" t="n">
        <f aca="false">IF(AND(Projects!$G$17="Yes",Projects!$X$17="Yes",Projects!$M$17="Yes",8&gt;=Projects!$C$17,8&lt;Projects!$C$17+Projects!$D$17),Projects!$B$17*INDEX(Curves!$B$4:$AR$4,1,8-Projects!$C$17+1),0)+IF(AND(Projects!$G$18="Yes",Projects!$X$18="Yes",Projects!$M$18="Yes",8&gt;=Projects!$C$18,8&lt;Projects!$C$18+Projects!$D$18),Projects!$B$18*INDEX(Curves!$B$4:$AR$4,1,8-Projects!$C$18+1),0)+IF(AND(Projects!$G$19="Yes",Projects!$X$19="Yes",Projects!$M$19="Yes",8&gt;=Projects!$C$19,8&lt;Projects!$C$19+Projects!$D$19),Projects!$B$19*INDEX(Curves!$B$10:$AR$10,1,8-Projects!$C$19+1),0)+IF(AND(Projects!$G$20="Yes",Projects!$X$20="Yes",Projects!$M$20="Yes",8&gt;=Projects!$C$20,8&lt;Projects!$C$20+Projects!$D$20),Projects!$B$20*INDEX(Curves!$B$4:$AR$4,1,8-Projects!$C$20+1),0)+IF(AND(Projects!$G$21="Yes",Projects!$X$21="Yes",Projects!$M$21="Yes",8&gt;=Projects!$C$21,8&lt;Projects!$C$21+Projects!$D$21),Projects!$B$21*INDEX(Curves!$B$11:$AR$11,1,8-Projects!$C$21+1),0)+IF(AND(Projects!$G$22="Yes",Projects!$X$22="Yes",Projects!$M$22="Yes",8&gt;=Projects!$C$22,8&lt;Projects!$C$22+Projects!$D$22),Projects!$B$22*INDEX(Curves!$B$4:$AR$4,1,8-Projects!$C$22+1),0)+IF(AND(Projects!$G$23="Yes",Projects!$X$23="Yes",Projects!$M$23="Yes",8&gt;=Projects!$C$23,8&lt;Projects!$C$23+Projects!$D$23),Projects!$B$23*INDEX(Curves!$B$4:$AR$4,1,8-Projects!$C$23+1),0)+IF(AND(Projects!$G$24="Yes",Projects!$X$24="Yes",Projects!$M$24="Yes",8&gt;=Projects!$C$24,8&lt;Projects!$C$24+Projects!$D$24),Projects!$B$24*INDEX(Curves!$B$4:$AR$4,1,8-Projects!$C$24+1),0)+IF(AND(Projects!$G$25="Yes",Projects!$X$25="Yes",Projects!$M$25="Yes",8&gt;=Projects!$C$25,8&lt;Projects!$C$25+Projects!$D$25),Projects!$B$25*INDEX(Curves!$B$4:$AR$4,1,8-Projects!$C$25+1),0)+IF(AND(Projects!$G$26="Yes",Projects!$X$26="Yes",Projects!$M$26="Yes",8&gt;=Projects!$C$26,8&lt;Projects!$C$26+Projects!$D$26),Projects!$B$26*INDEX(Curves!$B$4:$AR$4,1,8-Projects!$C$26+1),0)+IF(AND(Projects!$G$27="Yes",Projects!$X$27="Yes",Projects!$M$27="Yes",8&gt;=Projects!$C$27,8&lt;Projects!$C$27+Projects!$D$27),Projects!$B$27*INDEX(Curves!$B$4:$AR$4,1,8-Projects!$C$27+1),0)+IF(AND(Projects!$G$28="Yes",Projects!$X$28="Yes",Projects!$M$28="Yes",8&gt;=Projects!$C$28,8&lt;Projects!$C$28+Projects!$D$28),Projects!$B$28*INDEX(Curves!$B$4:$AR$4,1,8-Projects!$C$28+1),0)+IF(AND(Projects!$G$29="Yes",Projects!$X$29="Yes",Projects!$M$29="Yes",8&gt;=Projects!$C$29,8&lt;Projects!$C$29+Projects!$D$29),Projects!$B$29*INDEX(Curves!$B$4:$AR$4,1,8-Projects!$C$29+1),0)+IF(AND(Projects!$G$30="Yes",Projects!$X$30="Yes",Projects!$M$30="Yes",8&gt;=Projects!$C$30,8&lt;Projects!$C$30+Projects!$D$30),Projects!$B$30*INDEX(Curves!$B$4:$AR$4,1,8-Projects!$C$30+1),0)+IF(AND(Projects!$G$31="Yes",Projects!$X$31="Yes",Projects!$M$31="Yes",8&gt;=Projects!$C$31,8&lt;Projects!$C$31+Projects!$D$31),Projects!$B$31*INDEX(Curves!$B$4:$AR$4,1,8-Projects!$C$31+1),0)+IF(AND(Projects!$G$32="Yes",Projects!$X$32="Yes",Projects!$M$32="Yes",8&gt;=Projects!$C$32,8&lt;Projects!$C$32+Projects!$D$32),Projects!$B$32*INDEX(Curves!$B$4:$AR$4,1,8-Projects!$C$32+1),0)+IF(AND(Projects!$G$33="Yes",Projects!$X$33="Yes",Projects!$M$33="Yes",8&gt;=Projects!$C$33,8&lt;Projects!$C$33+Projects!$D$33),Projects!$B$33*INDEX(Curves!$B$4:$AR$4,1,8-Projects!$C$33+1),0)+IF(AND(Projects!$G$34="Yes",Projects!$X$34="Yes",Projects!$M$34="Yes",8&gt;=Projects!$C$34,8&lt;Projects!$C$34+Projects!$D$34),Projects!$B$34*INDEX(Curves!$B$4:$AR$4,1,8-Projects!$C$34+1),0)+IF(AND(Projects!$G$35="Yes",Projects!$X$35="Yes",Projects!$M$35="Yes",8&gt;=Projects!$C$35,8&lt;Projects!$C$35+Projects!$D$35),Projects!$B$35*INDEX(Curves!$B$4:$AR$4,1,8-Projects!$C$35+1),0)+IF(AND(Projects!$G$36="Yes",Projects!$X$36="Yes",Projects!$M$36="Yes",8&gt;=Projects!$C$36,8&lt;Projects!$C$36+Projects!$D$36),Projects!$B$36*INDEX(Curves!$B$4:$AR$4,1,8-Projects!$C$36+1),0)+IF(AND(Projects!$G$37="Yes",Projects!$X$37="Yes",Projects!$M$37="Yes",8&gt;=Projects!$C$37,8&lt;Projects!$C$37+Projects!$D$37),Projects!$B$37*INDEX(Curves!$B$4:$AR$4,1,8-Projects!$C$37+1),0)+IF(AND(Projects!$G$38="Yes",Projects!$X$38="Yes",Projects!$M$38="Yes",8&gt;=Projects!$C$38,8&lt;Projects!$C$38+Projects!$D$38),Projects!$B$38*INDEX(Curves!$B$4:$AR$4,1,8-Projects!$C$38+1),0)+IF(AND(Projects!$G$39="Yes",Projects!$X$39="Yes",Projects!$M$39="Yes",8&gt;=Projects!$C$39,8&lt;Projects!$C$39+Projects!$D$39),Projects!$B$39*INDEX(Curves!$B$4:$AR$4,1,8-Projects!$C$39+1),0)+IF(AND(Projects!$G$40="Yes",Projects!$X$40="Yes",Projects!$M$40="Yes",8&gt;=Projects!$C$40,8&lt;Projects!$C$40+Projects!$D$40),Projects!$B$40*INDEX(Curves!$B$4:$AR$4,1,8-Projects!$C$40+1),0)+IF(AND(Projects!$G$41="Yes",Projects!$X$41="Yes",Projects!$M$41="Yes",8&gt;=Projects!$C$41,8&lt;Projects!$C$41+Projects!$D$41),Projects!$B$41*INDEX(Curves!$B$4:$AR$4,1,8-Projects!$C$41+1),0)+IF(AND(Projects!$G$42="Yes",Projects!$X$42="Yes",Projects!$M$42="Yes",8&gt;=Projects!$C$42,8&lt;Projects!$C$42+Projects!$D$42),Projects!$B$42*INDEX(Curves!$B$4:$AR$4,1,8-Projects!$C$42+1),0)+IF(AND(Projects!$G$43="Yes",Projects!$X$43="Yes",Projects!$M$43="Yes",8&gt;=Projects!$C$43,8&lt;Projects!$C$43+Projects!$D$43),Projects!$B$43*INDEX(Curves!$B$4:$AR$4,1,8-Projects!$C$43+1),0)+IF(AND(Projects!$G$44="Yes",Projects!$X$44="Yes",Projects!$M$44="Yes",8&gt;=Projects!$C$44,8&lt;Projects!$C$44+Projects!$D$44),Projects!$B$44*INDEX(Curves!$B$4:$AR$4,1,8-Projects!$C$44+1),0)+IF(AND(Projects!$G$45="Yes",Projects!$X$45="Yes",Projects!$M$45="Yes",8&gt;=Projects!$C$45,8&lt;Projects!$C$45+Projects!$D$45),Projects!$B$45*INDEX(Curves!$B$4:$AR$4,1,8-Projects!$C$45+1),0)+IF(AND(Projects!$G$46="Yes",Projects!$X$46="Yes",Projects!$M$46="Yes",8&gt;=Projects!$C$46,8&lt;Projects!$C$46+Projects!$D$46),Projects!$B$46*INDEX(Curves!$B$4:$AR$4,1,8-Projects!$C$46+1),0)</f>
        <v>0</v>
      </c>
      <c r="N101" s="298" t="n">
        <f aca="false">IF(AND(Projects!$G$17="Yes",Projects!$X$17="Yes",Projects!$M$17="Yes",9&gt;=Projects!$C$17,9&lt;Projects!$C$17+Projects!$D$17),Projects!$B$17*INDEX(Curves!$B$4:$AR$4,1,9-Projects!$C$17+1),0)+IF(AND(Projects!$G$18="Yes",Projects!$X$18="Yes",Projects!$M$18="Yes",9&gt;=Projects!$C$18,9&lt;Projects!$C$18+Projects!$D$18),Projects!$B$18*INDEX(Curves!$B$4:$AR$4,1,9-Projects!$C$18+1),0)+IF(AND(Projects!$G$19="Yes",Projects!$X$19="Yes",Projects!$M$19="Yes",9&gt;=Projects!$C$19,9&lt;Projects!$C$19+Projects!$D$19),Projects!$B$19*INDEX(Curves!$B$10:$AR$10,1,9-Projects!$C$19+1),0)+IF(AND(Projects!$G$20="Yes",Projects!$X$20="Yes",Projects!$M$20="Yes",9&gt;=Projects!$C$20,9&lt;Projects!$C$20+Projects!$D$20),Projects!$B$20*INDEX(Curves!$B$4:$AR$4,1,9-Projects!$C$20+1),0)+IF(AND(Projects!$G$21="Yes",Projects!$X$21="Yes",Projects!$M$21="Yes",9&gt;=Projects!$C$21,9&lt;Projects!$C$21+Projects!$D$21),Projects!$B$21*INDEX(Curves!$B$11:$AR$11,1,9-Projects!$C$21+1),0)+IF(AND(Projects!$G$22="Yes",Projects!$X$22="Yes",Projects!$M$22="Yes",9&gt;=Projects!$C$22,9&lt;Projects!$C$22+Projects!$D$22),Projects!$B$22*INDEX(Curves!$B$4:$AR$4,1,9-Projects!$C$22+1),0)+IF(AND(Projects!$G$23="Yes",Projects!$X$23="Yes",Projects!$M$23="Yes",9&gt;=Projects!$C$23,9&lt;Projects!$C$23+Projects!$D$23),Projects!$B$23*INDEX(Curves!$B$4:$AR$4,1,9-Projects!$C$23+1),0)+IF(AND(Projects!$G$24="Yes",Projects!$X$24="Yes",Projects!$M$24="Yes",9&gt;=Projects!$C$24,9&lt;Projects!$C$24+Projects!$D$24),Projects!$B$24*INDEX(Curves!$B$4:$AR$4,1,9-Projects!$C$24+1),0)+IF(AND(Projects!$G$25="Yes",Projects!$X$25="Yes",Projects!$M$25="Yes",9&gt;=Projects!$C$25,9&lt;Projects!$C$25+Projects!$D$25),Projects!$B$25*INDEX(Curves!$B$4:$AR$4,1,9-Projects!$C$25+1),0)+IF(AND(Projects!$G$26="Yes",Projects!$X$26="Yes",Projects!$M$26="Yes",9&gt;=Projects!$C$26,9&lt;Projects!$C$26+Projects!$D$26),Projects!$B$26*INDEX(Curves!$B$4:$AR$4,1,9-Projects!$C$26+1),0)+IF(AND(Projects!$G$27="Yes",Projects!$X$27="Yes",Projects!$M$27="Yes",9&gt;=Projects!$C$27,9&lt;Projects!$C$27+Projects!$D$27),Projects!$B$27*INDEX(Curves!$B$4:$AR$4,1,9-Projects!$C$27+1),0)+IF(AND(Projects!$G$28="Yes",Projects!$X$28="Yes",Projects!$M$28="Yes",9&gt;=Projects!$C$28,9&lt;Projects!$C$28+Projects!$D$28),Projects!$B$28*INDEX(Curves!$B$4:$AR$4,1,9-Projects!$C$28+1),0)+IF(AND(Projects!$G$29="Yes",Projects!$X$29="Yes",Projects!$M$29="Yes",9&gt;=Projects!$C$29,9&lt;Projects!$C$29+Projects!$D$29),Projects!$B$29*INDEX(Curves!$B$4:$AR$4,1,9-Projects!$C$29+1),0)+IF(AND(Projects!$G$30="Yes",Projects!$X$30="Yes",Projects!$M$30="Yes",9&gt;=Projects!$C$30,9&lt;Projects!$C$30+Projects!$D$30),Projects!$B$30*INDEX(Curves!$B$4:$AR$4,1,9-Projects!$C$30+1),0)+IF(AND(Projects!$G$31="Yes",Projects!$X$31="Yes",Projects!$M$31="Yes",9&gt;=Projects!$C$31,9&lt;Projects!$C$31+Projects!$D$31),Projects!$B$31*INDEX(Curves!$B$4:$AR$4,1,9-Projects!$C$31+1),0)+IF(AND(Projects!$G$32="Yes",Projects!$X$32="Yes",Projects!$M$32="Yes",9&gt;=Projects!$C$32,9&lt;Projects!$C$32+Projects!$D$32),Projects!$B$32*INDEX(Curves!$B$4:$AR$4,1,9-Projects!$C$32+1),0)+IF(AND(Projects!$G$33="Yes",Projects!$X$33="Yes",Projects!$M$33="Yes",9&gt;=Projects!$C$33,9&lt;Projects!$C$33+Projects!$D$33),Projects!$B$33*INDEX(Curves!$B$4:$AR$4,1,9-Projects!$C$33+1),0)+IF(AND(Projects!$G$34="Yes",Projects!$X$34="Yes",Projects!$M$34="Yes",9&gt;=Projects!$C$34,9&lt;Projects!$C$34+Projects!$D$34),Projects!$B$34*INDEX(Curves!$B$4:$AR$4,1,9-Projects!$C$34+1),0)+IF(AND(Projects!$G$35="Yes",Projects!$X$35="Yes",Projects!$M$35="Yes",9&gt;=Projects!$C$35,9&lt;Projects!$C$35+Projects!$D$35),Projects!$B$35*INDEX(Curves!$B$4:$AR$4,1,9-Projects!$C$35+1),0)+IF(AND(Projects!$G$36="Yes",Projects!$X$36="Yes",Projects!$M$36="Yes",9&gt;=Projects!$C$36,9&lt;Projects!$C$36+Projects!$D$36),Projects!$B$36*INDEX(Curves!$B$4:$AR$4,1,9-Projects!$C$36+1),0)+IF(AND(Projects!$G$37="Yes",Projects!$X$37="Yes",Projects!$M$37="Yes",9&gt;=Projects!$C$37,9&lt;Projects!$C$37+Projects!$D$37),Projects!$B$37*INDEX(Curves!$B$4:$AR$4,1,9-Projects!$C$37+1),0)+IF(AND(Projects!$G$38="Yes",Projects!$X$38="Yes",Projects!$M$38="Yes",9&gt;=Projects!$C$38,9&lt;Projects!$C$38+Projects!$D$38),Projects!$B$38*INDEX(Curves!$B$4:$AR$4,1,9-Projects!$C$38+1),0)+IF(AND(Projects!$G$39="Yes",Projects!$X$39="Yes",Projects!$M$39="Yes",9&gt;=Projects!$C$39,9&lt;Projects!$C$39+Projects!$D$39),Projects!$B$39*INDEX(Curves!$B$4:$AR$4,1,9-Projects!$C$39+1),0)+IF(AND(Projects!$G$40="Yes",Projects!$X$40="Yes",Projects!$M$40="Yes",9&gt;=Projects!$C$40,9&lt;Projects!$C$40+Projects!$D$40),Projects!$B$40*INDEX(Curves!$B$4:$AR$4,1,9-Projects!$C$40+1),0)+IF(AND(Projects!$G$41="Yes",Projects!$X$41="Yes",Projects!$M$41="Yes",9&gt;=Projects!$C$41,9&lt;Projects!$C$41+Projects!$D$41),Projects!$B$41*INDEX(Curves!$B$4:$AR$4,1,9-Projects!$C$41+1),0)+IF(AND(Projects!$G$42="Yes",Projects!$X$42="Yes",Projects!$M$42="Yes",9&gt;=Projects!$C$42,9&lt;Projects!$C$42+Projects!$D$42),Projects!$B$42*INDEX(Curves!$B$4:$AR$4,1,9-Projects!$C$42+1),0)+IF(AND(Projects!$G$43="Yes",Projects!$X$43="Yes",Projects!$M$43="Yes",9&gt;=Projects!$C$43,9&lt;Projects!$C$43+Projects!$D$43),Projects!$B$43*INDEX(Curves!$B$4:$AR$4,1,9-Projects!$C$43+1),0)+IF(AND(Projects!$G$44="Yes",Projects!$X$44="Yes",Projects!$M$44="Yes",9&gt;=Projects!$C$44,9&lt;Projects!$C$44+Projects!$D$44),Projects!$B$44*INDEX(Curves!$B$4:$AR$4,1,9-Projects!$C$44+1),0)+IF(AND(Projects!$G$45="Yes",Projects!$X$45="Yes",Projects!$M$45="Yes",9&gt;=Projects!$C$45,9&lt;Projects!$C$45+Projects!$D$45),Projects!$B$45*INDEX(Curves!$B$4:$AR$4,1,9-Projects!$C$45+1),0)+IF(AND(Projects!$G$46="Yes",Projects!$X$46="Yes",Projects!$M$46="Yes",9&gt;=Projects!$C$46,9&lt;Projects!$C$46+Projects!$D$46),Projects!$B$46*INDEX(Curves!$B$4:$AR$4,1,9-Projects!$C$46+1),0)</f>
        <v>0</v>
      </c>
      <c r="O101" s="298" t="n">
        <f aca="false">IF(AND(Projects!$G$17="Yes",Projects!$X$17="Yes",Projects!$M$17="Yes",10&gt;=Projects!$C$17,10&lt;Projects!$C$17+Projects!$D$17),Projects!$B$17*INDEX(Curves!$B$4:$AR$4,1,10-Projects!$C$17+1),0)+IF(AND(Projects!$G$18="Yes",Projects!$X$18="Yes",Projects!$M$18="Yes",10&gt;=Projects!$C$18,10&lt;Projects!$C$18+Projects!$D$18),Projects!$B$18*INDEX(Curves!$B$4:$AR$4,1,10-Projects!$C$18+1),0)+IF(AND(Projects!$G$19="Yes",Projects!$X$19="Yes",Projects!$M$19="Yes",10&gt;=Projects!$C$19,10&lt;Projects!$C$19+Projects!$D$19),Projects!$B$19*INDEX(Curves!$B$10:$AR$10,1,10-Projects!$C$19+1),0)+IF(AND(Projects!$G$20="Yes",Projects!$X$20="Yes",Projects!$M$20="Yes",10&gt;=Projects!$C$20,10&lt;Projects!$C$20+Projects!$D$20),Projects!$B$20*INDEX(Curves!$B$4:$AR$4,1,10-Projects!$C$20+1),0)+IF(AND(Projects!$G$21="Yes",Projects!$X$21="Yes",Projects!$M$21="Yes",10&gt;=Projects!$C$21,10&lt;Projects!$C$21+Projects!$D$21),Projects!$B$21*INDEX(Curves!$B$11:$AR$11,1,10-Projects!$C$21+1),0)+IF(AND(Projects!$G$22="Yes",Projects!$X$22="Yes",Projects!$M$22="Yes",10&gt;=Projects!$C$22,10&lt;Projects!$C$22+Projects!$D$22),Projects!$B$22*INDEX(Curves!$B$4:$AR$4,1,10-Projects!$C$22+1),0)+IF(AND(Projects!$G$23="Yes",Projects!$X$23="Yes",Projects!$M$23="Yes",10&gt;=Projects!$C$23,10&lt;Projects!$C$23+Projects!$D$23),Projects!$B$23*INDEX(Curves!$B$4:$AR$4,1,10-Projects!$C$23+1),0)+IF(AND(Projects!$G$24="Yes",Projects!$X$24="Yes",Projects!$M$24="Yes",10&gt;=Projects!$C$24,10&lt;Projects!$C$24+Projects!$D$24),Projects!$B$24*INDEX(Curves!$B$4:$AR$4,1,10-Projects!$C$24+1),0)+IF(AND(Projects!$G$25="Yes",Projects!$X$25="Yes",Projects!$M$25="Yes",10&gt;=Projects!$C$25,10&lt;Projects!$C$25+Projects!$D$25),Projects!$B$25*INDEX(Curves!$B$4:$AR$4,1,10-Projects!$C$25+1),0)+IF(AND(Projects!$G$26="Yes",Projects!$X$26="Yes",Projects!$M$26="Yes",10&gt;=Projects!$C$26,10&lt;Projects!$C$26+Projects!$D$26),Projects!$B$26*INDEX(Curves!$B$4:$AR$4,1,10-Projects!$C$26+1),0)+IF(AND(Projects!$G$27="Yes",Projects!$X$27="Yes",Projects!$M$27="Yes",10&gt;=Projects!$C$27,10&lt;Projects!$C$27+Projects!$D$27),Projects!$B$27*INDEX(Curves!$B$4:$AR$4,1,10-Projects!$C$27+1),0)+IF(AND(Projects!$G$28="Yes",Projects!$X$28="Yes",Projects!$M$28="Yes",10&gt;=Projects!$C$28,10&lt;Projects!$C$28+Projects!$D$28),Projects!$B$28*INDEX(Curves!$B$4:$AR$4,1,10-Projects!$C$28+1),0)+IF(AND(Projects!$G$29="Yes",Projects!$X$29="Yes",Projects!$M$29="Yes",10&gt;=Projects!$C$29,10&lt;Projects!$C$29+Projects!$D$29),Projects!$B$29*INDEX(Curves!$B$4:$AR$4,1,10-Projects!$C$29+1),0)+IF(AND(Projects!$G$30="Yes",Projects!$X$30="Yes",Projects!$M$30="Yes",10&gt;=Projects!$C$30,10&lt;Projects!$C$30+Projects!$D$30),Projects!$B$30*INDEX(Curves!$B$4:$AR$4,1,10-Projects!$C$30+1),0)+IF(AND(Projects!$G$31="Yes",Projects!$X$31="Yes",Projects!$M$31="Yes",10&gt;=Projects!$C$31,10&lt;Projects!$C$31+Projects!$D$31),Projects!$B$31*INDEX(Curves!$B$4:$AR$4,1,10-Projects!$C$31+1),0)+IF(AND(Projects!$G$32="Yes",Projects!$X$32="Yes",Projects!$M$32="Yes",10&gt;=Projects!$C$32,10&lt;Projects!$C$32+Projects!$D$32),Projects!$B$32*INDEX(Curves!$B$4:$AR$4,1,10-Projects!$C$32+1),0)+IF(AND(Projects!$G$33="Yes",Projects!$X$33="Yes",Projects!$M$33="Yes",10&gt;=Projects!$C$33,10&lt;Projects!$C$33+Projects!$D$33),Projects!$B$33*INDEX(Curves!$B$4:$AR$4,1,10-Projects!$C$33+1),0)+IF(AND(Projects!$G$34="Yes",Projects!$X$34="Yes",Projects!$M$34="Yes",10&gt;=Projects!$C$34,10&lt;Projects!$C$34+Projects!$D$34),Projects!$B$34*INDEX(Curves!$B$4:$AR$4,1,10-Projects!$C$34+1),0)+IF(AND(Projects!$G$35="Yes",Projects!$X$35="Yes",Projects!$M$35="Yes",10&gt;=Projects!$C$35,10&lt;Projects!$C$35+Projects!$D$35),Projects!$B$35*INDEX(Curves!$B$4:$AR$4,1,10-Projects!$C$35+1),0)+IF(AND(Projects!$G$36="Yes",Projects!$X$36="Yes",Projects!$M$36="Yes",10&gt;=Projects!$C$36,10&lt;Projects!$C$36+Projects!$D$36),Projects!$B$36*INDEX(Curves!$B$4:$AR$4,1,10-Projects!$C$36+1),0)+IF(AND(Projects!$G$37="Yes",Projects!$X$37="Yes",Projects!$M$37="Yes",10&gt;=Projects!$C$37,10&lt;Projects!$C$37+Projects!$D$37),Projects!$B$37*INDEX(Curves!$B$4:$AR$4,1,10-Projects!$C$37+1),0)+IF(AND(Projects!$G$38="Yes",Projects!$X$38="Yes",Projects!$M$38="Yes",10&gt;=Projects!$C$38,10&lt;Projects!$C$38+Projects!$D$38),Projects!$B$38*INDEX(Curves!$B$4:$AR$4,1,10-Projects!$C$38+1),0)+IF(AND(Projects!$G$39="Yes",Projects!$X$39="Yes",Projects!$M$39="Yes",10&gt;=Projects!$C$39,10&lt;Projects!$C$39+Projects!$D$39),Projects!$B$39*INDEX(Curves!$B$4:$AR$4,1,10-Projects!$C$39+1),0)+IF(AND(Projects!$G$40="Yes",Projects!$X$40="Yes",Projects!$M$40="Yes",10&gt;=Projects!$C$40,10&lt;Projects!$C$40+Projects!$D$40),Projects!$B$40*INDEX(Curves!$B$4:$AR$4,1,10-Projects!$C$40+1),0)+IF(AND(Projects!$G$41="Yes",Projects!$X$41="Yes",Projects!$M$41="Yes",10&gt;=Projects!$C$41,10&lt;Projects!$C$41+Projects!$D$41),Projects!$B$41*INDEX(Curves!$B$4:$AR$4,1,10-Projects!$C$41+1),0)+IF(AND(Projects!$G$42="Yes",Projects!$X$42="Yes",Projects!$M$42="Yes",10&gt;=Projects!$C$42,10&lt;Projects!$C$42+Projects!$D$42),Projects!$B$42*INDEX(Curves!$B$4:$AR$4,1,10-Projects!$C$42+1),0)+IF(AND(Projects!$G$43="Yes",Projects!$X$43="Yes",Projects!$M$43="Yes",10&gt;=Projects!$C$43,10&lt;Projects!$C$43+Projects!$D$43),Projects!$B$43*INDEX(Curves!$B$4:$AR$4,1,10-Projects!$C$43+1),0)+IF(AND(Projects!$G$44="Yes",Projects!$X$44="Yes",Projects!$M$44="Yes",10&gt;=Projects!$C$44,10&lt;Projects!$C$44+Projects!$D$44),Projects!$B$44*INDEX(Curves!$B$4:$AR$4,1,10-Projects!$C$44+1),0)+IF(AND(Projects!$G$45="Yes",Projects!$X$45="Yes",Projects!$M$45="Yes",10&gt;=Projects!$C$45,10&lt;Projects!$C$45+Projects!$D$45),Projects!$B$45*INDEX(Curves!$B$4:$AR$4,1,10-Projects!$C$45+1),0)+IF(AND(Projects!$G$46="Yes",Projects!$X$46="Yes",Projects!$M$46="Yes",10&gt;=Projects!$C$46,10&lt;Projects!$C$46+Projects!$D$46),Projects!$B$46*INDEX(Curves!$B$4:$AR$4,1,10-Projects!$C$46+1),0)</f>
        <v>0</v>
      </c>
      <c r="P101" s="298" t="n">
        <f aca="false">IF(AND(Projects!$G$17="Yes",Projects!$X$17="Yes",Projects!$M$17="Yes",11&gt;=Projects!$C$17,11&lt;Projects!$C$17+Projects!$D$17),Projects!$B$17*INDEX(Curves!$B$4:$AR$4,1,11-Projects!$C$17+1),0)+IF(AND(Projects!$G$18="Yes",Projects!$X$18="Yes",Projects!$M$18="Yes",11&gt;=Projects!$C$18,11&lt;Projects!$C$18+Projects!$D$18),Projects!$B$18*INDEX(Curves!$B$4:$AR$4,1,11-Projects!$C$18+1),0)+IF(AND(Projects!$G$19="Yes",Projects!$X$19="Yes",Projects!$M$19="Yes",11&gt;=Projects!$C$19,11&lt;Projects!$C$19+Projects!$D$19),Projects!$B$19*INDEX(Curves!$B$10:$AR$10,1,11-Projects!$C$19+1),0)+IF(AND(Projects!$G$20="Yes",Projects!$X$20="Yes",Projects!$M$20="Yes",11&gt;=Projects!$C$20,11&lt;Projects!$C$20+Projects!$D$20),Projects!$B$20*INDEX(Curves!$B$4:$AR$4,1,11-Projects!$C$20+1),0)+IF(AND(Projects!$G$21="Yes",Projects!$X$21="Yes",Projects!$M$21="Yes",11&gt;=Projects!$C$21,11&lt;Projects!$C$21+Projects!$D$21),Projects!$B$21*INDEX(Curves!$B$11:$AR$11,1,11-Projects!$C$21+1),0)+IF(AND(Projects!$G$22="Yes",Projects!$X$22="Yes",Projects!$M$22="Yes",11&gt;=Projects!$C$22,11&lt;Projects!$C$22+Projects!$D$22),Projects!$B$22*INDEX(Curves!$B$4:$AR$4,1,11-Projects!$C$22+1),0)+IF(AND(Projects!$G$23="Yes",Projects!$X$23="Yes",Projects!$M$23="Yes",11&gt;=Projects!$C$23,11&lt;Projects!$C$23+Projects!$D$23),Projects!$B$23*INDEX(Curves!$B$4:$AR$4,1,11-Projects!$C$23+1),0)+IF(AND(Projects!$G$24="Yes",Projects!$X$24="Yes",Projects!$M$24="Yes",11&gt;=Projects!$C$24,11&lt;Projects!$C$24+Projects!$D$24),Projects!$B$24*INDEX(Curves!$B$4:$AR$4,1,11-Projects!$C$24+1),0)+IF(AND(Projects!$G$25="Yes",Projects!$X$25="Yes",Projects!$M$25="Yes",11&gt;=Projects!$C$25,11&lt;Projects!$C$25+Projects!$D$25),Projects!$B$25*INDEX(Curves!$B$4:$AR$4,1,11-Projects!$C$25+1),0)+IF(AND(Projects!$G$26="Yes",Projects!$X$26="Yes",Projects!$M$26="Yes",11&gt;=Projects!$C$26,11&lt;Projects!$C$26+Projects!$D$26),Projects!$B$26*INDEX(Curves!$B$4:$AR$4,1,11-Projects!$C$26+1),0)+IF(AND(Projects!$G$27="Yes",Projects!$X$27="Yes",Projects!$M$27="Yes",11&gt;=Projects!$C$27,11&lt;Projects!$C$27+Projects!$D$27),Projects!$B$27*INDEX(Curves!$B$4:$AR$4,1,11-Projects!$C$27+1),0)+IF(AND(Projects!$G$28="Yes",Projects!$X$28="Yes",Projects!$M$28="Yes",11&gt;=Projects!$C$28,11&lt;Projects!$C$28+Projects!$D$28),Projects!$B$28*INDEX(Curves!$B$4:$AR$4,1,11-Projects!$C$28+1),0)+IF(AND(Projects!$G$29="Yes",Projects!$X$29="Yes",Projects!$M$29="Yes",11&gt;=Projects!$C$29,11&lt;Projects!$C$29+Projects!$D$29),Projects!$B$29*INDEX(Curves!$B$4:$AR$4,1,11-Projects!$C$29+1),0)+IF(AND(Projects!$G$30="Yes",Projects!$X$30="Yes",Projects!$M$30="Yes",11&gt;=Projects!$C$30,11&lt;Projects!$C$30+Projects!$D$30),Projects!$B$30*INDEX(Curves!$B$4:$AR$4,1,11-Projects!$C$30+1),0)+IF(AND(Projects!$G$31="Yes",Projects!$X$31="Yes",Projects!$M$31="Yes",11&gt;=Projects!$C$31,11&lt;Projects!$C$31+Projects!$D$31),Projects!$B$31*INDEX(Curves!$B$4:$AR$4,1,11-Projects!$C$31+1),0)+IF(AND(Projects!$G$32="Yes",Projects!$X$32="Yes",Projects!$M$32="Yes",11&gt;=Projects!$C$32,11&lt;Projects!$C$32+Projects!$D$32),Projects!$B$32*INDEX(Curves!$B$4:$AR$4,1,11-Projects!$C$32+1),0)+IF(AND(Projects!$G$33="Yes",Projects!$X$33="Yes",Projects!$M$33="Yes",11&gt;=Projects!$C$33,11&lt;Projects!$C$33+Projects!$D$33),Projects!$B$33*INDEX(Curves!$B$4:$AR$4,1,11-Projects!$C$33+1),0)+IF(AND(Projects!$G$34="Yes",Projects!$X$34="Yes",Projects!$M$34="Yes",11&gt;=Projects!$C$34,11&lt;Projects!$C$34+Projects!$D$34),Projects!$B$34*INDEX(Curves!$B$4:$AR$4,1,11-Projects!$C$34+1),0)+IF(AND(Projects!$G$35="Yes",Projects!$X$35="Yes",Projects!$M$35="Yes",11&gt;=Projects!$C$35,11&lt;Projects!$C$35+Projects!$D$35),Projects!$B$35*INDEX(Curves!$B$4:$AR$4,1,11-Projects!$C$35+1),0)+IF(AND(Projects!$G$36="Yes",Projects!$X$36="Yes",Projects!$M$36="Yes",11&gt;=Projects!$C$36,11&lt;Projects!$C$36+Projects!$D$36),Projects!$B$36*INDEX(Curves!$B$4:$AR$4,1,11-Projects!$C$36+1),0)+IF(AND(Projects!$G$37="Yes",Projects!$X$37="Yes",Projects!$M$37="Yes",11&gt;=Projects!$C$37,11&lt;Projects!$C$37+Projects!$D$37),Projects!$B$37*INDEX(Curves!$B$4:$AR$4,1,11-Projects!$C$37+1),0)+IF(AND(Projects!$G$38="Yes",Projects!$X$38="Yes",Projects!$M$38="Yes",11&gt;=Projects!$C$38,11&lt;Projects!$C$38+Projects!$D$38),Projects!$B$38*INDEX(Curves!$B$4:$AR$4,1,11-Projects!$C$38+1),0)+IF(AND(Projects!$G$39="Yes",Projects!$X$39="Yes",Projects!$M$39="Yes",11&gt;=Projects!$C$39,11&lt;Projects!$C$39+Projects!$D$39),Projects!$B$39*INDEX(Curves!$B$4:$AR$4,1,11-Projects!$C$39+1),0)+IF(AND(Projects!$G$40="Yes",Projects!$X$40="Yes",Projects!$M$40="Yes",11&gt;=Projects!$C$40,11&lt;Projects!$C$40+Projects!$D$40),Projects!$B$40*INDEX(Curves!$B$4:$AR$4,1,11-Projects!$C$40+1),0)+IF(AND(Projects!$G$41="Yes",Projects!$X$41="Yes",Projects!$M$41="Yes",11&gt;=Projects!$C$41,11&lt;Projects!$C$41+Projects!$D$41),Projects!$B$41*INDEX(Curves!$B$4:$AR$4,1,11-Projects!$C$41+1),0)+IF(AND(Projects!$G$42="Yes",Projects!$X$42="Yes",Projects!$M$42="Yes",11&gt;=Projects!$C$42,11&lt;Projects!$C$42+Projects!$D$42),Projects!$B$42*INDEX(Curves!$B$4:$AR$4,1,11-Projects!$C$42+1),0)+IF(AND(Projects!$G$43="Yes",Projects!$X$43="Yes",Projects!$M$43="Yes",11&gt;=Projects!$C$43,11&lt;Projects!$C$43+Projects!$D$43),Projects!$B$43*INDEX(Curves!$B$4:$AR$4,1,11-Projects!$C$43+1),0)+IF(AND(Projects!$G$44="Yes",Projects!$X$44="Yes",Projects!$M$44="Yes",11&gt;=Projects!$C$44,11&lt;Projects!$C$44+Projects!$D$44),Projects!$B$44*INDEX(Curves!$B$4:$AR$4,1,11-Projects!$C$44+1),0)+IF(AND(Projects!$G$45="Yes",Projects!$X$45="Yes",Projects!$M$45="Yes",11&gt;=Projects!$C$45,11&lt;Projects!$C$45+Projects!$D$45),Projects!$B$45*INDEX(Curves!$B$4:$AR$4,1,11-Projects!$C$45+1),0)+IF(AND(Projects!$G$46="Yes",Projects!$X$46="Yes",Projects!$M$46="Yes",11&gt;=Projects!$C$46,11&lt;Projects!$C$46+Projects!$D$46),Projects!$B$46*INDEX(Curves!$B$4:$AR$4,1,11-Projects!$C$46+1),0)</f>
        <v>0</v>
      </c>
      <c r="Q101" s="298" t="n">
        <f aca="false">IF(AND(Projects!$G$17="Yes",Projects!$X$17="Yes",Projects!$M$17="Yes",12&gt;=Projects!$C$17,12&lt;Projects!$C$17+Projects!$D$17),Projects!$B$17*INDEX(Curves!$B$4:$AR$4,1,12-Projects!$C$17+1),0)+IF(AND(Projects!$G$18="Yes",Projects!$X$18="Yes",Projects!$M$18="Yes",12&gt;=Projects!$C$18,12&lt;Projects!$C$18+Projects!$D$18),Projects!$B$18*INDEX(Curves!$B$4:$AR$4,1,12-Projects!$C$18+1),0)+IF(AND(Projects!$G$19="Yes",Projects!$X$19="Yes",Projects!$M$19="Yes",12&gt;=Projects!$C$19,12&lt;Projects!$C$19+Projects!$D$19),Projects!$B$19*INDEX(Curves!$B$10:$AR$10,1,12-Projects!$C$19+1),0)+IF(AND(Projects!$G$20="Yes",Projects!$X$20="Yes",Projects!$M$20="Yes",12&gt;=Projects!$C$20,12&lt;Projects!$C$20+Projects!$D$20),Projects!$B$20*INDEX(Curves!$B$4:$AR$4,1,12-Projects!$C$20+1),0)+IF(AND(Projects!$G$21="Yes",Projects!$X$21="Yes",Projects!$M$21="Yes",12&gt;=Projects!$C$21,12&lt;Projects!$C$21+Projects!$D$21),Projects!$B$21*INDEX(Curves!$B$11:$AR$11,1,12-Projects!$C$21+1),0)+IF(AND(Projects!$G$22="Yes",Projects!$X$22="Yes",Projects!$M$22="Yes",12&gt;=Projects!$C$22,12&lt;Projects!$C$22+Projects!$D$22),Projects!$B$22*INDEX(Curves!$B$4:$AR$4,1,12-Projects!$C$22+1),0)+IF(AND(Projects!$G$23="Yes",Projects!$X$23="Yes",Projects!$M$23="Yes",12&gt;=Projects!$C$23,12&lt;Projects!$C$23+Projects!$D$23),Projects!$B$23*INDEX(Curves!$B$4:$AR$4,1,12-Projects!$C$23+1),0)+IF(AND(Projects!$G$24="Yes",Projects!$X$24="Yes",Projects!$M$24="Yes",12&gt;=Projects!$C$24,12&lt;Projects!$C$24+Projects!$D$24),Projects!$B$24*INDEX(Curves!$B$4:$AR$4,1,12-Projects!$C$24+1),0)+IF(AND(Projects!$G$25="Yes",Projects!$X$25="Yes",Projects!$M$25="Yes",12&gt;=Projects!$C$25,12&lt;Projects!$C$25+Projects!$D$25),Projects!$B$25*INDEX(Curves!$B$4:$AR$4,1,12-Projects!$C$25+1),0)+IF(AND(Projects!$G$26="Yes",Projects!$X$26="Yes",Projects!$M$26="Yes",12&gt;=Projects!$C$26,12&lt;Projects!$C$26+Projects!$D$26),Projects!$B$26*INDEX(Curves!$B$4:$AR$4,1,12-Projects!$C$26+1),0)+IF(AND(Projects!$G$27="Yes",Projects!$X$27="Yes",Projects!$M$27="Yes",12&gt;=Projects!$C$27,12&lt;Projects!$C$27+Projects!$D$27),Projects!$B$27*INDEX(Curves!$B$4:$AR$4,1,12-Projects!$C$27+1),0)+IF(AND(Projects!$G$28="Yes",Projects!$X$28="Yes",Projects!$M$28="Yes",12&gt;=Projects!$C$28,12&lt;Projects!$C$28+Projects!$D$28),Projects!$B$28*INDEX(Curves!$B$4:$AR$4,1,12-Projects!$C$28+1),0)+IF(AND(Projects!$G$29="Yes",Projects!$X$29="Yes",Projects!$M$29="Yes",12&gt;=Projects!$C$29,12&lt;Projects!$C$29+Projects!$D$29),Projects!$B$29*INDEX(Curves!$B$4:$AR$4,1,12-Projects!$C$29+1),0)+IF(AND(Projects!$G$30="Yes",Projects!$X$30="Yes",Projects!$M$30="Yes",12&gt;=Projects!$C$30,12&lt;Projects!$C$30+Projects!$D$30),Projects!$B$30*INDEX(Curves!$B$4:$AR$4,1,12-Projects!$C$30+1),0)+IF(AND(Projects!$G$31="Yes",Projects!$X$31="Yes",Projects!$M$31="Yes",12&gt;=Projects!$C$31,12&lt;Projects!$C$31+Projects!$D$31),Projects!$B$31*INDEX(Curves!$B$4:$AR$4,1,12-Projects!$C$31+1),0)+IF(AND(Projects!$G$32="Yes",Projects!$X$32="Yes",Projects!$M$32="Yes",12&gt;=Projects!$C$32,12&lt;Projects!$C$32+Projects!$D$32),Projects!$B$32*INDEX(Curves!$B$4:$AR$4,1,12-Projects!$C$32+1),0)+IF(AND(Projects!$G$33="Yes",Projects!$X$33="Yes",Projects!$M$33="Yes",12&gt;=Projects!$C$33,12&lt;Projects!$C$33+Projects!$D$33),Projects!$B$33*INDEX(Curves!$B$4:$AR$4,1,12-Projects!$C$33+1),0)+IF(AND(Projects!$G$34="Yes",Projects!$X$34="Yes",Projects!$M$34="Yes",12&gt;=Projects!$C$34,12&lt;Projects!$C$34+Projects!$D$34),Projects!$B$34*INDEX(Curves!$B$4:$AR$4,1,12-Projects!$C$34+1),0)+IF(AND(Projects!$G$35="Yes",Projects!$X$35="Yes",Projects!$M$35="Yes",12&gt;=Projects!$C$35,12&lt;Projects!$C$35+Projects!$D$35),Projects!$B$35*INDEX(Curves!$B$4:$AR$4,1,12-Projects!$C$35+1),0)+IF(AND(Projects!$G$36="Yes",Projects!$X$36="Yes",Projects!$M$36="Yes",12&gt;=Projects!$C$36,12&lt;Projects!$C$36+Projects!$D$36),Projects!$B$36*INDEX(Curves!$B$4:$AR$4,1,12-Projects!$C$36+1),0)+IF(AND(Projects!$G$37="Yes",Projects!$X$37="Yes",Projects!$M$37="Yes",12&gt;=Projects!$C$37,12&lt;Projects!$C$37+Projects!$D$37),Projects!$B$37*INDEX(Curves!$B$4:$AR$4,1,12-Projects!$C$37+1),0)+IF(AND(Projects!$G$38="Yes",Projects!$X$38="Yes",Projects!$M$38="Yes",12&gt;=Projects!$C$38,12&lt;Projects!$C$38+Projects!$D$38),Projects!$B$38*INDEX(Curves!$B$4:$AR$4,1,12-Projects!$C$38+1),0)+IF(AND(Projects!$G$39="Yes",Projects!$X$39="Yes",Projects!$M$39="Yes",12&gt;=Projects!$C$39,12&lt;Projects!$C$39+Projects!$D$39),Projects!$B$39*INDEX(Curves!$B$4:$AR$4,1,12-Projects!$C$39+1),0)+IF(AND(Projects!$G$40="Yes",Projects!$X$40="Yes",Projects!$M$40="Yes",12&gt;=Projects!$C$40,12&lt;Projects!$C$40+Projects!$D$40),Projects!$B$40*INDEX(Curves!$B$4:$AR$4,1,12-Projects!$C$40+1),0)+IF(AND(Projects!$G$41="Yes",Projects!$X$41="Yes",Projects!$M$41="Yes",12&gt;=Projects!$C$41,12&lt;Projects!$C$41+Projects!$D$41),Projects!$B$41*INDEX(Curves!$B$4:$AR$4,1,12-Projects!$C$41+1),0)+IF(AND(Projects!$G$42="Yes",Projects!$X$42="Yes",Projects!$M$42="Yes",12&gt;=Projects!$C$42,12&lt;Projects!$C$42+Projects!$D$42),Projects!$B$42*INDEX(Curves!$B$4:$AR$4,1,12-Projects!$C$42+1),0)+IF(AND(Projects!$G$43="Yes",Projects!$X$43="Yes",Projects!$M$43="Yes",12&gt;=Projects!$C$43,12&lt;Projects!$C$43+Projects!$D$43),Projects!$B$43*INDEX(Curves!$B$4:$AR$4,1,12-Projects!$C$43+1),0)+IF(AND(Projects!$G$44="Yes",Projects!$X$44="Yes",Projects!$M$44="Yes",12&gt;=Projects!$C$44,12&lt;Projects!$C$44+Projects!$D$44),Projects!$B$44*INDEX(Curves!$B$4:$AR$4,1,12-Projects!$C$44+1),0)+IF(AND(Projects!$G$45="Yes",Projects!$X$45="Yes",Projects!$M$45="Yes",12&gt;=Projects!$C$45,12&lt;Projects!$C$45+Projects!$D$45),Projects!$B$45*INDEX(Curves!$B$4:$AR$4,1,12-Projects!$C$45+1),0)+IF(AND(Projects!$G$46="Yes",Projects!$X$46="Yes",Projects!$M$46="Yes",12&gt;=Projects!$C$46,12&lt;Projects!$C$46+Projects!$D$46),Projects!$B$46*INDEX(Curves!$B$4:$AR$4,1,12-Projects!$C$46+1),0)</f>
        <v>0</v>
      </c>
      <c r="R101" s="298" t="n">
        <f aca="false">IF(AND(Projects!$G$17="Yes",Projects!$X$17="Yes",Projects!$M$17="Yes",13&gt;=Projects!$C$17,13&lt;Projects!$C$17+Projects!$D$17),Projects!$B$17*INDEX(Curves!$B$4:$AR$4,1,13-Projects!$C$17+1),0)+IF(AND(Projects!$G$18="Yes",Projects!$X$18="Yes",Projects!$M$18="Yes",13&gt;=Projects!$C$18,13&lt;Projects!$C$18+Projects!$D$18),Projects!$B$18*INDEX(Curves!$B$4:$AR$4,1,13-Projects!$C$18+1),0)+IF(AND(Projects!$G$19="Yes",Projects!$X$19="Yes",Projects!$M$19="Yes",13&gt;=Projects!$C$19,13&lt;Projects!$C$19+Projects!$D$19),Projects!$B$19*INDEX(Curves!$B$10:$AR$10,1,13-Projects!$C$19+1),0)+IF(AND(Projects!$G$20="Yes",Projects!$X$20="Yes",Projects!$M$20="Yes",13&gt;=Projects!$C$20,13&lt;Projects!$C$20+Projects!$D$20),Projects!$B$20*INDEX(Curves!$B$4:$AR$4,1,13-Projects!$C$20+1),0)+IF(AND(Projects!$G$21="Yes",Projects!$X$21="Yes",Projects!$M$21="Yes",13&gt;=Projects!$C$21,13&lt;Projects!$C$21+Projects!$D$21),Projects!$B$21*INDEX(Curves!$B$11:$AR$11,1,13-Projects!$C$21+1),0)+IF(AND(Projects!$G$22="Yes",Projects!$X$22="Yes",Projects!$M$22="Yes",13&gt;=Projects!$C$22,13&lt;Projects!$C$22+Projects!$D$22),Projects!$B$22*INDEX(Curves!$B$4:$AR$4,1,13-Projects!$C$22+1),0)+IF(AND(Projects!$G$23="Yes",Projects!$X$23="Yes",Projects!$M$23="Yes",13&gt;=Projects!$C$23,13&lt;Projects!$C$23+Projects!$D$23),Projects!$B$23*INDEX(Curves!$B$4:$AR$4,1,13-Projects!$C$23+1),0)+IF(AND(Projects!$G$24="Yes",Projects!$X$24="Yes",Projects!$M$24="Yes",13&gt;=Projects!$C$24,13&lt;Projects!$C$24+Projects!$D$24),Projects!$B$24*INDEX(Curves!$B$4:$AR$4,1,13-Projects!$C$24+1),0)+IF(AND(Projects!$G$25="Yes",Projects!$X$25="Yes",Projects!$M$25="Yes",13&gt;=Projects!$C$25,13&lt;Projects!$C$25+Projects!$D$25),Projects!$B$25*INDEX(Curves!$B$4:$AR$4,1,13-Projects!$C$25+1),0)+IF(AND(Projects!$G$26="Yes",Projects!$X$26="Yes",Projects!$M$26="Yes",13&gt;=Projects!$C$26,13&lt;Projects!$C$26+Projects!$D$26),Projects!$B$26*INDEX(Curves!$B$4:$AR$4,1,13-Projects!$C$26+1),0)+IF(AND(Projects!$G$27="Yes",Projects!$X$27="Yes",Projects!$M$27="Yes",13&gt;=Projects!$C$27,13&lt;Projects!$C$27+Projects!$D$27),Projects!$B$27*INDEX(Curves!$B$4:$AR$4,1,13-Projects!$C$27+1),0)+IF(AND(Projects!$G$28="Yes",Projects!$X$28="Yes",Projects!$M$28="Yes",13&gt;=Projects!$C$28,13&lt;Projects!$C$28+Projects!$D$28),Projects!$B$28*INDEX(Curves!$B$4:$AR$4,1,13-Projects!$C$28+1),0)+IF(AND(Projects!$G$29="Yes",Projects!$X$29="Yes",Projects!$M$29="Yes",13&gt;=Projects!$C$29,13&lt;Projects!$C$29+Projects!$D$29),Projects!$B$29*INDEX(Curves!$B$4:$AR$4,1,13-Projects!$C$29+1),0)+IF(AND(Projects!$G$30="Yes",Projects!$X$30="Yes",Projects!$M$30="Yes",13&gt;=Projects!$C$30,13&lt;Projects!$C$30+Projects!$D$30),Projects!$B$30*INDEX(Curves!$B$4:$AR$4,1,13-Projects!$C$30+1),0)+IF(AND(Projects!$G$31="Yes",Projects!$X$31="Yes",Projects!$M$31="Yes",13&gt;=Projects!$C$31,13&lt;Projects!$C$31+Projects!$D$31),Projects!$B$31*INDEX(Curves!$B$4:$AR$4,1,13-Projects!$C$31+1),0)+IF(AND(Projects!$G$32="Yes",Projects!$X$32="Yes",Projects!$M$32="Yes",13&gt;=Projects!$C$32,13&lt;Projects!$C$32+Projects!$D$32),Projects!$B$32*INDEX(Curves!$B$4:$AR$4,1,13-Projects!$C$32+1),0)+IF(AND(Projects!$G$33="Yes",Projects!$X$33="Yes",Projects!$M$33="Yes",13&gt;=Projects!$C$33,13&lt;Projects!$C$33+Projects!$D$33),Projects!$B$33*INDEX(Curves!$B$4:$AR$4,1,13-Projects!$C$33+1),0)+IF(AND(Projects!$G$34="Yes",Projects!$X$34="Yes",Projects!$M$34="Yes",13&gt;=Projects!$C$34,13&lt;Projects!$C$34+Projects!$D$34),Projects!$B$34*INDEX(Curves!$B$4:$AR$4,1,13-Projects!$C$34+1),0)+IF(AND(Projects!$G$35="Yes",Projects!$X$35="Yes",Projects!$M$35="Yes",13&gt;=Projects!$C$35,13&lt;Projects!$C$35+Projects!$D$35),Projects!$B$35*INDEX(Curves!$B$4:$AR$4,1,13-Projects!$C$35+1),0)+IF(AND(Projects!$G$36="Yes",Projects!$X$36="Yes",Projects!$M$36="Yes",13&gt;=Projects!$C$36,13&lt;Projects!$C$36+Projects!$D$36),Projects!$B$36*INDEX(Curves!$B$4:$AR$4,1,13-Projects!$C$36+1),0)+IF(AND(Projects!$G$37="Yes",Projects!$X$37="Yes",Projects!$M$37="Yes",13&gt;=Projects!$C$37,13&lt;Projects!$C$37+Projects!$D$37),Projects!$B$37*INDEX(Curves!$B$4:$AR$4,1,13-Projects!$C$37+1),0)+IF(AND(Projects!$G$38="Yes",Projects!$X$38="Yes",Projects!$M$38="Yes",13&gt;=Projects!$C$38,13&lt;Projects!$C$38+Projects!$D$38),Projects!$B$38*INDEX(Curves!$B$4:$AR$4,1,13-Projects!$C$38+1),0)+IF(AND(Projects!$G$39="Yes",Projects!$X$39="Yes",Projects!$M$39="Yes",13&gt;=Projects!$C$39,13&lt;Projects!$C$39+Projects!$D$39),Projects!$B$39*INDEX(Curves!$B$4:$AR$4,1,13-Projects!$C$39+1),0)+IF(AND(Projects!$G$40="Yes",Projects!$X$40="Yes",Projects!$M$40="Yes",13&gt;=Projects!$C$40,13&lt;Projects!$C$40+Projects!$D$40),Projects!$B$40*INDEX(Curves!$B$4:$AR$4,1,13-Projects!$C$40+1),0)+IF(AND(Projects!$G$41="Yes",Projects!$X$41="Yes",Projects!$M$41="Yes",13&gt;=Projects!$C$41,13&lt;Projects!$C$41+Projects!$D$41),Projects!$B$41*INDEX(Curves!$B$4:$AR$4,1,13-Projects!$C$41+1),0)+IF(AND(Projects!$G$42="Yes",Projects!$X$42="Yes",Projects!$M$42="Yes",13&gt;=Projects!$C$42,13&lt;Projects!$C$42+Projects!$D$42),Projects!$B$42*INDEX(Curves!$B$4:$AR$4,1,13-Projects!$C$42+1),0)+IF(AND(Projects!$G$43="Yes",Projects!$X$43="Yes",Projects!$M$43="Yes",13&gt;=Projects!$C$43,13&lt;Projects!$C$43+Projects!$D$43),Projects!$B$43*INDEX(Curves!$B$4:$AR$4,1,13-Projects!$C$43+1),0)+IF(AND(Projects!$G$44="Yes",Projects!$X$44="Yes",Projects!$M$44="Yes",13&gt;=Projects!$C$44,13&lt;Projects!$C$44+Projects!$D$44),Projects!$B$44*INDEX(Curves!$B$4:$AR$4,1,13-Projects!$C$44+1),0)+IF(AND(Projects!$G$45="Yes",Projects!$X$45="Yes",Projects!$M$45="Yes",13&gt;=Projects!$C$45,13&lt;Projects!$C$45+Projects!$D$45),Projects!$B$45*INDEX(Curves!$B$4:$AR$4,1,13-Projects!$C$45+1),0)+IF(AND(Projects!$G$46="Yes",Projects!$X$46="Yes",Projects!$M$46="Yes",13&gt;=Projects!$C$46,13&lt;Projects!$C$46+Projects!$D$46),Projects!$B$46*INDEX(Curves!$B$4:$AR$4,1,13-Projects!$C$46+1),0)</f>
        <v>0</v>
      </c>
      <c r="S101" s="298" t="n">
        <f aca="false">IF(AND(Projects!$G$17="Yes",Projects!$X$17="Yes",Projects!$M$17="Yes",14&gt;=Projects!$C$17,14&lt;Projects!$C$17+Projects!$D$17),Projects!$B$17*INDEX(Curves!$B$4:$AR$4,1,14-Projects!$C$17+1),0)+IF(AND(Projects!$G$18="Yes",Projects!$X$18="Yes",Projects!$M$18="Yes",14&gt;=Projects!$C$18,14&lt;Projects!$C$18+Projects!$D$18),Projects!$B$18*INDEX(Curves!$B$4:$AR$4,1,14-Projects!$C$18+1),0)+IF(AND(Projects!$G$19="Yes",Projects!$X$19="Yes",Projects!$M$19="Yes",14&gt;=Projects!$C$19,14&lt;Projects!$C$19+Projects!$D$19),Projects!$B$19*INDEX(Curves!$B$10:$AR$10,1,14-Projects!$C$19+1),0)+IF(AND(Projects!$G$20="Yes",Projects!$X$20="Yes",Projects!$M$20="Yes",14&gt;=Projects!$C$20,14&lt;Projects!$C$20+Projects!$D$20),Projects!$B$20*INDEX(Curves!$B$4:$AR$4,1,14-Projects!$C$20+1),0)+IF(AND(Projects!$G$21="Yes",Projects!$X$21="Yes",Projects!$M$21="Yes",14&gt;=Projects!$C$21,14&lt;Projects!$C$21+Projects!$D$21),Projects!$B$21*INDEX(Curves!$B$11:$AR$11,1,14-Projects!$C$21+1),0)+IF(AND(Projects!$G$22="Yes",Projects!$X$22="Yes",Projects!$M$22="Yes",14&gt;=Projects!$C$22,14&lt;Projects!$C$22+Projects!$D$22),Projects!$B$22*INDEX(Curves!$B$4:$AR$4,1,14-Projects!$C$22+1),0)+IF(AND(Projects!$G$23="Yes",Projects!$X$23="Yes",Projects!$M$23="Yes",14&gt;=Projects!$C$23,14&lt;Projects!$C$23+Projects!$D$23),Projects!$B$23*INDEX(Curves!$B$4:$AR$4,1,14-Projects!$C$23+1),0)+IF(AND(Projects!$G$24="Yes",Projects!$X$24="Yes",Projects!$M$24="Yes",14&gt;=Projects!$C$24,14&lt;Projects!$C$24+Projects!$D$24),Projects!$B$24*INDEX(Curves!$B$4:$AR$4,1,14-Projects!$C$24+1),0)+IF(AND(Projects!$G$25="Yes",Projects!$X$25="Yes",Projects!$M$25="Yes",14&gt;=Projects!$C$25,14&lt;Projects!$C$25+Projects!$D$25),Projects!$B$25*INDEX(Curves!$B$4:$AR$4,1,14-Projects!$C$25+1),0)+IF(AND(Projects!$G$26="Yes",Projects!$X$26="Yes",Projects!$M$26="Yes",14&gt;=Projects!$C$26,14&lt;Projects!$C$26+Projects!$D$26),Projects!$B$26*INDEX(Curves!$B$4:$AR$4,1,14-Projects!$C$26+1),0)+IF(AND(Projects!$G$27="Yes",Projects!$X$27="Yes",Projects!$M$27="Yes",14&gt;=Projects!$C$27,14&lt;Projects!$C$27+Projects!$D$27),Projects!$B$27*INDEX(Curves!$B$4:$AR$4,1,14-Projects!$C$27+1),0)+IF(AND(Projects!$G$28="Yes",Projects!$X$28="Yes",Projects!$M$28="Yes",14&gt;=Projects!$C$28,14&lt;Projects!$C$28+Projects!$D$28),Projects!$B$28*INDEX(Curves!$B$4:$AR$4,1,14-Projects!$C$28+1),0)+IF(AND(Projects!$G$29="Yes",Projects!$X$29="Yes",Projects!$M$29="Yes",14&gt;=Projects!$C$29,14&lt;Projects!$C$29+Projects!$D$29),Projects!$B$29*INDEX(Curves!$B$4:$AR$4,1,14-Projects!$C$29+1),0)+IF(AND(Projects!$G$30="Yes",Projects!$X$30="Yes",Projects!$M$30="Yes",14&gt;=Projects!$C$30,14&lt;Projects!$C$30+Projects!$D$30),Projects!$B$30*INDEX(Curves!$B$4:$AR$4,1,14-Projects!$C$30+1),0)+IF(AND(Projects!$G$31="Yes",Projects!$X$31="Yes",Projects!$M$31="Yes",14&gt;=Projects!$C$31,14&lt;Projects!$C$31+Projects!$D$31),Projects!$B$31*INDEX(Curves!$B$4:$AR$4,1,14-Projects!$C$31+1),0)+IF(AND(Projects!$G$32="Yes",Projects!$X$32="Yes",Projects!$M$32="Yes",14&gt;=Projects!$C$32,14&lt;Projects!$C$32+Projects!$D$32),Projects!$B$32*INDEX(Curves!$B$4:$AR$4,1,14-Projects!$C$32+1),0)+IF(AND(Projects!$G$33="Yes",Projects!$X$33="Yes",Projects!$M$33="Yes",14&gt;=Projects!$C$33,14&lt;Projects!$C$33+Projects!$D$33),Projects!$B$33*INDEX(Curves!$B$4:$AR$4,1,14-Projects!$C$33+1),0)+IF(AND(Projects!$G$34="Yes",Projects!$X$34="Yes",Projects!$M$34="Yes",14&gt;=Projects!$C$34,14&lt;Projects!$C$34+Projects!$D$34),Projects!$B$34*INDEX(Curves!$B$4:$AR$4,1,14-Projects!$C$34+1),0)+IF(AND(Projects!$G$35="Yes",Projects!$X$35="Yes",Projects!$M$35="Yes",14&gt;=Projects!$C$35,14&lt;Projects!$C$35+Projects!$D$35),Projects!$B$35*INDEX(Curves!$B$4:$AR$4,1,14-Projects!$C$35+1),0)+IF(AND(Projects!$G$36="Yes",Projects!$X$36="Yes",Projects!$M$36="Yes",14&gt;=Projects!$C$36,14&lt;Projects!$C$36+Projects!$D$36),Projects!$B$36*INDEX(Curves!$B$4:$AR$4,1,14-Projects!$C$36+1),0)+IF(AND(Projects!$G$37="Yes",Projects!$X$37="Yes",Projects!$M$37="Yes",14&gt;=Projects!$C$37,14&lt;Projects!$C$37+Projects!$D$37),Projects!$B$37*INDEX(Curves!$B$4:$AR$4,1,14-Projects!$C$37+1),0)+IF(AND(Projects!$G$38="Yes",Projects!$X$38="Yes",Projects!$M$38="Yes",14&gt;=Projects!$C$38,14&lt;Projects!$C$38+Projects!$D$38),Projects!$B$38*INDEX(Curves!$B$4:$AR$4,1,14-Projects!$C$38+1),0)+IF(AND(Projects!$G$39="Yes",Projects!$X$39="Yes",Projects!$M$39="Yes",14&gt;=Projects!$C$39,14&lt;Projects!$C$39+Projects!$D$39),Projects!$B$39*INDEX(Curves!$B$4:$AR$4,1,14-Projects!$C$39+1),0)+IF(AND(Projects!$G$40="Yes",Projects!$X$40="Yes",Projects!$M$40="Yes",14&gt;=Projects!$C$40,14&lt;Projects!$C$40+Projects!$D$40),Projects!$B$40*INDEX(Curves!$B$4:$AR$4,1,14-Projects!$C$40+1),0)+IF(AND(Projects!$G$41="Yes",Projects!$X$41="Yes",Projects!$M$41="Yes",14&gt;=Projects!$C$41,14&lt;Projects!$C$41+Projects!$D$41),Projects!$B$41*INDEX(Curves!$B$4:$AR$4,1,14-Projects!$C$41+1),0)+IF(AND(Projects!$G$42="Yes",Projects!$X$42="Yes",Projects!$M$42="Yes",14&gt;=Projects!$C$42,14&lt;Projects!$C$42+Projects!$D$42),Projects!$B$42*INDEX(Curves!$B$4:$AR$4,1,14-Projects!$C$42+1),0)+IF(AND(Projects!$G$43="Yes",Projects!$X$43="Yes",Projects!$M$43="Yes",14&gt;=Projects!$C$43,14&lt;Projects!$C$43+Projects!$D$43),Projects!$B$43*INDEX(Curves!$B$4:$AR$4,1,14-Projects!$C$43+1),0)+IF(AND(Projects!$G$44="Yes",Projects!$X$44="Yes",Projects!$M$44="Yes",14&gt;=Projects!$C$44,14&lt;Projects!$C$44+Projects!$D$44),Projects!$B$44*INDEX(Curves!$B$4:$AR$4,1,14-Projects!$C$44+1),0)+IF(AND(Projects!$G$45="Yes",Projects!$X$45="Yes",Projects!$M$45="Yes",14&gt;=Projects!$C$45,14&lt;Projects!$C$45+Projects!$D$45),Projects!$B$45*INDEX(Curves!$B$4:$AR$4,1,14-Projects!$C$45+1),0)+IF(AND(Projects!$G$46="Yes",Projects!$X$46="Yes",Projects!$M$46="Yes",14&gt;=Projects!$C$46,14&lt;Projects!$C$46+Projects!$D$46),Projects!$B$46*INDEX(Curves!$B$4:$AR$4,1,14-Projects!$C$46+1),0)</f>
        <v>0</v>
      </c>
      <c r="T101" s="298" t="n">
        <f aca="false">IF(AND(Projects!$G$17="Yes",Projects!$X$17="Yes",Projects!$M$17="Yes",15&gt;=Projects!$C$17,15&lt;Projects!$C$17+Projects!$D$17),Projects!$B$17*INDEX(Curves!$B$4:$AR$4,1,15-Projects!$C$17+1),0)+IF(AND(Projects!$G$18="Yes",Projects!$X$18="Yes",Projects!$M$18="Yes",15&gt;=Projects!$C$18,15&lt;Projects!$C$18+Projects!$D$18),Projects!$B$18*INDEX(Curves!$B$4:$AR$4,1,15-Projects!$C$18+1),0)+IF(AND(Projects!$G$19="Yes",Projects!$X$19="Yes",Projects!$M$19="Yes",15&gt;=Projects!$C$19,15&lt;Projects!$C$19+Projects!$D$19),Projects!$B$19*INDEX(Curves!$B$10:$AR$10,1,15-Projects!$C$19+1),0)+IF(AND(Projects!$G$20="Yes",Projects!$X$20="Yes",Projects!$M$20="Yes",15&gt;=Projects!$C$20,15&lt;Projects!$C$20+Projects!$D$20),Projects!$B$20*INDEX(Curves!$B$4:$AR$4,1,15-Projects!$C$20+1),0)+IF(AND(Projects!$G$21="Yes",Projects!$X$21="Yes",Projects!$M$21="Yes",15&gt;=Projects!$C$21,15&lt;Projects!$C$21+Projects!$D$21),Projects!$B$21*INDEX(Curves!$B$11:$AR$11,1,15-Projects!$C$21+1),0)+IF(AND(Projects!$G$22="Yes",Projects!$X$22="Yes",Projects!$M$22="Yes",15&gt;=Projects!$C$22,15&lt;Projects!$C$22+Projects!$D$22),Projects!$B$22*INDEX(Curves!$B$4:$AR$4,1,15-Projects!$C$22+1),0)+IF(AND(Projects!$G$23="Yes",Projects!$X$23="Yes",Projects!$M$23="Yes",15&gt;=Projects!$C$23,15&lt;Projects!$C$23+Projects!$D$23),Projects!$B$23*INDEX(Curves!$B$4:$AR$4,1,15-Projects!$C$23+1),0)+IF(AND(Projects!$G$24="Yes",Projects!$X$24="Yes",Projects!$M$24="Yes",15&gt;=Projects!$C$24,15&lt;Projects!$C$24+Projects!$D$24),Projects!$B$24*INDEX(Curves!$B$4:$AR$4,1,15-Projects!$C$24+1),0)+IF(AND(Projects!$G$25="Yes",Projects!$X$25="Yes",Projects!$M$25="Yes",15&gt;=Projects!$C$25,15&lt;Projects!$C$25+Projects!$D$25),Projects!$B$25*INDEX(Curves!$B$4:$AR$4,1,15-Projects!$C$25+1),0)+IF(AND(Projects!$G$26="Yes",Projects!$X$26="Yes",Projects!$M$26="Yes",15&gt;=Projects!$C$26,15&lt;Projects!$C$26+Projects!$D$26),Projects!$B$26*INDEX(Curves!$B$4:$AR$4,1,15-Projects!$C$26+1),0)+IF(AND(Projects!$G$27="Yes",Projects!$X$27="Yes",Projects!$M$27="Yes",15&gt;=Projects!$C$27,15&lt;Projects!$C$27+Projects!$D$27),Projects!$B$27*INDEX(Curves!$B$4:$AR$4,1,15-Projects!$C$27+1),0)+IF(AND(Projects!$G$28="Yes",Projects!$X$28="Yes",Projects!$M$28="Yes",15&gt;=Projects!$C$28,15&lt;Projects!$C$28+Projects!$D$28),Projects!$B$28*INDEX(Curves!$B$4:$AR$4,1,15-Projects!$C$28+1),0)+IF(AND(Projects!$G$29="Yes",Projects!$X$29="Yes",Projects!$M$29="Yes",15&gt;=Projects!$C$29,15&lt;Projects!$C$29+Projects!$D$29),Projects!$B$29*INDEX(Curves!$B$4:$AR$4,1,15-Projects!$C$29+1),0)+IF(AND(Projects!$G$30="Yes",Projects!$X$30="Yes",Projects!$M$30="Yes",15&gt;=Projects!$C$30,15&lt;Projects!$C$30+Projects!$D$30),Projects!$B$30*INDEX(Curves!$B$4:$AR$4,1,15-Projects!$C$30+1),0)+IF(AND(Projects!$G$31="Yes",Projects!$X$31="Yes",Projects!$M$31="Yes",15&gt;=Projects!$C$31,15&lt;Projects!$C$31+Projects!$D$31),Projects!$B$31*INDEX(Curves!$B$4:$AR$4,1,15-Projects!$C$31+1),0)+IF(AND(Projects!$G$32="Yes",Projects!$X$32="Yes",Projects!$M$32="Yes",15&gt;=Projects!$C$32,15&lt;Projects!$C$32+Projects!$D$32),Projects!$B$32*INDEX(Curves!$B$4:$AR$4,1,15-Projects!$C$32+1),0)+IF(AND(Projects!$G$33="Yes",Projects!$X$33="Yes",Projects!$M$33="Yes",15&gt;=Projects!$C$33,15&lt;Projects!$C$33+Projects!$D$33),Projects!$B$33*INDEX(Curves!$B$4:$AR$4,1,15-Projects!$C$33+1),0)+IF(AND(Projects!$G$34="Yes",Projects!$X$34="Yes",Projects!$M$34="Yes",15&gt;=Projects!$C$34,15&lt;Projects!$C$34+Projects!$D$34),Projects!$B$34*INDEX(Curves!$B$4:$AR$4,1,15-Projects!$C$34+1),0)+IF(AND(Projects!$G$35="Yes",Projects!$X$35="Yes",Projects!$M$35="Yes",15&gt;=Projects!$C$35,15&lt;Projects!$C$35+Projects!$D$35),Projects!$B$35*INDEX(Curves!$B$4:$AR$4,1,15-Projects!$C$35+1),0)+IF(AND(Projects!$G$36="Yes",Projects!$X$36="Yes",Projects!$M$36="Yes",15&gt;=Projects!$C$36,15&lt;Projects!$C$36+Projects!$D$36),Projects!$B$36*INDEX(Curves!$B$4:$AR$4,1,15-Projects!$C$36+1),0)+IF(AND(Projects!$G$37="Yes",Projects!$X$37="Yes",Projects!$M$37="Yes",15&gt;=Projects!$C$37,15&lt;Projects!$C$37+Projects!$D$37),Projects!$B$37*INDEX(Curves!$B$4:$AR$4,1,15-Projects!$C$37+1),0)+IF(AND(Projects!$G$38="Yes",Projects!$X$38="Yes",Projects!$M$38="Yes",15&gt;=Projects!$C$38,15&lt;Projects!$C$38+Projects!$D$38),Projects!$B$38*INDEX(Curves!$B$4:$AR$4,1,15-Projects!$C$38+1),0)+IF(AND(Projects!$G$39="Yes",Projects!$X$39="Yes",Projects!$M$39="Yes",15&gt;=Projects!$C$39,15&lt;Projects!$C$39+Projects!$D$39),Projects!$B$39*INDEX(Curves!$B$4:$AR$4,1,15-Projects!$C$39+1),0)+IF(AND(Projects!$G$40="Yes",Projects!$X$40="Yes",Projects!$M$40="Yes",15&gt;=Projects!$C$40,15&lt;Projects!$C$40+Projects!$D$40),Projects!$B$40*INDEX(Curves!$B$4:$AR$4,1,15-Projects!$C$40+1),0)+IF(AND(Projects!$G$41="Yes",Projects!$X$41="Yes",Projects!$M$41="Yes",15&gt;=Projects!$C$41,15&lt;Projects!$C$41+Projects!$D$41),Projects!$B$41*INDEX(Curves!$B$4:$AR$4,1,15-Projects!$C$41+1),0)+IF(AND(Projects!$G$42="Yes",Projects!$X$42="Yes",Projects!$M$42="Yes",15&gt;=Projects!$C$42,15&lt;Projects!$C$42+Projects!$D$42),Projects!$B$42*INDEX(Curves!$B$4:$AR$4,1,15-Projects!$C$42+1),0)+IF(AND(Projects!$G$43="Yes",Projects!$X$43="Yes",Projects!$M$43="Yes",15&gt;=Projects!$C$43,15&lt;Projects!$C$43+Projects!$D$43),Projects!$B$43*INDEX(Curves!$B$4:$AR$4,1,15-Projects!$C$43+1),0)+IF(AND(Projects!$G$44="Yes",Projects!$X$44="Yes",Projects!$M$44="Yes",15&gt;=Projects!$C$44,15&lt;Projects!$C$44+Projects!$D$44),Projects!$B$44*INDEX(Curves!$B$4:$AR$4,1,15-Projects!$C$44+1),0)+IF(AND(Projects!$G$45="Yes",Projects!$X$45="Yes",Projects!$M$45="Yes",15&gt;=Projects!$C$45,15&lt;Projects!$C$45+Projects!$D$45),Projects!$B$45*INDEX(Curves!$B$4:$AR$4,1,15-Projects!$C$45+1),0)+IF(AND(Projects!$G$46="Yes",Projects!$X$46="Yes",Projects!$M$46="Yes",15&gt;=Projects!$C$46,15&lt;Projects!$C$46+Projects!$D$46),Projects!$B$46*INDEX(Curves!$B$4:$AR$4,1,15-Projects!$C$46+1),0)</f>
        <v>0</v>
      </c>
      <c r="U101" s="298" t="n">
        <f aca="false">IF(AND(Projects!$G$17="Yes",Projects!$X$17="Yes",Projects!$M$17="Yes",16&gt;=Projects!$C$17,16&lt;Projects!$C$17+Projects!$D$17),Projects!$B$17*INDEX(Curves!$B$4:$AR$4,1,16-Projects!$C$17+1),0)+IF(AND(Projects!$G$18="Yes",Projects!$X$18="Yes",Projects!$M$18="Yes",16&gt;=Projects!$C$18,16&lt;Projects!$C$18+Projects!$D$18),Projects!$B$18*INDEX(Curves!$B$4:$AR$4,1,16-Projects!$C$18+1),0)+IF(AND(Projects!$G$19="Yes",Projects!$X$19="Yes",Projects!$M$19="Yes",16&gt;=Projects!$C$19,16&lt;Projects!$C$19+Projects!$D$19),Projects!$B$19*INDEX(Curves!$B$10:$AR$10,1,16-Projects!$C$19+1),0)+IF(AND(Projects!$G$20="Yes",Projects!$X$20="Yes",Projects!$M$20="Yes",16&gt;=Projects!$C$20,16&lt;Projects!$C$20+Projects!$D$20),Projects!$B$20*INDEX(Curves!$B$4:$AR$4,1,16-Projects!$C$20+1),0)+IF(AND(Projects!$G$21="Yes",Projects!$X$21="Yes",Projects!$M$21="Yes",16&gt;=Projects!$C$21,16&lt;Projects!$C$21+Projects!$D$21),Projects!$B$21*INDEX(Curves!$B$11:$AR$11,1,16-Projects!$C$21+1),0)+IF(AND(Projects!$G$22="Yes",Projects!$X$22="Yes",Projects!$M$22="Yes",16&gt;=Projects!$C$22,16&lt;Projects!$C$22+Projects!$D$22),Projects!$B$22*INDEX(Curves!$B$4:$AR$4,1,16-Projects!$C$22+1),0)+IF(AND(Projects!$G$23="Yes",Projects!$X$23="Yes",Projects!$M$23="Yes",16&gt;=Projects!$C$23,16&lt;Projects!$C$23+Projects!$D$23),Projects!$B$23*INDEX(Curves!$B$4:$AR$4,1,16-Projects!$C$23+1),0)+IF(AND(Projects!$G$24="Yes",Projects!$X$24="Yes",Projects!$M$24="Yes",16&gt;=Projects!$C$24,16&lt;Projects!$C$24+Projects!$D$24),Projects!$B$24*INDEX(Curves!$B$4:$AR$4,1,16-Projects!$C$24+1),0)+IF(AND(Projects!$G$25="Yes",Projects!$X$25="Yes",Projects!$M$25="Yes",16&gt;=Projects!$C$25,16&lt;Projects!$C$25+Projects!$D$25),Projects!$B$25*INDEX(Curves!$B$4:$AR$4,1,16-Projects!$C$25+1),0)+IF(AND(Projects!$G$26="Yes",Projects!$X$26="Yes",Projects!$M$26="Yes",16&gt;=Projects!$C$26,16&lt;Projects!$C$26+Projects!$D$26),Projects!$B$26*INDEX(Curves!$B$4:$AR$4,1,16-Projects!$C$26+1),0)+IF(AND(Projects!$G$27="Yes",Projects!$X$27="Yes",Projects!$M$27="Yes",16&gt;=Projects!$C$27,16&lt;Projects!$C$27+Projects!$D$27),Projects!$B$27*INDEX(Curves!$B$4:$AR$4,1,16-Projects!$C$27+1),0)+IF(AND(Projects!$G$28="Yes",Projects!$X$28="Yes",Projects!$M$28="Yes",16&gt;=Projects!$C$28,16&lt;Projects!$C$28+Projects!$D$28),Projects!$B$28*INDEX(Curves!$B$4:$AR$4,1,16-Projects!$C$28+1),0)+IF(AND(Projects!$G$29="Yes",Projects!$X$29="Yes",Projects!$M$29="Yes",16&gt;=Projects!$C$29,16&lt;Projects!$C$29+Projects!$D$29),Projects!$B$29*INDEX(Curves!$B$4:$AR$4,1,16-Projects!$C$29+1),0)+IF(AND(Projects!$G$30="Yes",Projects!$X$30="Yes",Projects!$M$30="Yes",16&gt;=Projects!$C$30,16&lt;Projects!$C$30+Projects!$D$30),Projects!$B$30*INDEX(Curves!$B$4:$AR$4,1,16-Projects!$C$30+1),0)+IF(AND(Projects!$G$31="Yes",Projects!$X$31="Yes",Projects!$M$31="Yes",16&gt;=Projects!$C$31,16&lt;Projects!$C$31+Projects!$D$31),Projects!$B$31*INDEX(Curves!$B$4:$AR$4,1,16-Projects!$C$31+1),0)+IF(AND(Projects!$G$32="Yes",Projects!$X$32="Yes",Projects!$M$32="Yes",16&gt;=Projects!$C$32,16&lt;Projects!$C$32+Projects!$D$32),Projects!$B$32*INDEX(Curves!$B$4:$AR$4,1,16-Projects!$C$32+1),0)+IF(AND(Projects!$G$33="Yes",Projects!$X$33="Yes",Projects!$M$33="Yes",16&gt;=Projects!$C$33,16&lt;Projects!$C$33+Projects!$D$33),Projects!$B$33*INDEX(Curves!$B$4:$AR$4,1,16-Projects!$C$33+1),0)+IF(AND(Projects!$G$34="Yes",Projects!$X$34="Yes",Projects!$M$34="Yes",16&gt;=Projects!$C$34,16&lt;Projects!$C$34+Projects!$D$34),Projects!$B$34*INDEX(Curves!$B$4:$AR$4,1,16-Projects!$C$34+1),0)+IF(AND(Projects!$G$35="Yes",Projects!$X$35="Yes",Projects!$M$35="Yes",16&gt;=Projects!$C$35,16&lt;Projects!$C$35+Projects!$D$35),Projects!$B$35*INDEX(Curves!$B$4:$AR$4,1,16-Projects!$C$35+1),0)+IF(AND(Projects!$G$36="Yes",Projects!$X$36="Yes",Projects!$M$36="Yes",16&gt;=Projects!$C$36,16&lt;Projects!$C$36+Projects!$D$36),Projects!$B$36*INDEX(Curves!$B$4:$AR$4,1,16-Projects!$C$36+1),0)+IF(AND(Projects!$G$37="Yes",Projects!$X$37="Yes",Projects!$M$37="Yes",16&gt;=Projects!$C$37,16&lt;Projects!$C$37+Projects!$D$37),Projects!$B$37*INDEX(Curves!$B$4:$AR$4,1,16-Projects!$C$37+1),0)+IF(AND(Projects!$G$38="Yes",Projects!$X$38="Yes",Projects!$M$38="Yes",16&gt;=Projects!$C$38,16&lt;Projects!$C$38+Projects!$D$38),Projects!$B$38*INDEX(Curves!$B$4:$AR$4,1,16-Projects!$C$38+1),0)+IF(AND(Projects!$G$39="Yes",Projects!$X$39="Yes",Projects!$M$39="Yes",16&gt;=Projects!$C$39,16&lt;Projects!$C$39+Projects!$D$39),Projects!$B$39*INDEX(Curves!$B$4:$AR$4,1,16-Projects!$C$39+1),0)+IF(AND(Projects!$G$40="Yes",Projects!$X$40="Yes",Projects!$M$40="Yes",16&gt;=Projects!$C$40,16&lt;Projects!$C$40+Projects!$D$40),Projects!$B$40*INDEX(Curves!$B$4:$AR$4,1,16-Projects!$C$40+1),0)+IF(AND(Projects!$G$41="Yes",Projects!$X$41="Yes",Projects!$M$41="Yes",16&gt;=Projects!$C$41,16&lt;Projects!$C$41+Projects!$D$41),Projects!$B$41*INDEX(Curves!$B$4:$AR$4,1,16-Projects!$C$41+1),0)+IF(AND(Projects!$G$42="Yes",Projects!$X$42="Yes",Projects!$M$42="Yes",16&gt;=Projects!$C$42,16&lt;Projects!$C$42+Projects!$D$42),Projects!$B$42*INDEX(Curves!$B$4:$AR$4,1,16-Projects!$C$42+1),0)+IF(AND(Projects!$G$43="Yes",Projects!$X$43="Yes",Projects!$M$43="Yes",16&gt;=Projects!$C$43,16&lt;Projects!$C$43+Projects!$D$43),Projects!$B$43*INDEX(Curves!$B$4:$AR$4,1,16-Projects!$C$43+1),0)+IF(AND(Projects!$G$44="Yes",Projects!$X$44="Yes",Projects!$M$44="Yes",16&gt;=Projects!$C$44,16&lt;Projects!$C$44+Projects!$D$44),Projects!$B$44*INDEX(Curves!$B$4:$AR$4,1,16-Projects!$C$44+1),0)+IF(AND(Projects!$G$45="Yes",Projects!$X$45="Yes",Projects!$M$45="Yes",16&gt;=Projects!$C$45,16&lt;Projects!$C$45+Projects!$D$45),Projects!$B$45*INDEX(Curves!$B$4:$AR$4,1,16-Projects!$C$45+1),0)+IF(AND(Projects!$G$46="Yes",Projects!$X$46="Yes",Projects!$M$46="Yes",16&gt;=Projects!$C$46,16&lt;Projects!$C$46+Projects!$D$46),Projects!$B$46*INDEX(Curves!$B$4:$AR$4,1,16-Projects!$C$46+1),0)</f>
        <v>0</v>
      </c>
      <c r="V101" s="298" t="n">
        <f aca="false">IF(AND(Projects!$G$17="Yes",Projects!$X$17="Yes",Projects!$M$17="Yes",17&gt;=Projects!$C$17,17&lt;Projects!$C$17+Projects!$D$17),Projects!$B$17*INDEX(Curves!$B$4:$AR$4,1,17-Projects!$C$17+1),0)+IF(AND(Projects!$G$18="Yes",Projects!$X$18="Yes",Projects!$M$18="Yes",17&gt;=Projects!$C$18,17&lt;Projects!$C$18+Projects!$D$18),Projects!$B$18*INDEX(Curves!$B$4:$AR$4,1,17-Projects!$C$18+1),0)+IF(AND(Projects!$G$19="Yes",Projects!$X$19="Yes",Projects!$M$19="Yes",17&gt;=Projects!$C$19,17&lt;Projects!$C$19+Projects!$D$19),Projects!$B$19*INDEX(Curves!$B$10:$AR$10,1,17-Projects!$C$19+1),0)+IF(AND(Projects!$G$20="Yes",Projects!$X$20="Yes",Projects!$M$20="Yes",17&gt;=Projects!$C$20,17&lt;Projects!$C$20+Projects!$D$20),Projects!$B$20*INDEX(Curves!$B$4:$AR$4,1,17-Projects!$C$20+1),0)+IF(AND(Projects!$G$21="Yes",Projects!$X$21="Yes",Projects!$M$21="Yes",17&gt;=Projects!$C$21,17&lt;Projects!$C$21+Projects!$D$21),Projects!$B$21*INDEX(Curves!$B$11:$AR$11,1,17-Projects!$C$21+1),0)+IF(AND(Projects!$G$22="Yes",Projects!$X$22="Yes",Projects!$M$22="Yes",17&gt;=Projects!$C$22,17&lt;Projects!$C$22+Projects!$D$22),Projects!$B$22*INDEX(Curves!$B$4:$AR$4,1,17-Projects!$C$22+1),0)+IF(AND(Projects!$G$23="Yes",Projects!$X$23="Yes",Projects!$M$23="Yes",17&gt;=Projects!$C$23,17&lt;Projects!$C$23+Projects!$D$23),Projects!$B$23*INDEX(Curves!$B$4:$AR$4,1,17-Projects!$C$23+1),0)+IF(AND(Projects!$G$24="Yes",Projects!$X$24="Yes",Projects!$M$24="Yes",17&gt;=Projects!$C$24,17&lt;Projects!$C$24+Projects!$D$24),Projects!$B$24*INDEX(Curves!$B$4:$AR$4,1,17-Projects!$C$24+1),0)+IF(AND(Projects!$G$25="Yes",Projects!$X$25="Yes",Projects!$M$25="Yes",17&gt;=Projects!$C$25,17&lt;Projects!$C$25+Projects!$D$25),Projects!$B$25*INDEX(Curves!$B$4:$AR$4,1,17-Projects!$C$25+1),0)+IF(AND(Projects!$G$26="Yes",Projects!$X$26="Yes",Projects!$M$26="Yes",17&gt;=Projects!$C$26,17&lt;Projects!$C$26+Projects!$D$26),Projects!$B$26*INDEX(Curves!$B$4:$AR$4,1,17-Projects!$C$26+1),0)+IF(AND(Projects!$G$27="Yes",Projects!$X$27="Yes",Projects!$M$27="Yes",17&gt;=Projects!$C$27,17&lt;Projects!$C$27+Projects!$D$27),Projects!$B$27*INDEX(Curves!$B$4:$AR$4,1,17-Projects!$C$27+1),0)+IF(AND(Projects!$G$28="Yes",Projects!$X$28="Yes",Projects!$M$28="Yes",17&gt;=Projects!$C$28,17&lt;Projects!$C$28+Projects!$D$28),Projects!$B$28*INDEX(Curves!$B$4:$AR$4,1,17-Projects!$C$28+1),0)+IF(AND(Projects!$G$29="Yes",Projects!$X$29="Yes",Projects!$M$29="Yes",17&gt;=Projects!$C$29,17&lt;Projects!$C$29+Projects!$D$29),Projects!$B$29*INDEX(Curves!$B$4:$AR$4,1,17-Projects!$C$29+1),0)+IF(AND(Projects!$G$30="Yes",Projects!$X$30="Yes",Projects!$M$30="Yes",17&gt;=Projects!$C$30,17&lt;Projects!$C$30+Projects!$D$30),Projects!$B$30*INDEX(Curves!$B$4:$AR$4,1,17-Projects!$C$30+1),0)+IF(AND(Projects!$G$31="Yes",Projects!$X$31="Yes",Projects!$M$31="Yes",17&gt;=Projects!$C$31,17&lt;Projects!$C$31+Projects!$D$31),Projects!$B$31*INDEX(Curves!$B$4:$AR$4,1,17-Projects!$C$31+1),0)+IF(AND(Projects!$G$32="Yes",Projects!$X$32="Yes",Projects!$M$32="Yes",17&gt;=Projects!$C$32,17&lt;Projects!$C$32+Projects!$D$32),Projects!$B$32*INDEX(Curves!$B$4:$AR$4,1,17-Projects!$C$32+1),0)+IF(AND(Projects!$G$33="Yes",Projects!$X$33="Yes",Projects!$M$33="Yes",17&gt;=Projects!$C$33,17&lt;Projects!$C$33+Projects!$D$33),Projects!$B$33*INDEX(Curves!$B$4:$AR$4,1,17-Projects!$C$33+1),0)+IF(AND(Projects!$G$34="Yes",Projects!$X$34="Yes",Projects!$M$34="Yes",17&gt;=Projects!$C$34,17&lt;Projects!$C$34+Projects!$D$34),Projects!$B$34*INDEX(Curves!$B$4:$AR$4,1,17-Projects!$C$34+1),0)+IF(AND(Projects!$G$35="Yes",Projects!$X$35="Yes",Projects!$M$35="Yes",17&gt;=Projects!$C$35,17&lt;Projects!$C$35+Projects!$D$35),Projects!$B$35*INDEX(Curves!$B$4:$AR$4,1,17-Projects!$C$35+1),0)+IF(AND(Projects!$G$36="Yes",Projects!$X$36="Yes",Projects!$M$36="Yes",17&gt;=Projects!$C$36,17&lt;Projects!$C$36+Projects!$D$36),Projects!$B$36*INDEX(Curves!$B$4:$AR$4,1,17-Projects!$C$36+1),0)+IF(AND(Projects!$G$37="Yes",Projects!$X$37="Yes",Projects!$M$37="Yes",17&gt;=Projects!$C$37,17&lt;Projects!$C$37+Projects!$D$37),Projects!$B$37*INDEX(Curves!$B$4:$AR$4,1,17-Projects!$C$37+1),0)+IF(AND(Projects!$G$38="Yes",Projects!$X$38="Yes",Projects!$M$38="Yes",17&gt;=Projects!$C$38,17&lt;Projects!$C$38+Projects!$D$38),Projects!$B$38*INDEX(Curves!$B$4:$AR$4,1,17-Projects!$C$38+1),0)+IF(AND(Projects!$G$39="Yes",Projects!$X$39="Yes",Projects!$M$39="Yes",17&gt;=Projects!$C$39,17&lt;Projects!$C$39+Projects!$D$39),Projects!$B$39*INDEX(Curves!$B$4:$AR$4,1,17-Projects!$C$39+1),0)+IF(AND(Projects!$G$40="Yes",Projects!$X$40="Yes",Projects!$M$40="Yes",17&gt;=Projects!$C$40,17&lt;Projects!$C$40+Projects!$D$40),Projects!$B$40*INDEX(Curves!$B$4:$AR$4,1,17-Projects!$C$40+1),0)+IF(AND(Projects!$G$41="Yes",Projects!$X$41="Yes",Projects!$M$41="Yes",17&gt;=Projects!$C$41,17&lt;Projects!$C$41+Projects!$D$41),Projects!$B$41*INDEX(Curves!$B$4:$AR$4,1,17-Projects!$C$41+1),0)+IF(AND(Projects!$G$42="Yes",Projects!$X$42="Yes",Projects!$M$42="Yes",17&gt;=Projects!$C$42,17&lt;Projects!$C$42+Projects!$D$42),Projects!$B$42*INDEX(Curves!$B$4:$AR$4,1,17-Projects!$C$42+1),0)+IF(AND(Projects!$G$43="Yes",Projects!$X$43="Yes",Projects!$M$43="Yes",17&gt;=Projects!$C$43,17&lt;Projects!$C$43+Projects!$D$43),Projects!$B$43*INDEX(Curves!$B$4:$AR$4,1,17-Projects!$C$43+1),0)+IF(AND(Projects!$G$44="Yes",Projects!$X$44="Yes",Projects!$M$44="Yes",17&gt;=Projects!$C$44,17&lt;Projects!$C$44+Projects!$D$44),Projects!$B$44*INDEX(Curves!$B$4:$AR$4,1,17-Projects!$C$44+1),0)+IF(AND(Projects!$G$45="Yes",Projects!$X$45="Yes",Projects!$M$45="Yes",17&gt;=Projects!$C$45,17&lt;Projects!$C$45+Projects!$D$45),Projects!$B$45*INDEX(Curves!$B$4:$AR$4,1,17-Projects!$C$45+1),0)+IF(AND(Projects!$G$46="Yes",Projects!$X$46="Yes",Projects!$M$46="Yes",17&gt;=Projects!$C$46,17&lt;Projects!$C$46+Projects!$D$46),Projects!$B$46*INDEX(Curves!$B$4:$AR$4,1,17-Projects!$C$46+1),0)</f>
        <v>0</v>
      </c>
      <c r="W101" s="298" t="n">
        <f aca="false">IF(AND(Projects!$G$17="Yes",Projects!$X$17="Yes",Projects!$M$17="Yes",18&gt;=Projects!$C$17,18&lt;Projects!$C$17+Projects!$D$17),Projects!$B$17*INDEX(Curves!$B$4:$AR$4,1,18-Projects!$C$17+1),0)+IF(AND(Projects!$G$18="Yes",Projects!$X$18="Yes",Projects!$M$18="Yes",18&gt;=Projects!$C$18,18&lt;Projects!$C$18+Projects!$D$18),Projects!$B$18*INDEX(Curves!$B$4:$AR$4,1,18-Projects!$C$18+1),0)+IF(AND(Projects!$G$19="Yes",Projects!$X$19="Yes",Projects!$M$19="Yes",18&gt;=Projects!$C$19,18&lt;Projects!$C$19+Projects!$D$19),Projects!$B$19*INDEX(Curves!$B$10:$AR$10,1,18-Projects!$C$19+1),0)+IF(AND(Projects!$G$20="Yes",Projects!$X$20="Yes",Projects!$M$20="Yes",18&gt;=Projects!$C$20,18&lt;Projects!$C$20+Projects!$D$20),Projects!$B$20*INDEX(Curves!$B$4:$AR$4,1,18-Projects!$C$20+1),0)+IF(AND(Projects!$G$21="Yes",Projects!$X$21="Yes",Projects!$M$21="Yes",18&gt;=Projects!$C$21,18&lt;Projects!$C$21+Projects!$D$21),Projects!$B$21*INDEX(Curves!$B$11:$AR$11,1,18-Projects!$C$21+1),0)+IF(AND(Projects!$G$22="Yes",Projects!$X$22="Yes",Projects!$M$22="Yes",18&gt;=Projects!$C$22,18&lt;Projects!$C$22+Projects!$D$22),Projects!$B$22*INDEX(Curves!$B$4:$AR$4,1,18-Projects!$C$22+1),0)+IF(AND(Projects!$G$23="Yes",Projects!$X$23="Yes",Projects!$M$23="Yes",18&gt;=Projects!$C$23,18&lt;Projects!$C$23+Projects!$D$23),Projects!$B$23*INDEX(Curves!$B$4:$AR$4,1,18-Projects!$C$23+1),0)+IF(AND(Projects!$G$24="Yes",Projects!$X$24="Yes",Projects!$M$24="Yes",18&gt;=Projects!$C$24,18&lt;Projects!$C$24+Projects!$D$24),Projects!$B$24*INDEX(Curves!$B$4:$AR$4,1,18-Projects!$C$24+1),0)+IF(AND(Projects!$G$25="Yes",Projects!$X$25="Yes",Projects!$M$25="Yes",18&gt;=Projects!$C$25,18&lt;Projects!$C$25+Projects!$D$25),Projects!$B$25*INDEX(Curves!$B$4:$AR$4,1,18-Projects!$C$25+1),0)+IF(AND(Projects!$G$26="Yes",Projects!$X$26="Yes",Projects!$M$26="Yes",18&gt;=Projects!$C$26,18&lt;Projects!$C$26+Projects!$D$26),Projects!$B$26*INDEX(Curves!$B$4:$AR$4,1,18-Projects!$C$26+1),0)+IF(AND(Projects!$G$27="Yes",Projects!$X$27="Yes",Projects!$M$27="Yes",18&gt;=Projects!$C$27,18&lt;Projects!$C$27+Projects!$D$27),Projects!$B$27*INDEX(Curves!$B$4:$AR$4,1,18-Projects!$C$27+1),0)+IF(AND(Projects!$G$28="Yes",Projects!$X$28="Yes",Projects!$M$28="Yes",18&gt;=Projects!$C$28,18&lt;Projects!$C$28+Projects!$D$28),Projects!$B$28*INDEX(Curves!$B$4:$AR$4,1,18-Projects!$C$28+1),0)+IF(AND(Projects!$G$29="Yes",Projects!$X$29="Yes",Projects!$M$29="Yes",18&gt;=Projects!$C$29,18&lt;Projects!$C$29+Projects!$D$29),Projects!$B$29*INDEX(Curves!$B$4:$AR$4,1,18-Projects!$C$29+1),0)+IF(AND(Projects!$G$30="Yes",Projects!$X$30="Yes",Projects!$M$30="Yes",18&gt;=Projects!$C$30,18&lt;Projects!$C$30+Projects!$D$30),Projects!$B$30*INDEX(Curves!$B$4:$AR$4,1,18-Projects!$C$30+1),0)+IF(AND(Projects!$G$31="Yes",Projects!$X$31="Yes",Projects!$M$31="Yes",18&gt;=Projects!$C$31,18&lt;Projects!$C$31+Projects!$D$31),Projects!$B$31*INDEX(Curves!$B$4:$AR$4,1,18-Projects!$C$31+1),0)+IF(AND(Projects!$G$32="Yes",Projects!$X$32="Yes",Projects!$M$32="Yes",18&gt;=Projects!$C$32,18&lt;Projects!$C$32+Projects!$D$32),Projects!$B$32*INDEX(Curves!$B$4:$AR$4,1,18-Projects!$C$32+1),0)+IF(AND(Projects!$G$33="Yes",Projects!$X$33="Yes",Projects!$M$33="Yes",18&gt;=Projects!$C$33,18&lt;Projects!$C$33+Projects!$D$33),Projects!$B$33*INDEX(Curves!$B$4:$AR$4,1,18-Projects!$C$33+1),0)+IF(AND(Projects!$G$34="Yes",Projects!$X$34="Yes",Projects!$M$34="Yes",18&gt;=Projects!$C$34,18&lt;Projects!$C$34+Projects!$D$34),Projects!$B$34*INDEX(Curves!$B$4:$AR$4,1,18-Projects!$C$34+1),0)+IF(AND(Projects!$G$35="Yes",Projects!$X$35="Yes",Projects!$M$35="Yes",18&gt;=Projects!$C$35,18&lt;Projects!$C$35+Projects!$D$35),Projects!$B$35*INDEX(Curves!$B$4:$AR$4,1,18-Projects!$C$35+1),0)+IF(AND(Projects!$G$36="Yes",Projects!$X$36="Yes",Projects!$M$36="Yes",18&gt;=Projects!$C$36,18&lt;Projects!$C$36+Projects!$D$36),Projects!$B$36*INDEX(Curves!$B$4:$AR$4,1,18-Projects!$C$36+1),0)+IF(AND(Projects!$G$37="Yes",Projects!$X$37="Yes",Projects!$M$37="Yes",18&gt;=Projects!$C$37,18&lt;Projects!$C$37+Projects!$D$37),Projects!$B$37*INDEX(Curves!$B$4:$AR$4,1,18-Projects!$C$37+1),0)+IF(AND(Projects!$G$38="Yes",Projects!$X$38="Yes",Projects!$M$38="Yes",18&gt;=Projects!$C$38,18&lt;Projects!$C$38+Projects!$D$38),Projects!$B$38*INDEX(Curves!$B$4:$AR$4,1,18-Projects!$C$38+1),0)+IF(AND(Projects!$G$39="Yes",Projects!$X$39="Yes",Projects!$M$39="Yes",18&gt;=Projects!$C$39,18&lt;Projects!$C$39+Projects!$D$39),Projects!$B$39*INDEX(Curves!$B$4:$AR$4,1,18-Projects!$C$39+1),0)+IF(AND(Projects!$G$40="Yes",Projects!$X$40="Yes",Projects!$M$40="Yes",18&gt;=Projects!$C$40,18&lt;Projects!$C$40+Projects!$D$40),Projects!$B$40*INDEX(Curves!$B$4:$AR$4,1,18-Projects!$C$40+1),0)+IF(AND(Projects!$G$41="Yes",Projects!$X$41="Yes",Projects!$M$41="Yes",18&gt;=Projects!$C$41,18&lt;Projects!$C$41+Projects!$D$41),Projects!$B$41*INDEX(Curves!$B$4:$AR$4,1,18-Projects!$C$41+1),0)+IF(AND(Projects!$G$42="Yes",Projects!$X$42="Yes",Projects!$M$42="Yes",18&gt;=Projects!$C$42,18&lt;Projects!$C$42+Projects!$D$42),Projects!$B$42*INDEX(Curves!$B$4:$AR$4,1,18-Projects!$C$42+1),0)+IF(AND(Projects!$G$43="Yes",Projects!$X$43="Yes",Projects!$M$43="Yes",18&gt;=Projects!$C$43,18&lt;Projects!$C$43+Projects!$D$43),Projects!$B$43*INDEX(Curves!$B$4:$AR$4,1,18-Projects!$C$43+1),0)+IF(AND(Projects!$G$44="Yes",Projects!$X$44="Yes",Projects!$M$44="Yes",18&gt;=Projects!$C$44,18&lt;Projects!$C$44+Projects!$D$44),Projects!$B$44*INDEX(Curves!$B$4:$AR$4,1,18-Projects!$C$44+1),0)+IF(AND(Projects!$G$45="Yes",Projects!$X$45="Yes",Projects!$M$45="Yes",18&gt;=Projects!$C$45,18&lt;Projects!$C$45+Projects!$D$45),Projects!$B$45*INDEX(Curves!$B$4:$AR$4,1,18-Projects!$C$45+1),0)+IF(AND(Projects!$G$46="Yes",Projects!$X$46="Yes",Projects!$M$46="Yes",18&gt;=Projects!$C$46,18&lt;Projects!$C$46+Projects!$D$46),Projects!$B$46*INDEX(Curves!$B$4:$AR$4,1,18-Projects!$C$46+1),0)</f>
        <v>0</v>
      </c>
      <c r="X101" s="298" t="n">
        <f aca="false">IF(AND(Projects!$G$17="Yes",Projects!$X$17="Yes",Projects!$M$17="Yes",19&gt;=Projects!$C$17,19&lt;Projects!$C$17+Projects!$D$17),Projects!$B$17*INDEX(Curves!$B$4:$AR$4,1,19-Projects!$C$17+1),0)+IF(AND(Projects!$G$18="Yes",Projects!$X$18="Yes",Projects!$M$18="Yes",19&gt;=Projects!$C$18,19&lt;Projects!$C$18+Projects!$D$18),Projects!$B$18*INDEX(Curves!$B$4:$AR$4,1,19-Projects!$C$18+1),0)+IF(AND(Projects!$G$19="Yes",Projects!$X$19="Yes",Projects!$M$19="Yes",19&gt;=Projects!$C$19,19&lt;Projects!$C$19+Projects!$D$19),Projects!$B$19*INDEX(Curves!$B$10:$AR$10,1,19-Projects!$C$19+1),0)+IF(AND(Projects!$G$20="Yes",Projects!$X$20="Yes",Projects!$M$20="Yes",19&gt;=Projects!$C$20,19&lt;Projects!$C$20+Projects!$D$20),Projects!$B$20*INDEX(Curves!$B$4:$AR$4,1,19-Projects!$C$20+1),0)+IF(AND(Projects!$G$21="Yes",Projects!$X$21="Yes",Projects!$M$21="Yes",19&gt;=Projects!$C$21,19&lt;Projects!$C$21+Projects!$D$21),Projects!$B$21*INDEX(Curves!$B$11:$AR$11,1,19-Projects!$C$21+1),0)+IF(AND(Projects!$G$22="Yes",Projects!$X$22="Yes",Projects!$M$22="Yes",19&gt;=Projects!$C$22,19&lt;Projects!$C$22+Projects!$D$22),Projects!$B$22*INDEX(Curves!$B$4:$AR$4,1,19-Projects!$C$22+1),0)+IF(AND(Projects!$G$23="Yes",Projects!$X$23="Yes",Projects!$M$23="Yes",19&gt;=Projects!$C$23,19&lt;Projects!$C$23+Projects!$D$23),Projects!$B$23*INDEX(Curves!$B$4:$AR$4,1,19-Projects!$C$23+1),0)+IF(AND(Projects!$G$24="Yes",Projects!$X$24="Yes",Projects!$M$24="Yes",19&gt;=Projects!$C$24,19&lt;Projects!$C$24+Projects!$D$24),Projects!$B$24*INDEX(Curves!$B$4:$AR$4,1,19-Projects!$C$24+1),0)+IF(AND(Projects!$G$25="Yes",Projects!$X$25="Yes",Projects!$M$25="Yes",19&gt;=Projects!$C$25,19&lt;Projects!$C$25+Projects!$D$25),Projects!$B$25*INDEX(Curves!$B$4:$AR$4,1,19-Projects!$C$25+1),0)+IF(AND(Projects!$G$26="Yes",Projects!$X$26="Yes",Projects!$M$26="Yes",19&gt;=Projects!$C$26,19&lt;Projects!$C$26+Projects!$D$26),Projects!$B$26*INDEX(Curves!$B$4:$AR$4,1,19-Projects!$C$26+1),0)+IF(AND(Projects!$G$27="Yes",Projects!$X$27="Yes",Projects!$M$27="Yes",19&gt;=Projects!$C$27,19&lt;Projects!$C$27+Projects!$D$27),Projects!$B$27*INDEX(Curves!$B$4:$AR$4,1,19-Projects!$C$27+1),0)+IF(AND(Projects!$G$28="Yes",Projects!$X$28="Yes",Projects!$M$28="Yes",19&gt;=Projects!$C$28,19&lt;Projects!$C$28+Projects!$D$28),Projects!$B$28*INDEX(Curves!$B$4:$AR$4,1,19-Projects!$C$28+1),0)+IF(AND(Projects!$G$29="Yes",Projects!$X$29="Yes",Projects!$M$29="Yes",19&gt;=Projects!$C$29,19&lt;Projects!$C$29+Projects!$D$29),Projects!$B$29*INDEX(Curves!$B$4:$AR$4,1,19-Projects!$C$29+1),0)+IF(AND(Projects!$G$30="Yes",Projects!$X$30="Yes",Projects!$M$30="Yes",19&gt;=Projects!$C$30,19&lt;Projects!$C$30+Projects!$D$30),Projects!$B$30*INDEX(Curves!$B$4:$AR$4,1,19-Projects!$C$30+1),0)+IF(AND(Projects!$G$31="Yes",Projects!$X$31="Yes",Projects!$M$31="Yes",19&gt;=Projects!$C$31,19&lt;Projects!$C$31+Projects!$D$31),Projects!$B$31*INDEX(Curves!$B$4:$AR$4,1,19-Projects!$C$31+1),0)+IF(AND(Projects!$G$32="Yes",Projects!$X$32="Yes",Projects!$M$32="Yes",19&gt;=Projects!$C$32,19&lt;Projects!$C$32+Projects!$D$32),Projects!$B$32*INDEX(Curves!$B$4:$AR$4,1,19-Projects!$C$32+1),0)+IF(AND(Projects!$G$33="Yes",Projects!$X$33="Yes",Projects!$M$33="Yes",19&gt;=Projects!$C$33,19&lt;Projects!$C$33+Projects!$D$33),Projects!$B$33*INDEX(Curves!$B$4:$AR$4,1,19-Projects!$C$33+1),0)+IF(AND(Projects!$G$34="Yes",Projects!$X$34="Yes",Projects!$M$34="Yes",19&gt;=Projects!$C$34,19&lt;Projects!$C$34+Projects!$D$34),Projects!$B$34*INDEX(Curves!$B$4:$AR$4,1,19-Projects!$C$34+1),0)+IF(AND(Projects!$G$35="Yes",Projects!$X$35="Yes",Projects!$M$35="Yes",19&gt;=Projects!$C$35,19&lt;Projects!$C$35+Projects!$D$35),Projects!$B$35*INDEX(Curves!$B$4:$AR$4,1,19-Projects!$C$35+1),0)+IF(AND(Projects!$G$36="Yes",Projects!$X$36="Yes",Projects!$M$36="Yes",19&gt;=Projects!$C$36,19&lt;Projects!$C$36+Projects!$D$36),Projects!$B$36*INDEX(Curves!$B$4:$AR$4,1,19-Projects!$C$36+1),0)+IF(AND(Projects!$G$37="Yes",Projects!$X$37="Yes",Projects!$M$37="Yes",19&gt;=Projects!$C$37,19&lt;Projects!$C$37+Projects!$D$37),Projects!$B$37*INDEX(Curves!$B$4:$AR$4,1,19-Projects!$C$37+1),0)+IF(AND(Projects!$G$38="Yes",Projects!$X$38="Yes",Projects!$M$38="Yes",19&gt;=Projects!$C$38,19&lt;Projects!$C$38+Projects!$D$38),Projects!$B$38*INDEX(Curves!$B$4:$AR$4,1,19-Projects!$C$38+1),0)+IF(AND(Projects!$G$39="Yes",Projects!$X$39="Yes",Projects!$M$39="Yes",19&gt;=Projects!$C$39,19&lt;Projects!$C$39+Projects!$D$39),Projects!$B$39*INDEX(Curves!$B$4:$AR$4,1,19-Projects!$C$39+1),0)+IF(AND(Projects!$G$40="Yes",Projects!$X$40="Yes",Projects!$M$40="Yes",19&gt;=Projects!$C$40,19&lt;Projects!$C$40+Projects!$D$40),Projects!$B$40*INDEX(Curves!$B$4:$AR$4,1,19-Projects!$C$40+1),0)+IF(AND(Projects!$G$41="Yes",Projects!$X$41="Yes",Projects!$M$41="Yes",19&gt;=Projects!$C$41,19&lt;Projects!$C$41+Projects!$D$41),Projects!$B$41*INDEX(Curves!$B$4:$AR$4,1,19-Projects!$C$41+1),0)+IF(AND(Projects!$G$42="Yes",Projects!$X$42="Yes",Projects!$M$42="Yes",19&gt;=Projects!$C$42,19&lt;Projects!$C$42+Projects!$D$42),Projects!$B$42*INDEX(Curves!$B$4:$AR$4,1,19-Projects!$C$42+1),0)+IF(AND(Projects!$G$43="Yes",Projects!$X$43="Yes",Projects!$M$43="Yes",19&gt;=Projects!$C$43,19&lt;Projects!$C$43+Projects!$D$43),Projects!$B$43*INDEX(Curves!$B$4:$AR$4,1,19-Projects!$C$43+1),0)+IF(AND(Projects!$G$44="Yes",Projects!$X$44="Yes",Projects!$M$44="Yes",19&gt;=Projects!$C$44,19&lt;Projects!$C$44+Projects!$D$44),Projects!$B$44*INDEX(Curves!$B$4:$AR$4,1,19-Projects!$C$44+1),0)+IF(AND(Projects!$G$45="Yes",Projects!$X$45="Yes",Projects!$M$45="Yes",19&gt;=Projects!$C$45,19&lt;Projects!$C$45+Projects!$D$45),Projects!$B$45*INDEX(Curves!$B$4:$AR$4,1,19-Projects!$C$45+1),0)+IF(AND(Projects!$G$46="Yes",Projects!$X$46="Yes",Projects!$M$46="Yes",19&gt;=Projects!$C$46,19&lt;Projects!$C$46+Projects!$D$46),Projects!$B$46*INDEX(Curves!$B$4:$AR$4,1,19-Projects!$C$46+1),0)</f>
        <v>0</v>
      </c>
      <c r="Y101" s="298" t="n">
        <f aca="false">IF(AND(Projects!$G$17="Yes",Projects!$X$17="Yes",Projects!$M$17="Yes",20&gt;=Projects!$C$17,20&lt;Projects!$C$17+Projects!$D$17),Projects!$B$17*INDEX(Curves!$B$4:$AR$4,1,20-Projects!$C$17+1),0)+IF(AND(Projects!$G$18="Yes",Projects!$X$18="Yes",Projects!$M$18="Yes",20&gt;=Projects!$C$18,20&lt;Projects!$C$18+Projects!$D$18),Projects!$B$18*INDEX(Curves!$B$4:$AR$4,1,20-Projects!$C$18+1),0)+IF(AND(Projects!$G$19="Yes",Projects!$X$19="Yes",Projects!$M$19="Yes",20&gt;=Projects!$C$19,20&lt;Projects!$C$19+Projects!$D$19),Projects!$B$19*INDEX(Curves!$B$10:$AR$10,1,20-Projects!$C$19+1),0)+IF(AND(Projects!$G$20="Yes",Projects!$X$20="Yes",Projects!$M$20="Yes",20&gt;=Projects!$C$20,20&lt;Projects!$C$20+Projects!$D$20),Projects!$B$20*INDEX(Curves!$B$4:$AR$4,1,20-Projects!$C$20+1),0)+IF(AND(Projects!$G$21="Yes",Projects!$X$21="Yes",Projects!$M$21="Yes",20&gt;=Projects!$C$21,20&lt;Projects!$C$21+Projects!$D$21),Projects!$B$21*INDEX(Curves!$B$11:$AR$11,1,20-Projects!$C$21+1),0)+IF(AND(Projects!$G$22="Yes",Projects!$X$22="Yes",Projects!$M$22="Yes",20&gt;=Projects!$C$22,20&lt;Projects!$C$22+Projects!$D$22),Projects!$B$22*INDEX(Curves!$B$4:$AR$4,1,20-Projects!$C$22+1),0)+IF(AND(Projects!$G$23="Yes",Projects!$X$23="Yes",Projects!$M$23="Yes",20&gt;=Projects!$C$23,20&lt;Projects!$C$23+Projects!$D$23),Projects!$B$23*INDEX(Curves!$B$4:$AR$4,1,20-Projects!$C$23+1),0)+IF(AND(Projects!$G$24="Yes",Projects!$X$24="Yes",Projects!$M$24="Yes",20&gt;=Projects!$C$24,20&lt;Projects!$C$24+Projects!$D$24),Projects!$B$24*INDEX(Curves!$B$4:$AR$4,1,20-Projects!$C$24+1),0)+IF(AND(Projects!$G$25="Yes",Projects!$X$25="Yes",Projects!$M$25="Yes",20&gt;=Projects!$C$25,20&lt;Projects!$C$25+Projects!$D$25),Projects!$B$25*INDEX(Curves!$B$4:$AR$4,1,20-Projects!$C$25+1),0)+IF(AND(Projects!$G$26="Yes",Projects!$X$26="Yes",Projects!$M$26="Yes",20&gt;=Projects!$C$26,20&lt;Projects!$C$26+Projects!$D$26),Projects!$B$26*INDEX(Curves!$B$4:$AR$4,1,20-Projects!$C$26+1),0)+IF(AND(Projects!$G$27="Yes",Projects!$X$27="Yes",Projects!$M$27="Yes",20&gt;=Projects!$C$27,20&lt;Projects!$C$27+Projects!$D$27),Projects!$B$27*INDEX(Curves!$B$4:$AR$4,1,20-Projects!$C$27+1),0)+IF(AND(Projects!$G$28="Yes",Projects!$X$28="Yes",Projects!$M$28="Yes",20&gt;=Projects!$C$28,20&lt;Projects!$C$28+Projects!$D$28),Projects!$B$28*INDEX(Curves!$B$4:$AR$4,1,20-Projects!$C$28+1),0)+IF(AND(Projects!$G$29="Yes",Projects!$X$29="Yes",Projects!$M$29="Yes",20&gt;=Projects!$C$29,20&lt;Projects!$C$29+Projects!$D$29),Projects!$B$29*INDEX(Curves!$B$4:$AR$4,1,20-Projects!$C$29+1),0)+IF(AND(Projects!$G$30="Yes",Projects!$X$30="Yes",Projects!$M$30="Yes",20&gt;=Projects!$C$30,20&lt;Projects!$C$30+Projects!$D$30),Projects!$B$30*INDEX(Curves!$B$4:$AR$4,1,20-Projects!$C$30+1),0)+IF(AND(Projects!$G$31="Yes",Projects!$X$31="Yes",Projects!$M$31="Yes",20&gt;=Projects!$C$31,20&lt;Projects!$C$31+Projects!$D$31),Projects!$B$31*INDEX(Curves!$B$4:$AR$4,1,20-Projects!$C$31+1),0)+IF(AND(Projects!$G$32="Yes",Projects!$X$32="Yes",Projects!$M$32="Yes",20&gt;=Projects!$C$32,20&lt;Projects!$C$32+Projects!$D$32),Projects!$B$32*INDEX(Curves!$B$4:$AR$4,1,20-Projects!$C$32+1),0)+IF(AND(Projects!$G$33="Yes",Projects!$X$33="Yes",Projects!$M$33="Yes",20&gt;=Projects!$C$33,20&lt;Projects!$C$33+Projects!$D$33),Projects!$B$33*INDEX(Curves!$B$4:$AR$4,1,20-Projects!$C$33+1),0)+IF(AND(Projects!$G$34="Yes",Projects!$X$34="Yes",Projects!$M$34="Yes",20&gt;=Projects!$C$34,20&lt;Projects!$C$34+Projects!$D$34),Projects!$B$34*INDEX(Curves!$B$4:$AR$4,1,20-Projects!$C$34+1),0)+IF(AND(Projects!$G$35="Yes",Projects!$X$35="Yes",Projects!$M$35="Yes",20&gt;=Projects!$C$35,20&lt;Projects!$C$35+Projects!$D$35),Projects!$B$35*INDEX(Curves!$B$4:$AR$4,1,20-Projects!$C$35+1),0)+IF(AND(Projects!$G$36="Yes",Projects!$X$36="Yes",Projects!$M$36="Yes",20&gt;=Projects!$C$36,20&lt;Projects!$C$36+Projects!$D$36),Projects!$B$36*INDEX(Curves!$B$4:$AR$4,1,20-Projects!$C$36+1),0)+IF(AND(Projects!$G$37="Yes",Projects!$X$37="Yes",Projects!$M$37="Yes",20&gt;=Projects!$C$37,20&lt;Projects!$C$37+Projects!$D$37),Projects!$B$37*INDEX(Curves!$B$4:$AR$4,1,20-Projects!$C$37+1),0)+IF(AND(Projects!$G$38="Yes",Projects!$X$38="Yes",Projects!$M$38="Yes",20&gt;=Projects!$C$38,20&lt;Projects!$C$38+Projects!$D$38),Projects!$B$38*INDEX(Curves!$B$4:$AR$4,1,20-Projects!$C$38+1),0)+IF(AND(Projects!$G$39="Yes",Projects!$X$39="Yes",Projects!$M$39="Yes",20&gt;=Projects!$C$39,20&lt;Projects!$C$39+Projects!$D$39),Projects!$B$39*INDEX(Curves!$B$4:$AR$4,1,20-Projects!$C$39+1),0)+IF(AND(Projects!$G$40="Yes",Projects!$X$40="Yes",Projects!$M$40="Yes",20&gt;=Projects!$C$40,20&lt;Projects!$C$40+Projects!$D$40),Projects!$B$40*INDEX(Curves!$B$4:$AR$4,1,20-Projects!$C$40+1),0)+IF(AND(Projects!$G$41="Yes",Projects!$X$41="Yes",Projects!$M$41="Yes",20&gt;=Projects!$C$41,20&lt;Projects!$C$41+Projects!$D$41),Projects!$B$41*INDEX(Curves!$B$4:$AR$4,1,20-Projects!$C$41+1),0)+IF(AND(Projects!$G$42="Yes",Projects!$X$42="Yes",Projects!$M$42="Yes",20&gt;=Projects!$C$42,20&lt;Projects!$C$42+Projects!$D$42),Projects!$B$42*INDEX(Curves!$B$4:$AR$4,1,20-Projects!$C$42+1),0)+IF(AND(Projects!$G$43="Yes",Projects!$X$43="Yes",Projects!$M$43="Yes",20&gt;=Projects!$C$43,20&lt;Projects!$C$43+Projects!$D$43),Projects!$B$43*INDEX(Curves!$B$4:$AR$4,1,20-Projects!$C$43+1),0)+IF(AND(Projects!$G$44="Yes",Projects!$X$44="Yes",Projects!$M$44="Yes",20&gt;=Projects!$C$44,20&lt;Projects!$C$44+Projects!$D$44),Projects!$B$44*INDEX(Curves!$B$4:$AR$4,1,20-Projects!$C$44+1),0)+IF(AND(Projects!$G$45="Yes",Projects!$X$45="Yes",Projects!$M$45="Yes",20&gt;=Projects!$C$45,20&lt;Projects!$C$45+Projects!$D$45),Projects!$B$45*INDEX(Curves!$B$4:$AR$4,1,20-Projects!$C$45+1),0)+IF(AND(Projects!$G$46="Yes",Projects!$X$46="Yes",Projects!$M$46="Yes",20&gt;=Projects!$C$46,20&lt;Projects!$C$46+Projects!$D$46),Projects!$B$46*INDEX(Curves!$B$4:$AR$4,1,20-Projects!$C$46+1),0)</f>
        <v>0</v>
      </c>
      <c r="Z101" s="298" t="n">
        <f aca="false">IF(AND(Projects!$G$17="Yes",Projects!$X$17="Yes",Projects!$M$17="Yes",21&gt;=Projects!$C$17,21&lt;Projects!$C$17+Projects!$D$17),Projects!$B$17*INDEX(Curves!$B$4:$AR$4,1,21-Projects!$C$17+1),0)+IF(AND(Projects!$G$18="Yes",Projects!$X$18="Yes",Projects!$M$18="Yes",21&gt;=Projects!$C$18,21&lt;Projects!$C$18+Projects!$D$18),Projects!$B$18*INDEX(Curves!$B$4:$AR$4,1,21-Projects!$C$18+1),0)+IF(AND(Projects!$G$19="Yes",Projects!$X$19="Yes",Projects!$M$19="Yes",21&gt;=Projects!$C$19,21&lt;Projects!$C$19+Projects!$D$19),Projects!$B$19*INDEX(Curves!$B$10:$AR$10,1,21-Projects!$C$19+1),0)+IF(AND(Projects!$G$20="Yes",Projects!$X$20="Yes",Projects!$M$20="Yes",21&gt;=Projects!$C$20,21&lt;Projects!$C$20+Projects!$D$20),Projects!$B$20*INDEX(Curves!$B$4:$AR$4,1,21-Projects!$C$20+1),0)+IF(AND(Projects!$G$21="Yes",Projects!$X$21="Yes",Projects!$M$21="Yes",21&gt;=Projects!$C$21,21&lt;Projects!$C$21+Projects!$D$21),Projects!$B$21*INDEX(Curves!$B$11:$AR$11,1,21-Projects!$C$21+1),0)+IF(AND(Projects!$G$22="Yes",Projects!$X$22="Yes",Projects!$M$22="Yes",21&gt;=Projects!$C$22,21&lt;Projects!$C$22+Projects!$D$22),Projects!$B$22*INDEX(Curves!$B$4:$AR$4,1,21-Projects!$C$22+1),0)+IF(AND(Projects!$G$23="Yes",Projects!$X$23="Yes",Projects!$M$23="Yes",21&gt;=Projects!$C$23,21&lt;Projects!$C$23+Projects!$D$23),Projects!$B$23*INDEX(Curves!$B$4:$AR$4,1,21-Projects!$C$23+1),0)+IF(AND(Projects!$G$24="Yes",Projects!$X$24="Yes",Projects!$M$24="Yes",21&gt;=Projects!$C$24,21&lt;Projects!$C$24+Projects!$D$24),Projects!$B$24*INDEX(Curves!$B$4:$AR$4,1,21-Projects!$C$24+1),0)+IF(AND(Projects!$G$25="Yes",Projects!$X$25="Yes",Projects!$M$25="Yes",21&gt;=Projects!$C$25,21&lt;Projects!$C$25+Projects!$D$25),Projects!$B$25*INDEX(Curves!$B$4:$AR$4,1,21-Projects!$C$25+1),0)+IF(AND(Projects!$G$26="Yes",Projects!$X$26="Yes",Projects!$M$26="Yes",21&gt;=Projects!$C$26,21&lt;Projects!$C$26+Projects!$D$26),Projects!$B$26*INDEX(Curves!$B$4:$AR$4,1,21-Projects!$C$26+1),0)+IF(AND(Projects!$G$27="Yes",Projects!$X$27="Yes",Projects!$M$27="Yes",21&gt;=Projects!$C$27,21&lt;Projects!$C$27+Projects!$D$27),Projects!$B$27*INDEX(Curves!$B$4:$AR$4,1,21-Projects!$C$27+1),0)+IF(AND(Projects!$G$28="Yes",Projects!$X$28="Yes",Projects!$M$28="Yes",21&gt;=Projects!$C$28,21&lt;Projects!$C$28+Projects!$D$28),Projects!$B$28*INDEX(Curves!$B$4:$AR$4,1,21-Projects!$C$28+1),0)+IF(AND(Projects!$G$29="Yes",Projects!$X$29="Yes",Projects!$M$29="Yes",21&gt;=Projects!$C$29,21&lt;Projects!$C$29+Projects!$D$29),Projects!$B$29*INDEX(Curves!$B$4:$AR$4,1,21-Projects!$C$29+1),0)+IF(AND(Projects!$G$30="Yes",Projects!$X$30="Yes",Projects!$M$30="Yes",21&gt;=Projects!$C$30,21&lt;Projects!$C$30+Projects!$D$30),Projects!$B$30*INDEX(Curves!$B$4:$AR$4,1,21-Projects!$C$30+1),0)+IF(AND(Projects!$G$31="Yes",Projects!$X$31="Yes",Projects!$M$31="Yes",21&gt;=Projects!$C$31,21&lt;Projects!$C$31+Projects!$D$31),Projects!$B$31*INDEX(Curves!$B$4:$AR$4,1,21-Projects!$C$31+1),0)+IF(AND(Projects!$G$32="Yes",Projects!$X$32="Yes",Projects!$M$32="Yes",21&gt;=Projects!$C$32,21&lt;Projects!$C$32+Projects!$D$32),Projects!$B$32*INDEX(Curves!$B$4:$AR$4,1,21-Projects!$C$32+1),0)+IF(AND(Projects!$G$33="Yes",Projects!$X$33="Yes",Projects!$M$33="Yes",21&gt;=Projects!$C$33,21&lt;Projects!$C$33+Projects!$D$33),Projects!$B$33*INDEX(Curves!$B$4:$AR$4,1,21-Projects!$C$33+1),0)+IF(AND(Projects!$G$34="Yes",Projects!$X$34="Yes",Projects!$M$34="Yes",21&gt;=Projects!$C$34,21&lt;Projects!$C$34+Projects!$D$34),Projects!$B$34*INDEX(Curves!$B$4:$AR$4,1,21-Projects!$C$34+1),0)+IF(AND(Projects!$G$35="Yes",Projects!$X$35="Yes",Projects!$M$35="Yes",21&gt;=Projects!$C$35,21&lt;Projects!$C$35+Projects!$D$35),Projects!$B$35*INDEX(Curves!$B$4:$AR$4,1,21-Projects!$C$35+1),0)+IF(AND(Projects!$G$36="Yes",Projects!$X$36="Yes",Projects!$M$36="Yes",21&gt;=Projects!$C$36,21&lt;Projects!$C$36+Projects!$D$36),Projects!$B$36*INDEX(Curves!$B$4:$AR$4,1,21-Projects!$C$36+1),0)+IF(AND(Projects!$G$37="Yes",Projects!$X$37="Yes",Projects!$M$37="Yes",21&gt;=Projects!$C$37,21&lt;Projects!$C$37+Projects!$D$37),Projects!$B$37*INDEX(Curves!$B$4:$AR$4,1,21-Projects!$C$37+1),0)+IF(AND(Projects!$G$38="Yes",Projects!$X$38="Yes",Projects!$M$38="Yes",21&gt;=Projects!$C$38,21&lt;Projects!$C$38+Projects!$D$38),Projects!$B$38*INDEX(Curves!$B$4:$AR$4,1,21-Projects!$C$38+1),0)+IF(AND(Projects!$G$39="Yes",Projects!$X$39="Yes",Projects!$M$39="Yes",21&gt;=Projects!$C$39,21&lt;Projects!$C$39+Projects!$D$39),Projects!$B$39*INDEX(Curves!$B$4:$AR$4,1,21-Projects!$C$39+1),0)+IF(AND(Projects!$G$40="Yes",Projects!$X$40="Yes",Projects!$M$40="Yes",21&gt;=Projects!$C$40,21&lt;Projects!$C$40+Projects!$D$40),Projects!$B$40*INDEX(Curves!$B$4:$AR$4,1,21-Projects!$C$40+1),0)+IF(AND(Projects!$G$41="Yes",Projects!$X$41="Yes",Projects!$M$41="Yes",21&gt;=Projects!$C$41,21&lt;Projects!$C$41+Projects!$D$41),Projects!$B$41*INDEX(Curves!$B$4:$AR$4,1,21-Projects!$C$41+1),0)+IF(AND(Projects!$G$42="Yes",Projects!$X$42="Yes",Projects!$M$42="Yes",21&gt;=Projects!$C$42,21&lt;Projects!$C$42+Projects!$D$42),Projects!$B$42*INDEX(Curves!$B$4:$AR$4,1,21-Projects!$C$42+1),0)+IF(AND(Projects!$G$43="Yes",Projects!$X$43="Yes",Projects!$M$43="Yes",21&gt;=Projects!$C$43,21&lt;Projects!$C$43+Projects!$D$43),Projects!$B$43*INDEX(Curves!$B$4:$AR$4,1,21-Projects!$C$43+1),0)+IF(AND(Projects!$G$44="Yes",Projects!$X$44="Yes",Projects!$M$44="Yes",21&gt;=Projects!$C$44,21&lt;Projects!$C$44+Projects!$D$44),Projects!$B$44*INDEX(Curves!$B$4:$AR$4,1,21-Projects!$C$44+1),0)+IF(AND(Projects!$G$45="Yes",Projects!$X$45="Yes",Projects!$M$45="Yes",21&gt;=Projects!$C$45,21&lt;Projects!$C$45+Projects!$D$45),Projects!$B$45*INDEX(Curves!$B$4:$AR$4,1,21-Projects!$C$45+1),0)+IF(AND(Projects!$G$46="Yes",Projects!$X$46="Yes",Projects!$M$46="Yes",21&gt;=Projects!$C$46,21&lt;Projects!$C$46+Projects!$D$46),Projects!$B$46*INDEX(Curves!$B$4:$AR$4,1,21-Projects!$C$46+1),0)</f>
        <v>0</v>
      </c>
      <c r="AA101" s="298" t="n">
        <f aca="false">IF(AND(Projects!$G$17="Yes",Projects!$X$17="Yes",Projects!$M$17="Yes",22&gt;=Projects!$C$17,22&lt;Projects!$C$17+Projects!$D$17),Projects!$B$17*INDEX(Curves!$B$4:$AR$4,1,22-Projects!$C$17+1),0)+IF(AND(Projects!$G$18="Yes",Projects!$X$18="Yes",Projects!$M$18="Yes",22&gt;=Projects!$C$18,22&lt;Projects!$C$18+Projects!$D$18),Projects!$B$18*INDEX(Curves!$B$4:$AR$4,1,22-Projects!$C$18+1),0)+IF(AND(Projects!$G$19="Yes",Projects!$X$19="Yes",Projects!$M$19="Yes",22&gt;=Projects!$C$19,22&lt;Projects!$C$19+Projects!$D$19),Projects!$B$19*INDEX(Curves!$B$10:$AR$10,1,22-Projects!$C$19+1),0)+IF(AND(Projects!$G$20="Yes",Projects!$X$20="Yes",Projects!$M$20="Yes",22&gt;=Projects!$C$20,22&lt;Projects!$C$20+Projects!$D$20),Projects!$B$20*INDEX(Curves!$B$4:$AR$4,1,22-Projects!$C$20+1),0)+IF(AND(Projects!$G$21="Yes",Projects!$X$21="Yes",Projects!$M$21="Yes",22&gt;=Projects!$C$21,22&lt;Projects!$C$21+Projects!$D$21),Projects!$B$21*INDEX(Curves!$B$11:$AR$11,1,22-Projects!$C$21+1),0)+IF(AND(Projects!$G$22="Yes",Projects!$X$22="Yes",Projects!$M$22="Yes",22&gt;=Projects!$C$22,22&lt;Projects!$C$22+Projects!$D$22),Projects!$B$22*INDEX(Curves!$B$4:$AR$4,1,22-Projects!$C$22+1),0)+IF(AND(Projects!$G$23="Yes",Projects!$X$23="Yes",Projects!$M$23="Yes",22&gt;=Projects!$C$23,22&lt;Projects!$C$23+Projects!$D$23),Projects!$B$23*INDEX(Curves!$B$4:$AR$4,1,22-Projects!$C$23+1),0)+IF(AND(Projects!$G$24="Yes",Projects!$X$24="Yes",Projects!$M$24="Yes",22&gt;=Projects!$C$24,22&lt;Projects!$C$24+Projects!$D$24),Projects!$B$24*INDEX(Curves!$B$4:$AR$4,1,22-Projects!$C$24+1),0)+IF(AND(Projects!$G$25="Yes",Projects!$X$25="Yes",Projects!$M$25="Yes",22&gt;=Projects!$C$25,22&lt;Projects!$C$25+Projects!$D$25),Projects!$B$25*INDEX(Curves!$B$4:$AR$4,1,22-Projects!$C$25+1),0)+IF(AND(Projects!$G$26="Yes",Projects!$X$26="Yes",Projects!$M$26="Yes",22&gt;=Projects!$C$26,22&lt;Projects!$C$26+Projects!$D$26),Projects!$B$26*INDEX(Curves!$B$4:$AR$4,1,22-Projects!$C$26+1),0)+IF(AND(Projects!$G$27="Yes",Projects!$X$27="Yes",Projects!$M$27="Yes",22&gt;=Projects!$C$27,22&lt;Projects!$C$27+Projects!$D$27),Projects!$B$27*INDEX(Curves!$B$4:$AR$4,1,22-Projects!$C$27+1),0)+IF(AND(Projects!$G$28="Yes",Projects!$X$28="Yes",Projects!$M$28="Yes",22&gt;=Projects!$C$28,22&lt;Projects!$C$28+Projects!$D$28),Projects!$B$28*INDEX(Curves!$B$4:$AR$4,1,22-Projects!$C$28+1),0)+IF(AND(Projects!$G$29="Yes",Projects!$X$29="Yes",Projects!$M$29="Yes",22&gt;=Projects!$C$29,22&lt;Projects!$C$29+Projects!$D$29),Projects!$B$29*INDEX(Curves!$B$4:$AR$4,1,22-Projects!$C$29+1),0)+IF(AND(Projects!$G$30="Yes",Projects!$X$30="Yes",Projects!$M$30="Yes",22&gt;=Projects!$C$30,22&lt;Projects!$C$30+Projects!$D$30),Projects!$B$30*INDEX(Curves!$B$4:$AR$4,1,22-Projects!$C$30+1),0)+IF(AND(Projects!$G$31="Yes",Projects!$X$31="Yes",Projects!$M$31="Yes",22&gt;=Projects!$C$31,22&lt;Projects!$C$31+Projects!$D$31),Projects!$B$31*INDEX(Curves!$B$4:$AR$4,1,22-Projects!$C$31+1),0)+IF(AND(Projects!$G$32="Yes",Projects!$X$32="Yes",Projects!$M$32="Yes",22&gt;=Projects!$C$32,22&lt;Projects!$C$32+Projects!$D$32),Projects!$B$32*INDEX(Curves!$B$4:$AR$4,1,22-Projects!$C$32+1),0)+IF(AND(Projects!$G$33="Yes",Projects!$X$33="Yes",Projects!$M$33="Yes",22&gt;=Projects!$C$33,22&lt;Projects!$C$33+Projects!$D$33),Projects!$B$33*INDEX(Curves!$B$4:$AR$4,1,22-Projects!$C$33+1),0)+IF(AND(Projects!$G$34="Yes",Projects!$X$34="Yes",Projects!$M$34="Yes",22&gt;=Projects!$C$34,22&lt;Projects!$C$34+Projects!$D$34),Projects!$B$34*INDEX(Curves!$B$4:$AR$4,1,22-Projects!$C$34+1),0)+IF(AND(Projects!$G$35="Yes",Projects!$X$35="Yes",Projects!$M$35="Yes",22&gt;=Projects!$C$35,22&lt;Projects!$C$35+Projects!$D$35),Projects!$B$35*INDEX(Curves!$B$4:$AR$4,1,22-Projects!$C$35+1),0)+IF(AND(Projects!$G$36="Yes",Projects!$X$36="Yes",Projects!$M$36="Yes",22&gt;=Projects!$C$36,22&lt;Projects!$C$36+Projects!$D$36),Projects!$B$36*INDEX(Curves!$B$4:$AR$4,1,22-Projects!$C$36+1),0)+IF(AND(Projects!$G$37="Yes",Projects!$X$37="Yes",Projects!$M$37="Yes",22&gt;=Projects!$C$37,22&lt;Projects!$C$37+Projects!$D$37),Projects!$B$37*INDEX(Curves!$B$4:$AR$4,1,22-Projects!$C$37+1),0)+IF(AND(Projects!$G$38="Yes",Projects!$X$38="Yes",Projects!$M$38="Yes",22&gt;=Projects!$C$38,22&lt;Projects!$C$38+Projects!$D$38),Projects!$B$38*INDEX(Curves!$B$4:$AR$4,1,22-Projects!$C$38+1),0)+IF(AND(Projects!$G$39="Yes",Projects!$X$39="Yes",Projects!$M$39="Yes",22&gt;=Projects!$C$39,22&lt;Projects!$C$39+Projects!$D$39),Projects!$B$39*INDEX(Curves!$B$4:$AR$4,1,22-Projects!$C$39+1),0)+IF(AND(Projects!$G$40="Yes",Projects!$X$40="Yes",Projects!$M$40="Yes",22&gt;=Projects!$C$40,22&lt;Projects!$C$40+Projects!$D$40),Projects!$B$40*INDEX(Curves!$B$4:$AR$4,1,22-Projects!$C$40+1),0)+IF(AND(Projects!$G$41="Yes",Projects!$X$41="Yes",Projects!$M$41="Yes",22&gt;=Projects!$C$41,22&lt;Projects!$C$41+Projects!$D$41),Projects!$B$41*INDEX(Curves!$B$4:$AR$4,1,22-Projects!$C$41+1),0)+IF(AND(Projects!$G$42="Yes",Projects!$X$42="Yes",Projects!$M$42="Yes",22&gt;=Projects!$C$42,22&lt;Projects!$C$42+Projects!$D$42),Projects!$B$42*INDEX(Curves!$B$4:$AR$4,1,22-Projects!$C$42+1),0)+IF(AND(Projects!$G$43="Yes",Projects!$X$43="Yes",Projects!$M$43="Yes",22&gt;=Projects!$C$43,22&lt;Projects!$C$43+Projects!$D$43),Projects!$B$43*INDEX(Curves!$B$4:$AR$4,1,22-Projects!$C$43+1),0)+IF(AND(Projects!$G$44="Yes",Projects!$X$44="Yes",Projects!$M$44="Yes",22&gt;=Projects!$C$44,22&lt;Projects!$C$44+Projects!$D$44),Projects!$B$44*INDEX(Curves!$B$4:$AR$4,1,22-Projects!$C$44+1),0)+IF(AND(Projects!$G$45="Yes",Projects!$X$45="Yes",Projects!$M$45="Yes",22&gt;=Projects!$C$45,22&lt;Projects!$C$45+Projects!$D$45),Projects!$B$45*INDEX(Curves!$B$4:$AR$4,1,22-Projects!$C$45+1),0)+IF(AND(Projects!$G$46="Yes",Projects!$X$46="Yes",Projects!$M$46="Yes",22&gt;=Projects!$C$46,22&lt;Projects!$C$46+Projects!$D$46),Projects!$B$46*INDEX(Curves!$B$4:$AR$4,1,22-Projects!$C$46+1),0)</f>
        <v>0</v>
      </c>
      <c r="AB101" s="298" t="n">
        <f aca="false">IF(AND(Projects!$G$17="Yes",Projects!$X$17="Yes",Projects!$M$17="Yes",23&gt;=Projects!$C$17,23&lt;Projects!$C$17+Projects!$D$17),Projects!$B$17*INDEX(Curves!$B$4:$AR$4,1,23-Projects!$C$17+1),0)+IF(AND(Projects!$G$18="Yes",Projects!$X$18="Yes",Projects!$M$18="Yes",23&gt;=Projects!$C$18,23&lt;Projects!$C$18+Projects!$D$18),Projects!$B$18*INDEX(Curves!$B$4:$AR$4,1,23-Projects!$C$18+1),0)+IF(AND(Projects!$G$19="Yes",Projects!$X$19="Yes",Projects!$M$19="Yes",23&gt;=Projects!$C$19,23&lt;Projects!$C$19+Projects!$D$19),Projects!$B$19*INDEX(Curves!$B$10:$AR$10,1,23-Projects!$C$19+1),0)+IF(AND(Projects!$G$20="Yes",Projects!$X$20="Yes",Projects!$M$20="Yes",23&gt;=Projects!$C$20,23&lt;Projects!$C$20+Projects!$D$20),Projects!$B$20*INDEX(Curves!$B$4:$AR$4,1,23-Projects!$C$20+1),0)+IF(AND(Projects!$G$21="Yes",Projects!$X$21="Yes",Projects!$M$21="Yes",23&gt;=Projects!$C$21,23&lt;Projects!$C$21+Projects!$D$21),Projects!$B$21*INDEX(Curves!$B$11:$AR$11,1,23-Projects!$C$21+1),0)+IF(AND(Projects!$G$22="Yes",Projects!$X$22="Yes",Projects!$M$22="Yes",23&gt;=Projects!$C$22,23&lt;Projects!$C$22+Projects!$D$22),Projects!$B$22*INDEX(Curves!$B$4:$AR$4,1,23-Projects!$C$22+1),0)+IF(AND(Projects!$G$23="Yes",Projects!$X$23="Yes",Projects!$M$23="Yes",23&gt;=Projects!$C$23,23&lt;Projects!$C$23+Projects!$D$23),Projects!$B$23*INDEX(Curves!$B$4:$AR$4,1,23-Projects!$C$23+1),0)+IF(AND(Projects!$G$24="Yes",Projects!$X$24="Yes",Projects!$M$24="Yes",23&gt;=Projects!$C$24,23&lt;Projects!$C$24+Projects!$D$24),Projects!$B$24*INDEX(Curves!$B$4:$AR$4,1,23-Projects!$C$24+1),0)+IF(AND(Projects!$G$25="Yes",Projects!$X$25="Yes",Projects!$M$25="Yes",23&gt;=Projects!$C$25,23&lt;Projects!$C$25+Projects!$D$25),Projects!$B$25*INDEX(Curves!$B$4:$AR$4,1,23-Projects!$C$25+1),0)+IF(AND(Projects!$G$26="Yes",Projects!$X$26="Yes",Projects!$M$26="Yes",23&gt;=Projects!$C$26,23&lt;Projects!$C$26+Projects!$D$26),Projects!$B$26*INDEX(Curves!$B$4:$AR$4,1,23-Projects!$C$26+1),0)+IF(AND(Projects!$G$27="Yes",Projects!$X$27="Yes",Projects!$M$27="Yes",23&gt;=Projects!$C$27,23&lt;Projects!$C$27+Projects!$D$27),Projects!$B$27*INDEX(Curves!$B$4:$AR$4,1,23-Projects!$C$27+1),0)+IF(AND(Projects!$G$28="Yes",Projects!$X$28="Yes",Projects!$M$28="Yes",23&gt;=Projects!$C$28,23&lt;Projects!$C$28+Projects!$D$28),Projects!$B$28*INDEX(Curves!$B$4:$AR$4,1,23-Projects!$C$28+1),0)+IF(AND(Projects!$G$29="Yes",Projects!$X$29="Yes",Projects!$M$29="Yes",23&gt;=Projects!$C$29,23&lt;Projects!$C$29+Projects!$D$29),Projects!$B$29*INDEX(Curves!$B$4:$AR$4,1,23-Projects!$C$29+1),0)+IF(AND(Projects!$G$30="Yes",Projects!$X$30="Yes",Projects!$M$30="Yes",23&gt;=Projects!$C$30,23&lt;Projects!$C$30+Projects!$D$30),Projects!$B$30*INDEX(Curves!$B$4:$AR$4,1,23-Projects!$C$30+1),0)+IF(AND(Projects!$G$31="Yes",Projects!$X$31="Yes",Projects!$M$31="Yes",23&gt;=Projects!$C$31,23&lt;Projects!$C$31+Projects!$D$31),Projects!$B$31*INDEX(Curves!$B$4:$AR$4,1,23-Projects!$C$31+1),0)+IF(AND(Projects!$G$32="Yes",Projects!$X$32="Yes",Projects!$M$32="Yes",23&gt;=Projects!$C$32,23&lt;Projects!$C$32+Projects!$D$32),Projects!$B$32*INDEX(Curves!$B$4:$AR$4,1,23-Projects!$C$32+1),0)+IF(AND(Projects!$G$33="Yes",Projects!$X$33="Yes",Projects!$M$33="Yes",23&gt;=Projects!$C$33,23&lt;Projects!$C$33+Projects!$D$33),Projects!$B$33*INDEX(Curves!$B$4:$AR$4,1,23-Projects!$C$33+1),0)+IF(AND(Projects!$G$34="Yes",Projects!$X$34="Yes",Projects!$M$34="Yes",23&gt;=Projects!$C$34,23&lt;Projects!$C$34+Projects!$D$34),Projects!$B$34*INDEX(Curves!$B$4:$AR$4,1,23-Projects!$C$34+1),0)+IF(AND(Projects!$G$35="Yes",Projects!$X$35="Yes",Projects!$M$35="Yes",23&gt;=Projects!$C$35,23&lt;Projects!$C$35+Projects!$D$35),Projects!$B$35*INDEX(Curves!$B$4:$AR$4,1,23-Projects!$C$35+1),0)+IF(AND(Projects!$G$36="Yes",Projects!$X$36="Yes",Projects!$M$36="Yes",23&gt;=Projects!$C$36,23&lt;Projects!$C$36+Projects!$D$36),Projects!$B$36*INDEX(Curves!$B$4:$AR$4,1,23-Projects!$C$36+1),0)+IF(AND(Projects!$G$37="Yes",Projects!$X$37="Yes",Projects!$M$37="Yes",23&gt;=Projects!$C$37,23&lt;Projects!$C$37+Projects!$D$37),Projects!$B$37*INDEX(Curves!$B$4:$AR$4,1,23-Projects!$C$37+1),0)+IF(AND(Projects!$G$38="Yes",Projects!$X$38="Yes",Projects!$M$38="Yes",23&gt;=Projects!$C$38,23&lt;Projects!$C$38+Projects!$D$38),Projects!$B$38*INDEX(Curves!$B$4:$AR$4,1,23-Projects!$C$38+1),0)+IF(AND(Projects!$G$39="Yes",Projects!$X$39="Yes",Projects!$M$39="Yes",23&gt;=Projects!$C$39,23&lt;Projects!$C$39+Projects!$D$39),Projects!$B$39*INDEX(Curves!$B$4:$AR$4,1,23-Projects!$C$39+1),0)+IF(AND(Projects!$G$40="Yes",Projects!$X$40="Yes",Projects!$M$40="Yes",23&gt;=Projects!$C$40,23&lt;Projects!$C$40+Projects!$D$40),Projects!$B$40*INDEX(Curves!$B$4:$AR$4,1,23-Projects!$C$40+1),0)+IF(AND(Projects!$G$41="Yes",Projects!$X$41="Yes",Projects!$M$41="Yes",23&gt;=Projects!$C$41,23&lt;Projects!$C$41+Projects!$D$41),Projects!$B$41*INDEX(Curves!$B$4:$AR$4,1,23-Projects!$C$41+1),0)+IF(AND(Projects!$G$42="Yes",Projects!$X$42="Yes",Projects!$M$42="Yes",23&gt;=Projects!$C$42,23&lt;Projects!$C$42+Projects!$D$42),Projects!$B$42*INDEX(Curves!$B$4:$AR$4,1,23-Projects!$C$42+1),0)+IF(AND(Projects!$G$43="Yes",Projects!$X$43="Yes",Projects!$M$43="Yes",23&gt;=Projects!$C$43,23&lt;Projects!$C$43+Projects!$D$43),Projects!$B$43*INDEX(Curves!$B$4:$AR$4,1,23-Projects!$C$43+1),0)+IF(AND(Projects!$G$44="Yes",Projects!$X$44="Yes",Projects!$M$44="Yes",23&gt;=Projects!$C$44,23&lt;Projects!$C$44+Projects!$D$44),Projects!$B$44*INDEX(Curves!$B$4:$AR$4,1,23-Projects!$C$44+1),0)+IF(AND(Projects!$G$45="Yes",Projects!$X$45="Yes",Projects!$M$45="Yes",23&gt;=Projects!$C$45,23&lt;Projects!$C$45+Projects!$D$45),Projects!$B$45*INDEX(Curves!$B$4:$AR$4,1,23-Projects!$C$45+1),0)+IF(AND(Projects!$G$46="Yes",Projects!$X$46="Yes",Projects!$M$46="Yes",23&gt;=Projects!$C$46,23&lt;Projects!$C$46+Projects!$D$46),Projects!$B$46*INDEX(Curves!$B$4:$AR$4,1,23-Projects!$C$46+1),0)</f>
        <v>0</v>
      </c>
      <c r="AC101" s="298" t="n">
        <f aca="false">IF(AND(Projects!$G$17="Yes",Projects!$X$17="Yes",Projects!$M$17="Yes",24&gt;=Projects!$C$17,24&lt;Projects!$C$17+Projects!$D$17),Projects!$B$17*INDEX(Curves!$B$4:$AR$4,1,24-Projects!$C$17+1),0)+IF(AND(Projects!$G$18="Yes",Projects!$X$18="Yes",Projects!$M$18="Yes",24&gt;=Projects!$C$18,24&lt;Projects!$C$18+Projects!$D$18),Projects!$B$18*INDEX(Curves!$B$4:$AR$4,1,24-Projects!$C$18+1),0)+IF(AND(Projects!$G$19="Yes",Projects!$X$19="Yes",Projects!$M$19="Yes",24&gt;=Projects!$C$19,24&lt;Projects!$C$19+Projects!$D$19),Projects!$B$19*INDEX(Curves!$B$10:$AR$10,1,24-Projects!$C$19+1),0)+IF(AND(Projects!$G$20="Yes",Projects!$X$20="Yes",Projects!$M$20="Yes",24&gt;=Projects!$C$20,24&lt;Projects!$C$20+Projects!$D$20),Projects!$B$20*INDEX(Curves!$B$4:$AR$4,1,24-Projects!$C$20+1),0)+IF(AND(Projects!$G$21="Yes",Projects!$X$21="Yes",Projects!$M$21="Yes",24&gt;=Projects!$C$21,24&lt;Projects!$C$21+Projects!$D$21),Projects!$B$21*INDEX(Curves!$B$11:$AR$11,1,24-Projects!$C$21+1),0)+IF(AND(Projects!$G$22="Yes",Projects!$X$22="Yes",Projects!$M$22="Yes",24&gt;=Projects!$C$22,24&lt;Projects!$C$22+Projects!$D$22),Projects!$B$22*INDEX(Curves!$B$4:$AR$4,1,24-Projects!$C$22+1),0)+IF(AND(Projects!$G$23="Yes",Projects!$X$23="Yes",Projects!$M$23="Yes",24&gt;=Projects!$C$23,24&lt;Projects!$C$23+Projects!$D$23),Projects!$B$23*INDEX(Curves!$B$4:$AR$4,1,24-Projects!$C$23+1),0)+IF(AND(Projects!$G$24="Yes",Projects!$X$24="Yes",Projects!$M$24="Yes",24&gt;=Projects!$C$24,24&lt;Projects!$C$24+Projects!$D$24),Projects!$B$24*INDEX(Curves!$B$4:$AR$4,1,24-Projects!$C$24+1),0)+IF(AND(Projects!$G$25="Yes",Projects!$X$25="Yes",Projects!$M$25="Yes",24&gt;=Projects!$C$25,24&lt;Projects!$C$25+Projects!$D$25),Projects!$B$25*INDEX(Curves!$B$4:$AR$4,1,24-Projects!$C$25+1),0)+IF(AND(Projects!$G$26="Yes",Projects!$X$26="Yes",Projects!$M$26="Yes",24&gt;=Projects!$C$26,24&lt;Projects!$C$26+Projects!$D$26),Projects!$B$26*INDEX(Curves!$B$4:$AR$4,1,24-Projects!$C$26+1),0)+IF(AND(Projects!$G$27="Yes",Projects!$X$27="Yes",Projects!$M$27="Yes",24&gt;=Projects!$C$27,24&lt;Projects!$C$27+Projects!$D$27),Projects!$B$27*INDEX(Curves!$B$4:$AR$4,1,24-Projects!$C$27+1),0)+IF(AND(Projects!$G$28="Yes",Projects!$X$28="Yes",Projects!$M$28="Yes",24&gt;=Projects!$C$28,24&lt;Projects!$C$28+Projects!$D$28),Projects!$B$28*INDEX(Curves!$B$4:$AR$4,1,24-Projects!$C$28+1),0)+IF(AND(Projects!$G$29="Yes",Projects!$X$29="Yes",Projects!$M$29="Yes",24&gt;=Projects!$C$29,24&lt;Projects!$C$29+Projects!$D$29),Projects!$B$29*INDEX(Curves!$B$4:$AR$4,1,24-Projects!$C$29+1),0)+IF(AND(Projects!$G$30="Yes",Projects!$X$30="Yes",Projects!$M$30="Yes",24&gt;=Projects!$C$30,24&lt;Projects!$C$30+Projects!$D$30),Projects!$B$30*INDEX(Curves!$B$4:$AR$4,1,24-Projects!$C$30+1),0)+IF(AND(Projects!$G$31="Yes",Projects!$X$31="Yes",Projects!$M$31="Yes",24&gt;=Projects!$C$31,24&lt;Projects!$C$31+Projects!$D$31),Projects!$B$31*INDEX(Curves!$B$4:$AR$4,1,24-Projects!$C$31+1),0)+IF(AND(Projects!$G$32="Yes",Projects!$X$32="Yes",Projects!$M$32="Yes",24&gt;=Projects!$C$32,24&lt;Projects!$C$32+Projects!$D$32),Projects!$B$32*INDEX(Curves!$B$4:$AR$4,1,24-Projects!$C$32+1),0)+IF(AND(Projects!$G$33="Yes",Projects!$X$33="Yes",Projects!$M$33="Yes",24&gt;=Projects!$C$33,24&lt;Projects!$C$33+Projects!$D$33),Projects!$B$33*INDEX(Curves!$B$4:$AR$4,1,24-Projects!$C$33+1),0)+IF(AND(Projects!$G$34="Yes",Projects!$X$34="Yes",Projects!$M$34="Yes",24&gt;=Projects!$C$34,24&lt;Projects!$C$34+Projects!$D$34),Projects!$B$34*INDEX(Curves!$B$4:$AR$4,1,24-Projects!$C$34+1),0)+IF(AND(Projects!$G$35="Yes",Projects!$X$35="Yes",Projects!$M$35="Yes",24&gt;=Projects!$C$35,24&lt;Projects!$C$35+Projects!$D$35),Projects!$B$35*INDEX(Curves!$B$4:$AR$4,1,24-Projects!$C$35+1),0)+IF(AND(Projects!$G$36="Yes",Projects!$X$36="Yes",Projects!$M$36="Yes",24&gt;=Projects!$C$36,24&lt;Projects!$C$36+Projects!$D$36),Projects!$B$36*INDEX(Curves!$B$4:$AR$4,1,24-Projects!$C$36+1),0)+IF(AND(Projects!$G$37="Yes",Projects!$X$37="Yes",Projects!$M$37="Yes",24&gt;=Projects!$C$37,24&lt;Projects!$C$37+Projects!$D$37),Projects!$B$37*INDEX(Curves!$B$4:$AR$4,1,24-Projects!$C$37+1),0)+IF(AND(Projects!$G$38="Yes",Projects!$X$38="Yes",Projects!$M$38="Yes",24&gt;=Projects!$C$38,24&lt;Projects!$C$38+Projects!$D$38),Projects!$B$38*INDEX(Curves!$B$4:$AR$4,1,24-Projects!$C$38+1),0)+IF(AND(Projects!$G$39="Yes",Projects!$X$39="Yes",Projects!$M$39="Yes",24&gt;=Projects!$C$39,24&lt;Projects!$C$39+Projects!$D$39),Projects!$B$39*INDEX(Curves!$B$4:$AR$4,1,24-Projects!$C$39+1),0)+IF(AND(Projects!$G$40="Yes",Projects!$X$40="Yes",Projects!$M$40="Yes",24&gt;=Projects!$C$40,24&lt;Projects!$C$40+Projects!$D$40),Projects!$B$40*INDEX(Curves!$B$4:$AR$4,1,24-Projects!$C$40+1),0)+IF(AND(Projects!$G$41="Yes",Projects!$X$41="Yes",Projects!$M$41="Yes",24&gt;=Projects!$C$41,24&lt;Projects!$C$41+Projects!$D$41),Projects!$B$41*INDEX(Curves!$B$4:$AR$4,1,24-Projects!$C$41+1),0)+IF(AND(Projects!$G$42="Yes",Projects!$X$42="Yes",Projects!$M$42="Yes",24&gt;=Projects!$C$42,24&lt;Projects!$C$42+Projects!$D$42),Projects!$B$42*INDEX(Curves!$B$4:$AR$4,1,24-Projects!$C$42+1),0)+IF(AND(Projects!$G$43="Yes",Projects!$X$43="Yes",Projects!$M$43="Yes",24&gt;=Projects!$C$43,24&lt;Projects!$C$43+Projects!$D$43),Projects!$B$43*INDEX(Curves!$B$4:$AR$4,1,24-Projects!$C$43+1),0)+IF(AND(Projects!$G$44="Yes",Projects!$X$44="Yes",Projects!$M$44="Yes",24&gt;=Projects!$C$44,24&lt;Projects!$C$44+Projects!$D$44),Projects!$B$44*INDEX(Curves!$B$4:$AR$4,1,24-Projects!$C$44+1),0)+IF(AND(Projects!$G$45="Yes",Projects!$X$45="Yes",Projects!$M$45="Yes",24&gt;=Projects!$C$45,24&lt;Projects!$C$45+Projects!$D$45),Projects!$B$45*INDEX(Curves!$B$4:$AR$4,1,24-Projects!$C$45+1),0)+IF(AND(Projects!$G$46="Yes",Projects!$X$46="Yes",Projects!$M$46="Yes",24&gt;=Projects!$C$46,24&lt;Projects!$C$46+Projects!$D$46),Projects!$B$46*INDEX(Curves!$B$4:$AR$4,1,24-Projects!$C$46+1),0)</f>
        <v>0</v>
      </c>
      <c r="AD101" s="298" t="n">
        <f aca="false">IF(AND(Projects!$G$17="Yes",Projects!$X$17="Yes",Projects!$M$17="Yes",25&gt;=Projects!$C$17,25&lt;Projects!$C$17+Projects!$D$17),Projects!$B$17*INDEX(Curves!$B$4:$AR$4,1,25-Projects!$C$17+1),0)+IF(AND(Projects!$G$18="Yes",Projects!$X$18="Yes",Projects!$M$18="Yes",25&gt;=Projects!$C$18,25&lt;Projects!$C$18+Projects!$D$18),Projects!$B$18*INDEX(Curves!$B$4:$AR$4,1,25-Projects!$C$18+1),0)+IF(AND(Projects!$G$19="Yes",Projects!$X$19="Yes",Projects!$M$19="Yes",25&gt;=Projects!$C$19,25&lt;Projects!$C$19+Projects!$D$19),Projects!$B$19*INDEX(Curves!$B$10:$AR$10,1,25-Projects!$C$19+1),0)+IF(AND(Projects!$G$20="Yes",Projects!$X$20="Yes",Projects!$M$20="Yes",25&gt;=Projects!$C$20,25&lt;Projects!$C$20+Projects!$D$20),Projects!$B$20*INDEX(Curves!$B$4:$AR$4,1,25-Projects!$C$20+1),0)+IF(AND(Projects!$G$21="Yes",Projects!$X$21="Yes",Projects!$M$21="Yes",25&gt;=Projects!$C$21,25&lt;Projects!$C$21+Projects!$D$21),Projects!$B$21*INDEX(Curves!$B$11:$AR$11,1,25-Projects!$C$21+1),0)+IF(AND(Projects!$G$22="Yes",Projects!$X$22="Yes",Projects!$M$22="Yes",25&gt;=Projects!$C$22,25&lt;Projects!$C$22+Projects!$D$22),Projects!$B$22*INDEX(Curves!$B$4:$AR$4,1,25-Projects!$C$22+1),0)+IF(AND(Projects!$G$23="Yes",Projects!$X$23="Yes",Projects!$M$23="Yes",25&gt;=Projects!$C$23,25&lt;Projects!$C$23+Projects!$D$23),Projects!$B$23*INDEX(Curves!$B$4:$AR$4,1,25-Projects!$C$23+1),0)+IF(AND(Projects!$G$24="Yes",Projects!$X$24="Yes",Projects!$M$24="Yes",25&gt;=Projects!$C$24,25&lt;Projects!$C$24+Projects!$D$24),Projects!$B$24*INDEX(Curves!$B$4:$AR$4,1,25-Projects!$C$24+1),0)+IF(AND(Projects!$G$25="Yes",Projects!$X$25="Yes",Projects!$M$25="Yes",25&gt;=Projects!$C$25,25&lt;Projects!$C$25+Projects!$D$25),Projects!$B$25*INDEX(Curves!$B$4:$AR$4,1,25-Projects!$C$25+1),0)+IF(AND(Projects!$G$26="Yes",Projects!$X$26="Yes",Projects!$M$26="Yes",25&gt;=Projects!$C$26,25&lt;Projects!$C$26+Projects!$D$26),Projects!$B$26*INDEX(Curves!$B$4:$AR$4,1,25-Projects!$C$26+1),0)+IF(AND(Projects!$G$27="Yes",Projects!$X$27="Yes",Projects!$M$27="Yes",25&gt;=Projects!$C$27,25&lt;Projects!$C$27+Projects!$D$27),Projects!$B$27*INDEX(Curves!$B$4:$AR$4,1,25-Projects!$C$27+1),0)+IF(AND(Projects!$G$28="Yes",Projects!$X$28="Yes",Projects!$M$28="Yes",25&gt;=Projects!$C$28,25&lt;Projects!$C$28+Projects!$D$28),Projects!$B$28*INDEX(Curves!$B$4:$AR$4,1,25-Projects!$C$28+1),0)+IF(AND(Projects!$G$29="Yes",Projects!$X$29="Yes",Projects!$M$29="Yes",25&gt;=Projects!$C$29,25&lt;Projects!$C$29+Projects!$D$29),Projects!$B$29*INDEX(Curves!$B$4:$AR$4,1,25-Projects!$C$29+1),0)+IF(AND(Projects!$G$30="Yes",Projects!$X$30="Yes",Projects!$M$30="Yes",25&gt;=Projects!$C$30,25&lt;Projects!$C$30+Projects!$D$30),Projects!$B$30*INDEX(Curves!$B$4:$AR$4,1,25-Projects!$C$30+1),0)+IF(AND(Projects!$G$31="Yes",Projects!$X$31="Yes",Projects!$M$31="Yes",25&gt;=Projects!$C$31,25&lt;Projects!$C$31+Projects!$D$31),Projects!$B$31*INDEX(Curves!$B$4:$AR$4,1,25-Projects!$C$31+1),0)+IF(AND(Projects!$G$32="Yes",Projects!$X$32="Yes",Projects!$M$32="Yes",25&gt;=Projects!$C$32,25&lt;Projects!$C$32+Projects!$D$32),Projects!$B$32*INDEX(Curves!$B$4:$AR$4,1,25-Projects!$C$32+1),0)+IF(AND(Projects!$G$33="Yes",Projects!$X$33="Yes",Projects!$M$33="Yes",25&gt;=Projects!$C$33,25&lt;Projects!$C$33+Projects!$D$33),Projects!$B$33*INDEX(Curves!$B$4:$AR$4,1,25-Projects!$C$33+1),0)+IF(AND(Projects!$G$34="Yes",Projects!$X$34="Yes",Projects!$M$34="Yes",25&gt;=Projects!$C$34,25&lt;Projects!$C$34+Projects!$D$34),Projects!$B$34*INDEX(Curves!$B$4:$AR$4,1,25-Projects!$C$34+1),0)+IF(AND(Projects!$G$35="Yes",Projects!$X$35="Yes",Projects!$M$35="Yes",25&gt;=Projects!$C$35,25&lt;Projects!$C$35+Projects!$D$35),Projects!$B$35*INDEX(Curves!$B$4:$AR$4,1,25-Projects!$C$35+1),0)+IF(AND(Projects!$G$36="Yes",Projects!$X$36="Yes",Projects!$M$36="Yes",25&gt;=Projects!$C$36,25&lt;Projects!$C$36+Projects!$D$36),Projects!$B$36*INDEX(Curves!$B$4:$AR$4,1,25-Projects!$C$36+1),0)+IF(AND(Projects!$G$37="Yes",Projects!$X$37="Yes",Projects!$M$37="Yes",25&gt;=Projects!$C$37,25&lt;Projects!$C$37+Projects!$D$37),Projects!$B$37*INDEX(Curves!$B$4:$AR$4,1,25-Projects!$C$37+1),0)+IF(AND(Projects!$G$38="Yes",Projects!$X$38="Yes",Projects!$M$38="Yes",25&gt;=Projects!$C$38,25&lt;Projects!$C$38+Projects!$D$38),Projects!$B$38*INDEX(Curves!$B$4:$AR$4,1,25-Projects!$C$38+1),0)+IF(AND(Projects!$G$39="Yes",Projects!$X$39="Yes",Projects!$M$39="Yes",25&gt;=Projects!$C$39,25&lt;Projects!$C$39+Projects!$D$39),Projects!$B$39*INDEX(Curves!$B$4:$AR$4,1,25-Projects!$C$39+1),0)+IF(AND(Projects!$G$40="Yes",Projects!$X$40="Yes",Projects!$M$40="Yes",25&gt;=Projects!$C$40,25&lt;Projects!$C$40+Projects!$D$40),Projects!$B$40*INDEX(Curves!$B$4:$AR$4,1,25-Projects!$C$40+1),0)+IF(AND(Projects!$G$41="Yes",Projects!$X$41="Yes",Projects!$M$41="Yes",25&gt;=Projects!$C$41,25&lt;Projects!$C$41+Projects!$D$41),Projects!$B$41*INDEX(Curves!$B$4:$AR$4,1,25-Projects!$C$41+1),0)+IF(AND(Projects!$G$42="Yes",Projects!$X$42="Yes",Projects!$M$42="Yes",25&gt;=Projects!$C$42,25&lt;Projects!$C$42+Projects!$D$42),Projects!$B$42*INDEX(Curves!$B$4:$AR$4,1,25-Projects!$C$42+1),0)+IF(AND(Projects!$G$43="Yes",Projects!$X$43="Yes",Projects!$M$43="Yes",25&gt;=Projects!$C$43,25&lt;Projects!$C$43+Projects!$D$43),Projects!$B$43*INDEX(Curves!$B$4:$AR$4,1,25-Projects!$C$43+1),0)+IF(AND(Projects!$G$44="Yes",Projects!$X$44="Yes",Projects!$M$44="Yes",25&gt;=Projects!$C$44,25&lt;Projects!$C$44+Projects!$D$44),Projects!$B$44*INDEX(Curves!$B$4:$AR$4,1,25-Projects!$C$44+1),0)+IF(AND(Projects!$G$45="Yes",Projects!$X$45="Yes",Projects!$M$45="Yes",25&gt;=Projects!$C$45,25&lt;Projects!$C$45+Projects!$D$45),Projects!$B$45*INDEX(Curves!$B$4:$AR$4,1,25-Projects!$C$45+1),0)+IF(AND(Projects!$G$46="Yes",Projects!$X$46="Yes",Projects!$M$46="Yes",25&gt;=Projects!$C$46,25&lt;Projects!$C$46+Projects!$D$46),Projects!$B$46*INDEX(Curves!$B$4:$AR$4,1,25-Projects!$C$46+1),0)</f>
        <v>0</v>
      </c>
      <c r="AE101" s="298" t="n">
        <f aca="false">IF(AND(Projects!$G$17="Yes",Projects!$X$17="Yes",Projects!$M$17="Yes",26&gt;=Projects!$C$17,26&lt;Projects!$C$17+Projects!$D$17),Projects!$B$17*INDEX(Curves!$B$4:$AR$4,1,26-Projects!$C$17+1),0)+IF(AND(Projects!$G$18="Yes",Projects!$X$18="Yes",Projects!$M$18="Yes",26&gt;=Projects!$C$18,26&lt;Projects!$C$18+Projects!$D$18),Projects!$B$18*INDEX(Curves!$B$4:$AR$4,1,26-Projects!$C$18+1),0)+IF(AND(Projects!$G$19="Yes",Projects!$X$19="Yes",Projects!$M$19="Yes",26&gt;=Projects!$C$19,26&lt;Projects!$C$19+Projects!$D$19),Projects!$B$19*INDEX(Curves!$B$10:$AR$10,1,26-Projects!$C$19+1),0)+IF(AND(Projects!$G$20="Yes",Projects!$X$20="Yes",Projects!$M$20="Yes",26&gt;=Projects!$C$20,26&lt;Projects!$C$20+Projects!$D$20),Projects!$B$20*INDEX(Curves!$B$4:$AR$4,1,26-Projects!$C$20+1),0)+IF(AND(Projects!$G$21="Yes",Projects!$X$21="Yes",Projects!$M$21="Yes",26&gt;=Projects!$C$21,26&lt;Projects!$C$21+Projects!$D$21),Projects!$B$21*INDEX(Curves!$B$11:$AR$11,1,26-Projects!$C$21+1),0)+IF(AND(Projects!$G$22="Yes",Projects!$X$22="Yes",Projects!$M$22="Yes",26&gt;=Projects!$C$22,26&lt;Projects!$C$22+Projects!$D$22),Projects!$B$22*INDEX(Curves!$B$4:$AR$4,1,26-Projects!$C$22+1),0)+IF(AND(Projects!$G$23="Yes",Projects!$X$23="Yes",Projects!$M$23="Yes",26&gt;=Projects!$C$23,26&lt;Projects!$C$23+Projects!$D$23),Projects!$B$23*INDEX(Curves!$B$4:$AR$4,1,26-Projects!$C$23+1),0)+IF(AND(Projects!$G$24="Yes",Projects!$X$24="Yes",Projects!$M$24="Yes",26&gt;=Projects!$C$24,26&lt;Projects!$C$24+Projects!$D$24),Projects!$B$24*INDEX(Curves!$B$4:$AR$4,1,26-Projects!$C$24+1),0)+IF(AND(Projects!$G$25="Yes",Projects!$X$25="Yes",Projects!$M$25="Yes",26&gt;=Projects!$C$25,26&lt;Projects!$C$25+Projects!$D$25),Projects!$B$25*INDEX(Curves!$B$4:$AR$4,1,26-Projects!$C$25+1),0)+IF(AND(Projects!$G$26="Yes",Projects!$X$26="Yes",Projects!$M$26="Yes",26&gt;=Projects!$C$26,26&lt;Projects!$C$26+Projects!$D$26),Projects!$B$26*INDEX(Curves!$B$4:$AR$4,1,26-Projects!$C$26+1),0)+IF(AND(Projects!$G$27="Yes",Projects!$X$27="Yes",Projects!$M$27="Yes",26&gt;=Projects!$C$27,26&lt;Projects!$C$27+Projects!$D$27),Projects!$B$27*INDEX(Curves!$B$4:$AR$4,1,26-Projects!$C$27+1),0)+IF(AND(Projects!$G$28="Yes",Projects!$X$28="Yes",Projects!$M$28="Yes",26&gt;=Projects!$C$28,26&lt;Projects!$C$28+Projects!$D$28),Projects!$B$28*INDEX(Curves!$B$4:$AR$4,1,26-Projects!$C$28+1),0)+IF(AND(Projects!$G$29="Yes",Projects!$X$29="Yes",Projects!$M$29="Yes",26&gt;=Projects!$C$29,26&lt;Projects!$C$29+Projects!$D$29),Projects!$B$29*INDEX(Curves!$B$4:$AR$4,1,26-Projects!$C$29+1),0)+IF(AND(Projects!$G$30="Yes",Projects!$X$30="Yes",Projects!$M$30="Yes",26&gt;=Projects!$C$30,26&lt;Projects!$C$30+Projects!$D$30),Projects!$B$30*INDEX(Curves!$B$4:$AR$4,1,26-Projects!$C$30+1),0)+IF(AND(Projects!$G$31="Yes",Projects!$X$31="Yes",Projects!$M$31="Yes",26&gt;=Projects!$C$31,26&lt;Projects!$C$31+Projects!$D$31),Projects!$B$31*INDEX(Curves!$B$4:$AR$4,1,26-Projects!$C$31+1),0)+IF(AND(Projects!$G$32="Yes",Projects!$X$32="Yes",Projects!$M$32="Yes",26&gt;=Projects!$C$32,26&lt;Projects!$C$32+Projects!$D$32),Projects!$B$32*INDEX(Curves!$B$4:$AR$4,1,26-Projects!$C$32+1),0)+IF(AND(Projects!$G$33="Yes",Projects!$X$33="Yes",Projects!$M$33="Yes",26&gt;=Projects!$C$33,26&lt;Projects!$C$33+Projects!$D$33),Projects!$B$33*INDEX(Curves!$B$4:$AR$4,1,26-Projects!$C$33+1),0)+IF(AND(Projects!$G$34="Yes",Projects!$X$34="Yes",Projects!$M$34="Yes",26&gt;=Projects!$C$34,26&lt;Projects!$C$34+Projects!$D$34),Projects!$B$34*INDEX(Curves!$B$4:$AR$4,1,26-Projects!$C$34+1),0)+IF(AND(Projects!$G$35="Yes",Projects!$X$35="Yes",Projects!$M$35="Yes",26&gt;=Projects!$C$35,26&lt;Projects!$C$35+Projects!$D$35),Projects!$B$35*INDEX(Curves!$B$4:$AR$4,1,26-Projects!$C$35+1),0)+IF(AND(Projects!$G$36="Yes",Projects!$X$36="Yes",Projects!$M$36="Yes",26&gt;=Projects!$C$36,26&lt;Projects!$C$36+Projects!$D$36),Projects!$B$36*INDEX(Curves!$B$4:$AR$4,1,26-Projects!$C$36+1),0)+IF(AND(Projects!$G$37="Yes",Projects!$X$37="Yes",Projects!$M$37="Yes",26&gt;=Projects!$C$37,26&lt;Projects!$C$37+Projects!$D$37),Projects!$B$37*INDEX(Curves!$B$4:$AR$4,1,26-Projects!$C$37+1),0)+IF(AND(Projects!$G$38="Yes",Projects!$X$38="Yes",Projects!$M$38="Yes",26&gt;=Projects!$C$38,26&lt;Projects!$C$38+Projects!$D$38),Projects!$B$38*INDEX(Curves!$B$4:$AR$4,1,26-Projects!$C$38+1),0)+IF(AND(Projects!$G$39="Yes",Projects!$X$39="Yes",Projects!$M$39="Yes",26&gt;=Projects!$C$39,26&lt;Projects!$C$39+Projects!$D$39),Projects!$B$39*INDEX(Curves!$B$4:$AR$4,1,26-Projects!$C$39+1),0)+IF(AND(Projects!$G$40="Yes",Projects!$X$40="Yes",Projects!$M$40="Yes",26&gt;=Projects!$C$40,26&lt;Projects!$C$40+Projects!$D$40),Projects!$B$40*INDEX(Curves!$B$4:$AR$4,1,26-Projects!$C$40+1),0)+IF(AND(Projects!$G$41="Yes",Projects!$X$41="Yes",Projects!$M$41="Yes",26&gt;=Projects!$C$41,26&lt;Projects!$C$41+Projects!$D$41),Projects!$B$41*INDEX(Curves!$B$4:$AR$4,1,26-Projects!$C$41+1),0)+IF(AND(Projects!$G$42="Yes",Projects!$X$42="Yes",Projects!$M$42="Yes",26&gt;=Projects!$C$42,26&lt;Projects!$C$42+Projects!$D$42),Projects!$B$42*INDEX(Curves!$B$4:$AR$4,1,26-Projects!$C$42+1),0)+IF(AND(Projects!$G$43="Yes",Projects!$X$43="Yes",Projects!$M$43="Yes",26&gt;=Projects!$C$43,26&lt;Projects!$C$43+Projects!$D$43),Projects!$B$43*INDEX(Curves!$B$4:$AR$4,1,26-Projects!$C$43+1),0)+IF(AND(Projects!$G$44="Yes",Projects!$X$44="Yes",Projects!$M$44="Yes",26&gt;=Projects!$C$44,26&lt;Projects!$C$44+Projects!$D$44),Projects!$B$44*INDEX(Curves!$B$4:$AR$4,1,26-Projects!$C$44+1),0)+IF(AND(Projects!$G$45="Yes",Projects!$X$45="Yes",Projects!$M$45="Yes",26&gt;=Projects!$C$45,26&lt;Projects!$C$45+Projects!$D$45),Projects!$B$45*INDEX(Curves!$B$4:$AR$4,1,26-Projects!$C$45+1),0)+IF(AND(Projects!$G$46="Yes",Projects!$X$46="Yes",Projects!$M$46="Yes",26&gt;=Projects!$C$46,26&lt;Projects!$C$46+Projects!$D$46),Projects!$B$46*INDEX(Curves!$B$4:$AR$4,1,26-Projects!$C$46+1),0)</f>
        <v>0</v>
      </c>
      <c r="AF101" s="298" t="n">
        <f aca="false">IF(AND(Projects!$G$17="Yes",Projects!$X$17="Yes",Projects!$M$17="Yes",27&gt;=Projects!$C$17,27&lt;Projects!$C$17+Projects!$D$17),Projects!$B$17*INDEX(Curves!$B$4:$AR$4,1,27-Projects!$C$17+1),0)+IF(AND(Projects!$G$18="Yes",Projects!$X$18="Yes",Projects!$M$18="Yes",27&gt;=Projects!$C$18,27&lt;Projects!$C$18+Projects!$D$18),Projects!$B$18*INDEX(Curves!$B$4:$AR$4,1,27-Projects!$C$18+1),0)+IF(AND(Projects!$G$19="Yes",Projects!$X$19="Yes",Projects!$M$19="Yes",27&gt;=Projects!$C$19,27&lt;Projects!$C$19+Projects!$D$19),Projects!$B$19*INDEX(Curves!$B$10:$AR$10,1,27-Projects!$C$19+1),0)+IF(AND(Projects!$G$20="Yes",Projects!$X$20="Yes",Projects!$M$20="Yes",27&gt;=Projects!$C$20,27&lt;Projects!$C$20+Projects!$D$20),Projects!$B$20*INDEX(Curves!$B$4:$AR$4,1,27-Projects!$C$20+1),0)+IF(AND(Projects!$G$21="Yes",Projects!$X$21="Yes",Projects!$M$21="Yes",27&gt;=Projects!$C$21,27&lt;Projects!$C$21+Projects!$D$21),Projects!$B$21*INDEX(Curves!$B$11:$AR$11,1,27-Projects!$C$21+1),0)+IF(AND(Projects!$G$22="Yes",Projects!$X$22="Yes",Projects!$M$22="Yes",27&gt;=Projects!$C$22,27&lt;Projects!$C$22+Projects!$D$22),Projects!$B$22*INDEX(Curves!$B$4:$AR$4,1,27-Projects!$C$22+1),0)+IF(AND(Projects!$G$23="Yes",Projects!$X$23="Yes",Projects!$M$23="Yes",27&gt;=Projects!$C$23,27&lt;Projects!$C$23+Projects!$D$23),Projects!$B$23*INDEX(Curves!$B$4:$AR$4,1,27-Projects!$C$23+1),0)+IF(AND(Projects!$G$24="Yes",Projects!$X$24="Yes",Projects!$M$24="Yes",27&gt;=Projects!$C$24,27&lt;Projects!$C$24+Projects!$D$24),Projects!$B$24*INDEX(Curves!$B$4:$AR$4,1,27-Projects!$C$24+1),0)+IF(AND(Projects!$G$25="Yes",Projects!$X$25="Yes",Projects!$M$25="Yes",27&gt;=Projects!$C$25,27&lt;Projects!$C$25+Projects!$D$25),Projects!$B$25*INDEX(Curves!$B$4:$AR$4,1,27-Projects!$C$25+1),0)+IF(AND(Projects!$G$26="Yes",Projects!$X$26="Yes",Projects!$M$26="Yes",27&gt;=Projects!$C$26,27&lt;Projects!$C$26+Projects!$D$26),Projects!$B$26*INDEX(Curves!$B$4:$AR$4,1,27-Projects!$C$26+1),0)+IF(AND(Projects!$G$27="Yes",Projects!$X$27="Yes",Projects!$M$27="Yes",27&gt;=Projects!$C$27,27&lt;Projects!$C$27+Projects!$D$27),Projects!$B$27*INDEX(Curves!$B$4:$AR$4,1,27-Projects!$C$27+1),0)+IF(AND(Projects!$G$28="Yes",Projects!$X$28="Yes",Projects!$M$28="Yes",27&gt;=Projects!$C$28,27&lt;Projects!$C$28+Projects!$D$28),Projects!$B$28*INDEX(Curves!$B$4:$AR$4,1,27-Projects!$C$28+1),0)+IF(AND(Projects!$G$29="Yes",Projects!$X$29="Yes",Projects!$M$29="Yes",27&gt;=Projects!$C$29,27&lt;Projects!$C$29+Projects!$D$29),Projects!$B$29*INDEX(Curves!$B$4:$AR$4,1,27-Projects!$C$29+1),0)+IF(AND(Projects!$G$30="Yes",Projects!$X$30="Yes",Projects!$M$30="Yes",27&gt;=Projects!$C$30,27&lt;Projects!$C$30+Projects!$D$30),Projects!$B$30*INDEX(Curves!$B$4:$AR$4,1,27-Projects!$C$30+1),0)+IF(AND(Projects!$G$31="Yes",Projects!$X$31="Yes",Projects!$M$31="Yes",27&gt;=Projects!$C$31,27&lt;Projects!$C$31+Projects!$D$31),Projects!$B$31*INDEX(Curves!$B$4:$AR$4,1,27-Projects!$C$31+1),0)+IF(AND(Projects!$G$32="Yes",Projects!$X$32="Yes",Projects!$M$32="Yes",27&gt;=Projects!$C$32,27&lt;Projects!$C$32+Projects!$D$32),Projects!$B$32*INDEX(Curves!$B$4:$AR$4,1,27-Projects!$C$32+1),0)+IF(AND(Projects!$G$33="Yes",Projects!$X$33="Yes",Projects!$M$33="Yes",27&gt;=Projects!$C$33,27&lt;Projects!$C$33+Projects!$D$33),Projects!$B$33*INDEX(Curves!$B$4:$AR$4,1,27-Projects!$C$33+1),0)+IF(AND(Projects!$G$34="Yes",Projects!$X$34="Yes",Projects!$M$34="Yes",27&gt;=Projects!$C$34,27&lt;Projects!$C$34+Projects!$D$34),Projects!$B$34*INDEX(Curves!$B$4:$AR$4,1,27-Projects!$C$34+1),0)+IF(AND(Projects!$G$35="Yes",Projects!$X$35="Yes",Projects!$M$35="Yes",27&gt;=Projects!$C$35,27&lt;Projects!$C$35+Projects!$D$35),Projects!$B$35*INDEX(Curves!$B$4:$AR$4,1,27-Projects!$C$35+1),0)+IF(AND(Projects!$G$36="Yes",Projects!$X$36="Yes",Projects!$M$36="Yes",27&gt;=Projects!$C$36,27&lt;Projects!$C$36+Projects!$D$36),Projects!$B$36*INDEX(Curves!$B$4:$AR$4,1,27-Projects!$C$36+1),0)+IF(AND(Projects!$G$37="Yes",Projects!$X$37="Yes",Projects!$M$37="Yes",27&gt;=Projects!$C$37,27&lt;Projects!$C$37+Projects!$D$37),Projects!$B$37*INDEX(Curves!$B$4:$AR$4,1,27-Projects!$C$37+1),0)+IF(AND(Projects!$G$38="Yes",Projects!$X$38="Yes",Projects!$M$38="Yes",27&gt;=Projects!$C$38,27&lt;Projects!$C$38+Projects!$D$38),Projects!$B$38*INDEX(Curves!$B$4:$AR$4,1,27-Projects!$C$38+1),0)+IF(AND(Projects!$G$39="Yes",Projects!$X$39="Yes",Projects!$M$39="Yes",27&gt;=Projects!$C$39,27&lt;Projects!$C$39+Projects!$D$39),Projects!$B$39*INDEX(Curves!$B$4:$AR$4,1,27-Projects!$C$39+1),0)+IF(AND(Projects!$G$40="Yes",Projects!$X$40="Yes",Projects!$M$40="Yes",27&gt;=Projects!$C$40,27&lt;Projects!$C$40+Projects!$D$40),Projects!$B$40*INDEX(Curves!$B$4:$AR$4,1,27-Projects!$C$40+1),0)+IF(AND(Projects!$G$41="Yes",Projects!$X$41="Yes",Projects!$M$41="Yes",27&gt;=Projects!$C$41,27&lt;Projects!$C$41+Projects!$D$41),Projects!$B$41*INDEX(Curves!$B$4:$AR$4,1,27-Projects!$C$41+1),0)+IF(AND(Projects!$G$42="Yes",Projects!$X$42="Yes",Projects!$M$42="Yes",27&gt;=Projects!$C$42,27&lt;Projects!$C$42+Projects!$D$42),Projects!$B$42*INDEX(Curves!$B$4:$AR$4,1,27-Projects!$C$42+1),0)+IF(AND(Projects!$G$43="Yes",Projects!$X$43="Yes",Projects!$M$43="Yes",27&gt;=Projects!$C$43,27&lt;Projects!$C$43+Projects!$D$43),Projects!$B$43*INDEX(Curves!$B$4:$AR$4,1,27-Projects!$C$43+1),0)+IF(AND(Projects!$G$44="Yes",Projects!$X$44="Yes",Projects!$M$44="Yes",27&gt;=Projects!$C$44,27&lt;Projects!$C$44+Projects!$D$44),Projects!$B$44*INDEX(Curves!$B$4:$AR$4,1,27-Projects!$C$44+1),0)+IF(AND(Projects!$G$45="Yes",Projects!$X$45="Yes",Projects!$M$45="Yes",27&gt;=Projects!$C$45,27&lt;Projects!$C$45+Projects!$D$45),Projects!$B$45*INDEX(Curves!$B$4:$AR$4,1,27-Projects!$C$45+1),0)+IF(AND(Projects!$G$46="Yes",Projects!$X$46="Yes",Projects!$M$46="Yes",27&gt;=Projects!$C$46,27&lt;Projects!$C$46+Projects!$D$46),Projects!$B$46*INDEX(Curves!$B$4:$AR$4,1,27-Projects!$C$46+1),0)</f>
        <v>0</v>
      </c>
      <c r="AG101" s="298" t="n">
        <f aca="false">IF(AND(Projects!$G$17="Yes",Projects!$X$17="Yes",Projects!$M$17="Yes",28&gt;=Projects!$C$17,28&lt;Projects!$C$17+Projects!$D$17),Projects!$B$17*INDEX(Curves!$B$4:$AR$4,1,28-Projects!$C$17+1),0)+IF(AND(Projects!$G$18="Yes",Projects!$X$18="Yes",Projects!$M$18="Yes",28&gt;=Projects!$C$18,28&lt;Projects!$C$18+Projects!$D$18),Projects!$B$18*INDEX(Curves!$B$4:$AR$4,1,28-Projects!$C$18+1),0)+IF(AND(Projects!$G$19="Yes",Projects!$X$19="Yes",Projects!$M$19="Yes",28&gt;=Projects!$C$19,28&lt;Projects!$C$19+Projects!$D$19),Projects!$B$19*INDEX(Curves!$B$10:$AR$10,1,28-Projects!$C$19+1),0)+IF(AND(Projects!$G$20="Yes",Projects!$X$20="Yes",Projects!$M$20="Yes",28&gt;=Projects!$C$20,28&lt;Projects!$C$20+Projects!$D$20),Projects!$B$20*INDEX(Curves!$B$4:$AR$4,1,28-Projects!$C$20+1),0)+IF(AND(Projects!$G$21="Yes",Projects!$X$21="Yes",Projects!$M$21="Yes",28&gt;=Projects!$C$21,28&lt;Projects!$C$21+Projects!$D$21),Projects!$B$21*INDEX(Curves!$B$11:$AR$11,1,28-Projects!$C$21+1),0)+IF(AND(Projects!$G$22="Yes",Projects!$X$22="Yes",Projects!$M$22="Yes",28&gt;=Projects!$C$22,28&lt;Projects!$C$22+Projects!$D$22),Projects!$B$22*INDEX(Curves!$B$4:$AR$4,1,28-Projects!$C$22+1),0)+IF(AND(Projects!$G$23="Yes",Projects!$X$23="Yes",Projects!$M$23="Yes",28&gt;=Projects!$C$23,28&lt;Projects!$C$23+Projects!$D$23),Projects!$B$23*INDEX(Curves!$B$4:$AR$4,1,28-Projects!$C$23+1),0)+IF(AND(Projects!$G$24="Yes",Projects!$X$24="Yes",Projects!$M$24="Yes",28&gt;=Projects!$C$24,28&lt;Projects!$C$24+Projects!$D$24),Projects!$B$24*INDEX(Curves!$B$4:$AR$4,1,28-Projects!$C$24+1),0)+IF(AND(Projects!$G$25="Yes",Projects!$X$25="Yes",Projects!$M$25="Yes",28&gt;=Projects!$C$25,28&lt;Projects!$C$25+Projects!$D$25),Projects!$B$25*INDEX(Curves!$B$4:$AR$4,1,28-Projects!$C$25+1),0)+IF(AND(Projects!$G$26="Yes",Projects!$X$26="Yes",Projects!$M$26="Yes",28&gt;=Projects!$C$26,28&lt;Projects!$C$26+Projects!$D$26),Projects!$B$26*INDEX(Curves!$B$4:$AR$4,1,28-Projects!$C$26+1),0)+IF(AND(Projects!$G$27="Yes",Projects!$X$27="Yes",Projects!$M$27="Yes",28&gt;=Projects!$C$27,28&lt;Projects!$C$27+Projects!$D$27),Projects!$B$27*INDEX(Curves!$B$4:$AR$4,1,28-Projects!$C$27+1),0)+IF(AND(Projects!$G$28="Yes",Projects!$X$28="Yes",Projects!$M$28="Yes",28&gt;=Projects!$C$28,28&lt;Projects!$C$28+Projects!$D$28),Projects!$B$28*INDEX(Curves!$B$4:$AR$4,1,28-Projects!$C$28+1),0)+IF(AND(Projects!$G$29="Yes",Projects!$X$29="Yes",Projects!$M$29="Yes",28&gt;=Projects!$C$29,28&lt;Projects!$C$29+Projects!$D$29),Projects!$B$29*INDEX(Curves!$B$4:$AR$4,1,28-Projects!$C$29+1),0)+IF(AND(Projects!$G$30="Yes",Projects!$X$30="Yes",Projects!$M$30="Yes",28&gt;=Projects!$C$30,28&lt;Projects!$C$30+Projects!$D$30),Projects!$B$30*INDEX(Curves!$B$4:$AR$4,1,28-Projects!$C$30+1),0)+IF(AND(Projects!$G$31="Yes",Projects!$X$31="Yes",Projects!$M$31="Yes",28&gt;=Projects!$C$31,28&lt;Projects!$C$31+Projects!$D$31),Projects!$B$31*INDEX(Curves!$B$4:$AR$4,1,28-Projects!$C$31+1),0)+IF(AND(Projects!$G$32="Yes",Projects!$X$32="Yes",Projects!$M$32="Yes",28&gt;=Projects!$C$32,28&lt;Projects!$C$32+Projects!$D$32),Projects!$B$32*INDEX(Curves!$B$4:$AR$4,1,28-Projects!$C$32+1),0)+IF(AND(Projects!$G$33="Yes",Projects!$X$33="Yes",Projects!$M$33="Yes",28&gt;=Projects!$C$33,28&lt;Projects!$C$33+Projects!$D$33),Projects!$B$33*INDEX(Curves!$B$4:$AR$4,1,28-Projects!$C$33+1),0)+IF(AND(Projects!$G$34="Yes",Projects!$X$34="Yes",Projects!$M$34="Yes",28&gt;=Projects!$C$34,28&lt;Projects!$C$34+Projects!$D$34),Projects!$B$34*INDEX(Curves!$B$4:$AR$4,1,28-Projects!$C$34+1),0)+IF(AND(Projects!$G$35="Yes",Projects!$X$35="Yes",Projects!$M$35="Yes",28&gt;=Projects!$C$35,28&lt;Projects!$C$35+Projects!$D$35),Projects!$B$35*INDEX(Curves!$B$4:$AR$4,1,28-Projects!$C$35+1),0)+IF(AND(Projects!$G$36="Yes",Projects!$X$36="Yes",Projects!$M$36="Yes",28&gt;=Projects!$C$36,28&lt;Projects!$C$36+Projects!$D$36),Projects!$B$36*INDEX(Curves!$B$4:$AR$4,1,28-Projects!$C$36+1),0)+IF(AND(Projects!$G$37="Yes",Projects!$X$37="Yes",Projects!$M$37="Yes",28&gt;=Projects!$C$37,28&lt;Projects!$C$37+Projects!$D$37),Projects!$B$37*INDEX(Curves!$B$4:$AR$4,1,28-Projects!$C$37+1),0)+IF(AND(Projects!$G$38="Yes",Projects!$X$38="Yes",Projects!$M$38="Yes",28&gt;=Projects!$C$38,28&lt;Projects!$C$38+Projects!$D$38),Projects!$B$38*INDEX(Curves!$B$4:$AR$4,1,28-Projects!$C$38+1),0)+IF(AND(Projects!$G$39="Yes",Projects!$X$39="Yes",Projects!$M$39="Yes",28&gt;=Projects!$C$39,28&lt;Projects!$C$39+Projects!$D$39),Projects!$B$39*INDEX(Curves!$B$4:$AR$4,1,28-Projects!$C$39+1),0)+IF(AND(Projects!$G$40="Yes",Projects!$X$40="Yes",Projects!$M$40="Yes",28&gt;=Projects!$C$40,28&lt;Projects!$C$40+Projects!$D$40),Projects!$B$40*INDEX(Curves!$B$4:$AR$4,1,28-Projects!$C$40+1),0)+IF(AND(Projects!$G$41="Yes",Projects!$X$41="Yes",Projects!$M$41="Yes",28&gt;=Projects!$C$41,28&lt;Projects!$C$41+Projects!$D$41),Projects!$B$41*INDEX(Curves!$B$4:$AR$4,1,28-Projects!$C$41+1),0)+IF(AND(Projects!$G$42="Yes",Projects!$X$42="Yes",Projects!$M$42="Yes",28&gt;=Projects!$C$42,28&lt;Projects!$C$42+Projects!$D$42),Projects!$B$42*INDEX(Curves!$B$4:$AR$4,1,28-Projects!$C$42+1),0)+IF(AND(Projects!$G$43="Yes",Projects!$X$43="Yes",Projects!$M$43="Yes",28&gt;=Projects!$C$43,28&lt;Projects!$C$43+Projects!$D$43),Projects!$B$43*INDEX(Curves!$B$4:$AR$4,1,28-Projects!$C$43+1),0)+IF(AND(Projects!$G$44="Yes",Projects!$X$44="Yes",Projects!$M$44="Yes",28&gt;=Projects!$C$44,28&lt;Projects!$C$44+Projects!$D$44),Projects!$B$44*INDEX(Curves!$B$4:$AR$4,1,28-Projects!$C$44+1),0)+IF(AND(Projects!$G$45="Yes",Projects!$X$45="Yes",Projects!$M$45="Yes",28&gt;=Projects!$C$45,28&lt;Projects!$C$45+Projects!$D$45),Projects!$B$45*INDEX(Curves!$B$4:$AR$4,1,28-Projects!$C$45+1),0)+IF(AND(Projects!$G$46="Yes",Projects!$X$46="Yes",Projects!$M$46="Yes",28&gt;=Projects!$C$46,28&lt;Projects!$C$46+Projects!$D$46),Projects!$B$46*INDEX(Curves!$B$4:$AR$4,1,28-Projects!$C$46+1),0)</f>
        <v>0</v>
      </c>
      <c r="AH101" s="298" t="n">
        <f aca="false">IF(AND(Projects!$G$17="Yes",Projects!$X$17="Yes",Projects!$M$17="Yes",29&gt;=Projects!$C$17,29&lt;Projects!$C$17+Projects!$D$17),Projects!$B$17*INDEX(Curves!$B$4:$AR$4,1,29-Projects!$C$17+1),0)+IF(AND(Projects!$G$18="Yes",Projects!$X$18="Yes",Projects!$M$18="Yes",29&gt;=Projects!$C$18,29&lt;Projects!$C$18+Projects!$D$18),Projects!$B$18*INDEX(Curves!$B$4:$AR$4,1,29-Projects!$C$18+1),0)+IF(AND(Projects!$G$19="Yes",Projects!$X$19="Yes",Projects!$M$19="Yes",29&gt;=Projects!$C$19,29&lt;Projects!$C$19+Projects!$D$19),Projects!$B$19*INDEX(Curves!$B$10:$AR$10,1,29-Projects!$C$19+1),0)+IF(AND(Projects!$G$20="Yes",Projects!$X$20="Yes",Projects!$M$20="Yes",29&gt;=Projects!$C$20,29&lt;Projects!$C$20+Projects!$D$20),Projects!$B$20*INDEX(Curves!$B$4:$AR$4,1,29-Projects!$C$20+1),0)+IF(AND(Projects!$G$21="Yes",Projects!$X$21="Yes",Projects!$M$21="Yes",29&gt;=Projects!$C$21,29&lt;Projects!$C$21+Projects!$D$21),Projects!$B$21*INDEX(Curves!$B$11:$AR$11,1,29-Projects!$C$21+1),0)+IF(AND(Projects!$G$22="Yes",Projects!$X$22="Yes",Projects!$M$22="Yes",29&gt;=Projects!$C$22,29&lt;Projects!$C$22+Projects!$D$22),Projects!$B$22*INDEX(Curves!$B$4:$AR$4,1,29-Projects!$C$22+1),0)+IF(AND(Projects!$G$23="Yes",Projects!$X$23="Yes",Projects!$M$23="Yes",29&gt;=Projects!$C$23,29&lt;Projects!$C$23+Projects!$D$23),Projects!$B$23*INDEX(Curves!$B$4:$AR$4,1,29-Projects!$C$23+1),0)+IF(AND(Projects!$G$24="Yes",Projects!$X$24="Yes",Projects!$M$24="Yes",29&gt;=Projects!$C$24,29&lt;Projects!$C$24+Projects!$D$24),Projects!$B$24*INDEX(Curves!$B$4:$AR$4,1,29-Projects!$C$24+1),0)+IF(AND(Projects!$G$25="Yes",Projects!$X$25="Yes",Projects!$M$25="Yes",29&gt;=Projects!$C$25,29&lt;Projects!$C$25+Projects!$D$25),Projects!$B$25*INDEX(Curves!$B$4:$AR$4,1,29-Projects!$C$25+1),0)+IF(AND(Projects!$G$26="Yes",Projects!$X$26="Yes",Projects!$M$26="Yes",29&gt;=Projects!$C$26,29&lt;Projects!$C$26+Projects!$D$26),Projects!$B$26*INDEX(Curves!$B$4:$AR$4,1,29-Projects!$C$26+1),0)+IF(AND(Projects!$G$27="Yes",Projects!$X$27="Yes",Projects!$M$27="Yes",29&gt;=Projects!$C$27,29&lt;Projects!$C$27+Projects!$D$27),Projects!$B$27*INDEX(Curves!$B$4:$AR$4,1,29-Projects!$C$27+1),0)+IF(AND(Projects!$G$28="Yes",Projects!$X$28="Yes",Projects!$M$28="Yes",29&gt;=Projects!$C$28,29&lt;Projects!$C$28+Projects!$D$28),Projects!$B$28*INDEX(Curves!$B$4:$AR$4,1,29-Projects!$C$28+1),0)+IF(AND(Projects!$G$29="Yes",Projects!$X$29="Yes",Projects!$M$29="Yes",29&gt;=Projects!$C$29,29&lt;Projects!$C$29+Projects!$D$29),Projects!$B$29*INDEX(Curves!$B$4:$AR$4,1,29-Projects!$C$29+1),0)+IF(AND(Projects!$G$30="Yes",Projects!$X$30="Yes",Projects!$M$30="Yes",29&gt;=Projects!$C$30,29&lt;Projects!$C$30+Projects!$D$30),Projects!$B$30*INDEX(Curves!$B$4:$AR$4,1,29-Projects!$C$30+1),0)+IF(AND(Projects!$G$31="Yes",Projects!$X$31="Yes",Projects!$M$31="Yes",29&gt;=Projects!$C$31,29&lt;Projects!$C$31+Projects!$D$31),Projects!$B$31*INDEX(Curves!$B$4:$AR$4,1,29-Projects!$C$31+1),0)+IF(AND(Projects!$G$32="Yes",Projects!$X$32="Yes",Projects!$M$32="Yes",29&gt;=Projects!$C$32,29&lt;Projects!$C$32+Projects!$D$32),Projects!$B$32*INDEX(Curves!$B$4:$AR$4,1,29-Projects!$C$32+1),0)+IF(AND(Projects!$G$33="Yes",Projects!$X$33="Yes",Projects!$M$33="Yes",29&gt;=Projects!$C$33,29&lt;Projects!$C$33+Projects!$D$33),Projects!$B$33*INDEX(Curves!$B$4:$AR$4,1,29-Projects!$C$33+1),0)+IF(AND(Projects!$G$34="Yes",Projects!$X$34="Yes",Projects!$M$34="Yes",29&gt;=Projects!$C$34,29&lt;Projects!$C$34+Projects!$D$34),Projects!$B$34*INDEX(Curves!$B$4:$AR$4,1,29-Projects!$C$34+1),0)+IF(AND(Projects!$G$35="Yes",Projects!$X$35="Yes",Projects!$M$35="Yes",29&gt;=Projects!$C$35,29&lt;Projects!$C$35+Projects!$D$35),Projects!$B$35*INDEX(Curves!$B$4:$AR$4,1,29-Projects!$C$35+1),0)+IF(AND(Projects!$G$36="Yes",Projects!$X$36="Yes",Projects!$M$36="Yes",29&gt;=Projects!$C$36,29&lt;Projects!$C$36+Projects!$D$36),Projects!$B$36*INDEX(Curves!$B$4:$AR$4,1,29-Projects!$C$36+1),0)+IF(AND(Projects!$G$37="Yes",Projects!$X$37="Yes",Projects!$M$37="Yes",29&gt;=Projects!$C$37,29&lt;Projects!$C$37+Projects!$D$37),Projects!$B$37*INDEX(Curves!$B$4:$AR$4,1,29-Projects!$C$37+1),0)+IF(AND(Projects!$G$38="Yes",Projects!$X$38="Yes",Projects!$M$38="Yes",29&gt;=Projects!$C$38,29&lt;Projects!$C$38+Projects!$D$38),Projects!$B$38*INDEX(Curves!$B$4:$AR$4,1,29-Projects!$C$38+1),0)+IF(AND(Projects!$G$39="Yes",Projects!$X$39="Yes",Projects!$M$39="Yes",29&gt;=Projects!$C$39,29&lt;Projects!$C$39+Projects!$D$39),Projects!$B$39*INDEX(Curves!$B$4:$AR$4,1,29-Projects!$C$39+1),0)+IF(AND(Projects!$G$40="Yes",Projects!$X$40="Yes",Projects!$M$40="Yes",29&gt;=Projects!$C$40,29&lt;Projects!$C$40+Projects!$D$40),Projects!$B$40*INDEX(Curves!$B$4:$AR$4,1,29-Projects!$C$40+1),0)+IF(AND(Projects!$G$41="Yes",Projects!$X$41="Yes",Projects!$M$41="Yes",29&gt;=Projects!$C$41,29&lt;Projects!$C$41+Projects!$D$41),Projects!$B$41*INDEX(Curves!$B$4:$AR$4,1,29-Projects!$C$41+1),0)+IF(AND(Projects!$G$42="Yes",Projects!$X$42="Yes",Projects!$M$42="Yes",29&gt;=Projects!$C$42,29&lt;Projects!$C$42+Projects!$D$42),Projects!$B$42*INDEX(Curves!$B$4:$AR$4,1,29-Projects!$C$42+1),0)+IF(AND(Projects!$G$43="Yes",Projects!$X$43="Yes",Projects!$M$43="Yes",29&gt;=Projects!$C$43,29&lt;Projects!$C$43+Projects!$D$43),Projects!$B$43*INDEX(Curves!$B$4:$AR$4,1,29-Projects!$C$43+1),0)+IF(AND(Projects!$G$44="Yes",Projects!$X$44="Yes",Projects!$M$44="Yes",29&gt;=Projects!$C$44,29&lt;Projects!$C$44+Projects!$D$44),Projects!$B$44*INDEX(Curves!$B$4:$AR$4,1,29-Projects!$C$44+1),0)+IF(AND(Projects!$G$45="Yes",Projects!$X$45="Yes",Projects!$M$45="Yes",29&gt;=Projects!$C$45,29&lt;Projects!$C$45+Projects!$D$45),Projects!$B$45*INDEX(Curves!$B$4:$AR$4,1,29-Projects!$C$45+1),0)+IF(AND(Projects!$G$46="Yes",Projects!$X$46="Yes",Projects!$M$46="Yes",29&gt;=Projects!$C$46,29&lt;Projects!$C$46+Projects!$D$46),Projects!$B$46*INDEX(Curves!$B$4:$AR$4,1,29-Projects!$C$46+1),0)</f>
        <v>0</v>
      </c>
      <c r="AI101" s="298" t="n">
        <f aca="false">IF(AND(Projects!$G$17="Yes",Projects!$X$17="Yes",Projects!$M$17="Yes",30&gt;=Projects!$C$17,30&lt;Projects!$C$17+Projects!$D$17),Projects!$B$17*INDEX(Curves!$B$4:$AR$4,1,30-Projects!$C$17+1),0)+IF(AND(Projects!$G$18="Yes",Projects!$X$18="Yes",Projects!$M$18="Yes",30&gt;=Projects!$C$18,30&lt;Projects!$C$18+Projects!$D$18),Projects!$B$18*INDEX(Curves!$B$4:$AR$4,1,30-Projects!$C$18+1),0)+IF(AND(Projects!$G$19="Yes",Projects!$X$19="Yes",Projects!$M$19="Yes",30&gt;=Projects!$C$19,30&lt;Projects!$C$19+Projects!$D$19),Projects!$B$19*INDEX(Curves!$B$10:$AR$10,1,30-Projects!$C$19+1),0)+IF(AND(Projects!$G$20="Yes",Projects!$X$20="Yes",Projects!$M$20="Yes",30&gt;=Projects!$C$20,30&lt;Projects!$C$20+Projects!$D$20),Projects!$B$20*INDEX(Curves!$B$4:$AR$4,1,30-Projects!$C$20+1),0)+IF(AND(Projects!$G$21="Yes",Projects!$X$21="Yes",Projects!$M$21="Yes",30&gt;=Projects!$C$21,30&lt;Projects!$C$21+Projects!$D$21),Projects!$B$21*INDEX(Curves!$B$11:$AR$11,1,30-Projects!$C$21+1),0)+IF(AND(Projects!$G$22="Yes",Projects!$X$22="Yes",Projects!$M$22="Yes",30&gt;=Projects!$C$22,30&lt;Projects!$C$22+Projects!$D$22),Projects!$B$22*INDEX(Curves!$B$4:$AR$4,1,30-Projects!$C$22+1),0)+IF(AND(Projects!$G$23="Yes",Projects!$X$23="Yes",Projects!$M$23="Yes",30&gt;=Projects!$C$23,30&lt;Projects!$C$23+Projects!$D$23),Projects!$B$23*INDEX(Curves!$B$4:$AR$4,1,30-Projects!$C$23+1),0)+IF(AND(Projects!$G$24="Yes",Projects!$X$24="Yes",Projects!$M$24="Yes",30&gt;=Projects!$C$24,30&lt;Projects!$C$24+Projects!$D$24),Projects!$B$24*INDEX(Curves!$B$4:$AR$4,1,30-Projects!$C$24+1),0)+IF(AND(Projects!$G$25="Yes",Projects!$X$25="Yes",Projects!$M$25="Yes",30&gt;=Projects!$C$25,30&lt;Projects!$C$25+Projects!$D$25),Projects!$B$25*INDEX(Curves!$B$4:$AR$4,1,30-Projects!$C$25+1),0)+IF(AND(Projects!$G$26="Yes",Projects!$X$26="Yes",Projects!$M$26="Yes",30&gt;=Projects!$C$26,30&lt;Projects!$C$26+Projects!$D$26),Projects!$B$26*INDEX(Curves!$B$4:$AR$4,1,30-Projects!$C$26+1),0)+IF(AND(Projects!$G$27="Yes",Projects!$X$27="Yes",Projects!$M$27="Yes",30&gt;=Projects!$C$27,30&lt;Projects!$C$27+Projects!$D$27),Projects!$B$27*INDEX(Curves!$B$4:$AR$4,1,30-Projects!$C$27+1),0)+IF(AND(Projects!$G$28="Yes",Projects!$X$28="Yes",Projects!$M$28="Yes",30&gt;=Projects!$C$28,30&lt;Projects!$C$28+Projects!$D$28),Projects!$B$28*INDEX(Curves!$B$4:$AR$4,1,30-Projects!$C$28+1),0)+IF(AND(Projects!$G$29="Yes",Projects!$X$29="Yes",Projects!$M$29="Yes",30&gt;=Projects!$C$29,30&lt;Projects!$C$29+Projects!$D$29),Projects!$B$29*INDEX(Curves!$B$4:$AR$4,1,30-Projects!$C$29+1),0)+IF(AND(Projects!$G$30="Yes",Projects!$X$30="Yes",Projects!$M$30="Yes",30&gt;=Projects!$C$30,30&lt;Projects!$C$30+Projects!$D$30),Projects!$B$30*INDEX(Curves!$B$4:$AR$4,1,30-Projects!$C$30+1),0)+IF(AND(Projects!$G$31="Yes",Projects!$X$31="Yes",Projects!$M$31="Yes",30&gt;=Projects!$C$31,30&lt;Projects!$C$31+Projects!$D$31),Projects!$B$31*INDEX(Curves!$B$4:$AR$4,1,30-Projects!$C$31+1),0)+IF(AND(Projects!$G$32="Yes",Projects!$X$32="Yes",Projects!$M$32="Yes",30&gt;=Projects!$C$32,30&lt;Projects!$C$32+Projects!$D$32),Projects!$B$32*INDEX(Curves!$B$4:$AR$4,1,30-Projects!$C$32+1),0)+IF(AND(Projects!$G$33="Yes",Projects!$X$33="Yes",Projects!$M$33="Yes",30&gt;=Projects!$C$33,30&lt;Projects!$C$33+Projects!$D$33),Projects!$B$33*INDEX(Curves!$B$4:$AR$4,1,30-Projects!$C$33+1),0)+IF(AND(Projects!$G$34="Yes",Projects!$X$34="Yes",Projects!$M$34="Yes",30&gt;=Projects!$C$34,30&lt;Projects!$C$34+Projects!$D$34),Projects!$B$34*INDEX(Curves!$B$4:$AR$4,1,30-Projects!$C$34+1),0)+IF(AND(Projects!$G$35="Yes",Projects!$X$35="Yes",Projects!$M$35="Yes",30&gt;=Projects!$C$35,30&lt;Projects!$C$35+Projects!$D$35),Projects!$B$35*INDEX(Curves!$B$4:$AR$4,1,30-Projects!$C$35+1),0)+IF(AND(Projects!$G$36="Yes",Projects!$X$36="Yes",Projects!$M$36="Yes",30&gt;=Projects!$C$36,30&lt;Projects!$C$36+Projects!$D$36),Projects!$B$36*INDEX(Curves!$B$4:$AR$4,1,30-Projects!$C$36+1),0)+IF(AND(Projects!$G$37="Yes",Projects!$X$37="Yes",Projects!$M$37="Yes",30&gt;=Projects!$C$37,30&lt;Projects!$C$37+Projects!$D$37),Projects!$B$37*INDEX(Curves!$B$4:$AR$4,1,30-Projects!$C$37+1),0)+IF(AND(Projects!$G$38="Yes",Projects!$X$38="Yes",Projects!$M$38="Yes",30&gt;=Projects!$C$38,30&lt;Projects!$C$38+Projects!$D$38),Projects!$B$38*INDEX(Curves!$B$4:$AR$4,1,30-Projects!$C$38+1),0)+IF(AND(Projects!$G$39="Yes",Projects!$X$39="Yes",Projects!$M$39="Yes",30&gt;=Projects!$C$39,30&lt;Projects!$C$39+Projects!$D$39),Projects!$B$39*INDEX(Curves!$B$4:$AR$4,1,30-Projects!$C$39+1),0)+IF(AND(Projects!$G$40="Yes",Projects!$X$40="Yes",Projects!$M$40="Yes",30&gt;=Projects!$C$40,30&lt;Projects!$C$40+Projects!$D$40),Projects!$B$40*INDEX(Curves!$B$4:$AR$4,1,30-Projects!$C$40+1),0)+IF(AND(Projects!$G$41="Yes",Projects!$X$41="Yes",Projects!$M$41="Yes",30&gt;=Projects!$C$41,30&lt;Projects!$C$41+Projects!$D$41),Projects!$B$41*INDEX(Curves!$B$4:$AR$4,1,30-Projects!$C$41+1),0)+IF(AND(Projects!$G$42="Yes",Projects!$X$42="Yes",Projects!$M$42="Yes",30&gt;=Projects!$C$42,30&lt;Projects!$C$42+Projects!$D$42),Projects!$B$42*INDEX(Curves!$B$4:$AR$4,1,30-Projects!$C$42+1),0)+IF(AND(Projects!$G$43="Yes",Projects!$X$43="Yes",Projects!$M$43="Yes",30&gt;=Projects!$C$43,30&lt;Projects!$C$43+Projects!$D$43),Projects!$B$43*INDEX(Curves!$B$4:$AR$4,1,30-Projects!$C$43+1),0)+IF(AND(Projects!$G$44="Yes",Projects!$X$44="Yes",Projects!$M$44="Yes",30&gt;=Projects!$C$44,30&lt;Projects!$C$44+Projects!$D$44),Projects!$B$44*INDEX(Curves!$B$4:$AR$4,1,30-Projects!$C$44+1),0)+IF(AND(Projects!$G$45="Yes",Projects!$X$45="Yes",Projects!$M$45="Yes",30&gt;=Projects!$C$45,30&lt;Projects!$C$45+Projects!$D$45),Projects!$B$45*INDEX(Curves!$B$4:$AR$4,1,30-Projects!$C$45+1),0)+IF(AND(Projects!$G$46="Yes",Projects!$X$46="Yes",Projects!$M$46="Yes",30&gt;=Projects!$C$46,30&lt;Projects!$C$46+Projects!$D$46),Projects!$B$46*INDEX(Curves!$B$4:$AR$4,1,30-Projects!$C$46+1),0)</f>
        <v>0</v>
      </c>
      <c r="AJ101" s="298" t="n">
        <f aca="false">IF(AND(Projects!$G$17="Yes",Projects!$X$17="Yes",Projects!$M$17="Yes",31&gt;=Projects!$C$17,31&lt;Projects!$C$17+Projects!$D$17),Projects!$B$17*INDEX(Curves!$B$4:$AR$4,1,31-Projects!$C$17+1),0)+IF(AND(Projects!$G$18="Yes",Projects!$X$18="Yes",Projects!$M$18="Yes",31&gt;=Projects!$C$18,31&lt;Projects!$C$18+Projects!$D$18),Projects!$B$18*INDEX(Curves!$B$4:$AR$4,1,31-Projects!$C$18+1),0)+IF(AND(Projects!$G$19="Yes",Projects!$X$19="Yes",Projects!$M$19="Yes",31&gt;=Projects!$C$19,31&lt;Projects!$C$19+Projects!$D$19),Projects!$B$19*INDEX(Curves!$B$10:$AR$10,1,31-Projects!$C$19+1),0)+IF(AND(Projects!$G$20="Yes",Projects!$X$20="Yes",Projects!$M$20="Yes",31&gt;=Projects!$C$20,31&lt;Projects!$C$20+Projects!$D$20),Projects!$B$20*INDEX(Curves!$B$4:$AR$4,1,31-Projects!$C$20+1),0)+IF(AND(Projects!$G$21="Yes",Projects!$X$21="Yes",Projects!$M$21="Yes",31&gt;=Projects!$C$21,31&lt;Projects!$C$21+Projects!$D$21),Projects!$B$21*INDEX(Curves!$B$11:$AR$11,1,31-Projects!$C$21+1),0)+IF(AND(Projects!$G$22="Yes",Projects!$X$22="Yes",Projects!$M$22="Yes",31&gt;=Projects!$C$22,31&lt;Projects!$C$22+Projects!$D$22),Projects!$B$22*INDEX(Curves!$B$4:$AR$4,1,31-Projects!$C$22+1),0)+IF(AND(Projects!$G$23="Yes",Projects!$X$23="Yes",Projects!$M$23="Yes",31&gt;=Projects!$C$23,31&lt;Projects!$C$23+Projects!$D$23),Projects!$B$23*INDEX(Curves!$B$4:$AR$4,1,31-Projects!$C$23+1),0)+IF(AND(Projects!$G$24="Yes",Projects!$X$24="Yes",Projects!$M$24="Yes",31&gt;=Projects!$C$24,31&lt;Projects!$C$24+Projects!$D$24),Projects!$B$24*INDEX(Curves!$B$4:$AR$4,1,31-Projects!$C$24+1),0)+IF(AND(Projects!$G$25="Yes",Projects!$X$25="Yes",Projects!$M$25="Yes",31&gt;=Projects!$C$25,31&lt;Projects!$C$25+Projects!$D$25),Projects!$B$25*INDEX(Curves!$B$4:$AR$4,1,31-Projects!$C$25+1),0)+IF(AND(Projects!$G$26="Yes",Projects!$X$26="Yes",Projects!$M$26="Yes",31&gt;=Projects!$C$26,31&lt;Projects!$C$26+Projects!$D$26),Projects!$B$26*INDEX(Curves!$B$4:$AR$4,1,31-Projects!$C$26+1),0)+IF(AND(Projects!$G$27="Yes",Projects!$X$27="Yes",Projects!$M$27="Yes",31&gt;=Projects!$C$27,31&lt;Projects!$C$27+Projects!$D$27),Projects!$B$27*INDEX(Curves!$B$4:$AR$4,1,31-Projects!$C$27+1),0)+IF(AND(Projects!$G$28="Yes",Projects!$X$28="Yes",Projects!$M$28="Yes",31&gt;=Projects!$C$28,31&lt;Projects!$C$28+Projects!$D$28),Projects!$B$28*INDEX(Curves!$B$4:$AR$4,1,31-Projects!$C$28+1),0)+IF(AND(Projects!$G$29="Yes",Projects!$X$29="Yes",Projects!$M$29="Yes",31&gt;=Projects!$C$29,31&lt;Projects!$C$29+Projects!$D$29),Projects!$B$29*INDEX(Curves!$B$4:$AR$4,1,31-Projects!$C$29+1),0)+IF(AND(Projects!$G$30="Yes",Projects!$X$30="Yes",Projects!$M$30="Yes",31&gt;=Projects!$C$30,31&lt;Projects!$C$30+Projects!$D$30),Projects!$B$30*INDEX(Curves!$B$4:$AR$4,1,31-Projects!$C$30+1),0)+IF(AND(Projects!$G$31="Yes",Projects!$X$31="Yes",Projects!$M$31="Yes",31&gt;=Projects!$C$31,31&lt;Projects!$C$31+Projects!$D$31),Projects!$B$31*INDEX(Curves!$B$4:$AR$4,1,31-Projects!$C$31+1),0)+IF(AND(Projects!$G$32="Yes",Projects!$X$32="Yes",Projects!$M$32="Yes",31&gt;=Projects!$C$32,31&lt;Projects!$C$32+Projects!$D$32),Projects!$B$32*INDEX(Curves!$B$4:$AR$4,1,31-Projects!$C$32+1),0)+IF(AND(Projects!$G$33="Yes",Projects!$X$33="Yes",Projects!$M$33="Yes",31&gt;=Projects!$C$33,31&lt;Projects!$C$33+Projects!$D$33),Projects!$B$33*INDEX(Curves!$B$4:$AR$4,1,31-Projects!$C$33+1),0)+IF(AND(Projects!$G$34="Yes",Projects!$X$34="Yes",Projects!$M$34="Yes",31&gt;=Projects!$C$34,31&lt;Projects!$C$34+Projects!$D$34),Projects!$B$34*INDEX(Curves!$B$4:$AR$4,1,31-Projects!$C$34+1),0)+IF(AND(Projects!$G$35="Yes",Projects!$X$35="Yes",Projects!$M$35="Yes",31&gt;=Projects!$C$35,31&lt;Projects!$C$35+Projects!$D$35),Projects!$B$35*INDEX(Curves!$B$4:$AR$4,1,31-Projects!$C$35+1),0)+IF(AND(Projects!$G$36="Yes",Projects!$X$36="Yes",Projects!$M$36="Yes",31&gt;=Projects!$C$36,31&lt;Projects!$C$36+Projects!$D$36),Projects!$B$36*INDEX(Curves!$B$4:$AR$4,1,31-Projects!$C$36+1),0)+IF(AND(Projects!$G$37="Yes",Projects!$X$37="Yes",Projects!$M$37="Yes",31&gt;=Projects!$C$37,31&lt;Projects!$C$37+Projects!$D$37),Projects!$B$37*INDEX(Curves!$B$4:$AR$4,1,31-Projects!$C$37+1),0)+IF(AND(Projects!$G$38="Yes",Projects!$X$38="Yes",Projects!$M$38="Yes",31&gt;=Projects!$C$38,31&lt;Projects!$C$38+Projects!$D$38),Projects!$B$38*INDEX(Curves!$B$4:$AR$4,1,31-Projects!$C$38+1),0)+IF(AND(Projects!$G$39="Yes",Projects!$X$39="Yes",Projects!$M$39="Yes",31&gt;=Projects!$C$39,31&lt;Projects!$C$39+Projects!$D$39),Projects!$B$39*INDEX(Curves!$B$4:$AR$4,1,31-Projects!$C$39+1),0)+IF(AND(Projects!$G$40="Yes",Projects!$X$40="Yes",Projects!$M$40="Yes",31&gt;=Projects!$C$40,31&lt;Projects!$C$40+Projects!$D$40),Projects!$B$40*INDEX(Curves!$B$4:$AR$4,1,31-Projects!$C$40+1),0)+IF(AND(Projects!$G$41="Yes",Projects!$X$41="Yes",Projects!$M$41="Yes",31&gt;=Projects!$C$41,31&lt;Projects!$C$41+Projects!$D$41),Projects!$B$41*INDEX(Curves!$B$4:$AR$4,1,31-Projects!$C$41+1),0)+IF(AND(Projects!$G$42="Yes",Projects!$X$42="Yes",Projects!$M$42="Yes",31&gt;=Projects!$C$42,31&lt;Projects!$C$42+Projects!$D$42),Projects!$B$42*INDEX(Curves!$B$4:$AR$4,1,31-Projects!$C$42+1),0)+IF(AND(Projects!$G$43="Yes",Projects!$X$43="Yes",Projects!$M$43="Yes",31&gt;=Projects!$C$43,31&lt;Projects!$C$43+Projects!$D$43),Projects!$B$43*INDEX(Curves!$B$4:$AR$4,1,31-Projects!$C$43+1),0)+IF(AND(Projects!$G$44="Yes",Projects!$X$44="Yes",Projects!$M$44="Yes",31&gt;=Projects!$C$44,31&lt;Projects!$C$44+Projects!$D$44),Projects!$B$44*INDEX(Curves!$B$4:$AR$4,1,31-Projects!$C$44+1),0)+IF(AND(Projects!$G$45="Yes",Projects!$X$45="Yes",Projects!$M$45="Yes",31&gt;=Projects!$C$45,31&lt;Projects!$C$45+Projects!$D$45),Projects!$B$45*INDEX(Curves!$B$4:$AR$4,1,31-Projects!$C$45+1),0)+IF(AND(Projects!$G$46="Yes",Projects!$X$46="Yes",Projects!$M$46="Yes",31&gt;=Projects!$C$46,31&lt;Projects!$C$46+Projects!$D$46),Projects!$B$46*INDEX(Curves!$B$4:$AR$4,1,31-Projects!$C$46+1),0)</f>
        <v>0</v>
      </c>
      <c r="AK101" s="298" t="n">
        <f aca="false">IF(AND(Projects!$G$17="Yes",Projects!$X$17="Yes",Projects!$M$17="Yes",32&gt;=Projects!$C$17,32&lt;Projects!$C$17+Projects!$D$17),Projects!$B$17*INDEX(Curves!$B$4:$AR$4,1,32-Projects!$C$17+1),0)+IF(AND(Projects!$G$18="Yes",Projects!$X$18="Yes",Projects!$M$18="Yes",32&gt;=Projects!$C$18,32&lt;Projects!$C$18+Projects!$D$18),Projects!$B$18*INDEX(Curves!$B$4:$AR$4,1,32-Projects!$C$18+1),0)+IF(AND(Projects!$G$19="Yes",Projects!$X$19="Yes",Projects!$M$19="Yes",32&gt;=Projects!$C$19,32&lt;Projects!$C$19+Projects!$D$19),Projects!$B$19*INDEX(Curves!$B$10:$AR$10,1,32-Projects!$C$19+1),0)+IF(AND(Projects!$G$20="Yes",Projects!$X$20="Yes",Projects!$M$20="Yes",32&gt;=Projects!$C$20,32&lt;Projects!$C$20+Projects!$D$20),Projects!$B$20*INDEX(Curves!$B$4:$AR$4,1,32-Projects!$C$20+1),0)+IF(AND(Projects!$G$21="Yes",Projects!$X$21="Yes",Projects!$M$21="Yes",32&gt;=Projects!$C$21,32&lt;Projects!$C$21+Projects!$D$21),Projects!$B$21*INDEX(Curves!$B$11:$AR$11,1,32-Projects!$C$21+1),0)+IF(AND(Projects!$G$22="Yes",Projects!$X$22="Yes",Projects!$M$22="Yes",32&gt;=Projects!$C$22,32&lt;Projects!$C$22+Projects!$D$22),Projects!$B$22*INDEX(Curves!$B$4:$AR$4,1,32-Projects!$C$22+1),0)+IF(AND(Projects!$G$23="Yes",Projects!$X$23="Yes",Projects!$M$23="Yes",32&gt;=Projects!$C$23,32&lt;Projects!$C$23+Projects!$D$23),Projects!$B$23*INDEX(Curves!$B$4:$AR$4,1,32-Projects!$C$23+1),0)+IF(AND(Projects!$G$24="Yes",Projects!$X$24="Yes",Projects!$M$24="Yes",32&gt;=Projects!$C$24,32&lt;Projects!$C$24+Projects!$D$24),Projects!$B$24*INDEX(Curves!$B$4:$AR$4,1,32-Projects!$C$24+1),0)+IF(AND(Projects!$G$25="Yes",Projects!$X$25="Yes",Projects!$M$25="Yes",32&gt;=Projects!$C$25,32&lt;Projects!$C$25+Projects!$D$25),Projects!$B$25*INDEX(Curves!$B$4:$AR$4,1,32-Projects!$C$25+1),0)+IF(AND(Projects!$G$26="Yes",Projects!$X$26="Yes",Projects!$M$26="Yes",32&gt;=Projects!$C$26,32&lt;Projects!$C$26+Projects!$D$26),Projects!$B$26*INDEX(Curves!$B$4:$AR$4,1,32-Projects!$C$26+1),0)+IF(AND(Projects!$G$27="Yes",Projects!$X$27="Yes",Projects!$M$27="Yes",32&gt;=Projects!$C$27,32&lt;Projects!$C$27+Projects!$D$27),Projects!$B$27*INDEX(Curves!$B$4:$AR$4,1,32-Projects!$C$27+1),0)+IF(AND(Projects!$G$28="Yes",Projects!$X$28="Yes",Projects!$M$28="Yes",32&gt;=Projects!$C$28,32&lt;Projects!$C$28+Projects!$D$28),Projects!$B$28*INDEX(Curves!$B$4:$AR$4,1,32-Projects!$C$28+1),0)+IF(AND(Projects!$G$29="Yes",Projects!$X$29="Yes",Projects!$M$29="Yes",32&gt;=Projects!$C$29,32&lt;Projects!$C$29+Projects!$D$29),Projects!$B$29*INDEX(Curves!$B$4:$AR$4,1,32-Projects!$C$29+1),0)+IF(AND(Projects!$G$30="Yes",Projects!$X$30="Yes",Projects!$M$30="Yes",32&gt;=Projects!$C$30,32&lt;Projects!$C$30+Projects!$D$30),Projects!$B$30*INDEX(Curves!$B$4:$AR$4,1,32-Projects!$C$30+1),0)+IF(AND(Projects!$G$31="Yes",Projects!$X$31="Yes",Projects!$M$31="Yes",32&gt;=Projects!$C$31,32&lt;Projects!$C$31+Projects!$D$31),Projects!$B$31*INDEX(Curves!$B$4:$AR$4,1,32-Projects!$C$31+1),0)+IF(AND(Projects!$G$32="Yes",Projects!$X$32="Yes",Projects!$M$32="Yes",32&gt;=Projects!$C$32,32&lt;Projects!$C$32+Projects!$D$32),Projects!$B$32*INDEX(Curves!$B$4:$AR$4,1,32-Projects!$C$32+1),0)+IF(AND(Projects!$G$33="Yes",Projects!$X$33="Yes",Projects!$M$33="Yes",32&gt;=Projects!$C$33,32&lt;Projects!$C$33+Projects!$D$33),Projects!$B$33*INDEX(Curves!$B$4:$AR$4,1,32-Projects!$C$33+1),0)+IF(AND(Projects!$G$34="Yes",Projects!$X$34="Yes",Projects!$M$34="Yes",32&gt;=Projects!$C$34,32&lt;Projects!$C$34+Projects!$D$34),Projects!$B$34*INDEX(Curves!$B$4:$AR$4,1,32-Projects!$C$34+1),0)+IF(AND(Projects!$G$35="Yes",Projects!$X$35="Yes",Projects!$M$35="Yes",32&gt;=Projects!$C$35,32&lt;Projects!$C$35+Projects!$D$35),Projects!$B$35*INDEX(Curves!$B$4:$AR$4,1,32-Projects!$C$35+1),0)+IF(AND(Projects!$G$36="Yes",Projects!$X$36="Yes",Projects!$M$36="Yes",32&gt;=Projects!$C$36,32&lt;Projects!$C$36+Projects!$D$36),Projects!$B$36*INDEX(Curves!$B$4:$AR$4,1,32-Projects!$C$36+1),0)+IF(AND(Projects!$G$37="Yes",Projects!$X$37="Yes",Projects!$M$37="Yes",32&gt;=Projects!$C$37,32&lt;Projects!$C$37+Projects!$D$37),Projects!$B$37*INDEX(Curves!$B$4:$AR$4,1,32-Projects!$C$37+1),0)+IF(AND(Projects!$G$38="Yes",Projects!$X$38="Yes",Projects!$M$38="Yes",32&gt;=Projects!$C$38,32&lt;Projects!$C$38+Projects!$D$38),Projects!$B$38*INDEX(Curves!$B$4:$AR$4,1,32-Projects!$C$38+1),0)+IF(AND(Projects!$G$39="Yes",Projects!$X$39="Yes",Projects!$M$39="Yes",32&gt;=Projects!$C$39,32&lt;Projects!$C$39+Projects!$D$39),Projects!$B$39*INDEX(Curves!$B$4:$AR$4,1,32-Projects!$C$39+1),0)+IF(AND(Projects!$G$40="Yes",Projects!$X$40="Yes",Projects!$M$40="Yes",32&gt;=Projects!$C$40,32&lt;Projects!$C$40+Projects!$D$40),Projects!$B$40*INDEX(Curves!$B$4:$AR$4,1,32-Projects!$C$40+1),0)+IF(AND(Projects!$G$41="Yes",Projects!$X$41="Yes",Projects!$M$41="Yes",32&gt;=Projects!$C$41,32&lt;Projects!$C$41+Projects!$D$41),Projects!$B$41*INDEX(Curves!$B$4:$AR$4,1,32-Projects!$C$41+1),0)+IF(AND(Projects!$G$42="Yes",Projects!$X$42="Yes",Projects!$M$42="Yes",32&gt;=Projects!$C$42,32&lt;Projects!$C$42+Projects!$D$42),Projects!$B$42*INDEX(Curves!$B$4:$AR$4,1,32-Projects!$C$42+1),0)+IF(AND(Projects!$G$43="Yes",Projects!$X$43="Yes",Projects!$M$43="Yes",32&gt;=Projects!$C$43,32&lt;Projects!$C$43+Projects!$D$43),Projects!$B$43*INDEX(Curves!$B$4:$AR$4,1,32-Projects!$C$43+1),0)+IF(AND(Projects!$G$44="Yes",Projects!$X$44="Yes",Projects!$M$44="Yes",32&gt;=Projects!$C$44,32&lt;Projects!$C$44+Projects!$D$44),Projects!$B$44*INDEX(Curves!$B$4:$AR$4,1,32-Projects!$C$44+1),0)+IF(AND(Projects!$G$45="Yes",Projects!$X$45="Yes",Projects!$M$45="Yes",32&gt;=Projects!$C$45,32&lt;Projects!$C$45+Projects!$D$45),Projects!$B$45*INDEX(Curves!$B$4:$AR$4,1,32-Projects!$C$45+1),0)+IF(AND(Projects!$G$46="Yes",Projects!$X$46="Yes",Projects!$M$46="Yes",32&gt;=Projects!$C$46,32&lt;Projects!$C$46+Projects!$D$46),Projects!$B$46*INDEX(Curves!$B$4:$AR$4,1,32-Projects!$C$46+1),0)</f>
        <v>0</v>
      </c>
      <c r="AL101" s="298" t="n">
        <f aca="false">IF(AND(Projects!$G$17="Yes",Projects!$X$17="Yes",Projects!$M$17="Yes",33&gt;=Projects!$C$17,33&lt;Projects!$C$17+Projects!$D$17),Projects!$B$17*INDEX(Curves!$B$4:$AR$4,1,33-Projects!$C$17+1),0)+IF(AND(Projects!$G$18="Yes",Projects!$X$18="Yes",Projects!$M$18="Yes",33&gt;=Projects!$C$18,33&lt;Projects!$C$18+Projects!$D$18),Projects!$B$18*INDEX(Curves!$B$4:$AR$4,1,33-Projects!$C$18+1),0)+IF(AND(Projects!$G$19="Yes",Projects!$X$19="Yes",Projects!$M$19="Yes",33&gt;=Projects!$C$19,33&lt;Projects!$C$19+Projects!$D$19),Projects!$B$19*INDEX(Curves!$B$10:$AR$10,1,33-Projects!$C$19+1),0)+IF(AND(Projects!$G$20="Yes",Projects!$X$20="Yes",Projects!$M$20="Yes",33&gt;=Projects!$C$20,33&lt;Projects!$C$20+Projects!$D$20),Projects!$B$20*INDEX(Curves!$B$4:$AR$4,1,33-Projects!$C$20+1),0)+IF(AND(Projects!$G$21="Yes",Projects!$X$21="Yes",Projects!$M$21="Yes",33&gt;=Projects!$C$21,33&lt;Projects!$C$21+Projects!$D$21),Projects!$B$21*INDEX(Curves!$B$11:$AR$11,1,33-Projects!$C$21+1),0)+IF(AND(Projects!$G$22="Yes",Projects!$X$22="Yes",Projects!$M$22="Yes",33&gt;=Projects!$C$22,33&lt;Projects!$C$22+Projects!$D$22),Projects!$B$22*INDEX(Curves!$B$4:$AR$4,1,33-Projects!$C$22+1),0)+IF(AND(Projects!$G$23="Yes",Projects!$X$23="Yes",Projects!$M$23="Yes",33&gt;=Projects!$C$23,33&lt;Projects!$C$23+Projects!$D$23),Projects!$B$23*INDEX(Curves!$B$4:$AR$4,1,33-Projects!$C$23+1),0)+IF(AND(Projects!$G$24="Yes",Projects!$X$24="Yes",Projects!$M$24="Yes",33&gt;=Projects!$C$24,33&lt;Projects!$C$24+Projects!$D$24),Projects!$B$24*INDEX(Curves!$B$4:$AR$4,1,33-Projects!$C$24+1),0)+IF(AND(Projects!$G$25="Yes",Projects!$X$25="Yes",Projects!$M$25="Yes",33&gt;=Projects!$C$25,33&lt;Projects!$C$25+Projects!$D$25),Projects!$B$25*INDEX(Curves!$B$4:$AR$4,1,33-Projects!$C$25+1),0)+IF(AND(Projects!$G$26="Yes",Projects!$X$26="Yes",Projects!$M$26="Yes",33&gt;=Projects!$C$26,33&lt;Projects!$C$26+Projects!$D$26),Projects!$B$26*INDEX(Curves!$B$4:$AR$4,1,33-Projects!$C$26+1),0)+IF(AND(Projects!$G$27="Yes",Projects!$X$27="Yes",Projects!$M$27="Yes",33&gt;=Projects!$C$27,33&lt;Projects!$C$27+Projects!$D$27),Projects!$B$27*INDEX(Curves!$B$4:$AR$4,1,33-Projects!$C$27+1),0)+IF(AND(Projects!$G$28="Yes",Projects!$X$28="Yes",Projects!$M$28="Yes",33&gt;=Projects!$C$28,33&lt;Projects!$C$28+Projects!$D$28),Projects!$B$28*INDEX(Curves!$B$4:$AR$4,1,33-Projects!$C$28+1),0)+IF(AND(Projects!$G$29="Yes",Projects!$X$29="Yes",Projects!$M$29="Yes",33&gt;=Projects!$C$29,33&lt;Projects!$C$29+Projects!$D$29),Projects!$B$29*INDEX(Curves!$B$4:$AR$4,1,33-Projects!$C$29+1),0)+IF(AND(Projects!$G$30="Yes",Projects!$X$30="Yes",Projects!$M$30="Yes",33&gt;=Projects!$C$30,33&lt;Projects!$C$30+Projects!$D$30),Projects!$B$30*INDEX(Curves!$B$4:$AR$4,1,33-Projects!$C$30+1),0)+IF(AND(Projects!$G$31="Yes",Projects!$X$31="Yes",Projects!$M$31="Yes",33&gt;=Projects!$C$31,33&lt;Projects!$C$31+Projects!$D$31),Projects!$B$31*INDEX(Curves!$B$4:$AR$4,1,33-Projects!$C$31+1),0)+IF(AND(Projects!$G$32="Yes",Projects!$X$32="Yes",Projects!$M$32="Yes",33&gt;=Projects!$C$32,33&lt;Projects!$C$32+Projects!$D$32),Projects!$B$32*INDEX(Curves!$B$4:$AR$4,1,33-Projects!$C$32+1),0)+IF(AND(Projects!$G$33="Yes",Projects!$X$33="Yes",Projects!$M$33="Yes",33&gt;=Projects!$C$33,33&lt;Projects!$C$33+Projects!$D$33),Projects!$B$33*INDEX(Curves!$B$4:$AR$4,1,33-Projects!$C$33+1),0)+IF(AND(Projects!$G$34="Yes",Projects!$X$34="Yes",Projects!$M$34="Yes",33&gt;=Projects!$C$34,33&lt;Projects!$C$34+Projects!$D$34),Projects!$B$34*INDEX(Curves!$B$4:$AR$4,1,33-Projects!$C$34+1),0)+IF(AND(Projects!$G$35="Yes",Projects!$X$35="Yes",Projects!$M$35="Yes",33&gt;=Projects!$C$35,33&lt;Projects!$C$35+Projects!$D$35),Projects!$B$35*INDEX(Curves!$B$4:$AR$4,1,33-Projects!$C$35+1),0)+IF(AND(Projects!$G$36="Yes",Projects!$X$36="Yes",Projects!$M$36="Yes",33&gt;=Projects!$C$36,33&lt;Projects!$C$36+Projects!$D$36),Projects!$B$36*INDEX(Curves!$B$4:$AR$4,1,33-Projects!$C$36+1),0)+IF(AND(Projects!$G$37="Yes",Projects!$X$37="Yes",Projects!$M$37="Yes",33&gt;=Projects!$C$37,33&lt;Projects!$C$37+Projects!$D$37),Projects!$B$37*INDEX(Curves!$B$4:$AR$4,1,33-Projects!$C$37+1),0)+IF(AND(Projects!$G$38="Yes",Projects!$X$38="Yes",Projects!$M$38="Yes",33&gt;=Projects!$C$38,33&lt;Projects!$C$38+Projects!$D$38),Projects!$B$38*INDEX(Curves!$B$4:$AR$4,1,33-Projects!$C$38+1),0)+IF(AND(Projects!$G$39="Yes",Projects!$X$39="Yes",Projects!$M$39="Yes",33&gt;=Projects!$C$39,33&lt;Projects!$C$39+Projects!$D$39),Projects!$B$39*INDEX(Curves!$B$4:$AR$4,1,33-Projects!$C$39+1),0)+IF(AND(Projects!$G$40="Yes",Projects!$X$40="Yes",Projects!$M$40="Yes",33&gt;=Projects!$C$40,33&lt;Projects!$C$40+Projects!$D$40),Projects!$B$40*INDEX(Curves!$B$4:$AR$4,1,33-Projects!$C$40+1),0)+IF(AND(Projects!$G$41="Yes",Projects!$X$41="Yes",Projects!$M$41="Yes",33&gt;=Projects!$C$41,33&lt;Projects!$C$41+Projects!$D$41),Projects!$B$41*INDEX(Curves!$B$4:$AR$4,1,33-Projects!$C$41+1),0)+IF(AND(Projects!$G$42="Yes",Projects!$X$42="Yes",Projects!$M$42="Yes",33&gt;=Projects!$C$42,33&lt;Projects!$C$42+Projects!$D$42),Projects!$B$42*INDEX(Curves!$B$4:$AR$4,1,33-Projects!$C$42+1),0)+IF(AND(Projects!$G$43="Yes",Projects!$X$43="Yes",Projects!$M$43="Yes",33&gt;=Projects!$C$43,33&lt;Projects!$C$43+Projects!$D$43),Projects!$B$43*INDEX(Curves!$B$4:$AR$4,1,33-Projects!$C$43+1),0)+IF(AND(Projects!$G$44="Yes",Projects!$X$44="Yes",Projects!$M$44="Yes",33&gt;=Projects!$C$44,33&lt;Projects!$C$44+Projects!$D$44),Projects!$B$44*INDEX(Curves!$B$4:$AR$4,1,33-Projects!$C$44+1),0)+IF(AND(Projects!$G$45="Yes",Projects!$X$45="Yes",Projects!$M$45="Yes",33&gt;=Projects!$C$45,33&lt;Projects!$C$45+Projects!$D$45),Projects!$B$45*INDEX(Curves!$B$4:$AR$4,1,33-Projects!$C$45+1),0)+IF(AND(Projects!$G$46="Yes",Projects!$X$46="Yes",Projects!$M$46="Yes",33&gt;=Projects!$C$46,33&lt;Projects!$C$46+Projects!$D$46),Projects!$B$46*INDEX(Curves!$B$4:$AR$4,1,33-Projects!$C$46+1),0)</f>
        <v>0</v>
      </c>
      <c r="AM101" s="298" t="n">
        <f aca="false">IF(AND(Projects!$G$17="Yes",Projects!$X$17="Yes",Projects!$M$17="Yes",34&gt;=Projects!$C$17,34&lt;Projects!$C$17+Projects!$D$17),Projects!$B$17*INDEX(Curves!$B$4:$AR$4,1,34-Projects!$C$17+1),0)+IF(AND(Projects!$G$18="Yes",Projects!$X$18="Yes",Projects!$M$18="Yes",34&gt;=Projects!$C$18,34&lt;Projects!$C$18+Projects!$D$18),Projects!$B$18*INDEX(Curves!$B$4:$AR$4,1,34-Projects!$C$18+1),0)+IF(AND(Projects!$G$19="Yes",Projects!$X$19="Yes",Projects!$M$19="Yes",34&gt;=Projects!$C$19,34&lt;Projects!$C$19+Projects!$D$19),Projects!$B$19*INDEX(Curves!$B$10:$AR$10,1,34-Projects!$C$19+1),0)+IF(AND(Projects!$G$20="Yes",Projects!$X$20="Yes",Projects!$M$20="Yes",34&gt;=Projects!$C$20,34&lt;Projects!$C$20+Projects!$D$20),Projects!$B$20*INDEX(Curves!$B$4:$AR$4,1,34-Projects!$C$20+1),0)+IF(AND(Projects!$G$21="Yes",Projects!$X$21="Yes",Projects!$M$21="Yes",34&gt;=Projects!$C$21,34&lt;Projects!$C$21+Projects!$D$21),Projects!$B$21*INDEX(Curves!$B$11:$AR$11,1,34-Projects!$C$21+1),0)+IF(AND(Projects!$G$22="Yes",Projects!$X$22="Yes",Projects!$M$22="Yes",34&gt;=Projects!$C$22,34&lt;Projects!$C$22+Projects!$D$22),Projects!$B$22*INDEX(Curves!$B$4:$AR$4,1,34-Projects!$C$22+1),0)+IF(AND(Projects!$G$23="Yes",Projects!$X$23="Yes",Projects!$M$23="Yes",34&gt;=Projects!$C$23,34&lt;Projects!$C$23+Projects!$D$23),Projects!$B$23*INDEX(Curves!$B$4:$AR$4,1,34-Projects!$C$23+1),0)+IF(AND(Projects!$G$24="Yes",Projects!$X$24="Yes",Projects!$M$24="Yes",34&gt;=Projects!$C$24,34&lt;Projects!$C$24+Projects!$D$24),Projects!$B$24*INDEX(Curves!$B$4:$AR$4,1,34-Projects!$C$24+1),0)+IF(AND(Projects!$G$25="Yes",Projects!$X$25="Yes",Projects!$M$25="Yes",34&gt;=Projects!$C$25,34&lt;Projects!$C$25+Projects!$D$25),Projects!$B$25*INDEX(Curves!$B$4:$AR$4,1,34-Projects!$C$25+1),0)+IF(AND(Projects!$G$26="Yes",Projects!$X$26="Yes",Projects!$M$26="Yes",34&gt;=Projects!$C$26,34&lt;Projects!$C$26+Projects!$D$26),Projects!$B$26*INDEX(Curves!$B$4:$AR$4,1,34-Projects!$C$26+1),0)+IF(AND(Projects!$G$27="Yes",Projects!$X$27="Yes",Projects!$M$27="Yes",34&gt;=Projects!$C$27,34&lt;Projects!$C$27+Projects!$D$27),Projects!$B$27*INDEX(Curves!$B$4:$AR$4,1,34-Projects!$C$27+1),0)+IF(AND(Projects!$G$28="Yes",Projects!$X$28="Yes",Projects!$M$28="Yes",34&gt;=Projects!$C$28,34&lt;Projects!$C$28+Projects!$D$28),Projects!$B$28*INDEX(Curves!$B$4:$AR$4,1,34-Projects!$C$28+1),0)+IF(AND(Projects!$G$29="Yes",Projects!$X$29="Yes",Projects!$M$29="Yes",34&gt;=Projects!$C$29,34&lt;Projects!$C$29+Projects!$D$29),Projects!$B$29*INDEX(Curves!$B$4:$AR$4,1,34-Projects!$C$29+1),0)+IF(AND(Projects!$G$30="Yes",Projects!$X$30="Yes",Projects!$M$30="Yes",34&gt;=Projects!$C$30,34&lt;Projects!$C$30+Projects!$D$30),Projects!$B$30*INDEX(Curves!$B$4:$AR$4,1,34-Projects!$C$30+1),0)+IF(AND(Projects!$G$31="Yes",Projects!$X$31="Yes",Projects!$M$31="Yes",34&gt;=Projects!$C$31,34&lt;Projects!$C$31+Projects!$D$31),Projects!$B$31*INDEX(Curves!$B$4:$AR$4,1,34-Projects!$C$31+1),0)+IF(AND(Projects!$G$32="Yes",Projects!$X$32="Yes",Projects!$M$32="Yes",34&gt;=Projects!$C$32,34&lt;Projects!$C$32+Projects!$D$32),Projects!$B$32*INDEX(Curves!$B$4:$AR$4,1,34-Projects!$C$32+1),0)+IF(AND(Projects!$G$33="Yes",Projects!$X$33="Yes",Projects!$M$33="Yes",34&gt;=Projects!$C$33,34&lt;Projects!$C$33+Projects!$D$33),Projects!$B$33*INDEX(Curves!$B$4:$AR$4,1,34-Projects!$C$33+1),0)+IF(AND(Projects!$G$34="Yes",Projects!$X$34="Yes",Projects!$M$34="Yes",34&gt;=Projects!$C$34,34&lt;Projects!$C$34+Projects!$D$34),Projects!$B$34*INDEX(Curves!$B$4:$AR$4,1,34-Projects!$C$34+1),0)+IF(AND(Projects!$G$35="Yes",Projects!$X$35="Yes",Projects!$M$35="Yes",34&gt;=Projects!$C$35,34&lt;Projects!$C$35+Projects!$D$35),Projects!$B$35*INDEX(Curves!$B$4:$AR$4,1,34-Projects!$C$35+1),0)+IF(AND(Projects!$G$36="Yes",Projects!$X$36="Yes",Projects!$M$36="Yes",34&gt;=Projects!$C$36,34&lt;Projects!$C$36+Projects!$D$36),Projects!$B$36*INDEX(Curves!$B$4:$AR$4,1,34-Projects!$C$36+1),0)+IF(AND(Projects!$G$37="Yes",Projects!$X$37="Yes",Projects!$M$37="Yes",34&gt;=Projects!$C$37,34&lt;Projects!$C$37+Projects!$D$37),Projects!$B$37*INDEX(Curves!$B$4:$AR$4,1,34-Projects!$C$37+1),0)+IF(AND(Projects!$G$38="Yes",Projects!$X$38="Yes",Projects!$M$38="Yes",34&gt;=Projects!$C$38,34&lt;Projects!$C$38+Projects!$D$38),Projects!$B$38*INDEX(Curves!$B$4:$AR$4,1,34-Projects!$C$38+1),0)+IF(AND(Projects!$G$39="Yes",Projects!$X$39="Yes",Projects!$M$39="Yes",34&gt;=Projects!$C$39,34&lt;Projects!$C$39+Projects!$D$39),Projects!$B$39*INDEX(Curves!$B$4:$AR$4,1,34-Projects!$C$39+1),0)+IF(AND(Projects!$G$40="Yes",Projects!$X$40="Yes",Projects!$M$40="Yes",34&gt;=Projects!$C$40,34&lt;Projects!$C$40+Projects!$D$40),Projects!$B$40*INDEX(Curves!$B$4:$AR$4,1,34-Projects!$C$40+1),0)+IF(AND(Projects!$G$41="Yes",Projects!$X$41="Yes",Projects!$M$41="Yes",34&gt;=Projects!$C$41,34&lt;Projects!$C$41+Projects!$D$41),Projects!$B$41*INDEX(Curves!$B$4:$AR$4,1,34-Projects!$C$41+1),0)+IF(AND(Projects!$G$42="Yes",Projects!$X$42="Yes",Projects!$M$42="Yes",34&gt;=Projects!$C$42,34&lt;Projects!$C$42+Projects!$D$42),Projects!$B$42*INDEX(Curves!$B$4:$AR$4,1,34-Projects!$C$42+1),0)+IF(AND(Projects!$G$43="Yes",Projects!$X$43="Yes",Projects!$M$43="Yes",34&gt;=Projects!$C$43,34&lt;Projects!$C$43+Projects!$D$43),Projects!$B$43*INDEX(Curves!$B$4:$AR$4,1,34-Projects!$C$43+1),0)+IF(AND(Projects!$G$44="Yes",Projects!$X$44="Yes",Projects!$M$44="Yes",34&gt;=Projects!$C$44,34&lt;Projects!$C$44+Projects!$D$44),Projects!$B$44*INDEX(Curves!$B$4:$AR$4,1,34-Projects!$C$44+1),0)+IF(AND(Projects!$G$45="Yes",Projects!$X$45="Yes",Projects!$M$45="Yes",34&gt;=Projects!$C$45,34&lt;Projects!$C$45+Projects!$D$45),Projects!$B$45*INDEX(Curves!$B$4:$AR$4,1,34-Projects!$C$45+1),0)+IF(AND(Projects!$G$46="Yes",Projects!$X$46="Yes",Projects!$M$46="Yes",34&gt;=Projects!$C$46,34&lt;Projects!$C$46+Projects!$D$46),Projects!$B$46*INDEX(Curves!$B$4:$AR$4,1,34-Projects!$C$46+1),0)</f>
        <v>0</v>
      </c>
      <c r="AN101" s="298" t="n">
        <f aca="false">IF(AND(Projects!$G$17="Yes",Projects!$X$17="Yes",Projects!$M$17="Yes",35&gt;=Projects!$C$17,35&lt;Projects!$C$17+Projects!$D$17),Projects!$B$17*INDEX(Curves!$B$4:$AR$4,1,35-Projects!$C$17+1),0)+IF(AND(Projects!$G$18="Yes",Projects!$X$18="Yes",Projects!$M$18="Yes",35&gt;=Projects!$C$18,35&lt;Projects!$C$18+Projects!$D$18),Projects!$B$18*INDEX(Curves!$B$4:$AR$4,1,35-Projects!$C$18+1),0)+IF(AND(Projects!$G$19="Yes",Projects!$X$19="Yes",Projects!$M$19="Yes",35&gt;=Projects!$C$19,35&lt;Projects!$C$19+Projects!$D$19),Projects!$B$19*INDEX(Curves!$B$10:$AR$10,1,35-Projects!$C$19+1),0)+IF(AND(Projects!$G$20="Yes",Projects!$X$20="Yes",Projects!$M$20="Yes",35&gt;=Projects!$C$20,35&lt;Projects!$C$20+Projects!$D$20),Projects!$B$20*INDEX(Curves!$B$4:$AR$4,1,35-Projects!$C$20+1),0)+IF(AND(Projects!$G$21="Yes",Projects!$X$21="Yes",Projects!$M$21="Yes",35&gt;=Projects!$C$21,35&lt;Projects!$C$21+Projects!$D$21),Projects!$B$21*INDEX(Curves!$B$11:$AR$11,1,35-Projects!$C$21+1),0)+IF(AND(Projects!$G$22="Yes",Projects!$X$22="Yes",Projects!$M$22="Yes",35&gt;=Projects!$C$22,35&lt;Projects!$C$22+Projects!$D$22),Projects!$B$22*INDEX(Curves!$B$4:$AR$4,1,35-Projects!$C$22+1),0)+IF(AND(Projects!$G$23="Yes",Projects!$X$23="Yes",Projects!$M$23="Yes",35&gt;=Projects!$C$23,35&lt;Projects!$C$23+Projects!$D$23),Projects!$B$23*INDEX(Curves!$B$4:$AR$4,1,35-Projects!$C$23+1),0)+IF(AND(Projects!$G$24="Yes",Projects!$X$24="Yes",Projects!$M$24="Yes",35&gt;=Projects!$C$24,35&lt;Projects!$C$24+Projects!$D$24),Projects!$B$24*INDEX(Curves!$B$4:$AR$4,1,35-Projects!$C$24+1),0)+IF(AND(Projects!$G$25="Yes",Projects!$X$25="Yes",Projects!$M$25="Yes",35&gt;=Projects!$C$25,35&lt;Projects!$C$25+Projects!$D$25),Projects!$B$25*INDEX(Curves!$B$4:$AR$4,1,35-Projects!$C$25+1),0)+IF(AND(Projects!$G$26="Yes",Projects!$X$26="Yes",Projects!$M$26="Yes",35&gt;=Projects!$C$26,35&lt;Projects!$C$26+Projects!$D$26),Projects!$B$26*INDEX(Curves!$B$4:$AR$4,1,35-Projects!$C$26+1),0)+IF(AND(Projects!$G$27="Yes",Projects!$X$27="Yes",Projects!$M$27="Yes",35&gt;=Projects!$C$27,35&lt;Projects!$C$27+Projects!$D$27),Projects!$B$27*INDEX(Curves!$B$4:$AR$4,1,35-Projects!$C$27+1),0)+IF(AND(Projects!$G$28="Yes",Projects!$X$28="Yes",Projects!$M$28="Yes",35&gt;=Projects!$C$28,35&lt;Projects!$C$28+Projects!$D$28),Projects!$B$28*INDEX(Curves!$B$4:$AR$4,1,35-Projects!$C$28+1),0)+IF(AND(Projects!$G$29="Yes",Projects!$X$29="Yes",Projects!$M$29="Yes",35&gt;=Projects!$C$29,35&lt;Projects!$C$29+Projects!$D$29),Projects!$B$29*INDEX(Curves!$B$4:$AR$4,1,35-Projects!$C$29+1),0)+IF(AND(Projects!$G$30="Yes",Projects!$X$30="Yes",Projects!$M$30="Yes",35&gt;=Projects!$C$30,35&lt;Projects!$C$30+Projects!$D$30),Projects!$B$30*INDEX(Curves!$B$4:$AR$4,1,35-Projects!$C$30+1),0)+IF(AND(Projects!$G$31="Yes",Projects!$X$31="Yes",Projects!$M$31="Yes",35&gt;=Projects!$C$31,35&lt;Projects!$C$31+Projects!$D$31),Projects!$B$31*INDEX(Curves!$B$4:$AR$4,1,35-Projects!$C$31+1),0)+IF(AND(Projects!$G$32="Yes",Projects!$X$32="Yes",Projects!$M$32="Yes",35&gt;=Projects!$C$32,35&lt;Projects!$C$32+Projects!$D$32),Projects!$B$32*INDEX(Curves!$B$4:$AR$4,1,35-Projects!$C$32+1),0)+IF(AND(Projects!$G$33="Yes",Projects!$X$33="Yes",Projects!$M$33="Yes",35&gt;=Projects!$C$33,35&lt;Projects!$C$33+Projects!$D$33),Projects!$B$33*INDEX(Curves!$B$4:$AR$4,1,35-Projects!$C$33+1),0)+IF(AND(Projects!$G$34="Yes",Projects!$X$34="Yes",Projects!$M$34="Yes",35&gt;=Projects!$C$34,35&lt;Projects!$C$34+Projects!$D$34),Projects!$B$34*INDEX(Curves!$B$4:$AR$4,1,35-Projects!$C$34+1),0)+IF(AND(Projects!$G$35="Yes",Projects!$X$35="Yes",Projects!$M$35="Yes",35&gt;=Projects!$C$35,35&lt;Projects!$C$35+Projects!$D$35),Projects!$B$35*INDEX(Curves!$B$4:$AR$4,1,35-Projects!$C$35+1),0)+IF(AND(Projects!$G$36="Yes",Projects!$X$36="Yes",Projects!$M$36="Yes",35&gt;=Projects!$C$36,35&lt;Projects!$C$36+Projects!$D$36),Projects!$B$36*INDEX(Curves!$B$4:$AR$4,1,35-Projects!$C$36+1),0)+IF(AND(Projects!$G$37="Yes",Projects!$X$37="Yes",Projects!$M$37="Yes",35&gt;=Projects!$C$37,35&lt;Projects!$C$37+Projects!$D$37),Projects!$B$37*INDEX(Curves!$B$4:$AR$4,1,35-Projects!$C$37+1),0)+IF(AND(Projects!$G$38="Yes",Projects!$X$38="Yes",Projects!$M$38="Yes",35&gt;=Projects!$C$38,35&lt;Projects!$C$38+Projects!$D$38),Projects!$B$38*INDEX(Curves!$B$4:$AR$4,1,35-Projects!$C$38+1),0)+IF(AND(Projects!$G$39="Yes",Projects!$X$39="Yes",Projects!$M$39="Yes",35&gt;=Projects!$C$39,35&lt;Projects!$C$39+Projects!$D$39),Projects!$B$39*INDEX(Curves!$B$4:$AR$4,1,35-Projects!$C$39+1),0)+IF(AND(Projects!$G$40="Yes",Projects!$X$40="Yes",Projects!$M$40="Yes",35&gt;=Projects!$C$40,35&lt;Projects!$C$40+Projects!$D$40),Projects!$B$40*INDEX(Curves!$B$4:$AR$4,1,35-Projects!$C$40+1),0)+IF(AND(Projects!$G$41="Yes",Projects!$X$41="Yes",Projects!$M$41="Yes",35&gt;=Projects!$C$41,35&lt;Projects!$C$41+Projects!$D$41),Projects!$B$41*INDEX(Curves!$B$4:$AR$4,1,35-Projects!$C$41+1),0)+IF(AND(Projects!$G$42="Yes",Projects!$X$42="Yes",Projects!$M$42="Yes",35&gt;=Projects!$C$42,35&lt;Projects!$C$42+Projects!$D$42),Projects!$B$42*INDEX(Curves!$B$4:$AR$4,1,35-Projects!$C$42+1),0)+IF(AND(Projects!$G$43="Yes",Projects!$X$43="Yes",Projects!$M$43="Yes",35&gt;=Projects!$C$43,35&lt;Projects!$C$43+Projects!$D$43),Projects!$B$43*INDEX(Curves!$B$4:$AR$4,1,35-Projects!$C$43+1),0)+IF(AND(Projects!$G$44="Yes",Projects!$X$44="Yes",Projects!$M$44="Yes",35&gt;=Projects!$C$44,35&lt;Projects!$C$44+Projects!$D$44),Projects!$B$44*INDEX(Curves!$B$4:$AR$4,1,35-Projects!$C$44+1),0)+IF(AND(Projects!$G$45="Yes",Projects!$X$45="Yes",Projects!$M$45="Yes",35&gt;=Projects!$C$45,35&lt;Projects!$C$45+Projects!$D$45),Projects!$B$45*INDEX(Curves!$B$4:$AR$4,1,35-Projects!$C$45+1),0)+IF(AND(Projects!$G$46="Yes",Projects!$X$46="Yes",Projects!$M$46="Yes",35&gt;=Projects!$C$46,35&lt;Projects!$C$46+Projects!$D$46),Projects!$B$46*INDEX(Curves!$B$4:$AR$4,1,35-Projects!$C$46+1),0)</f>
        <v>0</v>
      </c>
      <c r="AO101" s="298" t="n">
        <f aca="false">IF(AND(Projects!$G$17="Yes",Projects!$X$17="Yes",Projects!$M$17="Yes",36&gt;=Projects!$C$17,36&lt;Projects!$C$17+Projects!$D$17),Projects!$B$17*INDEX(Curves!$B$4:$AR$4,1,36-Projects!$C$17+1),0)+IF(AND(Projects!$G$18="Yes",Projects!$X$18="Yes",Projects!$M$18="Yes",36&gt;=Projects!$C$18,36&lt;Projects!$C$18+Projects!$D$18),Projects!$B$18*INDEX(Curves!$B$4:$AR$4,1,36-Projects!$C$18+1),0)+IF(AND(Projects!$G$19="Yes",Projects!$X$19="Yes",Projects!$M$19="Yes",36&gt;=Projects!$C$19,36&lt;Projects!$C$19+Projects!$D$19),Projects!$B$19*INDEX(Curves!$B$10:$AR$10,1,36-Projects!$C$19+1),0)+IF(AND(Projects!$G$20="Yes",Projects!$X$20="Yes",Projects!$M$20="Yes",36&gt;=Projects!$C$20,36&lt;Projects!$C$20+Projects!$D$20),Projects!$B$20*INDEX(Curves!$B$4:$AR$4,1,36-Projects!$C$20+1),0)+IF(AND(Projects!$G$21="Yes",Projects!$X$21="Yes",Projects!$M$21="Yes",36&gt;=Projects!$C$21,36&lt;Projects!$C$21+Projects!$D$21),Projects!$B$21*INDEX(Curves!$B$11:$AR$11,1,36-Projects!$C$21+1),0)+IF(AND(Projects!$G$22="Yes",Projects!$X$22="Yes",Projects!$M$22="Yes",36&gt;=Projects!$C$22,36&lt;Projects!$C$22+Projects!$D$22),Projects!$B$22*INDEX(Curves!$B$4:$AR$4,1,36-Projects!$C$22+1),0)+IF(AND(Projects!$G$23="Yes",Projects!$X$23="Yes",Projects!$M$23="Yes",36&gt;=Projects!$C$23,36&lt;Projects!$C$23+Projects!$D$23),Projects!$B$23*INDEX(Curves!$B$4:$AR$4,1,36-Projects!$C$23+1),0)+IF(AND(Projects!$G$24="Yes",Projects!$X$24="Yes",Projects!$M$24="Yes",36&gt;=Projects!$C$24,36&lt;Projects!$C$24+Projects!$D$24),Projects!$B$24*INDEX(Curves!$B$4:$AR$4,1,36-Projects!$C$24+1),0)+IF(AND(Projects!$G$25="Yes",Projects!$X$25="Yes",Projects!$M$25="Yes",36&gt;=Projects!$C$25,36&lt;Projects!$C$25+Projects!$D$25),Projects!$B$25*INDEX(Curves!$B$4:$AR$4,1,36-Projects!$C$25+1),0)+IF(AND(Projects!$G$26="Yes",Projects!$X$26="Yes",Projects!$M$26="Yes",36&gt;=Projects!$C$26,36&lt;Projects!$C$26+Projects!$D$26),Projects!$B$26*INDEX(Curves!$B$4:$AR$4,1,36-Projects!$C$26+1),0)+IF(AND(Projects!$G$27="Yes",Projects!$X$27="Yes",Projects!$M$27="Yes",36&gt;=Projects!$C$27,36&lt;Projects!$C$27+Projects!$D$27),Projects!$B$27*INDEX(Curves!$B$4:$AR$4,1,36-Projects!$C$27+1),0)+IF(AND(Projects!$G$28="Yes",Projects!$X$28="Yes",Projects!$M$28="Yes",36&gt;=Projects!$C$28,36&lt;Projects!$C$28+Projects!$D$28),Projects!$B$28*INDEX(Curves!$B$4:$AR$4,1,36-Projects!$C$28+1),0)+IF(AND(Projects!$G$29="Yes",Projects!$X$29="Yes",Projects!$M$29="Yes",36&gt;=Projects!$C$29,36&lt;Projects!$C$29+Projects!$D$29),Projects!$B$29*INDEX(Curves!$B$4:$AR$4,1,36-Projects!$C$29+1),0)+IF(AND(Projects!$G$30="Yes",Projects!$X$30="Yes",Projects!$M$30="Yes",36&gt;=Projects!$C$30,36&lt;Projects!$C$30+Projects!$D$30),Projects!$B$30*INDEX(Curves!$B$4:$AR$4,1,36-Projects!$C$30+1),0)+IF(AND(Projects!$G$31="Yes",Projects!$X$31="Yes",Projects!$M$31="Yes",36&gt;=Projects!$C$31,36&lt;Projects!$C$31+Projects!$D$31),Projects!$B$31*INDEX(Curves!$B$4:$AR$4,1,36-Projects!$C$31+1),0)+IF(AND(Projects!$G$32="Yes",Projects!$X$32="Yes",Projects!$M$32="Yes",36&gt;=Projects!$C$32,36&lt;Projects!$C$32+Projects!$D$32),Projects!$B$32*INDEX(Curves!$B$4:$AR$4,1,36-Projects!$C$32+1),0)+IF(AND(Projects!$G$33="Yes",Projects!$X$33="Yes",Projects!$M$33="Yes",36&gt;=Projects!$C$33,36&lt;Projects!$C$33+Projects!$D$33),Projects!$B$33*INDEX(Curves!$B$4:$AR$4,1,36-Projects!$C$33+1),0)+IF(AND(Projects!$G$34="Yes",Projects!$X$34="Yes",Projects!$M$34="Yes",36&gt;=Projects!$C$34,36&lt;Projects!$C$34+Projects!$D$34),Projects!$B$34*INDEX(Curves!$B$4:$AR$4,1,36-Projects!$C$34+1),0)+IF(AND(Projects!$G$35="Yes",Projects!$X$35="Yes",Projects!$M$35="Yes",36&gt;=Projects!$C$35,36&lt;Projects!$C$35+Projects!$D$35),Projects!$B$35*INDEX(Curves!$B$4:$AR$4,1,36-Projects!$C$35+1),0)+IF(AND(Projects!$G$36="Yes",Projects!$X$36="Yes",Projects!$M$36="Yes",36&gt;=Projects!$C$36,36&lt;Projects!$C$36+Projects!$D$36),Projects!$B$36*INDEX(Curves!$B$4:$AR$4,1,36-Projects!$C$36+1),0)+IF(AND(Projects!$G$37="Yes",Projects!$X$37="Yes",Projects!$M$37="Yes",36&gt;=Projects!$C$37,36&lt;Projects!$C$37+Projects!$D$37),Projects!$B$37*INDEX(Curves!$B$4:$AR$4,1,36-Projects!$C$37+1),0)+IF(AND(Projects!$G$38="Yes",Projects!$X$38="Yes",Projects!$M$38="Yes",36&gt;=Projects!$C$38,36&lt;Projects!$C$38+Projects!$D$38),Projects!$B$38*INDEX(Curves!$B$4:$AR$4,1,36-Projects!$C$38+1),0)+IF(AND(Projects!$G$39="Yes",Projects!$X$39="Yes",Projects!$M$39="Yes",36&gt;=Projects!$C$39,36&lt;Projects!$C$39+Projects!$D$39),Projects!$B$39*INDEX(Curves!$B$4:$AR$4,1,36-Projects!$C$39+1),0)+IF(AND(Projects!$G$40="Yes",Projects!$X$40="Yes",Projects!$M$40="Yes",36&gt;=Projects!$C$40,36&lt;Projects!$C$40+Projects!$D$40),Projects!$B$40*INDEX(Curves!$B$4:$AR$4,1,36-Projects!$C$40+1),0)+IF(AND(Projects!$G$41="Yes",Projects!$X$41="Yes",Projects!$M$41="Yes",36&gt;=Projects!$C$41,36&lt;Projects!$C$41+Projects!$D$41),Projects!$B$41*INDEX(Curves!$B$4:$AR$4,1,36-Projects!$C$41+1),0)+IF(AND(Projects!$G$42="Yes",Projects!$X$42="Yes",Projects!$M$42="Yes",36&gt;=Projects!$C$42,36&lt;Projects!$C$42+Projects!$D$42),Projects!$B$42*INDEX(Curves!$B$4:$AR$4,1,36-Projects!$C$42+1),0)+IF(AND(Projects!$G$43="Yes",Projects!$X$43="Yes",Projects!$M$43="Yes",36&gt;=Projects!$C$43,36&lt;Projects!$C$43+Projects!$D$43),Projects!$B$43*INDEX(Curves!$B$4:$AR$4,1,36-Projects!$C$43+1),0)+IF(AND(Projects!$G$44="Yes",Projects!$X$44="Yes",Projects!$M$44="Yes",36&gt;=Projects!$C$44,36&lt;Projects!$C$44+Projects!$D$44),Projects!$B$44*INDEX(Curves!$B$4:$AR$4,1,36-Projects!$C$44+1),0)+IF(AND(Projects!$G$45="Yes",Projects!$X$45="Yes",Projects!$M$45="Yes",36&gt;=Projects!$C$45,36&lt;Projects!$C$45+Projects!$D$45),Projects!$B$45*INDEX(Curves!$B$4:$AR$4,1,36-Projects!$C$45+1),0)+IF(AND(Projects!$G$46="Yes",Projects!$X$46="Yes",Projects!$M$46="Yes",36&gt;=Projects!$C$46,36&lt;Projects!$C$46+Projects!$D$46),Projects!$B$46*INDEX(Curves!$B$4:$AR$4,1,36-Projects!$C$46+1),0)</f>
        <v>0</v>
      </c>
      <c r="AP101" s="298" t="n">
        <f aca="false">IF(AND(Projects!$G$17="Yes",Projects!$X$17="Yes",Projects!$M$17="Yes",37&gt;=Projects!$C$17,37&lt;Projects!$C$17+Projects!$D$17),Projects!$B$17*INDEX(Curves!$B$4:$AR$4,1,37-Projects!$C$17+1),0)+IF(AND(Projects!$G$18="Yes",Projects!$X$18="Yes",Projects!$M$18="Yes",37&gt;=Projects!$C$18,37&lt;Projects!$C$18+Projects!$D$18),Projects!$B$18*INDEX(Curves!$B$4:$AR$4,1,37-Projects!$C$18+1),0)+IF(AND(Projects!$G$19="Yes",Projects!$X$19="Yes",Projects!$M$19="Yes",37&gt;=Projects!$C$19,37&lt;Projects!$C$19+Projects!$D$19),Projects!$B$19*INDEX(Curves!$B$10:$AR$10,1,37-Projects!$C$19+1),0)+IF(AND(Projects!$G$20="Yes",Projects!$X$20="Yes",Projects!$M$20="Yes",37&gt;=Projects!$C$20,37&lt;Projects!$C$20+Projects!$D$20),Projects!$B$20*INDEX(Curves!$B$4:$AR$4,1,37-Projects!$C$20+1),0)+IF(AND(Projects!$G$21="Yes",Projects!$X$21="Yes",Projects!$M$21="Yes",37&gt;=Projects!$C$21,37&lt;Projects!$C$21+Projects!$D$21),Projects!$B$21*INDEX(Curves!$B$11:$AR$11,1,37-Projects!$C$21+1),0)+IF(AND(Projects!$G$22="Yes",Projects!$X$22="Yes",Projects!$M$22="Yes",37&gt;=Projects!$C$22,37&lt;Projects!$C$22+Projects!$D$22),Projects!$B$22*INDEX(Curves!$B$4:$AR$4,1,37-Projects!$C$22+1),0)+IF(AND(Projects!$G$23="Yes",Projects!$X$23="Yes",Projects!$M$23="Yes",37&gt;=Projects!$C$23,37&lt;Projects!$C$23+Projects!$D$23),Projects!$B$23*INDEX(Curves!$B$4:$AR$4,1,37-Projects!$C$23+1),0)+IF(AND(Projects!$G$24="Yes",Projects!$X$24="Yes",Projects!$M$24="Yes",37&gt;=Projects!$C$24,37&lt;Projects!$C$24+Projects!$D$24),Projects!$B$24*INDEX(Curves!$B$4:$AR$4,1,37-Projects!$C$24+1),0)+IF(AND(Projects!$G$25="Yes",Projects!$X$25="Yes",Projects!$M$25="Yes",37&gt;=Projects!$C$25,37&lt;Projects!$C$25+Projects!$D$25),Projects!$B$25*INDEX(Curves!$B$4:$AR$4,1,37-Projects!$C$25+1),0)+IF(AND(Projects!$G$26="Yes",Projects!$X$26="Yes",Projects!$M$26="Yes",37&gt;=Projects!$C$26,37&lt;Projects!$C$26+Projects!$D$26),Projects!$B$26*INDEX(Curves!$B$4:$AR$4,1,37-Projects!$C$26+1),0)+IF(AND(Projects!$G$27="Yes",Projects!$X$27="Yes",Projects!$M$27="Yes",37&gt;=Projects!$C$27,37&lt;Projects!$C$27+Projects!$D$27),Projects!$B$27*INDEX(Curves!$B$4:$AR$4,1,37-Projects!$C$27+1),0)+IF(AND(Projects!$G$28="Yes",Projects!$X$28="Yes",Projects!$M$28="Yes",37&gt;=Projects!$C$28,37&lt;Projects!$C$28+Projects!$D$28),Projects!$B$28*INDEX(Curves!$B$4:$AR$4,1,37-Projects!$C$28+1),0)+IF(AND(Projects!$G$29="Yes",Projects!$X$29="Yes",Projects!$M$29="Yes",37&gt;=Projects!$C$29,37&lt;Projects!$C$29+Projects!$D$29),Projects!$B$29*INDEX(Curves!$B$4:$AR$4,1,37-Projects!$C$29+1),0)+IF(AND(Projects!$G$30="Yes",Projects!$X$30="Yes",Projects!$M$30="Yes",37&gt;=Projects!$C$30,37&lt;Projects!$C$30+Projects!$D$30),Projects!$B$30*INDEX(Curves!$B$4:$AR$4,1,37-Projects!$C$30+1),0)+IF(AND(Projects!$G$31="Yes",Projects!$X$31="Yes",Projects!$M$31="Yes",37&gt;=Projects!$C$31,37&lt;Projects!$C$31+Projects!$D$31),Projects!$B$31*INDEX(Curves!$B$4:$AR$4,1,37-Projects!$C$31+1),0)+IF(AND(Projects!$G$32="Yes",Projects!$X$32="Yes",Projects!$M$32="Yes",37&gt;=Projects!$C$32,37&lt;Projects!$C$32+Projects!$D$32),Projects!$B$32*INDEX(Curves!$B$4:$AR$4,1,37-Projects!$C$32+1),0)+IF(AND(Projects!$G$33="Yes",Projects!$X$33="Yes",Projects!$M$33="Yes",37&gt;=Projects!$C$33,37&lt;Projects!$C$33+Projects!$D$33),Projects!$B$33*INDEX(Curves!$B$4:$AR$4,1,37-Projects!$C$33+1),0)+IF(AND(Projects!$G$34="Yes",Projects!$X$34="Yes",Projects!$M$34="Yes",37&gt;=Projects!$C$34,37&lt;Projects!$C$34+Projects!$D$34),Projects!$B$34*INDEX(Curves!$B$4:$AR$4,1,37-Projects!$C$34+1),0)+IF(AND(Projects!$G$35="Yes",Projects!$X$35="Yes",Projects!$M$35="Yes",37&gt;=Projects!$C$35,37&lt;Projects!$C$35+Projects!$D$35),Projects!$B$35*INDEX(Curves!$B$4:$AR$4,1,37-Projects!$C$35+1),0)+IF(AND(Projects!$G$36="Yes",Projects!$X$36="Yes",Projects!$M$36="Yes",37&gt;=Projects!$C$36,37&lt;Projects!$C$36+Projects!$D$36),Projects!$B$36*INDEX(Curves!$B$4:$AR$4,1,37-Projects!$C$36+1),0)+IF(AND(Projects!$G$37="Yes",Projects!$X$37="Yes",Projects!$M$37="Yes",37&gt;=Projects!$C$37,37&lt;Projects!$C$37+Projects!$D$37),Projects!$B$37*INDEX(Curves!$B$4:$AR$4,1,37-Projects!$C$37+1),0)+IF(AND(Projects!$G$38="Yes",Projects!$X$38="Yes",Projects!$M$38="Yes",37&gt;=Projects!$C$38,37&lt;Projects!$C$38+Projects!$D$38),Projects!$B$38*INDEX(Curves!$B$4:$AR$4,1,37-Projects!$C$38+1),0)+IF(AND(Projects!$G$39="Yes",Projects!$X$39="Yes",Projects!$M$39="Yes",37&gt;=Projects!$C$39,37&lt;Projects!$C$39+Projects!$D$39),Projects!$B$39*INDEX(Curves!$B$4:$AR$4,1,37-Projects!$C$39+1),0)+IF(AND(Projects!$G$40="Yes",Projects!$X$40="Yes",Projects!$M$40="Yes",37&gt;=Projects!$C$40,37&lt;Projects!$C$40+Projects!$D$40),Projects!$B$40*INDEX(Curves!$B$4:$AR$4,1,37-Projects!$C$40+1),0)+IF(AND(Projects!$G$41="Yes",Projects!$X$41="Yes",Projects!$M$41="Yes",37&gt;=Projects!$C$41,37&lt;Projects!$C$41+Projects!$D$41),Projects!$B$41*INDEX(Curves!$B$4:$AR$4,1,37-Projects!$C$41+1),0)+IF(AND(Projects!$G$42="Yes",Projects!$X$42="Yes",Projects!$M$42="Yes",37&gt;=Projects!$C$42,37&lt;Projects!$C$42+Projects!$D$42),Projects!$B$42*INDEX(Curves!$B$4:$AR$4,1,37-Projects!$C$42+1),0)+IF(AND(Projects!$G$43="Yes",Projects!$X$43="Yes",Projects!$M$43="Yes",37&gt;=Projects!$C$43,37&lt;Projects!$C$43+Projects!$D$43),Projects!$B$43*INDEX(Curves!$B$4:$AR$4,1,37-Projects!$C$43+1),0)+IF(AND(Projects!$G$44="Yes",Projects!$X$44="Yes",Projects!$M$44="Yes",37&gt;=Projects!$C$44,37&lt;Projects!$C$44+Projects!$D$44),Projects!$B$44*INDEX(Curves!$B$4:$AR$4,1,37-Projects!$C$44+1),0)+IF(AND(Projects!$G$45="Yes",Projects!$X$45="Yes",Projects!$M$45="Yes",37&gt;=Projects!$C$45,37&lt;Projects!$C$45+Projects!$D$45),Projects!$B$45*INDEX(Curves!$B$4:$AR$4,1,37-Projects!$C$45+1),0)+IF(AND(Projects!$G$46="Yes",Projects!$X$46="Yes",Projects!$M$46="Yes",37&gt;=Projects!$C$46,37&lt;Projects!$C$46+Projects!$D$46),Projects!$B$46*INDEX(Curves!$B$4:$AR$4,1,37-Projects!$C$46+1),0)</f>
        <v>0</v>
      </c>
      <c r="AQ101" s="298" t="n">
        <f aca="false">IF(AND(Projects!$G$17="Yes",Projects!$X$17="Yes",Projects!$M$17="Yes",38&gt;=Projects!$C$17,38&lt;Projects!$C$17+Projects!$D$17),Projects!$B$17*INDEX(Curves!$B$4:$AR$4,1,38-Projects!$C$17+1),0)+IF(AND(Projects!$G$18="Yes",Projects!$X$18="Yes",Projects!$M$18="Yes",38&gt;=Projects!$C$18,38&lt;Projects!$C$18+Projects!$D$18),Projects!$B$18*INDEX(Curves!$B$4:$AR$4,1,38-Projects!$C$18+1),0)+IF(AND(Projects!$G$19="Yes",Projects!$X$19="Yes",Projects!$M$19="Yes",38&gt;=Projects!$C$19,38&lt;Projects!$C$19+Projects!$D$19),Projects!$B$19*INDEX(Curves!$B$10:$AR$10,1,38-Projects!$C$19+1),0)+IF(AND(Projects!$G$20="Yes",Projects!$X$20="Yes",Projects!$M$20="Yes",38&gt;=Projects!$C$20,38&lt;Projects!$C$20+Projects!$D$20),Projects!$B$20*INDEX(Curves!$B$4:$AR$4,1,38-Projects!$C$20+1),0)+IF(AND(Projects!$G$21="Yes",Projects!$X$21="Yes",Projects!$M$21="Yes",38&gt;=Projects!$C$21,38&lt;Projects!$C$21+Projects!$D$21),Projects!$B$21*INDEX(Curves!$B$11:$AR$11,1,38-Projects!$C$21+1),0)+IF(AND(Projects!$G$22="Yes",Projects!$X$22="Yes",Projects!$M$22="Yes",38&gt;=Projects!$C$22,38&lt;Projects!$C$22+Projects!$D$22),Projects!$B$22*INDEX(Curves!$B$4:$AR$4,1,38-Projects!$C$22+1),0)+IF(AND(Projects!$G$23="Yes",Projects!$X$23="Yes",Projects!$M$23="Yes",38&gt;=Projects!$C$23,38&lt;Projects!$C$23+Projects!$D$23),Projects!$B$23*INDEX(Curves!$B$4:$AR$4,1,38-Projects!$C$23+1),0)+IF(AND(Projects!$G$24="Yes",Projects!$X$24="Yes",Projects!$M$24="Yes",38&gt;=Projects!$C$24,38&lt;Projects!$C$24+Projects!$D$24),Projects!$B$24*INDEX(Curves!$B$4:$AR$4,1,38-Projects!$C$24+1),0)+IF(AND(Projects!$G$25="Yes",Projects!$X$25="Yes",Projects!$M$25="Yes",38&gt;=Projects!$C$25,38&lt;Projects!$C$25+Projects!$D$25),Projects!$B$25*INDEX(Curves!$B$4:$AR$4,1,38-Projects!$C$25+1),0)+IF(AND(Projects!$G$26="Yes",Projects!$X$26="Yes",Projects!$M$26="Yes",38&gt;=Projects!$C$26,38&lt;Projects!$C$26+Projects!$D$26),Projects!$B$26*INDEX(Curves!$B$4:$AR$4,1,38-Projects!$C$26+1),0)+IF(AND(Projects!$G$27="Yes",Projects!$X$27="Yes",Projects!$M$27="Yes",38&gt;=Projects!$C$27,38&lt;Projects!$C$27+Projects!$D$27),Projects!$B$27*INDEX(Curves!$B$4:$AR$4,1,38-Projects!$C$27+1),0)+IF(AND(Projects!$G$28="Yes",Projects!$X$28="Yes",Projects!$M$28="Yes",38&gt;=Projects!$C$28,38&lt;Projects!$C$28+Projects!$D$28),Projects!$B$28*INDEX(Curves!$B$4:$AR$4,1,38-Projects!$C$28+1),0)+IF(AND(Projects!$G$29="Yes",Projects!$X$29="Yes",Projects!$M$29="Yes",38&gt;=Projects!$C$29,38&lt;Projects!$C$29+Projects!$D$29),Projects!$B$29*INDEX(Curves!$B$4:$AR$4,1,38-Projects!$C$29+1),0)+IF(AND(Projects!$G$30="Yes",Projects!$X$30="Yes",Projects!$M$30="Yes",38&gt;=Projects!$C$30,38&lt;Projects!$C$30+Projects!$D$30),Projects!$B$30*INDEX(Curves!$B$4:$AR$4,1,38-Projects!$C$30+1),0)+IF(AND(Projects!$G$31="Yes",Projects!$X$31="Yes",Projects!$M$31="Yes",38&gt;=Projects!$C$31,38&lt;Projects!$C$31+Projects!$D$31),Projects!$B$31*INDEX(Curves!$B$4:$AR$4,1,38-Projects!$C$31+1),0)+IF(AND(Projects!$G$32="Yes",Projects!$X$32="Yes",Projects!$M$32="Yes",38&gt;=Projects!$C$32,38&lt;Projects!$C$32+Projects!$D$32),Projects!$B$32*INDEX(Curves!$B$4:$AR$4,1,38-Projects!$C$32+1),0)+IF(AND(Projects!$G$33="Yes",Projects!$X$33="Yes",Projects!$M$33="Yes",38&gt;=Projects!$C$33,38&lt;Projects!$C$33+Projects!$D$33),Projects!$B$33*INDEX(Curves!$B$4:$AR$4,1,38-Projects!$C$33+1),0)+IF(AND(Projects!$G$34="Yes",Projects!$X$34="Yes",Projects!$M$34="Yes",38&gt;=Projects!$C$34,38&lt;Projects!$C$34+Projects!$D$34),Projects!$B$34*INDEX(Curves!$B$4:$AR$4,1,38-Projects!$C$34+1),0)+IF(AND(Projects!$G$35="Yes",Projects!$X$35="Yes",Projects!$M$35="Yes",38&gt;=Projects!$C$35,38&lt;Projects!$C$35+Projects!$D$35),Projects!$B$35*INDEX(Curves!$B$4:$AR$4,1,38-Projects!$C$35+1),0)+IF(AND(Projects!$G$36="Yes",Projects!$X$36="Yes",Projects!$M$36="Yes",38&gt;=Projects!$C$36,38&lt;Projects!$C$36+Projects!$D$36),Projects!$B$36*INDEX(Curves!$B$4:$AR$4,1,38-Projects!$C$36+1),0)+IF(AND(Projects!$G$37="Yes",Projects!$X$37="Yes",Projects!$M$37="Yes",38&gt;=Projects!$C$37,38&lt;Projects!$C$37+Projects!$D$37),Projects!$B$37*INDEX(Curves!$B$4:$AR$4,1,38-Projects!$C$37+1),0)+IF(AND(Projects!$G$38="Yes",Projects!$X$38="Yes",Projects!$M$38="Yes",38&gt;=Projects!$C$38,38&lt;Projects!$C$38+Projects!$D$38),Projects!$B$38*INDEX(Curves!$B$4:$AR$4,1,38-Projects!$C$38+1),0)+IF(AND(Projects!$G$39="Yes",Projects!$X$39="Yes",Projects!$M$39="Yes",38&gt;=Projects!$C$39,38&lt;Projects!$C$39+Projects!$D$39),Projects!$B$39*INDEX(Curves!$B$4:$AR$4,1,38-Projects!$C$39+1),0)+IF(AND(Projects!$G$40="Yes",Projects!$X$40="Yes",Projects!$M$40="Yes",38&gt;=Projects!$C$40,38&lt;Projects!$C$40+Projects!$D$40),Projects!$B$40*INDEX(Curves!$B$4:$AR$4,1,38-Projects!$C$40+1),0)+IF(AND(Projects!$G$41="Yes",Projects!$X$41="Yes",Projects!$M$41="Yes",38&gt;=Projects!$C$41,38&lt;Projects!$C$41+Projects!$D$41),Projects!$B$41*INDEX(Curves!$B$4:$AR$4,1,38-Projects!$C$41+1),0)+IF(AND(Projects!$G$42="Yes",Projects!$X$42="Yes",Projects!$M$42="Yes",38&gt;=Projects!$C$42,38&lt;Projects!$C$42+Projects!$D$42),Projects!$B$42*INDEX(Curves!$B$4:$AR$4,1,38-Projects!$C$42+1),0)+IF(AND(Projects!$G$43="Yes",Projects!$X$43="Yes",Projects!$M$43="Yes",38&gt;=Projects!$C$43,38&lt;Projects!$C$43+Projects!$D$43),Projects!$B$43*INDEX(Curves!$B$4:$AR$4,1,38-Projects!$C$43+1),0)+IF(AND(Projects!$G$44="Yes",Projects!$X$44="Yes",Projects!$M$44="Yes",38&gt;=Projects!$C$44,38&lt;Projects!$C$44+Projects!$D$44),Projects!$B$44*INDEX(Curves!$B$4:$AR$4,1,38-Projects!$C$44+1),0)+IF(AND(Projects!$G$45="Yes",Projects!$X$45="Yes",Projects!$M$45="Yes",38&gt;=Projects!$C$45,38&lt;Projects!$C$45+Projects!$D$45),Projects!$B$45*INDEX(Curves!$B$4:$AR$4,1,38-Projects!$C$45+1),0)+IF(AND(Projects!$G$46="Yes",Projects!$X$46="Yes",Projects!$M$46="Yes",38&gt;=Projects!$C$46,38&lt;Projects!$C$46+Projects!$D$46),Projects!$B$46*INDEX(Curves!$B$4:$AR$4,1,38-Projects!$C$46+1),0)</f>
        <v>0</v>
      </c>
      <c r="AR101" s="298" t="n">
        <f aca="false">IF(AND(Projects!$G$17="Yes",Projects!$X$17="Yes",Projects!$M$17="Yes",39&gt;=Projects!$C$17,39&lt;Projects!$C$17+Projects!$D$17),Projects!$B$17*INDEX(Curves!$B$4:$AR$4,1,39-Projects!$C$17+1),0)+IF(AND(Projects!$G$18="Yes",Projects!$X$18="Yes",Projects!$M$18="Yes",39&gt;=Projects!$C$18,39&lt;Projects!$C$18+Projects!$D$18),Projects!$B$18*INDEX(Curves!$B$4:$AR$4,1,39-Projects!$C$18+1),0)+IF(AND(Projects!$G$19="Yes",Projects!$X$19="Yes",Projects!$M$19="Yes",39&gt;=Projects!$C$19,39&lt;Projects!$C$19+Projects!$D$19),Projects!$B$19*INDEX(Curves!$B$10:$AR$10,1,39-Projects!$C$19+1),0)+IF(AND(Projects!$G$20="Yes",Projects!$X$20="Yes",Projects!$M$20="Yes",39&gt;=Projects!$C$20,39&lt;Projects!$C$20+Projects!$D$20),Projects!$B$20*INDEX(Curves!$B$4:$AR$4,1,39-Projects!$C$20+1),0)+IF(AND(Projects!$G$21="Yes",Projects!$X$21="Yes",Projects!$M$21="Yes",39&gt;=Projects!$C$21,39&lt;Projects!$C$21+Projects!$D$21),Projects!$B$21*INDEX(Curves!$B$11:$AR$11,1,39-Projects!$C$21+1),0)+IF(AND(Projects!$G$22="Yes",Projects!$X$22="Yes",Projects!$M$22="Yes",39&gt;=Projects!$C$22,39&lt;Projects!$C$22+Projects!$D$22),Projects!$B$22*INDEX(Curves!$B$4:$AR$4,1,39-Projects!$C$22+1),0)+IF(AND(Projects!$G$23="Yes",Projects!$X$23="Yes",Projects!$M$23="Yes",39&gt;=Projects!$C$23,39&lt;Projects!$C$23+Projects!$D$23),Projects!$B$23*INDEX(Curves!$B$4:$AR$4,1,39-Projects!$C$23+1),0)+IF(AND(Projects!$G$24="Yes",Projects!$X$24="Yes",Projects!$M$24="Yes",39&gt;=Projects!$C$24,39&lt;Projects!$C$24+Projects!$D$24),Projects!$B$24*INDEX(Curves!$B$4:$AR$4,1,39-Projects!$C$24+1),0)+IF(AND(Projects!$G$25="Yes",Projects!$X$25="Yes",Projects!$M$25="Yes",39&gt;=Projects!$C$25,39&lt;Projects!$C$25+Projects!$D$25),Projects!$B$25*INDEX(Curves!$B$4:$AR$4,1,39-Projects!$C$25+1),0)+IF(AND(Projects!$G$26="Yes",Projects!$X$26="Yes",Projects!$M$26="Yes",39&gt;=Projects!$C$26,39&lt;Projects!$C$26+Projects!$D$26),Projects!$B$26*INDEX(Curves!$B$4:$AR$4,1,39-Projects!$C$26+1),0)+IF(AND(Projects!$G$27="Yes",Projects!$X$27="Yes",Projects!$M$27="Yes",39&gt;=Projects!$C$27,39&lt;Projects!$C$27+Projects!$D$27),Projects!$B$27*INDEX(Curves!$B$4:$AR$4,1,39-Projects!$C$27+1),0)+IF(AND(Projects!$G$28="Yes",Projects!$X$28="Yes",Projects!$M$28="Yes",39&gt;=Projects!$C$28,39&lt;Projects!$C$28+Projects!$D$28),Projects!$B$28*INDEX(Curves!$B$4:$AR$4,1,39-Projects!$C$28+1),0)+IF(AND(Projects!$G$29="Yes",Projects!$X$29="Yes",Projects!$M$29="Yes",39&gt;=Projects!$C$29,39&lt;Projects!$C$29+Projects!$D$29),Projects!$B$29*INDEX(Curves!$B$4:$AR$4,1,39-Projects!$C$29+1),0)+IF(AND(Projects!$G$30="Yes",Projects!$X$30="Yes",Projects!$M$30="Yes",39&gt;=Projects!$C$30,39&lt;Projects!$C$30+Projects!$D$30),Projects!$B$30*INDEX(Curves!$B$4:$AR$4,1,39-Projects!$C$30+1),0)+IF(AND(Projects!$G$31="Yes",Projects!$X$31="Yes",Projects!$M$31="Yes",39&gt;=Projects!$C$31,39&lt;Projects!$C$31+Projects!$D$31),Projects!$B$31*INDEX(Curves!$B$4:$AR$4,1,39-Projects!$C$31+1),0)+IF(AND(Projects!$G$32="Yes",Projects!$X$32="Yes",Projects!$M$32="Yes",39&gt;=Projects!$C$32,39&lt;Projects!$C$32+Projects!$D$32),Projects!$B$32*INDEX(Curves!$B$4:$AR$4,1,39-Projects!$C$32+1),0)+IF(AND(Projects!$G$33="Yes",Projects!$X$33="Yes",Projects!$M$33="Yes",39&gt;=Projects!$C$33,39&lt;Projects!$C$33+Projects!$D$33),Projects!$B$33*INDEX(Curves!$B$4:$AR$4,1,39-Projects!$C$33+1),0)+IF(AND(Projects!$G$34="Yes",Projects!$X$34="Yes",Projects!$M$34="Yes",39&gt;=Projects!$C$34,39&lt;Projects!$C$34+Projects!$D$34),Projects!$B$34*INDEX(Curves!$B$4:$AR$4,1,39-Projects!$C$34+1),0)+IF(AND(Projects!$G$35="Yes",Projects!$X$35="Yes",Projects!$M$35="Yes",39&gt;=Projects!$C$35,39&lt;Projects!$C$35+Projects!$D$35),Projects!$B$35*INDEX(Curves!$B$4:$AR$4,1,39-Projects!$C$35+1),0)+IF(AND(Projects!$G$36="Yes",Projects!$X$36="Yes",Projects!$M$36="Yes",39&gt;=Projects!$C$36,39&lt;Projects!$C$36+Projects!$D$36),Projects!$B$36*INDEX(Curves!$B$4:$AR$4,1,39-Projects!$C$36+1),0)+IF(AND(Projects!$G$37="Yes",Projects!$X$37="Yes",Projects!$M$37="Yes",39&gt;=Projects!$C$37,39&lt;Projects!$C$37+Projects!$D$37),Projects!$B$37*INDEX(Curves!$B$4:$AR$4,1,39-Projects!$C$37+1),0)+IF(AND(Projects!$G$38="Yes",Projects!$X$38="Yes",Projects!$M$38="Yes",39&gt;=Projects!$C$38,39&lt;Projects!$C$38+Projects!$D$38),Projects!$B$38*INDEX(Curves!$B$4:$AR$4,1,39-Projects!$C$38+1),0)+IF(AND(Projects!$G$39="Yes",Projects!$X$39="Yes",Projects!$M$39="Yes",39&gt;=Projects!$C$39,39&lt;Projects!$C$39+Projects!$D$39),Projects!$B$39*INDEX(Curves!$B$4:$AR$4,1,39-Projects!$C$39+1),0)+IF(AND(Projects!$G$40="Yes",Projects!$X$40="Yes",Projects!$M$40="Yes",39&gt;=Projects!$C$40,39&lt;Projects!$C$40+Projects!$D$40),Projects!$B$40*INDEX(Curves!$B$4:$AR$4,1,39-Projects!$C$40+1),0)+IF(AND(Projects!$G$41="Yes",Projects!$X$41="Yes",Projects!$M$41="Yes",39&gt;=Projects!$C$41,39&lt;Projects!$C$41+Projects!$D$41),Projects!$B$41*INDEX(Curves!$B$4:$AR$4,1,39-Projects!$C$41+1),0)+IF(AND(Projects!$G$42="Yes",Projects!$X$42="Yes",Projects!$M$42="Yes",39&gt;=Projects!$C$42,39&lt;Projects!$C$42+Projects!$D$42),Projects!$B$42*INDEX(Curves!$B$4:$AR$4,1,39-Projects!$C$42+1),0)+IF(AND(Projects!$G$43="Yes",Projects!$X$43="Yes",Projects!$M$43="Yes",39&gt;=Projects!$C$43,39&lt;Projects!$C$43+Projects!$D$43),Projects!$B$43*INDEX(Curves!$B$4:$AR$4,1,39-Projects!$C$43+1),0)+IF(AND(Projects!$G$44="Yes",Projects!$X$44="Yes",Projects!$M$44="Yes",39&gt;=Projects!$C$44,39&lt;Projects!$C$44+Projects!$D$44),Projects!$B$44*INDEX(Curves!$B$4:$AR$4,1,39-Projects!$C$44+1),0)+IF(AND(Projects!$G$45="Yes",Projects!$X$45="Yes",Projects!$M$45="Yes",39&gt;=Projects!$C$45,39&lt;Projects!$C$45+Projects!$D$45),Projects!$B$45*INDEX(Curves!$B$4:$AR$4,1,39-Projects!$C$45+1),0)+IF(AND(Projects!$G$46="Yes",Projects!$X$46="Yes",Projects!$M$46="Yes",39&gt;=Projects!$C$46,39&lt;Projects!$C$46+Projects!$D$46),Projects!$B$46*INDEX(Curves!$B$4:$AR$4,1,39-Projects!$C$46+1),0)</f>
        <v>0</v>
      </c>
      <c r="AS101" s="298" t="n">
        <f aca="false">IF(AND(Projects!$G$17="Yes",Projects!$X$17="Yes",Projects!$M$17="Yes",40&gt;=Projects!$C$17,40&lt;Projects!$C$17+Projects!$D$17),Projects!$B$17*INDEX(Curves!$B$4:$AR$4,1,40-Projects!$C$17+1),0)+IF(AND(Projects!$G$18="Yes",Projects!$X$18="Yes",Projects!$M$18="Yes",40&gt;=Projects!$C$18,40&lt;Projects!$C$18+Projects!$D$18),Projects!$B$18*INDEX(Curves!$B$4:$AR$4,1,40-Projects!$C$18+1),0)+IF(AND(Projects!$G$19="Yes",Projects!$X$19="Yes",Projects!$M$19="Yes",40&gt;=Projects!$C$19,40&lt;Projects!$C$19+Projects!$D$19),Projects!$B$19*INDEX(Curves!$B$10:$AR$10,1,40-Projects!$C$19+1),0)+IF(AND(Projects!$G$20="Yes",Projects!$X$20="Yes",Projects!$M$20="Yes",40&gt;=Projects!$C$20,40&lt;Projects!$C$20+Projects!$D$20),Projects!$B$20*INDEX(Curves!$B$4:$AR$4,1,40-Projects!$C$20+1),0)+IF(AND(Projects!$G$21="Yes",Projects!$X$21="Yes",Projects!$M$21="Yes",40&gt;=Projects!$C$21,40&lt;Projects!$C$21+Projects!$D$21),Projects!$B$21*INDEX(Curves!$B$11:$AR$11,1,40-Projects!$C$21+1),0)+IF(AND(Projects!$G$22="Yes",Projects!$X$22="Yes",Projects!$M$22="Yes",40&gt;=Projects!$C$22,40&lt;Projects!$C$22+Projects!$D$22),Projects!$B$22*INDEX(Curves!$B$4:$AR$4,1,40-Projects!$C$22+1),0)+IF(AND(Projects!$G$23="Yes",Projects!$X$23="Yes",Projects!$M$23="Yes",40&gt;=Projects!$C$23,40&lt;Projects!$C$23+Projects!$D$23),Projects!$B$23*INDEX(Curves!$B$4:$AR$4,1,40-Projects!$C$23+1),0)+IF(AND(Projects!$G$24="Yes",Projects!$X$24="Yes",Projects!$M$24="Yes",40&gt;=Projects!$C$24,40&lt;Projects!$C$24+Projects!$D$24),Projects!$B$24*INDEX(Curves!$B$4:$AR$4,1,40-Projects!$C$24+1),0)+IF(AND(Projects!$G$25="Yes",Projects!$X$25="Yes",Projects!$M$25="Yes",40&gt;=Projects!$C$25,40&lt;Projects!$C$25+Projects!$D$25),Projects!$B$25*INDEX(Curves!$B$4:$AR$4,1,40-Projects!$C$25+1),0)+IF(AND(Projects!$G$26="Yes",Projects!$X$26="Yes",Projects!$M$26="Yes",40&gt;=Projects!$C$26,40&lt;Projects!$C$26+Projects!$D$26),Projects!$B$26*INDEX(Curves!$B$4:$AR$4,1,40-Projects!$C$26+1),0)+IF(AND(Projects!$G$27="Yes",Projects!$X$27="Yes",Projects!$M$27="Yes",40&gt;=Projects!$C$27,40&lt;Projects!$C$27+Projects!$D$27),Projects!$B$27*INDEX(Curves!$B$4:$AR$4,1,40-Projects!$C$27+1),0)+IF(AND(Projects!$G$28="Yes",Projects!$X$28="Yes",Projects!$M$28="Yes",40&gt;=Projects!$C$28,40&lt;Projects!$C$28+Projects!$D$28),Projects!$B$28*INDEX(Curves!$B$4:$AR$4,1,40-Projects!$C$28+1),0)+IF(AND(Projects!$G$29="Yes",Projects!$X$29="Yes",Projects!$M$29="Yes",40&gt;=Projects!$C$29,40&lt;Projects!$C$29+Projects!$D$29),Projects!$B$29*INDEX(Curves!$B$4:$AR$4,1,40-Projects!$C$29+1),0)+IF(AND(Projects!$G$30="Yes",Projects!$X$30="Yes",Projects!$M$30="Yes",40&gt;=Projects!$C$30,40&lt;Projects!$C$30+Projects!$D$30),Projects!$B$30*INDEX(Curves!$B$4:$AR$4,1,40-Projects!$C$30+1),0)+IF(AND(Projects!$G$31="Yes",Projects!$X$31="Yes",Projects!$M$31="Yes",40&gt;=Projects!$C$31,40&lt;Projects!$C$31+Projects!$D$31),Projects!$B$31*INDEX(Curves!$B$4:$AR$4,1,40-Projects!$C$31+1),0)+IF(AND(Projects!$G$32="Yes",Projects!$X$32="Yes",Projects!$M$32="Yes",40&gt;=Projects!$C$32,40&lt;Projects!$C$32+Projects!$D$32),Projects!$B$32*INDEX(Curves!$B$4:$AR$4,1,40-Projects!$C$32+1),0)+IF(AND(Projects!$G$33="Yes",Projects!$X$33="Yes",Projects!$M$33="Yes",40&gt;=Projects!$C$33,40&lt;Projects!$C$33+Projects!$D$33),Projects!$B$33*INDEX(Curves!$B$4:$AR$4,1,40-Projects!$C$33+1),0)+IF(AND(Projects!$G$34="Yes",Projects!$X$34="Yes",Projects!$M$34="Yes",40&gt;=Projects!$C$34,40&lt;Projects!$C$34+Projects!$D$34),Projects!$B$34*INDEX(Curves!$B$4:$AR$4,1,40-Projects!$C$34+1),0)+IF(AND(Projects!$G$35="Yes",Projects!$X$35="Yes",Projects!$M$35="Yes",40&gt;=Projects!$C$35,40&lt;Projects!$C$35+Projects!$D$35),Projects!$B$35*INDEX(Curves!$B$4:$AR$4,1,40-Projects!$C$35+1),0)+IF(AND(Projects!$G$36="Yes",Projects!$X$36="Yes",Projects!$M$36="Yes",40&gt;=Projects!$C$36,40&lt;Projects!$C$36+Projects!$D$36),Projects!$B$36*INDEX(Curves!$B$4:$AR$4,1,40-Projects!$C$36+1),0)+IF(AND(Projects!$G$37="Yes",Projects!$X$37="Yes",Projects!$M$37="Yes",40&gt;=Projects!$C$37,40&lt;Projects!$C$37+Projects!$D$37),Projects!$B$37*INDEX(Curves!$B$4:$AR$4,1,40-Projects!$C$37+1),0)+IF(AND(Projects!$G$38="Yes",Projects!$X$38="Yes",Projects!$M$38="Yes",40&gt;=Projects!$C$38,40&lt;Projects!$C$38+Projects!$D$38),Projects!$B$38*INDEX(Curves!$B$4:$AR$4,1,40-Projects!$C$38+1),0)+IF(AND(Projects!$G$39="Yes",Projects!$X$39="Yes",Projects!$M$39="Yes",40&gt;=Projects!$C$39,40&lt;Projects!$C$39+Projects!$D$39),Projects!$B$39*INDEX(Curves!$B$4:$AR$4,1,40-Projects!$C$39+1),0)+IF(AND(Projects!$G$40="Yes",Projects!$X$40="Yes",Projects!$M$40="Yes",40&gt;=Projects!$C$40,40&lt;Projects!$C$40+Projects!$D$40),Projects!$B$40*INDEX(Curves!$B$4:$AR$4,1,40-Projects!$C$40+1),0)+IF(AND(Projects!$G$41="Yes",Projects!$X$41="Yes",Projects!$M$41="Yes",40&gt;=Projects!$C$41,40&lt;Projects!$C$41+Projects!$D$41),Projects!$B$41*INDEX(Curves!$B$4:$AR$4,1,40-Projects!$C$41+1),0)+IF(AND(Projects!$G$42="Yes",Projects!$X$42="Yes",Projects!$M$42="Yes",40&gt;=Projects!$C$42,40&lt;Projects!$C$42+Projects!$D$42),Projects!$B$42*INDEX(Curves!$B$4:$AR$4,1,40-Projects!$C$42+1),0)+IF(AND(Projects!$G$43="Yes",Projects!$X$43="Yes",Projects!$M$43="Yes",40&gt;=Projects!$C$43,40&lt;Projects!$C$43+Projects!$D$43),Projects!$B$43*INDEX(Curves!$B$4:$AR$4,1,40-Projects!$C$43+1),0)+IF(AND(Projects!$G$44="Yes",Projects!$X$44="Yes",Projects!$M$44="Yes",40&gt;=Projects!$C$44,40&lt;Projects!$C$44+Projects!$D$44),Projects!$B$44*INDEX(Curves!$B$4:$AR$4,1,40-Projects!$C$44+1),0)+IF(AND(Projects!$G$45="Yes",Projects!$X$45="Yes",Projects!$M$45="Yes",40&gt;=Projects!$C$45,40&lt;Projects!$C$45+Projects!$D$45),Projects!$B$45*INDEX(Curves!$B$4:$AR$4,1,40-Projects!$C$45+1),0)+IF(AND(Projects!$G$46="Yes",Projects!$X$46="Yes",Projects!$M$46="Yes",40&gt;=Projects!$C$46,40&lt;Projects!$C$46+Projects!$D$46),Projects!$B$46*INDEX(Curves!$B$4:$AR$4,1,40-Projects!$C$46+1),0)</f>
        <v>0</v>
      </c>
      <c r="AT101" s="298" t="n">
        <f aca="false">IF(AND(Projects!$G$17="Yes",Projects!$X$17="Yes",Projects!$M$17="Yes",41&gt;=Projects!$C$17,41&lt;Projects!$C$17+Projects!$D$17),Projects!$B$17*INDEX(Curves!$B$4:$AR$4,1,41-Projects!$C$17+1),0)+IF(AND(Projects!$G$18="Yes",Projects!$X$18="Yes",Projects!$M$18="Yes",41&gt;=Projects!$C$18,41&lt;Projects!$C$18+Projects!$D$18),Projects!$B$18*INDEX(Curves!$B$4:$AR$4,1,41-Projects!$C$18+1),0)+IF(AND(Projects!$G$19="Yes",Projects!$X$19="Yes",Projects!$M$19="Yes",41&gt;=Projects!$C$19,41&lt;Projects!$C$19+Projects!$D$19),Projects!$B$19*INDEX(Curves!$B$10:$AR$10,1,41-Projects!$C$19+1),0)+IF(AND(Projects!$G$20="Yes",Projects!$X$20="Yes",Projects!$M$20="Yes",41&gt;=Projects!$C$20,41&lt;Projects!$C$20+Projects!$D$20),Projects!$B$20*INDEX(Curves!$B$4:$AR$4,1,41-Projects!$C$20+1),0)+IF(AND(Projects!$G$21="Yes",Projects!$X$21="Yes",Projects!$M$21="Yes",41&gt;=Projects!$C$21,41&lt;Projects!$C$21+Projects!$D$21),Projects!$B$21*INDEX(Curves!$B$11:$AR$11,1,41-Projects!$C$21+1),0)+IF(AND(Projects!$G$22="Yes",Projects!$X$22="Yes",Projects!$M$22="Yes",41&gt;=Projects!$C$22,41&lt;Projects!$C$22+Projects!$D$22),Projects!$B$22*INDEX(Curves!$B$4:$AR$4,1,41-Projects!$C$22+1),0)+IF(AND(Projects!$G$23="Yes",Projects!$X$23="Yes",Projects!$M$23="Yes",41&gt;=Projects!$C$23,41&lt;Projects!$C$23+Projects!$D$23),Projects!$B$23*INDEX(Curves!$B$4:$AR$4,1,41-Projects!$C$23+1),0)+IF(AND(Projects!$G$24="Yes",Projects!$X$24="Yes",Projects!$M$24="Yes",41&gt;=Projects!$C$24,41&lt;Projects!$C$24+Projects!$D$24),Projects!$B$24*INDEX(Curves!$B$4:$AR$4,1,41-Projects!$C$24+1),0)+IF(AND(Projects!$G$25="Yes",Projects!$X$25="Yes",Projects!$M$25="Yes",41&gt;=Projects!$C$25,41&lt;Projects!$C$25+Projects!$D$25),Projects!$B$25*INDEX(Curves!$B$4:$AR$4,1,41-Projects!$C$25+1),0)+IF(AND(Projects!$G$26="Yes",Projects!$X$26="Yes",Projects!$M$26="Yes",41&gt;=Projects!$C$26,41&lt;Projects!$C$26+Projects!$D$26),Projects!$B$26*INDEX(Curves!$B$4:$AR$4,1,41-Projects!$C$26+1),0)+IF(AND(Projects!$G$27="Yes",Projects!$X$27="Yes",Projects!$M$27="Yes",41&gt;=Projects!$C$27,41&lt;Projects!$C$27+Projects!$D$27),Projects!$B$27*INDEX(Curves!$B$4:$AR$4,1,41-Projects!$C$27+1),0)+IF(AND(Projects!$G$28="Yes",Projects!$X$28="Yes",Projects!$M$28="Yes",41&gt;=Projects!$C$28,41&lt;Projects!$C$28+Projects!$D$28),Projects!$B$28*INDEX(Curves!$B$4:$AR$4,1,41-Projects!$C$28+1),0)+IF(AND(Projects!$G$29="Yes",Projects!$X$29="Yes",Projects!$M$29="Yes",41&gt;=Projects!$C$29,41&lt;Projects!$C$29+Projects!$D$29),Projects!$B$29*INDEX(Curves!$B$4:$AR$4,1,41-Projects!$C$29+1),0)+IF(AND(Projects!$G$30="Yes",Projects!$X$30="Yes",Projects!$M$30="Yes",41&gt;=Projects!$C$30,41&lt;Projects!$C$30+Projects!$D$30),Projects!$B$30*INDEX(Curves!$B$4:$AR$4,1,41-Projects!$C$30+1),0)+IF(AND(Projects!$G$31="Yes",Projects!$X$31="Yes",Projects!$M$31="Yes",41&gt;=Projects!$C$31,41&lt;Projects!$C$31+Projects!$D$31),Projects!$B$31*INDEX(Curves!$B$4:$AR$4,1,41-Projects!$C$31+1),0)+IF(AND(Projects!$G$32="Yes",Projects!$X$32="Yes",Projects!$M$32="Yes",41&gt;=Projects!$C$32,41&lt;Projects!$C$32+Projects!$D$32),Projects!$B$32*INDEX(Curves!$B$4:$AR$4,1,41-Projects!$C$32+1),0)+IF(AND(Projects!$G$33="Yes",Projects!$X$33="Yes",Projects!$M$33="Yes",41&gt;=Projects!$C$33,41&lt;Projects!$C$33+Projects!$D$33),Projects!$B$33*INDEX(Curves!$B$4:$AR$4,1,41-Projects!$C$33+1),0)+IF(AND(Projects!$G$34="Yes",Projects!$X$34="Yes",Projects!$M$34="Yes",41&gt;=Projects!$C$34,41&lt;Projects!$C$34+Projects!$D$34),Projects!$B$34*INDEX(Curves!$B$4:$AR$4,1,41-Projects!$C$34+1),0)+IF(AND(Projects!$G$35="Yes",Projects!$X$35="Yes",Projects!$M$35="Yes",41&gt;=Projects!$C$35,41&lt;Projects!$C$35+Projects!$D$35),Projects!$B$35*INDEX(Curves!$B$4:$AR$4,1,41-Projects!$C$35+1),0)+IF(AND(Projects!$G$36="Yes",Projects!$X$36="Yes",Projects!$M$36="Yes",41&gt;=Projects!$C$36,41&lt;Projects!$C$36+Projects!$D$36),Projects!$B$36*INDEX(Curves!$B$4:$AR$4,1,41-Projects!$C$36+1),0)+IF(AND(Projects!$G$37="Yes",Projects!$X$37="Yes",Projects!$M$37="Yes",41&gt;=Projects!$C$37,41&lt;Projects!$C$37+Projects!$D$37),Projects!$B$37*INDEX(Curves!$B$4:$AR$4,1,41-Projects!$C$37+1),0)+IF(AND(Projects!$G$38="Yes",Projects!$X$38="Yes",Projects!$M$38="Yes",41&gt;=Projects!$C$38,41&lt;Projects!$C$38+Projects!$D$38),Projects!$B$38*INDEX(Curves!$B$4:$AR$4,1,41-Projects!$C$38+1),0)+IF(AND(Projects!$G$39="Yes",Projects!$X$39="Yes",Projects!$M$39="Yes",41&gt;=Projects!$C$39,41&lt;Projects!$C$39+Projects!$D$39),Projects!$B$39*INDEX(Curves!$B$4:$AR$4,1,41-Projects!$C$39+1),0)+IF(AND(Projects!$G$40="Yes",Projects!$X$40="Yes",Projects!$M$40="Yes",41&gt;=Projects!$C$40,41&lt;Projects!$C$40+Projects!$D$40),Projects!$B$40*INDEX(Curves!$B$4:$AR$4,1,41-Projects!$C$40+1),0)+IF(AND(Projects!$G$41="Yes",Projects!$X$41="Yes",Projects!$M$41="Yes",41&gt;=Projects!$C$41,41&lt;Projects!$C$41+Projects!$D$41),Projects!$B$41*INDEX(Curves!$B$4:$AR$4,1,41-Projects!$C$41+1),0)+IF(AND(Projects!$G$42="Yes",Projects!$X$42="Yes",Projects!$M$42="Yes",41&gt;=Projects!$C$42,41&lt;Projects!$C$42+Projects!$D$42),Projects!$B$42*INDEX(Curves!$B$4:$AR$4,1,41-Projects!$C$42+1),0)+IF(AND(Projects!$G$43="Yes",Projects!$X$43="Yes",Projects!$M$43="Yes",41&gt;=Projects!$C$43,41&lt;Projects!$C$43+Projects!$D$43),Projects!$B$43*INDEX(Curves!$B$4:$AR$4,1,41-Projects!$C$43+1),0)+IF(AND(Projects!$G$44="Yes",Projects!$X$44="Yes",Projects!$M$44="Yes",41&gt;=Projects!$C$44,41&lt;Projects!$C$44+Projects!$D$44),Projects!$B$44*INDEX(Curves!$B$4:$AR$4,1,41-Projects!$C$44+1),0)+IF(AND(Projects!$G$45="Yes",Projects!$X$45="Yes",Projects!$M$45="Yes",41&gt;=Projects!$C$45,41&lt;Projects!$C$45+Projects!$D$45),Projects!$B$45*INDEX(Curves!$B$4:$AR$4,1,41-Projects!$C$45+1),0)+IF(AND(Projects!$G$46="Yes",Projects!$X$46="Yes",Projects!$M$46="Yes",41&gt;=Projects!$C$46,41&lt;Projects!$C$46+Projects!$D$46),Projects!$B$46*INDEX(Curves!$B$4:$AR$4,1,41-Projects!$C$46+1),0)</f>
        <v>0</v>
      </c>
      <c r="AU101" s="298" t="n">
        <f aca="false">IF(AND(Projects!$G$17="Yes",Projects!$X$17="Yes",Projects!$M$17="Yes",42&gt;=Projects!$C$17,42&lt;Projects!$C$17+Projects!$D$17),Projects!$B$17*INDEX(Curves!$B$4:$AR$4,1,42-Projects!$C$17+1),0)+IF(AND(Projects!$G$18="Yes",Projects!$X$18="Yes",Projects!$M$18="Yes",42&gt;=Projects!$C$18,42&lt;Projects!$C$18+Projects!$D$18),Projects!$B$18*INDEX(Curves!$B$4:$AR$4,1,42-Projects!$C$18+1),0)+IF(AND(Projects!$G$19="Yes",Projects!$X$19="Yes",Projects!$M$19="Yes",42&gt;=Projects!$C$19,42&lt;Projects!$C$19+Projects!$D$19),Projects!$B$19*INDEX(Curves!$B$10:$AR$10,1,42-Projects!$C$19+1),0)+IF(AND(Projects!$G$20="Yes",Projects!$X$20="Yes",Projects!$M$20="Yes",42&gt;=Projects!$C$20,42&lt;Projects!$C$20+Projects!$D$20),Projects!$B$20*INDEX(Curves!$B$4:$AR$4,1,42-Projects!$C$20+1),0)+IF(AND(Projects!$G$21="Yes",Projects!$X$21="Yes",Projects!$M$21="Yes",42&gt;=Projects!$C$21,42&lt;Projects!$C$21+Projects!$D$21),Projects!$B$21*INDEX(Curves!$B$11:$AR$11,1,42-Projects!$C$21+1),0)+IF(AND(Projects!$G$22="Yes",Projects!$X$22="Yes",Projects!$M$22="Yes",42&gt;=Projects!$C$22,42&lt;Projects!$C$22+Projects!$D$22),Projects!$B$22*INDEX(Curves!$B$4:$AR$4,1,42-Projects!$C$22+1),0)+IF(AND(Projects!$G$23="Yes",Projects!$X$23="Yes",Projects!$M$23="Yes",42&gt;=Projects!$C$23,42&lt;Projects!$C$23+Projects!$D$23),Projects!$B$23*INDEX(Curves!$B$4:$AR$4,1,42-Projects!$C$23+1),0)+IF(AND(Projects!$G$24="Yes",Projects!$X$24="Yes",Projects!$M$24="Yes",42&gt;=Projects!$C$24,42&lt;Projects!$C$24+Projects!$D$24),Projects!$B$24*INDEX(Curves!$B$4:$AR$4,1,42-Projects!$C$24+1),0)+IF(AND(Projects!$G$25="Yes",Projects!$X$25="Yes",Projects!$M$25="Yes",42&gt;=Projects!$C$25,42&lt;Projects!$C$25+Projects!$D$25),Projects!$B$25*INDEX(Curves!$B$4:$AR$4,1,42-Projects!$C$25+1),0)+IF(AND(Projects!$G$26="Yes",Projects!$X$26="Yes",Projects!$M$26="Yes",42&gt;=Projects!$C$26,42&lt;Projects!$C$26+Projects!$D$26),Projects!$B$26*INDEX(Curves!$B$4:$AR$4,1,42-Projects!$C$26+1),0)+IF(AND(Projects!$G$27="Yes",Projects!$X$27="Yes",Projects!$M$27="Yes",42&gt;=Projects!$C$27,42&lt;Projects!$C$27+Projects!$D$27),Projects!$B$27*INDEX(Curves!$B$4:$AR$4,1,42-Projects!$C$27+1),0)+IF(AND(Projects!$G$28="Yes",Projects!$X$28="Yes",Projects!$M$28="Yes",42&gt;=Projects!$C$28,42&lt;Projects!$C$28+Projects!$D$28),Projects!$B$28*INDEX(Curves!$B$4:$AR$4,1,42-Projects!$C$28+1),0)+IF(AND(Projects!$G$29="Yes",Projects!$X$29="Yes",Projects!$M$29="Yes",42&gt;=Projects!$C$29,42&lt;Projects!$C$29+Projects!$D$29),Projects!$B$29*INDEX(Curves!$B$4:$AR$4,1,42-Projects!$C$29+1),0)+IF(AND(Projects!$G$30="Yes",Projects!$X$30="Yes",Projects!$M$30="Yes",42&gt;=Projects!$C$30,42&lt;Projects!$C$30+Projects!$D$30),Projects!$B$30*INDEX(Curves!$B$4:$AR$4,1,42-Projects!$C$30+1),0)+IF(AND(Projects!$G$31="Yes",Projects!$X$31="Yes",Projects!$M$31="Yes",42&gt;=Projects!$C$31,42&lt;Projects!$C$31+Projects!$D$31),Projects!$B$31*INDEX(Curves!$B$4:$AR$4,1,42-Projects!$C$31+1),0)+IF(AND(Projects!$G$32="Yes",Projects!$X$32="Yes",Projects!$M$32="Yes",42&gt;=Projects!$C$32,42&lt;Projects!$C$32+Projects!$D$32),Projects!$B$32*INDEX(Curves!$B$4:$AR$4,1,42-Projects!$C$32+1),0)+IF(AND(Projects!$G$33="Yes",Projects!$X$33="Yes",Projects!$M$33="Yes",42&gt;=Projects!$C$33,42&lt;Projects!$C$33+Projects!$D$33),Projects!$B$33*INDEX(Curves!$B$4:$AR$4,1,42-Projects!$C$33+1),0)+IF(AND(Projects!$G$34="Yes",Projects!$X$34="Yes",Projects!$M$34="Yes",42&gt;=Projects!$C$34,42&lt;Projects!$C$34+Projects!$D$34),Projects!$B$34*INDEX(Curves!$B$4:$AR$4,1,42-Projects!$C$34+1),0)+IF(AND(Projects!$G$35="Yes",Projects!$X$35="Yes",Projects!$M$35="Yes",42&gt;=Projects!$C$35,42&lt;Projects!$C$35+Projects!$D$35),Projects!$B$35*INDEX(Curves!$B$4:$AR$4,1,42-Projects!$C$35+1),0)+IF(AND(Projects!$G$36="Yes",Projects!$X$36="Yes",Projects!$M$36="Yes",42&gt;=Projects!$C$36,42&lt;Projects!$C$36+Projects!$D$36),Projects!$B$36*INDEX(Curves!$B$4:$AR$4,1,42-Projects!$C$36+1),0)+IF(AND(Projects!$G$37="Yes",Projects!$X$37="Yes",Projects!$M$37="Yes",42&gt;=Projects!$C$37,42&lt;Projects!$C$37+Projects!$D$37),Projects!$B$37*INDEX(Curves!$B$4:$AR$4,1,42-Projects!$C$37+1),0)+IF(AND(Projects!$G$38="Yes",Projects!$X$38="Yes",Projects!$M$38="Yes",42&gt;=Projects!$C$38,42&lt;Projects!$C$38+Projects!$D$38),Projects!$B$38*INDEX(Curves!$B$4:$AR$4,1,42-Projects!$C$38+1),0)+IF(AND(Projects!$G$39="Yes",Projects!$X$39="Yes",Projects!$M$39="Yes",42&gt;=Projects!$C$39,42&lt;Projects!$C$39+Projects!$D$39),Projects!$B$39*INDEX(Curves!$B$4:$AR$4,1,42-Projects!$C$39+1),0)+IF(AND(Projects!$G$40="Yes",Projects!$X$40="Yes",Projects!$M$40="Yes",42&gt;=Projects!$C$40,42&lt;Projects!$C$40+Projects!$D$40),Projects!$B$40*INDEX(Curves!$B$4:$AR$4,1,42-Projects!$C$40+1),0)+IF(AND(Projects!$G$41="Yes",Projects!$X$41="Yes",Projects!$M$41="Yes",42&gt;=Projects!$C$41,42&lt;Projects!$C$41+Projects!$D$41),Projects!$B$41*INDEX(Curves!$B$4:$AR$4,1,42-Projects!$C$41+1),0)+IF(AND(Projects!$G$42="Yes",Projects!$X$42="Yes",Projects!$M$42="Yes",42&gt;=Projects!$C$42,42&lt;Projects!$C$42+Projects!$D$42),Projects!$B$42*INDEX(Curves!$B$4:$AR$4,1,42-Projects!$C$42+1),0)+IF(AND(Projects!$G$43="Yes",Projects!$X$43="Yes",Projects!$M$43="Yes",42&gt;=Projects!$C$43,42&lt;Projects!$C$43+Projects!$D$43),Projects!$B$43*INDEX(Curves!$B$4:$AR$4,1,42-Projects!$C$43+1),0)+IF(AND(Projects!$G$44="Yes",Projects!$X$44="Yes",Projects!$M$44="Yes",42&gt;=Projects!$C$44,42&lt;Projects!$C$44+Projects!$D$44),Projects!$B$44*INDEX(Curves!$B$4:$AR$4,1,42-Projects!$C$44+1),0)+IF(AND(Projects!$G$45="Yes",Projects!$X$45="Yes",Projects!$M$45="Yes",42&gt;=Projects!$C$45,42&lt;Projects!$C$45+Projects!$D$45),Projects!$B$45*INDEX(Curves!$B$4:$AR$4,1,42-Projects!$C$45+1),0)+IF(AND(Projects!$G$46="Yes",Projects!$X$46="Yes",Projects!$M$46="Yes",42&gt;=Projects!$C$46,42&lt;Projects!$C$46+Projects!$D$46),Projects!$B$46*INDEX(Curves!$B$4:$AR$4,1,42-Projects!$C$46+1),0)</f>
        <v>0</v>
      </c>
      <c r="AV101" s="298" t="n">
        <f aca="false">IF(AND(Projects!$G$17="Yes",Projects!$X$17="Yes",Projects!$M$17="Yes",43&gt;=Projects!$C$17,43&lt;Projects!$C$17+Projects!$D$17),Projects!$B$17*INDEX(Curves!$B$4:$AR$4,1,43-Projects!$C$17+1),0)+IF(AND(Projects!$G$18="Yes",Projects!$X$18="Yes",Projects!$M$18="Yes",43&gt;=Projects!$C$18,43&lt;Projects!$C$18+Projects!$D$18),Projects!$B$18*INDEX(Curves!$B$4:$AR$4,1,43-Projects!$C$18+1),0)+IF(AND(Projects!$G$19="Yes",Projects!$X$19="Yes",Projects!$M$19="Yes",43&gt;=Projects!$C$19,43&lt;Projects!$C$19+Projects!$D$19),Projects!$B$19*INDEX(Curves!$B$10:$AR$10,1,43-Projects!$C$19+1),0)+IF(AND(Projects!$G$20="Yes",Projects!$X$20="Yes",Projects!$M$20="Yes",43&gt;=Projects!$C$20,43&lt;Projects!$C$20+Projects!$D$20),Projects!$B$20*INDEX(Curves!$B$4:$AR$4,1,43-Projects!$C$20+1),0)+IF(AND(Projects!$G$21="Yes",Projects!$X$21="Yes",Projects!$M$21="Yes",43&gt;=Projects!$C$21,43&lt;Projects!$C$21+Projects!$D$21),Projects!$B$21*INDEX(Curves!$B$11:$AR$11,1,43-Projects!$C$21+1),0)+IF(AND(Projects!$G$22="Yes",Projects!$X$22="Yes",Projects!$M$22="Yes",43&gt;=Projects!$C$22,43&lt;Projects!$C$22+Projects!$D$22),Projects!$B$22*INDEX(Curves!$B$4:$AR$4,1,43-Projects!$C$22+1),0)+IF(AND(Projects!$G$23="Yes",Projects!$X$23="Yes",Projects!$M$23="Yes",43&gt;=Projects!$C$23,43&lt;Projects!$C$23+Projects!$D$23),Projects!$B$23*INDEX(Curves!$B$4:$AR$4,1,43-Projects!$C$23+1),0)+IF(AND(Projects!$G$24="Yes",Projects!$X$24="Yes",Projects!$M$24="Yes",43&gt;=Projects!$C$24,43&lt;Projects!$C$24+Projects!$D$24),Projects!$B$24*INDEX(Curves!$B$4:$AR$4,1,43-Projects!$C$24+1),0)+IF(AND(Projects!$G$25="Yes",Projects!$X$25="Yes",Projects!$M$25="Yes",43&gt;=Projects!$C$25,43&lt;Projects!$C$25+Projects!$D$25),Projects!$B$25*INDEX(Curves!$B$4:$AR$4,1,43-Projects!$C$25+1),0)+IF(AND(Projects!$G$26="Yes",Projects!$X$26="Yes",Projects!$M$26="Yes",43&gt;=Projects!$C$26,43&lt;Projects!$C$26+Projects!$D$26),Projects!$B$26*INDEX(Curves!$B$4:$AR$4,1,43-Projects!$C$26+1),0)+IF(AND(Projects!$G$27="Yes",Projects!$X$27="Yes",Projects!$M$27="Yes",43&gt;=Projects!$C$27,43&lt;Projects!$C$27+Projects!$D$27),Projects!$B$27*INDEX(Curves!$B$4:$AR$4,1,43-Projects!$C$27+1),0)+IF(AND(Projects!$G$28="Yes",Projects!$X$28="Yes",Projects!$M$28="Yes",43&gt;=Projects!$C$28,43&lt;Projects!$C$28+Projects!$D$28),Projects!$B$28*INDEX(Curves!$B$4:$AR$4,1,43-Projects!$C$28+1),0)+IF(AND(Projects!$G$29="Yes",Projects!$X$29="Yes",Projects!$M$29="Yes",43&gt;=Projects!$C$29,43&lt;Projects!$C$29+Projects!$D$29),Projects!$B$29*INDEX(Curves!$B$4:$AR$4,1,43-Projects!$C$29+1),0)+IF(AND(Projects!$G$30="Yes",Projects!$X$30="Yes",Projects!$M$30="Yes",43&gt;=Projects!$C$30,43&lt;Projects!$C$30+Projects!$D$30),Projects!$B$30*INDEX(Curves!$B$4:$AR$4,1,43-Projects!$C$30+1),0)+IF(AND(Projects!$G$31="Yes",Projects!$X$31="Yes",Projects!$M$31="Yes",43&gt;=Projects!$C$31,43&lt;Projects!$C$31+Projects!$D$31),Projects!$B$31*INDEX(Curves!$B$4:$AR$4,1,43-Projects!$C$31+1),0)+IF(AND(Projects!$G$32="Yes",Projects!$X$32="Yes",Projects!$M$32="Yes",43&gt;=Projects!$C$32,43&lt;Projects!$C$32+Projects!$D$32),Projects!$B$32*INDEX(Curves!$B$4:$AR$4,1,43-Projects!$C$32+1),0)+IF(AND(Projects!$G$33="Yes",Projects!$X$33="Yes",Projects!$M$33="Yes",43&gt;=Projects!$C$33,43&lt;Projects!$C$33+Projects!$D$33),Projects!$B$33*INDEX(Curves!$B$4:$AR$4,1,43-Projects!$C$33+1),0)+IF(AND(Projects!$G$34="Yes",Projects!$X$34="Yes",Projects!$M$34="Yes",43&gt;=Projects!$C$34,43&lt;Projects!$C$34+Projects!$D$34),Projects!$B$34*INDEX(Curves!$B$4:$AR$4,1,43-Projects!$C$34+1),0)+IF(AND(Projects!$G$35="Yes",Projects!$X$35="Yes",Projects!$M$35="Yes",43&gt;=Projects!$C$35,43&lt;Projects!$C$35+Projects!$D$35),Projects!$B$35*INDEX(Curves!$B$4:$AR$4,1,43-Projects!$C$35+1),0)+IF(AND(Projects!$G$36="Yes",Projects!$X$36="Yes",Projects!$M$36="Yes",43&gt;=Projects!$C$36,43&lt;Projects!$C$36+Projects!$D$36),Projects!$B$36*INDEX(Curves!$B$4:$AR$4,1,43-Projects!$C$36+1),0)+IF(AND(Projects!$G$37="Yes",Projects!$X$37="Yes",Projects!$M$37="Yes",43&gt;=Projects!$C$37,43&lt;Projects!$C$37+Projects!$D$37),Projects!$B$37*INDEX(Curves!$B$4:$AR$4,1,43-Projects!$C$37+1),0)+IF(AND(Projects!$G$38="Yes",Projects!$X$38="Yes",Projects!$M$38="Yes",43&gt;=Projects!$C$38,43&lt;Projects!$C$38+Projects!$D$38),Projects!$B$38*INDEX(Curves!$B$4:$AR$4,1,43-Projects!$C$38+1),0)+IF(AND(Projects!$G$39="Yes",Projects!$X$39="Yes",Projects!$M$39="Yes",43&gt;=Projects!$C$39,43&lt;Projects!$C$39+Projects!$D$39),Projects!$B$39*INDEX(Curves!$B$4:$AR$4,1,43-Projects!$C$39+1),0)+IF(AND(Projects!$G$40="Yes",Projects!$X$40="Yes",Projects!$M$40="Yes",43&gt;=Projects!$C$40,43&lt;Projects!$C$40+Projects!$D$40),Projects!$B$40*INDEX(Curves!$B$4:$AR$4,1,43-Projects!$C$40+1),0)+IF(AND(Projects!$G$41="Yes",Projects!$X$41="Yes",Projects!$M$41="Yes",43&gt;=Projects!$C$41,43&lt;Projects!$C$41+Projects!$D$41),Projects!$B$41*INDEX(Curves!$B$4:$AR$4,1,43-Projects!$C$41+1),0)+IF(AND(Projects!$G$42="Yes",Projects!$X$42="Yes",Projects!$M$42="Yes",43&gt;=Projects!$C$42,43&lt;Projects!$C$42+Projects!$D$42),Projects!$B$42*INDEX(Curves!$B$4:$AR$4,1,43-Projects!$C$42+1),0)+IF(AND(Projects!$G$43="Yes",Projects!$X$43="Yes",Projects!$M$43="Yes",43&gt;=Projects!$C$43,43&lt;Projects!$C$43+Projects!$D$43),Projects!$B$43*INDEX(Curves!$B$4:$AR$4,1,43-Projects!$C$43+1),0)+IF(AND(Projects!$G$44="Yes",Projects!$X$44="Yes",Projects!$M$44="Yes",43&gt;=Projects!$C$44,43&lt;Projects!$C$44+Projects!$D$44),Projects!$B$44*INDEX(Curves!$B$4:$AR$4,1,43-Projects!$C$44+1),0)+IF(AND(Projects!$G$45="Yes",Projects!$X$45="Yes",Projects!$M$45="Yes",43&gt;=Projects!$C$45,43&lt;Projects!$C$45+Projects!$D$45),Projects!$B$45*INDEX(Curves!$B$4:$AR$4,1,43-Projects!$C$45+1),0)+IF(AND(Projects!$G$46="Yes",Projects!$X$46="Yes",Projects!$M$46="Yes",43&gt;=Projects!$C$46,43&lt;Projects!$C$46+Projects!$D$46),Projects!$B$46*INDEX(Curves!$B$4:$AR$4,1,43-Projects!$C$46+1),0)</f>
        <v>0</v>
      </c>
      <c r="AW101" s="298" t="n">
        <f aca="false">IF(AND(Projects!$G$17="Yes",Projects!$X$17="Yes",Projects!$M$17="Yes",44&gt;=Projects!$C$17,44&lt;Projects!$C$17+Projects!$D$17),Projects!$B$17*INDEX(Curves!$B$4:$AR$4,1,44-Projects!$C$17+1),0)+IF(AND(Projects!$G$18="Yes",Projects!$X$18="Yes",Projects!$M$18="Yes",44&gt;=Projects!$C$18,44&lt;Projects!$C$18+Projects!$D$18),Projects!$B$18*INDEX(Curves!$B$4:$AR$4,1,44-Projects!$C$18+1),0)+IF(AND(Projects!$G$19="Yes",Projects!$X$19="Yes",Projects!$M$19="Yes",44&gt;=Projects!$C$19,44&lt;Projects!$C$19+Projects!$D$19),Projects!$B$19*INDEX(Curves!$B$10:$AR$10,1,44-Projects!$C$19+1),0)+IF(AND(Projects!$G$20="Yes",Projects!$X$20="Yes",Projects!$M$20="Yes",44&gt;=Projects!$C$20,44&lt;Projects!$C$20+Projects!$D$20),Projects!$B$20*INDEX(Curves!$B$4:$AR$4,1,44-Projects!$C$20+1),0)+IF(AND(Projects!$G$21="Yes",Projects!$X$21="Yes",Projects!$M$21="Yes",44&gt;=Projects!$C$21,44&lt;Projects!$C$21+Projects!$D$21),Projects!$B$21*INDEX(Curves!$B$11:$AR$11,1,44-Projects!$C$21+1),0)+IF(AND(Projects!$G$22="Yes",Projects!$X$22="Yes",Projects!$M$22="Yes",44&gt;=Projects!$C$22,44&lt;Projects!$C$22+Projects!$D$22),Projects!$B$22*INDEX(Curves!$B$4:$AR$4,1,44-Projects!$C$22+1),0)+IF(AND(Projects!$G$23="Yes",Projects!$X$23="Yes",Projects!$M$23="Yes",44&gt;=Projects!$C$23,44&lt;Projects!$C$23+Projects!$D$23),Projects!$B$23*INDEX(Curves!$B$4:$AR$4,1,44-Projects!$C$23+1),0)+IF(AND(Projects!$G$24="Yes",Projects!$X$24="Yes",Projects!$M$24="Yes",44&gt;=Projects!$C$24,44&lt;Projects!$C$24+Projects!$D$24),Projects!$B$24*INDEX(Curves!$B$4:$AR$4,1,44-Projects!$C$24+1),0)+IF(AND(Projects!$G$25="Yes",Projects!$X$25="Yes",Projects!$M$25="Yes",44&gt;=Projects!$C$25,44&lt;Projects!$C$25+Projects!$D$25),Projects!$B$25*INDEX(Curves!$B$4:$AR$4,1,44-Projects!$C$25+1),0)+IF(AND(Projects!$G$26="Yes",Projects!$X$26="Yes",Projects!$M$26="Yes",44&gt;=Projects!$C$26,44&lt;Projects!$C$26+Projects!$D$26),Projects!$B$26*INDEX(Curves!$B$4:$AR$4,1,44-Projects!$C$26+1),0)+IF(AND(Projects!$G$27="Yes",Projects!$X$27="Yes",Projects!$M$27="Yes",44&gt;=Projects!$C$27,44&lt;Projects!$C$27+Projects!$D$27),Projects!$B$27*INDEX(Curves!$B$4:$AR$4,1,44-Projects!$C$27+1),0)+IF(AND(Projects!$G$28="Yes",Projects!$X$28="Yes",Projects!$M$28="Yes",44&gt;=Projects!$C$28,44&lt;Projects!$C$28+Projects!$D$28),Projects!$B$28*INDEX(Curves!$B$4:$AR$4,1,44-Projects!$C$28+1),0)+IF(AND(Projects!$G$29="Yes",Projects!$X$29="Yes",Projects!$M$29="Yes",44&gt;=Projects!$C$29,44&lt;Projects!$C$29+Projects!$D$29),Projects!$B$29*INDEX(Curves!$B$4:$AR$4,1,44-Projects!$C$29+1),0)+IF(AND(Projects!$G$30="Yes",Projects!$X$30="Yes",Projects!$M$30="Yes",44&gt;=Projects!$C$30,44&lt;Projects!$C$30+Projects!$D$30),Projects!$B$30*INDEX(Curves!$B$4:$AR$4,1,44-Projects!$C$30+1),0)+IF(AND(Projects!$G$31="Yes",Projects!$X$31="Yes",Projects!$M$31="Yes",44&gt;=Projects!$C$31,44&lt;Projects!$C$31+Projects!$D$31),Projects!$B$31*INDEX(Curves!$B$4:$AR$4,1,44-Projects!$C$31+1),0)+IF(AND(Projects!$G$32="Yes",Projects!$X$32="Yes",Projects!$M$32="Yes",44&gt;=Projects!$C$32,44&lt;Projects!$C$32+Projects!$D$32),Projects!$B$32*INDEX(Curves!$B$4:$AR$4,1,44-Projects!$C$32+1),0)+IF(AND(Projects!$G$33="Yes",Projects!$X$33="Yes",Projects!$M$33="Yes",44&gt;=Projects!$C$33,44&lt;Projects!$C$33+Projects!$D$33),Projects!$B$33*INDEX(Curves!$B$4:$AR$4,1,44-Projects!$C$33+1),0)+IF(AND(Projects!$G$34="Yes",Projects!$X$34="Yes",Projects!$M$34="Yes",44&gt;=Projects!$C$34,44&lt;Projects!$C$34+Projects!$D$34),Projects!$B$34*INDEX(Curves!$B$4:$AR$4,1,44-Projects!$C$34+1),0)+IF(AND(Projects!$G$35="Yes",Projects!$X$35="Yes",Projects!$M$35="Yes",44&gt;=Projects!$C$35,44&lt;Projects!$C$35+Projects!$D$35),Projects!$B$35*INDEX(Curves!$B$4:$AR$4,1,44-Projects!$C$35+1),0)+IF(AND(Projects!$G$36="Yes",Projects!$X$36="Yes",Projects!$M$36="Yes",44&gt;=Projects!$C$36,44&lt;Projects!$C$36+Projects!$D$36),Projects!$B$36*INDEX(Curves!$B$4:$AR$4,1,44-Projects!$C$36+1),0)+IF(AND(Projects!$G$37="Yes",Projects!$X$37="Yes",Projects!$M$37="Yes",44&gt;=Projects!$C$37,44&lt;Projects!$C$37+Projects!$D$37),Projects!$B$37*INDEX(Curves!$B$4:$AR$4,1,44-Projects!$C$37+1),0)+IF(AND(Projects!$G$38="Yes",Projects!$X$38="Yes",Projects!$M$38="Yes",44&gt;=Projects!$C$38,44&lt;Projects!$C$38+Projects!$D$38),Projects!$B$38*INDEX(Curves!$B$4:$AR$4,1,44-Projects!$C$38+1),0)+IF(AND(Projects!$G$39="Yes",Projects!$X$39="Yes",Projects!$M$39="Yes",44&gt;=Projects!$C$39,44&lt;Projects!$C$39+Projects!$D$39),Projects!$B$39*INDEX(Curves!$B$4:$AR$4,1,44-Projects!$C$39+1),0)+IF(AND(Projects!$G$40="Yes",Projects!$X$40="Yes",Projects!$M$40="Yes",44&gt;=Projects!$C$40,44&lt;Projects!$C$40+Projects!$D$40),Projects!$B$40*INDEX(Curves!$B$4:$AR$4,1,44-Projects!$C$40+1),0)+IF(AND(Projects!$G$41="Yes",Projects!$X$41="Yes",Projects!$M$41="Yes",44&gt;=Projects!$C$41,44&lt;Projects!$C$41+Projects!$D$41),Projects!$B$41*INDEX(Curves!$B$4:$AR$4,1,44-Projects!$C$41+1),0)+IF(AND(Projects!$G$42="Yes",Projects!$X$42="Yes",Projects!$M$42="Yes",44&gt;=Projects!$C$42,44&lt;Projects!$C$42+Projects!$D$42),Projects!$B$42*INDEX(Curves!$B$4:$AR$4,1,44-Projects!$C$42+1),0)+IF(AND(Projects!$G$43="Yes",Projects!$X$43="Yes",Projects!$M$43="Yes",44&gt;=Projects!$C$43,44&lt;Projects!$C$43+Projects!$D$43),Projects!$B$43*INDEX(Curves!$B$4:$AR$4,1,44-Projects!$C$43+1),0)+IF(AND(Projects!$G$44="Yes",Projects!$X$44="Yes",Projects!$M$44="Yes",44&gt;=Projects!$C$44,44&lt;Projects!$C$44+Projects!$D$44),Projects!$B$44*INDEX(Curves!$B$4:$AR$4,1,44-Projects!$C$44+1),0)+IF(AND(Projects!$G$45="Yes",Projects!$X$45="Yes",Projects!$M$45="Yes",44&gt;=Projects!$C$45,44&lt;Projects!$C$45+Projects!$D$45),Projects!$B$45*INDEX(Curves!$B$4:$AR$4,1,44-Projects!$C$45+1),0)+IF(AND(Projects!$G$46="Yes",Projects!$X$46="Yes",Projects!$M$46="Yes",44&gt;=Projects!$C$46,44&lt;Projects!$C$46+Projects!$D$46),Projects!$B$46*INDEX(Curves!$B$4:$AR$4,1,44-Projects!$C$46+1),0)</f>
        <v>0</v>
      </c>
      <c r="AX101" s="298" t="n">
        <f aca="false">IF(AND(Projects!$G$17="Yes",Projects!$X$17="Yes",Projects!$M$17="Yes",45&gt;=Projects!$C$17,45&lt;Projects!$C$17+Projects!$D$17),Projects!$B$17*INDEX(Curves!$B$4:$AR$4,1,45-Projects!$C$17+1),0)+IF(AND(Projects!$G$18="Yes",Projects!$X$18="Yes",Projects!$M$18="Yes",45&gt;=Projects!$C$18,45&lt;Projects!$C$18+Projects!$D$18),Projects!$B$18*INDEX(Curves!$B$4:$AR$4,1,45-Projects!$C$18+1),0)+IF(AND(Projects!$G$19="Yes",Projects!$X$19="Yes",Projects!$M$19="Yes",45&gt;=Projects!$C$19,45&lt;Projects!$C$19+Projects!$D$19),Projects!$B$19*INDEX(Curves!$B$10:$AR$10,1,45-Projects!$C$19+1),0)+IF(AND(Projects!$G$20="Yes",Projects!$X$20="Yes",Projects!$M$20="Yes",45&gt;=Projects!$C$20,45&lt;Projects!$C$20+Projects!$D$20),Projects!$B$20*INDEX(Curves!$B$4:$AR$4,1,45-Projects!$C$20+1),0)+IF(AND(Projects!$G$21="Yes",Projects!$X$21="Yes",Projects!$M$21="Yes",45&gt;=Projects!$C$21,45&lt;Projects!$C$21+Projects!$D$21),Projects!$B$21*INDEX(Curves!$B$11:$AR$11,1,45-Projects!$C$21+1),0)+IF(AND(Projects!$G$22="Yes",Projects!$X$22="Yes",Projects!$M$22="Yes",45&gt;=Projects!$C$22,45&lt;Projects!$C$22+Projects!$D$22),Projects!$B$22*INDEX(Curves!$B$4:$AR$4,1,45-Projects!$C$22+1),0)+IF(AND(Projects!$G$23="Yes",Projects!$X$23="Yes",Projects!$M$23="Yes",45&gt;=Projects!$C$23,45&lt;Projects!$C$23+Projects!$D$23),Projects!$B$23*INDEX(Curves!$B$4:$AR$4,1,45-Projects!$C$23+1),0)+IF(AND(Projects!$G$24="Yes",Projects!$X$24="Yes",Projects!$M$24="Yes",45&gt;=Projects!$C$24,45&lt;Projects!$C$24+Projects!$D$24),Projects!$B$24*INDEX(Curves!$B$4:$AR$4,1,45-Projects!$C$24+1),0)+IF(AND(Projects!$G$25="Yes",Projects!$X$25="Yes",Projects!$M$25="Yes",45&gt;=Projects!$C$25,45&lt;Projects!$C$25+Projects!$D$25),Projects!$B$25*INDEX(Curves!$B$4:$AR$4,1,45-Projects!$C$25+1),0)+IF(AND(Projects!$G$26="Yes",Projects!$X$26="Yes",Projects!$M$26="Yes",45&gt;=Projects!$C$26,45&lt;Projects!$C$26+Projects!$D$26),Projects!$B$26*INDEX(Curves!$B$4:$AR$4,1,45-Projects!$C$26+1),0)+IF(AND(Projects!$G$27="Yes",Projects!$X$27="Yes",Projects!$M$27="Yes",45&gt;=Projects!$C$27,45&lt;Projects!$C$27+Projects!$D$27),Projects!$B$27*INDEX(Curves!$B$4:$AR$4,1,45-Projects!$C$27+1),0)+IF(AND(Projects!$G$28="Yes",Projects!$X$28="Yes",Projects!$M$28="Yes",45&gt;=Projects!$C$28,45&lt;Projects!$C$28+Projects!$D$28),Projects!$B$28*INDEX(Curves!$B$4:$AR$4,1,45-Projects!$C$28+1),0)+IF(AND(Projects!$G$29="Yes",Projects!$X$29="Yes",Projects!$M$29="Yes",45&gt;=Projects!$C$29,45&lt;Projects!$C$29+Projects!$D$29),Projects!$B$29*INDEX(Curves!$B$4:$AR$4,1,45-Projects!$C$29+1),0)+IF(AND(Projects!$G$30="Yes",Projects!$X$30="Yes",Projects!$M$30="Yes",45&gt;=Projects!$C$30,45&lt;Projects!$C$30+Projects!$D$30),Projects!$B$30*INDEX(Curves!$B$4:$AR$4,1,45-Projects!$C$30+1),0)+IF(AND(Projects!$G$31="Yes",Projects!$X$31="Yes",Projects!$M$31="Yes",45&gt;=Projects!$C$31,45&lt;Projects!$C$31+Projects!$D$31),Projects!$B$31*INDEX(Curves!$B$4:$AR$4,1,45-Projects!$C$31+1),0)+IF(AND(Projects!$G$32="Yes",Projects!$X$32="Yes",Projects!$M$32="Yes",45&gt;=Projects!$C$32,45&lt;Projects!$C$32+Projects!$D$32),Projects!$B$32*INDEX(Curves!$B$4:$AR$4,1,45-Projects!$C$32+1),0)+IF(AND(Projects!$G$33="Yes",Projects!$X$33="Yes",Projects!$M$33="Yes",45&gt;=Projects!$C$33,45&lt;Projects!$C$33+Projects!$D$33),Projects!$B$33*INDEX(Curves!$B$4:$AR$4,1,45-Projects!$C$33+1),0)+IF(AND(Projects!$G$34="Yes",Projects!$X$34="Yes",Projects!$M$34="Yes",45&gt;=Projects!$C$34,45&lt;Projects!$C$34+Projects!$D$34),Projects!$B$34*INDEX(Curves!$B$4:$AR$4,1,45-Projects!$C$34+1),0)+IF(AND(Projects!$G$35="Yes",Projects!$X$35="Yes",Projects!$M$35="Yes",45&gt;=Projects!$C$35,45&lt;Projects!$C$35+Projects!$D$35),Projects!$B$35*INDEX(Curves!$B$4:$AR$4,1,45-Projects!$C$35+1),0)+IF(AND(Projects!$G$36="Yes",Projects!$X$36="Yes",Projects!$M$36="Yes",45&gt;=Projects!$C$36,45&lt;Projects!$C$36+Projects!$D$36),Projects!$B$36*INDEX(Curves!$B$4:$AR$4,1,45-Projects!$C$36+1),0)+IF(AND(Projects!$G$37="Yes",Projects!$X$37="Yes",Projects!$M$37="Yes",45&gt;=Projects!$C$37,45&lt;Projects!$C$37+Projects!$D$37),Projects!$B$37*INDEX(Curves!$B$4:$AR$4,1,45-Projects!$C$37+1),0)+IF(AND(Projects!$G$38="Yes",Projects!$X$38="Yes",Projects!$M$38="Yes",45&gt;=Projects!$C$38,45&lt;Projects!$C$38+Projects!$D$38),Projects!$B$38*INDEX(Curves!$B$4:$AR$4,1,45-Projects!$C$38+1),0)+IF(AND(Projects!$G$39="Yes",Projects!$X$39="Yes",Projects!$M$39="Yes",45&gt;=Projects!$C$39,45&lt;Projects!$C$39+Projects!$D$39),Projects!$B$39*INDEX(Curves!$B$4:$AR$4,1,45-Projects!$C$39+1),0)+IF(AND(Projects!$G$40="Yes",Projects!$X$40="Yes",Projects!$M$40="Yes",45&gt;=Projects!$C$40,45&lt;Projects!$C$40+Projects!$D$40),Projects!$B$40*INDEX(Curves!$B$4:$AR$4,1,45-Projects!$C$40+1),0)+IF(AND(Projects!$G$41="Yes",Projects!$X$41="Yes",Projects!$M$41="Yes",45&gt;=Projects!$C$41,45&lt;Projects!$C$41+Projects!$D$41),Projects!$B$41*INDEX(Curves!$B$4:$AR$4,1,45-Projects!$C$41+1),0)+IF(AND(Projects!$G$42="Yes",Projects!$X$42="Yes",Projects!$M$42="Yes",45&gt;=Projects!$C$42,45&lt;Projects!$C$42+Projects!$D$42),Projects!$B$42*INDEX(Curves!$B$4:$AR$4,1,45-Projects!$C$42+1),0)+IF(AND(Projects!$G$43="Yes",Projects!$X$43="Yes",Projects!$M$43="Yes",45&gt;=Projects!$C$43,45&lt;Projects!$C$43+Projects!$D$43),Projects!$B$43*INDEX(Curves!$B$4:$AR$4,1,45-Projects!$C$43+1),0)+IF(AND(Projects!$G$44="Yes",Projects!$X$44="Yes",Projects!$M$44="Yes",45&gt;=Projects!$C$44,45&lt;Projects!$C$44+Projects!$D$44),Projects!$B$44*INDEX(Curves!$B$4:$AR$4,1,45-Projects!$C$44+1),0)+IF(AND(Projects!$G$45="Yes",Projects!$X$45="Yes",Projects!$M$45="Yes",45&gt;=Projects!$C$45,45&lt;Projects!$C$45+Projects!$D$45),Projects!$B$45*INDEX(Curves!$B$4:$AR$4,1,45-Projects!$C$45+1),0)+IF(AND(Projects!$G$46="Yes",Projects!$X$46="Yes",Projects!$M$46="Yes",45&gt;=Projects!$C$46,45&lt;Projects!$C$46+Projects!$D$46),Projects!$B$46*INDEX(Curves!$B$4:$AR$4,1,45-Projects!$C$46+1),0)</f>
        <v>0</v>
      </c>
      <c r="AY101" s="298" t="n">
        <f aca="false">IF(AND(Projects!$G$17="Yes",Projects!$X$17="Yes",Projects!$M$17="Yes",46&gt;=Projects!$C$17,46&lt;Projects!$C$17+Projects!$D$17),Projects!$B$17*INDEX(Curves!$B$4:$AR$4,1,46-Projects!$C$17+1),0)+IF(AND(Projects!$G$18="Yes",Projects!$X$18="Yes",Projects!$M$18="Yes",46&gt;=Projects!$C$18,46&lt;Projects!$C$18+Projects!$D$18),Projects!$B$18*INDEX(Curves!$B$4:$AR$4,1,46-Projects!$C$18+1),0)+IF(AND(Projects!$G$19="Yes",Projects!$X$19="Yes",Projects!$M$19="Yes",46&gt;=Projects!$C$19,46&lt;Projects!$C$19+Projects!$D$19),Projects!$B$19*INDEX(Curves!$B$10:$AR$10,1,46-Projects!$C$19+1),0)+IF(AND(Projects!$G$20="Yes",Projects!$X$20="Yes",Projects!$M$20="Yes",46&gt;=Projects!$C$20,46&lt;Projects!$C$20+Projects!$D$20),Projects!$B$20*INDEX(Curves!$B$4:$AR$4,1,46-Projects!$C$20+1),0)+IF(AND(Projects!$G$21="Yes",Projects!$X$21="Yes",Projects!$M$21="Yes",46&gt;=Projects!$C$21,46&lt;Projects!$C$21+Projects!$D$21),Projects!$B$21*INDEX(Curves!$B$11:$AR$11,1,46-Projects!$C$21+1),0)+IF(AND(Projects!$G$22="Yes",Projects!$X$22="Yes",Projects!$M$22="Yes",46&gt;=Projects!$C$22,46&lt;Projects!$C$22+Projects!$D$22),Projects!$B$22*INDEX(Curves!$B$4:$AR$4,1,46-Projects!$C$22+1),0)+IF(AND(Projects!$G$23="Yes",Projects!$X$23="Yes",Projects!$M$23="Yes",46&gt;=Projects!$C$23,46&lt;Projects!$C$23+Projects!$D$23),Projects!$B$23*INDEX(Curves!$B$4:$AR$4,1,46-Projects!$C$23+1),0)+IF(AND(Projects!$G$24="Yes",Projects!$X$24="Yes",Projects!$M$24="Yes",46&gt;=Projects!$C$24,46&lt;Projects!$C$24+Projects!$D$24),Projects!$B$24*INDEX(Curves!$B$4:$AR$4,1,46-Projects!$C$24+1),0)+IF(AND(Projects!$G$25="Yes",Projects!$X$25="Yes",Projects!$M$25="Yes",46&gt;=Projects!$C$25,46&lt;Projects!$C$25+Projects!$D$25),Projects!$B$25*INDEX(Curves!$B$4:$AR$4,1,46-Projects!$C$25+1),0)+IF(AND(Projects!$G$26="Yes",Projects!$X$26="Yes",Projects!$M$26="Yes",46&gt;=Projects!$C$26,46&lt;Projects!$C$26+Projects!$D$26),Projects!$B$26*INDEX(Curves!$B$4:$AR$4,1,46-Projects!$C$26+1),0)+IF(AND(Projects!$G$27="Yes",Projects!$X$27="Yes",Projects!$M$27="Yes",46&gt;=Projects!$C$27,46&lt;Projects!$C$27+Projects!$D$27),Projects!$B$27*INDEX(Curves!$B$4:$AR$4,1,46-Projects!$C$27+1),0)+IF(AND(Projects!$G$28="Yes",Projects!$X$28="Yes",Projects!$M$28="Yes",46&gt;=Projects!$C$28,46&lt;Projects!$C$28+Projects!$D$28),Projects!$B$28*INDEX(Curves!$B$4:$AR$4,1,46-Projects!$C$28+1),0)+IF(AND(Projects!$G$29="Yes",Projects!$X$29="Yes",Projects!$M$29="Yes",46&gt;=Projects!$C$29,46&lt;Projects!$C$29+Projects!$D$29),Projects!$B$29*INDEX(Curves!$B$4:$AR$4,1,46-Projects!$C$29+1),0)+IF(AND(Projects!$G$30="Yes",Projects!$X$30="Yes",Projects!$M$30="Yes",46&gt;=Projects!$C$30,46&lt;Projects!$C$30+Projects!$D$30),Projects!$B$30*INDEX(Curves!$B$4:$AR$4,1,46-Projects!$C$30+1),0)+IF(AND(Projects!$G$31="Yes",Projects!$X$31="Yes",Projects!$M$31="Yes",46&gt;=Projects!$C$31,46&lt;Projects!$C$31+Projects!$D$31),Projects!$B$31*INDEX(Curves!$B$4:$AR$4,1,46-Projects!$C$31+1),0)+IF(AND(Projects!$G$32="Yes",Projects!$X$32="Yes",Projects!$M$32="Yes",46&gt;=Projects!$C$32,46&lt;Projects!$C$32+Projects!$D$32),Projects!$B$32*INDEX(Curves!$B$4:$AR$4,1,46-Projects!$C$32+1),0)+IF(AND(Projects!$G$33="Yes",Projects!$X$33="Yes",Projects!$M$33="Yes",46&gt;=Projects!$C$33,46&lt;Projects!$C$33+Projects!$D$33),Projects!$B$33*INDEX(Curves!$B$4:$AR$4,1,46-Projects!$C$33+1),0)+IF(AND(Projects!$G$34="Yes",Projects!$X$34="Yes",Projects!$M$34="Yes",46&gt;=Projects!$C$34,46&lt;Projects!$C$34+Projects!$D$34),Projects!$B$34*INDEX(Curves!$B$4:$AR$4,1,46-Projects!$C$34+1),0)+IF(AND(Projects!$G$35="Yes",Projects!$X$35="Yes",Projects!$M$35="Yes",46&gt;=Projects!$C$35,46&lt;Projects!$C$35+Projects!$D$35),Projects!$B$35*INDEX(Curves!$B$4:$AR$4,1,46-Projects!$C$35+1),0)+IF(AND(Projects!$G$36="Yes",Projects!$X$36="Yes",Projects!$M$36="Yes",46&gt;=Projects!$C$36,46&lt;Projects!$C$36+Projects!$D$36),Projects!$B$36*INDEX(Curves!$B$4:$AR$4,1,46-Projects!$C$36+1),0)+IF(AND(Projects!$G$37="Yes",Projects!$X$37="Yes",Projects!$M$37="Yes",46&gt;=Projects!$C$37,46&lt;Projects!$C$37+Projects!$D$37),Projects!$B$37*INDEX(Curves!$B$4:$AR$4,1,46-Projects!$C$37+1),0)+IF(AND(Projects!$G$38="Yes",Projects!$X$38="Yes",Projects!$M$38="Yes",46&gt;=Projects!$C$38,46&lt;Projects!$C$38+Projects!$D$38),Projects!$B$38*INDEX(Curves!$B$4:$AR$4,1,46-Projects!$C$38+1),0)+IF(AND(Projects!$G$39="Yes",Projects!$X$39="Yes",Projects!$M$39="Yes",46&gt;=Projects!$C$39,46&lt;Projects!$C$39+Projects!$D$39),Projects!$B$39*INDEX(Curves!$B$4:$AR$4,1,46-Projects!$C$39+1),0)+IF(AND(Projects!$G$40="Yes",Projects!$X$40="Yes",Projects!$M$40="Yes",46&gt;=Projects!$C$40,46&lt;Projects!$C$40+Projects!$D$40),Projects!$B$40*INDEX(Curves!$B$4:$AR$4,1,46-Projects!$C$40+1),0)+IF(AND(Projects!$G$41="Yes",Projects!$X$41="Yes",Projects!$M$41="Yes",46&gt;=Projects!$C$41,46&lt;Projects!$C$41+Projects!$D$41),Projects!$B$41*INDEX(Curves!$B$4:$AR$4,1,46-Projects!$C$41+1),0)+IF(AND(Projects!$G$42="Yes",Projects!$X$42="Yes",Projects!$M$42="Yes",46&gt;=Projects!$C$42,46&lt;Projects!$C$42+Projects!$D$42),Projects!$B$42*INDEX(Curves!$B$4:$AR$4,1,46-Projects!$C$42+1),0)+IF(AND(Projects!$G$43="Yes",Projects!$X$43="Yes",Projects!$M$43="Yes",46&gt;=Projects!$C$43,46&lt;Projects!$C$43+Projects!$D$43),Projects!$B$43*INDEX(Curves!$B$4:$AR$4,1,46-Projects!$C$43+1),0)+IF(AND(Projects!$G$44="Yes",Projects!$X$44="Yes",Projects!$M$44="Yes",46&gt;=Projects!$C$44,46&lt;Projects!$C$44+Projects!$D$44),Projects!$B$44*INDEX(Curves!$B$4:$AR$4,1,46-Projects!$C$44+1),0)+IF(AND(Projects!$G$45="Yes",Projects!$X$45="Yes",Projects!$M$45="Yes",46&gt;=Projects!$C$45,46&lt;Projects!$C$45+Projects!$D$45),Projects!$B$45*INDEX(Curves!$B$4:$AR$4,1,46-Projects!$C$45+1),0)+IF(AND(Projects!$G$46="Yes",Projects!$X$46="Yes",Projects!$M$46="Yes",46&gt;=Projects!$C$46,46&lt;Projects!$C$46+Projects!$D$46),Projects!$B$46*INDEX(Curves!$B$4:$AR$4,1,46-Projects!$C$46+1),0)</f>
        <v>0</v>
      </c>
      <c r="AZ101" s="298" t="n">
        <f aca="false">IF(AND(Projects!$G$17="Yes",Projects!$X$17="Yes",Projects!$M$17="Yes",47&gt;=Projects!$C$17,47&lt;Projects!$C$17+Projects!$D$17),Projects!$B$17*INDEX(Curves!$B$4:$AR$4,1,47-Projects!$C$17+1),0)+IF(AND(Projects!$G$18="Yes",Projects!$X$18="Yes",Projects!$M$18="Yes",47&gt;=Projects!$C$18,47&lt;Projects!$C$18+Projects!$D$18),Projects!$B$18*INDEX(Curves!$B$4:$AR$4,1,47-Projects!$C$18+1),0)+IF(AND(Projects!$G$19="Yes",Projects!$X$19="Yes",Projects!$M$19="Yes",47&gt;=Projects!$C$19,47&lt;Projects!$C$19+Projects!$D$19),Projects!$B$19*INDEX(Curves!$B$10:$AR$10,1,47-Projects!$C$19+1),0)+IF(AND(Projects!$G$20="Yes",Projects!$X$20="Yes",Projects!$M$20="Yes",47&gt;=Projects!$C$20,47&lt;Projects!$C$20+Projects!$D$20),Projects!$B$20*INDEX(Curves!$B$4:$AR$4,1,47-Projects!$C$20+1),0)+IF(AND(Projects!$G$21="Yes",Projects!$X$21="Yes",Projects!$M$21="Yes",47&gt;=Projects!$C$21,47&lt;Projects!$C$21+Projects!$D$21),Projects!$B$21*INDEX(Curves!$B$11:$AR$11,1,47-Projects!$C$21+1),0)+IF(AND(Projects!$G$22="Yes",Projects!$X$22="Yes",Projects!$M$22="Yes",47&gt;=Projects!$C$22,47&lt;Projects!$C$22+Projects!$D$22),Projects!$B$22*INDEX(Curves!$B$4:$AR$4,1,47-Projects!$C$22+1),0)+IF(AND(Projects!$G$23="Yes",Projects!$X$23="Yes",Projects!$M$23="Yes",47&gt;=Projects!$C$23,47&lt;Projects!$C$23+Projects!$D$23),Projects!$B$23*INDEX(Curves!$B$4:$AR$4,1,47-Projects!$C$23+1),0)+IF(AND(Projects!$G$24="Yes",Projects!$X$24="Yes",Projects!$M$24="Yes",47&gt;=Projects!$C$24,47&lt;Projects!$C$24+Projects!$D$24),Projects!$B$24*INDEX(Curves!$B$4:$AR$4,1,47-Projects!$C$24+1),0)+IF(AND(Projects!$G$25="Yes",Projects!$X$25="Yes",Projects!$M$25="Yes",47&gt;=Projects!$C$25,47&lt;Projects!$C$25+Projects!$D$25),Projects!$B$25*INDEX(Curves!$B$4:$AR$4,1,47-Projects!$C$25+1),0)+IF(AND(Projects!$G$26="Yes",Projects!$X$26="Yes",Projects!$M$26="Yes",47&gt;=Projects!$C$26,47&lt;Projects!$C$26+Projects!$D$26),Projects!$B$26*INDEX(Curves!$B$4:$AR$4,1,47-Projects!$C$26+1),0)+IF(AND(Projects!$G$27="Yes",Projects!$X$27="Yes",Projects!$M$27="Yes",47&gt;=Projects!$C$27,47&lt;Projects!$C$27+Projects!$D$27),Projects!$B$27*INDEX(Curves!$B$4:$AR$4,1,47-Projects!$C$27+1),0)+IF(AND(Projects!$G$28="Yes",Projects!$X$28="Yes",Projects!$M$28="Yes",47&gt;=Projects!$C$28,47&lt;Projects!$C$28+Projects!$D$28),Projects!$B$28*INDEX(Curves!$B$4:$AR$4,1,47-Projects!$C$28+1),0)+IF(AND(Projects!$G$29="Yes",Projects!$X$29="Yes",Projects!$M$29="Yes",47&gt;=Projects!$C$29,47&lt;Projects!$C$29+Projects!$D$29),Projects!$B$29*INDEX(Curves!$B$4:$AR$4,1,47-Projects!$C$29+1),0)+IF(AND(Projects!$G$30="Yes",Projects!$X$30="Yes",Projects!$M$30="Yes",47&gt;=Projects!$C$30,47&lt;Projects!$C$30+Projects!$D$30),Projects!$B$30*INDEX(Curves!$B$4:$AR$4,1,47-Projects!$C$30+1),0)+IF(AND(Projects!$G$31="Yes",Projects!$X$31="Yes",Projects!$M$31="Yes",47&gt;=Projects!$C$31,47&lt;Projects!$C$31+Projects!$D$31),Projects!$B$31*INDEX(Curves!$B$4:$AR$4,1,47-Projects!$C$31+1),0)+IF(AND(Projects!$G$32="Yes",Projects!$X$32="Yes",Projects!$M$32="Yes",47&gt;=Projects!$C$32,47&lt;Projects!$C$32+Projects!$D$32),Projects!$B$32*INDEX(Curves!$B$4:$AR$4,1,47-Projects!$C$32+1),0)+IF(AND(Projects!$G$33="Yes",Projects!$X$33="Yes",Projects!$M$33="Yes",47&gt;=Projects!$C$33,47&lt;Projects!$C$33+Projects!$D$33),Projects!$B$33*INDEX(Curves!$B$4:$AR$4,1,47-Projects!$C$33+1),0)+IF(AND(Projects!$G$34="Yes",Projects!$X$34="Yes",Projects!$M$34="Yes",47&gt;=Projects!$C$34,47&lt;Projects!$C$34+Projects!$D$34),Projects!$B$34*INDEX(Curves!$B$4:$AR$4,1,47-Projects!$C$34+1),0)+IF(AND(Projects!$G$35="Yes",Projects!$X$35="Yes",Projects!$M$35="Yes",47&gt;=Projects!$C$35,47&lt;Projects!$C$35+Projects!$D$35),Projects!$B$35*INDEX(Curves!$B$4:$AR$4,1,47-Projects!$C$35+1),0)+IF(AND(Projects!$G$36="Yes",Projects!$X$36="Yes",Projects!$M$36="Yes",47&gt;=Projects!$C$36,47&lt;Projects!$C$36+Projects!$D$36),Projects!$B$36*INDEX(Curves!$B$4:$AR$4,1,47-Projects!$C$36+1),0)+IF(AND(Projects!$G$37="Yes",Projects!$X$37="Yes",Projects!$M$37="Yes",47&gt;=Projects!$C$37,47&lt;Projects!$C$37+Projects!$D$37),Projects!$B$37*INDEX(Curves!$B$4:$AR$4,1,47-Projects!$C$37+1),0)+IF(AND(Projects!$G$38="Yes",Projects!$X$38="Yes",Projects!$M$38="Yes",47&gt;=Projects!$C$38,47&lt;Projects!$C$38+Projects!$D$38),Projects!$B$38*INDEX(Curves!$B$4:$AR$4,1,47-Projects!$C$38+1),0)+IF(AND(Projects!$G$39="Yes",Projects!$X$39="Yes",Projects!$M$39="Yes",47&gt;=Projects!$C$39,47&lt;Projects!$C$39+Projects!$D$39),Projects!$B$39*INDEX(Curves!$B$4:$AR$4,1,47-Projects!$C$39+1),0)+IF(AND(Projects!$G$40="Yes",Projects!$X$40="Yes",Projects!$M$40="Yes",47&gt;=Projects!$C$40,47&lt;Projects!$C$40+Projects!$D$40),Projects!$B$40*INDEX(Curves!$B$4:$AR$4,1,47-Projects!$C$40+1),0)+IF(AND(Projects!$G$41="Yes",Projects!$X$41="Yes",Projects!$M$41="Yes",47&gt;=Projects!$C$41,47&lt;Projects!$C$41+Projects!$D$41),Projects!$B$41*INDEX(Curves!$B$4:$AR$4,1,47-Projects!$C$41+1),0)+IF(AND(Projects!$G$42="Yes",Projects!$X$42="Yes",Projects!$M$42="Yes",47&gt;=Projects!$C$42,47&lt;Projects!$C$42+Projects!$D$42),Projects!$B$42*INDEX(Curves!$B$4:$AR$4,1,47-Projects!$C$42+1),0)+IF(AND(Projects!$G$43="Yes",Projects!$X$43="Yes",Projects!$M$43="Yes",47&gt;=Projects!$C$43,47&lt;Projects!$C$43+Projects!$D$43),Projects!$B$43*INDEX(Curves!$B$4:$AR$4,1,47-Projects!$C$43+1),0)+IF(AND(Projects!$G$44="Yes",Projects!$X$44="Yes",Projects!$M$44="Yes",47&gt;=Projects!$C$44,47&lt;Projects!$C$44+Projects!$D$44),Projects!$B$44*INDEX(Curves!$B$4:$AR$4,1,47-Projects!$C$44+1),0)+IF(AND(Projects!$G$45="Yes",Projects!$X$45="Yes",Projects!$M$45="Yes",47&gt;=Projects!$C$45,47&lt;Projects!$C$45+Projects!$D$45),Projects!$B$45*INDEX(Curves!$B$4:$AR$4,1,47-Projects!$C$45+1),0)+IF(AND(Projects!$G$46="Yes",Projects!$X$46="Yes",Projects!$M$46="Yes",47&gt;=Projects!$C$46,47&lt;Projects!$C$46+Projects!$D$46),Projects!$B$46*INDEX(Curves!$B$4:$AR$4,1,47-Projects!$C$46+1),0)</f>
        <v>0</v>
      </c>
      <c r="BA101" s="298" t="n">
        <f aca="false">IF(AND(Projects!$G$17="Yes",Projects!$X$17="Yes",Projects!$M$17="Yes",48&gt;=Projects!$C$17,48&lt;Projects!$C$17+Projects!$D$17),Projects!$B$17*INDEX(Curves!$B$4:$AR$4,1,48-Projects!$C$17+1),0)+IF(AND(Projects!$G$18="Yes",Projects!$X$18="Yes",Projects!$M$18="Yes",48&gt;=Projects!$C$18,48&lt;Projects!$C$18+Projects!$D$18),Projects!$B$18*INDEX(Curves!$B$4:$AR$4,1,48-Projects!$C$18+1),0)+IF(AND(Projects!$G$19="Yes",Projects!$X$19="Yes",Projects!$M$19="Yes",48&gt;=Projects!$C$19,48&lt;Projects!$C$19+Projects!$D$19),Projects!$B$19*INDEX(Curves!$B$10:$AR$10,1,48-Projects!$C$19+1),0)+IF(AND(Projects!$G$20="Yes",Projects!$X$20="Yes",Projects!$M$20="Yes",48&gt;=Projects!$C$20,48&lt;Projects!$C$20+Projects!$D$20),Projects!$B$20*INDEX(Curves!$B$4:$AR$4,1,48-Projects!$C$20+1),0)+IF(AND(Projects!$G$21="Yes",Projects!$X$21="Yes",Projects!$M$21="Yes",48&gt;=Projects!$C$21,48&lt;Projects!$C$21+Projects!$D$21),Projects!$B$21*INDEX(Curves!$B$11:$AR$11,1,48-Projects!$C$21+1),0)+IF(AND(Projects!$G$22="Yes",Projects!$X$22="Yes",Projects!$M$22="Yes",48&gt;=Projects!$C$22,48&lt;Projects!$C$22+Projects!$D$22),Projects!$B$22*INDEX(Curves!$B$4:$AR$4,1,48-Projects!$C$22+1),0)+IF(AND(Projects!$G$23="Yes",Projects!$X$23="Yes",Projects!$M$23="Yes",48&gt;=Projects!$C$23,48&lt;Projects!$C$23+Projects!$D$23),Projects!$B$23*INDEX(Curves!$B$4:$AR$4,1,48-Projects!$C$23+1),0)+IF(AND(Projects!$G$24="Yes",Projects!$X$24="Yes",Projects!$M$24="Yes",48&gt;=Projects!$C$24,48&lt;Projects!$C$24+Projects!$D$24),Projects!$B$24*INDEX(Curves!$B$4:$AR$4,1,48-Projects!$C$24+1),0)+IF(AND(Projects!$G$25="Yes",Projects!$X$25="Yes",Projects!$M$25="Yes",48&gt;=Projects!$C$25,48&lt;Projects!$C$25+Projects!$D$25),Projects!$B$25*INDEX(Curves!$B$4:$AR$4,1,48-Projects!$C$25+1),0)+IF(AND(Projects!$G$26="Yes",Projects!$X$26="Yes",Projects!$M$26="Yes",48&gt;=Projects!$C$26,48&lt;Projects!$C$26+Projects!$D$26),Projects!$B$26*INDEX(Curves!$B$4:$AR$4,1,48-Projects!$C$26+1),0)+IF(AND(Projects!$G$27="Yes",Projects!$X$27="Yes",Projects!$M$27="Yes",48&gt;=Projects!$C$27,48&lt;Projects!$C$27+Projects!$D$27),Projects!$B$27*INDEX(Curves!$B$4:$AR$4,1,48-Projects!$C$27+1),0)+IF(AND(Projects!$G$28="Yes",Projects!$X$28="Yes",Projects!$M$28="Yes",48&gt;=Projects!$C$28,48&lt;Projects!$C$28+Projects!$D$28),Projects!$B$28*INDEX(Curves!$B$4:$AR$4,1,48-Projects!$C$28+1),0)+IF(AND(Projects!$G$29="Yes",Projects!$X$29="Yes",Projects!$M$29="Yes",48&gt;=Projects!$C$29,48&lt;Projects!$C$29+Projects!$D$29),Projects!$B$29*INDEX(Curves!$B$4:$AR$4,1,48-Projects!$C$29+1),0)+IF(AND(Projects!$G$30="Yes",Projects!$X$30="Yes",Projects!$M$30="Yes",48&gt;=Projects!$C$30,48&lt;Projects!$C$30+Projects!$D$30),Projects!$B$30*INDEX(Curves!$B$4:$AR$4,1,48-Projects!$C$30+1),0)+IF(AND(Projects!$G$31="Yes",Projects!$X$31="Yes",Projects!$M$31="Yes",48&gt;=Projects!$C$31,48&lt;Projects!$C$31+Projects!$D$31),Projects!$B$31*INDEX(Curves!$B$4:$AR$4,1,48-Projects!$C$31+1),0)+IF(AND(Projects!$G$32="Yes",Projects!$X$32="Yes",Projects!$M$32="Yes",48&gt;=Projects!$C$32,48&lt;Projects!$C$32+Projects!$D$32),Projects!$B$32*INDEX(Curves!$B$4:$AR$4,1,48-Projects!$C$32+1),0)+IF(AND(Projects!$G$33="Yes",Projects!$X$33="Yes",Projects!$M$33="Yes",48&gt;=Projects!$C$33,48&lt;Projects!$C$33+Projects!$D$33),Projects!$B$33*INDEX(Curves!$B$4:$AR$4,1,48-Projects!$C$33+1),0)+IF(AND(Projects!$G$34="Yes",Projects!$X$34="Yes",Projects!$M$34="Yes",48&gt;=Projects!$C$34,48&lt;Projects!$C$34+Projects!$D$34),Projects!$B$34*INDEX(Curves!$B$4:$AR$4,1,48-Projects!$C$34+1),0)+IF(AND(Projects!$G$35="Yes",Projects!$X$35="Yes",Projects!$M$35="Yes",48&gt;=Projects!$C$35,48&lt;Projects!$C$35+Projects!$D$35),Projects!$B$35*INDEX(Curves!$B$4:$AR$4,1,48-Projects!$C$35+1),0)+IF(AND(Projects!$G$36="Yes",Projects!$X$36="Yes",Projects!$M$36="Yes",48&gt;=Projects!$C$36,48&lt;Projects!$C$36+Projects!$D$36),Projects!$B$36*INDEX(Curves!$B$4:$AR$4,1,48-Projects!$C$36+1),0)+IF(AND(Projects!$G$37="Yes",Projects!$X$37="Yes",Projects!$M$37="Yes",48&gt;=Projects!$C$37,48&lt;Projects!$C$37+Projects!$D$37),Projects!$B$37*INDEX(Curves!$B$4:$AR$4,1,48-Projects!$C$37+1),0)+IF(AND(Projects!$G$38="Yes",Projects!$X$38="Yes",Projects!$M$38="Yes",48&gt;=Projects!$C$38,48&lt;Projects!$C$38+Projects!$D$38),Projects!$B$38*INDEX(Curves!$B$4:$AR$4,1,48-Projects!$C$38+1),0)+IF(AND(Projects!$G$39="Yes",Projects!$X$39="Yes",Projects!$M$39="Yes",48&gt;=Projects!$C$39,48&lt;Projects!$C$39+Projects!$D$39),Projects!$B$39*INDEX(Curves!$B$4:$AR$4,1,48-Projects!$C$39+1),0)+IF(AND(Projects!$G$40="Yes",Projects!$X$40="Yes",Projects!$M$40="Yes",48&gt;=Projects!$C$40,48&lt;Projects!$C$40+Projects!$D$40),Projects!$B$40*INDEX(Curves!$B$4:$AR$4,1,48-Projects!$C$40+1),0)+IF(AND(Projects!$G$41="Yes",Projects!$X$41="Yes",Projects!$M$41="Yes",48&gt;=Projects!$C$41,48&lt;Projects!$C$41+Projects!$D$41),Projects!$B$41*INDEX(Curves!$B$4:$AR$4,1,48-Projects!$C$41+1),0)+IF(AND(Projects!$G$42="Yes",Projects!$X$42="Yes",Projects!$M$42="Yes",48&gt;=Projects!$C$42,48&lt;Projects!$C$42+Projects!$D$42),Projects!$B$42*INDEX(Curves!$B$4:$AR$4,1,48-Projects!$C$42+1),0)+IF(AND(Projects!$G$43="Yes",Projects!$X$43="Yes",Projects!$M$43="Yes",48&gt;=Projects!$C$43,48&lt;Projects!$C$43+Projects!$D$43),Projects!$B$43*INDEX(Curves!$B$4:$AR$4,1,48-Projects!$C$43+1),0)+IF(AND(Projects!$G$44="Yes",Projects!$X$44="Yes",Projects!$M$44="Yes",48&gt;=Projects!$C$44,48&lt;Projects!$C$44+Projects!$D$44),Projects!$B$44*INDEX(Curves!$B$4:$AR$4,1,48-Projects!$C$44+1),0)+IF(AND(Projects!$G$45="Yes",Projects!$X$45="Yes",Projects!$M$45="Yes",48&gt;=Projects!$C$45,48&lt;Projects!$C$45+Projects!$D$45),Projects!$B$45*INDEX(Curves!$B$4:$AR$4,1,48-Projects!$C$45+1),0)+IF(AND(Projects!$G$46="Yes",Projects!$X$46="Yes",Projects!$M$46="Yes",48&gt;=Projects!$C$46,48&lt;Projects!$C$46+Projects!$D$46),Projects!$B$46*INDEX(Curves!$B$4:$AR$4,1,48-Projects!$C$46+1),0)</f>
        <v>0</v>
      </c>
      <c r="BB101" s="298" t="n">
        <f aca="false">IF(AND(Projects!$G$17="Yes",Projects!$X$17="Yes",Projects!$M$17="Yes",49&gt;=Projects!$C$17,49&lt;Projects!$C$17+Projects!$D$17),Projects!$B$17*INDEX(Curves!$B$4:$AR$4,1,49-Projects!$C$17+1),0)+IF(AND(Projects!$G$18="Yes",Projects!$X$18="Yes",Projects!$M$18="Yes",49&gt;=Projects!$C$18,49&lt;Projects!$C$18+Projects!$D$18),Projects!$B$18*INDEX(Curves!$B$4:$AR$4,1,49-Projects!$C$18+1),0)+IF(AND(Projects!$G$19="Yes",Projects!$X$19="Yes",Projects!$M$19="Yes",49&gt;=Projects!$C$19,49&lt;Projects!$C$19+Projects!$D$19),Projects!$B$19*INDEX(Curves!$B$10:$AR$10,1,49-Projects!$C$19+1),0)+IF(AND(Projects!$G$20="Yes",Projects!$X$20="Yes",Projects!$M$20="Yes",49&gt;=Projects!$C$20,49&lt;Projects!$C$20+Projects!$D$20),Projects!$B$20*INDEX(Curves!$B$4:$AR$4,1,49-Projects!$C$20+1),0)+IF(AND(Projects!$G$21="Yes",Projects!$X$21="Yes",Projects!$M$21="Yes",49&gt;=Projects!$C$21,49&lt;Projects!$C$21+Projects!$D$21),Projects!$B$21*INDEX(Curves!$B$11:$AR$11,1,49-Projects!$C$21+1),0)+IF(AND(Projects!$G$22="Yes",Projects!$X$22="Yes",Projects!$M$22="Yes",49&gt;=Projects!$C$22,49&lt;Projects!$C$22+Projects!$D$22),Projects!$B$22*INDEX(Curves!$B$4:$AR$4,1,49-Projects!$C$22+1),0)+IF(AND(Projects!$G$23="Yes",Projects!$X$23="Yes",Projects!$M$23="Yes",49&gt;=Projects!$C$23,49&lt;Projects!$C$23+Projects!$D$23),Projects!$B$23*INDEX(Curves!$B$4:$AR$4,1,49-Projects!$C$23+1),0)+IF(AND(Projects!$G$24="Yes",Projects!$X$24="Yes",Projects!$M$24="Yes",49&gt;=Projects!$C$24,49&lt;Projects!$C$24+Projects!$D$24),Projects!$B$24*INDEX(Curves!$B$4:$AR$4,1,49-Projects!$C$24+1),0)+IF(AND(Projects!$G$25="Yes",Projects!$X$25="Yes",Projects!$M$25="Yes",49&gt;=Projects!$C$25,49&lt;Projects!$C$25+Projects!$D$25),Projects!$B$25*INDEX(Curves!$B$4:$AR$4,1,49-Projects!$C$25+1),0)+IF(AND(Projects!$G$26="Yes",Projects!$X$26="Yes",Projects!$M$26="Yes",49&gt;=Projects!$C$26,49&lt;Projects!$C$26+Projects!$D$26),Projects!$B$26*INDEX(Curves!$B$4:$AR$4,1,49-Projects!$C$26+1),0)+IF(AND(Projects!$G$27="Yes",Projects!$X$27="Yes",Projects!$M$27="Yes",49&gt;=Projects!$C$27,49&lt;Projects!$C$27+Projects!$D$27),Projects!$B$27*INDEX(Curves!$B$4:$AR$4,1,49-Projects!$C$27+1),0)+IF(AND(Projects!$G$28="Yes",Projects!$X$28="Yes",Projects!$M$28="Yes",49&gt;=Projects!$C$28,49&lt;Projects!$C$28+Projects!$D$28),Projects!$B$28*INDEX(Curves!$B$4:$AR$4,1,49-Projects!$C$28+1),0)+IF(AND(Projects!$G$29="Yes",Projects!$X$29="Yes",Projects!$M$29="Yes",49&gt;=Projects!$C$29,49&lt;Projects!$C$29+Projects!$D$29),Projects!$B$29*INDEX(Curves!$B$4:$AR$4,1,49-Projects!$C$29+1),0)+IF(AND(Projects!$G$30="Yes",Projects!$X$30="Yes",Projects!$M$30="Yes",49&gt;=Projects!$C$30,49&lt;Projects!$C$30+Projects!$D$30),Projects!$B$30*INDEX(Curves!$B$4:$AR$4,1,49-Projects!$C$30+1),0)+IF(AND(Projects!$G$31="Yes",Projects!$X$31="Yes",Projects!$M$31="Yes",49&gt;=Projects!$C$31,49&lt;Projects!$C$31+Projects!$D$31),Projects!$B$31*INDEX(Curves!$B$4:$AR$4,1,49-Projects!$C$31+1),0)+IF(AND(Projects!$G$32="Yes",Projects!$X$32="Yes",Projects!$M$32="Yes",49&gt;=Projects!$C$32,49&lt;Projects!$C$32+Projects!$D$32),Projects!$B$32*INDEX(Curves!$B$4:$AR$4,1,49-Projects!$C$32+1),0)+IF(AND(Projects!$G$33="Yes",Projects!$X$33="Yes",Projects!$M$33="Yes",49&gt;=Projects!$C$33,49&lt;Projects!$C$33+Projects!$D$33),Projects!$B$33*INDEX(Curves!$B$4:$AR$4,1,49-Projects!$C$33+1),0)+IF(AND(Projects!$G$34="Yes",Projects!$X$34="Yes",Projects!$M$34="Yes",49&gt;=Projects!$C$34,49&lt;Projects!$C$34+Projects!$D$34),Projects!$B$34*INDEX(Curves!$B$4:$AR$4,1,49-Projects!$C$34+1),0)+IF(AND(Projects!$G$35="Yes",Projects!$X$35="Yes",Projects!$M$35="Yes",49&gt;=Projects!$C$35,49&lt;Projects!$C$35+Projects!$D$35),Projects!$B$35*INDEX(Curves!$B$4:$AR$4,1,49-Projects!$C$35+1),0)+IF(AND(Projects!$G$36="Yes",Projects!$X$36="Yes",Projects!$M$36="Yes",49&gt;=Projects!$C$36,49&lt;Projects!$C$36+Projects!$D$36),Projects!$B$36*INDEX(Curves!$B$4:$AR$4,1,49-Projects!$C$36+1),0)+IF(AND(Projects!$G$37="Yes",Projects!$X$37="Yes",Projects!$M$37="Yes",49&gt;=Projects!$C$37,49&lt;Projects!$C$37+Projects!$D$37),Projects!$B$37*INDEX(Curves!$B$4:$AR$4,1,49-Projects!$C$37+1),0)+IF(AND(Projects!$G$38="Yes",Projects!$X$38="Yes",Projects!$M$38="Yes",49&gt;=Projects!$C$38,49&lt;Projects!$C$38+Projects!$D$38),Projects!$B$38*INDEX(Curves!$B$4:$AR$4,1,49-Projects!$C$38+1),0)+IF(AND(Projects!$G$39="Yes",Projects!$X$39="Yes",Projects!$M$39="Yes",49&gt;=Projects!$C$39,49&lt;Projects!$C$39+Projects!$D$39),Projects!$B$39*INDEX(Curves!$B$4:$AR$4,1,49-Projects!$C$39+1),0)+IF(AND(Projects!$G$40="Yes",Projects!$X$40="Yes",Projects!$M$40="Yes",49&gt;=Projects!$C$40,49&lt;Projects!$C$40+Projects!$D$40),Projects!$B$40*INDEX(Curves!$B$4:$AR$4,1,49-Projects!$C$40+1),0)+IF(AND(Projects!$G$41="Yes",Projects!$X$41="Yes",Projects!$M$41="Yes",49&gt;=Projects!$C$41,49&lt;Projects!$C$41+Projects!$D$41),Projects!$B$41*INDEX(Curves!$B$4:$AR$4,1,49-Projects!$C$41+1),0)+IF(AND(Projects!$G$42="Yes",Projects!$X$42="Yes",Projects!$M$42="Yes",49&gt;=Projects!$C$42,49&lt;Projects!$C$42+Projects!$D$42),Projects!$B$42*INDEX(Curves!$B$4:$AR$4,1,49-Projects!$C$42+1),0)+IF(AND(Projects!$G$43="Yes",Projects!$X$43="Yes",Projects!$M$43="Yes",49&gt;=Projects!$C$43,49&lt;Projects!$C$43+Projects!$D$43),Projects!$B$43*INDEX(Curves!$B$4:$AR$4,1,49-Projects!$C$43+1),0)+IF(AND(Projects!$G$44="Yes",Projects!$X$44="Yes",Projects!$M$44="Yes",49&gt;=Projects!$C$44,49&lt;Projects!$C$44+Projects!$D$44),Projects!$B$44*INDEX(Curves!$B$4:$AR$4,1,49-Projects!$C$44+1),0)+IF(AND(Projects!$G$45="Yes",Projects!$X$45="Yes",Projects!$M$45="Yes",49&gt;=Projects!$C$45,49&lt;Projects!$C$45+Projects!$D$45),Projects!$B$45*INDEX(Curves!$B$4:$AR$4,1,49-Projects!$C$45+1),0)+IF(AND(Projects!$G$46="Yes",Projects!$X$46="Yes",Projects!$M$46="Yes",49&gt;=Projects!$C$46,49&lt;Projects!$C$46+Projects!$D$46),Projects!$B$46*INDEX(Curves!$B$4:$AR$4,1,49-Projects!$C$46+1),0)</f>
        <v>0</v>
      </c>
      <c r="BC101" s="298" t="n">
        <f aca="false">IF(AND(Projects!$G$17="Yes",Projects!$X$17="Yes",Projects!$M$17="Yes",50&gt;=Projects!$C$17,50&lt;Projects!$C$17+Projects!$D$17),Projects!$B$17*INDEX(Curves!$B$4:$AR$4,1,50-Projects!$C$17+1),0)+IF(AND(Projects!$G$18="Yes",Projects!$X$18="Yes",Projects!$M$18="Yes",50&gt;=Projects!$C$18,50&lt;Projects!$C$18+Projects!$D$18),Projects!$B$18*INDEX(Curves!$B$4:$AR$4,1,50-Projects!$C$18+1),0)+IF(AND(Projects!$G$19="Yes",Projects!$X$19="Yes",Projects!$M$19="Yes",50&gt;=Projects!$C$19,50&lt;Projects!$C$19+Projects!$D$19),Projects!$B$19*INDEX(Curves!$B$10:$AR$10,1,50-Projects!$C$19+1),0)+IF(AND(Projects!$G$20="Yes",Projects!$X$20="Yes",Projects!$M$20="Yes",50&gt;=Projects!$C$20,50&lt;Projects!$C$20+Projects!$D$20),Projects!$B$20*INDEX(Curves!$B$4:$AR$4,1,50-Projects!$C$20+1),0)+IF(AND(Projects!$G$21="Yes",Projects!$X$21="Yes",Projects!$M$21="Yes",50&gt;=Projects!$C$21,50&lt;Projects!$C$21+Projects!$D$21),Projects!$B$21*INDEX(Curves!$B$11:$AR$11,1,50-Projects!$C$21+1),0)+IF(AND(Projects!$G$22="Yes",Projects!$X$22="Yes",Projects!$M$22="Yes",50&gt;=Projects!$C$22,50&lt;Projects!$C$22+Projects!$D$22),Projects!$B$22*INDEX(Curves!$B$4:$AR$4,1,50-Projects!$C$22+1),0)+IF(AND(Projects!$G$23="Yes",Projects!$X$23="Yes",Projects!$M$23="Yes",50&gt;=Projects!$C$23,50&lt;Projects!$C$23+Projects!$D$23),Projects!$B$23*INDEX(Curves!$B$4:$AR$4,1,50-Projects!$C$23+1),0)+IF(AND(Projects!$G$24="Yes",Projects!$X$24="Yes",Projects!$M$24="Yes",50&gt;=Projects!$C$24,50&lt;Projects!$C$24+Projects!$D$24),Projects!$B$24*INDEX(Curves!$B$4:$AR$4,1,50-Projects!$C$24+1),0)+IF(AND(Projects!$G$25="Yes",Projects!$X$25="Yes",Projects!$M$25="Yes",50&gt;=Projects!$C$25,50&lt;Projects!$C$25+Projects!$D$25),Projects!$B$25*INDEX(Curves!$B$4:$AR$4,1,50-Projects!$C$25+1),0)+IF(AND(Projects!$G$26="Yes",Projects!$X$26="Yes",Projects!$M$26="Yes",50&gt;=Projects!$C$26,50&lt;Projects!$C$26+Projects!$D$26),Projects!$B$26*INDEX(Curves!$B$4:$AR$4,1,50-Projects!$C$26+1),0)+IF(AND(Projects!$G$27="Yes",Projects!$X$27="Yes",Projects!$M$27="Yes",50&gt;=Projects!$C$27,50&lt;Projects!$C$27+Projects!$D$27),Projects!$B$27*INDEX(Curves!$B$4:$AR$4,1,50-Projects!$C$27+1),0)+IF(AND(Projects!$G$28="Yes",Projects!$X$28="Yes",Projects!$M$28="Yes",50&gt;=Projects!$C$28,50&lt;Projects!$C$28+Projects!$D$28),Projects!$B$28*INDEX(Curves!$B$4:$AR$4,1,50-Projects!$C$28+1),0)+IF(AND(Projects!$G$29="Yes",Projects!$X$29="Yes",Projects!$M$29="Yes",50&gt;=Projects!$C$29,50&lt;Projects!$C$29+Projects!$D$29),Projects!$B$29*INDEX(Curves!$B$4:$AR$4,1,50-Projects!$C$29+1),0)+IF(AND(Projects!$G$30="Yes",Projects!$X$30="Yes",Projects!$M$30="Yes",50&gt;=Projects!$C$30,50&lt;Projects!$C$30+Projects!$D$30),Projects!$B$30*INDEX(Curves!$B$4:$AR$4,1,50-Projects!$C$30+1),0)+IF(AND(Projects!$G$31="Yes",Projects!$X$31="Yes",Projects!$M$31="Yes",50&gt;=Projects!$C$31,50&lt;Projects!$C$31+Projects!$D$31),Projects!$B$31*INDEX(Curves!$B$4:$AR$4,1,50-Projects!$C$31+1),0)+IF(AND(Projects!$G$32="Yes",Projects!$X$32="Yes",Projects!$M$32="Yes",50&gt;=Projects!$C$32,50&lt;Projects!$C$32+Projects!$D$32),Projects!$B$32*INDEX(Curves!$B$4:$AR$4,1,50-Projects!$C$32+1),0)+IF(AND(Projects!$G$33="Yes",Projects!$X$33="Yes",Projects!$M$33="Yes",50&gt;=Projects!$C$33,50&lt;Projects!$C$33+Projects!$D$33),Projects!$B$33*INDEX(Curves!$B$4:$AR$4,1,50-Projects!$C$33+1),0)+IF(AND(Projects!$G$34="Yes",Projects!$X$34="Yes",Projects!$M$34="Yes",50&gt;=Projects!$C$34,50&lt;Projects!$C$34+Projects!$D$34),Projects!$B$34*INDEX(Curves!$B$4:$AR$4,1,50-Projects!$C$34+1),0)+IF(AND(Projects!$G$35="Yes",Projects!$X$35="Yes",Projects!$M$35="Yes",50&gt;=Projects!$C$35,50&lt;Projects!$C$35+Projects!$D$35),Projects!$B$35*INDEX(Curves!$B$4:$AR$4,1,50-Projects!$C$35+1),0)+IF(AND(Projects!$G$36="Yes",Projects!$X$36="Yes",Projects!$M$36="Yes",50&gt;=Projects!$C$36,50&lt;Projects!$C$36+Projects!$D$36),Projects!$B$36*INDEX(Curves!$B$4:$AR$4,1,50-Projects!$C$36+1),0)+IF(AND(Projects!$G$37="Yes",Projects!$X$37="Yes",Projects!$M$37="Yes",50&gt;=Projects!$C$37,50&lt;Projects!$C$37+Projects!$D$37),Projects!$B$37*INDEX(Curves!$B$4:$AR$4,1,50-Projects!$C$37+1),0)+IF(AND(Projects!$G$38="Yes",Projects!$X$38="Yes",Projects!$M$38="Yes",50&gt;=Projects!$C$38,50&lt;Projects!$C$38+Projects!$D$38),Projects!$B$38*INDEX(Curves!$B$4:$AR$4,1,50-Projects!$C$38+1),0)+IF(AND(Projects!$G$39="Yes",Projects!$X$39="Yes",Projects!$M$39="Yes",50&gt;=Projects!$C$39,50&lt;Projects!$C$39+Projects!$D$39),Projects!$B$39*INDEX(Curves!$B$4:$AR$4,1,50-Projects!$C$39+1),0)+IF(AND(Projects!$G$40="Yes",Projects!$X$40="Yes",Projects!$M$40="Yes",50&gt;=Projects!$C$40,50&lt;Projects!$C$40+Projects!$D$40),Projects!$B$40*INDEX(Curves!$B$4:$AR$4,1,50-Projects!$C$40+1),0)+IF(AND(Projects!$G$41="Yes",Projects!$X$41="Yes",Projects!$M$41="Yes",50&gt;=Projects!$C$41,50&lt;Projects!$C$41+Projects!$D$41),Projects!$B$41*INDEX(Curves!$B$4:$AR$4,1,50-Projects!$C$41+1),0)+IF(AND(Projects!$G$42="Yes",Projects!$X$42="Yes",Projects!$M$42="Yes",50&gt;=Projects!$C$42,50&lt;Projects!$C$42+Projects!$D$42),Projects!$B$42*INDEX(Curves!$B$4:$AR$4,1,50-Projects!$C$42+1),0)+IF(AND(Projects!$G$43="Yes",Projects!$X$43="Yes",Projects!$M$43="Yes",50&gt;=Projects!$C$43,50&lt;Projects!$C$43+Projects!$D$43),Projects!$B$43*INDEX(Curves!$B$4:$AR$4,1,50-Projects!$C$43+1),0)+IF(AND(Projects!$G$44="Yes",Projects!$X$44="Yes",Projects!$M$44="Yes",50&gt;=Projects!$C$44,50&lt;Projects!$C$44+Projects!$D$44),Projects!$B$44*INDEX(Curves!$B$4:$AR$4,1,50-Projects!$C$44+1),0)+IF(AND(Projects!$G$45="Yes",Projects!$X$45="Yes",Projects!$M$45="Yes",50&gt;=Projects!$C$45,50&lt;Projects!$C$45+Projects!$D$45),Projects!$B$45*INDEX(Curves!$B$4:$AR$4,1,50-Projects!$C$45+1),0)+IF(AND(Projects!$G$46="Yes",Projects!$X$46="Yes",Projects!$M$46="Yes",50&gt;=Projects!$C$46,50&lt;Projects!$C$46+Projects!$D$46),Projects!$B$46*INDEX(Curves!$B$4:$AR$4,1,50-Projects!$C$46+1),0)</f>
        <v>0</v>
      </c>
      <c r="BD101" s="298" t="n">
        <f aca="false">IF(AND(Projects!$G$17="Yes",Projects!$X$17="Yes",Projects!$M$17="Yes",51&gt;=Projects!$C$17,51&lt;Projects!$C$17+Projects!$D$17),Projects!$B$17*INDEX(Curves!$B$4:$AR$4,1,51-Projects!$C$17+1),0)+IF(AND(Projects!$G$18="Yes",Projects!$X$18="Yes",Projects!$M$18="Yes",51&gt;=Projects!$C$18,51&lt;Projects!$C$18+Projects!$D$18),Projects!$B$18*INDEX(Curves!$B$4:$AR$4,1,51-Projects!$C$18+1),0)+IF(AND(Projects!$G$19="Yes",Projects!$X$19="Yes",Projects!$M$19="Yes",51&gt;=Projects!$C$19,51&lt;Projects!$C$19+Projects!$D$19),Projects!$B$19*INDEX(Curves!$B$10:$AR$10,1,51-Projects!$C$19+1),0)+IF(AND(Projects!$G$20="Yes",Projects!$X$20="Yes",Projects!$M$20="Yes",51&gt;=Projects!$C$20,51&lt;Projects!$C$20+Projects!$D$20),Projects!$B$20*INDEX(Curves!$B$4:$AR$4,1,51-Projects!$C$20+1),0)+IF(AND(Projects!$G$21="Yes",Projects!$X$21="Yes",Projects!$M$21="Yes",51&gt;=Projects!$C$21,51&lt;Projects!$C$21+Projects!$D$21),Projects!$B$21*INDEX(Curves!$B$11:$AR$11,1,51-Projects!$C$21+1),0)+IF(AND(Projects!$G$22="Yes",Projects!$X$22="Yes",Projects!$M$22="Yes",51&gt;=Projects!$C$22,51&lt;Projects!$C$22+Projects!$D$22),Projects!$B$22*INDEX(Curves!$B$4:$AR$4,1,51-Projects!$C$22+1),0)+IF(AND(Projects!$G$23="Yes",Projects!$X$23="Yes",Projects!$M$23="Yes",51&gt;=Projects!$C$23,51&lt;Projects!$C$23+Projects!$D$23),Projects!$B$23*INDEX(Curves!$B$4:$AR$4,1,51-Projects!$C$23+1),0)+IF(AND(Projects!$G$24="Yes",Projects!$X$24="Yes",Projects!$M$24="Yes",51&gt;=Projects!$C$24,51&lt;Projects!$C$24+Projects!$D$24),Projects!$B$24*INDEX(Curves!$B$4:$AR$4,1,51-Projects!$C$24+1),0)+IF(AND(Projects!$G$25="Yes",Projects!$X$25="Yes",Projects!$M$25="Yes",51&gt;=Projects!$C$25,51&lt;Projects!$C$25+Projects!$D$25),Projects!$B$25*INDEX(Curves!$B$4:$AR$4,1,51-Projects!$C$25+1),0)+IF(AND(Projects!$G$26="Yes",Projects!$X$26="Yes",Projects!$M$26="Yes",51&gt;=Projects!$C$26,51&lt;Projects!$C$26+Projects!$D$26),Projects!$B$26*INDEX(Curves!$B$4:$AR$4,1,51-Projects!$C$26+1),0)+IF(AND(Projects!$G$27="Yes",Projects!$X$27="Yes",Projects!$M$27="Yes",51&gt;=Projects!$C$27,51&lt;Projects!$C$27+Projects!$D$27),Projects!$B$27*INDEX(Curves!$B$4:$AR$4,1,51-Projects!$C$27+1),0)+IF(AND(Projects!$G$28="Yes",Projects!$X$28="Yes",Projects!$M$28="Yes",51&gt;=Projects!$C$28,51&lt;Projects!$C$28+Projects!$D$28),Projects!$B$28*INDEX(Curves!$B$4:$AR$4,1,51-Projects!$C$28+1),0)+IF(AND(Projects!$G$29="Yes",Projects!$X$29="Yes",Projects!$M$29="Yes",51&gt;=Projects!$C$29,51&lt;Projects!$C$29+Projects!$D$29),Projects!$B$29*INDEX(Curves!$B$4:$AR$4,1,51-Projects!$C$29+1),0)+IF(AND(Projects!$G$30="Yes",Projects!$X$30="Yes",Projects!$M$30="Yes",51&gt;=Projects!$C$30,51&lt;Projects!$C$30+Projects!$D$30),Projects!$B$30*INDEX(Curves!$B$4:$AR$4,1,51-Projects!$C$30+1),0)+IF(AND(Projects!$G$31="Yes",Projects!$X$31="Yes",Projects!$M$31="Yes",51&gt;=Projects!$C$31,51&lt;Projects!$C$31+Projects!$D$31),Projects!$B$31*INDEX(Curves!$B$4:$AR$4,1,51-Projects!$C$31+1),0)+IF(AND(Projects!$G$32="Yes",Projects!$X$32="Yes",Projects!$M$32="Yes",51&gt;=Projects!$C$32,51&lt;Projects!$C$32+Projects!$D$32),Projects!$B$32*INDEX(Curves!$B$4:$AR$4,1,51-Projects!$C$32+1),0)+IF(AND(Projects!$G$33="Yes",Projects!$X$33="Yes",Projects!$M$33="Yes",51&gt;=Projects!$C$33,51&lt;Projects!$C$33+Projects!$D$33),Projects!$B$33*INDEX(Curves!$B$4:$AR$4,1,51-Projects!$C$33+1),0)+IF(AND(Projects!$G$34="Yes",Projects!$X$34="Yes",Projects!$M$34="Yes",51&gt;=Projects!$C$34,51&lt;Projects!$C$34+Projects!$D$34),Projects!$B$34*INDEX(Curves!$B$4:$AR$4,1,51-Projects!$C$34+1),0)+IF(AND(Projects!$G$35="Yes",Projects!$X$35="Yes",Projects!$M$35="Yes",51&gt;=Projects!$C$35,51&lt;Projects!$C$35+Projects!$D$35),Projects!$B$35*INDEX(Curves!$B$4:$AR$4,1,51-Projects!$C$35+1),0)+IF(AND(Projects!$G$36="Yes",Projects!$X$36="Yes",Projects!$M$36="Yes",51&gt;=Projects!$C$36,51&lt;Projects!$C$36+Projects!$D$36),Projects!$B$36*INDEX(Curves!$B$4:$AR$4,1,51-Projects!$C$36+1),0)+IF(AND(Projects!$G$37="Yes",Projects!$X$37="Yes",Projects!$M$37="Yes",51&gt;=Projects!$C$37,51&lt;Projects!$C$37+Projects!$D$37),Projects!$B$37*INDEX(Curves!$B$4:$AR$4,1,51-Projects!$C$37+1),0)+IF(AND(Projects!$G$38="Yes",Projects!$X$38="Yes",Projects!$M$38="Yes",51&gt;=Projects!$C$38,51&lt;Projects!$C$38+Projects!$D$38),Projects!$B$38*INDEX(Curves!$B$4:$AR$4,1,51-Projects!$C$38+1),0)+IF(AND(Projects!$G$39="Yes",Projects!$X$39="Yes",Projects!$M$39="Yes",51&gt;=Projects!$C$39,51&lt;Projects!$C$39+Projects!$D$39),Projects!$B$39*INDEX(Curves!$B$4:$AR$4,1,51-Projects!$C$39+1),0)+IF(AND(Projects!$G$40="Yes",Projects!$X$40="Yes",Projects!$M$40="Yes",51&gt;=Projects!$C$40,51&lt;Projects!$C$40+Projects!$D$40),Projects!$B$40*INDEX(Curves!$B$4:$AR$4,1,51-Projects!$C$40+1),0)+IF(AND(Projects!$G$41="Yes",Projects!$X$41="Yes",Projects!$M$41="Yes",51&gt;=Projects!$C$41,51&lt;Projects!$C$41+Projects!$D$41),Projects!$B$41*INDEX(Curves!$B$4:$AR$4,1,51-Projects!$C$41+1),0)+IF(AND(Projects!$G$42="Yes",Projects!$X$42="Yes",Projects!$M$42="Yes",51&gt;=Projects!$C$42,51&lt;Projects!$C$42+Projects!$D$42),Projects!$B$42*INDEX(Curves!$B$4:$AR$4,1,51-Projects!$C$42+1),0)+IF(AND(Projects!$G$43="Yes",Projects!$X$43="Yes",Projects!$M$43="Yes",51&gt;=Projects!$C$43,51&lt;Projects!$C$43+Projects!$D$43),Projects!$B$43*INDEX(Curves!$B$4:$AR$4,1,51-Projects!$C$43+1),0)+IF(AND(Projects!$G$44="Yes",Projects!$X$44="Yes",Projects!$M$44="Yes",51&gt;=Projects!$C$44,51&lt;Projects!$C$44+Projects!$D$44),Projects!$B$44*INDEX(Curves!$B$4:$AR$4,1,51-Projects!$C$44+1),0)+IF(AND(Projects!$G$45="Yes",Projects!$X$45="Yes",Projects!$M$45="Yes",51&gt;=Projects!$C$45,51&lt;Projects!$C$45+Projects!$D$45),Projects!$B$45*INDEX(Curves!$B$4:$AR$4,1,51-Projects!$C$45+1),0)+IF(AND(Projects!$G$46="Yes",Projects!$X$46="Yes",Projects!$M$46="Yes",51&gt;=Projects!$C$46,51&lt;Projects!$C$46+Projects!$D$46),Projects!$B$46*INDEX(Curves!$B$4:$AR$4,1,51-Projects!$C$46+1),0)</f>
        <v>0</v>
      </c>
      <c r="BE101" s="298" t="n">
        <f aca="false">IF(AND(Projects!$G$17="Yes",Projects!$X$17="Yes",Projects!$M$17="Yes",52&gt;=Projects!$C$17,52&lt;Projects!$C$17+Projects!$D$17),Projects!$B$17*INDEX(Curves!$B$4:$AR$4,1,52-Projects!$C$17+1),0)+IF(AND(Projects!$G$18="Yes",Projects!$X$18="Yes",Projects!$M$18="Yes",52&gt;=Projects!$C$18,52&lt;Projects!$C$18+Projects!$D$18),Projects!$B$18*INDEX(Curves!$B$4:$AR$4,1,52-Projects!$C$18+1),0)+IF(AND(Projects!$G$19="Yes",Projects!$X$19="Yes",Projects!$M$19="Yes",52&gt;=Projects!$C$19,52&lt;Projects!$C$19+Projects!$D$19),Projects!$B$19*INDEX(Curves!$B$10:$AR$10,1,52-Projects!$C$19+1),0)+IF(AND(Projects!$G$20="Yes",Projects!$X$20="Yes",Projects!$M$20="Yes",52&gt;=Projects!$C$20,52&lt;Projects!$C$20+Projects!$D$20),Projects!$B$20*INDEX(Curves!$B$4:$AR$4,1,52-Projects!$C$20+1),0)+IF(AND(Projects!$G$21="Yes",Projects!$X$21="Yes",Projects!$M$21="Yes",52&gt;=Projects!$C$21,52&lt;Projects!$C$21+Projects!$D$21),Projects!$B$21*INDEX(Curves!$B$11:$AR$11,1,52-Projects!$C$21+1),0)+IF(AND(Projects!$G$22="Yes",Projects!$X$22="Yes",Projects!$M$22="Yes",52&gt;=Projects!$C$22,52&lt;Projects!$C$22+Projects!$D$22),Projects!$B$22*INDEX(Curves!$B$4:$AR$4,1,52-Projects!$C$22+1),0)+IF(AND(Projects!$G$23="Yes",Projects!$X$23="Yes",Projects!$M$23="Yes",52&gt;=Projects!$C$23,52&lt;Projects!$C$23+Projects!$D$23),Projects!$B$23*INDEX(Curves!$B$4:$AR$4,1,52-Projects!$C$23+1),0)+IF(AND(Projects!$G$24="Yes",Projects!$X$24="Yes",Projects!$M$24="Yes",52&gt;=Projects!$C$24,52&lt;Projects!$C$24+Projects!$D$24),Projects!$B$24*INDEX(Curves!$B$4:$AR$4,1,52-Projects!$C$24+1),0)+IF(AND(Projects!$G$25="Yes",Projects!$X$25="Yes",Projects!$M$25="Yes",52&gt;=Projects!$C$25,52&lt;Projects!$C$25+Projects!$D$25),Projects!$B$25*INDEX(Curves!$B$4:$AR$4,1,52-Projects!$C$25+1),0)+IF(AND(Projects!$G$26="Yes",Projects!$X$26="Yes",Projects!$M$26="Yes",52&gt;=Projects!$C$26,52&lt;Projects!$C$26+Projects!$D$26),Projects!$B$26*INDEX(Curves!$B$4:$AR$4,1,52-Projects!$C$26+1),0)+IF(AND(Projects!$G$27="Yes",Projects!$X$27="Yes",Projects!$M$27="Yes",52&gt;=Projects!$C$27,52&lt;Projects!$C$27+Projects!$D$27),Projects!$B$27*INDEX(Curves!$B$4:$AR$4,1,52-Projects!$C$27+1),0)+IF(AND(Projects!$G$28="Yes",Projects!$X$28="Yes",Projects!$M$28="Yes",52&gt;=Projects!$C$28,52&lt;Projects!$C$28+Projects!$D$28),Projects!$B$28*INDEX(Curves!$B$4:$AR$4,1,52-Projects!$C$28+1),0)+IF(AND(Projects!$G$29="Yes",Projects!$X$29="Yes",Projects!$M$29="Yes",52&gt;=Projects!$C$29,52&lt;Projects!$C$29+Projects!$D$29),Projects!$B$29*INDEX(Curves!$B$4:$AR$4,1,52-Projects!$C$29+1),0)+IF(AND(Projects!$G$30="Yes",Projects!$X$30="Yes",Projects!$M$30="Yes",52&gt;=Projects!$C$30,52&lt;Projects!$C$30+Projects!$D$30),Projects!$B$30*INDEX(Curves!$B$4:$AR$4,1,52-Projects!$C$30+1),0)+IF(AND(Projects!$G$31="Yes",Projects!$X$31="Yes",Projects!$M$31="Yes",52&gt;=Projects!$C$31,52&lt;Projects!$C$31+Projects!$D$31),Projects!$B$31*INDEX(Curves!$B$4:$AR$4,1,52-Projects!$C$31+1),0)+IF(AND(Projects!$G$32="Yes",Projects!$X$32="Yes",Projects!$M$32="Yes",52&gt;=Projects!$C$32,52&lt;Projects!$C$32+Projects!$D$32),Projects!$B$32*INDEX(Curves!$B$4:$AR$4,1,52-Projects!$C$32+1),0)+IF(AND(Projects!$G$33="Yes",Projects!$X$33="Yes",Projects!$M$33="Yes",52&gt;=Projects!$C$33,52&lt;Projects!$C$33+Projects!$D$33),Projects!$B$33*INDEX(Curves!$B$4:$AR$4,1,52-Projects!$C$33+1),0)+IF(AND(Projects!$G$34="Yes",Projects!$X$34="Yes",Projects!$M$34="Yes",52&gt;=Projects!$C$34,52&lt;Projects!$C$34+Projects!$D$34),Projects!$B$34*INDEX(Curves!$B$4:$AR$4,1,52-Projects!$C$34+1),0)+IF(AND(Projects!$G$35="Yes",Projects!$X$35="Yes",Projects!$M$35="Yes",52&gt;=Projects!$C$35,52&lt;Projects!$C$35+Projects!$D$35),Projects!$B$35*INDEX(Curves!$B$4:$AR$4,1,52-Projects!$C$35+1),0)+IF(AND(Projects!$G$36="Yes",Projects!$X$36="Yes",Projects!$M$36="Yes",52&gt;=Projects!$C$36,52&lt;Projects!$C$36+Projects!$D$36),Projects!$B$36*INDEX(Curves!$B$4:$AR$4,1,52-Projects!$C$36+1),0)+IF(AND(Projects!$G$37="Yes",Projects!$X$37="Yes",Projects!$M$37="Yes",52&gt;=Projects!$C$37,52&lt;Projects!$C$37+Projects!$D$37),Projects!$B$37*INDEX(Curves!$B$4:$AR$4,1,52-Projects!$C$37+1),0)+IF(AND(Projects!$G$38="Yes",Projects!$X$38="Yes",Projects!$M$38="Yes",52&gt;=Projects!$C$38,52&lt;Projects!$C$38+Projects!$D$38),Projects!$B$38*INDEX(Curves!$B$4:$AR$4,1,52-Projects!$C$38+1),0)+IF(AND(Projects!$G$39="Yes",Projects!$X$39="Yes",Projects!$M$39="Yes",52&gt;=Projects!$C$39,52&lt;Projects!$C$39+Projects!$D$39),Projects!$B$39*INDEX(Curves!$B$4:$AR$4,1,52-Projects!$C$39+1),0)+IF(AND(Projects!$G$40="Yes",Projects!$X$40="Yes",Projects!$M$40="Yes",52&gt;=Projects!$C$40,52&lt;Projects!$C$40+Projects!$D$40),Projects!$B$40*INDEX(Curves!$B$4:$AR$4,1,52-Projects!$C$40+1),0)+IF(AND(Projects!$G$41="Yes",Projects!$X$41="Yes",Projects!$M$41="Yes",52&gt;=Projects!$C$41,52&lt;Projects!$C$41+Projects!$D$41),Projects!$B$41*INDEX(Curves!$B$4:$AR$4,1,52-Projects!$C$41+1),0)+IF(AND(Projects!$G$42="Yes",Projects!$X$42="Yes",Projects!$M$42="Yes",52&gt;=Projects!$C$42,52&lt;Projects!$C$42+Projects!$D$42),Projects!$B$42*INDEX(Curves!$B$4:$AR$4,1,52-Projects!$C$42+1),0)+IF(AND(Projects!$G$43="Yes",Projects!$X$43="Yes",Projects!$M$43="Yes",52&gt;=Projects!$C$43,52&lt;Projects!$C$43+Projects!$D$43),Projects!$B$43*INDEX(Curves!$B$4:$AR$4,1,52-Projects!$C$43+1),0)+IF(AND(Projects!$G$44="Yes",Projects!$X$44="Yes",Projects!$M$44="Yes",52&gt;=Projects!$C$44,52&lt;Projects!$C$44+Projects!$D$44),Projects!$B$44*INDEX(Curves!$B$4:$AR$4,1,52-Projects!$C$44+1),0)+IF(AND(Projects!$G$45="Yes",Projects!$X$45="Yes",Projects!$M$45="Yes",52&gt;=Projects!$C$45,52&lt;Projects!$C$45+Projects!$D$45),Projects!$B$45*INDEX(Curves!$B$4:$AR$4,1,52-Projects!$C$45+1),0)+IF(AND(Projects!$G$46="Yes",Projects!$X$46="Yes",Projects!$M$46="Yes",52&gt;=Projects!$C$46,52&lt;Projects!$C$46+Projects!$D$46),Projects!$B$46*INDEX(Curves!$B$4:$AR$4,1,52-Projects!$C$46+1),0)</f>
        <v>0</v>
      </c>
      <c r="BF101" s="298" t="n">
        <f aca="false">IF(AND(Projects!$G$17="Yes",Projects!$X$17="Yes",Projects!$M$17="Yes",53&gt;=Projects!$C$17,53&lt;Projects!$C$17+Projects!$D$17),Projects!$B$17*INDEX(Curves!$B$4:$AR$4,1,53-Projects!$C$17+1),0)+IF(AND(Projects!$G$18="Yes",Projects!$X$18="Yes",Projects!$M$18="Yes",53&gt;=Projects!$C$18,53&lt;Projects!$C$18+Projects!$D$18),Projects!$B$18*INDEX(Curves!$B$4:$AR$4,1,53-Projects!$C$18+1),0)+IF(AND(Projects!$G$19="Yes",Projects!$X$19="Yes",Projects!$M$19="Yes",53&gt;=Projects!$C$19,53&lt;Projects!$C$19+Projects!$D$19),Projects!$B$19*INDEX(Curves!$B$10:$AR$10,1,53-Projects!$C$19+1),0)+IF(AND(Projects!$G$20="Yes",Projects!$X$20="Yes",Projects!$M$20="Yes",53&gt;=Projects!$C$20,53&lt;Projects!$C$20+Projects!$D$20),Projects!$B$20*INDEX(Curves!$B$4:$AR$4,1,53-Projects!$C$20+1),0)+IF(AND(Projects!$G$21="Yes",Projects!$X$21="Yes",Projects!$M$21="Yes",53&gt;=Projects!$C$21,53&lt;Projects!$C$21+Projects!$D$21),Projects!$B$21*INDEX(Curves!$B$11:$AR$11,1,53-Projects!$C$21+1),0)+IF(AND(Projects!$G$22="Yes",Projects!$X$22="Yes",Projects!$M$22="Yes",53&gt;=Projects!$C$22,53&lt;Projects!$C$22+Projects!$D$22),Projects!$B$22*INDEX(Curves!$B$4:$AR$4,1,53-Projects!$C$22+1),0)+IF(AND(Projects!$G$23="Yes",Projects!$X$23="Yes",Projects!$M$23="Yes",53&gt;=Projects!$C$23,53&lt;Projects!$C$23+Projects!$D$23),Projects!$B$23*INDEX(Curves!$B$4:$AR$4,1,53-Projects!$C$23+1),0)+IF(AND(Projects!$G$24="Yes",Projects!$X$24="Yes",Projects!$M$24="Yes",53&gt;=Projects!$C$24,53&lt;Projects!$C$24+Projects!$D$24),Projects!$B$24*INDEX(Curves!$B$4:$AR$4,1,53-Projects!$C$24+1),0)+IF(AND(Projects!$G$25="Yes",Projects!$X$25="Yes",Projects!$M$25="Yes",53&gt;=Projects!$C$25,53&lt;Projects!$C$25+Projects!$D$25),Projects!$B$25*INDEX(Curves!$B$4:$AR$4,1,53-Projects!$C$25+1),0)+IF(AND(Projects!$G$26="Yes",Projects!$X$26="Yes",Projects!$M$26="Yes",53&gt;=Projects!$C$26,53&lt;Projects!$C$26+Projects!$D$26),Projects!$B$26*INDEX(Curves!$B$4:$AR$4,1,53-Projects!$C$26+1),0)+IF(AND(Projects!$G$27="Yes",Projects!$X$27="Yes",Projects!$M$27="Yes",53&gt;=Projects!$C$27,53&lt;Projects!$C$27+Projects!$D$27),Projects!$B$27*INDEX(Curves!$B$4:$AR$4,1,53-Projects!$C$27+1),0)+IF(AND(Projects!$G$28="Yes",Projects!$X$28="Yes",Projects!$M$28="Yes",53&gt;=Projects!$C$28,53&lt;Projects!$C$28+Projects!$D$28),Projects!$B$28*INDEX(Curves!$B$4:$AR$4,1,53-Projects!$C$28+1),0)+IF(AND(Projects!$G$29="Yes",Projects!$X$29="Yes",Projects!$M$29="Yes",53&gt;=Projects!$C$29,53&lt;Projects!$C$29+Projects!$D$29),Projects!$B$29*INDEX(Curves!$B$4:$AR$4,1,53-Projects!$C$29+1),0)+IF(AND(Projects!$G$30="Yes",Projects!$X$30="Yes",Projects!$M$30="Yes",53&gt;=Projects!$C$30,53&lt;Projects!$C$30+Projects!$D$30),Projects!$B$30*INDEX(Curves!$B$4:$AR$4,1,53-Projects!$C$30+1),0)+IF(AND(Projects!$G$31="Yes",Projects!$X$31="Yes",Projects!$M$31="Yes",53&gt;=Projects!$C$31,53&lt;Projects!$C$31+Projects!$D$31),Projects!$B$31*INDEX(Curves!$B$4:$AR$4,1,53-Projects!$C$31+1),0)+IF(AND(Projects!$G$32="Yes",Projects!$X$32="Yes",Projects!$M$32="Yes",53&gt;=Projects!$C$32,53&lt;Projects!$C$32+Projects!$D$32),Projects!$B$32*INDEX(Curves!$B$4:$AR$4,1,53-Projects!$C$32+1),0)+IF(AND(Projects!$G$33="Yes",Projects!$X$33="Yes",Projects!$M$33="Yes",53&gt;=Projects!$C$33,53&lt;Projects!$C$33+Projects!$D$33),Projects!$B$33*INDEX(Curves!$B$4:$AR$4,1,53-Projects!$C$33+1),0)+IF(AND(Projects!$G$34="Yes",Projects!$X$34="Yes",Projects!$M$34="Yes",53&gt;=Projects!$C$34,53&lt;Projects!$C$34+Projects!$D$34),Projects!$B$34*INDEX(Curves!$B$4:$AR$4,1,53-Projects!$C$34+1),0)+IF(AND(Projects!$G$35="Yes",Projects!$X$35="Yes",Projects!$M$35="Yes",53&gt;=Projects!$C$35,53&lt;Projects!$C$35+Projects!$D$35),Projects!$B$35*INDEX(Curves!$B$4:$AR$4,1,53-Projects!$C$35+1),0)+IF(AND(Projects!$G$36="Yes",Projects!$X$36="Yes",Projects!$M$36="Yes",53&gt;=Projects!$C$36,53&lt;Projects!$C$36+Projects!$D$36),Projects!$B$36*INDEX(Curves!$B$4:$AR$4,1,53-Projects!$C$36+1),0)+IF(AND(Projects!$G$37="Yes",Projects!$X$37="Yes",Projects!$M$37="Yes",53&gt;=Projects!$C$37,53&lt;Projects!$C$37+Projects!$D$37),Projects!$B$37*INDEX(Curves!$B$4:$AR$4,1,53-Projects!$C$37+1),0)+IF(AND(Projects!$G$38="Yes",Projects!$X$38="Yes",Projects!$M$38="Yes",53&gt;=Projects!$C$38,53&lt;Projects!$C$38+Projects!$D$38),Projects!$B$38*INDEX(Curves!$B$4:$AR$4,1,53-Projects!$C$38+1),0)+IF(AND(Projects!$G$39="Yes",Projects!$X$39="Yes",Projects!$M$39="Yes",53&gt;=Projects!$C$39,53&lt;Projects!$C$39+Projects!$D$39),Projects!$B$39*INDEX(Curves!$B$4:$AR$4,1,53-Projects!$C$39+1),0)+IF(AND(Projects!$G$40="Yes",Projects!$X$40="Yes",Projects!$M$40="Yes",53&gt;=Projects!$C$40,53&lt;Projects!$C$40+Projects!$D$40),Projects!$B$40*INDEX(Curves!$B$4:$AR$4,1,53-Projects!$C$40+1),0)+IF(AND(Projects!$G$41="Yes",Projects!$X$41="Yes",Projects!$M$41="Yes",53&gt;=Projects!$C$41,53&lt;Projects!$C$41+Projects!$D$41),Projects!$B$41*INDEX(Curves!$B$4:$AR$4,1,53-Projects!$C$41+1),0)+IF(AND(Projects!$G$42="Yes",Projects!$X$42="Yes",Projects!$M$42="Yes",53&gt;=Projects!$C$42,53&lt;Projects!$C$42+Projects!$D$42),Projects!$B$42*INDEX(Curves!$B$4:$AR$4,1,53-Projects!$C$42+1),0)+IF(AND(Projects!$G$43="Yes",Projects!$X$43="Yes",Projects!$M$43="Yes",53&gt;=Projects!$C$43,53&lt;Projects!$C$43+Projects!$D$43),Projects!$B$43*INDEX(Curves!$B$4:$AR$4,1,53-Projects!$C$43+1),0)+IF(AND(Projects!$G$44="Yes",Projects!$X$44="Yes",Projects!$M$44="Yes",53&gt;=Projects!$C$44,53&lt;Projects!$C$44+Projects!$D$44),Projects!$B$44*INDEX(Curves!$B$4:$AR$4,1,53-Projects!$C$44+1),0)+IF(AND(Projects!$G$45="Yes",Projects!$X$45="Yes",Projects!$M$45="Yes",53&gt;=Projects!$C$45,53&lt;Projects!$C$45+Projects!$D$45),Projects!$B$45*INDEX(Curves!$B$4:$AR$4,1,53-Projects!$C$45+1),0)+IF(AND(Projects!$G$46="Yes",Projects!$X$46="Yes",Projects!$M$46="Yes",53&gt;=Projects!$C$46,53&lt;Projects!$C$46+Projects!$D$46),Projects!$B$46*INDEX(Curves!$B$4:$AR$4,1,53-Projects!$C$46+1),0)</f>
        <v>0</v>
      </c>
      <c r="BG101" s="298" t="n">
        <f aca="false">IF(AND(Projects!$G$17="Yes",Projects!$X$17="Yes",Projects!$M$17="Yes",54&gt;=Projects!$C$17,54&lt;Projects!$C$17+Projects!$D$17),Projects!$B$17*INDEX(Curves!$B$4:$AR$4,1,54-Projects!$C$17+1),0)+IF(AND(Projects!$G$18="Yes",Projects!$X$18="Yes",Projects!$M$18="Yes",54&gt;=Projects!$C$18,54&lt;Projects!$C$18+Projects!$D$18),Projects!$B$18*INDEX(Curves!$B$4:$AR$4,1,54-Projects!$C$18+1),0)+IF(AND(Projects!$G$19="Yes",Projects!$X$19="Yes",Projects!$M$19="Yes",54&gt;=Projects!$C$19,54&lt;Projects!$C$19+Projects!$D$19),Projects!$B$19*INDEX(Curves!$B$10:$AR$10,1,54-Projects!$C$19+1),0)+IF(AND(Projects!$G$20="Yes",Projects!$X$20="Yes",Projects!$M$20="Yes",54&gt;=Projects!$C$20,54&lt;Projects!$C$20+Projects!$D$20),Projects!$B$20*INDEX(Curves!$B$4:$AR$4,1,54-Projects!$C$20+1),0)+IF(AND(Projects!$G$21="Yes",Projects!$X$21="Yes",Projects!$M$21="Yes",54&gt;=Projects!$C$21,54&lt;Projects!$C$21+Projects!$D$21),Projects!$B$21*INDEX(Curves!$B$11:$AR$11,1,54-Projects!$C$21+1),0)+IF(AND(Projects!$G$22="Yes",Projects!$X$22="Yes",Projects!$M$22="Yes",54&gt;=Projects!$C$22,54&lt;Projects!$C$22+Projects!$D$22),Projects!$B$22*INDEX(Curves!$B$4:$AR$4,1,54-Projects!$C$22+1),0)+IF(AND(Projects!$G$23="Yes",Projects!$X$23="Yes",Projects!$M$23="Yes",54&gt;=Projects!$C$23,54&lt;Projects!$C$23+Projects!$D$23),Projects!$B$23*INDEX(Curves!$B$4:$AR$4,1,54-Projects!$C$23+1),0)+IF(AND(Projects!$G$24="Yes",Projects!$X$24="Yes",Projects!$M$24="Yes",54&gt;=Projects!$C$24,54&lt;Projects!$C$24+Projects!$D$24),Projects!$B$24*INDEX(Curves!$B$4:$AR$4,1,54-Projects!$C$24+1),0)+IF(AND(Projects!$G$25="Yes",Projects!$X$25="Yes",Projects!$M$25="Yes",54&gt;=Projects!$C$25,54&lt;Projects!$C$25+Projects!$D$25),Projects!$B$25*INDEX(Curves!$B$4:$AR$4,1,54-Projects!$C$25+1),0)+IF(AND(Projects!$G$26="Yes",Projects!$X$26="Yes",Projects!$M$26="Yes",54&gt;=Projects!$C$26,54&lt;Projects!$C$26+Projects!$D$26),Projects!$B$26*INDEX(Curves!$B$4:$AR$4,1,54-Projects!$C$26+1),0)+IF(AND(Projects!$G$27="Yes",Projects!$X$27="Yes",Projects!$M$27="Yes",54&gt;=Projects!$C$27,54&lt;Projects!$C$27+Projects!$D$27),Projects!$B$27*INDEX(Curves!$B$4:$AR$4,1,54-Projects!$C$27+1),0)+IF(AND(Projects!$G$28="Yes",Projects!$X$28="Yes",Projects!$M$28="Yes",54&gt;=Projects!$C$28,54&lt;Projects!$C$28+Projects!$D$28),Projects!$B$28*INDEX(Curves!$B$4:$AR$4,1,54-Projects!$C$28+1),0)+IF(AND(Projects!$G$29="Yes",Projects!$X$29="Yes",Projects!$M$29="Yes",54&gt;=Projects!$C$29,54&lt;Projects!$C$29+Projects!$D$29),Projects!$B$29*INDEX(Curves!$B$4:$AR$4,1,54-Projects!$C$29+1),0)+IF(AND(Projects!$G$30="Yes",Projects!$X$30="Yes",Projects!$M$30="Yes",54&gt;=Projects!$C$30,54&lt;Projects!$C$30+Projects!$D$30),Projects!$B$30*INDEX(Curves!$B$4:$AR$4,1,54-Projects!$C$30+1),0)+IF(AND(Projects!$G$31="Yes",Projects!$X$31="Yes",Projects!$M$31="Yes",54&gt;=Projects!$C$31,54&lt;Projects!$C$31+Projects!$D$31),Projects!$B$31*INDEX(Curves!$B$4:$AR$4,1,54-Projects!$C$31+1),0)+IF(AND(Projects!$G$32="Yes",Projects!$X$32="Yes",Projects!$M$32="Yes",54&gt;=Projects!$C$32,54&lt;Projects!$C$32+Projects!$D$32),Projects!$B$32*INDEX(Curves!$B$4:$AR$4,1,54-Projects!$C$32+1),0)+IF(AND(Projects!$G$33="Yes",Projects!$X$33="Yes",Projects!$M$33="Yes",54&gt;=Projects!$C$33,54&lt;Projects!$C$33+Projects!$D$33),Projects!$B$33*INDEX(Curves!$B$4:$AR$4,1,54-Projects!$C$33+1),0)+IF(AND(Projects!$G$34="Yes",Projects!$X$34="Yes",Projects!$M$34="Yes",54&gt;=Projects!$C$34,54&lt;Projects!$C$34+Projects!$D$34),Projects!$B$34*INDEX(Curves!$B$4:$AR$4,1,54-Projects!$C$34+1),0)+IF(AND(Projects!$G$35="Yes",Projects!$X$35="Yes",Projects!$M$35="Yes",54&gt;=Projects!$C$35,54&lt;Projects!$C$35+Projects!$D$35),Projects!$B$35*INDEX(Curves!$B$4:$AR$4,1,54-Projects!$C$35+1),0)+IF(AND(Projects!$G$36="Yes",Projects!$X$36="Yes",Projects!$M$36="Yes",54&gt;=Projects!$C$36,54&lt;Projects!$C$36+Projects!$D$36),Projects!$B$36*INDEX(Curves!$B$4:$AR$4,1,54-Projects!$C$36+1),0)+IF(AND(Projects!$G$37="Yes",Projects!$X$37="Yes",Projects!$M$37="Yes",54&gt;=Projects!$C$37,54&lt;Projects!$C$37+Projects!$D$37),Projects!$B$37*INDEX(Curves!$B$4:$AR$4,1,54-Projects!$C$37+1),0)+IF(AND(Projects!$G$38="Yes",Projects!$X$38="Yes",Projects!$M$38="Yes",54&gt;=Projects!$C$38,54&lt;Projects!$C$38+Projects!$D$38),Projects!$B$38*INDEX(Curves!$B$4:$AR$4,1,54-Projects!$C$38+1),0)+IF(AND(Projects!$G$39="Yes",Projects!$X$39="Yes",Projects!$M$39="Yes",54&gt;=Projects!$C$39,54&lt;Projects!$C$39+Projects!$D$39),Projects!$B$39*INDEX(Curves!$B$4:$AR$4,1,54-Projects!$C$39+1),0)+IF(AND(Projects!$G$40="Yes",Projects!$X$40="Yes",Projects!$M$40="Yes",54&gt;=Projects!$C$40,54&lt;Projects!$C$40+Projects!$D$40),Projects!$B$40*INDEX(Curves!$B$4:$AR$4,1,54-Projects!$C$40+1),0)+IF(AND(Projects!$G$41="Yes",Projects!$X$41="Yes",Projects!$M$41="Yes",54&gt;=Projects!$C$41,54&lt;Projects!$C$41+Projects!$D$41),Projects!$B$41*INDEX(Curves!$B$4:$AR$4,1,54-Projects!$C$41+1),0)+IF(AND(Projects!$G$42="Yes",Projects!$X$42="Yes",Projects!$M$42="Yes",54&gt;=Projects!$C$42,54&lt;Projects!$C$42+Projects!$D$42),Projects!$B$42*INDEX(Curves!$B$4:$AR$4,1,54-Projects!$C$42+1),0)+IF(AND(Projects!$G$43="Yes",Projects!$X$43="Yes",Projects!$M$43="Yes",54&gt;=Projects!$C$43,54&lt;Projects!$C$43+Projects!$D$43),Projects!$B$43*INDEX(Curves!$B$4:$AR$4,1,54-Projects!$C$43+1),0)+IF(AND(Projects!$G$44="Yes",Projects!$X$44="Yes",Projects!$M$44="Yes",54&gt;=Projects!$C$44,54&lt;Projects!$C$44+Projects!$D$44),Projects!$B$44*INDEX(Curves!$B$4:$AR$4,1,54-Projects!$C$44+1),0)+IF(AND(Projects!$G$45="Yes",Projects!$X$45="Yes",Projects!$M$45="Yes",54&gt;=Projects!$C$45,54&lt;Projects!$C$45+Projects!$D$45),Projects!$B$45*INDEX(Curves!$B$4:$AR$4,1,54-Projects!$C$45+1),0)+IF(AND(Projects!$G$46="Yes",Projects!$X$46="Yes",Projects!$M$46="Yes",54&gt;=Projects!$C$46,54&lt;Projects!$C$46+Projects!$D$46),Projects!$B$46*INDEX(Curves!$B$4:$AR$4,1,54-Projects!$C$46+1),0)</f>
        <v>0</v>
      </c>
      <c r="BH101" s="298" t="n">
        <f aca="false">IF(AND(Projects!$G$17="Yes",Projects!$X$17="Yes",Projects!$M$17="Yes",55&gt;=Projects!$C$17,55&lt;Projects!$C$17+Projects!$D$17),Projects!$B$17*INDEX(Curves!$B$4:$AR$4,1,55-Projects!$C$17+1),0)+IF(AND(Projects!$G$18="Yes",Projects!$X$18="Yes",Projects!$M$18="Yes",55&gt;=Projects!$C$18,55&lt;Projects!$C$18+Projects!$D$18),Projects!$B$18*INDEX(Curves!$B$4:$AR$4,1,55-Projects!$C$18+1),0)+IF(AND(Projects!$G$19="Yes",Projects!$X$19="Yes",Projects!$M$19="Yes",55&gt;=Projects!$C$19,55&lt;Projects!$C$19+Projects!$D$19),Projects!$B$19*INDEX(Curves!$B$10:$AR$10,1,55-Projects!$C$19+1),0)+IF(AND(Projects!$G$20="Yes",Projects!$X$20="Yes",Projects!$M$20="Yes",55&gt;=Projects!$C$20,55&lt;Projects!$C$20+Projects!$D$20),Projects!$B$20*INDEX(Curves!$B$4:$AR$4,1,55-Projects!$C$20+1),0)+IF(AND(Projects!$G$21="Yes",Projects!$X$21="Yes",Projects!$M$21="Yes",55&gt;=Projects!$C$21,55&lt;Projects!$C$21+Projects!$D$21),Projects!$B$21*INDEX(Curves!$B$11:$AR$11,1,55-Projects!$C$21+1),0)+IF(AND(Projects!$G$22="Yes",Projects!$X$22="Yes",Projects!$M$22="Yes",55&gt;=Projects!$C$22,55&lt;Projects!$C$22+Projects!$D$22),Projects!$B$22*INDEX(Curves!$B$4:$AR$4,1,55-Projects!$C$22+1),0)+IF(AND(Projects!$G$23="Yes",Projects!$X$23="Yes",Projects!$M$23="Yes",55&gt;=Projects!$C$23,55&lt;Projects!$C$23+Projects!$D$23),Projects!$B$23*INDEX(Curves!$B$4:$AR$4,1,55-Projects!$C$23+1),0)+IF(AND(Projects!$G$24="Yes",Projects!$X$24="Yes",Projects!$M$24="Yes",55&gt;=Projects!$C$24,55&lt;Projects!$C$24+Projects!$D$24),Projects!$B$24*INDEX(Curves!$B$4:$AR$4,1,55-Projects!$C$24+1),0)+IF(AND(Projects!$G$25="Yes",Projects!$X$25="Yes",Projects!$M$25="Yes",55&gt;=Projects!$C$25,55&lt;Projects!$C$25+Projects!$D$25),Projects!$B$25*INDEX(Curves!$B$4:$AR$4,1,55-Projects!$C$25+1),0)+IF(AND(Projects!$G$26="Yes",Projects!$X$26="Yes",Projects!$M$26="Yes",55&gt;=Projects!$C$26,55&lt;Projects!$C$26+Projects!$D$26),Projects!$B$26*INDEX(Curves!$B$4:$AR$4,1,55-Projects!$C$26+1),0)+IF(AND(Projects!$G$27="Yes",Projects!$X$27="Yes",Projects!$M$27="Yes",55&gt;=Projects!$C$27,55&lt;Projects!$C$27+Projects!$D$27),Projects!$B$27*INDEX(Curves!$B$4:$AR$4,1,55-Projects!$C$27+1),0)+IF(AND(Projects!$G$28="Yes",Projects!$X$28="Yes",Projects!$M$28="Yes",55&gt;=Projects!$C$28,55&lt;Projects!$C$28+Projects!$D$28),Projects!$B$28*INDEX(Curves!$B$4:$AR$4,1,55-Projects!$C$28+1),0)+IF(AND(Projects!$G$29="Yes",Projects!$X$29="Yes",Projects!$M$29="Yes",55&gt;=Projects!$C$29,55&lt;Projects!$C$29+Projects!$D$29),Projects!$B$29*INDEX(Curves!$B$4:$AR$4,1,55-Projects!$C$29+1),0)+IF(AND(Projects!$G$30="Yes",Projects!$X$30="Yes",Projects!$M$30="Yes",55&gt;=Projects!$C$30,55&lt;Projects!$C$30+Projects!$D$30),Projects!$B$30*INDEX(Curves!$B$4:$AR$4,1,55-Projects!$C$30+1),0)+IF(AND(Projects!$G$31="Yes",Projects!$X$31="Yes",Projects!$M$31="Yes",55&gt;=Projects!$C$31,55&lt;Projects!$C$31+Projects!$D$31),Projects!$B$31*INDEX(Curves!$B$4:$AR$4,1,55-Projects!$C$31+1),0)+IF(AND(Projects!$G$32="Yes",Projects!$X$32="Yes",Projects!$M$32="Yes",55&gt;=Projects!$C$32,55&lt;Projects!$C$32+Projects!$D$32),Projects!$B$32*INDEX(Curves!$B$4:$AR$4,1,55-Projects!$C$32+1),0)+IF(AND(Projects!$G$33="Yes",Projects!$X$33="Yes",Projects!$M$33="Yes",55&gt;=Projects!$C$33,55&lt;Projects!$C$33+Projects!$D$33),Projects!$B$33*INDEX(Curves!$B$4:$AR$4,1,55-Projects!$C$33+1),0)+IF(AND(Projects!$G$34="Yes",Projects!$X$34="Yes",Projects!$M$34="Yes",55&gt;=Projects!$C$34,55&lt;Projects!$C$34+Projects!$D$34),Projects!$B$34*INDEX(Curves!$B$4:$AR$4,1,55-Projects!$C$34+1),0)+IF(AND(Projects!$G$35="Yes",Projects!$X$35="Yes",Projects!$M$35="Yes",55&gt;=Projects!$C$35,55&lt;Projects!$C$35+Projects!$D$35),Projects!$B$35*INDEX(Curves!$B$4:$AR$4,1,55-Projects!$C$35+1),0)+IF(AND(Projects!$G$36="Yes",Projects!$X$36="Yes",Projects!$M$36="Yes",55&gt;=Projects!$C$36,55&lt;Projects!$C$36+Projects!$D$36),Projects!$B$36*INDEX(Curves!$B$4:$AR$4,1,55-Projects!$C$36+1),0)+IF(AND(Projects!$G$37="Yes",Projects!$X$37="Yes",Projects!$M$37="Yes",55&gt;=Projects!$C$37,55&lt;Projects!$C$37+Projects!$D$37),Projects!$B$37*INDEX(Curves!$B$4:$AR$4,1,55-Projects!$C$37+1),0)+IF(AND(Projects!$G$38="Yes",Projects!$X$38="Yes",Projects!$M$38="Yes",55&gt;=Projects!$C$38,55&lt;Projects!$C$38+Projects!$D$38),Projects!$B$38*INDEX(Curves!$B$4:$AR$4,1,55-Projects!$C$38+1),0)+IF(AND(Projects!$G$39="Yes",Projects!$X$39="Yes",Projects!$M$39="Yes",55&gt;=Projects!$C$39,55&lt;Projects!$C$39+Projects!$D$39),Projects!$B$39*INDEX(Curves!$B$4:$AR$4,1,55-Projects!$C$39+1),0)+IF(AND(Projects!$G$40="Yes",Projects!$X$40="Yes",Projects!$M$40="Yes",55&gt;=Projects!$C$40,55&lt;Projects!$C$40+Projects!$D$40),Projects!$B$40*INDEX(Curves!$B$4:$AR$4,1,55-Projects!$C$40+1),0)+IF(AND(Projects!$G$41="Yes",Projects!$X$41="Yes",Projects!$M$41="Yes",55&gt;=Projects!$C$41,55&lt;Projects!$C$41+Projects!$D$41),Projects!$B$41*INDEX(Curves!$B$4:$AR$4,1,55-Projects!$C$41+1),0)+IF(AND(Projects!$G$42="Yes",Projects!$X$42="Yes",Projects!$M$42="Yes",55&gt;=Projects!$C$42,55&lt;Projects!$C$42+Projects!$D$42),Projects!$B$42*INDEX(Curves!$B$4:$AR$4,1,55-Projects!$C$42+1),0)+IF(AND(Projects!$G$43="Yes",Projects!$X$43="Yes",Projects!$M$43="Yes",55&gt;=Projects!$C$43,55&lt;Projects!$C$43+Projects!$D$43),Projects!$B$43*INDEX(Curves!$B$4:$AR$4,1,55-Projects!$C$43+1),0)+IF(AND(Projects!$G$44="Yes",Projects!$X$44="Yes",Projects!$M$44="Yes",55&gt;=Projects!$C$44,55&lt;Projects!$C$44+Projects!$D$44),Projects!$B$44*INDEX(Curves!$B$4:$AR$4,1,55-Projects!$C$44+1),0)+IF(AND(Projects!$G$45="Yes",Projects!$X$45="Yes",Projects!$M$45="Yes",55&gt;=Projects!$C$45,55&lt;Projects!$C$45+Projects!$D$45),Projects!$B$45*INDEX(Curves!$B$4:$AR$4,1,55-Projects!$C$45+1),0)+IF(AND(Projects!$G$46="Yes",Projects!$X$46="Yes",Projects!$M$46="Yes",55&gt;=Projects!$C$46,55&lt;Projects!$C$46+Projects!$D$46),Projects!$B$46*INDEX(Curves!$B$4:$AR$4,1,55-Projects!$C$46+1),0)</f>
        <v>0</v>
      </c>
      <c r="BI101" s="298" t="n">
        <f aca="false">IF(AND(Projects!$G$17="Yes",Projects!$X$17="Yes",Projects!$M$17="Yes",56&gt;=Projects!$C$17,56&lt;Projects!$C$17+Projects!$D$17),Projects!$B$17*INDEX(Curves!$B$4:$AR$4,1,56-Projects!$C$17+1),0)+IF(AND(Projects!$G$18="Yes",Projects!$X$18="Yes",Projects!$M$18="Yes",56&gt;=Projects!$C$18,56&lt;Projects!$C$18+Projects!$D$18),Projects!$B$18*INDEX(Curves!$B$4:$AR$4,1,56-Projects!$C$18+1),0)+IF(AND(Projects!$G$19="Yes",Projects!$X$19="Yes",Projects!$M$19="Yes",56&gt;=Projects!$C$19,56&lt;Projects!$C$19+Projects!$D$19),Projects!$B$19*INDEX(Curves!$B$10:$AR$10,1,56-Projects!$C$19+1),0)+IF(AND(Projects!$G$20="Yes",Projects!$X$20="Yes",Projects!$M$20="Yes",56&gt;=Projects!$C$20,56&lt;Projects!$C$20+Projects!$D$20),Projects!$B$20*INDEX(Curves!$B$4:$AR$4,1,56-Projects!$C$20+1),0)+IF(AND(Projects!$G$21="Yes",Projects!$X$21="Yes",Projects!$M$21="Yes",56&gt;=Projects!$C$21,56&lt;Projects!$C$21+Projects!$D$21),Projects!$B$21*INDEX(Curves!$B$11:$AR$11,1,56-Projects!$C$21+1),0)+IF(AND(Projects!$G$22="Yes",Projects!$X$22="Yes",Projects!$M$22="Yes",56&gt;=Projects!$C$22,56&lt;Projects!$C$22+Projects!$D$22),Projects!$B$22*INDEX(Curves!$B$4:$AR$4,1,56-Projects!$C$22+1),0)+IF(AND(Projects!$G$23="Yes",Projects!$X$23="Yes",Projects!$M$23="Yes",56&gt;=Projects!$C$23,56&lt;Projects!$C$23+Projects!$D$23),Projects!$B$23*INDEX(Curves!$B$4:$AR$4,1,56-Projects!$C$23+1),0)+IF(AND(Projects!$G$24="Yes",Projects!$X$24="Yes",Projects!$M$24="Yes",56&gt;=Projects!$C$24,56&lt;Projects!$C$24+Projects!$D$24),Projects!$B$24*INDEX(Curves!$B$4:$AR$4,1,56-Projects!$C$24+1),0)+IF(AND(Projects!$G$25="Yes",Projects!$X$25="Yes",Projects!$M$25="Yes",56&gt;=Projects!$C$25,56&lt;Projects!$C$25+Projects!$D$25),Projects!$B$25*INDEX(Curves!$B$4:$AR$4,1,56-Projects!$C$25+1),0)+IF(AND(Projects!$G$26="Yes",Projects!$X$26="Yes",Projects!$M$26="Yes",56&gt;=Projects!$C$26,56&lt;Projects!$C$26+Projects!$D$26),Projects!$B$26*INDEX(Curves!$B$4:$AR$4,1,56-Projects!$C$26+1),0)+IF(AND(Projects!$G$27="Yes",Projects!$X$27="Yes",Projects!$M$27="Yes",56&gt;=Projects!$C$27,56&lt;Projects!$C$27+Projects!$D$27),Projects!$B$27*INDEX(Curves!$B$4:$AR$4,1,56-Projects!$C$27+1),0)+IF(AND(Projects!$G$28="Yes",Projects!$X$28="Yes",Projects!$M$28="Yes",56&gt;=Projects!$C$28,56&lt;Projects!$C$28+Projects!$D$28),Projects!$B$28*INDEX(Curves!$B$4:$AR$4,1,56-Projects!$C$28+1),0)+IF(AND(Projects!$G$29="Yes",Projects!$X$29="Yes",Projects!$M$29="Yes",56&gt;=Projects!$C$29,56&lt;Projects!$C$29+Projects!$D$29),Projects!$B$29*INDEX(Curves!$B$4:$AR$4,1,56-Projects!$C$29+1),0)+IF(AND(Projects!$G$30="Yes",Projects!$X$30="Yes",Projects!$M$30="Yes",56&gt;=Projects!$C$30,56&lt;Projects!$C$30+Projects!$D$30),Projects!$B$30*INDEX(Curves!$B$4:$AR$4,1,56-Projects!$C$30+1),0)+IF(AND(Projects!$G$31="Yes",Projects!$X$31="Yes",Projects!$M$31="Yes",56&gt;=Projects!$C$31,56&lt;Projects!$C$31+Projects!$D$31),Projects!$B$31*INDEX(Curves!$B$4:$AR$4,1,56-Projects!$C$31+1),0)+IF(AND(Projects!$G$32="Yes",Projects!$X$32="Yes",Projects!$M$32="Yes",56&gt;=Projects!$C$32,56&lt;Projects!$C$32+Projects!$D$32),Projects!$B$32*INDEX(Curves!$B$4:$AR$4,1,56-Projects!$C$32+1),0)+IF(AND(Projects!$G$33="Yes",Projects!$X$33="Yes",Projects!$M$33="Yes",56&gt;=Projects!$C$33,56&lt;Projects!$C$33+Projects!$D$33),Projects!$B$33*INDEX(Curves!$B$4:$AR$4,1,56-Projects!$C$33+1),0)+IF(AND(Projects!$G$34="Yes",Projects!$X$34="Yes",Projects!$M$34="Yes",56&gt;=Projects!$C$34,56&lt;Projects!$C$34+Projects!$D$34),Projects!$B$34*INDEX(Curves!$B$4:$AR$4,1,56-Projects!$C$34+1),0)+IF(AND(Projects!$G$35="Yes",Projects!$X$35="Yes",Projects!$M$35="Yes",56&gt;=Projects!$C$35,56&lt;Projects!$C$35+Projects!$D$35),Projects!$B$35*INDEX(Curves!$B$4:$AR$4,1,56-Projects!$C$35+1),0)+IF(AND(Projects!$G$36="Yes",Projects!$X$36="Yes",Projects!$M$36="Yes",56&gt;=Projects!$C$36,56&lt;Projects!$C$36+Projects!$D$36),Projects!$B$36*INDEX(Curves!$B$4:$AR$4,1,56-Projects!$C$36+1),0)+IF(AND(Projects!$G$37="Yes",Projects!$X$37="Yes",Projects!$M$37="Yes",56&gt;=Projects!$C$37,56&lt;Projects!$C$37+Projects!$D$37),Projects!$B$37*INDEX(Curves!$B$4:$AR$4,1,56-Projects!$C$37+1),0)+IF(AND(Projects!$G$38="Yes",Projects!$X$38="Yes",Projects!$M$38="Yes",56&gt;=Projects!$C$38,56&lt;Projects!$C$38+Projects!$D$38),Projects!$B$38*INDEX(Curves!$B$4:$AR$4,1,56-Projects!$C$38+1),0)+IF(AND(Projects!$G$39="Yes",Projects!$X$39="Yes",Projects!$M$39="Yes",56&gt;=Projects!$C$39,56&lt;Projects!$C$39+Projects!$D$39),Projects!$B$39*INDEX(Curves!$B$4:$AR$4,1,56-Projects!$C$39+1),0)+IF(AND(Projects!$G$40="Yes",Projects!$X$40="Yes",Projects!$M$40="Yes",56&gt;=Projects!$C$40,56&lt;Projects!$C$40+Projects!$D$40),Projects!$B$40*INDEX(Curves!$B$4:$AR$4,1,56-Projects!$C$40+1),0)+IF(AND(Projects!$G$41="Yes",Projects!$X$41="Yes",Projects!$M$41="Yes",56&gt;=Projects!$C$41,56&lt;Projects!$C$41+Projects!$D$41),Projects!$B$41*INDEX(Curves!$B$4:$AR$4,1,56-Projects!$C$41+1),0)+IF(AND(Projects!$G$42="Yes",Projects!$X$42="Yes",Projects!$M$42="Yes",56&gt;=Projects!$C$42,56&lt;Projects!$C$42+Projects!$D$42),Projects!$B$42*INDEX(Curves!$B$4:$AR$4,1,56-Projects!$C$42+1),0)+IF(AND(Projects!$G$43="Yes",Projects!$X$43="Yes",Projects!$M$43="Yes",56&gt;=Projects!$C$43,56&lt;Projects!$C$43+Projects!$D$43),Projects!$B$43*INDEX(Curves!$B$4:$AR$4,1,56-Projects!$C$43+1),0)+IF(AND(Projects!$G$44="Yes",Projects!$X$44="Yes",Projects!$M$44="Yes",56&gt;=Projects!$C$44,56&lt;Projects!$C$44+Projects!$D$44),Projects!$B$44*INDEX(Curves!$B$4:$AR$4,1,56-Projects!$C$44+1),0)+IF(AND(Projects!$G$45="Yes",Projects!$X$45="Yes",Projects!$M$45="Yes",56&gt;=Projects!$C$45,56&lt;Projects!$C$45+Projects!$D$45),Projects!$B$45*INDEX(Curves!$B$4:$AR$4,1,56-Projects!$C$45+1),0)+IF(AND(Projects!$G$46="Yes",Projects!$X$46="Yes",Projects!$M$46="Yes",56&gt;=Projects!$C$46,56&lt;Projects!$C$46+Projects!$D$46),Projects!$B$46*INDEX(Curves!$B$4:$AR$4,1,56-Projects!$C$46+1),0)</f>
        <v>0</v>
      </c>
      <c r="BJ101" s="298" t="n">
        <f aca="false">IF(AND(Projects!$G$17="Yes",Projects!$X$17="Yes",Projects!$M$17="Yes",57&gt;=Projects!$C$17,57&lt;Projects!$C$17+Projects!$D$17),Projects!$B$17*INDEX(Curves!$B$4:$AR$4,1,57-Projects!$C$17+1),0)+IF(AND(Projects!$G$18="Yes",Projects!$X$18="Yes",Projects!$M$18="Yes",57&gt;=Projects!$C$18,57&lt;Projects!$C$18+Projects!$D$18),Projects!$B$18*INDEX(Curves!$B$4:$AR$4,1,57-Projects!$C$18+1),0)+IF(AND(Projects!$G$19="Yes",Projects!$X$19="Yes",Projects!$M$19="Yes",57&gt;=Projects!$C$19,57&lt;Projects!$C$19+Projects!$D$19),Projects!$B$19*INDEX(Curves!$B$10:$AR$10,1,57-Projects!$C$19+1),0)+IF(AND(Projects!$G$20="Yes",Projects!$X$20="Yes",Projects!$M$20="Yes",57&gt;=Projects!$C$20,57&lt;Projects!$C$20+Projects!$D$20),Projects!$B$20*INDEX(Curves!$B$4:$AR$4,1,57-Projects!$C$20+1),0)+IF(AND(Projects!$G$21="Yes",Projects!$X$21="Yes",Projects!$M$21="Yes",57&gt;=Projects!$C$21,57&lt;Projects!$C$21+Projects!$D$21),Projects!$B$21*INDEX(Curves!$B$11:$AR$11,1,57-Projects!$C$21+1),0)+IF(AND(Projects!$G$22="Yes",Projects!$X$22="Yes",Projects!$M$22="Yes",57&gt;=Projects!$C$22,57&lt;Projects!$C$22+Projects!$D$22),Projects!$B$22*INDEX(Curves!$B$4:$AR$4,1,57-Projects!$C$22+1),0)+IF(AND(Projects!$G$23="Yes",Projects!$X$23="Yes",Projects!$M$23="Yes",57&gt;=Projects!$C$23,57&lt;Projects!$C$23+Projects!$D$23),Projects!$B$23*INDEX(Curves!$B$4:$AR$4,1,57-Projects!$C$23+1),0)+IF(AND(Projects!$G$24="Yes",Projects!$X$24="Yes",Projects!$M$24="Yes",57&gt;=Projects!$C$24,57&lt;Projects!$C$24+Projects!$D$24),Projects!$B$24*INDEX(Curves!$B$4:$AR$4,1,57-Projects!$C$24+1),0)+IF(AND(Projects!$G$25="Yes",Projects!$X$25="Yes",Projects!$M$25="Yes",57&gt;=Projects!$C$25,57&lt;Projects!$C$25+Projects!$D$25),Projects!$B$25*INDEX(Curves!$B$4:$AR$4,1,57-Projects!$C$25+1),0)+IF(AND(Projects!$G$26="Yes",Projects!$X$26="Yes",Projects!$M$26="Yes",57&gt;=Projects!$C$26,57&lt;Projects!$C$26+Projects!$D$26),Projects!$B$26*INDEX(Curves!$B$4:$AR$4,1,57-Projects!$C$26+1),0)+IF(AND(Projects!$G$27="Yes",Projects!$X$27="Yes",Projects!$M$27="Yes",57&gt;=Projects!$C$27,57&lt;Projects!$C$27+Projects!$D$27),Projects!$B$27*INDEX(Curves!$B$4:$AR$4,1,57-Projects!$C$27+1),0)+IF(AND(Projects!$G$28="Yes",Projects!$X$28="Yes",Projects!$M$28="Yes",57&gt;=Projects!$C$28,57&lt;Projects!$C$28+Projects!$D$28),Projects!$B$28*INDEX(Curves!$B$4:$AR$4,1,57-Projects!$C$28+1),0)+IF(AND(Projects!$G$29="Yes",Projects!$X$29="Yes",Projects!$M$29="Yes",57&gt;=Projects!$C$29,57&lt;Projects!$C$29+Projects!$D$29),Projects!$B$29*INDEX(Curves!$B$4:$AR$4,1,57-Projects!$C$29+1),0)+IF(AND(Projects!$G$30="Yes",Projects!$X$30="Yes",Projects!$M$30="Yes",57&gt;=Projects!$C$30,57&lt;Projects!$C$30+Projects!$D$30),Projects!$B$30*INDEX(Curves!$B$4:$AR$4,1,57-Projects!$C$30+1),0)+IF(AND(Projects!$G$31="Yes",Projects!$X$31="Yes",Projects!$M$31="Yes",57&gt;=Projects!$C$31,57&lt;Projects!$C$31+Projects!$D$31),Projects!$B$31*INDEX(Curves!$B$4:$AR$4,1,57-Projects!$C$31+1),0)+IF(AND(Projects!$G$32="Yes",Projects!$X$32="Yes",Projects!$M$32="Yes",57&gt;=Projects!$C$32,57&lt;Projects!$C$32+Projects!$D$32),Projects!$B$32*INDEX(Curves!$B$4:$AR$4,1,57-Projects!$C$32+1),0)+IF(AND(Projects!$G$33="Yes",Projects!$X$33="Yes",Projects!$M$33="Yes",57&gt;=Projects!$C$33,57&lt;Projects!$C$33+Projects!$D$33),Projects!$B$33*INDEX(Curves!$B$4:$AR$4,1,57-Projects!$C$33+1),0)+IF(AND(Projects!$G$34="Yes",Projects!$X$34="Yes",Projects!$M$34="Yes",57&gt;=Projects!$C$34,57&lt;Projects!$C$34+Projects!$D$34),Projects!$B$34*INDEX(Curves!$B$4:$AR$4,1,57-Projects!$C$34+1),0)+IF(AND(Projects!$G$35="Yes",Projects!$X$35="Yes",Projects!$M$35="Yes",57&gt;=Projects!$C$35,57&lt;Projects!$C$35+Projects!$D$35),Projects!$B$35*INDEX(Curves!$B$4:$AR$4,1,57-Projects!$C$35+1),0)+IF(AND(Projects!$G$36="Yes",Projects!$X$36="Yes",Projects!$M$36="Yes",57&gt;=Projects!$C$36,57&lt;Projects!$C$36+Projects!$D$36),Projects!$B$36*INDEX(Curves!$B$4:$AR$4,1,57-Projects!$C$36+1),0)+IF(AND(Projects!$G$37="Yes",Projects!$X$37="Yes",Projects!$M$37="Yes",57&gt;=Projects!$C$37,57&lt;Projects!$C$37+Projects!$D$37),Projects!$B$37*INDEX(Curves!$B$4:$AR$4,1,57-Projects!$C$37+1),0)+IF(AND(Projects!$G$38="Yes",Projects!$X$38="Yes",Projects!$M$38="Yes",57&gt;=Projects!$C$38,57&lt;Projects!$C$38+Projects!$D$38),Projects!$B$38*INDEX(Curves!$B$4:$AR$4,1,57-Projects!$C$38+1),0)+IF(AND(Projects!$G$39="Yes",Projects!$X$39="Yes",Projects!$M$39="Yes",57&gt;=Projects!$C$39,57&lt;Projects!$C$39+Projects!$D$39),Projects!$B$39*INDEX(Curves!$B$4:$AR$4,1,57-Projects!$C$39+1),0)+IF(AND(Projects!$G$40="Yes",Projects!$X$40="Yes",Projects!$M$40="Yes",57&gt;=Projects!$C$40,57&lt;Projects!$C$40+Projects!$D$40),Projects!$B$40*INDEX(Curves!$B$4:$AR$4,1,57-Projects!$C$40+1),0)+IF(AND(Projects!$G$41="Yes",Projects!$X$41="Yes",Projects!$M$41="Yes",57&gt;=Projects!$C$41,57&lt;Projects!$C$41+Projects!$D$41),Projects!$B$41*INDEX(Curves!$B$4:$AR$4,1,57-Projects!$C$41+1),0)+IF(AND(Projects!$G$42="Yes",Projects!$X$42="Yes",Projects!$M$42="Yes",57&gt;=Projects!$C$42,57&lt;Projects!$C$42+Projects!$D$42),Projects!$B$42*INDEX(Curves!$B$4:$AR$4,1,57-Projects!$C$42+1),0)+IF(AND(Projects!$G$43="Yes",Projects!$X$43="Yes",Projects!$M$43="Yes",57&gt;=Projects!$C$43,57&lt;Projects!$C$43+Projects!$D$43),Projects!$B$43*INDEX(Curves!$B$4:$AR$4,1,57-Projects!$C$43+1),0)+IF(AND(Projects!$G$44="Yes",Projects!$X$44="Yes",Projects!$M$44="Yes",57&gt;=Projects!$C$44,57&lt;Projects!$C$44+Projects!$D$44),Projects!$B$44*INDEX(Curves!$B$4:$AR$4,1,57-Projects!$C$44+1),0)+IF(AND(Projects!$G$45="Yes",Projects!$X$45="Yes",Projects!$M$45="Yes",57&gt;=Projects!$C$45,57&lt;Projects!$C$45+Projects!$D$45),Projects!$B$45*INDEX(Curves!$B$4:$AR$4,1,57-Projects!$C$45+1),0)+IF(AND(Projects!$G$46="Yes",Projects!$X$46="Yes",Projects!$M$46="Yes",57&gt;=Projects!$C$46,57&lt;Projects!$C$46+Projects!$D$46),Projects!$B$46*INDEX(Curves!$B$4:$AR$4,1,57-Projects!$C$46+1),0)</f>
        <v>0</v>
      </c>
      <c r="BK101" s="298" t="n">
        <f aca="false">IF(AND(Projects!$G$17="Yes",Projects!$X$17="Yes",Projects!$M$17="Yes",58&gt;=Projects!$C$17,58&lt;Projects!$C$17+Projects!$D$17),Projects!$B$17*INDEX(Curves!$B$4:$AR$4,1,58-Projects!$C$17+1),0)+IF(AND(Projects!$G$18="Yes",Projects!$X$18="Yes",Projects!$M$18="Yes",58&gt;=Projects!$C$18,58&lt;Projects!$C$18+Projects!$D$18),Projects!$B$18*INDEX(Curves!$B$4:$AR$4,1,58-Projects!$C$18+1),0)+IF(AND(Projects!$G$19="Yes",Projects!$X$19="Yes",Projects!$M$19="Yes",58&gt;=Projects!$C$19,58&lt;Projects!$C$19+Projects!$D$19),Projects!$B$19*INDEX(Curves!$B$10:$AR$10,1,58-Projects!$C$19+1),0)+IF(AND(Projects!$G$20="Yes",Projects!$X$20="Yes",Projects!$M$20="Yes",58&gt;=Projects!$C$20,58&lt;Projects!$C$20+Projects!$D$20),Projects!$B$20*INDEX(Curves!$B$4:$AR$4,1,58-Projects!$C$20+1),0)+IF(AND(Projects!$G$21="Yes",Projects!$X$21="Yes",Projects!$M$21="Yes",58&gt;=Projects!$C$21,58&lt;Projects!$C$21+Projects!$D$21),Projects!$B$21*INDEX(Curves!$B$11:$AR$11,1,58-Projects!$C$21+1),0)+IF(AND(Projects!$G$22="Yes",Projects!$X$22="Yes",Projects!$M$22="Yes",58&gt;=Projects!$C$22,58&lt;Projects!$C$22+Projects!$D$22),Projects!$B$22*INDEX(Curves!$B$4:$AR$4,1,58-Projects!$C$22+1),0)+IF(AND(Projects!$G$23="Yes",Projects!$X$23="Yes",Projects!$M$23="Yes",58&gt;=Projects!$C$23,58&lt;Projects!$C$23+Projects!$D$23),Projects!$B$23*INDEX(Curves!$B$4:$AR$4,1,58-Projects!$C$23+1),0)+IF(AND(Projects!$G$24="Yes",Projects!$X$24="Yes",Projects!$M$24="Yes",58&gt;=Projects!$C$24,58&lt;Projects!$C$24+Projects!$D$24),Projects!$B$24*INDEX(Curves!$B$4:$AR$4,1,58-Projects!$C$24+1),0)+IF(AND(Projects!$G$25="Yes",Projects!$X$25="Yes",Projects!$M$25="Yes",58&gt;=Projects!$C$25,58&lt;Projects!$C$25+Projects!$D$25),Projects!$B$25*INDEX(Curves!$B$4:$AR$4,1,58-Projects!$C$25+1),0)+IF(AND(Projects!$G$26="Yes",Projects!$X$26="Yes",Projects!$M$26="Yes",58&gt;=Projects!$C$26,58&lt;Projects!$C$26+Projects!$D$26),Projects!$B$26*INDEX(Curves!$B$4:$AR$4,1,58-Projects!$C$26+1),0)+IF(AND(Projects!$G$27="Yes",Projects!$X$27="Yes",Projects!$M$27="Yes",58&gt;=Projects!$C$27,58&lt;Projects!$C$27+Projects!$D$27),Projects!$B$27*INDEX(Curves!$B$4:$AR$4,1,58-Projects!$C$27+1),0)+IF(AND(Projects!$G$28="Yes",Projects!$X$28="Yes",Projects!$M$28="Yes",58&gt;=Projects!$C$28,58&lt;Projects!$C$28+Projects!$D$28),Projects!$B$28*INDEX(Curves!$B$4:$AR$4,1,58-Projects!$C$28+1),0)+IF(AND(Projects!$G$29="Yes",Projects!$X$29="Yes",Projects!$M$29="Yes",58&gt;=Projects!$C$29,58&lt;Projects!$C$29+Projects!$D$29),Projects!$B$29*INDEX(Curves!$B$4:$AR$4,1,58-Projects!$C$29+1),0)+IF(AND(Projects!$G$30="Yes",Projects!$X$30="Yes",Projects!$M$30="Yes",58&gt;=Projects!$C$30,58&lt;Projects!$C$30+Projects!$D$30),Projects!$B$30*INDEX(Curves!$B$4:$AR$4,1,58-Projects!$C$30+1),0)+IF(AND(Projects!$G$31="Yes",Projects!$X$31="Yes",Projects!$M$31="Yes",58&gt;=Projects!$C$31,58&lt;Projects!$C$31+Projects!$D$31),Projects!$B$31*INDEX(Curves!$B$4:$AR$4,1,58-Projects!$C$31+1),0)+IF(AND(Projects!$G$32="Yes",Projects!$X$32="Yes",Projects!$M$32="Yes",58&gt;=Projects!$C$32,58&lt;Projects!$C$32+Projects!$D$32),Projects!$B$32*INDEX(Curves!$B$4:$AR$4,1,58-Projects!$C$32+1),0)+IF(AND(Projects!$G$33="Yes",Projects!$X$33="Yes",Projects!$M$33="Yes",58&gt;=Projects!$C$33,58&lt;Projects!$C$33+Projects!$D$33),Projects!$B$33*INDEX(Curves!$B$4:$AR$4,1,58-Projects!$C$33+1),0)+IF(AND(Projects!$G$34="Yes",Projects!$X$34="Yes",Projects!$M$34="Yes",58&gt;=Projects!$C$34,58&lt;Projects!$C$34+Projects!$D$34),Projects!$B$34*INDEX(Curves!$B$4:$AR$4,1,58-Projects!$C$34+1),0)+IF(AND(Projects!$G$35="Yes",Projects!$X$35="Yes",Projects!$M$35="Yes",58&gt;=Projects!$C$35,58&lt;Projects!$C$35+Projects!$D$35),Projects!$B$35*INDEX(Curves!$B$4:$AR$4,1,58-Projects!$C$35+1),0)+IF(AND(Projects!$G$36="Yes",Projects!$X$36="Yes",Projects!$M$36="Yes",58&gt;=Projects!$C$36,58&lt;Projects!$C$36+Projects!$D$36),Projects!$B$36*INDEX(Curves!$B$4:$AR$4,1,58-Projects!$C$36+1),0)+IF(AND(Projects!$G$37="Yes",Projects!$X$37="Yes",Projects!$M$37="Yes",58&gt;=Projects!$C$37,58&lt;Projects!$C$37+Projects!$D$37),Projects!$B$37*INDEX(Curves!$B$4:$AR$4,1,58-Projects!$C$37+1),0)+IF(AND(Projects!$G$38="Yes",Projects!$X$38="Yes",Projects!$M$38="Yes",58&gt;=Projects!$C$38,58&lt;Projects!$C$38+Projects!$D$38),Projects!$B$38*INDEX(Curves!$B$4:$AR$4,1,58-Projects!$C$38+1),0)+IF(AND(Projects!$G$39="Yes",Projects!$X$39="Yes",Projects!$M$39="Yes",58&gt;=Projects!$C$39,58&lt;Projects!$C$39+Projects!$D$39),Projects!$B$39*INDEX(Curves!$B$4:$AR$4,1,58-Projects!$C$39+1),0)+IF(AND(Projects!$G$40="Yes",Projects!$X$40="Yes",Projects!$M$40="Yes",58&gt;=Projects!$C$40,58&lt;Projects!$C$40+Projects!$D$40),Projects!$B$40*INDEX(Curves!$B$4:$AR$4,1,58-Projects!$C$40+1),0)+IF(AND(Projects!$G$41="Yes",Projects!$X$41="Yes",Projects!$M$41="Yes",58&gt;=Projects!$C$41,58&lt;Projects!$C$41+Projects!$D$41),Projects!$B$41*INDEX(Curves!$B$4:$AR$4,1,58-Projects!$C$41+1),0)+IF(AND(Projects!$G$42="Yes",Projects!$X$42="Yes",Projects!$M$42="Yes",58&gt;=Projects!$C$42,58&lt;Projects!$C$42+Projects!$D$42),Projects!$B$42*INDEX(Curves!$B$4:$AR$4,1,58-Projects!$C$42+1),0)+IF(AND(Projects!$G$43="Yes",Projects!$X$43="Yes",Projects!$M$43="Yes",58&gt;=Projects!$C$43,58&lt;Projects!$C$43+Projects!$D$43),Projects!$B$43*INDEX(Curves!$B$4:$AR$4,1,58-Projects!$C$43+1),0)+IF(AND(Projects!$G$44="Yes",Projects!$X$44="Yes",Projects!$M$44="Yes",58&gt;=Projects!$C$44,58&lt;Projects!$C$44+Projects!$D$44),Projects!$B$44*INDEX(Curves!$B$4:$AR$4,1,58-Projects!$C$44+1),0)+IF(AND(Projects!$G$45="Yes",Projects!$X$45="Yes",Projects!$M$45="Yes",58&gt;=Projects!$C$45,58&lt;Projects!$C$45+Projects!$D$45),Projects!$B$45*INDEX(Curves!$B$4:$AR$4,1,58-Projects!$C$45+1),0)+IF(AND(Projects!$G$46="Yes",Projects!$X$46="Yes",Projects!$M$46="Yes",58&gt;=Projects!$C$46,58&lt;Projects!$C$46+Projects!$D$46),Projects!$B$46*INDEX(Curves!$B$4:$AR$4,1,58-Projects!$C$46+1),0)</f>
        <v>0</v>
      </c>
      <c r="BL101" s="298" t="n">
        <f aca="false">IF(AND(Projects!$G$17="Yes",Projects!$X$17="Yes",Projects!$M$17="Yes",59&gt;=Projects!$C$17,59&lt;Projects!$C$17+Projects!$D$17),Projects!$B$17*INDEX(Curves!$B$4:$AR$4,1,59-Projects!$C$17+1),0)+IF(AND(Projects!$G$18="Yes",Projects!$X$18="Yes",Projects!$M$18="Yes",59&gt;=Projects!$C$18,59&lt;Projects!$C$18+Projects!$D$18),Projects!$B$18*INDEX(Curves!$B$4:$AR$4,1,59-Projects!$C$18+1),0)+IF(AND(Projects!$G$19="Yes",Projects!$X$19="Yes",Projects!$M$19="Yes",59&gt;=Projects!$C$19,59&lt;Projects!$C$19+Projects!$D$19),Projects!$B$19*INDEX(Curves!$B$10:$AR$10,1,59-Projects!$C$19+1),0)+IF(AND(Projects!$G$20="Yes",Projects!$X$20="Yes",Projects!$M$20="Yes",59&gt;=Projects!$C$20,59&lt;Projects!$C$20+Projects!$D$20),Projects!$B$20*INDEX(Curves!$B$4:$AR$4,1,59-Projects!$C$20+1),0)+IF(AND(Projects!$G$21="Yes",Projects!$X$21="Yes",Projects!$M$21="Yes",59&gt;=Projects!$C$21,59&lt;Projects!$C$21+Projects!$D$21),Projects!$B$21*INDEX(Curves!$B$11:$AR$11,1,59-Projects!$C$21+1),0)+IF(AND(Projects!$G$22="Yes",Projects!$X$22="Yes",Projects!$M$22="Yes",59&gt;=Projects!$C$22,59&lt;Projects!$C$22+Projects!$D$22),Projects!$B$22*INDEX(Curves!$B$4:$AR$4,1,59-Projects!$C$22+1),0)+IF(AND(Projects!$G$23="Yes",Projects!$X$23="Yes",Projects!$M$23="Yes",59&gt;=Projects!$C$23,59&lt;Projects!$C$23+Projects!$D$23),Projects!$B$23*INDEX(Curves!$B$4:$AR$4,1,59-Projects!$C$23+1),0)+IF(AND(Projects!$G$24="Yes",Projects!$X$24="Yes",Projects!$M$24="Yes",59&gt;=Projects!$C$24,59&lt;Projects!$C$24+Projects!$D$24),Projects!$B$24*INDEX(Curves!$B$4:$AR$4,1,59-Projects!$C$24+1),0)+IF(AND(Projects!$G$25="Yes",Projects!$X$25="Yes",Projects!$M$25="Yes",59&gt;=Projects!$C$25,59&lt;Projects!$C$25+Projects!$D$25),Projects!$B$25*INDEX(Curves!$B$4:$AR$4,1,59-Projects!$C$25+1),0)+IF(AND(Projects!$G$26="Yes",Projects!$X$26="Yes",Projects!$M$26="Yes",59&gt;=Projects!$C$26,59&lt;Projects!$C$26+Projects!$D$26),Projects!$B$26*INDEX(Curves!$B$4:$AR$4,1,59-Projects!$C$26+1),0)+IF(AND(Projects!$G$27="Yes",Projects!$X$27="Yes",Projects!$M$27="Yes",59&gt;=Projects!$C$27,59&lt;Projects!$C$27+Projects!$D$27),Projects!$B$27*INDEX(Curves!$B$4:$AR$4,1,59-Projects!$C$27+1),0)+IF(AND(Projects!$G$28="Yes",Projects!$X$28="Yes",Projects!$M$28="Yes",59&gt;=Projects!$C$28,59&lt;Projects!$C$28+Projects!$D$28),Projects!$B$28*INDEX(Curves!$B$4:$AR$4,1,59-Projects!$C$28+1),0)+IF(AND(Projects!$G$29="Yes",Projects!$X$29="Yes",Projects!$M$29="Yes",59&gt;=Projects!$C$29,59&lt;Projects!$C$29+Projects!$D$29),Projects!$B$29*INDEX(Curves!$B$4:$AR$4,1,59-Projects!$C$29+1),0)+IF(AND(Projects!$G$30="Yes",Projects!$X$30="Yes",Projects!$M$30="Yes",59&gt;=Projects!$C$30,59&lt;Projects!$C$30+Projects!$D$30),Projects!$B$30*INDEX(Curves!$B$4:$AR$4,1,59-Projects!$C$30+1),0)+IF(AND(Projects!$G$31="Yes",Projects!$X$31="Yes",Projects!$M$31="Yes",59&gt;=Projects!$C$31,59&lt;Projects!$C$31+Projects!$D$31),Projects!$B$31*INDEX(Curves!$B$4:$AR$4,1,59-Projects!$C$31+1),0)+IF(AND(Projects!$G$32="Yes",Projects!$X$32="Yes",Projects!$M$32="Yes",59&gt;=Projects!$C$32,59&lt;Projects!$C$32+Projects!$D$32),Projects!$B$32*INDEX(Curves!$B$4:$AR$4,1,59-Projects!$C$32+1),0)+IF(AND(Projects!$G$33="Yes",Projects!$X$33="Yes",Projects!$M$33="Yes",59&gt;=Projects!$C$33,59&lt;Projects!$C$33+Projects!$D$33),Projects!$B$33*INDEX(Curves!$B$4:$AR$4,1,59-Projects!$C$33+1),0)+IF(AND(Projects!$G$34="Yes",Projects!$X$34="Yes",Projects!$M$34="Yes",59&gt;=Projects!$C$34,59&lt;Projects!$C$34+Projects!$D$34),Projects!$B$34*INDEX(Curves!$B$4:$AR$4,1,59-Projects!$C$34+1),0)+IF(AND(Projects!$G$35="Yes",Projects!$X$35="Yes",Projects!$M$35="Yes",59&gt;=Projects!$C$35,59&lt;Projects!$C$35+Projects!$D$35),Projects!$B$35*INDEX(Curves!$B$4:$AR$4,1,59-Projects!$C$35+1),0)+IF(AND(Projects!$G$36="Yes",Projects!$X$36="Yes",Projects!$M$36="Yes",59&gt;=Projects!$C$36,59&lt;Projects!$C$36+Projects!$D$36),Projects!$B$36*INDEX(Curves!$B$4:$AR$4,1,59-Projects!$C$36+1),0)+IF(AND(Projects!$G$37="Yes",Projects!$X$37="Yes",Projects!$M$37="Yes",59&gt;=Projects!$C$37,59&lt;Projects!$C$37+Projects!$D$37),Projects!$B$37*INDEX(Curves!$B$4:$AR$4,1,59-Projects!$C$37+1),0)+IF(AND(Projects!$G$38="Yes",Projects!$X$38="Yes",Projects!$M$38="Yes",59&gt;=Projects!$C$38,59&lt;Projects!$C$38+Projects!$D$38),Projects!$B$38*INDEX(Curves!$B$4:$AR$4,1,59-Projects!$C$38+1),0)+IF(AND(Projects!$G$39="Yes",Projects!$X$39="Yes",Projects!$M$39="Yes",59&gt;=Projects!$C$39,59&lt;Projects!$C$39+Projects!$D$39),Projects!$B$39*INDEX(Curves!$B$4:$AR$4,1,59-Projects!$C$39+1),0)+IF(AND(Projects!$G$40="Yes",Projects!$X$40="Yes",Projects!$M$40="Yes",59&gt;=Projects!$C$40,59&lt;Projects!$C$40+Projects!$D$40),Projects!$B$40*INDEX(Curves!$B$4:$AR$4,1,59-Projects!$C$40+1),0)+IF(AND(Projects!$G$41="Yes",Projects!$X$41="Yes",Projects!$M$41="Yes",59&gt;=Projects!$C$41,59&lt;Projects!$C$41+Projects!$D$41),Projects!$B$41*INDEX(Curves!$B$4:$AR$4,1,59-Projects!$C$41+1),0)+IF(AND(Projects!$G$42="Yes",Projects!$X$42="Yes",Projects!$M$42="Yes",59&gt;=Projects!$C$42,59&lt;Projects!$C$42+Projects!$D$42),Projects!$B$42*INDEX(Curves!$B$4:$AR$4,1,59-Projects!$C$42+1),0)+IF(AND(Projects!$G$43="Yes",Projects!$X$43="Yes",Projects!$M$43="Yes",59&gt;=Projects!$C$43,59&lt;Projects!$C$43+Projects!$D$43),Projects!$B$43*INDEX(Curves!$B$4:$AR$4,1,59-Projects!$C$43+1),0)+IF(AND(Projects!$G$44="Yes",Projects!$X$44="Yes",Projects!$M$44="Yes",59&gt;=Projects!$C$44,59&lt;Projects!$C$44+Projects!$D$44),Projects!$B$44*INDEX(Curves!$B$4:$AR$4,1,59-Projects!$C$44+1),0)+IF(AND(Projects!$G$45="Yes",Projects!$X$45="Yes",Projects!$M$45="Yes",59&gt;=Projects!$C$45,59&lt;Projects!$C$45+Projects!$D$45),Projects!$B$45*INDEX(Curves!$B$4:$AR$4,1,59-Projects!$C$45+1),0)+IF(AND(Projects!$G$46="Yes",Projects!$X$46="Yes",Projects!$M$46="Yes",59&gt;=Projects!$C$46,59&lt;Projects!$C$46+Projects!$D$46),Projects!$B$46*INDEX(Curves!$B$4:$AR$4,1,59-Projects!$C$46+1),0)</f>
        <v>0</v>
      </c>
      <c r="BM101" s="298" t="n">
        <f aca="false">IF(AND(Projects!$G$17="Yes",Projects!$X$17="Yes",Projects!$M$17="Yes",60&gt;=Projects!$C$17,60&lt;Projects!$C$17+Projects!$D$17),Projects!$B$17*INDEX(Curves!$B$4:$AR$4,1,60-Projects!$C$17+1),0)+IF(AND(Projects!$G$18="Yes",Projects!$X$18="Yes",Projects!$M$18="Yes",60&gt;=Projects!$C$18,60&lt;Projects!$C$18+Projects!$D$18),Projects!$B$18*INDEX(Curves!$B$4:$AR$4,1,60-Projects!$C$18+1),0)+IF(AND(Projects!$G$19="Yes",Projects!$X$19="Yes",Projects!$M$19="Yes",60&gt;=Projects!$C$19,60&lt;Projects!$C$19+Projects!$D$19),Projects!$B$19*INDEX(Curves!$B$10:$AR$10,1,60-Projects!$C$19+1),0)+IF(AND(Projects!$G$20="Yes",Projects!$X$20="Yes",Projects!$M$20="Yes",60&gt;=Projects!$C$20,60&lt;Projects!$C$20+Projects!$D$20),Projects!$B$20*INDEX(Curves!$B$4:$AR$4,1,60-Projects!$C$20+1),0)+IF(AND(Projects!$G$21="Yes",Projects!$X$21="Yes",Projects!$M$21="Yes",60&gt;=Projects!$C$21,60&lt;Projects!$C$21+Projects!$D$21),Projects!$B$21*INDEX(Curves!$B$11:$AR$11,1,60-Projects!$C$21+1),0)+IF(AND(Projects!$G$22="Yes",Projects!$X$22="Yes",Projects!$M$22="Yes",60&gt;=Projects!$C$22,60&lt;Projects!$C$22+Projects!$D$22),Projects!$B$22*INDEX(Curves!$B$4:$AR$4,1,60-Projects!$C$22+1),0)+IF(AND(Projects!$G$23="Yes",Projects!$X$23="Yes",Projects!$M$23="Yes",60&gt;=Projects!$C$23,60&lt;Projects!$C$23+Projects!$D$23),Projects!$B$23*INDEX(Curves!$B$4:$AR$4,1,60-Projects!$C$23+1),0)+IF(AND(Projects!$G$24="Yes",Projects!$X$24="Yes",Projects!$M$24="Yes",60&gt;=Projects!$C$24,60&lt;Projects!$C$24+Projects!$D$24),Projects!$B$24*INDEX(Curves!$B$4:$AR$4,1,60-Projects!$C$24+1),0)+IF(AND(Projects!$G$25="Yes",Projects!$X$25="Yes",Projects!$M$25="Yes",60&gt;=Projects!$C$25,60&lt;Projects!$C$25+Projects!$D$25),Projects!$B$25*INDEX(Curves!$B$4:$AR$4,1,60-Projects!$C$25+1),0)+IF(AND(Projects!$G$26="Yes",Projects!$X$26="Yes",Projects!$M$26="Yes",60&gt;=Projects!$C$26,60&lt;Projects!$C$26+Projects!$D$26),Projects!$B$26*INDEX(Curves!$B$4:$AR$4,1,60-Projects!$C$26+1),0)+IF(AND(Projects!$G$27="Yes",Projects!$X$27="Yes",Projects!$M$27="Yes",60&gt;=Projects!$C$27,60&lt;Projects!$C$27+Projects!$D$27),Projects!$B$27*INDEX(Curves!$B$4:$AR$4,1,60-Projects!$C$27+1),0)+IF(AND(Projects!$G$28="Yes",Projects!$X$28="Yes",Projects!$M$28="Yes",60&gt;=Projects!$C$28,60&lt;Projects!$C$28+Projects!$D$28),Projects!$B$28*INDEX(Curves!$B$4:$AR$4,1,60-Projects!$C$28+1),0)+IF(AND(Projects!$G$29="Yes",Projects!$X$29="Yes",Projects!$M$29="Yes",60&gt;=Projects!$C$29,60&lt;Projects!$C$29+Projects!$D$29),Projects!$B$29*INDEX(Curves!$B$4:$AR$4,1,60-Projects!$C$29+1),0)+IF(AND(Projects!$G$30="Yes",Projects!$X$30="Yes",Projects!$M$30="Yes",60&gt;=Projects!$C$30,60&lt;Projects!$C$30+Projects!$D$30),Projects!$B$30*INDEX(Curves!$B$4:$AR$4,1,60-Projects!$C$30+1),0)+IF(AND(Projects!$G$31="Yes",Projects!$X$31="Yes",Projects!$M$31="Yes",60&gt;=Projects!$C$31,60&lt;Projects!$C$31+Projects!$D$31),Projects!$B$31*INDEX(Curves!$B$4:$AR$4,1,60-Projects!$C$31+1),0)+IF(AND(Projects!$G$32="Yes",Projects!$X$32="Yes",Projects!$M$32="Yes",60&gt;=Projects!$C$32,60&lt;Projects!$C$32+Projects!$D$32),Projects!$B$32*INDEX(Curves!$B$4:$AR$4,1,60-Projects!$C$32+1),0)+IF(AND(Projects!$G$33="Yes",Projects!$X$33="Yes",Projects!$M$33="Yes",60&gt;=Projects!$C$33,60&lt;Projects!$C$33+Projects!$D$33),Projects!$B$33*INDEX(Curves!$B$4:$AR$4,1,60-Projects!$C$33+1),0)+IF(AND(Projects!$G$34="Yes",Projects!$X$34="Yes",Projects!$M$34="Yes",60&gt;=Projects!$C$34,60&lt;Projects!$C$34+Projects!$D$34),Projects!$B$34*INDEX(Curves!$B$4:$AR$4,1,60-Projects!$C$34+1),0)+IF(AND(Projects!$G$35="Yes",Projects!$X$35="Yes",Projects!$M$35="Yes",60&gt;=Projects!$C$35,60&lt;Projects!$C$35+Projects!$D$35),Projects!$B$35*INDEX(Curves!$B$4:$AR$4,1,60-Projects!$C$35+1),0)+IF(AND(Projects!$G$36="Yes",Projects!$X$36="Yes",Projects!$M$36="Yes",60&gt;=Projects!$C$36,60&lt;Projects!$C$36+Projects!$D$36),Projects!$B$36*INDEX(Curves!$B$4:$AR$4,1,60-Projects!$C$36+1),0)+IF(AND(Projects!$G$37="Yes",Projects!$X$37="Yes",Projects!$M$37="Yes",60&gt;=Projects!$C$37,60&lt;Projects!$C$37+Projects!$D$37),Projects!$B$37*INDEX(Curves!$B$4:$AR$4,1,60-Projects!$C$37+1),0)+IF(AND(Projects!$G$38="Yes",Projects!$X$38="Yes",Projects!$M$38="Yes",60&gt;=Projects!$C$38,60&lt;Projects!$C$38+Projects!$D$38),Projects!$B$38*INDEX(Curves!$B$4:$AR$4,1,60-Projects!$C$38+1),0)+IF(AND(Projects!$G$39="Yes",Projects!$X$39="Yes",Projects!$M$39="Yes",60&gt;=Projects!$C$39,60&lt;Projects!$C$39+Projects!$D$39),Projects!$B$39*INDEX(Curves!$B$4:$AR$4,1,60-Projects!$C$39+1),0)+IF(AND(Projects!$G$40="Yes",Projects!$X$40="Yes",Projects!$M$40="Yes",60&gt;=Projects!$C$40,60&lt;Projects!$C$40+Projects!$D$40),Projects!$B$40*INDEX(Curves!$B$4:$AR$4,1,60-Projects!$C$40+1),0)+IF(AND(Projects!$G$41="Yes",Projects!$X$41="Yes",Projects!$M$41="Yes",60&gt;=Projects!$C$41,60&lt;Projects!$C$41+Projects!$D$41),Projects!$B$41*INDEX(Curves!$B$4:$AR$4,1,60-Projects!$C$41+1),0)+IF(AND(Projects!$G$42="Yes",Projects!$X$42="Yes",Projects!$M$42="Yes",60&gt;=Projects!$C$42,60&lt;Projects!$C$42+Projects!$D$42),Projects!$B$42*INDEX(Curves!$B$4:$AR$4,1,60-Projects!$C$42+1),0)+IF(AND(Projects!$G$43="Yes",Projects!$X$43="Yes",Projects!$M$43="Yes",60&gt;=Projects!$C$43,60&lt;Projects!$C$43+Projects!$D$43),Projects!$B$43*INDEX(Curves!$B$4:$AR$4,1,60-Projects!$C$43+1),0)+IF(AND(Projects!$G$44="Yes",Projects!$X$44="Yes",Projects!$M$44="Yes",60&gt;=Projects!$C$44,60&lt;Projects!$C$44+Projects!$D$44),Projects!$B$44*INDEX(Curves!$B$4:$AR$4,1,60-Projects!$C$44+1),0)+IF(AND(Projects!$G$45="Yes",Projects!$X$45="Yes",Projects!$M$45="Yes",60&gt;=Projects!$C$45,60&lt;Projects!$C$45+Projects!$D$45),Projects!$B$45*INDEX(Curves!$B$4:$AR$4,1,60-Projects!$C$45+1),0)+IF(AND(Projects!$G$46="Yes",Projects!$X$46="Yes",Projects!$M$46="Yes",60&gt;=Projects!$C$46,60&lt;Projects!$C$46+Projects!$D$46),Projects!$B$46*INDEX(Curves!$B$4:$AR$4,1,60-Projects!$C$46+1),0)</f>
        <v>0</v>
      </c>
      <c r="BN101" s="298" t="n">
        <f aca="false">IF(AND(Projects!$G$17="Yes",Projects!$X$17="Yes",Projects!$M$17="Yes",61&gt;=Projects!$C$17,61&lt;Projects!$C$17+Projects!$D$17),Projects!$B$17*INDEX(Curves!$B$4:$AR$4,1,61-Projects!$C$17+1),0)+IF(AND(Projects!$G$18="Yes",Projects!$X$18="Yes",Projects!$M$18="Yes",61&gt;=Projects!$C$18,61&lt;Projects!$C$18+Projects!$D$18),Projects!$B$18*INDEX(Curves!$B$4:$AR$4,1,61-Projects!$C$18+1),0)+IF(AND(Projects!$G$19="Yes",Projects!$X$19="Yes",Projects!$M$19="Yes",61&gt;=Projects!$C$19,61&lt;Projects!$C$19+Projects!$D$19),Projects!$B$19*INDEX(Curves!$B$10:$AR$10,1,61-Projects!$C$19+1),0)+IF(AND(Projects!$G$20="Yes",Projects!$X$20="Yes",Projects!$M$20="Yes",61&gt;=Projects!$C$20,61&lt;Projects!$C$20+Projects!$D$20),Projects!$B$20*INDEX(Curves!$B$4:$AR$4,1,61-Projects!$C$20+1),0)+IF(AND(Projects!$G$21="Yes",Projects!$X$21="Yes",Projects!$M$21="Yes",61&gt;=Projects!$C$21,61&lt;Projects!$C$21+Projects!$D$21),Projects!$B$21*INDEX(Curves!$B$11:$AR$11,1,61-Projects!$C$21+1),0)+IF(AND(Projects!$G$22="Yes",Projects!$X$22="Yes",Projects!$M$22="Yes",61&gt;=Projects!$C$22,61&lt;Projects!$C$22+Projects!$D$22),Projects!$B$22*INDEX(Curves!$B$4:$AR$4,1,61-Projects!$C$22+1),0)+IF(AND(Projects!$G$23="Yes",Projects!$X$23="Yes",Projects!$M$23="Yes",61&gt;=Projects!$C$23,61&lt;Projects!$C$23+Projects!$D$23),Projects!$B$23*INDEX(Curves!$B$4:$AR$4,1,61-Projects!$C$23+1),0)+IF(AND(Projects!$G$24="Yes",Projects!$X$24="Yes",Projects!$M$24="Yes",61&gt;=Projects!$C$24,61&lt;Projects!$C$24+Projects!$D$24),Projects!$B$24*INDEX(Curves!$B$4:$AR$4,1,61-Projects!$C$24+1),0)+IF(AND(Projects!$G$25="Yes",Projects!$X$25="Yes",Projects!$M$25="Yes",61&gt;=Projects!$C$25,61&lt;Projects!$C$25+Projects!$D$25),Projects!$B$25*INDEX(Curves!$B$4:$AR$4,1,61-Projects!$C$25+1),0)+IF(AND(Projects!$G$26="Yes",Projects!$X$26="Yes",Projects!$M$26="Yes",61&gt;=Projects!$C$26,61&lt;Projects!$C$26+Projects!$D$26),Projects!$B$26*INDEX(Curves!$B$4:$AR$4,1,61-Projects!$C$26+1),0)+IF(AND(Projects!$G$27="Yes",Projects!$X$27="Yes",Projects!$M$27="Yes",61&gt;=Projects!$C$27,61&lt;Projects!$C$27+Projects!$D$27),Projects!$B$27*INDEX(Curves!$B$4:$AR$4,1,61-Projects!$C$27+1),0)+IF(AND(Projects!$G$28="Yes",Projects!$X$28="Yes",Projects!$M$28="Yes",61&gt;=Projects!$C$28,61&lt;Projects!$C$28+Projects!$D$28),Projects!$B$28*INDEX(Curves!$B$4:$AR$4,1,61-Projects!$C$28+1),0)+IF(AND(Projects!$G$29="Yes",Projects!$X$29="Yes",Projects!$M$29="Yes",61&gt;=Projects!$C$29,61&lt;Projects!$C$29+Projects!$D$29),Projects!$B$29*INDEX(Curves!$B$4:$AR$4,1,61-Projects!$C$29+1),0)+IF(AND(Projects!$G$30="Yes",Projects!$X$30="Yes",Projects!$M$30="Yes",61&gt;=Projects!$C$30,61&lt;Projects!$C$30+Projects!$D$30),Projects!$B$30*INDEX(Curves!$B$4:$AR$4,1,61-Projects!$C$30+1),0)+IF(AND(Projects!$G$31="Yes",Projects!$X$31="Yes",Projects!$M$31="Yes",61&gt;=Projects!$C$31,61&lt;Projects!$C$31+Projects!$D$31),Projects!$B$31*INDEX(Curves!$B$4:$AR$4,1,61-Projects!$C$31+1),0)+IF(AND(Projects!$G$32="Yes",Projects!$X$32="Yes",Projects!$M$32="Yes",61&gt;=Projects!$C$32,61&lt;Projects!$C$32+Projects!$D$32),Projects!$B$32*INDEX(Curves!$B$4:$AR$4,1,61-Projects!$C$32+1),0)+IF(AND(Projects!$G$33="Yes",Projects!$X$33="Yes",Projects!$M$33="Yes",61&gt;=Projects!$C$33,61&lt;Projects!$C$33+Projects!$D$33),Projects!$B$33*INDEX(Curves!$B$4:$AR$4,1,61-Projects!$C$33+1),0)+IF(AND(Projects!$G$34="Yes",Projects!$X$34="Yes",Projects!$M$34="Yes",61&gt;=Projects!$C$34,61&lt;Projects!$C$34+Projects!$D$34),Projects!$B$34*INDEX(Curves!$B$4:$AR$4,1,61-Projects!$C$34+1),0)+IF(AND(Projects!$G$35="Yes",Projects!$X$35="Yes",Projects!$M$35="Yes",61&gt;=Projects!$C$35,61&lt;Projects!$C$35+Projects!$D$35),Projects!$B$35*INDEX(Curves!$B$4:$AR$4,1,61-Projects!$C$35+1),0)+IF(AND(Projects!$G$36="Yes",Projects!$X$36="Yes",Projects!$M$36="Yes",61&gt;=Projects!$C$36,61&lt;Projects!$C$36+Projects!$D$36),Projects!$B$36*INDEX(Curves!$B$4:$AR$4,1,61-Projects!$C$36+1),0)+IF(AND(Projects!$G$37="Yes",Projects!$X$37="Yes",Projects!$M$37="Yes",61&gt;=Projects!$C$37,61&lt;Projects!$C$37+Projects!$D$37),Projects!$B$37*INDEX(Curves!$B$4:$AR$4,1,61-Projects!$C$37+1),0)+IF(AND(Projects!$G$38="Yes",Projects!$X$38="Yes",Projects!$M$38="Yes",61&gt;=Projects!$C$38,61&lt;Projects!$C$38+Projects!$D$38),Projects!$B$38*INDEX(Curves!$B$4:$AR$4,1,61-Projects!$C$38+1),0)+IF(AND(Projects!$G$39="Yes",Projects!$X$39="Yes",Projects!$M$39="Yes",61&gt;=Projects!$C$39,61&lt;Projects!$C$39+Projects!$D$39),Projects!$B$39*INDEX(Curves!$B$4:$AR$4,1,61-Projects!$C$39+1),0)+IF(AND(Projects!$G$40="Yes",Projects!$X$40="Yes",Projects!$M$40="Yes",61&gt;=Projects!$C$40,61&lt;Projects!$C$40+Projects!$D$40),Projects!$B$40*INDEX(Curves!$B$4:$AR$4,1,61-Projects!$C$40+1),0)+IF(AND(Projects!$G$41="Yes",Projects!$X$41="Yes",Projects!$M$41="Yes",61&gt;=Projects!$C$41,61&lt;Projects!$C$41+Projects!$D$41),Projects!$B$41*INDEX(Curves!$B$4:$AR$4,1,61-Projects!$C$41+1),0)+IF(AND(Projects!$G$42="Yes",Projects!$X$42="Yes",Projects!$M$42="Yes",61&gt;=Projects!$C$42,61&lt;Projects!$C$42+Projects!$D$42),Projects!$B$42*INDEX(Curves!$B$4:$AR$4,1,61-Projects!$C$42+1),0)+IF(AND(Projects!$G$43="Yes",Projects!$X$43="Yes",Projects!$M$43="Yes",61&gt;=Projects!$C$43,61&lt;Projects!$C$43+Projects!$D$43),Projects!$B$43*INDEX(Curves!$B$4:$AR$4,1,61-Projects!$C$43+1),0)+IF(AND(Projects!$G$44="Yes",Projects!$X$44="Yes",Projects!$M$44="Yes",61&gt;=Projects!$C$44,61&lt;Projects!$C$44+Projects!$D$44),Projects!$B$44*INDEX(Curves!$B$4:$AR$4,1,61-Projects!$C$44+1),0)+IF(AND(Projects!$G$45="Yes",Projects!$X$45="Yes",Projects!$M$45="Yes",61&gt;=Projects!$C$45,61&lt;Projects!$C$45+Projects!$D$45),Projects!$B$45*INDEX(Curves!$B$4:$AR$4,1,61-Projects!$C$45+1),0)+IF(AND(Projects!$G$46="Yes",Projects!$X$46="Yes",Projects!$M$46="Yes",61&gt;=Projects!$C$46,61&lt;Projects!$C$46+Projects!$D$46),Projects!$B$46*INDEX(Curves!$B$4:$AR$4,1,61-Projects!$C$46+1),0)</f>
        <v>0</v>
      </c>
      <c r="BO101" s="298" t="n">
        <f aca="false">IF(AND(Projects!$G$17="Yes",Projects!$X$17="Yes",Projects!$M$17="Yes",62&gt;=Projects!$C$17,62&lt;Projects!$C$17+Projects!$D$17),Projects!$B$17*INDEX(Curves!$B$4:$AR$4,1,62-Projects!$C$17+1),0)+IF(AND(Projects!$G$18="Yes",Projects!$X$18="Yes",Projects!$M$18="Yes",62&gt;=Projects!$C$18,62&lt;Projects!$C$18+Projects!$D$18),Projects!$B$18*INDEX(Curves!$B$4:$AR$4,1,62-Projects!$C$18+1),0)+IF(AND(Projects!$G$19="Yes",Projects!$X$19="Yes",Projects!$M$19="Yes",62&gt;=Projects!$C$19,62&lt;Projects!$C$19+Projects!$D$19),Projects!$B$19*INDEX(Curves!$B$10:$AR$10,1,62-Projects!$C$19+1),0)+IF(AND(Projects!$G$20="Yes",Projects!$X$20="Yes",Projects!$M$20="Yes",62&gt;=Projects!$C$20,62&lt;Projects!$C$20+Projects!$D$20),Projects!$B$20*INDEX(Curves!$B$4:$AR$4,1,62-Projects!$C$20+1),0)+IF(AND(Projects!$G$21="Yes",Projects!$X$21="Yes",Projects!$M$21="Yes",62&gt;=Projects!$C$21,62&lt;Projects!$C$21+Projects!$D$21),Projects!$B$21*INDEX(Curves!$B$11:$AR$11,1,62-Projects!$C$21+1),0)+IF(AND(Projects!$G$22="Yes",Projects!$X$22="Yes",Projects!$M$22="Yes",62&gt;=Projects!$C$22,62&lt;Projects!$C$22+Projects!$D$22),Projects!$B$22*INDEX(Curves!$B$4:$AR$4,1,62-Projects!$C$22+1),0)+IF(AND(Projects!$G$23="Yes",Projects!$X$23="Yes",Projects!$M$23="Yes",62&gt;=Projects!$C$23,62&lt;Projects!$C$23+Projects!$D$23),Projects!$B$23*INDEX(Curves!$B$4:$AR$4,1,62-Projects!$C$23+1),0)+IF(AND(Projects!$G$24="Yes",Projects!$X$24="Yes",Projects!$M$24="Yes",62&gt;=Projects!$C$24,62&lt;Projects!$C$24+Projects!$D$24),Projects!$B$24*INDEX(Curves!$B$4:$AR$4,1,62-Projects!$C$24+1),0)+IF(AND(Projects!$G$25="Yes",Projects!$X$25="Yes",Projects!$M$25="Yes",62&gt;=Projects!$C$25,62&lt;Projects!$C$25+Projects!$D$25),Projects!$B$25*INDEX(Curves!$B$4:$AR$4,1,62-Projects!$C$25+1),0)+IF(AND(Projects!$G$26="Yes",Projects!$X$26="Yes",Projects!$M$26="Yes",62&gt;=Projects!$C$26,62&lt;Projects!$C$26+Projects!$D$26),Projects!$B$26*INDEX(Curves!$B$4:$AR$4,1,62-Projects!$C$26+1),0)+IF(AND(Projects!$G$27="Yes",Projects!$X$27="Yes",Projects!$M$27="Yes",62&gt;=Projects!$C$27,62&lt;Projects!$C$27+Projects!$D$27),Projects!$B$27*INDEX(Curves!$B$4:$AR$4,1,62-Projects!$C$27+1),0)+IF(AND(Projects!$G$28="Yes",Projects!$X$28="Yes",Projects!$M$28="Yes",62&gt;=Projects!$C$28,62&lt;Projects!$C$28+Projects!$D$28),Projects!$B$28*INDEX(Curves!$B$4:$AR$4,1,62-Projects!$C$28+1),0)+IF(AND(Projects!$G$29="Yes",Projects!$X$29="Yes",Projects!$M$29="Yes",62&gt;=Projects!$C$29,62&lt;Projects!$C$29+Projects!$D$29),Projects!$B$29*INDEX(Curves!$B$4:$AR$4,1,62-Projects!$C$29+1),0)+IF(AND(Projects!$G$30="Yes",Projects!$X$30="Yes",Projects!$M$30="Yes",62&gt;=Projects!$C$30,62&lt;Projects!$C$30+Projects!$D$30),Projects!$B$30*INDEX(Curves!$B$4:$AR$4,1,62-Projects!$C$30+1),0)+IF(AND(Projects!$G$31="Yes",Projects!$X$31="Yes",Projects!$M$31="Yes",62&gt;=Projects!$C$31,62&lt;Projects!$C$31+Projects!$D$31),Projects!$B$31*INDEX(Curves!$B$4:$AR$4,1,62-Projects!$C$31+1),0)+IF(AND(Projects!$G$32="Yes",Projects!$X$32="Yes",Projects!$M$32="Yes",62&gt;=Projects!$C$32,62&lt;Projects!$C$32+Projects!$D$32),Projects!$B$32*INDEX(Curves!$B$4:$AR$4,1,62-Projects!$C$32+1),0)+IF(AND(Projects!$G$33="Yes",Projects!$X$33="Yes",Projects!$M$33="Yes",62&gt;=Projects!$C$33,62&lt;Projects!$C$33+Projects!$D$33),Projects!$B$33*INDEX(Curves!$B$4:$AR$4,1,62-Projects!$C$33+1),0)+IF(AND(Projects!$G$34="Yes",Projects!$X$34="Yes",Projects!$M$34="Yes",62&gt;=Projects!$C$34,62&lt;Projects!$C$34+Projects!$D$34),Projects!$B$34*INDEX(Curves!$B$4:$AR$4,1,62-Projects!$C$34+1),0)+IF(AND(Projects!$G$35="Yes",Projects!$X$35="Yes",Projects!$M$35="Yes",62&gt;=Projects!$C$35,62&lt;Projects!$C$35+Projects!$D$35),Projects!$B$35*INDEX(Curves!$B$4:$AR$4,1,62-Projects!$C$35+1),0)+IF(AND(Projects!$G$36="Yes",Projects!$X$36="Yes",Projects!$M$36="Yes",62&gt;=Projects!$C$36,62&lt;Projects!$C$36+Projects!$D$36),Projects!$B$36*INDEX(Curves!$B$4:$AR$4,1,62-Projects!$C$36+1),0)+IF(AND(Projects!$G$37="Yes",Projects!$X$37="Yes",Projects!$M$37="Yes",62&gt;=Projects!$C$37,62&lt;Projects!$C$37+Projects!$D$37),Projects!$B$37*INDEX(Curves!$B$4:$AR$4,1,62-Projects!$C$37+1),0)+IF(AND(Projects!$G$38="Yes",Projects!$X$38="Yes",Projects!$M$38="Yes",62&gt;=Projects!$C$38,62&lt;Projects!$C$38+Projects!$D$38),Projects!$B$38*INDEX(Curves!$B$4:$AR$4,1,62-Projects!$C$38+1),0)+IF(AND(Projects!$G$39="Yes",Projects!$X$39="Yes",Projects!$M$39="Yes",62&gt;=Projects!$C$39,62&lt;Projects!$C$39+Projects!$D$39),Projects!$B$39*INDEX(Curves!$B$4:$AR$4,1,62-Projects!$C$39+1),0)+IF(AND(Projects!$G$40="Yes",Projects!$X$40="Yes",Projects!$M$40="Yes",62&gt;=Projects!$C$40,62&lt;Projects!$C$40+Projects!$D$40),Projects!$B$40*INDEX(Curves!$B$4:$AR$4,1,62-Projects!$C$40+1),0)+IF(AND(Projects!$G$41="Yes",Projects!$X$41="Yes",Projects!$M$41="Yes",62&gt;=Projects!$C$41,62&lt;Projects!$C$41+Projects!$D$41),Projects!$B$41*INDEX(Curves!$B$4:$AR$4,1,62-Projects!$C$41+1),0)+IF(AND(Projects!$G$42="Yes",Projects!$X$42="Yes",Projects!$M$42="Yes",62&gt;=Projects!$C$42,62&lt;Projects!$C$42+Projects!$D$42),Projects!$B$42*INDEX(Curves!$B$4:$AR$4,1,62-Projects!$C$42+1),0)+IF(AND(Projects!$G$43="Yes",Projects!$X$43="Yes",Projects!$M$43="Yes",62&gt;=Projects!$C$43,62&lt;Projects!$C$43+Projects!$D$43),Projects!$B$43*INDEX(Curves!$B$4:$AR$4,1,62-Projects!$C$43+1),0)+IF(AND(Projects!$G$44="Yes",Projects!$X$44="Yes",Projects!$M$44="Yes",62&gt;=Projects!$C$44,62&lt;Projects!$C$44+Projects!$D$44),Projects!$B$44*INDEX(Curves!$B$4:$AR$4,1,62-Projects!$C$44+1),0)+IF(AND(Projects!$G$45="Yes",Projects!$X$45="Yes",Projects!$M$45="Yes",62&gt;=Projects!$C$45,62&lt;Projects!$C$45+Projects!$D$45),Projects!$B$45*INDEX(Curves!$B$4:$AR$4,1,62-Projects!$C$45+1),0)+IF(AND(Projects!$G$46="Yes",Projects!$X$46="Yes",Projects!$M$46="Yes",62&gt;=Projects!$C$46,62&lt;Projects!$C$46+Projects!$D$46),Projects!$B$46*INDEX(Curves!$B$4:$AR$4,1,62-Projects!$C$46+1),0)</f>
        <v>0</v>
      </c>
      <c r="BP101" s="298" t="n">
        <f aca="false">IF(AND(Projects!$G$17="Yes",Projects!$X$17="Yes",Projects!$M$17="Yes",63&gt;=Projects!$C$17,63&lt;Projects!$C$17+Projects!$D$17),Projects!$B$17*INDEX(Curves!$B$4:$AR$4,1,63-Projects!$C$17+1),0)+IF(AND(Projects!$G$18="Yes",Projects!$X$18="Yes",Projects!$M$18="Yes",63&gt;=Projects!$C$18,63&lt;Projects!$C$18+Projects!$D$18),Projects!$B$18*INDEX(Curves!$B$4:$AR$4,1,63-Projects!$C$18+1),0)+IF(AND(Projects!$G$19="Yes",Projects!$X$19="Yes",Projects!$M$19="Yes",63&gt;=Projects!$C$19,63&lt;Projects!$C$19+Projects!$D$19),Projects!$B$19*INDEX(Curves!$B$10:$AR$10,1,63-Projects!$C$19+1),0)+IF(AND(Projects!$G$20="Yes",Projects!$X$20="Yes",Projects!$M$20="Yes",63&gt;=Projects!$C$20,63&lt;Projects!$C$20+Projects!$D$20),Projects!$B$20*INDEX(Curves!$B$4:$AR$4,1,63-Projects!$C$20+1),0)+IF(AND(Projects!$G$21="Yes",Projects!$X$21="Yes",Projects!$M$21="Yes",63&gt;=Projects!$C$21,63&lt;Projects!$C$21+Projects!$D$21),Projects!$B$21*INDEX(Curves!$B$11:$AR$11,1,63-Projects!$C$21+1),0)+IF(AND(Projects!$G$22="Yes",Projects!$X$22="Yes",Projects!$M$22="Yes",63&gt;=Projects!$C$22,63&lt;Projects!$C$22+Projects!$D$22),Projects!$B$22*INDEX(Curves!$B$4:$AR$4,1,63-Projects!$C$22+1),0)+IF(AND(Projects!$G$23="Yes",Projects!$X$23="Yes",Projects!$M$23="Yes",63&gt;=Projects!$C$23,63&lt;Projects!$C$23+Projects!$D$23),Projects!$B$23*INDEX(Curves!$B$4:$AR$4,1,63-Projects!$C$23+1),0)+IF(AND(Projects!$G$24="Yes",Projects!$X$24="Yes",Projects!$M$24="Yes",63&gt;=Projects!$C$24,63&lt;Projects!$C$24+Projects!$D$24),Projects!$B$24*INDEX(Curves!$B$4:$AR$4,1,63-Projects!$C$24+1),0)+IF(AND(Projects!$G$25="Yes",Projects!$X$25="Yes",Projects!$M$25="Yes",63&gt;=Projects!$C$25,63&lt;Projects!$C$25+Projects!$D$25),Projects!$B$25*INDEX(Curves!$B$4:$AR$4,1,63-Projects!$C$25+1),0)+IF(AND(Projects!$G$26="Yes",Projects!$X$26="Yes",Projects!$M$26="Yes",63&gt;=Projects!$C$26,63&lt;Projects!$C$26+Projects!$D$26),Projects!$B$26*INDEX(Curves!$B$4:$AR$4,1,63-Projects!$C$26+1),0)+IF(AND(Projects!$G$27="Yes",Projects!$X$27="Yes",Projects!$M$27="Yes",63&gt;=Projects!$C$27,63&lt;Projects!$C$27+Projects!$D$27),Projects!$B$27*INDEX(Curves!$B$4:$AR$4,1,63-Projects!$C$27+1),0)+IF(AND(Projects!$G$28="Yes",Projects!$X$28="Yes",Projects!$M$28="Yes",63&gt;=Projects!$C$28,63&lt;Projects!$C$28+Projects!$D$28),Projects!$B$28*INDEX(Curves!$B$4:$AR$4,1,63-Projects!$C$28+1),0)+IF(AND(Projects!$G$29="Yes",Projects!$X$29="Yes",Projects!$M$29="Yes",63&gt;=Projects!$C$29,63&lt;Projects!$C$29+Projects!$D$29),Projects!$B$29*INDEX(Curves!$B$4:$AR$4,1,63-Projects!$C$29+1),0)+IF(AND(Projects!$G$30="Yes",Projects!$X$30="Yes",Projects!$M$30="Yes",63&gt;=Projects!$C$30,63&lt;Projects!$C$30+Projects!$D$30),Projects!$B$30*INDEX(Curves!$B$4:$AR$4,1,63-Projects!$C$30+1),0)+IF(AND(Projects!$G$31="Yes",Projects!$X$31="Yes",Projects!$M$31="Yes",63&gt;=Projects!$C$31,63&lt;Projects!$C$31+Projects!$D$31),Projects!$B$31*INDEX(Curves!$B$4:$AR$4,1,63-Projects!$C$31+1),0)+IF(AND(Projects!$G$32="Yes",Projects!$X$32="Yes",Projects!$M$32="Yes",63&gt;=Projects!$C$32,63&lt;Projects!$C$32+Projects!$D$32),Projects!$B$32*INDEX(Curves!$B$4:$AR$4,1,63-Projects!$C$32+1),0)+IF(AND(Projects!$G$33="Yes",Projects!$X$33="Yes",Projects!$M$33="Yes",63&gt;=Projects!$C$33,63&lt;Projects!$C$33+Projects!$D$33),Projects!$B$33*INDEX(Curves!$B$4:$AR$4,1,63-Projects!$C$33+1),0)+IF(AND(Projects!$G$34="Yes",Projects!$X$34="Yes",Projects!$M$34="Yes",63&gt;=Projects!$C$34,63&lt;Projects!$C$34+Projects!$D$34),Projects!$B$34*INDEX(Curves!$B$4:$AR$4,1,63-Projects!$C$34+1),0)+IF(AND(Projects!$G$35="Yes",Projects!$X$35="Yes",Projects!$M$35="Yes",63&gt;=Projects!$C$35,63&lt;Projects!$C$35+Projects!$D$35),Projects!$B$35*INDEX(Curves!$B$4:$AR$4,1,63-Projects!$C$35+1),0)+IF(AND(Projects!$G$36="Yes",Projects!$X$36="Yes",Projects!$M$36="Yes",63&gt;=Projects!$C$36,63&lt;Projects!$C$36+Projects!$D$36),Projects!$B$36*INDEX(Curves!$B$4:$AR$4,1,63-Projects!$C$36+1),0)+IF(AND(Projects!$G$37="Yes",Projects!$X$37="Yes",Projects!$M$37="Yes",63&gt;=Projects!$C$37,63&lt;Projects!$C$37+Projects!$D$37),Projects!$B$37*INDEX(Curves!$B$4:$AR$4,1,63-Projects!$C$37+1),0)+IF(AND(Projects!$G$38="Yes",Projects!$X$38="Yes",Projects!$M$38="Yes",63&gt;=Projects!$C$38,63&lt;Projects!$C$38+Projects!$D$38),Projects!$B$38*INDEX(Curves!$B$4:$AR$4,1,63-Projects!$C$38+1),0)+IF(AND(Projects!$G$39="Yes",Projects!$X$39="Yes",Projects!$M$39="Yes",63&gt;=Projects!$C$39,63&lt;Projects!$C$39+Projects!$D$39),Projects!$B$39*INDEX(Curves!$B$4:$AR$4,1,63-Projects!$C$39+1),0)+IF(AND(Projects!$G$40="Yes",Projects!$X$40="Yes",Projects!$M$40="Yes",63&gt;=Projects!$C$40,63&lt;Projects!$C$40+Projects!$D$40),Projects!$B$40*INDEX(Curves!$B$4:$AR$4,1,63-Projects!$C$40+1),0)+IF(AND(Projects!$G$41="Yes",Projects!$X$41="Yes",Projects!$M$41="Yes",63&gt;=Projects!$C$41,63&lt;Projects!$C$41+Projects!$D$41),Projects!$B$41*INDEX(Curves!$B$4:$AR$4,1,63-Projects!$C$41+1),0)+IF(AND(Projects!$G$42="Yes",Projects!$X$42="Yes",Projects!$M$42="Yes",63&gt;=Projects!$C$42,63&lt;Projects!$C$42+Projects!$D$42),Projects!$B$42*INDEX(Curves!$B$4:$AR$4,1,63-Projects!$C$42+1),0)+IF(AND(Projects!$G$43="Yes",Projects!$X$43="Yes",Projects!$M$43="Yes",63&gt;=Projects!$C$43,63&lt;Projects!$C$43+Projects!$D$43),Projects!$B$43*INDEX(Curves!$B$4:$AR$4,1,63-Projects!$C$43+1),0)+IF(AND(Projects!$G$44="Yes",Projects!$X$44="Yes",Projects!$M$44="Yes",63&gt;=Projects!$C$44,63&lt;Projects!$C$44+Projects!$D$44),Projects!$B$44*INDEX(Curves!$B$4:$AR$4,1,63-Projects!$C$44+1),0)+IF(AND(Projects!$G$45="Yes",Projects!$X$45="Yes",Projects!$M$45="Yes",63&gt;=Projects!$C$45,63&lt;Projects!$C$45+Projects!$D$45),Projects!$B$45*INDEX(Curves!$B$4:$AR$4,1,63-Projects!$C$45+1),0)+IF(AND(Projects!$G$46="Yes",Projects!$X$46="Yes",Projects!$M$46="Yes",63&gt;=Projects!$C$46,63&lt;Projects!$C$46+Projects!$D$46),Projects!$B$46*INDEX(Curves!$B$4:$AR$4,1,63-Projects!$C$46+1),0)</f>
        <v>0</v>
      </c>
      <c r="BQ101" s="298" t="n">
        <f aca="false">IF(AND(Projects!$G$17="Yes",Projects!$X$17="Yes",Projects!$M$17="Yes",64&gt;=Projects!$C$17,64&lt;Projects!$C$17+Projects!$D$17),Projects!$B$17*INDEX(Curves!$B$4:$AR$4,1,64-Projects!$C$17+1),0)+IF(AND(Projects!$G$18="Yes",Projects!$X$18="Yes",Projects!$M$18="Yes",64&gt;=Projects!$C$18,64&lt;Projects!$C$18+Projects!$D$18),Projects!$B$18*INDEX(Curves!$B$4:$AR$4,1,64-Projects!$C$18+1),0)+IF(AND(Projects!$G$19="Yes",Projects!$X$19="Yes",Projects!$M$19="Yes",64&gt;=Projects!$C$19,64&lt;Projects!$C$19+Projects!$D$19),Projects!$B$19*INDEX(Curves!$B$10:$AR$10,1,64-Projects!$C$19+1),0)+IF(AND(Projects!$G$20="Yes",Projects!$X$20="Yes",Projects!$M$20="Yes",64&gt;=Projects!$C$20,64&lt;Projects!$C$20+Projects!$D$20),Projects!$B$20*INDEX(Curves!$B$4:$AR$4,1,64-Projects!$C$20+1),0)+IF(AND(Projects!$G$21="Yes",Projects!$X$21="Yes",Projects!$M$21="Yes",64&gt;=Projects!$C$21,64&lt;Projects!$C$21+Projects!$D$21),Projects!$B$21*INDEX(Curves!$B$11:$AR$11,1,64-Projects!$C$21+1),0)+IF(AND(Projects!$G$22="Yes",Projects!$X$22="Yes",Projects!$M$22="Yes",64&gt;=Projects!$C$22,64&lt;Projects!$C$22+Projects!$D$22),Projects!$B$22*INDEX(Curves!$B$4:$AR$4,1,64-Projects!$C$22+1),0)+IF(AND(Projects!$G$23="Yes",Projects!$X$23="Yes",Projects!$M$23="Yes",64&gt;=Projects!$C$23,64&lt;Projects!$C$23+Projects!$D$23),Projects!$B$23*INDEX(Curves!$B$4:$AR$4,1,64-Projects!$C$23+1),0)+IF(AND(Projects!$G$24="Yes",Projects!$X$24="Yes",Projects!$M$24="Yes",64&gt;=Projects!$C$24,64&lt;Projects!$C$24+Projects!$D$24),Projects!$B$24*INDEX(Curves!$B$4:$AR$4,1,64-Projects!$C$24+1),0)+IF(AND(Projects!$G$25="Yes",Projects!$X$25="Yes",Projects!$M$25="Yes",64&gt;=Projects!$C$25,64&lt;Projects!$C$25+Projects!$D$25),Projects!$B$25*INDEX(Curves!$B$4:$AR$4,1,64-Projects!$C$25+1),0)+IF(AND(Projects!$G$26="Yes",Projects!$X$26="Yes",Projects!$M$26="Yes",64&gt;=Projects!$C$26,64&lt;Projects!$C$26+Projects!$D$26),Projects!$B$26*INDEX(Curves!$B$4:$AR$4,1,64-Projects!$C$26+1),0)+IF(AND(Projects!$G$27="Yes",Projects!$X$27="Yes",Projects!$M$27="Yes",64&gt;=Projects!$C$27,64&lt;Projects!$C$27+Projects!$D$27),Projects!$B$27*INDEX(Curves!$B$4:$AR$4,1,64-Projects!$C$27+1),0)+IF(AND(Projects!$G$28="Yes",Projects!$X$28="Yes",Projects!$M$28="Yes",64&gt;=Projects!$C$28,64&lt;Projects!$C$28+Projects!$D$28),Projects!$B$28*INDEX(Curves!$B$4:$AR$4,1,64-Projects!$C$28+1),0)+IF(AND(Projects!$G$29="Yes",Projects!$X$29="Yes",Projects!$M$29="Yes",64&gt;=Projects!$C$29,64&lt;Projects!$C$29+Projects!$D$29),Projects!$B$29*INDEX(Curves!$B$4:$AR$4,1,64-Projects!$C$29+1),0)+IF(AND(Projects!$G$30="Yes",Projects!$X$30="Yes",Projects!$M$30="Yes",64&gt;=Projects!$C$30,64&lt;Projects!$C$30+Projects!$D$30),Projects!$B$30*INDEX(Curves!$B$4:$AR$4,1,64-Projects!$C$30+1),0)+IF(AND(Projects!$G$31="Yes",Projects!$X$31="Yes",Projects!$M$31="Yes",64&gt;=Projects!$C$31,64&lt;Projects!$C$31+Projects!$D$31),Projects!$B$31*INDEX(Curves!$B$4:$AR$4,1,64-Projects!$C$31+1),0)+IF(AND(Projects!$G$32="Yes",Projects!$X$32="Yes",Projects!$M$32="Yes",64&gt;=Projects!$C$32,64&lt;Projects!$C$32+Projects!$D$32),Projects!$B$32*INDEX(Curves!$B$4:$AR$4,1,64-Projects!$C$32+1),0)+IF(AND(Projects!$G$33="Yes",Projects!$X$33="Yes",Projects!$M$33="Yes",64&gt;=Projects!$C$33,64&lt;Projects!$C$33+Projects!$D$33),Projects!$B$33*INDEX(Curves!$B$4:$AR$4,1,64-Projects!$C$33+1),0)+IF(AND(Projects!$G$34="Yes",Projects!$X$34="Yes",Projects!$M$34="Yes",64&gt;=Projects!$C$34,64&lt;Projects!$C$34+Projects!$D$34),Projects!$B$34*INDEX(Curves!$B$4:$AR$4,1,64-Projects!$C$34+1),0)+IF(AND(Projects!$G$35="Yes",Projects!$X$35="Yes",Projects!$M$35="Yes",64&gt;=Projects!$C$35,64&lt;Projects!$C$35+Projects!$D$35),Projects!$B$35*INDEX(Curves!$B$4:$AR$4,1,64-Projects!$C$35+1),0)+IF(AND(Projects!$G$36="Yes",Projects!$X$36="Yes",Projects!$M$36="Yes",64&gt;=Projects!$C$36,64&lt;Projects!$C$36+Projects!$D$36),Projects!$B$36*INDEX(Curves!$B$4:$AR$4,1,64-Projects!$C$36+1),0)+IF(AND(Projects!$G$37="Yes",Projects!$X$37="Yes",Projects!$M$37="Yes",64&gt;=Projects!$C$37,64&lt;Projects!$C$37+Projects!$D$37),Projects!$B$37*INDEX(Curves!$B$4:$AR$4,1,64-Projects!$C$37+1),0)+IF(AND(Projects!$G$38="Yes",Projects!$X$38="Yes",Projects!$M$38="Yes",64&gt;=Projects!$C$38,64&lt;Projects!$C$38+Projects!$D$38),Projects!$B$38*INDEX(Curves!$B$4:$AR$4,1,64-Projects!$C$38+1),0)+IF(AND(Projects!$G$39="Yes",Projects!$X$39="Yes",Projects!$M$39="Yes",64&gt;=Projects!$C$39,64&lt;Projects!$C$39+Projects!$D$39),Projects!$B$39*INDEX(Curves!$B$4:$AR$4,1,64-Projects!$C$39+1),0)+IF(AND(Projects!$G$40="Yes",Projects!$X$40="Yes",Projects!$M$40="Yes",64&gt;=Projects!$C$40,64&lt;Projects!$C$40+Projects!$D$40),Projects!$B$40*INDEX(Curves!$B$4:$AR$4,1,64-Projects!$C$40+1),0)+IF(AND(Projects!$G$41="Yes",Projects!$X$41="Yes",Projects!$M$41="Yes",64&gt;=Projects!$C$41,64&lt;Projects!$C$41+Projects!$D$41),Projects!$B$41*INDEX(Curves!$B$4:$AR$4,1,64-Projects!$C$41+1),0)+IF(AND(Projects!$G$42="Yes",Projects!$X$42="Yes",Projects!$M$42="Yes",64&gt;=Projects!$C$42,64&lt;Projects!$C$42+Projects!$D$42),Projects!$B$42*INDEX(Curves!$B$4:$AR$4,1,64-Projects!$C$42+1),0)+IF(AND(Projects!$G$43="Yes",Projects!$X$43="Yes",Projects!$M$43="Yes",64&gt;=Projects!$C$43,64&lt;Projects!$C$43+Projects!$D$43),Projects!$B$43*INDEX(Curves!$B$4:$AR$4,1,64-Projects!$C$43+1),0)+IF(AND(Projects!$G$44="Yes",Projects!$X$44="Yes",Projects!$M$44="Yes",64&gt;=Projects!$C$44,64&lt;Projects!$C$44+Projects!$D$44),Projects!$B$44*INDEX(Curves!$B$4:$AR$4,1,64-Projects!$C$44+1),0)+IF(AND(Projects!$G$45="Yes",Projects!$X$45="Yes",Projects!$M$45="Yes",64&gt;=Projects!$C$45,64&lt;Projects!$C$45+Projects!$D$45),Projects!$B$45*INDEX(Curves!$B$4:$AR$4,1,64-Projects!$C$45+1),0)+IF(AND(Projects!$G$46="Yes",Projects!$X$46="Yes",Projects!$M$46="Yes",64&gt;=Projects!$C$46,64&lt;Projects!$C$46+Projects!$D$46),Projects!$B$46*INDEX(Curves!$B$4:$AR$4,1,64-Projects!$C$46+1),0)</f>
        <v>0</v>
      </c>
      <c r="BR101" s="298" t="n">
        <f aca="false">IF(AND(Projects!$G$17="Yes",Projects!$X$17="Yes",Projects!$M$17="Yes",65&gt;=Projects!$C$17,65&lt;Projects!$C$17+Projects!$D$17),Projects!$B$17*INDEX(Curves!$B$4:$AR$4,1,65-Projects!$C$17+1),0)+IF(AND(Projects!$G$18="Yes",Projects!$X$18="Yes",Projects!$M$18="Yes",65&gt;=Projects!$C$18,65&lt;Projects!$C$18+Projects!$D$18),Projects!$B$18*INDEX(Curves!$B$4:$AR$4,1,65-Projects!$C$18+1),0)+IF(AND(Projects!$G$19="Yes",Projects!$X$19="Yes",Projects!$M$19="Yes",65&gt;=Projects!$C$19,65&lt;Projects!$C$19+Projects!$D$19),Projects!$B$19*INDEX(Curves!$B$10:$AR$10,1,65-Projects!$C$19+1),0)+IF(AND(Projects!$G$20="Yes",Projects!$X$20="Yes",Projects!$M$20="Yes",65&gt;=Projects!$C$20,65&lt;Projects!$C$20+Projects!$D$20),Projects!$B$20*INDEX(Curves!$B$4:$AR$4,1,65-Projects!$C$20+1),0)+IF(AND(Projects!$G$21="Yes",Projects!$X$21="Yes",Projects!$M$21="Yes",65&gt;=Projects!$C$21,65&lt;Projects!$C$21+Projects!$D$21),Projects!$B$21*INDEX(Curves!$B$11:$AR$11,1,65-Projects!$C$21+1),0)+IF(AND(Projects!$G$22="Yes",Projects!$X$22="Yes",Projects!$M$22="Yes",65&gt;=Projects!$C$22,65&lt;Projects!$C$22+Projects!$D$22),Projects!$B$22*INDEX(Curves!$B$4:$AR$4,1,65-Projects!$C$22+1),0)+IF(AND(Projects!$G$23="Yes",Projects!$X$23="Yes",Projects!$M$23="Yes",65&gt;=Projects!$C$23,65&lt;Projects!$C$23+Projects!$D$23),Projects!$B$23*INDEX(Curves!$B$4:$AR$4,1,65-Projects!$C$23+1),0)+IF(AND(Projects!$G$24="Yes",Projects!$X$24="Yes",Projects!$M$24="Yes",65&gt;=Projects!$C$24,65&lt;Projects!$C$24+Projects!$D$24),Projects!$B$24*INDEX(Curves!$B$4:$AR$4,1,65-Projects!$C$24+1),0)+IF(AND(Projects!$G$25="Yes",Projects!$X$25="Yes",Projects!$M$25="Yes",65&gt;=Projects!$C$25,65&lt;Projects!$C$25+Projects!$D$25),Projects!$B$25*INDEX(Curves!$B$4:$AR$4,1,65-Projects!$C$25+1),0)+IF(AND(Projects!$G$26="Yes",Projects!$X$26="Yes",Projects!$M$26="Yes",65&gt;=Projects!$C$26,65&lt;Projects!$C$26+Projects!$D$26),Projects!$B$26*INDEX(Curves!$B$4:$AR$4,1,65-Projects!$C$26+1),0)+IF(AND(Projects!$G$27="Yes",Projects!$X$27="Yes",Projects!$M$27="Yes",65&gt;=Projects!$C$27,65&lt;Projects!$C$27+Projects!$D$27),Projects!$B$27*INDEX(Curves!$B$4:$AR$4,1,65-Projects!$C$27+1),0)+IF(AND(Projects!$G$28="Yes",Projects!$X$28="Yes",Projects!$M$28="Yes",65&gt;=Projects!$C$28,65&lt;Projects!$C$28+Projects!$D$28),Projects!$B$28*INDEX(Curves!$B$4:$AR$4,1,65-Projects!$C$28+1),0)+IF(AND(Projects!$G$29="Yes",Projects!$X$29="Yes",Projects!$M$29="Yes",65&gt;=Projects!$C$29,65&lt;Projects!$C$29+Projects!$D$29),Projects!$B$29*INDEX(Curves!$B$4:$AR$4,1,65-Projects!$C$29+1),0)+IF(AND(Projects!$G$30="Yes",Projects!$X$30="Yes",Projects!$M$30="Yes",65&gt;=Projects!$C$30,65&lt;Projects!$C$30+Projects!$D$30),Projects!$B$30*INDEX(Curves!$B$4:$AR$4,1,65-Projects!$C$30+1),0)+IF(AND(Projects!$G$31="Yes",Projects!$X$31="Yes",Projects!$M$31="Yes",65&gt;=Projects!$C$31,65&lt;Projects!$C$31+Projects!$D$31),Projects!$B$31*INDEX(Curves!$B$4:$AR$4,1,65-Projects!$C$31+1),0)+IF(AND(Projects!$G$32="Yes",Projects!$X$32="Yes",Projects!$M$32="Yes",65&gt;=Projects!$C$32,65&lt;Projects!$C$32+Projects!$D$32),Projects!$B$32*INDEX(Curves!$B$4:$AR$4,1,65-Projects!$C$32+1),0)+IF(AND(Projects!$G$33="Yes",Projects!$X$33="Yes",Projects!$M$33="Yes",65&gt;=Projects!$C$33,65&lt;Projects!$C$33+Projects!$D$33),Projects!$B$33*INDEX(Curves!$B$4:$AR$4,1,65-Projects!$C$33+1),0)+IF(AND(Projects!$G$34="Yes",Projects!$X$34="Yes",Projects!$M$34="Yes",65&gt;=Projects!$C$34,65&lt;Projects!$C$34+Projects!$D$34),Projects!$B$34*INDEX(Curves!$B$4:$AR$4,1,65-Projects!$C$34+1),0)+IF(AND(Projects!$G$35="Yes",Projects!$X$35="Yes",Projects!$M$35="Yes",65&gt;=Projects!$C$35,65&lt;Projects!$C$35+Projects!$D$35),Projects!$B$35*INDEX(Curves!$B$4:$AR$4,1,65-Projects!$C$35+1),0)+IF(AND(Projects!$G$36="Yes",Projects!$X$36="Yes",Projects!$M$36="Yes",65&gt;=Projects!$C$36,65&lt;Projects!$C$36+Projects!$D$36),Projects!$B$36*INDEX(Curves!$B$4:$AR$4,1,65-Projects!$C$36+1),0)+IF(AND(Projects!$G$37="Yes",Projects!$X$37="Yes",Projects!$M$37="Yes",65&gt;=Projects!$C$37,65&lt;Projects!$C$37+Projects!$D$37),Projects!$B$37*INDEX(Curves!$B$4:$AR$4,1,65-Projects!$C$37+1),0)+IF(AND(Projects!$G$38="Yes",Projects!$X$38="Yes",Projects!$M$38="Yes",65&gt;=Projects!$C$38,65&lt;Projects!$C$38+Projects!$D$38),Projects!$B$38*INDEX(Curves!$B$4:$AR$4,1,65-Projects!$C$38+1),0)+IF(AND(Projects!$G$39="Yes",Projects!$X$39="Yes",Projects!$M$39="Yes",65&gt;=Projects!$C$39,65&lt;Projects!$C$39+Projects!$D$39),Projects!$B$39*INDEX(Curves!$B$4:$AR$4,1,65-Projects!$C$39+1),0)+IF(AND(Projects!$G$40="Yes",Projects!$X$40="Yes",Projects!$M$40="Yes",65&gt;=Projects!$C$40,65&lt;Projects!$C$40+Projects!$D$40),Projects!$B$40*INDEX(Curves!$B$4:$AR$4,1,65-Projects!$C$40+1),0)+IF(AND(Projects!$G$41="Yes",Projects!$X$41="Yes",Projects!$M$41="Yes",65&gt;=Projects!$C$41,65&lt;Projects!$C$41+Projects!$D$41),Projects!$B$41*INDEX(Curves!$B$4:$AR$4,1,65-Projects!$C$41+1),0)+IF(AND(Projects!$G$42="Yes",Projects!$X$42="Yes",Projects!$M$42="Yes",65&gt;=Projects!$C$42,65&lt;Projects!$C$42+Projects!$D$42),Projects!$B$42*INDEX(Curves!$B$4:$AR$4,1,65-Projects!$C$42+1),0)+IF(AND(Projects!$G$43="Yes",Projects!$X$43="Yes",Projects!$M$43="Yes",65&gt;=Projects!$C$43,65&lt;Projects!$C$43+Projects!$D$43),Projects!$B$43*INDEX(Curves!$B$4:$AR$4,1,65-Projects!$C$43+1),0)+IF(AND(Projects!$G$44="Yes",Projects!$X$44="Yes",Projects!$M$44="Yes",65&gt;=Projects!$C$44,65&lt;Projects!$C$44+Projects!$D$44),Projects!$B$44*INDEX(Curves!$B$4:$AR$4,1,65-Projects!$C$44+1),0)+IF(AND(Projects!$G$45="Yes",Projects!$X$45="Yes",Projects!$M$45="Yes",65&gt;=Projects!$C$45,65&lt;Projects!$C$45+Projects!$D$45),Projects!$B$45*INDEX(Curves!$B$4:$AR$4,1,65-Projects!$C$45+1),0)+IF(AND(Projects!$G$46="Yes",Projects!$X$46="Yes",Projects!$M$46="Yes",65&gt;=Projects!$C$46,65&lt;Projects!$C$46+Projects!$D$46),Projects!$B$46*INDEX(Curves!$B$4:$AR$4,1,65-Projects!$C$46+1),0)</f>
        <v>0</v>
      </c>
      <c r="BS101" s="298" t="n">
        <f aca="false">IF(AND(Projects!$G$17="Yes",Projects!$X$17="Yes",Projects!$M$17="Yes",66&gt;=Projects!$C$17,66&lt;Projects!$C$17+Projects!$D$17),Projects!$B$17*INDEX(Curves!$B$4:$AR$4,1,66-Projects!$C$17+1),0)+IF(AND(Projects!$G$18="Yes",Projects!$X$18="Yes",Projects!$M$18="Yes",66&gt;=Projects!$C$18,66&lt;Projects!$C$18+Projects!$D$18),Projects!$B$18*INDEX(Curves!$B$4:$AR$4,1,66-Projects!$C$18+1),0)+IF(AND(Projects!$G$19="Yes",Projects!$X$19="Yes",Projects!$M$19="Yes",66&gt;=Projects!$C$19,66&lt;Projects!$C$19+Projects!$D$19),Projects!$B$19*INDEX(Curves!$B$10:$AR$10,1,66-Projects!$C$19+1),0)+IF(AND(Projects!$G$20="Yes",Projects!$X$20="Yes",Projects!$M$20="Yes",66&gt;=Projects!$C$20,66&lt;Projects!$C$20+Projects!$D$20),Projects!$B$20*INDEX(Curves!$B$4:$AR$4,1,66-Projects!$C$20+1),0)+IF(AND(Projects!$G$21="Yes",Projects!$X$21="Yes",Projects!$M$21="Yes",66&gt;=Projects!$C$21,66&lt;Projects!$C$21+Projects!$D$21),Projects!$B$21*INDEX(Curves!$B$11:$AR$11,1,66-Projects!$C$21+1),0)+IF(AND(Projects!$G$22="Yes",Projects!$X$22="Yes",Projects!$M$22="Yes",66&gt;=Projects!$C$22,66&lt;Projects!$C$22+Projects!$D$22),Projects!$B$22*INDEX(Curves!$B$4:$AR$4,1,66-Projects!$C$22+1),0)+IF(AND(Projects!$G$23="Yes",Projects!$X$23="Yes",Projects!$M$23="Yes",66&gt;=Projects!$C$23,66&lt;Projects!$C$23+Projects!$D$23),Projects!$B$23*INDEX(Curves!$B$4:$AR$4,1,66-Projects!$C$23+1),0)+IF(AND(Projects!$G$24="Yes",Projects!$X$24="Yes",Projects!$M$24="Yes",66&gt;=Projects!$C$24,66&lt;Projects!$C$24+Projects!$D$24),Projects!$B$24*INDEX(Curves!$B$4:$AR$4,1,66-Projects!$C$24+1),0)+IF(AND(Projects!$G$25="Yes",Projects!$X$25="Yes",Projects!$M$25="Yes",66&gt;=Projects!$C$25,66&lt;Projects!$C$25+Projects!$D$25),Projects!$B$25*INDEX(Curves!$B$4:$AR$4,1,66-Projects!$C$25+1),0)+IF(AND(Projects!$G$26="Yes",Projects!$X$26="Yes",Projects!$M$26="Yes",66&gt;=Projects!$C$26,66&lt;Projects!$C$26+Projects!$D$26),Projects!$B$26*INDEX(Curves!$B$4:$AR$4,1,66-Projects!$C$26+1),0)+IF(AND(Projects!$G$27="Yes",Projects!$X$27="Yes",Projects!$M$27="Yes",66&gt;=Projects!$C$27,66&lt;Projects!$C$27+Projects!$D$27),Projects!$B$27*INDEX(Curves!$B$4:$AR$4,1,66-Projects!$C$27+1),0)+IF(AND(Projects!$G$28="Yes",Projects!$X$28="Yes",Projects!$M$28="Yes",66&gt;=Projects!$C$28,66&lt;Projects!$C$28+Projects!$D$28),Projects!$B$28*INDEX(Curves!$B$4:$AR$4,1,66-Projects!$C$28+1),0)+IF(AND(Projects!$G$29="Yes",Projects!$X$29="Yes",Projects!$M$29="Yes",66&gt;=Projects!$C$29,66&lt;Projects!$C$29+Projects!$D$29),Projects!$B$29*INDEX(Curves!$B$4:$AR$4,1,66-Projects!$C$29+1),0)+IF(AND(Projects!$G$30="Yes",Projects!$X$30="Yes",Projects!$M$30="Yes",66&gt;=Projects!$C$30,66&lt;Projects!$C$30+Projects!$D$30),Projects!$B$30*INDEX(Curves!$B$4:$AR$4,1,66-Projects!$C$30+1),0)+IF(AND(Projects!$G$31="Yes",Projects!$X$31="Yes",Projects!$M$31="Yes",66&gt;=Projects!$C$31,66&lt;Projects!$C$31+Projects!$D$31),Projects!$B$31*INDEX(Curves!$B$4:$AR$4,1,66-Projects!$C$31+1),0)+IF(AND(Projects!$G$32="Yes",Projects!$X$32="Yes",Projects!$M$32="Yes",66&gt;=Projects!$C$32,66&lt;Projects!$C$32+Projects!$D$32),Projects!$B$32*INDEX(Curves!$B$4:$AR$4,1,66-Projects!$C$32+1),0)+IF(AND(Projects!$G$33="Yes",Projects!$X$33="Yes",Projects!$M$33="Yes",66&gt;=Projects!$C$33,66&lt;Projects!$C$33+Projects!$D$33),Projects!$B$33*INDEX(Curves!$B$4:$AR$4,1,66-Projects!$C$33+1),0)+IF(AND(Projects!$G$34="Yes",Projects!$X$34="Yes",Projects!$M$34="Yes",66&gt;=Projects!$C$34,66&lt;Projects!$C$34+Projects!$D$34),Projects!$B$34*INDEX(Curves!$B$4:$AR$4,1,66-Projects!$C$34+1),0)+IF(AND(Projects!$G$35="Yes",Projects!$X$35="Yes",Projects!$M$35="Yes",66&gt;=Projects!$C$35,66&lt;Projects!$C$35+Projects!$D$35),Projects!$B$35*INDEX(Curves!$B$4:$AR$4,1,66-Projects!$C$35+1),0)+IF(AND(Projects!$G$36="Yes",Projects!$X$36="Yes",Projects!$M$36="Yes",66&gt;=Projects!$C$36,66&lt;Projects!$C$36+Projects!$D$36),Projects!$B$36*INDEX(Curves!$B$4:$AR$4,1,66-Projects!$C$36+1),0)+IF(AND(Projects!$G$37="Yes",Projects!$X$37="Yes",Projects!$M$37="Yes",66&gt;=Projects!$C$37,66&lt;Projects!$C$37+Projects!$D$37),Projects!$B$37*INDEX(Curves!$B$4:$AR$4,1,66-Projects!$C$37+1),0)+IF(AND(Projects!$G$38="Yes",Projects!$X$38="Yes",Projects!$M$38="Yes",66&gt;=Projects!$C$38,66&lt;Projects!$C$38+Projects!$D$38),Projects!$B$38*INDEX(Curves!$B$4:$AR$4,1,66-Projects!$C$38+1),0)+IF(AND(Projects!$G$39="Yes",Projects!$X$39="Yes",Projects!$M$39="Yes",66&gt;=Projects!$C$39,66&lt;Projects!$C$39+Projects!$D$39),Projects!$B$39*INDEX(Curves!$B$4:$AR$4,1,66-Projects!$C$39+1),0)+IF(AND(Projects!$G$40="Yes",Projects!$X$40="Yes",Projects!$M$40="Yes",66&gt;=Projects!$C$40,66&lt;Projects!$C$40+Projects!$D$40),Projects!$B$40*INDEX(Curves!$B$4:$AR$4,1,66-Projects!$C$40+1),0)+IF(AND(Projects!$G$41="Yes",Projects!$X$41="Yes",Projects!$M$41="Yes",66&gt;=Projects!$C$41,66&lt;Projects!$C$41+Projects!$D$41),Projects!$B$41*INDEX(Curves!$B$4:$AR$4,1,66-Projects!$C$41+1),0)+IF(AND(Projects!$G$42="Yes",Projects!$X$42="Yes",Projects!$M$42="Yes",66&gt;=Projects!$C$42,66&lt;Projects!$C$42+Projects!$D$42),Projects!$B$42*INDEX(Curves!$B$4:$AR$4,1,66-Projects!$C$42+1),0)+IF(AND(Projects!$G$43="Yes",Projects!$X$43="Yes",Projects!$M$43="Yes",66&gt;=Projects!$C$43,66&lt;Projects!$C$43+Projects!$D$43),Projects!$B$43*INDEX(Curves!$B$4:$AR$4,1,66-Projects!$C$43+1),0)+IF(AND(Projects!$G$44="Yes",Projects!$X$44="Yes",Projects!$M$44="Yes",66&gt;=Projects!$C$44,66&lt;Projects!$C$44+Projects!$D$44),Projects!$B$44*INDEX(Curves!$B$4:$AR$4,1,66-Projects!$C$44+1),0)+IF(AND(Projects!$G$45="Yes",Projects!$X$45="Yes",Projects!$M$45="Yes",66&gt;=Projects!$C$45,66&lt;Projects!$C$45+Projects!$D$45),Projects!$B$45*INDEX(Curves!$B$4:$AR$4,1,66-Projects!$C$45+1),0)+IF(AND(Projects!$G$46="Yes",Projects!$X$46="Yes",Projects!$M$46="Yes",66&gt;=Projects!$C$46,66&lt;Projects!$C$46+Projects!$D$46),Projects!$B$46*INDEX(Curves!$B$4:$AR$4,1,66-Projects!$C$46+1),0)</f>
        <v>0</v>
      </c>
      <c r="BT101" s="298" t="n">
        <f aca="false">IF(AND(Projects!$G$17="Yes",Projects!$X$17="Yes",Projects!$M$17="Yes",67&gt;=Projects!$C$17,67&lt;Projects!$C$17+Projects!$D$17),Projects!$B$17*INDEX(Curves!$B$4:$AR$4,1,67-Projects!$C$17+1),0)+IF(AND(Projects!$G$18="Yes",Projects!$X$18="Yes",Projects!$M$18="Yes",67&gt;=Projects!$C$18,67&lt;Projects!$C$18+Projects!$D$18),Projects!$B$18*INDEX(Curves!$B$4:$AR$4,1,67-Projects!$C$18+1),0)+IF(AND(Projects!$G$19="Yes",Projects!$X$19="Yes",Projects!$M$19="Yes",67&gt;=Projects!$C$19,67&lt;Projects!$C$19+Projects!$D$19),Projects!$B$19*INDEX(Curves!$B$10:$AR$10,1,67-Projects!$C$19+1),0)+IF(AND(Projects!$G$20="Yes",Projects!$X$20="Yes",Projects!$M$20="Yes",67&gt;=Projects!$C$20,67&lt;Projects!$C$20+Projects!$D$20),Projects!$B$20*INDEX(Curves!$B$4:$AR$4,1,67-Projects!$C$20+1),0)+IF(AND(Projects!$G$21="Yes",Projects!$X$21="Yes",Projects!$M$21="Yes",67&gt;=Projects!$C$21,67&lt;Projects!$C$21+Projects!$D$21),Projects!$B$21*INDEX(Curves!$B$11:$AR$11,1,67-Projects!$C$21+1),0)+IF(AND(Projects!$G$22="Yes",Projects!$X$22="Yes",Projects!$M$22="Yes",67&gt;=Projects!$C$22,67&lt;Projects!$C$22+Projects!$D$22),Projects!$B$22*INDEX(Curves!$B$4:$AR$4,1,67-Projects!$C$22+1),0)+IF(AND(Projects!$G$23="Yes",Projects!$X$23="Yes",Projects!$M$23="Yes",67&gt;=Projects!$C$23,67&lt;Projects!$C$23+Projects!$D$23),Projects!$B$23*INDEX(Curves!$B$4:$AR$4,1,67-Projects!$C$23+1),0)+IF(AND(Projects!$G$24="Yes",Projects!$X$24="Yes",Projects!$M$24="Yes",67&gt;=Projects!$C$24,67&lt;Projects!$C$24+Projects!$D$24),Projects!$B$24*INDEX(Curves!$B$4:$AR$4,1,67-Projects!$C$24+1),0)+IF(AND(Projects!$G$25="Yes",Projects!$X$25="Yes",Projects!$M$25="Yes",67&gt;=Projects!$C$25,67&lt;Projects!$C$25+Projects!$D$25),Projects!$B$25*INDEX(Curves!$B$4:$AR$4,1,67-Projects!$C$25+1),0)+IF(AND(Projects!$G$26="Yes",Projects!$X$26="Yes",Projects!$M$26="Yes",67&gt;=Projects!$C$26,67&lt;Projects!$C$26+Projects!$D$26),Projects!$B$26*INDEX(Curves!$B$4:$AR$4,1,67-Projects!$C$26+1),0)+IF(AND(Projects!$G$27="Yes",Projects!$X$27="Yes",Projects!$M$27="Yes",67&gt;=Projects!$C$27,67&lt;Projects!$C$27+Projects!$D$27),Projects!$B$27*INDEX(Curves!$B$4:$AR$4,1,67-Projects!$C$27+1),0)+IF(AND(Projects!$G$28="Yes",Projects!$X$28="Yes",Projects!$M$28="Yes",67&gt;=Projects!$C$28,67&lt;Projects!$C$28+Projects!$D$28),Projects!$B$28*INDEX(Curves!$B$4:$AR$4,1,67-Projects!$C$28+1),0)+IF(AND(Projects!$G$29="Yes",Projects!$X$29="Yes",Projects!$M$29="Yes",67&gt;=Projects!$C$29,67&lt;Projects!$C$29+Projects!$D$29),Projects!$B$29*INDEX(Curves!$B$4:$AR$4,1,67-Projects!$C$29+1),0)+IF(AND(Projects!$G$30="Yes",Projects!$X$30="Yes",Projects!$M$30="Yes",67&gt;=Projects!$C$30,67&lt;Projects!$C$30+Projects!$D$30),Projects!$B$30*INDEX(Curves!$B$4:$AR$4,1,67-Projects!$C$30+1),0)+IF(AND(Projects!$G$31="Yes",Projects!$X$31="Yes",Projects!$M$31="Yes",67&gt;=Projects!$C$31,67&lt;Projects!$C$31+Projects!$D$31),Projects!$B$31*INDEX(Curves!$B$4:$AR$4,1,67-Projects!$C$31+1),0)+IF(AND(Projects!$G$32="Yes",Projects!$X$32="Yes",Projects!$M$32="Yes",67&gt;=Projects!$C$32,67&lt;Projects!$C$32+Projects!$D$32),Projects!$B$32*INDEX(Curves!$B$4:$AR$4,1,67-Projects!$C$32+1),0)+IF(AND(Projects!$G$33="Yes",Projects!$X$33="Yes",Projects!$M$33="Yes",67&gt;=Projects!$C$33,67&lt;Projects!$C$33+Projects!$D$33),Projects!$B$33*INDEX(Curves!$B$4:$AR$4,1,67-Projects!$C$33+1),0)+IF(AND(Projects!$G$34="Yes",Projects!$X$34="Yes",Projects!$M$34="Yes",67&gt;=Projects!$C$34,67&lt;Projects!$C$34+Projects!$D$34),Projects!$B$34*INDEX(Curves!$B$4:$AR$4,1,67-Projects!$C$34+1),0)+IF(AND(Projects!$G$35="Yes",Projects!$X$35="Yes",Projects!$M$35="Yes",67&gt;=Projects!$C$35,67&lt;Projects!$C$35+Projects!$D$35),Projects!$B$35*INDEX(Curves!$B$4:$AR$4,1,67-Projects!$C$35+1),0)+IF(AND(Projects!$G$36="Yes",Projects!$X$36="Yes",Projects!$M$36="Yes",67&gt;=Projects!$C$36,67&lt;Projects!$C$36+Projects!$D$36),Projects!$B$36*INDEX(Curves!$B$4:$AR$4,1,67-Projects!$C$36+1),0)+IF(AND(Projects!$G$37="Yes",Projects!$X$37="Yes",Projects!$M$37="Yes",67&gt;=Projects!$C$37,67&lt;Projects!$C$37+Projects!$D$37),Projects!$B$37*INDEX(Curves!$B$4:$AR$4,1,67-Projects!$C$37+1),0)+IF(AND(Projects!$G$38="Yes",Projects!$X$38="Yes",Projects!$M$38="Yes",67&gt;=Projects!$C$38,67&lt;Projects!$C$38+Projects!$D$38),Projects!$B$38*INDEX(Curves!$B$4:$AR$4,1,67-Projects!$C$38+1),0)+IF(AND(Projects!$G$39="Yes",Projects!$X$39="Yes",Projects!$M$39="Yes",67&gt;=Projects!$C$39,67&lt;Projects!$C$39+Projects!$D$39),Projects!$B$39*INDEX(Curves!$B$4:$AR$4,1,67-Projects!$C$39+1),0)+IF(AND(Projects!$G$40="Yes",Projects!$X$40="Yes",Projects!$M$40="Yes",67&gt;=Projects!$C$40,67&lt;Projects!$C$40+Projects!$D$40),Projects!$B$40*INDEX(Curves!$B$4:$AR$4,1,67-Projects!$C$40+1),0)+IF(AND(Projects!$G$41="Yes",Projects!$X$41="Yes",Projects!$M$41="Yes",67&gt;=Projects!$C$41,67&lt;Projects!$C$41+Projects!$D$41),Projects!$B$41*INDEX(Curves!$B$4:$AR$4,1,67-Projects!$C$41+1),0)+IF(AND(Projects!$G$42="Yes",Projects!$X$42="Yes",Projects!$M$42="Yes",67&gt;=Projects!$C$42,67&lt;Projects!$C$42+Projects!$D$42),Projects!$B$42*INDEX(Curves!$B$4:$AR$4,1,67-Projects!$C$42+1),0)+IF(AND(Projects!$G$43="Yes",Projects!$X$43="Yes",Projects!$M$43="Yes",67&gt;=Projects!$C$43,67&lt;Projects!$C$43+Projects!$D$43),Projects!$B$43*INDEX(Curves!$B$4:$AR$4,1,67-Projects!$C$43+1),0)+IF(AND(Projects!$G$44="Yes",Projects!$X$44="Yes",Projects!$M$44="Yes",67&gt;=Projects!$C$44,67&lt;Projects!$C$44+Projects!$D$44),Projects!$B$44*INDEX(Curves!$B$4:$AR$4,1,67-Projects!$C$44+1),0)+IF(AND(Projects!$G$45="Yes",Projects!$X$45="Yes",Projects!$M$45="Yes",67&gt;=Projects!$C$45,67&lt;Projects!$C$45+Projects!$D$45),Projects!$B$45*INDEX(Curves!$B$4:$AR$4,1,67-Projects!$C$45+1),0)+IF(AND(Projects!$G$46="Yes",Projects!$X$46="Yes",Projects!$M$46="Yes",67&gt;=Projects!$C$46,67&lt;Projects!$C$46+Projects!$D$46),Projects!$B$46*INDEX(Curves!$B$4:$AR$4,1,67-Projects!$C$46+1),0)</f>
        <v>0</v>
      </c>
      <c r="BU101" s="298" t="n">
        <f aca="false">IF(AND(Projects!$G$17="Yes",Projects!$X$17="Yes",Projects!$M$17="Yes",68&gt;=Projects!$C$17,68&lt;Projects!$C$17+Projects!$D$17),Projects!$B$17*INDEX(Curves!$B$4:$AR$4,1,68-Projects!$C$17+1),0)+IF(AND(Projects!$G$18="Yes",Projects!$X$18="Yes",Projects!$M$18="Yes",68&gt;=Projects!$C$18,68&lt;Projects!$C$18+Projects!$D$18),Projects!$B$18*INDEX(Curves!$B$4:$AR$4,1,68-Projects!$C$18+1),0)+IF(AND(Projects!$G$19="Yes",Projects!$X$19="Yes",Projects!$M$19="Yes",68&gt;=Projects!$C$19,68&lt;Projects!$C$19+Projects!$D$19),Projects!$B$19*INDEX(Curves!$B$10:$AR$10,1,68-Projects!$C$19+1),0)+IF(AND(Projects!$G$20="Yes",Projects!$X$20="Yes",Projects!$M$20="Yes",68&gt;=Projects!$C$20,68&lt;Projects!$C$20+Projects!$D$20),Projects!$B$20*INDEX(Curves!$B$4:$AR$4,1,68-Projects!$C$20+1),0)+IF(AND(Projects!$G$21="Yes",Projects!$X$21="Yes",Projects!$M$21="Yes",68&gt;=Projects!$C$21,68&lt;Projects!$C$21+Projects!$D$21),Projects!$B$21*INDEX(Curves!$B$11:$AR$11,1,68-Projects!$C$21+1),0)+IF(AND(Projects!$G$22="Yes",Projects!$X$22="Yes",Projects!$M$22="Yes",68&gt;=Projects!$C$22,68&lt;Projects!$C$22+Projects!$D$22),Projects!$B$22*INDEX(Curves!$B$4:$AR$4,1,68-Projects!$C$22+1),0)+IF(AND(Projects!$G$23="Yes",Projects!$X$23="Yes",Projects!$M$23="Yes",68&gt;=Projects!$C$23,68&lt;Projects!$C$23+Projects!$D$23),Projects!$B$23*INDEX(Curves!$B$4:$AR$4,1,68-Projects!$C$23+1),0)+IF(AND(Projects!$G$24="Yes",Projects!$X$24="Yes",Projects!$M$24="Yes",68&gt;=Projects!$C$24,68&lt;Projects!$C$24+Projects!$D$24),Projects!$B$24*INDEX(Curves!$B$4:$AR$4,1,68-Projects!$C$24+1),0)+IF(AND(Projects!$G$25="Yes",Projects!$X$25="Yes",Projects!$M$25="Yes",68&gt;=Projects!$C$25,68&lt;Projects!$C$25+Projects!$D$25),Projects!$B$25*INDEX(Curves!$B$4:$AR$4,1,68-Projects!$C$25+1),0)+IF(AND(Projects!$G$26="Yes",Projects!$X$26="Yes",Projects!$M$26="Yes",68&gt;=Projects!$C$26,68&lt;Projects!$C$26+Projects!$D$26),Projects!$B$26*INDEX(Curves!$B$4:$AR$4,1,68-Projects!$C$26+1),0)+IF(AND(Projects!$G$27="Yes",Projects!$X$27="Yes",Projects!$M$27="Yes",68&gt;=Projects!$C$27,68&lt;Projects!$C$27+Projects!$D$27),Projects!$B$27*INDEX(Curves!$B$4:$AR$4,1,68-Projects!$C$27+1),0)+IF(AND(Projects!$G$28="Yes",Projects!$X$28="Yes",Projects!$M$28="Yes",68&gt;=Projects!$C$28,68&lt;Projects!$C$28+Projects!$D$28),Projects!$B$28*INDEX(Curves!$B$4:$AR$4,1,68-Projects!$C$28+1),0)+IF(AND(Projects!$G$29="Yes",Projects!$X$29="Yes",Projects!$M$29="Yes",68&gt;=Projects!$C$29,68&lt;Projects!$C$29+Projects!$D$29),Projects!$B$29*INDEX(Curves!$B$4:$AR$4,1,68-Projects!$C$29+1),0)+IF(AND(Projects!$G$30="Yes",Projects!$X$30="Yes",Projects!$M$30="Yes",68&gt;=Projects!$C$30,68&lt;Projects!$C$30+Projects!$D$30),Projects!$B$30*INDEX(Curves!$B$4:$AR$4,1,68-Projects!$C$30+1),0)+IF(AND(Projects!$G$31="Yes",Projects!$X$31="Yes",Projects!$M$31="Yes",68&gt;=Projects!$C$31,68&lt;Projects!$C$31+Projects!$D$31),Projects!$B$31*INDEX(Curves!$B$4:$AR$4,1,68-Projects!$C$31+1),0)+IF(AND(Projects!$G$32="Yes",Projects!$X$32="Yes",Projects!$M$32="Yes",68&gt;=Projects!$C$32,68&lt;Projects!$C$32+Projects!$D$32),Projects!$B$32*INDEX(Curves!$B$4:$AR$4,1,68-Projects!$C$32+1),0)+IF(AND(Projects!$G$33="Yes",Projects!$X$33="Yes",Projects!$M$33="Yes",68&gt;=Projects!$C$33,68&lt;Projects!$C$33+Projects!$D$33),Projects!$B$33*INDEX(Curves!$B$4:$AR$4,1,68-Projects!$C$33+1),0)+IF(AND(Projects!$G$34="Yes",Projects!$X$34="Yes",Projects!$M$34="Yes",68&gt;=Projects!$C$34,68&lt;Projects!$C$34+Projects!$D$34),Projects!$B$34*INDEX(Curves!$B$4:$AR$4,1,68-Projects!$C$34+1),0)+IF(AND(Projects!$G$35="Yes",Projects!$X$35="Yes",Projects!$M$35="Yes",68&gt;=Projects!$C$35,68&lt;Projects!$C$35+Projects!$D$35),Projects!$B$35*INDEX(Curves!$B$4:$AR$4,1,68-Projects!$C$35+1),0)+IF(AND(Projects!$G$36="Yes",Projects!$X$36="Yes",Projects!$M$36="Yes",68&gt;=Projects!$C$36,68&lt;Projects!$C$36+Projects!$D$36),Projects!$B$36*INDEX(Curves!$B$4:$AR$4,1,68-Projects!$C$36+1),0)+IF(AND(Projects!$G$37="Yes",Projects!$X$37="Yes",Projects!$M$37="Yes",68&gt;=Projects!$C$37,68&lt;Projects!$C$37+Projects!$D$37),Projects!$B$37*INDEX(Curves!$B$4:$AR$4,1,68-Projects!$C$37+1),0)+IF(AND(Projects!$G$38="Yes",Projects!$X$38="Yes",Projects!$M$38="Yes",68&gt;=Projects!$C$38,68&lt;Projects!$C$38+Projects!$D$38),Projects!$B$38*INDEX(Curves!$B$4:$AR$4,1,68-Projects!$C$38+1),0)+IF(AND(Projects!$G$39="Yes",Projects!$X$39="Yes",Projects!$M$39="Yes",68&gt;=Projects!$C$39,68&lt;Projects!$C$39+Projects!$D$39),Projects!$B$39*INDEX(Curves!$B$4:$AR$4,1,68-Projects!$C$39+1),0)+IF(AND(Projects!$G$40="Yes",Projects!$X$40="Yes",Projects!$M$40="Yes",68&gt;=Projects!$C$40,68&lt;Projects!$C$40+Projects!$D$40),Projects!$B$40*INDEX(Curves!$B$4:$AR$4,1,68-Projects!$C$40+1),0)+IF(AND(Projects!$G$41="Yes",Projects!$X$41="Yes",Projects!$M$41="Yes",68&gt;=Projects!$C$41,68&lt;Projects!$C$41+Projects!$D$41),Projects!$B$41*INDEX(Curves!$B$4:$AR$4,1,68-Projects!$C$41+1),0)+IF(AND(Projects!$G$42="Yes",Projects!$X$42="Yes",Projects!$M$42="Yes",68&gt;=Projects!$C$42,68&lt;Projects!$C$42+Projects!$D$42),Projects!$B$42*INDEX(Curves!$B$4:$AR$4,1,68-Projects!$C$42+1),0)+IF(AND(Projects!$G$43="Yes",Projects!$X$43="Yes",Projects!$M$43="Yes",68&gt;=Projects!$C$43,68&lt;Projects!$C$43+Projects!$D$43),Projects!$B$43*INDEX(Curves!$B$4:$AR$4,1,68-Projects!$C$43+1),0)+IF(AND(Projects!$G$44="Yes",Projects!$X$44="Yes",Projects!$M$44="Yes",68&gt;=Projects!$C$44,68&lt;Projects!$C$44+Projects!$D$44),Projects!$B$44*INDEX(Curves!$B$4:$AR$4,1,68-Projects!$C$44+1),0)+IF(AND(Projects!$G$45="Yes",Projects!$X$45="Yes",Projects!$M$45="Yes",68&gt;=Projects!$C$45,68&lt;Projects!$C$45+Projects!$D$45),Projects!$B$45*INDEX(Curves!$B$4:$AR$4,1,68-Projects!$C$45+1),0)+IF(AND(Projects!$G$46="Yes",Projects!$X$46="Yes",Projects!$M$46="Yes",68&gt;=Projects!$C$46,68&lt;Projects!$C$46+Projects!$D$46),Projects!$B$46*INDEX(Curves!$B$4:$AR$4,1,68-Projects!$C$46+1),0)</f>
        <v>0</v>
      </c>
      <c r="BV101" s="298" t="n">
        <f aca="false">IF(AND(Projects!$G$17="Yes",Projects!$X$17="Yes",Projects!$M$17="Yes",69&gt;=Projects!$C$17,69&lt;Projects!$C$17+Projects!$D$17),Projects!$B$17*INDEX(Curves!$B$4:$AR$4,1,69-Projects!$C$17+1),0)+IF(AND(Projects!$G$18="Yes",Projects!$X$18="Yes",Projects!$M$18="Yes",69&gt;=Projects!$C$18,69&lt;Projects!$C$18+Projects!$D$18),Projects!$B$18*INDEX(Curves!$B$4:$AR$4,1,69-Projects!$C$18+1),0)+IF(AND(Projects!$G$19="Yes",Projects!$X$19="Yes",Projects!$M$19="Yes",69&gt;=Projects!$C$19,69&lt;Projects!$C$19+Projects!$D$19),Projects!$B$19*INDEX(Curves!$B$10:$AR$10,1,69-Projects!$C$19+1),0)+IF(AND(Projects!$G$20="Yes",Projects!$X$20="Yes",Projects!$M$20="Yes",69&gt;=Projects!$C$20,69&lt;Projects!$C$20+Projects!$D$20),Projects!$B$20*INDEX(Curves!$B$4:$AR$4,1,69-Projects!$C$20+1),0)+IF(AND(Projects!$G$21="Yes",Projects!$X$21="Yes",Projects!$M$21="Yes",69&gt;=Projects!$C$21,69&lt;Projects!$C$21+Projects!$D$21),Projects!$B$21*INDEX(Curves!$B$11:$AR$11,1,69-Projects!$C$21+1),0)+IF(AND(Projects!$G$22="Yes",Projects!$X$22="Yes",Projects!$M$22="Yes",69&gt;=Projects!$C$22,69&lt;Projects!$C$22+Projects!$D$22),Projects!$B$22*INDEX(Curves!$B$4:$AR$4,1,69-Projects!$C$22+1),0)+IF(AND(Projects!$G$23="Yes",Projects!$X$23="Yes",Projects!$M$23="Yes",69&gt;=Projects!$C$23,69&lt;Projects!$C$23+Projects!$D$23),Projects!$B$23*INDEX(Curves!$B$4:$AR$4,1,69-Projects!$C$23+1),0)+IF(AND(Projects!$G$24="Yes",Projects!$X$24="Yes",Projects!$M$24="Yes",69&gt;=Projects!$C$24,69&lt;Projects!$C$24+Projects!$D$24),Projects!$B$24*INDEX(Curves!$B$4:$AR$4,1,69-Projects!$C$24+1),0)+IF(AND(Projects!$G$25="Yes",Projects!$X$25="Yes",Projects!$M$25="Yes",69&gt;=Projects!$C$25,69&lt;Projects!$C$25+Projects!$D$25),Projects!$B$25*INDEX(Curves!$B$4:$AR$4,1,69-Projects!$C$25+1),0)+IF(AND(Projects!$G$26="Yes",Projects!$X$26="Yes",Projects!$M$26="Yes",69&gt;=Projects!$C$26,69&lt;Projects!$C$26+Projects!$D$26),Projects!$B$26*INDEX(Curves!$B$4:$AR$4,1,69-Projects!$C$26+1),0)+IF(AND(Projects!$G$27="Yes",Projects!$X$27="Yes",Projects!$M$27="Yes",69&gt;=Projects!$C$27,69&lt;Projects!$C$27+Projects!$D$27),Projects!$B$27*INDEX(Curves!$B$4:$AR$4,1,69-Projects!$C$27+1),0)+IF(AND(Projects!$G$28="Yes",Projects!$X$28="Yes",Projects!$M$28="Yes",69&gt;=Projects!$C$28,69&lt;Projects!$C$28+Projects!$D$28),Projects!$B$28*INDEX(Curves!$B$4:$AR$4,1,69-Projects!$C$28+1),0)+IF(AND(Projects!$G$29="Yes",Projects!$X$29="Yes",Projects!$M$29="Yes",69&gt;=Projects!$C$29,69&lt;Projects!$C$29+Projects!$D$29),Projects!$B$29*INDEX(Curves!$B$4:$AR$4,1,69-Projects!$C$29+1),0)+IF(AND(Projects!$G$30="Yes",Projects!$X$30="Yes",Projects!$M$30="Yes",69&gt;=Projects!$C$30,69&lt;Projects!$C$30+Projects!$D$30),Projects!$B$30*INDEX(Curves!$B$4:$AR$4,1,69-Projects!$C$30+1),0)+IF(AND(Projects!$G$31="Yes",Projects!$X$31="Yes",Projects!$M$31="Yes",69&gt;=Projects!$C$31,69&lt;Projects!$C$31+Projects!$D$31),Projects!$B$31*INDEX(Curves!$B$4:$AR$4,1,69-Projects!$C$31+1),0)+IF(AND(Projects!$G$32="Yes",Projects!$X$32="Yes",Projects!$M$32="Yes",69&gt;=Projects!$C$32,69&lt;Projects!$C$32+Projects!$D$32),Projects!$B$32*INDEX(Curves!$B$4:$AR$4,1,69-Projects!$C$32+1),0)+IF(AND(Projects!$G$33="Yes",Projects!$X$33="Yes",Projects!$M$33="Yes",69&gt;=Projects!$C$33,69&lt;Projects!$C$33+Projects!$D$33),Projects!$B$33*INDEX(Curves!$B$4:$AR$4,1,69-Projects!$C$33+1),0)+IF(AND(Projects!$G$34="Yes",Projects!$X$34="Yes",Projects!$M$34="Yes",69&gt;=Projects!$C$34,69&lt;Projects!$C$34+Projects!$D$34),Projects!$B$34*INDEX(Curves!$B$4:$AR$4,1,69-Projects!$C$34+1),0)+IF(AND(Projects!$G$35="Yes",Projects!$X$35="Yes",Projects!$M$35="Yes",69&gt;=Projects!$C$35,69&lt;Projects!$C$35+Projects!$D$35),Projects!$B$35*INDEX(Curves!$B$4:$AR$4,1,69-Projects!$C$35+1),0)+IF(AND(Projects!$G$36="Yes",Projects!$X$36="Yes",Projects!$M$36="Yes",69&gt;=Projects!$C$36,69&lt;Projects!$C$36+Projects!$D$36),Projects!$B$36*INDEX(Curves!$B$4:$AR$4,1,69-Projects!$C$36+1),0)+IF(AND(Projects!$G$37="Yes",Projects!$X$37="Yes",Projects!$M$37="Yes",69&gt;=Projects!$C$37,69&lt;Projects!$C$37+Projects!$D$37),Projects!$B$37*INDEX(Curves!$B$4:$AR$4,1,69-Projects!$C$37+1),0)+IF(AND(Projects!$G$38="Yes",Projects!$X$38="Yes",Projects!$M$38="Yes",69&gt;=Projects!$C$38,69&lt;Projects!$C$38+Projects!$D$38),Projects!$B$38*INDEX(Curves!$B$4:$AR$4,1,69-Projects!$C$38+1),0)+IF(AND(Projects!$G$39="Yes",Projects!$X$39="Yes",Projects!$M$39="Yes",69&gt;=Projects!$C$39,69&lt;Projects!$C$39+Projects!$D$39),Projects!$B$39*INDEX(Curves!$B$4:$AR$4,1,69-Projects!$C$39+1),0)+IF(AND(Projects!$G$40="Yes",Projects!$X$40="Yes",Projects!$M$40="Yes",69&gt;=Projects!$C$40,69&lt;Projects!$C$40+Projects!$D$40),Projects!$B$40*INDEX(Curves!$B$4:$AR$4,1,69-Projects!$C$40+1),0)+IF(AND(Projects!$G$41="Yes",Projects!$X$41="Yes",Projects!$M$41="Yes",69&gt;=Projects!$C$41,69&lt;Projects!$C$41+Projects!$D$41),Projects!$B$41*INDEX(Curves!$B$4:$AR$4,1,69-Projects!$C$41+1),0)+IF(AND(Projects!$G$42="Yes",Projects!$X$42="Yes",Projects!$M$42="Yes",69&gt;=Projects!$C$42,69&lt;Projects!$C$42+Projects!$D$42),Projects!$B$42*INDEX(Curves!$B$4:$AR$4,1,69-Projects!$C$42+1),0)+IF(AND(Projects!$G$43="Yes",Projects!$X$43="Yes",Projects!$M$43="Yes",69&gt;=Projects!$C$43,69&lt;Projects!$C$43+Projects!$D$43),Projects!$B$43*INDEX(Curves!$B$4:$AR$4,1,69-Projects!$C$43+1),0)+IF(AND(Projects!$G$44="Yes",Projects!$X$44="Yes",Projects!$M$44="Yes",69&gt;=Projects!$C$44,69&lt;Projects!$C$44+Projects!$D$44),Projects!$B$44*INDEX(Curves!$B$4:$AR$4,1,69-Projects!$C$44+1),0)+IF(AND(Projects!$G$45="Yes",Projects!$X$45="Yes",Projects!$M$45="Yes",69&gt;=Projects!$C$45,69&lt;Projects!$C$45+Projects!$D$45),Projects!$B$45*INDEX(Curves!$B$4:$AR$4,1,69-Projects!$C$45+1),0)+IF(AND(Projects!$G$46="Yes",Projects!$X$46="Yes",Projects!$M$46="Yes",69&gt;=Projects!$C$46,69&lt;Projects!$C$46+Projects!$D$46),Projects!$B$46*INDEX(Curves!$B$4:$AR$4,1,69-Projects!$C$46+1),0)</f>
        <v>0</v>
      </c>
      <c r="BW101" s="298" t="n">
        <f aca="false">IF(AND(Projects!$G$17="Yes",Projects!$X$17="Yes",Projects!$M$17="Yes",70&gt;=Projects!$C$17,70&lt;Projects!$C$17+Projects!$D$17),Projects!$B$17*INDEX(Curves!$B$4:$AR$4,1,70-Projects!$C$17+1),0)+IF(AND(Projects!$G$18="Yes",Projects!$X$18="Yes",Projects!$M$18="Yes",70&gt;=Projects!$C$18,70&lt;Projects!$C$18+Projects!$D$18),Projects!$B$18*INDEX(Curves!$B$4:$AR$4,1,70-Projects!$C$18+1),0)+IF(AND(Projects!$G$19="Yes",Projects!$X$19="Yes",Projects!$M$19="Yes",70&gt;=Projects!$C$19,70&lt;Projects!$C$19+Projects!$D$19),Projects!$B$19*INDEX(Curves!$B$10:$AR$10,1,70-Projects!$C$19+1),0)+IF(AND(Projects!$G$20="Yes",Projects!$X$20="Yes",Projects!$M$20="Yes",70&gt;=Projects!$C$20,70&lt;Projects!$C$20+Projects!$D$20),Projects!$B$20*INDEX(Curves!$B$4:$AR$4,1,70-Projects!$C$20+1),0)+IF(AND(Projects!$G$21="Yes",Projects!$X$21="Yes",Projects!$M$21="Yes",70&gt;=Projects!$C$21,70&lt;Projects!$C$21+Projects!$D$21),Projects!$B$21*INDEX(Curves!$B$11:$AR$11,1,70-Projects!$C$21+1),0)+IF(AND(Projects!$G$22="Yes",Projects!$X$22="Yes",Projects!$M$22="Yes",70&gt;=Projects!$C$22,70&lt;Projects!$C$22+Projects!$D$22),Projects!$B$22*INDEX(Curves!$B$4:$AR$4,1,70-Projects!$C$22+1),0)+IF(AND(Projects!$G$23="Yes",Projects!$X$23="Yes",Projects!$M$23="Yes",70&gt;=Projects!$C$23,70&lt;Projects!$C$23+Projects!$D$23),Projects!$B$23*INDEX(Curves!$B$4:$AR$4,1,70-Projects!$C$23+1),0)+IF(AND(Projects!$G$24="Yes",Projects!$X$24="Yes",Projects!$M$24="Yes",70&gt;=Projects!$C$24,70&lt;Projects!$C$24+Projects!$D$24),Projects!$B$24*INDEX(Curves!$B$4:$AR$4,1,70-Projects!$C$24+1),0)+IF(AND(Projects!$G$25="Yes",Projects!$X$25="Yes",Projects!$M$25="Yes",70&gt;=Projects!$C$25,70&lt;Projects!$C$25+Projects!$D$25),Projects!$B$25*INDEX(Curves!$B$4:$AR$4,1,70-Projects!$C$25+1),0)+IF(AND(Projects!$G$26="Yes",Projects!$X$26="Yes",Projects!$M$26="Yes",70&gt;=Projects!$C$26,70&lt;Projects!$C$26+Projects!$D$26),Projects!$B$26*INDEX(Curves!$B$4:$AR$4,1,70-Projects!$C$26+1),0)+IF(AND(Projects!$G$27="Yes",Projects!$X$27="Yes",Projects!$M$27="Yes",70&gt;=Projects!$C$27,70&lt;Projects!$C$27+Projects!$D$27),Projects!$B$27*INDEX(Curves!$B$4:$AR$4,1,70-Projects!$C$27+1),0)+IF(AND(Projects!$G$28="Yes",Projects!$X$28="Yes",Projects!$M$28="Yes",70&gt;=Projects!$C$28,70&lt;Projects!$C$28+Projects!$D$28),Projects!$B$28*INDEX(Curves!$B$4:$AR$4,1,70-Projects!$C$28+1),0)+IF(AND(Projects!$G$29="Yes",Projects!$X$29="Yes",Projects!$M$29="Yes",70&gt;=Projects!$C$29,70&lt;Projects!$C$29+Projects!$D$29),Projects!$B$29*INDEX(Curves!$B$4:$AR$4,1,70-Projects!$C$29+1),0)+IF(AND(Projects!$G$30="Yes",Projects!$X$30="Yes",Projects!$M$30="Yes",70&gt;=Projects!$C$30,70&lt;Projects!$C$30+Projects!$D$30),Projects!$B$30*INDEX(Curves!$B$4:$AR$4,1,70-Projects!$C$30+1),0)+IF(AND(Projects!$G$31="Yes",Projects!$X$31="Yes",Projects!$M$31="Yes",70&gt;=Projects!$C$31,70&lt;Projects!$C$31+Projects!$D$31),Projects!$B$31*INDEX(Curves!$B$4:$AR$4,1,70-Projects!$C$31+1),0)+IF(AND(Projects!$G$32="Yes",Projects!$X$32="Yes",Projects!$M$32="Yes",70&gt;=Projects!$C$32,70&lt;Projects!$C$32+Projects!$D$32),Projects!$B$32*INDEX(Curves!$B$4:$AR$4,1,70-Projects!$C$32+1),0)+IF(AND(Projects!$G$33="Yes",Projects!$X$33="Yes",Projects!$M$33="Yes",70&gt;=Projects!$C$33,70&lt;Projects!$C$33+Projects!$D$33),Projects!$B$33*INDEX(Curves!$B$4:$AR$4,1,70-Projects!$C$33+1),0)+IF(AND(Projects!$G$34="Yes",Projects!$X$34="Yes",Projects!$M$34="Yes",70&gt;=Projects!$C$34,70&lt;Projects!$C$34+Projects!$D$34),Projects!$B$34*INDEX(Curves!$B$4:$AR$4,1,70-Projects!$C$34+1),0)+IF(AND(Projects!$G$35="Yes",Projects!$X$35="Yes",Projects!$M$35="Yes",70&gt;=Projects!$C$35,70&lt;Projects!$C$35+Projects!$D$35),Projects!$B$35*INDEX(Curves!$B$4:$AR$4,1,70-Projects!$C$35+1),0)+IF(AND(Projects!$G$36="Yes",Projects!$X$36="Yes",Projects!$M$36="Yes",70&gt;=Projects!$C$36,70&lt;Projects!$C$36+Projects!$D$36),Projects!$B$36*INDEX(Curves!$B$4:$AR$4,1,70-Projects!$C$36+1),0)+IF(AND(Projects!$G$37="Yes",Projects!$X$37="Yes",Projects!$M$37="Yes",70&gt;=Projects!$C$37,70&lt;Projects!$C$37+Projects!$D$37),Projects!$B$37*INDEX(Curves!$B$4:$AR$4,1,70-Projects!$C$37+1),0)+IF(AND(Projects!$G$38="Yes",Projects!$X$38="Yes",Projects!$M$38="Yes",70&gt;=Projects!$C$38,70&lt;Projects!$C$38+Projects!$D$38),Projects!$B$38*INDEX(Curves!$B$4:$AR$4,1,70-Projects!$C$38+1),0)+IF(AND(Projects!$G$39="Yes",Projects!$X$39="Yes",Projects!$M$39="Yes",70&gt;=Projects!$C$39,70&lt;Projects!$C$39+Projects!$D$39),Projects!$B$39*INDEX(Curves!$B$4:$AR$4,1,70-Projects!$C$39+1),0)+IF(AND(Projects!$G$40="Yes",Projects!$X$40="Yes",Projects!$M$40="Yes",70&gt;=Projects!$C$40,70&lt;Projects!$C$40+Projects!$D$40),Projects!$B$40*INDEX(Curves!$B$4:$AR$4,1,70-Projects!$C$40+1),0)+IF(AND(Projects!$G$41="Yes",Projects!$X$41="Yes",Projects!$M$41="Yes",70&gt;=Projects!$C$41,70&lt;Projects!$C$41+Projects!$D$41),Projects!$B$41*INDEX(Curves!$B$4:$AR$4,1,70-Projects!$C$41+1),0)+IF(AND(Projects!$G$42="Yes",Projects!$X$42="Yes",Projects!$M$42="Yes",70&gt;=Projects!$C$42,70&lt;Projects!$C$42+Projects!$D$42),Projects!$B$42*INDEX(Curves!$B$4:$AR$4,1,70-Projects!$C$42+1),0)+IF(AND(Projects!$G$43="Yes",Projects!$X$43="Yes",Projects!$M$43="Yes",70&gt;=Projects!$C$43,70&lt;Projects!$C$43+Projects!$D$43),Projects!$B$43*INDEX(Curves!$B$4:$AR$4,1,70-Projects!$C$43+1),0)+IF(AND(Projects!$G$44="Yes",Projects!$X$44="Yes",Projects!$M$44="Yes",70&gt;=Projects!$C$44,70&lt;Projects!$C$44+Projects!$D$44),Projects!$B$44*INDEX(Curves!$B$4:$AR$4,1,70-Projects!$C$44+1),0)+IF(AND(Projects!$G$45="Yes",Projects!$X$45="Yes",Projects!$M$45="Yes",70&gt;=Projects!$C$45,70&lt;Projects!$C$45+Projects!$D$45),Projects!$B$45*INDEX(Curves!$B$4:$AR$4,1,70-Projects!$C$45+1),0)+IF(AND(Projects!$G$46="Yes",Projects!$X$46="Yes",Projects!$M$46="Yes",70&gt;=Projects!$C$46,70&lt;Projects!$C$46+Projects!$D$46),Projects!$B$46*INDEX(Curves!$B$4:$AR$4,1,70-Projects!$C$46+1),0)</f>
        <v>0</v>
      </c>
      <c r="BX101" s="298" t="n">
        <f aca="false">IF(AND(Projects!$G$17="Yes",Projects!$X$17="Yes",Projects!$M$17="Yes",71&gt;=Projects!$C$17,71&lt;Projects!$C$17+Projects!$D$17),Projects!$B$17*INDEX(Curves!$B$4:$AR$4,1,71-Projects!$C$17+1),0)+IF(AND(Projects!$G$18="Yes",Projects!$X$18="Yes",Projects!$M$18="Yes",71&gt;=Projects!$C$18,71&lt;Projects!$C$18+Projects!$D$18),Projects!$B$18*INDEX(Curves!$B$4:$AR$4,1,71-Projects!$C$18+1),0)+IF(AND(Projects!$G$19="Yes",Projects!$X$19="Yes",Projects!$M$19="Yes",71&gt;=Projects!$C$19,71&lt;Projects!$C$19+Projects!$D$19),Projects!$B$19*INDEX(Curves!$B$10:$AR$10,1,71-Projects!$C$19+1),0)+IF(AND(Projects!$G$20="Yes",Projects!$X$20="Yes",Projects!$M$20="Yes",71&gt;=Projects!$C$20,71&lt;Projects!$C$20+Projects!$D$20),Projects!$B$20*INDEX(Curves!$B$4:$AR$4,1,71-Projects!$C$20+1),0)+IF(AND(Projects!$G$21="Yes",Projects!$X$21="Yes",Projects!$M$21="Yes",71&gt;=Projects!$C$21,71&lt;Projects!$C$21+Projects!$D$21),Projects!$B$21*INDEX(Curves!$B$11:$AR$11,1,71-Projects!$C$21+1),0)+IF(AND(Projects!$G$22="Yes",Projects!$X$22="Yes",Projects!$M$22="Yes",71&gt;=Projects!$C$22,71&lt;Projects!$C$22+Projects!$D$22),Projects!$B$22*INDEX(Curves!$B$4:$AR$4,1,71-Projects!$C$22+1),0)+IF(AND(Projects!$G$23="Yes",Projects!$X$23="Yes",Projects!$M$23="Yes",71&gt;=Projects!$C$23,71&lt;Projects!$C$23+Projects!$D$23),Projects!$B$23*INDEX(Curves!$B$4:$AR$4,1,71-Projects!$C$23+1),0)+IF(AND(Projects!$G$24="Yes",Projects!$X$24="Yes",Projects!$M$24="Yes",71&gt;=Projects!$C$24,71&lt;Projects!$C$24+Projects!$D$24),Projects!$B$24*INDEX(Curves!$B$4:$AR$4,1,71-Projects!$C$24+1),0)+IF(AND(Projects!$G$25="Yes",Projects!$X$25="Yes",Projects!$M$25="Yes",71&gt;=Projects!$C$25,71&lt;Projects!$C$25+Projects!$D$25),Projects!$B$25*INDEX(Curves!$B$4:$AR$4,1,71-Projects!$C$25+1),0)+IF(AND(Projects!$G$26="Yes",Projects!$X$26="Yes",Projects!$M$26="Yes",71&gt;=Projects!$C$26,71&lt;Projects!$C$26+Projects!$D$26),Projects!$B$26*INDEX(Curves!$B$4:$AR$4,1,71-Projects!$C$26+1),0)+IF(AND(Projects!$G$27="Yes",Projects!$X$27="Yes",Projects!$M$27="Yes",71&gt;=Projects!$C$27,71&lt;Projects!$C$27+Projects!$D$27),Projects!$B$27*INDEX(Curves!$B$4:$AR$4,1,71-Projects!$C$27+1),0)+IF(AND(Projects!$G$28="Yes",Projects!$X$28="Yes",Projects!$M$28="Yes",71&gt;=Projects!$C$28,71&lt;Projects!$C$28+Projects!$D$28),Projects!$B$28*INDEX(Curves!$B$4:$AR$4,1,71-Projects!$C$28+1),0)+IF(AND(Projects!$G$29="Yes",Projects!$X$29="Yes",Projects!$M$29="Yes",71&gt;=Projects!$C$29,71&lt;Projects!$C$29+Projects!$D$29),Projects!$B$29*INDEX(Curves!$B$4:$AR$4,1,71-Projects!$C$29+1),0)+IF(AND(Projects!$G$30="Yes",Projects!$X$30="Yes",Projects!$M$30="Yes",71&gt;=Projects!$C$30,71&lt;Projects!$C$30+Projects!$D$30),Projects!$B$30*INDEX(Curves!$B$4:$AR$4,1,71-Projects!$C$30+1),0)+IF(AND(Projects!$G$31="Yes",Projects!$X$31="Yes",Projects!$M$31="Yes",71&gt;=Projects!$C$31,71&lt;Projects!$C$31+Projects!$D$31),Projects!$B$31*INDEX(Curves!$B$4:$AR$4,1,71-Projects!$C$31+1),0)+IF(AND(Projects!$G$32="Yes",Projects!$X$32="Yes",Projects!$M$32="Yes",71&gt;=Projects!$C$32,71&lt;Projects!$C$32+Projects!$D$32),Projects!$B$32*INDEX(Curves!$B$4:$AR$4,1,71-Projects!$C$32+1),0)+IF(AND(Projects!$G$33="Yes",Projects!$X$33="Yes",Projects!$M$33="Yes",71&gt;=Projects!$C$33,71&lt;Projects!$C$33+Projects!$D$33),Projects!$B$33*INDEX(Curves!$B$4:$AR$4,1,71-Projects!$C$33+1),0)+IF(AND(Projects!$G$34="Yes",Projects!$X$34="Yes",Projects!$M$34="Yes",71&gt;=Projects!$C$34,71&lt;Projects!$C$34+Projects!$D$34),Projects!$B$34*INDEX(Curves!$B$4:$AR$4,1,71-Projects!$C$34+1),0)+IF(AND(Projects!$G$35="Yes",Projects!$X$35="Yes",Projects!$M$35="Yes",71&gt;=Projects!$C$35,71&lt;Projects!$C$35+Projects!$D$35),Projects!$B$35*INDEX(Curves!$B$4:$AR$4,1,71-Projects!$C$35+1),0)+IF(AND(Projects!$G$36="Yes",Projects!$X$36="Yes",Projects!$M$36="Yes",71&gt;=Projects!$C$36,71&lt;Projects!$C$36+Projects!$D$36),Projects!$B$36*INDEX(Curves!$B$4:$AR$4,1,71-Projects!$C$36+1),0)+IF(AND(Projects!$G$37="Yes",Projects!$X$37="Yes",Projects!$M$37="Yes",71&gt;=Projects!$C$37,71&lt;Projects!$C$37+Projects!$D$37),Projects!$B$37*INDEX(Curves!$B$4:$AR$4,1,71-Projects!$C$37+1),0)+IF(AND(Projects!$G$38="Yes",Projects!$X$38="Yes",Projects!$M$38="Yes",71&gt;=Projects!$C$38,71&lt;Projects!$C$38+Projects!$D$38),Projects!$B$38*INDEX(Curves!$B$4:$AR$4,1,71-Projects!$C$38+1),0)+IF(AND(Projects!$G$39="Yes",Projects!$X$39="Yes",Projects!$M$39="Yes",71&gt;=Projects!$C$39,71&lt;Projects!$C$39+Projects!$D$39),Projects!$B$39*INDEX(Curves!$B$4:$AR$4,1,71-Projects!$C$39+1),0)+IF(AND(Projects!$G$40="Yes",Projects!$X$40="Yes",Projects!$M$40="Yes",71&gt;=Projects!$C$40,71&lt;Projects!$C$40+Projects!$D$40),Projects!$B$40*INDEX(Curves!$B$4:$AR$4,1,71-Projects!$C$40+1),0)+IF(AND(Projects!$G$41="Yes",Projects!$X$41="Yes",Projects!$M$41="Yes",71&gt;=Projects!$C$41,71&lt;Projects!$C$41+Projects!$D$41),Projects!$B$41*INDEX(Curves!$B$4:$AR$4,1,71-Projects!$C$41+1),0)+IF(AND(Projects!$G$42="Yes",Projects!$X$42="Yes",Projects!$M$42="Yes",71&gt;=Projects!$C$42,71&lt;Projects!$C$42+Projects!$D$42),Projects!$B$42*INDEX(Curves!$B$4:$AR$4,1,71-Projects!$C$42+1),0)+IF(AND(Projects!$G$43="Yes",Projects!$X$43="Yes",Projects!$M$43="Yes",71&gt;=Projects!$C$43,71&lt;Projects!$C$43+Projects!$D$43),Projects!$B$43*INDEX(Curves!$B$4:$AR$4,1,71-Projects!$C$43+1),0)+IF(AND(Projects!$G$44="Yes",Projects!$X$44="Yes",Projects!$M$44="Yes",71&gt;=Projects!$C$44,71&lt;Projects!$C$44+Projects!$D$44),Projects!$B$44*INDEX(Curves!$B$4:$AR$4,1,71-Projects!$C$44+1),0)+IF(AND(Projects!$G$45="Yes",Projects!$X$45="Yes",Projects!$M$45="Yes",71&gt;=Projects!$C$45,71&lt;Projects!$C$45+Projects!$D$45),Projects!$B$45*INDEX(Curves!$B$4:$AR$4,1,71-Projects!$C$45+1),0)+IF(AND(Projects!$G$46="Yes",Projects!$X$46="Yes",Projects!$M$46="Yes",71&gt;=Projects!$C$46,71&lt;Projects!$C$46+Projects!$D$46),Projects!$B$46*INDEX(Curves!$B$4:$AR$4,1,71-Projects!$C$46+1),0)</f>
        <v>0</v>
      </c>
      <c r="BY101" s="298" t="n">
        <f aca="false">IF(AND(Projects!$G$17="Yes",Projects!$X$17="Yes",Projects!$M$17="Yes",72&gt;=Projects!$C$17,72&lt;Projects!$C$17+Projects!$D$17),Projects!$B$17*INDEX(Curves!$B$4:$AR$4,1,72-Projects!$C$17+1),0)+IF(AND(Projects!$G$18="Yes",Projects!$X$18="Yes",Projects!$M$18="Yes",72&gt;=Projects!$C$18,72&lt;Projects!$C$18+Projects!$D$18),Projects!$B$18*INDEX(Curves!$B$4:$AR$4,1,72-Projects!$C$18+1),0)+IF(AND(Projects!$G$19="Yes",Projects!$X$19="Yes",Projects!$M$19="Yes",72&gt;=Projects!$C$19,72&lt;Projects!$C$19+Projects!$D$19),Projects!$B$19*INDEX(Curves!$B$10:$AR$10,1,72-Projects!$C$19+1),0)+IF(AND(Projects!$G$20="Yes",Projects!$X$20="Yes",Projects!$M$20="Yes",72&gt;=Projects!$C$20,72&lt;Projects!$C$20+Projects!$D$20),Projects!$B$20*INDEX(Curves!$B$4:$AR$4,1,72-Projects!$C$20+1),0)+IF(AND(Projects!$G$21="Yes",Projects!$X$21="Yes",Projects!$M$21="Yes",72&gt;=Projects!$C$21,72&lt;Projects!$C$21+Projects!$D$21),Projects!$B$21*INDEX(Curves!$B$11:$AR$11,1,72-Projects!$C$21+1),0)+IF(AND(Projects!$G$22="Yes",Projects!$X$22="Yes",Projects!$M$22="Yes",72&gt;=Projects!$C$22,72&lt;Projects!$C$22+Projects!$D$22),Projects!$B$22*INDEX(Curves!$B$4:$AR$4,1,72-Projects!$C$22+1),0)+IF(AND(Projects!$G$23="Yes",Projects!$X$23="Yes",Projects!$M$23="Yes",72&gt;=Projects!$C$23,72&lt;Projects!$C$23+Projects!$D$23),Projects!$B$23*INDEX(Curves!$B$4:$AR$4,1,72-Projects!$C$23+1),0)+IF(AND(Projects!$G$24="Yes",Projects!$X$24="Yes",Projects!$M$24="Yes",72&gt;=Projects!$C$24,72&lt;Projects!$C$24+Projects!$D$24),Projects!$B$24*INDEX(Curves!$B$4:$AR$4,1,72-Projects!$C$24+1),0)+IF(AND(Projects!$G$25="Yes",Projects!$X$25="Yes",Projects!$M$25="Yes",72&gt;=Projects!$C$25,72&lt;Projects!$C$25+Projects!$D$25),Projects!$B$25*INDEX(Curves!$B$4:$AR$4,1,72-Projects!$C$25+1),0)+IF(AND(Projects!$G$26="Yes",Projects!$X$26="Yes",Projects!$M$26="Yes",72&gt;=Projects!$C$26,72&lt;Projects!$C$26+Projects!$D$26),Projects!$B$26*INDEX(Curves!$B$4:$AR$4,1,72-Projects!$C$26+1),0)+IF(AND(Projects!$G$27="Yes",Projects!$X$27="Yes",Projects!$M$27="Yes",72&gt;=Projects!$C$27,72&lt;Projects!$C$27+Projects!$D$27),Projects!$B$27*INDEX(Curves!$B$4:$AR$4,1,72-Projects!$C$27+1),0)+IF(AND(Projects!$G$28="Yes",Projects!$X$28="Yes",Projects!$M$28="Yes",72&gt;=Projects!$C$28,72&lt;Projects!$C$28+Projects!$D$28),Projects!$B$28*INDEX(Curves!$B$4:$AR$4,1,72-Projects!$C$28+1),0)+IF(AND(Projects!$G$29="Yes",Projects!$X$29="Yes",Projects!$M$29="Yes",72&gt;=Projects!$C$29,72&lt;Projects!$C$29+Projects!$D$29),Projects!$B$29*INDEX(Curves!$B$4:$AR$4,1,72-Projects!$C$29+1),0)+IF(AND(Projects!$G$30="Yes",Projects!$X$30="Yes",Projects!$M$30="Yes",72&gt;=Projects!$C$30,72&lt;Projects!$C$30+Projects!$D$30),Projects!$B$30*INDEX(Curves!$B$4:$AR$4,1,72-Projects!$C$30+1),0)+IF(AND(Projects!$G$31="Yes",Projects!$X$31="Yes",Projects!$M$31="Yes",72&gt;=Projects!$C$31,72&lt;Projects!$C$31+Projects!$D$31),Projects!$B$31*INDEX(Curves!$B$4:$AR$4,1,72-Projects!$C$31+1),0)+IF(AND(Projects!$G$32="Yes",Projects!$X$32="Yes",Projects!$M$32="Yes",72&gt;=Projects!$C$32,72&lt;Projects!$C$32+Projects!$D$32),Projects!$B$32*INDEX(Curves!$B$4:$AR$4,1,72-Projects!$C$32+1),0)+IF(AND(Projects!$G$33="Yes",Projects!$X$33="Yes",Projects!$M$33="Yes",72&gt;=Projects!$C$33,72&lt;Projects!$C$33+Projects!$D$33),Projects!$B$33*INDEX(Curves!$B$4:$AR$4,1,72-Projects!$C$33+1),0)+IF(AND(Projects!$G$34="Yes",Projects!$X$34="Yes",Projects!$M$34="Yes",72&gt;=Projects!$C$34,72&lt;Projects!$C$34+Projects!$D$34),Projects!$B$34*INDEX(Curves!$B$4:$AR$4,1,72-Projects!$C$34+1),0)+IF(AND(Projects!$G$35="Yes",Projects!$X$35="Yes",Projects!$M$35="Yes",72&gt;=Projects!$C$35,72&lt;Projects!$C$35+Projects!$D$35),Projects!$B$35*INDEX(Curves!$B$4:$AR$4,1,72-Projects!$C$35+1),0)+IF(AND(Projects!$G$36="Yes",Projects!$X$36="Yes",Projects!$M$36="Yes",72&gt;=Projects!$C$36,72&lt;Projects!$C$36+Projects!$D$36),Projects!$B$36*INDEX(Curves!$B$4:$AR$4,1,72-Projects!$C$36+1),0)+IF(AND(Projects!$G$37="Yes",Projects!$X$37="Yes",Projects!$M$37="Yes",72&gt;=Projects!$C$37,72&lt;Projects!$C$37+Projects!$D$37),Projects!$B$37*INDEX(Curves!$B$4:$AR$4,1,72-Projects!$C$37+1),0)+IF(AND(Projects!$G$38="Yes",Projects!$X$38="Yes",Projects!$M$38="Yes",72&gt;=Projects!$C$38,72&lt;Projects!$C$38+Projects!$D$38),Projects!$B$38*INDEX(Curves!$B$4:$AR$4,1,72-Projects!$C$38+1),0)+IF(AND(Projects!$G$39="Yes",Projects!$X$39="Yes",Projects!$M$39="Yes",72&gt;=Projects!$C$39,72&lt;Projects!$C$39+Projects!$D$39),Projects!$B$39*INDEX(Curves!$B$4:$AR$4,1,72-Projects!$C$39+1),0)+IF(AND(Projects!$G$40="Yes",Projects!$X$40="Yes",Projects!$M$40="Yes",72&gt;=Projects!$C$40,72&lt;Projects!$C$40+Projects!$D$40),Projects!$B$40*INDEX(Curves!$B$4:$AR$4,1,72-Projects!$C$40+1),0)+IF(AND(Projects!$G$41="Yes",Projects!$X$41="Yes",Projects!$M$41="Yes",72&gt;=Projects!$C$41,72&lt;Projects!$C$41+Projects!$D$41),Projects!$B$41*INDEX(Curves!$B$4:$AR$4,1,72-Projects!$C$41+1),0)+IF(AND(Projects!$G$42="Yes",Projects!$X$42="Yes",Projects!$M$42="Yes",72&gt;=Projects!$C$42,72&lt;Projects!$C$42+Projects!$D$42),Projects!$B$42*INDEX(Curves!$B$4:$AR$4,1,72-Projects!$C$42+1),0)+IF(AND(Projects!$G$43="Yes",Projects!$X$43="Yes",Projects!$M$43="Yes",72&gt;=Projects!$C$43,72&lt;Projects!$C$43+Projects!$D$43),Projects!$B$43*INDEX(Curves!$B$4:$AR$4,1,72-Projects!$C$43+1),0)+IF(AND(Projects!$G$44="Yes",Projects!$X$44="Yes",Projects!$M$44="Yes",72&gt;=Projects!$C$44,72&lt;Projects!$C$44+Projects!$D$44),Projects!$B$44*INDEX(Curves!$B$4:$AR$4,1,72-Projects!$C$44+1),0)+IF(AND(Projects!$G$45="Yes",Projects!$X$45="Yes",Projects!$M$45="Yes",72&gt;=Projects!$C$45,72&lt;Projects!$C$45+Projects!$D$45),Projects!$B$45*INDEX(Curves!$B$4:$AR$4,1,72-Projects!$C$45+1),0)+IF(AND(Projects!$G$46="Yes",Projects!$X$46="Yes",Projects!$M$46="Yes",72&gt;=Projects!$C$46,72&lt;Projects!$C$46+Projects!$D$46),Projects!$B$46*INDEX(Curves!$B$4:$AR$4,1,72-Projects!$C$46+1),0)</f>
        <v>0</v>
      </c>
      <c r="BZ101" s="298" t="n">
        <f aca="false">IF(AND(Projects!$G$17="Yes",Projects!$X$17="Yes",Projects!$M$17="Yes",73&gt;=Projects!$C$17,73&lt;Projects!$C$17+Projects!$D$17),Projects!$B$17*INDEX(Curves!$B$4:$AR$4,1,73-Projects!$C$17+1),0)+IF(AND(Projects!$G$18="Yes",Projects!$X$18="Yes",Projects!$M$18="Yes",73&gt;=Projects!$C$18,73&lt;Projects!$C$18+Projects!$D$18),Projects!$B$18*INDEX(Curves!$B$4:$AR$4,1,73-Projects!$C$18+1),0)+IF(AND(Projects!$G$19="Yes",Projects!$X$19="Yes",Projects!$M$19="Yes",73&gt;=Projects!$C$19,73&lt;Projects!$C$19+Projects!$D$19),Projects!$B$19*INDEX(Curves!$B$10:$AR$10,1,73-Projects!$C$19+1),0)+IF(AND(Projects!$G$20="Yes",Projects!$X$20="Yes",Projects!$M$20="Yes",73&gt;=Projects!$C$20,73&lt;Projects!$C$20+Projects!$D$20),Projects!$B$20*INDEX(Curves!$B$4:$AR$4,1,73-Projects!$C$20+1),0)+IF(AND(Projects!$G$21="Yes",Projects!$X$21="Yes",Projects!$M$21="Yes",73&gt;=Projects!$C$21,73&lt;Projects!$C$21+Projects!$D$21),Projects!$B$21*INDEX(Curves!$B$11:$AR$11,1,73-Projects!$C$21+1),0)+IF(AND(Projects!$G$22="Yes",Projects!$X$22="Yes",Projects!$M$22="Yes",73&gt;=Projects!$C$22,73&lt;Projects!$C$22+Projects!$D$22),Projects!$B$22*INDEX(Curves!$B$4:$AR$4,1,73-Projects!$C$22+1),0)+IF(AND(Projects!$G$23="Yes",Projects!$X$23="Yes",Projects!$M$23="Yes",73&gt;=Projects!$C$23,73&lt;Projects!$C$23+Projects!$D$23),Projects!$B$23*INDEX(Curves!$B$4:$AR$4,1,73-Projects!$C$23+1),0)+IF(AND(Projects!$G$24="Yes",Projects!$X$24="Yes",Projects!$M$24="Yes",73&gt;=Projects!$C$24,73&lt;Projects!$C$24+Projects!$D$24),Projects!$B$24*INDEX(Curves!$B$4:$AR$4,1,73-Projects!$C$24+1),0)+IF(AND(Projects!$G$25="Yes",Projects!$X$25="Yes",Projects!$M$25="Yes",73&gt;=Projects!$C$25,73&lt;Projects!$C$25+Projects!$D$25),Projects!$B$25*INDEX(Curves!$B$4:$AR$4,1,73-Projects!$C$25+1),0)+IF(AND(Projects!$G$26="Yes",Projects!$X$26="Yes",Projects!$M$26="Yes",73&gt;=Projects!$C$26,73&lt;Projects!$C$26+Projects!$D$26),Projects!$B$26*INDEX(Curves!$B$4:$AR$4,1,73-Projects!$C$26+1),0)+IF(AND(Projects!$G$27="Yes",Projects!$X$27="Yes",Projects!$M$27="Yes",73&gt;=Projects!$C$27,73&lt;Projects!$C$27+Projects!$D$27),Projects!$B$27*INDEX(Curves!$B$4:$AR$4,1,73-Projects!$C$27+1),0)+IF(AND(Projects!$G$28="Yes",Projects!$X$28="Yes",Projects!$M$28="Yes",73&gt;=Projects!$C$28,73&lt;Projects!$C$28+Projects!$D$28),Projects!$B$28*INDEX(Curves!$B$4:$AR$4,1,73-Projects!$C$28+1),0)+IF(AND(Projects!$G$29="Yes",Projects!$X$29="Yes",Projects!$M$29="Yes",73&gt;=Projects!$C$29,73&lt;Projects!$C$29+Projects!$D$29),Projects!$B$29*INDEX(Curves!$B$4:$AR$4,1,73-Projects!$C$29+1),0)+IF(AND(Projects!$G$30="Yes",Projects!$X$30="Yes",Projects!$M$30="Yes",73&gt;=Projects!$C$30,73&lt;Projects!$C$30+Projects!$D$30),Projects!$B$30*INDEX(Curves!$B$4:$AR$4,1,73-Projects!$C$30+1),0)+IF(AND(Projects!$G$31="Yes",Projects!$X$31="Yes",Projects!$M$31="Yes",73&gt;=Projects!$C$31,73&lt;Projects!$C$31+Projects!$D$31),Projects!$B$31*INDEX(Curves!$B$4:$AR$4,1,73-Projects!$C$31+1),0)+IF(AND(Projects!$G$32="Yes",Projects!$X$32="Yes",Projects!$M$32="Yes",73&gt;=Projects!$C$32,73&lt;Projects!$C$32+Projects!$D$32),Projects!$B$32*INDEX(Curves!$B$4:$AR$4,1,73-Projects!$C$32+1),0)+IF(AND(Projects!$G$33="Yes",Projects!$X$33="Yes",Projects!$M$33="Yes",73&gt;=Projects!$C$33,73&lt;Projects!$C$33+Projects!$D$33),Projects!$B$33*INDEX(Curves!$B$4:$AR$4,1,73-Projects!$C$33+1),0)+IF(AND(Projects!$G$34="Yes",Projects!$X$34="Yes",Projects!$M$34="Yes",73&gt;=Projects!$C$34,73&lt;Projects!$C$34+Projects!$D$34),Projects!$B$34*INDEX(Curves!$B$4:$AR$4,1,73-Projects!$C$34+1),0)+IF(AND(Projects!$G$35="Yes",Projects!$X$35="Yes",Projects!$M$35="Yes",73&gt;=Projects!$C$35,73&lt;Projects!$C$35+Projects!$D$35),Projects!$B$35*INDEX(Curves!$B$4:$AR$4,1,73-Projects!$C$35+1),0)+IF(AND(Projects!$G$36="Yes",Projects!$X$36="Yes",Projects!$M$36="Yes",73&gt;=Projects!$C$36,73&lt;Projects!$C$36+Projects!$D$36),Projects!$B$36*INDEX(Curves!$B$4:$AR$4,1,73-Projects!$C$36+1),0)+IF(AND(Projects!$G$37="Yes",Projects!$X$37="Yes",Projects!$M$37="Yes",73&gt;=Projects!$C$37,73&lt;Projects!$C$37+Projects!$D$37),Projects!$B$37*INDEX(Curves!$B$4:$AR$4,1,73-Projects!$C$37+1),0)+IF(AND(Projects!$G$38="Yes",Projects!$X$38="Yes",Projects!$M$38="Yes",73&gt;=Projects!$C$38,73&lt;Projects!$C$38+Projects!$D$38),Projects!$B$38*INDEX(Curves!$B$4:$AR$4,1,73-Projects!$C$38+1),0)+IF(AND(Projects!$G$39="Yes",Projects!$X$39="Yes",Projects!$M$39="Yes",73&gt;=Projects!$C$39,73&lt;Projects!$C$39+Projects!$D$39),Projects!$B$39*INDEX(Curves!$B$4:$AR$4,1,73-Projects!$C$39+1),0)+IF(AND(Projects!$G$40="Yes",Projects!$X$40="Yes",Projects!$M$40="Yes",73&gt;=Projects!$C$40,73&lt;Projects!$C$40+Projects!$D$40),Projects!$B$40*INDEX(Curves!$B$4:$AR$4,1,73-Projects!$C$40+1),0)+IF(AND(Projects!$G$41="Yes",Projects!$X$41="Yes",Projects!$M$41="Yes",73&gt;=Projects!$C$41,73&lt;Projects!$C$41+Projects!$D$41),Projects!$B$41*INDEX(Curves!$B$4:$AR$4,1,73-Projects!$C$41+1),0)+IF(AND(Projects!$G$42="Yes",Projects!$X$42="Yes",Projects!$M$42="Yes",73&gt;=Projects!$C$42,73&lt;Projects!$C$42+Projects!$D$42),Projects!$B$42*INDEX(Curves!$B$4:$AR$4,1,73-Projects!$C$42+1),0)+IF(AND(Projects!$G$43="Yes",Projects!$X$43="Yes",Projects!$M$43="Yes",73&gt;=Projects!$C$43,73&lt;Projects!$C$43+Projects!$D$43),Projects!$B$43*INDEX(Curves!$B$4:$AR$4,1,73-Projects!$C$43+1),0)+IF(AND(Projects!$G$44="Yes",Projects!$X$44="Yes",Projects!$M$44="Yes",73&gt;=Projects!$C$44,73&lt;Projects!$C$44+Projects!$D$44),Projects!$B$44*INDEX(Curves!$B$4:$AR$4,1,73-Projects!$C$44+1),0)+IF(AND(Projects!$G$45="Yes",Projects!$X$45="Yes",Projects!$M$45="Yes",73&gt;=Projects!$C$45,73&lt;Projects!$C$45+Projects!$D$45),Projects!$B$45*INDEX(Curves!$B$4:$AR$4,1,73-Projects!$C$45+1),0)+IF(AND(Projects!$G$46="Yes",Projects!$X$46="Yes",Projects!$M$46="Yes",73&gt;=Projects!$C$46,73&lt;Projects!$C$46+Projects!$D$46),Projects!$B$46*INDEX(Curves!$B$4:$AR$4,1,73-Projects!$C$46+1),0)</f>
        <v>0</v>
      </c>
      <c r="CA101" s="298" t="n">
        <f aca="false">IF(AND(Projects!$G$17="Yes",Projects!$X$17="Yes",Projects!$M$17="Yes",74&gt;=Projects!$C$17,74&lt;Projects!$C$17+Projects!$D$17),Projects!$B$17*INDEX(Curves!$B$4:$AR$4,1,74-Projects!$C$17+1),0)+IF(AND(Projects!$G$18="Yes",Projects!$X$18="Yes",Projects!$M$18="Yes",74&gt;=Projects!$C$18,74&lt;Projects!$C$18+Projects!$D$18),Projects!$B$18*INDEX(Curves!$B$4:$AR$4,1,74-Projects!$C$18+1),0)+IF(AND(Projects!$G$19="Yes",Projects!$X$19="Yes",Projects!$M$19="Yes",74&gt;=Projects!$C$19,74&lt;Projects!$C$19+Projects!$D$19),Projects!$B$19*INDEX(Curves!$B$10:$AR$10,1,74-Projects!$C$19+1),0)+IF(AND(Projects!$G$20="Yes",Projects!$X$20="Yes",Projects!$M$20="Yes",74&gt;=Projects!$C$20,74&lt;Projects!$C$20+Projects!$D$20),Projects!$B$20*INDEX(Curves!$B$4:$AR$4,1,74-Projects!$C$20+1),0)+IF(AND(Projects!$G$21="Yes",Projects!$X$21="Yes",Projects!$M$21="Yes",74&gt;=Projects!$C$21,74&lt;Projects!$C$21+Projects!$D$21),Projects!$B$21*INDEX(Curves!$B$11:$AR$11,1,74-Projects!$C$21+1),0)+IF(AND(Projects!$G$22="Yes",Projects!$X$22="Yes",Projects!$M$22="Yes",74&gt;=Projects!$C$22,74&lt;Projects!$C$22+Projects!$D$22),Projects!$B$22*INDEX(Curves!$B$4:$AR$4,1,74-Projects!$C$22+1),0)+IF(AND(Projects!$G$23="Yes",Projects!$X$23="Yes",Projects!$M$23="Yes",74&gt;=Projects!$C$23,74&lt;Projects!$C$23+Projects!$D$23),Projects!$B$23*INDEX(Curves!$B$4:$AR$4,1,74-Projects!$C$23+1),0)+IF(AND(Projects!$G$24="Yes",Projects!$X$24="Yes",Projects!$M$24="Yes",74&gt;=Projects!$C$24,74&lt;Projects!$C$24+Projects!$D$24),Projects!$B$24*INDEX(Curves!$B$4:$AR$4,1,74-Projects!$C$24+1),0)+IF(AND(Projects!$G$25="Yes",Projects!$X$25="Yes",Projects!$M$25="Yes",74&gt;=Projects!$C$25,74&lt;Projects!$C$25+Projects!$D$25),Projects!$B$25*INDEX(Curves!$B$4:$AR$4,1,74-Projects!$C$25+1),0)+IF(AND(Projects!$G$26="Yes",Projects!$X$26="Yes",Projects!$M$26="Yes",74&gt;=Projects!$C$26,74&lt;Projects!$C$26+Projects!$D$26),Projects!$B$26*INDEX(Curves!$B$4:$AR$4,1,74-Projects!$C$26+1),0)+IF(AND(Projects!$G$27="Yes",Projects!$X$27="Yes",Projects!$M$27="Yes",74&gt;=Projects!$C$27,74&lt;Projects!$C$27+Projects!$D$27),Projects!$B$27*INDEX(Curves!$B$4:$AR$4,1,74-Projects!$C$27+1),0)+IF(AND(Projects!$G$28="Yes",Projects!$X$28="Yes",Projects!$M$28="Yes",74&gt;=Projects!$C$28,74&lt;Projects!$C$28+Projects!$D$28),Projects!$B$28*INDEX(Curves!$B$4:$AR$4,1,74-Projects!$C$28+1),0)+IF(AND(Projects!$G$29="Yes",Projects!$X$29="Yes",Projects!$M$29="Yes",74&gt;=Projects!$C$29,74&lt;Projects!$C$29+Projects!$D$29),Projects!$B$29*INDEX(Curves!$B$4:$AR$4,1,74-Projects!$C$29+1),0)+IF(AND(Projects!$G$30="Yes",Projects!$X$30="Yes",Projects!$M$30="Yes",74&gt;=Projects!$C$30,74&lt;Projects!$C$30+Projects!$D$30),Projects!$B$30*INDEX(Curves!$B$4:$AR$4,1,74-Projects!$C$30+1),0)+IF(AND(Projects!$G$31="Yes",Projects!$X$31="Yes",Projects!$M$31="Yes",74&gt;=Projects!$C$31,74&lt;Projects!$C$31+Projects!$D$31),Projects!$B$31*INDEX(Curves!$B$4:$AR$4,1,74-Projects!$C$31+1),0)+IF(AND(Projects!$G$32="Yes",Projects!$X$32="Yes",Projects!$M$32="Yes",74&gt;=Projects!$C$32,74&lt;Projects!$C$32+Projects!$D$32),Projects!$B$32*INDEX(Curves!$B$4:$AR$4,1,74-Projects!$C$32+1),0)+IF(AND(Projects!$G$33="Yes",Projects!$X$33="Yes",Projects!$M$33="Yes",74&gt;=Projects!$C$33,74&lt;Projects!$C$33+Projects!$D$33),Projects!$B$33*INDEX(Curves!$B$4:$AR$4,1,74-Projects!$C$33+1),0)+IF(AND(Projects!$G$34="Yes",Projects!$X$34="Yes",Projects!$M$34="Yes",74&gt;=Projects!$C$34,74&lt;Projects!$C$34+Projects!$D$34),Projects!$B$34*INDEX(Curves!$B$4:$AR$4,1,74-Projects!$C$34+1),0)+IF(AND(Projects!$G$35="Yes",Projects!$X$35="Yes",Projects!$M$35="Yes",74&gt;=Projects!$C$35,74&lt;Projects!$C$35+Projects!$D$35),Projects!$B$35*INDEX(Curves!$B$4:$AR$4,1,74-Projects!$C$35+1),0)+IF(AND(Projects!$G$36="Yes",Projects!$X$36="Yes",Projects!$M$36="Yes",74&gt;=Projects!$C$36,74&lt;Projects!$C$36+Projects!$D$36),Projects!$B$36*INDEX(Curves!$B$4:$AR$4,1,74-Projects!$C$36+1),0)+IF(AND(Projects!$G$37="Yes",Projects!$X$37="Yes",Projects!$M$37="Yes",74&gt;=Projects!$C$37,74&lt;Projects!$C$37+Projects!$D$37),Projects!$B$37*INDEX(Curves!$B$4:$AR$4,1,74-Projects!$C$37+1),0)+IF(AND(Projects!$G$38="Yes",Projects!$X$38="Yes",Projects!$M$38="Yes",74&gt;=Projects!$C$38,74&lt;Projects!$C$38+Projects!$D$38),Projects!$B$38*INDEX(Curves!$B$4:$AR$4,1,74-Projects!$C$38+1),0)+IF(AND(Projects!$G$39="Yes",Projects!$X$39="Yes",Projects!$M$39="Yes",74&gt;=Projects!$C$39,74&lt;Projects!$C$39+Projects!$D$39),Projects!$B$39*INDEX(Curves!$B$4:$AR$4,1,74-Projects!$C$39+1),0)+IF(AND(Projects!$G$40="Yes",Projects!$X$40="Yes",Projects!$M$40="Yes",74&gt;=Projects!$C$40,74&lt;Projects!$C$40+Projects!$D$40),Projects!$B$40*INDEX(Curves!$B$4:$AR$4,1,74-Projects!$C$40+1),0)+IF(AND(Projects!$G$41="Yes",Projects!$X$41="Yes",Projects!$M$41="Yes",74&gt;=Projects!$C$41,74&lt;Projects!$C$41+Projects!$D$41),Projects!$B$41*INDEX(Curves!$B$4:$AR$4,1,74-Projects!$C$41+1),0)+IF(AND(Projects!$G$42="Yes",Projects!$X$42="Yes",Projects!$M$42="Yes",74&gt;=Projects!$C$42,74&lt;Projects!$C$42+Projects!$D$42),Projects!$B$42*INDEX(Curves!$B$4:$AR$4,1,74-Projects!$C$42+1),0)+IF(AND(Projects!$G$43="Yes",Projects!$X$43="Yes",Projects!$M$43="Yes",74&gt;=Projects!$C$43,74&lt;Projects!$C$43+Projects!$D$43),Projects!$B$43*INDEX(Curves!$B$4:$AR$4,1,74-Projects!$C$43+1),0)+IF(AND(Projects!$G$44="Yes",Projects!$X$44="Yes",Projects!$M$44="Yes",74&gt;=Projects!$C$44,74&lt;Projects!$C$44+Projects!$D$44),Projects!$B$44*INDEX(Curves!$B$4:$AR$4,1,74-Projects!$C$44+1),0)+IF(AND(Projects!$G$45="Yes",Projects!$X$45="Yes",Projects!$M$45="Yes",74&gt;=Projects!$C$45,74&lt;Projects!$C$45+Projects!$D$45),Projects!$B$45*INDEX(Curves!$B$4:$AR$4,1,74-Projects!$C$45+1),0)+IF(AND(Projects!$G$46="Yes",Projects!$X$46="Yes",Projects!$M$46="Yes",74&gt;=Projects!$C$46,74&lt;Projects!$C$46+Projects!$D$46),Projects!$B$46*INDEX(Curves!$B$4:$AR$4,1,74-Projects!$C$46+1),0)</f>
        <v>0</v>
      </c>
      <c r="CB101" s="298" t="n">
        <f aca="false">IF(AND(Projects!$G$17="Yes",Projects!$X$17="Yes",Projects!$M$17="Yes",75&gt;=Projects!$C$17,75&lt;Projects!$C$17+Projects!$D$17),Projects!$B$17*INDEX(Curves!$B$4:$AR$4,1,75-Projects!$C$17+1),0)+IF(AND(Projects!$G$18="Yes",Projects!$X$18="Yes",Projects!$M$18="Yes",75&gt;=Projects!$C$18,75&lt;Projects!$C$18+Projects!$D$18),Projects!$B$18*INDEX(Curves!$B$4:$AR$4,1,75-Projects!$C$18+1),0)+IF(AND(Projects!$G$19="Yes",Projects!$X$19="Yes",Projects!$M$19="Yes",75&gt;=Projects!$C$19,75&lt;Projects!$C$19+Projects!$D$19),Projects!$B$19*INDEX(Curves!$B$10:$AR$10,1,75-Projects!$C$19+1),0)+IF(AND(Projects!$G$20="Yes",Projects!$X$20="Yes",Projects!$M$20="Yes",75&gt;=Projects!$C$20,75&lt;Projects!$C$20+Projects!$D$20),Projects!$B$20*INDEX(Curves!$B$4:$AR$4,1,75-Projects!$C$20+1),0)+IF(AND(Projects!$G$21="Yes",Projects!$X$21="Yes",Projects!$M$21="Yes",75&gt;=Projects!$C$21,75&lt;Projects!$C$21+Projects!$D$21),Projects!$B$21*INDEX(Curves!$B$11:$AR$11,1,75-Projects!$C$21+1),0)+IF(AND(Projects!$G$22="Yes",Projects!$X$22="Yes",Projects!$M$22="Yes",75&gt;=Projects!$C$22,75&lt;Projects!$C$22+Projects!$D$22),Projects!$B$22*INDEX(Curves!$B$4:$AR$4,1,75-Projects!$C$22+1),0)+IF(AND(Projects!$G$23="Yes",Projects!$X$23="Yes",Projects!$M$23="Yes",75&gt;=Projects!$C$23,75&lt;Projects!$C$23+Projects!$D$23),Projects!$B$23*INDEX(Curves!$B$4:$AR$4,1,75-Projects!$C$23+1),0)+IF(AND(Projects!$G$24="Yes",Projects!$X$24="Yes",Projects!$M$24="Yes",75&gt;=Projects!$C$24,75&lt;Projects!$C$24+Projects!$D$24),Projects!$B$24*INDEX(Curves!$B$4:$AR$4,1,75-Projects!$C$24+1),0)+IF(AND(Projects!$G$25="Yes",Projects!$X$25="Yes",Projects!$M$25="Yes",75&gt;=Projects!$C$25,75&lt;Projects!$C$25+Projects!$D$25),Projects!$B$25*INDEX(Curves!$B$4:$AR$4,1,75-Projects!$C$25+1),0)+IF(AND(Projects!$G$26="Yes",Projects!$X$26="Yes",Projects!$M$26="Yes",75&gt;=Projects!$C$26,75&lt;Projects!$C$26+Projects!$D$26),Projects!$B$26*INDEX(Curves!$B$4:$AR$4,1,75-Projects!$C$26+1),0)+IF(AND(Projects!$G$27="Yes",Projects!$X$27="Yes",Projects!$M$27="Yes",75&gt;=Projects!$C$27,75&lt;Projects!$C$27+Projects!$D$27),Projects!$B$27*INDEX(Curves!$B$4:$AR$4,1,75-Projects!$C$27+1),0)+IF(AND(Projects!$G$28="Yes",Projects!$X$28="Yes",Projects!$M$28="Yes",75&gt;=Projects!$C$28,75&lt;Projects!$C$28+Projects!$D$28),Projects!$B$28*INDEX(Curves!$B$4:$AR$4,1,75-Projects!$C$28+1),0)+IF(AND(Projects!$G$29="Yes",Projects!$X$29="Yes",Projects!$M$29="Yes",75&gt;=Projects!$C$29,75&lt;Projects!$C$29+Projects!$D$29),Projects!$B$29*INDEX(Curves!$B$4:$AR$4,1,75-Projects!$C$29+1),0)+IF(AND(Projects!$G$30="Yes",Projects!$X$30="Yes",Projects!$M$30="Yes",75&gt;=Projects!$C$30,75&lt;Projects!$C$30+Projects!$D$30),Projects!$B$30*INDEX(Curves!$B$4:$AR$4,1,75-Projects!$C$30+1),0)+IF(AND(Projects!$G$31="Yes",Projects!$X$31="Yes",Projects!$M$31="Yes",75&gt;=Projects!$C$31,75&lt;Projects!$C$31+Projects!$D$31),Projects!$B$31*INDEX(Curves!$B$4:$AR$4,1,75-Projects!$C$31+1),0)+IF(AND(Projects!$G$32="Yes",Projects!$X$32="Yes",Projects!$M$32="Yes",75&gt;=Projects!$C$32,75&lt;Projects!$C$32+Projects!$D$32),Projects!$B$32*INDEX(Curves!$B$4:$AR$4,1,75-Projects!$C$32+1),0)+IF(AND(Projects!$G$33="Yes",Projects!$X$33="Yes",Projects!$M$33="Yes",75&gt;=Projects!$C$33,75&lt;Projects!$C$33+Projects!$D$33),Projects!$B$33*INDEX(Curves!$B$4:$AR$4,1,75-Projects!$C$33+1),0)+IF(AND(Projects!$G$34="Yes",Projects!$X$34="Yes",Projects!$M$34="Yes",75&gt;=Projects!$C$34,75&lt;Projects!$C$34+Projects!$D$34),Projects!$B$34*INDEX(Curves!$B$4:$AR$4,1,75-Projects!$C$34+1),0)+IF(AND(Projects!$G$35="Yes",Projects!$X$35="Yes",Projects!$M$35="Yes",75&gt;=Projects!$C$35,75&lt;Projects!$C$35+Projects!$D$35),Projects!$B$35*INDEX(Curves!$B$4:$AR$4,1,75-Projects!$C$35+1),0)+IF(AND(Projects!$G$36="Yes",Projects!$X$36="Yes",Projects!$M$36="Yes",75&gt;=Projects!$C$36,75&lt;Projects!$C$36+Projects!$D$36),Projects!$B$36*INDEX(Curves!$B$4:$AR$4,1,75-Projects!$C$36+1),0)+IF(AND(Projects!$G$37="Yes",Projects!$X$37="Yes",Projects!$M$37="Yes",75&gt;=Projects!$C$37,75&lt;Projects!$C$37+Projects!$D$37),Projects!$B$37*INDEX(Curves!$B$4:$AR$4,1,75-Projects!$C$37+1),0)+IF(AND(Projects!$G$38="Yes",Projects!$X$38="Yes",Projects!$M$38="Yes",75&gt;=Projects!$C$38,75&lt;Projects!$C$38+Projects!$D$38),Projects!$B$38*INDEX(Curves!$B$4:$AR$4,1,75-Projects!$C$38+1),0)+IF(AND(Projects!$G$39="Yes",Projects!$X$39="Yes",Projects!$M$39="Yes",75&gt;=Projects!$C$39,75&lt;Projects!$C$39+Projects!$D$39),Projects!$B$39*INDEX(Curves!$B$4:$AR$4,1,75-Projects!$C$39+1),0)+IF(AND(Projects!$G$40="Yes",Projects!$X$40="Yes",Projects!$M$40="Yes",75&gt;=Projects!$C$40,75&lt;Projects!$C$40+Projects!$D$40),Projects!$B$40*INDEX(Curves!$B$4:$AR$4,1,75-Projects!$C$40+1),0)+IF(AND(Projects!$G$41="Yes",Projects!$X$41="Yes",Projects!$M$41="Yes",75&gt;=Projects!$C$41,75&lt;Projects!$C$41+Projects!$D$41),Projects!$B$41*INDEX(Curves!$B$4:$AR$4,1,75-Projects!$C$41+1),0)+IF(AND(Projects!$G$42="Yes",Projects!$X$42="Yes",Projects!$M$42="Yes",75&gt;=Projects!$C$42,75&lt;Projects!$C$42+Projects!$D$42),Projects!$B$42*INDEX(Curves!$B$4:$AR$4,1,75-Projects!$C$42+1),0)+IF(AND(Projects!$G$43="Yes",Projects!$X$43="Yes",Projects!$M$43="Yes",75&gt;=Projects!$C$43,75&lt;Projects!$C$43+Projects!$D$43),Projects!$B$43*INDEX(Curves!$B$4:$AR$4,1,75-Projects!$C$43+1),0)+IF(AND(Projects!$G$44="Yes",Projects!$X$44="Yes",Projects!$M$44="Yes",75&gt;=Projects!$C$44,75&lt;Projects!$C$44+Projects!$D$44),Projects!$B$44*INDEX(Curves!$B$4:$AR$4,1,75-Projects!$C$44+1),0)+IF(AND(Projects!$G$45="Yes",Projects!$X$45="Yes",Projects!$M$45="Yes",75&gt;=Projects!$C$45,75&lt;Projects!$C$45+Projects!$D$45),Projects!$B$45*INDEX(Curves!$B$4:$AR$4,1,75-Projects!$C$45+1),0)+IF(AND(Projects!$G$46="Yes",Projects!$X$46="Yes",Projects!$M$46="Yes",75&gt;=Projects!$C$46,75&lt;Projects!$C$46+Projects!$D$46),Projects!$B$46*INDEX(Curves!$B$4:$AR$4,1,75-Projects!$C$46+1),0)</f>
        <v>0</v>
      </c>
      <c r="CC101" s="298" t="n">
        <f aca="false">IF(AND(Projects!$G$17="Yes",Projects!$X$17="Yes",Projects!$M$17="Yes",76&gt;=Projects!$C$17,76&lt;Projects!$C$17+Projects!$D$17),Projects!$B$17*INDEX(Curves!$B$4:$AR$4,1,76-Projects!$C$17+1),0)+IF(AND(Projects!$G$18="Yes",Projects!$X$18="Yes",Projects!$M$18="Yes",76&gt;=Projects!$C$18,76&lt;Projects!$C$18+Projects!$D$18),Projects!$B$18*INDEX(Curves!$B$4:$AR$4,1,76-Projects!$C$18+1),0)+IF(AND(Projects!$G$19="Yes",Projects!$X$19="Yes",Projects!$M$19="Yes",76&gt;=Projects!$C$19,76&lt;Projects!$C$19+Projects!$D$19),Projects!$B$19*INDEX(Curves!$B$10:$AR$10,1,76-Projects!$C$19+1),0)+IF(AND(Projects!$G$20="Yes",Projects!$X$20="Yes",Projects!$M$20="Yes",76&gt;=Projects!$C$20,76&lt;Projects!$C$20+Projects!$D$20),Projects!$B$20*INDEX(Curves!$B$4:$AR$4,1,76-Projects!$C$20+1),0)+IF(AND(Projects!$G$21="Yes",Projects!$X$21="Yes",Projects!$M$21="Yes",76&gt;=Projects!$C$21,76&lt;Projects!$C$21+Projects!$D$21),Projects!$B$21*INDEX(Curves!$B$11:$AR$11,1,76-Projects!$C$21+1),0)+IF(AND(Projects!$G$22="Yes",Projects!$X$22="Yes",Projects!$M$22="Yes",76&gt;=Projects!$C$22,76&lt;Projects!$C$22+Projects!$D$22),Projects!$B$22*INDEX(Curves!$B$4:$AR$4,1,76-Projects!$C$22+1),0)+IF(AND(Projects!$G$23="Yes",Projects!$X$23="Yes",Projects!$M$23="Yes",76&gt;=Projects!$C$23,76&lt;Projects!$C$23+Projects!$D$23),Projects!$B$23*INDEX(Curves!$B$4:$AR$4,1,76-Projects!$C$23+1),0)+IF(AND(Projects!$G$24="Yes",Projects!$X$24="Yes",Projects!$M$24="Yes",76&gt;=Projects!$C$24,76&lt;Projects!$C$24+Projects!$D$24),Projects!$B$24*INDEX(Curves!$B$4:$AR$4,1,76-Projects!$C$24+1),0)+IF(AND(Projects!$G$25="Yes",Projects!$X$25="Yes",Projects!$M$25="Yes",76&gt;=Projects!$C$25,76&lt;Projects!$C$25+Projects!$D$25),Projects!$B$25*INDEX(Curves!$B$4:$AR$4,1,76-Projects!$C$25+1),0)+IF(AND(Projects!$G$26="Yes",Projects!$X$26="Yes",Projects!$M$26="Yes",76&gt;=Projects!$C$26,76&lt;Projects!$C$26+Projects!$D$26),Projects!$B$26*INDEX(Curves!$B$4:$AR$4,1,76-Projects!$C$26+1),0)+IF(AND(Projects!$G$27="Yes",Projects!$X$27="Yes",Projects!$M$27="Yes",76&gt;=Projects!$C$27,76&lt;Projects!$C$27+Projects!$D$27),Projects!$B$27*INDEX(Curves!$B$4:$AR$4,1,76-Projects!$C$27+1),0)+IF(AND(Projects!$G$28="Yes",Projects!$X$28="Yes",Projects!$M$28="Yes",76&gt;=Projects!$C$28,76&lt;Projects!$C$28+Projects!$D$28),Projects!$B$28*INDEX(Curves!$B$4:$AR$4,1,76-Projects!$C$28+1),0)+IF(AND(Projects!$G$29="Yes",Projects!$X$29="Yes",Projects!$M$29="Yes",76&gt;=Projects!$C$29,76&lt;Projects!$C$29+Projects!$D$29),Projects!$B$29*INDEX(Curves!$B$4:$AR$4,1,76-Projects!$C$29+1),0)+IF(AND(Projects!$G$30="Yes",Projects!$X$30="Yes",Projects!$M$30="Yes",76&gt;=Projects!$C$30,76&lt;Projects!$C$30+Projects!$D$30),Projects!$B$30*INDEX(Curves!$B$4:$AR$4,1,76-Projects!$C$30+1),0)+IF(AND(Projects!$G$31="Yes",Projects!$X$31="Yes",Projects!$M$31="Yes",76&gt;=Projects!$C$31,76&lt;Projects!$C$31+Projects!$D$31),Projects!$B$31*INDEX(Curves!$B$4:$AR$4,1,76-Projects!$C$31+1),0)+IF(AND(Projects!$G$32="Yes",Projects!$X$32="Yes",Projects!$M$32="Yes",76&gt;=Projects!$C$32,76&lt;Projects!$C$32+Projects!$D$32),Projects!$B$32*INDEX(Curves!$B$4:$AR$4,1,76-Projects!$C$32+1),0)+IF(AND(Projects!$G$33="Yes",Projects!$X$33="Yes",Projects!$M$33="Yes",76&gt;=Projects!$C$33,76&lt;Projects!$C$33+Projects!$D$33),Projects!$B$33*INDEX(Curves!$B$4:$AR$4,1,76-Projects!$C$33+1),0)+IF(AND(Projects!$G$34="Yes",Projects!$X$34="Yes",Projects!$M$34="Yes",76&gt;=Projects!$C$34,76&lt;Projects!$C$34+Projects!$D$34),Projects!$B$34*INDEX(Curves!$B$4:$AR$4,1,76-Projects!$C$34+1),0)+IF(AND(Projects!$G$35="Yes",Projects!$X$35="Yes",Projects!$M$35="Yes",76&gt;=Projects!$C$35,76&lt;Projects!$C$35+Projects!$D$35),Projects!$B$35*INDEX(Curves!$B$4:$AR$4,1,76-Projects!$C$35+1),0)+IF(AND(Projects!$G$36="Yes",Projects!$X$36="Yes",Projects!$M$36="Yes",76&gt;=Projects!$C$36,76&lt;Projects!$C$36+Projects!$D$36),Projects!$B$36*INDEX(Curves!$B$4:$AR$4,1,76-Projects!$C$36+1),0)+IF(AND(Projects!$G$37="Yes",Projects!$X$37="Yes",Projects!$M$37="Yes",76&gt;=Projects!$C$37,76&lt;Projects!$C$37+Projects!$D$37),Projects!$B$37*INDEX(Curves!$B$4:$AR$4,1,76-Projects!$C$37+1),0)+IF(AND(Projects!$G$38="Yes",Projects!$X$38="Yes",Projects!$M$38="Yes",76&gt;=Projects!$C$38,76&lt;Projects!$C$38+Projects!$D$38),Projects!$B$38*INDEX(Curves!$B$4:$AR$4,1,76-Projects!$C$38+1),0)+IF(AND(Projects!$G$39="Yes",Projects!$X$39="Yes",Projects!$M$39="Yes",76&gt;=Projects!$C$39,76&lt;Projects!$C$39+Projects!$D$39),Projects!$B$39*INDEX(Curves!$B$4:$AR$4,1,76-Projects!$C$39+1),0)+IF(AND(Projects!$G$40="Yes",Projects!$X$40="Yes",Projects!$M$40="Yes",76&gt;=Projects!$C$40,76&lt;Projects!$C$40+Projects!$D$40),Projects!$B$40*INDEX(Curves!$B$4:$AR$4,1,76-Projects!$C$40+1),0)+IF(AND(Projects!$G$41="Yes",Projects!$X$41="Yes",Projects!$M$41="Yes",76&gt;=Projects!$C$41,76&lt;Projects!$C$41+Projects!$D$41),Projects!$B$41*INDEX(Curves!$B$4:$AR$4,1,76-Projects!$C$41+1),0)+IF(AND(Projects!$G$42="Yes",Projects!$X$42="Yes",Projects!$M$42="Yes",76&gt;=Projects!$C$42,76&lt;Projects!$C$42+Projects!$D$42),Projects!$B$42*INDEX(Curves!$B$4:$AR$4,1,76-Projects!$C$42+1),0)+IF(AND(Projects!$G$43="Yes",Projects!$X$43="Yes",Projects!$M$43="Yes",76&gt;=Projects!$C$43,76&lt;Projects!$C$43+Projects!$D$43),Projects!$B$43*INDEX(Curves!$B$4:$AR$4,1,76-Projects!$C$43+1),0)+IF(AND(Projects!$G$44="Yes",Projects!$X$44="Yes",Projects!$M$44="Yes",76&gt;=Projects!$C$44,76&lt;Projects!$C$44+Projects!$D$44),Projects!$B$44*INDEX(Curves!$B$4:$AR$4,1,76-Projects!$C$44+1),0)+IF(AND(Projects!$G$45="Yes",Projects!$X$45="Yes",Projects!$M$45="Yes",76&gt;=Projects!$C$45,76&lt;Projects!$C$45+Projects!$D$45),Projects!$B$45*INDEX(Curves!$B$4:$AR$4,1,76-Projects!$C$45+1),0)+IF(AND(Projects!$G$46="Yes",Projects!$X$46="Yes",Projects!$M$46="Yes",76&gt;=Projects!$C$46,76&lt;Projects!$C$46+Projects!$D$46),Projects!$B$46*INDEX(Curves!$B$4:$AR$4,1,76-Projects!$C$46+1),0)</f>
        <v>0</v>
      </c>
      <c r="CD101" s="298" t="n">
        <f aca="false">IF(AND(Projects!$G$17="Yes",Projects!$X$17="Yes",Projects!$M$17="Yes",77&gt;=Projects!$C$17,77&lt;Projects!$C$17+Projects!$D$17),Projects!$B$17*INDEX(Curves!$B$4:$AR$4,1,77-Projects!$C$17+1),0)+IF(AND(Projects!$G$18="Yes",Projects!$X$18="Yes",Projects!$M$18="Yes",77&gt;=Projects!$C$18,77&lt;Projects!$C$18+Projects!$D$18),Projects!$B$18*INDEX(Curves!$B$4:$AR$4,1,77-Projects!$C$18+1),0)+IF(AND(Projects!$G$19="Yes",Projects!$X$19="Yes",Projects!$M$19="Yes",77&gt;=Projects!$C$19,77&lt;Projects!$C$19+Projects!$D$19),Projects!$B$19*INDEX(Curves!$B$10:$AR$10,1,77-Projects!$C$19+1),0)+IF(AND(Projects!$G$20="Yes",Projects!$X$20="Yes",Projects!$M$20="Yes",77&gt;=Projects!$C$20,77&lt;Projects!$C$20+Projects!$D$20),Projects!$B$20*INDEX(Curves!$B$4:$AR$4,1,77-Projects!$C$20+1),0)+IF(AND(Projects!$G$21="Yes",Projects!$X$21="Yes",Projects!$M$21="Yes",77&gt;=Projects!$C$21,77&lt;Projects!$C$21+Projects!$D$21),Projects!$B$21*INDEX(Curves!$B$11:$AR$11,1,77-Projects!$C$21+1),0)+IF(AND(Projects!$G$22="Yes",Projects!$X$22="Yes",Projects!$M$22="Yes",77&gt;=Projects!$C$22,77&lt;Projects!$C$22+Projects!$D$22),Projects!$B$22*INDEX(Curves!$B$4:$AR$4,1,77-Projects!$C$22+1),0)+IF(AND(Projects!$G$23="Yes",Projects!$X$23="Yes",Projects!$M$23="Yes",77&gt;=Projects!$C$23,77&lt;Projects!$C$23+Projects!$D$23),Projects!$B$23*INDEX(Curves!$B$4:$AR$4,1,77-Projects!$C$23+1),0)+IF(AND(Projects!$G$24="Yes",Projects!$X$24="Yes",Projects!$M$24="Yes",77&gt;=Projects!$C$24,77&lt;Projects!$C$24+Projects!$D$24),Projects!$B$24*INDEX(Curves!$B$4:$AR$4,1,77-Projects!$C$24+1),0)+IF(AND(Projects!$G$25="Yes",Projects!$X$25="Yes",Projects!$M$25="Yes",77&gt;=Projects!$C$25,77&lt;Projects!$C$25+Projects!$D$25),Projects!$B$25*INDEX(Curves!$B$4:$AR$4,1,77-Projects!$C$25+1),0)+IF(AND(Projects!$G$26="Yes",Projects!$X$26="Yes",Projects!$M$26="Yes",77&gt;=Projects!$C$26,77&lt;Projects!$C$26+Projects!$D$26),Projects!$B$26*INDEX(Curves!$B$4:$AR$4,1,77-Projects!$C$26+1),0)+IF(AND(Projects!$G$27="Yes",Projects!$X$27="Yes",Projects!$M$27="Yes",77&gt;=Projects!$C$27,77&lt;Projects!$C$27+Projects!$D$27),Projects!$B$27*INDEX(Curves!$B$4:$AR$4,1,77-Projects!$C$27+1),0)+IF(AND(Projects!$G$28="Yes",Projects!$X$28="Yes",Projects!$M$28="Yes",77&gt;=Projects!$C$28,77&lt;Projects!$C$28+Projects!$D$28),Projects!$B$28*INDEX(Curves!$B$4:$AR$4,1,77-Projects!$C$28+1),0)+IF(AND(Projects!$G$29="Yes",Projects!$X$29="Yes",Projects!$M$29="Yes",77&gt;=Projects!$C$29,77&lt;Projects!$C$29+Projects!$D$29),Projects!$B$29*INDEX(Curves!$B$4:$AR$4,1,77-Projects!$C$29+1),0)+IF(AND(Projects!$G$30="Yes",Projects!$X$30="Yes",Projects!$M$30="Yes",77&gt;=Projects!$C$30,77&lt;Projects!$C$30+Projects!$D$30),Projects!$B$30*INDEX(Curves!$B$4:$AR$4,1,77-Projects!$C$30+1),0)+IF(AND(Projects!$G$31="Yes",Projects!$X$31="Yes",Projects!$M$31="Yes",77&gt;=Projects!$C$31,77&lt;Projects!$C$31+Projects!$D$31),Projects!$B$31*INDEX(Curves!$B$4:$AR$4,1,77-Projects!$C$31+1),0)+IF(AND(Projects!$G$32="Yes",Projects!$X$32="Yes",Projects!$M$32="Yes",77&gt;=Projects!$C$32,77&lt;Projects!$C$32+Projects!$D$32),Projects!$B$32*INDEX(Curves!$B$4:$AR$4,1,77-Projects!$C$32+1),0)+IF(AND(Projects!$G$33="Yes",Projects!$X$33="Yes",Projects!$M$33="Yes",77&gt;=Projects!$C$33,77&lt;Projects!$C$33+Projects!$D$33),Projects!$B$33*INDEX(Curves!$B$4:$AR$4,1,77-Projects!$C$33+1),0)+IF(AND(Projects!$G$34="Yes",Projects!$X$34="Yes",Projects!$M$34="Yes",77&gt;=Projects!$C$34,77&lt;Projects!$C$34+Projects!$D$34),Projects!$B$34*INDEX(Curves!$B$4:$AR$4,1,77-Projects!$C$34+1),0)+IF(AND(Projects!$G$35="Yes",Projects!$X$35="Yes",Projects!$M$35="Yes",77&gt;=Projects!$C$35,77&lt;Projects!$C$35+Projects!$D$35),Projects!$B$35*INDEX(Curves!$B$4:$AR$4,1,77-Projects!$C$35+1),0)+IF(AND(Projects!$G$36="Yes",Projects!$X$36="Yes",Projects!$M$36="Yes",77&gt;=Projects!$C$36,77&lt;Projects!$C$36+Projects!$D$36),Projects!$B$36*INDEX(Curves!$B$4:$AR$4,1,77-Projects!$C$36+1),0)+IF(AND(Projects!$G$37="Yes",Projects!$X$37="Yes",Projects!$M$37="Yes",77&gt;=Projects!$C$37,77&lt;Projects!$C$37+Projects!$D$37),Projects!$B$37*INDEX(Curves!$B$4:$AR$4,1,77-Projects!$C$37+1),0)+IF(AND(Projects!$G$38="Yes",Projects!$X$38="Yes",Projects!$M$38="Yes",77&gt;=Projects!$C$38,77&lt;Projects!$C$38+Projects!$D$38),Projects!$B$38*INDEX(Curves!$B$4:$AR$4,1,77-Projects!$C$38+1),0)+IF(AND(Projects!$G$39="Yes",Projects!$X$39="Yes",Projects!$M$39="Yes",77&gt;=Projects!$C$39,77&lt;Projects!$C$39+Projects!$D$39),Projects!$B$39*INDEX(Curves!$B$4:$AR$4,1,77-Projects!$C$39+1),0)+IF(AND(Projects!$G$40="Yes",Projects!$X$40="Yes",Projects!$M$40="Yes",77&gt;=Projects!$C$40,77&lt;Projects!$C$40+Projects!$D$40),Projects!$B$40*INDEX(Curves!$B$4:$AR$4,1,77-Projects!$C$40+1),0)+IF(AND(Projects!$G$41="Yes",Projects!$X$41="Yes",Projects!$M$41="Yes",77&gt;=Projects!$C$41,77&lt;Projects!$C$41+Projects!$D$41),Projects!$B$41*INDEX(Curves!$B$4:$AR$4,1,77-Projects!$C$41+1),0)+IF(AND(Projects!$G$42="Yes",Projects!$X$42="Yes",Projects!$M$42="Yes",77&gt;=Projects!$C$42,77&lt;Projects!$C$42+Projects!$D$42),Projects!$B$42*INDEX(Curves!$B$4:$AR$4,1,77-Projects!$C$42+1),0)+IF(AND(Projects!$G$43="Yes",Projects!$X$43="Yes",Projects!$M$43="Yes",77&gt;=Projects!$C$43,77&lt;Projects!$C$43+Projects!$D$43),Projects!$B$43*INDEX(Curves!$B$4:$AR$4,1,77-Projects!$C$43+1),0)+IF(AND(Projects!$G$44="Yes",Projects!$X$44="Yes",Projects!$M$44="Yes",77&gt;=Projects!$C$44,77&lt;Projects!$C$44+Projects!$D$44),Projects!$B$44*INDEX(Curves!$B$4:$AR$4,1,77-Projects!$C$44+1),0)+IF(AND(Projects!$G$45="Yes",Projects!$X$45="Yes",Projects!$M$45="Yes",77&gt;=Projects!$C$45,77&lt;Projects!$C$45+Projects!$D$45),Projects!$B$45*INDEX(Curves!$B$4:$AR$4,1,77-Projects!$C$45+1),0)+IF(AND(Projects!$G$46="Yes",Projects!$X$46="Yes",Projects!$M$46="Yes",77&gt;=Projects!$C$46,77&lt;Projects!$C$46+Projects!$D$46),Projects!$B$46*INDEX(Curves!$B$4:$AR$4,1,77-Projects!$C$46+1),0)</f>
        <v>0</v>
      </c>
      <c r="CE101" s="298" t="n">
        <f aca="false">IF(AND(Projects!$G$17="Yes",Projects!$X$17="Yes",Projects!$M$17="Yes",78&gt;=Projects!$C$17,78&lt;Projects!$C$17+Projects!$D$17),Projects!$B$17*INDEX(Curves!$B$4:$AR$4,1,78-Projects!$C$17+1),0)+IF(AND(Projects!$G$18="Yes",Projects!$X$18="Yes",Projects!$M$18="Yes",78&gt;=Projects!$C$18,78&lt;Projects!$C$18+Projects!$D$18),Projects!$B$18*INDEX(Curves!$B$4:$AR$4,1,78-Projects!$C$18+1),0)+IF(AND(Projects!$G$19="Yes",Projects!$X$19="Yes",Projects!$M$19="Yes",78&gt;=Projects!$C$19,78&lt;Projects!$C$19+Projects!$D$19),Projects!$B$19*INDEX(Curves!$B$10:$AR$10,1,78-Projects!$C$19+1),0)+IF(AND(Projects!$G$20="Yes",Projects!$X$20="Yes",Projects!$M$20="Yes",78&gt;=Projects!$C$20,78&lt;Projects!$C$20+Projects!$D$20),Projects!$B$20*INDEX(Curves!$B$4:$AR$4,1,78-Projects!$C$20+1),0)+IF(AND(Projects!$G$21="Yes",Projects!$X$21="Yes",Projects!$M$21="Yes",78&gt;=Projects!$C$21,78&lt;Projects!$C$21+Projects!$D$21),Projects!$B$21*INDEX(Curves!$B$11:$AR$11,1,78-Projects!$C$21+1),0)+IF(AND(Projects!$G$22="Yes",Projects!$X$22="Yes",Projects!$M$22="Yes",78&gt;=Projects!$C$22,78&lt;Projects!$C$22+Projects!$D$22),Projects!$B$22*INDEX(Curves!$B$4:$AR$4,1,78-Projects!$C$22+1),0)+IF(AND(Projects!$G$23="Yes",Projects!$X$23="Yes",Projects!$M$23="Yes",78&gt;=Projects!$C$23,78&lt;Projects!$C$23+Projects!$D$23),Projects!$B$23*INDEX(Curves!$B$4:$AR$4,1,78-Projects!$C$23+1),0)+IF(AND(Projects!$G$24="Yes",Projects!$X$24="Yes",Projects!$M$24="Yes",78&gt;=Projects!$C$24,78&lt;Projects!$C$24+Projects!$D$24),Projects!$B$24*INDEX(Curves!$B$4:$AR$4,1,78-Projects!$C$24+1),0)+IF(AND(Projects!$G$25="Yes",Projects!$X$25="Yes",Projects!$M$25="Yes",78&gt;=Projects!$C$25,78&lt;Projects!$C$25+Projects!$D$25),Projects!$B$25*INDEX(Curves!$B$4:$AR$4,1,78-Projects!$C$25+1),0)+IF(AND(Projects!$G$26="Yes",Projects!$X$26="Yes",Projects!$M$26="Yes",78&gt;=Projects!$C$26,78&lt;Projects!$C$26+Projects!$D$26),Projects!$B$26*INDEX(Curves!$B$4:$AR$4,1,78-Projects!$C$26+1),0)+IF(AND(Projects!$G$27="Yes",Projects!$X$27="Yes",Projects!$M$27="Yes",78&gt;=Projects!$C$27,78&lt;Projects!$C$27+Projects!$D$27),Projects!$B$27*INDEX(Curves!$B$4:$AR$4,1,78-Projects!$C$27+1),0)+IF(AND(Projects!$G$28="Yes",Projects!$X$28="Yes",Projects!$M$28="Yes",78&gt;=Projects!$C$28,78&lt;Projects!$C$28+Projects!$D$28),Projects!$B$28*INDEX(Curves!$B$4:$AR$4,1,78-Projects!$C$28+1),0)+IF(AND(Projects!$G$29="Yes",Projects!$X$29="Yes",Projects!$M$29="Yes",78&gt;=Projects!$C$29,78&lt;Projects!$C$29+Projects!$D$29),Projects!$B$29*INDEX(Curves!$B$4:$AR$4,1,78-Projects!$C$29+1),0)+IF(AND(Projects!$G$30="Yes",Projects!$X$30="Yes",Projects!$M$30="Yes",78&gt;=Projects!$C$30,78&lt;Projects!$C$30+Projects!$D$30),Projects!$B$30*INDEX(Curves!$B$4:$AR$4,1,78-Projects!$C$30+1),0)+IF(AND(Projects!$G$31="Yes",Projects!$X$31="Yes",Projects!$M$31="Yes",78&gt;=Projects!$C$31,78&lt;Projects!$C$31+Projects!$D$31),Projects!$B$31*INDEX(Curves!$B$4:$AR$4,1,78-Projects!$C$31+1),0)+IF(AND(Projects!$G$32="Yes",Projects!$X$32="Yes",Projects!$M$32="Yes",78&gt;=Projects!$C$32,78&lt;Projects!$C$32+Projects!$D$32),Projects!$B$32*INDEX(Curves!$B$4:$AR$4,1,78-Projects!$C$32+1),0)+IF(AND(Projects!$G$33="Yes",Projects!$X$33="Yes",Projects!$M$33="Yes",78&gt;=Projects!$C$33,78&lt;Projects!$C$33+Projects!$D$33),Projects!$B$33*INDEX(Curves!$B$4:$AR$4,1,78-Projects!$C$33+1),0)+IF(AND(Projects!$G$34="Yes",Projects!$X$34="Yes",Projects!$M$34="Yes",78&gt;=Projects!$C$34,78&lt;Projects!$C$34+Projects!$D$34),Projects!$B$34*INDEX(Curves!$B$4:$AR$4,1,78-Projects!$C$34+1),0)+IF(AND(Projects!$G$35="Yes",Projects!$X$35="Yes",Projects!$M$35="Yes",78&gt;=Projects!$C$35,78&lt;Projects!$C$35+Projects!$D$35),Projects!$B$35*INDEX(Curves!$B$4:$AR$4,1,78-Projects!$C$35+1),0)+IF(AND(Projects!$G$36="Yes",Projects!$X$36="Yes",Projects!$M$36="Yes",78&gt;=Projects!$C$36,78&lt;Projects!$C$36+Projects!$D$36),Projects!$B$36*INDEX(Curves!$B$4:$AR$4,1,78-Projects!$C$36+1),0)+IF(AND(Projects!$G$37="Yes",Projects!$X$37="Yes",Projects!$M$37="Yes",78&gt;=Projects!$C$37,78&lt;Projects!$C$37+Projects!$D$37),Projects!$B$37*INDEX(Curves!$B$4:$AR$4,1,78-Projects!$C$37+1),0)+IF(AND(Projects!$G$38="Yes",Projects!$X$38="Yes",Projects!$M$38="Yes",78&gt;=Projects!$C$38,78&lt;Projects!$C$38+Projects!$D$38),Projects!$B$38*INDEX(Curves!$B$4:$AR$4,1,78-Projects!$C$38+1),0)+IF(AND(Projects!$G$39="Yes",Projects!$X$39="Yes",Projects!$M$39="Yes",78&gt;=Projects!$C$39,78&lt;Projects!$C$39+Projects!$D$39),Projects!$B$39*INDEX(Curves!$B$4:$AR$4,1,78-Projects!$C$39+1),0)+IF(AND(Projects!$G$40="Yes",Projects!$X$40="Yes",Projects!$M$40="Yes",78&gt;=Projects!$C$40,78&lt;Projects!$C$40+Projects!$D$40),Projects!$B$40*INDEX(Curves!$B$4:$AR$4,1,78-Projects!$C$40+1),0)+IF(AND(Projects!$G$41="Yes",Projects!$X$41="Yes",Projects!$M$41="Yes",78&gt;=Projects!$C$41,78&lt;Projects!$C$41+Projects!$D$41),Projects!$B$41*INDEX(Curves!$B$4:$AR$4,1,78-Projects!$C$41+1),0)+IF(AND(Projects!$G$42="Yes",Projects!$X$42="Yes",Projects!$M$42="Yes",78&gt;=Projects!$C$42,78&lt;Projects!$C$42+Projects!$D$42),Projects!$B$42*INDEX(Curves!$B$4:$AR$4,1,78-Projects!$C$42+1),0)+IF(AND(Projects!$G$43="Yes",Projects!$X$43="Yes",Projects!$M$43="Yes",78&gt;=Projects!$C$43,78&lt;Projects!$C$43+Projects!$D$43),Projects!$B$43*INDEX(Curves!$B$4:$AR$4,1,78-Projects!$C$43+1),0)+IF(AND(Projects!$G$44="Yes",Projects!$X$44="Yes",Projects!$M$44="Yes",78&gt;=Projects!$C$44,78&lt;Projects!$C$44+Projects!$D$44),Projects!$B$44*INDEX(Curves!$B$4:$AR$4,1,78-Projects!$C$44+1),0)+IF(AND(Projects!$G$45="Yes",Projects!$X$45="Yes",Projects!$M$45="Yes",78&gt;=Projects!$C$45,78&lt;Projects!$C$45+Projects!$D$45),Projects!$B$45*INDEX(Curves!$B$4:$AR$4,1,78-Projects!$C$45+1),0)+IF(AND(Projects!$G$46="Yes",Projects!$X$46="Yes",Projects!$M$46="Yes",78&gt;=Projects!$C$46,78&lt;Projects!$C$46+Projects!$D$46),Projects!$B$46*INDEX(Curves!$B$4:$AR$4,1,78-Projects!$C$46+1),0)</f>
        <v>0</v>
      </c>
      <c r="CF101" s="298" t="n">
        <f aca="false">IF(AND(Projects!$G$17="Yes",Projects!$X$17="Yes",Projects!$M$17="Yes",79&gt;=Projects!$C$17,79&lt;Projects!$C$17+Projects!$D$17),Projects!$B$17*INDEX(Curves!$B$4:$AR$4,1,79-Projects!$C$17+1),0)+IF(AND(Projects!$G$18="Yes",Projects!$X$18="Yes",Projects!$M$18="Yes",79&gt;=Projects!$C$18,79&lt;Projects!$C$18+Projects!$D$18),Projects!$B$18*INDEX(Curves!$B$4:$AR$4,1,79-Projects!$C$18+1),0)+IF(AND(Projects!$G$19="Yes",Projects!$X$19="Yes",Projects!$M$19="Yes",79&gt;=Projects!$C$19,79&lt;Projects!$C$19+Projects!$D$19),Projects!$B$19*INDEX(Curves!$B$10:$AR$10,1,79-Projects!$C$19+1),0)+IF(AND(Projects!$G$20="Yes",Projects!$X$20="Yes",Projects!$M$20="Yes",79&gt;=Projects!$C$20,79&lt;Projects!$C$20+Projects!$D$20),Projects!$B$20*INDEX(Curves!$B$4:$AR$4,1,79-Projects!$C$20+1),0)+IF(AND(Projects!$G$21="Yes",Projects!$X$21="Yes",Projects!$M$21="Yes",79&gt;=Projects!$C$21,79&lt;Projects!$C$21+Projects!$D$21),Projects!$B$21*INDEX(Curves!$B$11:$AR$11,1,79-Projects!$C$21+1),0)+IF(AND(Projects!$G$22="Yes",Projects!$X$22="Yes",Projects!$M$22="Yes",79&gt;=Projects!$C$22,79&lt;Projects!$C$22+Projects!$D$22),Projects!$B$22*INDEX(Curves!$B$4:$AR$4,1,79-Projects!$C$22+1),0)+IF(AND(Projects!$G$23="Yes",Projects!$X$23="Yes",Projects!$M$23="Yes",79&gt;=Projects!$C$23,79&lt;Projects!$C$23+Projects!$D$23),Projects!$B$23*INDEX(Curves!$B$4:$AR$4,1,79-Projects!$C$23+1),0)+IF(AND(Projects!$G$24="Yes",Projects!$X$24="Yes",Projects!$M$24="Yes",79&gt;=Projects!$C$24,79&lt;Projects!$C$24+Projects!$D$24),Projects!$B$24*INDEX(Curves!$B$4:$AR$4,1,79-Projects!$C$24+1),0)+IF(AND(Projects!$G$25="Yes",Projects!$X$25="Yes",Projects!$M$25="Yes",79&gt;=Projects!$C$25,79&lt;Projects!$C$25+Projects!$D$25),Projects!$B$25*INDEX(Curves!$B$4:$AR$4,1,79-Projects!$C$25+1),0)+IF(AND(Projects!$G$26="Yes",Projects!$X$26="Yes",Projects!$M$26="Yes",79&gt;=Projects!$C$26,79&lt;Projects!$C$26+Projects!$D$26),Projects!$B$26*INDEX(Curves!$B$4:$AR$4,1,79-Projects!$C$26+1),0)+IF(AND(Projects!$G$27="Yes",Projects!$X$27="Yes",Projects!$M$27="Yes",79&gt;=Projects!$C$27,79&lt;Projects!$C$27+Projects!$D$27),Projects!$B$27*INDEX(Curves!$B$4:$AR$4,1,79-Projects!$C$27+1),0)+IF(AND(Projects!$G$28="Yes",Projects!$X$28="Yes",Projects!$M$28="Yes",79&gt;=Projects!$C$28,79&lt;Projects!$C$28+Projects!$D$28),Projects!$B$28*INDEX(Curves!$B$4:$AR$4,1,79-Projects!$C$28+1),0)+IF(AND(Projects!$G$29="Yes",Projects!$X$29="Yes",Projects!$M$29="Yes",79&gt;=Projects!$C$29,79&lt;Projects!$C$29+Projects!$D$29),Projects!$B$29*INDEX(Curves!$B$4:$AR$4,1,79-Projects!$C$29+1),0)+IF(AND(Projects!$G$30="Yes",Projects!$X$30="Yes",Projects!$M$30="Yes",79&gt;=Projects!$C$30,79&lt;Projects!$C$30+Projects!$D$30),Projects!$B$30*INDEX(Curves!$B$4:$AR$4,1,79-Projects!$C$30+1),0)+IF(AND(Projects!$G$31="Yes",Projects!$X$31="Yes",Projects!$M$31="Yes",79&gt;=Projects!$C$31,79&lt;Projects!$C$31+Projects!$D$31),Projects!$B$31*INDEX(Curves!$B$4:$AR$4,1,79-Projects!$C$31+1),0)+IF(AND(Projects!$G$32="Yes",Projects!$X$32="Yes",Projects!$M$32="Yes",79&gt;=Projects!$C$32,79&lt;Projects!$C$32+Projects!$D$32),Projects!$B$32*INDEX(Curves!$B$4:$AR$4,1,79-Projects!$C$32+1),0)+IF(AND(Projects!$G$33="Yes",Projects!$X$33="Yes",Projects!$M$33="Yes",79&gt;=Projects!$C$33,79&lt;Projects!$C$33+Projects!$D$33),Projects!$B$33*INDEX(Curves!$B$4:$AR$4,1,79-Projects!$C$33+1),0)+IF(AND(Projects!$G$34="Yes",Projects!$X$34="Yes",Projects!$M$34="Yes",79&gt;=Projects!$C$34,79&lt;Projects!$C$34+Projects!$D$34),Projects!$B$34*INDEX(Curves!$B$4:$AR$4,1,79-Projects!$C$34+1),0)+IF(AND(Projects!$G$35="Yes",Projects!$X$35="Yes",Projects!$M$35="Yes",79&gt;=Projects!$C$35,79&lt;Projects!$C$35+Projects!$D$35),Projects!$B$35*INDEX(Curves!$B$4:$AR$4,1,79-Projects!$C$35+1),0)+IF(AND(Projects!$G$36="Yes",Projects!$X$36="Yes",Projects!$M$36="Yes",79&gt;=Projects!$C$36,79&lt;Projects!$C$36+Projects!$D$36),Projects!$B$36*INDEX(Curves!$B$4:$AR$4,1,79-Projects!$C$36+1),0)+IF(AND(Projects!$G$37="Yes",Projects!$X$37="Yes",Projects!$M$37="Yes",79&gt;=Projects!$C$37,79&lt;Projects!$C$37+Projects!$D$37),Projects!$B$37*INDEX(Curves!$B$4:$AR$4,1,79-Projects!$C$37+1),0)+IF(AND(Projects!$G$38="Yes",Projects!$X$38="Yes",Projects!$M$38="Yes",79&gt;=Projects!$C$38,79&lt;Projects!$C$38+Projects!$D$38),Projects!$B$38*INDEX(Curves!$B$4:$AR$4,1,79-Projects!$C$38+1),0)+IF(AND(Projects!$G$39="Yes",Projects!$X$39="Yes",Projects!$M$39="Yes",79&gt;=Projects!$C$39,79&lt;Projects!$C$39+Projects!$D$39),Projects!$B$39*INDEX(Curves!$B$4:$AR$4,1,79-Projects!$C$39+1),0)+IF(AND(Projects!$G$40="Yes",Projects!$X$40="Yes",Projects!$M$40="Yes",79&gt;=Projects!$C$40,79&lt;Projects!$C$40+Projects!$D$40),Projects!$B$40*INDEX(Curves!$B$4:$AR$4,1,79-Projects!$C$40+1),0)+IF(AND(Projects!$G$41="Yes",Projects!$X$41="Yes",Projects!$M$41="Yes",79&gt;=Projects!$C$41,79&lt;Projects!$C$41+Projects!$D$41),Projects!$B$41*INDEX(Curves!$B$4:$AR$4,1,79-Projects!$C$41+1),0)+IF(AND(Projects!$G$42="Yes",Projects!$X$42="Yes",Projects!$M$42="Yes",79&gt;=Projects!$C$42,79&lt;Projects!$C$42+Projects!$D$42),Projects!$B$42*INDEX(Curves!$B$4:$AR$4,1,79-Projects!$C$42+1),0)+IF(AND(Projects!$G$43="Yes",Projects!$X$43="Yes",Projects!$M$43="Yes",79&gt;=Projects!$C$43,79&lt;Projects!$C$43+Projects!$D$43),Projects!$B$43*INDEX(Curves!$B$4:$AR$4,1,79-Projects!$C$43+1),0)+IF(AND(Projects!$G$44="Yes",Projects!$X$44="Yes",Projects!$M$44="Yes",79&gt;=Projects!$C$44,79&lt;Projects!$C$44+Projects!$D$44),Projects!$B$44*INDEX(Curves!$B$4:$AR$4,1,79-Projects!$C$44+1),0)+IF(AND(Projects!$G$45="Yes",Projects!$X$45="Yes",Projects!$M$45="Yes",79&gt;=Projects!$C$45,79&lt;Projects!$C$45+Projects!$D$45),Projects!$B$45*INDEX(Curves!$B$4:$AR$4,1,79-Projects!$C$45+1),0)+IF(AND(Projects!$G$46="Yes",Projects!$X$46="Yes",Projects!$M$46="Yes",79&gt;=Projects!$C$46,79&lt;Projects!$C$46+Projects!$D$46),Projects!$B$46*INDEX(Curves!$B$4:$AR$4,1,79-Projects!$C$46+1),0)</f>
        <v>0</v>
      </c>
      <c r="CG101" s="298" t="n">
        <f aca="false">IF(AND(Projects!$G$17="Yes",Projects!$X$17="Yes",Projects!$M$17="Yes",80&gt;=Projects!$C$17,80&lt;Projects!$C$17+Projects!$D$17),Projects!$B$17*INDEX(Curves!$B$4:$AR$4,1,80-Projects!$C$17+1),0)+IF(AND(Projects!$G$18="Yes",Projects!$X$18="Yes",Projects!$M$18="Yes",80&gt;=Projects!$C$18,80&lt;Projects!$C$18+Projects!$D$18),Projects!$B$18*INDEX(Curves!$B$4:$AR$4,1,80-Projects!$C$18+1),0)+IF(AND(Projects!$G$19="Yes",Projects!$X$19="Yes",Projects!$M$19="Yes",80&gt;=Projects!$C$19,80&lt;Projects!$C$19+Projects!$D$19),Projects!$B$19*INDEX(Curves!$B$10:$AR$10,1,80-Projects!$C$19+1),0)+IF(AND(Projects!$G$20="Yes",Projects!$X$20="Yes",Projects!$M$20="Yes",80&gt;=Projects!$C$20,80&lt;Projects!$C$20+Projects!$D$20),Projects!$B$20*INDEX(Curves!$B$4:$AR$4,1,80-Projects!$C$20+1),0)+IF(AND(Projects!$G$21="Yes",Projects!$X$21="Yes",Projects!$M$21="Yes",80&gt;=Projects!$C$21,80&lt;Projects!$C$21+Projects!$D$21),Projects!$B$21*INDEX(Curves!$B$11:$AR$11,1,80-Projects!$C$21+1),0)+IF(AND(Projects!$G$22="Yes",Projects!$X$22="Yes",Projects!$M$22="Yes",80&gt;=Projects!$C$22,80&lt;Projects!$C$22+Projects!$D$22),Projects!$B$22*INDEX(Curves!$B$4:$AR$4,1,80-Projects!$C$22+1),0)+IF(AND(Projects!$G$23="Yes",Projects!$X$23="Yes",Projects!$M$23="Yes",80&gt;=Projects!$C$23,80&lt;Projects!$C$23+Projects!$D$23),Projects!$B$23*INDEX(Curves!$B$4:$AR$4,1,80-Projects!$C$23+1),0)+IF(AND(Projects!$G$24="Yes",Projects!$X$24="Yes",Projects!$M$24="Yes",80&gt;=Projects!$C$24,80&lt;Projects!$C$24+Projects!$D$24),Projects!$B$24*INDEX(Curves!$B$4:$AR$4,1,80-Projects!$C$24+1),0)+IF(AND(Projects!$G$25="Yes",Projects!$X$25="Yes",Projects!$M$25="Yes",80&gt;=Projects!$C$25,80&lt;Projects!$C$25+Projects!$D$25),Projects!$B$25*INDEX(Curves!$B$4:$AR$4,1,80-Projects!$C$25+1),0)+IF(AND(Projects!$G$26="Yes",Projects!$X$26="Yes",Projects!$M$26="Yes",80&gt;=Projects!$C$26,80&lt;Projects!$C$26+Projects!$D$26),Projects!$B$26*INDEX(Curves!$B$4:$AR$4,1,80-Projects!$C$26+1),0)+IF(AND(Projects!$G$27="Yes",Projects!$X$27="Yes",Projects!$M$27="Yes",80&gt;=Projects!$C$27,80&lt;Projects!$C$27+Projects!$D$27),Projects!$B$27*INDEX(Curves!$B$4:$AR$4,1,80-Projects!$C$27+1),0)+IF(AND(Projects!$G$28="Yes",Projects!$X$28="Yes",Projects!$M$28="Yes",80&gt;=Projects!$C$28,80&lt;Projects!$C$28+Projects!$D$28),Projects!$B$28*INDEX(Curves!$B$4:$AR$4,1,80-Projects!$C$28+1),0)+IF(AND(Projects!$G$29="Yes",Projects!$X$29="Yes",Projects!$M$29="Yes",80&gt;=Projects!$C$29,80&lt;Projects!$C$29+Projects!$D$29),Projects!$B$29*INDEX(Curves!$B$4:$AR$4,1,80-Projects!$C$29+1),0)+IF(AND(Projects!$G$30="Yes",Projects!$X$30="Yes",Projects!$M$30="Yes",80&gt;=Projects!$C$30,80&lt;Projects!$C$30+Projects!$D$30),Projects!$B$30*INDEX(Curves!$B$4:$AR$4,1,80-Projects!$C$30+1),0)+IF(AND(Projects!$G$31="Yes",Projects!$X$31="Yes",Projects!$M$31="Yes",80&gt;=Projects!$C$31,80&lt;Projects!$C$31+Projects!$D$31),Projects!$B$31*INDEX(Curves!$B$4:$AR$4,1,80-Projects!$C$31+1),0)+IF(AND(Projects!$G$32="Yes",Projects!$X$32="Yes",Projects!$M$32="Yes",80&gt;=Projects!$C$32,80&lt;Projects!$C$32+Projects!$D$32),Projects!$B$32*INDEX(Curves!$B$4:$AR$4,1,80-Projects!$C$32+1),0)+IF(AND(Projects!$G$33="Yes",Projects!$X$33="Yes",Projects!$M$33="Yes",80&gt;=Projects!$C$33,80&lt;Projects!$C$33+Projects!$D$33),Projects!$B$33*INDEX(Curves!$B$4:$AR$4,1,80-Projects!$C$33+1),0)+IF(AND(Projects!$G$34="Yes",Projects!$X$34="Yes",Projects!$M$34="Yes",80&gt;=Projects!$C$34,80&lt;Projects!$C$34+Projects!$D$34),Projects!$B$34*INDEX(Curves!$B$4:$AR$4,1,80-Projects!$C$34+1),0)+IF(AND(Projects!$G$35="Yes",Projects!$X$35="Yes",Projects!$M$35="Yes",80&gt;=Projects!$C$35,80&lt;Projects!$C$35+Projects!$D$35),Projects!$B$35*INDEX(Curves!$B$4:$AR$4,1,80-Projects!$C$35+1),0)+IF(AND(Projects!$G$36="Yes",Projects!$X$36="Yes",Projects!$M$36="Yes",80&gt;=Projects!$C$36,80&lt;Projects!$C$36+Projects!$D$36),Projects!$B$36*INDEX(Curves!$B$4:$AR$4,1,80-Projects!$C$36+1),0)+IF(AND(Projects!$G$37="Yes",Projects!$X$37="Yes",Projects!$M$37="Yes",80&gt;=Projects!$C$37,80&lt;Projects!$C$37+Projects!$D$37),Projects!$B$37*INDEX(Curves!$B$4:$AR$4,1,80-Projects!$C$37+1),0)+IF(AND(Projects!$G$38="Yes",Projects!$X$38="Yes",Projects!$M$38="Yes",80&gt;=Projects!$C$38,80&lt;Projects!$C$38+Projects!$D$38),Projects!$B$38*INDEX(Curves!$B$4:$AR$4,1,80-Projects!$C$38+1),0)+IF(AND(Projects!$G$39="Yes",Projects!$X$39="Yes",Projects!$M$39="Yes",80&gt;=Projects!$C$39,80&lt;Projects!$C$39+Projects!$D$39),Projects!$B$39*INDEX(Curves!$B$4:$AR$4,1,80-Projects!$C$39+1),0)+IF(AND(Projects!$G$40="Yes",Projects!$X$40="Yes",Projects!$M$40="Yes",80&gt;=Projects!$C$40,80&lt;Projects!$C$40+Projects!$D$40),Projects!$B$40*INDEX(Curves!$B$4:$AR$4,1,80-Projects!$C$40+1),0)+IF(AND(Projects!$G$41="Yes",Projects!$X$41="Yes",Projects!$M$41="Yes",80&gt;=Projects!$C$41,80&lt;Projects!$C$41+Projects!$D$41),Projects!$B$41*INDEX(Curves!$B$4:$AR$4,1,80-Projects!$C$41+1),0)+IF(AND(Projects!$G$42="Yes",Projects!$X$42="Yes",Projects!$M$42="Yes",80&gt;=Projects!$C$42,80&lt;Projects!$C$42+Projects!$D$42),Projects!$B$42*INDEX(Curves!$B$4:$AR$4,1,80-Projects!$C$42+1),0)+IF(AND(Projects!$G$43="Yes",Projects!$X$43="Yes",Projects!$M$43="Yes",80&gt;=Projects!$C$43,80&lt;Projects!$C$43+Projects!$D$43),Projects!$B$43*INDEX(Curves!$B$4:$AR$4,1,80-Projects!$C$43+1),0)+IF(AND(Projects!$G$44="Yes",Projects!$X$44="Yes",Projects!$M$44="Yes",80&gt;=Projects!$C$44,80&lt;Projects!$C$44+Projects!$D$44),Projects!$B$44*INDEX(Curves!$B$4:$AR$4,1,80-Projects!$C$44+1),0)+IF(AND(Projects!$G$45="Yes",Projects!$X$45="Yes",Projects!$M$45="Yes",80&gt;=Projects!$C$45,80&lt;Projects!$C$45+Projects!$D$45),Projects!$B$45*INDEX(Curves!$B$4:$AR$4,1,80-Projects!$C$45+1),0)+IF(AND(Projects!$G$46="Yes",Projects!$X$46="Yes",Projects!$M$46="Yes",80&gt;=Projects!$C$46,80&lt;Projects!$C$46+Projects!$D$46),Projects!$B$46*INDEX(Curves!$B$4:$AR$4,1,80-Projects!$C$46+1),0)</f>
        <v>0</v>
      </c>
      <c r="CH101" s="298" t="n">
        <f aca="false">IF(AND(Projects!$G$17="Yes",Projects!$X$17="Yes",Projects!$M$17="Yes",81&gt;=Projects!$C$17,81&lt;Projects!$C$17+Projects!$D$17),Projects!$B$17*INDEX(Curves!$B$4:$AR$4,1,81-Projects!$C$17+1),0)+IF(AND(Projects!$G$18="Yes",Projects!$X$18="Yes",Projects!$M$18="Yes",81&gt;=Projects!$C$18,81&lt;Projects!$C$18+Projects!$D$18),Projects!$B$18*INDEX(Curves!$B$4:$AR$4,1,81-Projects!$C$18+1),0)+IF(AND(Projects!$G$19="Yes",Projects!$X$19="Yes",Projects!$M$19="Yes",81&gt;=Projects!$C$19,81&lt;Projects!$C$19+Projects!$D$19),Projects!$B$19*INDEX(Curves!$B$10:$AR$10,1,81-Projects!$C$19+1),0)+IF(AND(Projects!$G$20="Yes",Projects!$X$20="Yes",Projects!$M$20="Yes",81&gt;=Projects!$C$20,81&lt;Projects!$C$20+Projects!$D$20),Projects!$B$20*INDEX(Curves!$B$4:$AR$4,1,81-Projects!$C$20+1),0)+IF(AND(Projects!$G$21="Yes",Projects!$X$21="Yes",Projects!$M$21="Yes",81&gt;=Projects!$C$21,81&lt;Projects!$C$21+Projects!$D$21),Projects!$B$21*INDEX(Curves!$B$11:$AR$11,1,81-Projects!$C$21+1),0)+IF(AND(Projects!$G$22="Yes",Projects!$X$22="Yes",Projects!$M$22="Yes",81&gt;=Projects!$C$22,81&lt;Projects!$C$22+Projects!$D$22),Projects!$B$22*INDEX(Curves!$B$4:$AR$4,1,81-Projects!$C$22+1),0)+IF(AND(Projects!$G$23="Yes",Projects!$X$23="Yes",Projects!$M$23="Yes",81&gt;=Projects!$C$23,81&lt;Projects!$C$23+Projects!$D$23),Projects!$B$23*INDEX(Curves!$B$4:$AR$4,1,81-Projects!$C$23+1),0)+IF(AND(Projects!$G$24="Yes",Projects!$X$24="Yes",Projects!$M$24="Yes",81&gt;=Projects!$C$24,81&lt;Projects!$C$24+Projects!$D$24),Projects!$B$24*INDEX(Curves!$B$4:$AR$4,1,81-Projects!$C$24+1),0)+IF(AND(Projects!$G$25="Yes",Projects!$X$25="Yes",Projects!$M$25="Yes",81&gt;=Projects!$C$25,81&lt;Projects!$C$25+Projects!$D$25),Projects!$B$25*INDEX(Curves!$B$4:$AR$4,1,81-Projects!$C$25+1),0)+IF(AND(Projects!$G$26="Yes",Projects!$X$26="Yes",Projects!$M$26="Yes",81&gt;=Projects!$C$26,81&lt;Projects!$C$26+Projects!$D$26),Projects!$B$26*INDEX(Curves!$B$4:$AR$4,1,81-Projects!$C$26+1),0)+IF(AND(Projects!$G$27="Yes",Projects!$X$27="Yes",Projects!$M$27="Yes",81&gt;=Projects!$C$27,81&lt;Projects!$C$27+Projects!$D$27),Projects!$B$27*INDEX(Curves!$B$4:$AR$4,1,81-Projects!$C$27+1),0)+IF(AND(Projects!$G$28="Yes",Projects!$X$28="Yes",Projects!$M$28="Yes",81&gt;=Projects!$C$28,81&lt;Projects!$C$28+Projects!$D$28),Projects!$B$28*INDEX(Curves!$B$4:$AR$4,1,81-Projects!$C$28+1),0)+IF(AND(Projects!$G$29="Yes",Projects!$X$29="Yes",Projects!$M$29="Yes",81&gt;=Projects!$C$29,81&lt;Projects!$C$29+Projects!$D$29),Projects!$B$29*INDEX(Curves!$B$4:$AR$4,1,81-Projects!$C$29+1),0)+IF(AND(Projects!$G$30="Yes",Projects!$X$30="Yes",Projects!$M$30="Yes",81&gt;=Projects!$C$30,81&lt;Projects!$C$30+Projects!$D$30),Projects!$B$30*INDEX(Curves!$B$4:$AR$4,1,81-Projects!$C$30+1),0)+IF(AND(Projects!$G$31="Yes",Projects!$X$31="Yes",Projects!$M$31="Yes",81&gt;=Projects!$C$31,81&lt;Projects!$C$31+Projects!$D$31),Projects!$B$31*INDEX(Curves!$B$4:$AR$4,1,81-Projects!$C$31+1),0)+IF(AND(Projects!$G$32="Yes",Projects!$X$32="Yes",Projects!$M$32="Yes",81&gt;=Projects!$C$32,81&lt;Projects!$C$32+Projects!$D$32),Projects!$B$32*INDEX(Curves!$B$4:$AR$4,1,81-Projects!$C$32+1),0)+IF(AND(Projects!$G$33="Yes",Projects!$X$33="Yes",Projects!$M$33="Yes",81&gt;=Projects!$C$33,81&lt;Projects!$C$33+Projects!$D$33),Projects!$B$33*INDEX(Curves!$B$4:$AR$4,1,81-Projects!$C$33+1),0)+IF(AND(Projects!$G$34="Yes",Projects!$X$34="Yes",Projects!$M$34="Yes",81&gt;=Projects!$C$34,81&lt;Projects!$C$34+Projects!$D$34),Projects!$B$34*INDEX(Curves!$B$4:$AR$4,1,81-Projects!$C$34+1),0)+IF(AND(Projects!$G$35="Yes",Projects!$X$35="Yes",Projects!$M$35="Yes",81&gt;=Projects!$C$35,81&lt;Projects!$C$35+Projects!$D$35),Projects!$B$35*INDEX(Curves!$B$4:$AR$4,1,81-Projects!$C$35+1),0)+IF(AND(Projects!$G$36="Yes",Projects!$X$36="Yes",Projects!$M$36="Yes",81&gt;=Projects!$C$36,81&lt;Projects!$C$36+Projects!$D$36),Projects!$B$36*INDEX(Curves!$B$4:$AR$4,1,81-Projects!$C$36+1),0)+IF(AND(Projects!$G$37="Yes",Projects!$X$37="Yes",Projects!$M$37="Yes",81&gt;=Projects!$C$37,81&lt;Projects!$C$37+Projects!$D$37),Projects!$B$37*INDEX(Curves!$B$4:$AR$4,1,81-Projects!$C$37+1),0)+IF(AND(Projects!$G$38="Yes",Projects!$X$38="Yes",Projects!$M$38="Yes",81&gt;=Projects!$C$38,81&lt;Projects!$C$38+Projects!$D$38),Projects!$B$38*INDEX(Curves!$B$4:$AR$4,1,81-Projects!$C$38+1),0)+IF(AND(Projects!$G$39="Yes",Projects!$X$39="Yes",Projects!$M$39="Yes",81&gt;=Projects!$C$39,81&lt;Projects!$C$39+Projects!$D$39),Projects!$B$39*INDEX(Curves!$B$4:$AR$4,1,81-Projects!$C$39+1),0)+IF(AND(Projects!$G$40="Yes",Projects!$X$40="Yes",Projects!$M$40="Yes",81&gt;=Projects!$C$40,81&lt;Projects!$C$40+Projects!$D$40),Projects!$B$40*INDEX(Curves!$B$4:$AR$4,1,81-Projects!$C$40+1),0)+IF(AND(Projects!$G$41="Yes",Projects!$X$41="Yes",Projects!$M$41="Yes",81&gt;=Projects!$C$41,81&lt;Projects!$C$41+Projects!$D$41),Projects!$B$41*INDEX(Curves!$B$4:$AR$4,1,81-Projects!$C$41+1),0)+IF(AND(Projects!$G$42="Yes",Projects!$X$42="Yes",Projects!$M$42="Yes",81&gt;=Projects!$C$42,81&lt;Projects!$C$42+Projects!$D$42),Projects!$B$42*INDEX(Curves!$B$4:$AR$4,1,81-Projects!$C$42+1),0)+IF(AND(Projects!$G$43="Yes",Projects!$X$43="Yes",Projects!$M$43="Yes",81&gt;=Projects!$C$43,81&lt;Projects!$C$43+Projects!$D$43),Projects!$B$43*INDEX(Curves!$B$4:$AR$4,1,81-Projects!$C$43+1),0)+IF(AND(Projects!$G$44="Yes",Projects!$X$44="Yes",Projects!$M$44="Yes",81&gt;=Projects!$C$44,81&lt;Projects!$C$44+Projects!$D$44),Projects!$B$44*INDEX(Curves!$B$4:$AR$4,1,81-Projects!$C$44+1),0)+IF(AND(Projects!$G$45="Yes",Projects!$X$45="Yes",Projects!$M$45="Yes",81&gt;=Projects!$C$45,81&lt;Projects!$C$45+Projects!$D$45),Projects!$B$45*INDEX(Curves!$B$4:$AR$4,1,81-Projects!$C$45+1),0)+IF(AND(Projects!$G$46="Yes",Projects!$X$46="Yes",Projects!$M$46="Yes",81&gt;=Projects!$C$46,81&lt;Projects!$C$46+Projects!$D$46),Projects!$B$46*INDEX(Curves!$B$4:$AR$4,1,81-Projects!$C$46+1),0)</f>
        <v>0</v>
      </c>
      <c r="CI101" s="298" t="n">
        <f aca="false">IF(AND(Projects!$G$17="Yes",Projects!$X$17="Yes",Projects!$M$17="Yes",82&gt;=Projects!$C$17,82&lt;Projects!$C$17+Projects!$D$17),Projects!$B$17*INDEX(Curves!$B$4:$AR$4,1,82-Projects!$C$17+1),0)+IF(AND(Projects!$G$18="Yes",Projects!$X$18="Yes",Projects!$M$18="Yes",82&gt;=Projects!$C$18,82&lt;Projects!$C$18+Projects!$D$18),Projects!$B$18*INDEX(Curves!$B$4:$AR$4,1,82-Projects!$C$18+1),0)+IF(AND(Projects!$G$19="Yes",Projects!$X$19="Yes",Projects!$M$19="Yes",82&gt;=Projects!$C$19,82&lt;Projects!$C$19+Projects!$D$19),Projects!$B$19*INDEX(Curves!$B$10:$AR$10,1,82-Projects!$C$19+1),0)+IF(AND(Projects!$G$20="Yes",Projects!$X$20="Yes",Projects!$M$20="Yes",82&gt;=Projects!$C$20,82&lt;Projects!$C$20+Projects!$D$20),Projects!$B$20*INDEX(Curves!$B$4:$AR$4,1,82-Projects!$C$20+1),0)+IF(AND(Projects!$G$21="Yes",Projects!$X$21="Yes",Projects!$M$21="Yes",82&gt;=Projects!$C$21,82&lt;Projects!$C$21+Projects!$D$21),Projects!$B$21*INDEX(Curves!$B$11:$AR$11,1,82-Projects!$C$21+1),0)+IF(AND(Projects!$G$22="Yes",Projects!$X$22="Yes",Projects!$M$22="Yes",82&gt;=Projects!$C$22,82&lt;Projects!$C$22+Projects!$D$22),Projects!$B$22*INDEX(Curves!$B$4:$AR$4,1,82-Projects!$C$22+1),0)+IF(AND(Projects!$G$23="Yes",Projects!$X$23="Yes",Projects!$M$23="Yes",82&gt;=Projects!$C$23,82&lt;Projects!$C$23+Projects!$D$23),Projects!$B$23*INDEX(Curves!$B$4:$AR$4,1,82-Projects!$C$23+1),0)+IF(AND(Projects!$G$24="Yes",Projects!$X$24="Yes",Projects!$M$24="Yes",82&gt;=Projects!$C$24,82&lt;Projects!$C$24+Projects!$D$24),Projects!$B$24*INDEX(Curves!$B$4:$AR$4,1,82-Projects!$C$24+1),0)+IF(AND(Projects!$G$25="Yes",Projects!$X$25="Yes",Projects!$M$25="Yes",82&gt;=Projects!$C$25,82&lt;Projects!$C$25+Projects!$D$25),Projects!$B$25*INDEX(Curves!$B$4:$AR$4,1,82-Projects!$C$25+1),0)+IF(AND(Projects!$G$26="Yes",Projects!$X$26="Yes",Projects!$M$26="Yes",82&gt;=Projects!$C$26,82&lt;Projects!$C$26+Projects!$D$26),Projects!$B$26*INDEX(Curves!$B$4:$AR$4,1,82-Projects!$C$26+1),0)+IF(AND(Projects!$G$27="Yes",Projects!$X$27="Yes",Projects!$M$27="Yes",82&gt;=Projects!$C$27,82&lt;Projects!$C$27+Projects!$D$27),Projects!$B$27*INDEX(Curves!$B$4:$AR$4,1,82-Projects!$C$27+1),0)+IF(AND(Projects!$G$28="Yes",Projects!$X$28="Yes",Projects!$M$28="Yes",82&gt;=Projects!$C$28,82&lt;Projects!$C$28+Projects!$D$28),Projects!$B$28*INDEX(Curves!$B$4:$AR$4,1,82-Projects!$C$28+1),0)+IF(AND(Projects!$G$29="Yes",Projects!$X$29="Yes",Projects!$M$29="Yes",82&gt;=Projects!$C$29,82&lt;Projects!$C$29+Projects!$D$29),Projects!$B$29*INDEX(Curves!$B$4:$AR$4,1,82-Projects!$C$29+1),0)+IF(AND(Projects!$G$30="Yes",Projects!$X$30="Yes",Projects!$M$30="Yes",82&gt;=Projects!$C$30,82&lt;Projects!$C$30+Projects!$D$30),Projects!$B$30*INDEX(Curves!$B$4:$AR$4,1,82-Projects!$C$30+1),0)+IF(AND(Projects!$G$31="Yes",Projects!$X$31="Yes",Projects!$M$31="Yes",82&gt;=Projects!$C$31,82&lt;Projects!$C$31+Projects!$D$31),Projects!$B$31*INDEX(Curves!$B$4:$AR$4,1,82-Projects!$C$31+1),0)+IF(AND(Projects!$G$32="Yes",Projects!$X$32="Yes",Projects!$M$32="Yes",82&gt;=Projects!$C$32,82&lt;Projects!$C$32+Projects!$D$32),Projects!$B$32*INDEX(Curves!$B$4:$AR$4,1,82-Projects!$C$32+1),0)+IF(AND(Projects!$G$33="Yes",Projects!$X$33="Yes",Projects!$M$33="Yes",82&gt;=Projects!$C$33,82&lt;Projects!$C$33+Projects!$D$33),Projects!$B$33*INDEX(Curves!$B$4:$AR$4,1,82-Projects!$C$33+1),0)+IF(AND(Projects!$G$34="Yes",Projects!$X$34="Yes",Projects!$M$34="Yes",82&gt;=Projects!$C$34,82&lt;Projects!$C$34+Projects!$D$34),Projects!$B$34*INDEX(Curves!$B$4:$AR$4,1,82-Projects!$C$34+1),0)+IF(AND(Projects!$G$35="Yes",Projects!$X$35="Yes",Projects!$M$35="Yes",82&gt;=Projects!$C$35,82&lt;Projects!$C$35+Projects!$D$35),Projects!$B$35*INDEX(Curves!$B$4:$AR$4,1,82-Projects!$C$35+1),0)+IF(AND(Projects!$G$36="Yes",Projects!$X$36="Yes",Projects!$M$36="Yes",82&gt;=Projects!$C$36,82&lt;Projects!$C$36+Projects!$D$36),Projects!$B$36*INDEX(Curves!$B$4:$AR$4,1,82-Projects!$C$36+1),0)+IF(AND(Projects!$G$37="Yes",Projects!$X$37="Yes",Projects!$M$37="Yes",82&gt;=Projects!$C$37,82&lt;Projects!$C$37+Projects!$D$37),Projects!$B$37*INDEX(Curves!$B$4:$AR$4,1,82-Projects!$C$37+1),0)+IF(AND(Projects!$G$38="Yes",Projects!$X$38="Yes",Projects!$M$38="Yes",82&gt;=Projects!$C$38,82&lt;Projects!$C$38+Projects!$D$38),Projects!$B$38*INDEX(Curves!$B$4:$AR$4,1,82-Projects!$C$38+1),0)+IF(AND(Projects!$G$39="Yes",Projects!$X$39="Yes",Projects!$M$39="Yes",82&gt;=Projects!$C$39,82&lt;Projects!$C$39+Projects!$D$39),Projects!$B$39*INDEX(Curves!$B$4:$AR$4,1,82-Projects!$C$39+1),0)+IF(AND(Projects!$G$40="Yes",Projects!$X$40="Yes",Projects!$M$40="Yes",82&gt;=Projects!$C$40,82&lt;Projects!$C$40+Projects!$D$40),Projects!$B$40*INDEX(Curves!$B$4:$AR$4,1,82-Projects!$C$40+1),0)+IF(AND(Projects!$G$41="Yes",Projects!$X$41="Yes",Projects!$M$41="Yes",82&gt;=Projects!$C$41,82&lt;Projects!$C$41+Projects!$D$41),Projects!$B$41*INDEX(Curves!$B$4:$AR$4,1,82-Projects!$C$41+1),0)+IF(AND(Projects!$G$42="Yes",Projects!$X$42="Yes",Projects!$M$42="Yes",82&gt;=Projects!$C$42,82&lt;Projects!$C$42+Projects!$D$42),Projects!$B$42*INDEX(Curves!$B$4:$AR$4,1,82-Projects!$C$42+1),0)+IF(AND(Projects!$G$43="Yes",Projects!$X$43="Yes",Projects!$M$43="Yes",82&gt;=Projects!$C$43,82&lt;Projects!$C$43+Projects!$D$43),Projects!$B$43*INDEX(Curves!$B$4:$AR$4,1,82-Projects!$C$43+1),0)+IF(AND(Projects!$G$44="Yes",Projects!$X$44="Yes",Projects!$M$44="Yes",82&gt;=Projects!$C$44,82&lt;Projects!$C$44+Projects!$D$44),Projects!$B$44*INDEX(Curves!$B$4:$AR$4,1,82-Projects!$C$44+1),0)+IF(AND(Projects!$G$45="Yes",Projects!$X$45="Yes",Projects!$M$45="Yes",82&gt;=Projects!$C$45,82&lt;Projects!$C$45+Projects!$D$45),Projects!$B$45*INDEX(Curves!$B$4:$AR$4,1,82-Projects!$C$45+1),0)+IF(AND(Projects!$G$46="Yes",Projects!$X$46="Yes",Projects!$M$46="Yes",82&gt;=Projects!$C$46,82&lt;Projects!$C$46+Projects!$D$46),Projects!$B$46*INDEX(Curves!$B$4:$AR$4,1,82-Projects!$C$46+1),0)</f>
        <v>0</v>
      </c>
      <c r="CJ101" s="298" t="n">
        <f aca="false">IF(AND(Projects!$G$17="Yes",Projects!$X$17="Yes",Projects!$M$17="Yes",83&gt;=Projects!$C$17,83&lt;Projects!$C$17+Projects!$D$17),Projects!$B$17*INDEX(Curves!$B$4:$AR$4,1,83-Projects!$C$17+1),0)+IF(AND(Projects!$G$18="Yes",Projects!$X$18="Yes",Projects!$M$18="Yes",83&gt;=Projects!$C$18,83&lt;Projects!$C$18+Projects!$D$18),Projects!$B$18*INDEX(Curves!$B$4:$AR$4,1,83-Projects!$C$18+1),0)+IF(AND(Projects!$G$19="Yes",Projects!$X$19="Yes",Projects!$M$19="Yes",83&gt;=Projects!$C$19,83&lt;Projects!$C$19+Projects!$D$19),Projects!$B$19*INDEX(Curves!$B$10:$AR$10,1,83-Projects!$C$19+1),0)+IF(AND(Projects!$G$20="Yes",Projects!$X$20="Yes",Projects!$M$20="Yes",83&gt;=Projects!$C$20,83&lt;Projects!$C$20+Projects!$D$20),Projects!$B$20*INDEX(Curves!$B$4:$AR$4,1,83-Projects!$C$20+1),0)+IF(AND(Projects!$G$21="Yes",Projects!$X$21="Yes",Projects!$M$21="Yes",83&gt;=Projects!$C$21,83&lt;Projects!$C$21+Projects!$D$21),Projects!$B$21*INDEX(Curves!$B$11:$AR$11,1,83-Projects!$C$21+1),0)+IF(AND(Projects!$G$22="Yes",Projects!$X$22="Yes",Projects!$M$22="Yes",83&gt;=Projects!$C$22,83&lt;Projects!$C$22+Projects!$D$22),Projects!$B$22*INDEX(Curves!$B$4:$AR$4,1,83-Projects!$C$22+1),0)+IF(AND(Projects!$G$23="Yes",Projects!$X$23="Yes",Projects!$M$23="Yes",83&gt;=Projects!$C$23,83&lt;Projects!$C$23+Projects!$D$23),Projects!$B$23*INDEX(Curves!$B$4:$AR$4,1,83-Projects!$C$23+1),0)+IF(AND(Projects!$G$24="Yes",Projects!$X$24="Yes",Projects!$M$24="Yes",83&gt;=Projects!$C$24,83&lt;Projects!$C$24+Projects!$D$24),Projects!$B$24*INDEX(Curves!$B$4:$AR$4,1,83-Projects!$C$24+1),0)+IF(AND(Projects!$G$25="Yes",Projects!$X$25="Yes",Projects!$M$25="Yes",83&gt;=Projects!$C$25,83&lt;Projects!$C$25+Projects!$D$25),Projects!$B$25*INDEX(Curves!$B$4:$AR$4,1,83-Projects!$C$25+1),0)+IF(AND(Projects!$G$26="Yes",Projects!$X$26="Yes",Projects!$M$26="Yes",83&gt;=Projects!$C$26,83&lt;Projects!$C$26+Projects!$D$26),Projects!$B$26*INDEX(Curves!$B$4:$AR$4,1,83-Projects!$C$26+1),0)+IF(AND(Projects!$G$27="Yes",Projects!$X$27="Yes",Projects!$M$27="Yes",83&gt;=Projects!$C$27,83&lt;Projects!$C$27+Projects!$D$27),Projects!$B$27*INDEX(Curves!$B$4:$AR$4,1,83-Projects!$C$27+1),0)+IF(AND(Projects!$G$28="Yes",Projects!$X$28="Yes",Projects!$M$28="Yes",83&gt;=Projects!$C$28,83&lt;Projects!$C$28+Projects!$D$28),Projects!$B$28*INDEX(Curves!$B$4:$AR$4,1,83-Projects!$C$28+1),0)+IF(AND(Projects!$G$29="Yes",Projects!$X$29="Yes",Projects!$M$29="Yes",83&gt;=Projects!$C$29,83&lt;Projects!$C$29+Projects!$D$29),Projects!$B$29*INDEX(Curves!$B$4:$AR$4,1,83-Projects!$C$29+1),0)+IF(AND(Projects!$G$30="Yes",Projects!$X$30="Yes",Projects!$M$30="Yes",83&gt;=Projects!$C$30,83&lt;Projects!$C$30+Projects!$D$30),Projects!$B$30*INDEX(Curves!$B$4:$AR$4,1,83-Projects!$C$30+1),0)+IF(AND(Projects!$G$31="Yes",Projects!$X$31="Yes",Projects!$M$31="Yes",83&gt;=Projects!$C$31,83&lt;Projects!$C$31+Projects!$D$31),Projects!$B$31*INDEX(Curves!$B$4:$AR$4,1,83-Projects!$C$31+1),0)+IF(AND(Projects!$G$32="Yes",Projects!$X$32="Yes",Projects!$M$32="Yes",83&gt;=Projects!$C$32,83&lt;Projects!$C$32+Projects!$D$32),Projects!$B$32*INDEX(Curves!$B$4:$AR$4,1,83-Projects!$C$32+1),0)+IF(AND(Projects!$G$33="Yes",Projects!$X$33="Yes",Projects!$M$33="Yes",83&gt;=Projects!$C$33,83&lt;Projects!$C$33+Projects!$D$33),Projects!$B$33*INDEX(Curves!$B$4:$AR$4,1,83-Projects!$C$33+1),0)+IF(AND(Projects!$G$34="Yes",Projects!$X$34="Yes",Projects!$M$34="Yes",83&gt;=Projects!$C$34,83&lt;Projects!$C$34+Projects!$D$34),Projects!$B$34*INDEX(Curves!$B$4:$AR$4,1,83-Projects!$C$34+1),0)+IF(AND(Projects!$G$35="Yes",Projects!$X$35="Yes",Projects!$M$35="Yes",83&gt;=Projects!$C$35,83&lt;Projects!$C$35+Projects!$D$35),Projects!$B$35*INDEX(Curves!$B$4:$AR$4,1,83-Projects!$C$35+1),0)+IF(AND(Projects!$G$36="Yes",Projects!$X$36="Yes",Projects!$M$36="Yes",83&gt;=Projects!$C$36,83&lt;Projects!$C$36+Projects!$D$36),Projects!$B$36*INDEX(Curves!$B$4:$AR$4,1,83-Projects!$C$36+1),0)+IF(AND(Projects!$G$37="Yes",Projects!$X$37="Yes",Projects!$M$37="Yes",83&gt;=Projects!$C$37,83&lt;Projects!$C$37+Projects!$D$37),Projects!$B$37*INDEX(Curves!$B$4:$AR$4,1,83-Projects!$C$37+1),0)+IF(AND(Projects!$G$38="Yes",Projects!$X$38="Yes",Projects!$M$38="Yes",83&gt;=Projects!$C$38,83&lt;Projects!$C$38+Projects!$D$38),Projects!$B$38*INDEX(Curves!$B$4:$AR$4,1,83-Projects!$C$38+1),0)+IF(AND(Projects!$G$39="Yes",Projects!$X$39="Yes",Projects!$M$39="Yes",83&gt;=Projects!$C$39,83&lt;Projects!$C$39+Projects!$D$39),Projects!$B$39*INDEX(Curves!$B$4:$AR$4,1,83-Projects!$C$39+1),0)+IF(AND(Projects!$G$40="Yes",Projects!$X$40="Yes",Projects!$M$40="Yes",83&gt;=Projects!$C$40,83&lt;Projects!$C$40+Projects!$D$40),Projects!$B$40*INDEX(Curves!$B$4:$AR$4,1,83-Projects!$C$40+1),0)+IF(AND(Projects!$G$41="Yes",Projects!$X$41="Yes",Projects!$M$41="Yes",83&gt;=Projects!$C$41,83&lt;Projects!$C$41+Projects!$D$41),Projects!$B$41*INDEX(Curves!$B$4:$AR$4,1,83-Projects!$C$41+1),0)+IF(AND(Projects!$G$42="Yes",Projects!$X$42="Yes",Projects!$M$42="Yes",83&gt;=Projects!$C$42,83&lt;Projects!$C$42+Projects!$D$42),Projects!$B$42*INDEX(Curves!$B$4:$AR$4,1,83-Projects!$C$42+1),0)+IF(AND(Projects!$G$43="Yes",Projects!$X$43="Yes",Projects!$M$43="Yes",83&gt;=Projects!$C$43,83&lt;Projects!$C$43+Projects!$D$43),Projects!$B$43*INDEX(Curves!$B$4:$AR$4,1,83-Projects!$C$43+1),0)+IF(AND(Projects!$G$44="Yes",Projects!$X$44="Yes",Projects!$M$44="Yes",83&gt;=Projects!$C$44,83&lt;Projects!$C$44+Projects!$D$44),Projects!$B$44*INDEX(Curves!$B$4:$AR$4,1,83-Projects!$C$44+1),0)+IF(AND(Projects!$G$45="Yes",Projects!$X$45="Yes",Projects!$M$45="Yes",83&gt;=Projects!$C$45,83&lt;Projects!$C$45+Projects!$D$45),Projects!$B$45*INDEX(Curves!$B$4:$AR$4,1,83-Projects!$C$45+1),0)+IF(AND(Projects!$G$46="Yes",Projects!$X$46="Yes",Projects!$M$46="Yes",83&gt;=Projects!$C$46,83&lt;Projects!$C$46+Projects!$D$46),Projects!$B$46*INDEX(Curves!$B$4:$AR$4,1,83-Projects!$C$46+1),0)</f>
        <v>0</v>
      </c>
      <c r="CK101" s="298" t="n">
        <f aca="false">IF(AND(Projects!$G$17="Yes",Projects!$X$17="Yes",Projects!$M$17="Yes",84&gt;=Projects!$C$17,84&lt;Projects!$C$17+Projects!$D$17),Projects!$B$17*INDEX(Curves!$B$4:$AR$4,1,84-Projects!$C$17+1),0)+IF(AND(Projects!$G$18="Yes",Projects!$X$18="Yes",Projects!$M$18="Yes",84&gt;=Projects!$C$18,84&lt;Projects!$C$18+Projects!$D$18),Projects!$B$18*INDEX(Curves!$B$4:$AR$4,1,84-Projects!$C$18+1),0)+IF(AND(Projects!$G$19="Yes",Projects!$X$19="Yes",Projects!$M$19="Yes",84&gt;=Projects!$C$19,84&lt;Projects!$C$19+Projects!$D$19),Projects!$B$19*INDEX(Curves!$B$10:$AR$10,1,84-Projects!$C$19+1),0)+IF(AND(Projects!$G$20="Yes",Projects!$X$20="Yes",Projects!$M$20="Yes",84&gt;=Projects!$C$20,84&lt;Projects!$C$20+Projects!$D$20),Projects!$B$20*INDEX(Curves!$B$4:$AR$4,1,84-Projects!$C$20+1),0)+IF(AND(Projects!$G$21="Yes",Projects!$X$21="Yes",Projects!$M$21="Yes",84&gt;=Projects!$C$21,84&lt;Projects!$C$21+Projects!$D$21),Projects!$B$21*INDEX(Curves!$B$11:$AR$11,1,84-Projects!$C$21+1),0)+IF(AND(Projects!$G$22="Yes",Projects!$X$22="Yes",Projects!$M$22="Yes",84&gt;=Projects!$C$22,84&lt;Projects!$C$22+Projects!$D$22),Projects!$B$22*INDEX(Curves!$B$4:$AR$4,1,84-Projects!$C$22+1),0)+IF(AND(Projects!$G$23="Yes",Projects!$X$23="Yes",Projects!$M$23="Yes",84&gt;=Projects!$C$23,84&lt;Projects!$C$23+Projects!$D$23),Projects!$B$23*INDEX(Curves!$B$4:$AR$4,1,84-Projects!$C$23+1),0)+IF(AND(Projects!$G$24="Yes",Projects!$X$24="Yes",Projects!$M$24="Yes",84&gt;=Projects!$C$24,84&lt;Projects!$C$24+Projects!$D$24),Projects!$B$24*INDEX(Curves!$B$4:$AR$4,1,84-Projects!$C$24+1),0)+IF(AND(Projects!$G$25="Yes",Projects!$X$25="Yes",Projects!$M$25="Yes",84&gt;=Projects!$C$25,84&lt;Projects!$C$25+Projects!$D$25),Projects!$B$25*INDEX(Curves!$B$4:$AR$4,1,84-Projects!$C$25+1),0)+IF(AND(Projects!$G$26="Yes",Projects!$X$26="Yes",Projects!$M$26="Yes",84&gt;=Projects!$C$26,84&lt;Projects!$C$26+Projects!$D$26),Projects!$B$26*INDEX(Curves!$B$4:$AR$4,1,84-Projects!$C$26+1),0)+IF(AND(Projects!$G$27="Yes",Projects!$X$27="Yes",Projects!$M$27="Yes",84&gt;=Projects!$C$27,84&lt;Projects!$C$27+Projects!$D$27),Projects!$B$27*INDEX(Curves!$B$4:$AR$4,1,84-Projects!$C$27+1),0)+IF(AND(Projects!$G$28="Yes",Projects!$X$28="Yes",Projects!$M$28="Yes",84&gt;=Projects!$C$28,84&lt;Projects!$C$28+Projects!$D$28),Projects!$B$28*INDEX(Curves!$B$4:$AR$4,1,84-Projects!$C$28+1),0)+IF(AND(Projects!$G$29="Yes",Projects!$X$29="Yes",Projects!$M$29="Yes",84&gt;=Projects!$C$29,84&lt;Projects!$C$29+Projects!$D$29),Projects!$B$29*INDEX(Curves!$B$4:$AR$4,1,84-Projects!$C$29+1),0)+IF(AND(Projects!$G$30="Yes",Projects!$X$30="Yes",Projects!$M$30="Yes",84&gt;=Projects!$C$30,84&lt;Projects!$C$30+Projects!$D$30),Projects!$B$30*INDEX(Curves!$B$4:$AR$4,1,84-Projects!$C$30+1),0)+IF(AND(Projects!$G$31="Yes",Projects!$X$31="Yes",Projects!$M$31="Yes",84&gt;=Projects!$C$31,84&lt;Projects!$C$31+Projects!$D$31),Projects!$B$31*INDEX(Curves!$B$4:$AR$4,1,84-Projects!$C$31+1),0)+IF(AND(Projects!$G$32="Yes",Projects!$X$32="Yes",Projects!$M$32="Yes",84&gt;=Projects!$C$32,84&lt;Projects!$C$32+Projects!$D$32),Projects!$B$32*INDEX(Curves!$B$4:$AR$4,1,84-Projects!$C$32+1),0)+IF(AND(Projects!$G$33="Yes",Projects!$X$33="Yes",Projects!$M$33="Yes",84&gt;=Projects!$C$33,84&lt;Projects!$C$33+Projects!$D$33),Projects!$B$33*INDEX(Curves!$B$4:$AR$4,1,84-Projects!$C$33+1),0)+IF(AND(Projects!$G$34="Yes",Projects!$X$34="Yes",Projects!$M$34="Yes",84&gt;=Projects!$C$34,84&lt;Projects!$C$34+Projects!$D$34),Projects!$B$34*INDEX(Curves!$B$4:$AR$4,1,84-Projects!$C$34+1),0)+IF(AND(Projects!$G$35="Yes",Projects!$X$35="Yes",Projects!$M$35="Yes",84&gt;=Projects!$C$35,84&lt;Projects!$C$35+Projects!$D$35),Projects!$B$35*INDEX(Curves!$B$4:$AR$4,1,84-Projects!$C$35+1),0)+IF(AND(Projects!$G$36="Yes",Projects!$X$36="Yes",Projects!$M$36="Yes",84&gt;=Projects!$C$36,84&lt;Projects!$C$36+Projects!$D$36),Projects!$B$36*INDEX(Curves!$B$4:$AR$4,1,84-Projects!$C$36+1),0)+IF(AND(Projects!$G$37="Yes",Projects!$X$37="Yes",Projects!$M$37="Yes",84&gt;=Projects!$C$37,84&lt;Projects!$C$37+Projects!$D$37),Projects!$B$37*INDEX(Curves!$B$4:$AR$4,1,84-Projects!$C$37+1),0)+IF(AND(Projects!$G$38="Yes",Projects!$X$38="Yes",Projects!$M$38="Yes",84&gt;=Projects!$C$38,84&lt;Projects!$C$38+Projects!$D$38),Projects!$B$38*INDEX(Curves!$B$4:$AR$4,1,84-Projects!$C$38+1),0)+IF(AND(Projects!$G$39="Yes",Projects!$X$39="Yes",Projects!$M$39="Yes",84&gt;=Projects!$C$39,84&lt;Projects!$C$39+Projects!$D$39),Projects!$B$39*INDEX(Curves!$B$4:$AR$4,1,84-Projects!$C$39+1),0)+IF(AND(Projects!$G$40="Yes",Projects!$X$40="Yes",Projects!$M$40="Yes",84&gt;=Projects!$C$40,84&lt;Projects!$C$40+Projects!$D$40),Projects!$B$40*INDEX(Curves!$B$4:$AR$4,1,84-Projects!$C$40+1),0)+IF(AND(Projects!$G$41="Yes",Projects!$X$41="Yes",Projects!$M$41="Yes",84&gt;=Projects!$C$41,84&lt;Projects!$C$41+Projects!$D$41),Projects!$B$41*INDEX(Curves!$B$4:$AR$4,1,84-Projects!$C$41+1),0)+IF(AND(Projects!$G$42="Yes",Projects!$X$42="Yes",Projects!$M$42="Yes",84&gt;=Projects!$C$42,84&lt;Projects!$C$42+Projects!$D$42),Projects!$B$42*INDEX(Curves!$B$4:$AR$4,1,84-Projects!$C$42+1),0)+IF(AND(Projects!$G$43="Yes",Projects!$X$43="Yes",Projects!$M$43="Yes",84&gt;=Projects!$C$43,84&lt;Projects!$C$43+Projects!$D$43),Projects!$B$43*INDEX(Curves!$B$4:$AR$4,1,84-Projects!$C$43+1),0)+IF(AND(Projects!$G$44="Yes",Projects!$X$44="Yes",Projects!$M$44="Yes",84&gt;=Projects!$C$44,84&lt;Projects!$C$44+Projects!$D$44),Projects!$B$44*INDEX(Curves!$B$4:$AR$4,1,84-Projects!$C$44+1),0)+IF(AND(Projects!$G$45="Yes",Projects!$X$45="Yes",Projects!$M$45="Yes",84&gt;=Projects!$C$45,84&lt;Projects!$C$45+Projects!$D$45),Projects!$B$45*INDEX(Curves!$B$4:$AR$4,1,84-Projects!$C$45+1),0)+IF(AND(Projects!$G$46="Yes",Projects!$X$46="Yes",Projects!$M$46="Yes",84&gt;=Projects!$C$46,84&lt;Projects!$C$46+Projects!$D$46),Projects!$B$46*INDEX(Curves!$B$4:$AR$4,1,84-Projects!$C$46+1),0)</f>
        <v>0</v>
      </c>
      <c r="CL101" s="298" t="n">
        <f aca="false">IF(AND(Projects!$G$17="Yes",Projects!$X$17="Yes",Projects!$M$17="Yes",85&gt;=Projects!$C$17,85&lt;Projects!$C$17+Projects!$D$17),Projects!$B$17*INDEX(Curves!$B$4:$AR$4,1,85-Projects!$C$17+1),0)+IF(AND(Projects!$G$18="Yes",Projects!$X$18="Yes",Projects!$M$18="Yes",85&gt;=Projects!$C$18,85&lt;Projects!$C$18+Projects!$D$18),Projects!$B$18*INDEX(Curves!$B$4:$AR$4,1,85-Projects!$C$18+1),0)+IF(AND(Projects!$G$19="Yes",Projects!$X$19="Yes",Projects!$M$19="Yes",85&gt;=Projects!$C$19,85&lt;Projects!$C$19+Projects!$D$19),Projects!$B$19*INDEX(Curves!$B$10:$AR$10,1,85-Projects!$C$19+1),0)+IF(AND(Projects!$G$20="Yes",Projects!$X$20="Yes",Projects!$M$20="Yes",85&gt;=Projects!$C$20,85&lt;Projects!$C$20+Projects!$D$20),Projects!$B$20*INDEX(Curves!$B$4:$AR$4,1,85-Projects!$C$20+1),0)+IF(AND(Projects!$G$21="Yes",Projects!$X$21="Yes",Projects!$M$21="Yes",85&gt;=Projects!$C$21,85&lt;Projects!$C$21+Projects!$D$21),Projects!$B$21*INDEX(Curves!$B$11:$AR$11,1,85-Projects!$C$21+1),0)+IF(AND(Projects!$G$22="Yes",Projects!$X$22="Yes",Projects!$M$22="Yes",85&gt;=Projects!$C$22,85&lt;Projects!$C$22+Projects!$D$22),Projects!$B$22*INDEX(Curves!$B$4:$AR$4,1,85-Projects!$C$22+1),0)+IF(AND(Projects!$G$23="Yes",Projects!$X$23="Yes",Projects!$M$23="Yes",85&gt;=Projects!$C$23,85&lt;Projects!$C$23+Projects!$D$23),Projects!$B$23*INDEX(Curves!$B$4:$AR$4,1,85-Projects!$C$23+1),0)+IF(AND(Projects!$G$24="Yes",Projects!$X$24="Yes",Projects!$M$24="Yes",85&gt;=Projects!$C$24,85&lt;Projects!$C$24+Projects!$D$24),Projects!$B$24*INDEX(Curves!$B$4:$AR$4,1,85-Projects!$C$24+1),0)+IF(AND(Projects!$G$25="Yes",Projects!$X$25="Yes",Projects!$M$25="Yes",85&gt;=Projects!$C$25,85&lt;Projects!$C$25+Projects!$D$25),Projects!$B$25*INDEX(Curves!$B$4:$AR$4,1,85-Projects!$C$25+1),0)+IF(AND(Projects!$G$26="Yes",Projects!$X$26="Yes",Projects!$M$26="Yes",85&gt;=Projects!$C$26,85&lt;Projects!$C$26+Projects!$D$26),Projects!$B$26*INDEX(Curves!$B$4:$AR$4,1,85-Projects!$C$26+1),0)+IF(AND(Projects!$G$27="Yes",Projects!$X$27="Yes",Projects!$M$27="Yes",85&gt;=Projects!$C$27,85&lt;Projects!$C$27+Projects!$D$27),Projects!$B$27*INDEX(Curves!$B$4:$AR$4,1,85-Projects!$C$27+1),0)+IF(AND(Projects!$G$28="Yes",Projects!$X$28="Yes",Projects!$M$28="Yes",85&gt;=Projects!$C$28,85&lt;Projects!$C$28+Projects!$D$28),Projects!$B$28*INDEX(Curves!$B$4:$AR$4,1,85-Projects!$C$28+1),0)+IF(AND(Projects!$G$29="Yes",Projects!$X$29="Yes",Projects!$M$29="Yes",85&gt;=Projects!$C$29,85&lt;Projects!$C$29+Projects!$D$29),Projects!$B$29*INDEX(Curves!$B$4:$AR$4,1,85-Projects!$C$29+1),0)+IF(AND(Projects!$G$30="Yes",Projects!$X$30="Yes",Projects!$M$30="Yes",85&gt;=Projects!$C$30,85&lt;Projects!$C$30+Projects!$D$30),Projects!$B$30*INDEX(Curves!$B$4:$AR$4,1,85-Projects!$C$30+1),0)+IF(AND(Projects!$G$31="Yes",Projects!$X$31="Yes",Projects!$M$31="Yes",85&gt;=Projects!$C$31,85&lt;Projects!$C$31+Projects!$D$31),Projects!$B$31*INDEX(Curves!$B$4:$AR$4,1,85-Projects!$C$31+1),0)+IF(AND(Projects!$G$32="Yes",Projects!$X$32="Yes",Projects!$M$32="Yes",85&gt;=Projects!$C$32,85&lt;Projects!$C$32+Projects!$D$32),Projects!$B$32*INDEX(Curves!$B$4:$AR$4,1,85-Projects!$C$32+1),0)+IF(AND(Projects!$G$33="Yes",Projects!$X$33="Yes",Projects!$M$33="Yes",85&gt;=Projects!$C$33,85&lt;Projects!$C$33+Projects!$D$33),Projects!$B$33*INDEX(Curves!$B$4:$AR$4,1,85-Projects!$C$33+1),0)+IF(AND(Projects!$G$34="Yes",Projects!$X$34="Yes",Projects!$M$34="Yes",85&gt;=Projects!$C$34,85&lt;Projects!$C$34+Projects!$D$34),Projects!$B$34*INDEX(Curves!$B$4:$AR$4,1,85-Projects!$C$34+1),0)+IF(AND(Projects!$G$35="Yes",Projects!$X$35="Yes",Projects!$M$35="Yes",85&gt;=Projects!$C$35,85&lt;Projects!$C$35+Projects!$D$35),Projects!$B$35*INDEX(Curves!$B$4:$AR$4,1,85-Projects!$C$35+1),0)+IF(AND(Projects!$G$36="Yes",Projects!$X$36="Yes",Projects!$M$36="Yes",85&gt;=Projects!$C$36,85&lt;Projects!$C$36+Projects!$D$36),Projects!$B$36*INDEX(Curves!$B$4:$AR$4,1,85-Projects!$C$36+1),0)+IF(AND(Projects!$G$37="Yes",Projects!$X$37="Yes",Projects!$M$37="Yes",85&gt;=Projects!$C$37,85&lt;Projects!$C$37+Projects!$D$37),Projects!$B$37*INDEX(Curves!$B$4:$AR$4,1,85-Projects!$C$37+1),0)+IF(AND(Projects!$G$38="Yes",Projects!$X$38="Yes",Projects!$M$38="Yes",85&gt;=Projects!$C$38,85&lt;Projects!$C$38+Projects!$D$38),Projects!$B$38*INDEX(Curves!$B$4:$AR$4,1,85-Projects!$C$38+1),0)+IF(AND(Projects!$G$39="Yes",Projects!$X$39="Yes",Projects!$M$39="Yes",85&gt;=Projects!$C$39,85&lt;Projects!$C$39+Projects!$D$39),Projects!$B$39*INDEX(Curves!$B$4:$AR$4,1,85-Projects!$C$39+1),0)+IF(AND(Projects!$G$40="Yes",Projects!$X$40="Yes",Projects!$M$40="Yes",85&gt;=Projects!$C$40,85&lt;Projects!$C$40+Projects!$D$40),Projects!$B$40*INDEX(Curves!$B$4:$AR$4,1,85-Projects!$C$40+1),0)+IF(AND(Projects!$G$41="Yes",Projects!$X$41="Yes",Projects!$M$41="Yes",85&gt;=Projects!$C$41,85&lt;Projects!$C$41+Projects!$D$41),Projects!$B$41*INDEX(Curves!$B$4:$AR$4,1,85-Projects!$C$41+1),0)+IF(AND(Projects!$G$42="Yes",Projects!$X$42="Yes",Projects!$M$42="Yes",85&gt;=Projects!$C$42,85&lt;Projects!$C$42+Projects!$D$42),Projects!$B$42*INDEX(Curves!$B$4:$AR$4,1,85-Projects!$C$42+1),0)+IF(AND(Projects!$G$43="Yes",Projects!$X$43="Yes",Projects!$M$43="Yes",85&gt;=Projects!$C$43,85&lt;Projects!$C$43+Projects!$D$43),Projects!$B$43*INDEX(Curves!$B$4:$AR$4,1,85-Projects!$C$43+1),0)+IF(AND(Projects!$G$44="Yes",Projects!$X$44="Yes",Projects!$M$44="Yes",85&gt;=Projects!$C$44,85&lt;Projects!$C$44+Projects!$D$44),Projects!$B$44*INDEX(Curves!$B$4:$AR$4,1,85-Projects!$C$44+1),0)+IF(AND(Projects!$G$45="Yes",Projects!$X$45="Yes",Projects!$M$45="Yes",85&gt;=Projects!$C$45,85&lt;Projects!$C$45+Projects!$D$45),Projects!$B$45*INDEX(Curves!$B$4:$AR$4,1,85-Projects!$C$45+1),0)+IF(AND(Projects!$G$46="Yes",Projects!$X$46="Yes",Projects!$M$46="Yes",85&gt;=Projects!$C$46,85&lt;Projects!$C$46+Projects!$D$46),Projects!$B$46*INDEX(Curves!$B$4:$AR$4,1,85-Projects!$C$46+1),0)</f>
        <v>0</v>
      </c>
      <c r="CM101" s="298" t="n">
        <f aca="false">IF(AND(Projects!$G$17="Yes",Projects!$X$17="Yes",Projects!$M$17="Yes",86&gt;=Projects!$C$17,86&lt;Projects!$C$17+Projects!$D$17),Projects!$B$17*INDEX(Curves!$B$4:$AR$4,1,86-Projects!$C$17+1),0)+IF(AND(Projects!$G$18="Yes",Projects!$X$18="Yes",Projects!$M$18="Yes",86&gt;=Projects!$C$18,86&lt;Projects!$C$18+Projects!$D$18),Projects!$B$18*INDEX(Curves!$B$4:$AR$4,1,86-Projects!$C$18+1),0)+IF(AND(Projects!$G$19="Yes",Projects!$X$19="Yes",Projects!$M$19="Yes",86&gt;=Projects!$C$19,86&lt;Projects!$C$19+Projects!$D$19),Projects!$B$19*INDEX(Curves!$B$10:$AR$10,1,86-Projects!$C$19+1),0)+IF(AND(Projects!$G$20="Yes",Projects!$X$20="Yes",Projects!$M$20="Yes",86&gt;=Projects!$C$20,86&lt;Projects!$C$20+Projects!$D$20),Projects!$B$20*INDEX(Curves!$B$4:$AR$4,1,86-Projects!$C$20+1),0)+IF(AND(Projects!$G$21="Yes",Projects!$X$21="Yes",Projects!$M$21="Yes",86&gt;=Projects!$C$21,86&lt;Projects!$C$21+Projects!$D$21),Projects!$B$21*INDEX(Curves!$B$11:$AR$11,1,86-Projects!$C$21+1),0)+IF(AND(Projects!$G$22="Yes",Projects!$X$22="Yes",Projects!$M$22="Yes",86&gt;=Projects!$C$22,86&lt;Projects!$C$22+Projects!$D$22),Projects!$B$22*INDEX(Curves!$B$4:$AR$4,1,86-Projects!$C$22+1),0)+IF(AND(Projects!$G$23="Yes",Projects!$X$23="Yes",Projects!$M$23="Yes",86&gt;=Projects!$C$23,86&lt;Projects!$C$23+Projects!$D$23),Projects!$B$23*INDEX(Curves!$B$4:$AR$4,1,86-Projects!$C$23+1),0)+IF(AND(Projects!$G$24="Yes",Projects!$X$24="Yes",Projects!$M$24="Yes",86&gt;=Projects!$C$24,86&lt;Projects!$C$24+Projects!$D$24),Projects!$B$24*INDEX(Curves!$B$4:$AR$4,1,86-Projects!$C$24+1),0)+IF(AND(Projects!$G$25="Yes",Projects!$X$25="Yes",Projects!$M$25="Yes",86&gt;=Projects!$C$25,86&lt;Projects!$C$25+Projects!$D$25),Projects!$B$25*INDEX(Curves!$B$4:$AR$4,1,86-Projects!$C$25+1),0)+IF(AND(Projects!$G$26="Yes",Projects!$X$26="Yes",Projects!$M$26="Yes",86&gt;=Projects!$C$26,86&lt;Projects!$C$26+Projects!$D$26),Projects!$B$26*INDEX(Curves!$B$4:$AR$4,1,86-Projects!$C$26+1),0)+IF(AND(Projects!$G$27="Yes",Projects!$X$27="Yes",Projects!$M$27="Yes",86&gt;=Projects!$C$27,86&lt;Projects!$C$27+Projects!$D$27),Projects!$B$27*INDEX(Curves!$B$4:$AR$4,1,86-Projects!$C$27+1),0)+IF(AND(Projects!$G$28="Yes",Projects!$X$28="Yes",Projects!$M$28="Yes",86&gt;=Projects!$C$28,86&lt;Projects!$C$28+Projects!$D$28),Projects!$B$28*INDEX(Curves!$B$4:$AR$4,1,86-Projects!$C$28+1),0)+IF(AND(Projects!$G$29="Yes",Projects!$X$29="Yes",Projects!$M$29="Yes",86&gt;=Projects!$C$29,86&lt;Projects!$C$29+Projects!$D$29),Projects!$B$29*INDEX(Curves!$B$4:$AR$4,1,86-Projects!$C$29+1),0)+IF(AND(Projects!$G$30="Yes",Projects!$X$30="Yes",Projects!$M$30="Yes",86&gt;=Projects!$C$30,86&lt;Projects!$C$30+Projects!$D$30),Projects!$B$30*INDEX(Curves!$B$4:$AR$4,1,86-Projects!$C$30+1),0)+IF(AND(Projects!$G$31="Yes",Projects!$X$31="Yes",Projects!$M$31="Yes",86&gt;=Projects!$C$31,86&lt;Projects!$C$31+Projects!$D$31),Projects!$B$31*INDEX(Curves!$B$4:$AR$4,1,86-Projects!$C$31+1),0)+IF(AND(Projects!$G$32="Yes",Projects!$X$32="Yes",Projects!$M$32="Yes",86&gt;=Projects!$C$32,86&lt;Projects!$C$32+Projects!$D$32),Projects!$B$32*INDEX(Curves!$B$4:$AR$4,1,86-Projects!$C$32+1),0)+IF(AND(Projects!$G$33="Yes",Projects!$X$33="Yes",Projects!$M$33="Yes",86&gt;=Projects!$C$33,86&lt;Projects!$C$33+Projects!$D$33),Projects!$B$33*INDEX(Curves!$B$4:$AR$4,1,86-Projects!$C$33+1),0)+IF(AND(Projects!$G$34="Yes",Projects!$X$34="Yes",Projects!$M$34="Yes",86&gt;=Projects!$C$34,86&lt;Projects!$C$34+Projects!$D$34),Projects!$B$34*INDEX(Curves!$B$4:$AR$4,1,86-Projects!$C$34+1),0)+IF(AND(Projects!$G$35="Yes",Projects!$X$35="Yes",Projects!$M$35="Yes",86&gt;=Projects!$C$35,86&lt;Projects!$C$35+Projects!$D$35),Projects!$B$35*INDEX(Curves!$B$4:$AR$4,1,86-Projects!$C$35+1),0)+IF(AND(Projects!$G$36="Yes",Projects!$X$36="Yes",Projects!$M$36="Yes",86&gt;=Projects!$C$36,86&lt;Projects!$C$36+Projects!$D$36),Projects!$B$36*INDEX(Curves!$B$4:$AR$4,1,86-Projects!$C$36+1),0)+IF(AND(Projects!$G$37="Yes",Projects!$X$37="Yes",Projects!$M$37="Yes",86&gt;=Projects!$C$37,86&lt;Projects!$C$37+Projects!$D$37),Projects!$B$37*INDEX(Curves!$B$4:$AR$4,1,86-Projects!$C$37+1),0)+IF(AND(Projects!$G$38="Yes",Projects!$X$38="Yes",Projects!$M$38="Yes",86&gt;=Projects!$C$38,86&lt;Projects!$C$38+Projects!$D$38),Projects!$B$38*INDEX(Curves!$B$4:$AR$4,1,86-Projects!$C$38+1),0)+IF(AND(Projects!$G$39="Yes",Projects!$X$39="Yes",Projects!$M$39="Yes",86&gt;=Projects!$C$39,86&lt;Projects!$C$39+Projects!$D$39),Projects!$B$39*INDEX(Curves!$B$4:$AR$4,1,86-Projects!$C$39+1),0)+IF(AND(Projects!$G$40="Yes",Projects!$X$40="Yes",Projects!$M$40="Yes",86&gt;=Projects!$C$40,86&lt;Projects!$C$40+Projects!$D$40),Projects!$B$40*INDEX(Curves!$B$4:$AR$4,1,86-Projects!$C$40+1),0)+IF(AND(Projects!$G$41="Yes",Projects!$X$41="Yes",Projects!$M$41="Yes",86&gt;=Projects!$C$41,86&lt;Projects!$C$41+Projects!$D$41),Projects!$B$41*INDEX(Curves!$B$4:$AR$4,1,86-Projects!$C$41+1),0)+IF(AND(Projects!$G$42="Yes",Projects!$X$42="Yes",Projects!$M$42="Yes",86&gt;=Projects!$C$42,86&lt;Projects!$C$42+Projects!$D$42),Projects!$B$42*INDEX(Curves!$B$4:$AR$4,1,86-Projects!$C$42+1),0)+IF(AND(Projects!$G$43="Yes",Projects!$X$43="Yes",Projects!$M$43="Yes",86&gt;=Projects!$C$43,86&lt;Projects!$C$43+Projects!$D$43),Projects!$B$43*INDEX(Curves!$B$4:$AR$4,1,86-Projects!$C$43+1),0)+IF(AND(Projects!$G$44="Yes",Projects!$X$44="Yes",Projects!$M$44="Yes",86&gt;=Projects!$C$44,86&lt;Projects!$C$44+Projects!$D$44),Projects!$B$44*INDEX(Curves!$B$4:$AR$4,1,86-Projects!$C$44+1),0)+IF(AND(Projects!$G$45="Yes",Projects!$X$45="Yes",Projects!$M$45="Yes",86&gt;=Projects!$C$45,86&lt;Projects!$C$45+Projects!$D$45),Projects!$B$45*INDEX(Curves!$B$4:$AR$4,1,86-Projects!$C$45+1),0)+IF(AND(Projects!$G$46="Yes",Projects!$X$46="Yes",Projects!$M$46="Yes",86&gt;=Projects!$C$46,86&lt;Projects!$C$46+Projects!$D$46),Projects!$B$46*INDEX(Curves!$B$4:$AR$4,1,86-Projects!$C$46+1),0)</f>
        <v>0</v>
      </c>
      <c r="CN101" s="298" t="n">
        <f aca="false">IF(AND(Projects!$G$17="Yes",Projects!$X$17="Yes",Projects!$M$17="Yes",87&gt;=Projects!$C$17,87&lt;Projects!$C$17+Projects!$D$17),Projects!$B$17*INDEX(Curves!$B$4:$AR$4,1,87-Projects!$C$17+1),0)+IF(AND(Projects!$G$18="Yes",Projects!$X$18="Yes",Projects!$M$18="Yes",87&gt;=Projects!$C$18,87&lt;Projects!$C$18+Projects!$D$18),Projects!$B$18*INDEX(Curves!$B$4:$AR$4,1,87-Projects!$C$18+1),0)+IF(AND(Projects!$G$19="Yes",Projects!$X$19="Yes",Projects!$M$19="Yes",87&gt;=Projects!$C$19,87&lt;Projects!$C$19+Projects!$D$19),Projects!$B$19*INDEX(Curves!$B$10:$AR$10,1,87-Projects!$C$19+1),0)+IF(AND(Projects!$G$20="Yes",Projects!$X$20="Yes",Projects!$M$20="Yes",87&gt;=Projects!$C$20,87&lt;Projects!$C$20+Projects!$D$20),Projects!$B$20*INDEX(Curves!$B$4:$AR$4,1,87-Projects!$C$20+1),0)+IF(AND(Projects!$G$21="Yes",Projects!$X$21="Yes",Projects!$M$21="Yes",87&gt;=Projects!$C$21,87&lt;Projects!$C$21+Projects!$D$21),Projects!$B$21*INDEX(Curves!$B$11:$AR$11,1,87-Projects!$C$21+1),0)+IF(AND(Projects!$G$22="Yes",Projects!$X$22="Yes",Projects!$M$22="Yes",87&gt;=Projects!$C$22,87&lt;Projects!$C$22+Projects!$D$22),Projects!$B$22*INDEX(Curves!$B$4:$AR$4,1,87-Projects!$C$22+1),0)+IF(AND(Projects!$G$23="Yes",Projects!$X$23="Yes",Projects!$M$23="Yes",87&gt;=Projects!$C$23,87&lt;Projects!$C$23+Projects!$D$23),Projects!$B$23*INDEX(Curves!$B$4:$AR$4,1,87-Projects!$C$23+1),0)+IF(AND(Projects!$G$24="Yes",Projects!$X$24="Yes",Projects!$M$24="Yes",87&gt;=Projects!$C$24,87&lt;Projects!$C$24+Projects!$D$24),Projects!$B$24*INDEX(Curves!$B$4:$AR$4,1,87-Projects!$C$24+1),0)+IF(AND(Projects!$G$25="Yes",Projects!$X$25="Yes",Projects!$M$25="Yes",87&gt;=Projects!$C$25,87&lt;Projects!$C$25+Projects!$D$25),Projects!$B$25*INDEX(Curves!$B$4:$AR$4,1,87-Projects!$C$25+1),0)+IF(AND(Projects!$G$26="Yes",Projects!$X$26="Yes",Projects!$M$26="Yes",87&gt;=Projects!$C$26,87&lt;Projects!$C$26+Projects!$D$26),Projects!$B$26*INDEX(Curves!$B$4:$AR$4,1,87-Projects!$C$26+1),0)+IF(AND(Projects!$G$27="Yes",Projects!$X$27="Yes",Projects!$M$27="Yes",87&gt;=Projects!$C$27,87&lt;Projects!$C$27+Projects!$D$27),Projects!$B$27*INDEX(Curves!$B$4:$AR$4,1,87-Projects!$C$27+1),0)+IF(AND(Projects!$G$28="Yes",Projects!$X$28="Yes",Projects!$M$28="Yes",87&gt;=Projects!$C$28,87&lt;Projects!$C$28+Projects!$D$28),Projects!$B$28*INDEX(Curves!$B$4:$AR$4,1,87-Projects!$C$28+1),0)+IF(AND(Projects!$G$29="Yes",Projects!$X$29="Yes",Projects!$M$29="Yes",87&gt;=Projects!$C$29,87&lt;Projects!$C$29+Projects!$D$29),Projects!$B$29*INDEX(Curves!$B$4:$AR$4,1,87-Projects!$C$29+1),0)+IF(AND(Projects!$G$30="Yes",Projects!$X$30="Yes",Projects!$M$30="Yes",87&gt;=Projects!$C$30,87&lt;Projects!$C$30+Projects!$D$30),Projects!$B$30*INDEX(Curves!$B$4:$AR$4,1,87-Projects!$C$30+1),0)+IF(AND(Projects!$G$31="Yes",Projects!$X$31="Yes",Projects!$M$31="Yes",87&gt;=Projects!$C$31,87&lt;Projects!$C$31+Projects!$D$31),Projects!$B$31*INDEX(Curves!$B$4:$AR$4,1,87-Projects!$C$31+1),0)+IF(AND(Projects!$G$32="Yes",Projects!$X$32="Yes",Projects!$M$32="Yes",87&gt;=Projects!$C$32,87&lt;Projects!$C$32+Projects!$D$32),Projects!$B$32*INDEX(Curves!$B$4:$AR$4,1,87-Projects!$C$32+1),0)+IF(AND(Projects!$G$33="Yes",Projects!$X$33="Yes",Projects!$M$33="Yes",87&gt;=Projects!$C$33,87&lt;Projects!$C$33+Projects!$D$33),Projects!$B$33*INDEX(Curves!$B$4:$AR$4,1,87-Projects!$C$33+1),0)+IF(AND(Projects!$G$34="Yes",Projects!$X$34="Yes",Projects!$M$34="Yes",87&gt;=Projects!$C$34,87&lt;Projects!$C$34+Projects!$D$34),Projects!$B$34*INDEX(Curves!$B$4:$AR$4,1,87-Projects!$C$34+1),0)+IF(AND(Projects!$G$35="Yes",Projects!$X$35="Yes",Projects!$M$35="Yes",87&gt;=Projects!$C$35,87&lt;Projects!$C$35+Projects!$D$35),Projects!$B$35*INDEX(Curves!$B$4:$AR$4,1,87-Projects!$C$35+1),0)+IF(AND(Projects!$G$36="Yes",Projects!$X$36="Yes",Projects!$M$36="Yes",87&gt;=Projects!$C$36,87&lt;Projects!$C$36+Projects!$D$36),Projects!$B$36*INDEX(Curves!$B$4:$AR$4,1,87-Projects!$C$36+1),0)+IF(AND(Projects!$G$37="Yes",Projects!$X$37="Yes",Projects!$M$37="Yes",87&gt;=Projects!$C$37,87&lt;Projects!$C$37+Projects!$D$37),Projects!$B$37*INDEX(Curves!$B$4:$AR$4,1,87-Projects!$C$37+1),0)+IF(AND(Projects!$G$38="Yes",Projects!$X$38="Yes",Projects!$M$38="Yes",87&gt;=Projects!$C$38,87&lt;Projects!$C$38+Projects!$D$38),Projects!$B$38*INDEX(Curves!$B$4:$AR$4,1,87-Projects!$C$38+1),0)+IF(AND(Projects!$G$39="Yes",Projects!$X$39="Yes",Projects!$M$39="Yes",87&gt;=Projects!$C$39,87&lt;Projects!$C$39+Projects!$D$39),Projects!$B$39*INDEX(Curves!$B$4:$AR$4,1,87-Projects!$C$39+1),0)+IF(AND(Projects!$G$40="Yes",Projects!$X$40="Yes",Projects!$M$40="Yes",87&gt;=Projects!$C$40,87&lt;Projects!$C$40+Projects!$D$40),Projects!$B$40*INDEX(Curves!$B$4:$AR$4,1,87-Projects!$C$40+1),0)+IF(AND(Projects!$G$41="Yes",Projects!$X$41="Yes",Projects!$M$41="Yes",87&gt;=Projects!$C$41,87&lt;Projects!$C$41+Projects!$D$41),Projects!$B$41*INDEX(Curves!$B$4:$AR$4,1,87-Projects!$C$41+1),0)+IF(AND(Projects!$G$42="Yes",Projects!$X$42="Yes",Projects!$M$42="Yes",87&gt;=Projects!$C$42,87&lt;Projects!$C$42+Projects!$D$42),Projects!$B$42*INDEX(Curves!$B$4:$AR$4,1,87-Projects!$C$42+1),0)+IF(AND(Projects!$G$43="Yes",Projects!$X$43="Yes",Projects!$M$43="Yes",87&gt;=Projects!$C$43,87&lt;Projects!$C$43+Projects!$D$43),Projects!$B$43*INDEX(Curves!$B$4:$AR$4,1,87-Projects!$C$43+1),0)+IF(AND(Projects!$G$44="Yes",Projects!$X$44="Yes",Projects!$M$44="Yes",87&gt;=Projects!$C$44,87&lt;Projects!$C$44+Projects!$D$44),Projects!$B$44*INDEX(Curves!$B$4:$AR$4,1,87-Projects!$C$44+1),0)+IF(AND(Projects!$G$45="Yes",Projects!$X$45="Yes",Projects!$M$45="Yes",87&gt;=Projects!$C$45,87&lt;Projects!$C$45+Projects!$D$45),Projects!$B$45*INDEX(Curves!$B$4:$AR$4,1,87-Projects!$C$45+1),0)+IF(AND(Projects!$G$46="Yes",Projects!$X$46="Yes",Projects!$M$46="Yes",87&gt;=Projects!$C$46,87&lt;Projects!$C$46+Projects!$D$46),Projects!$B$46*INDEX(Curves!$B$4:$AR$4,1,87-Projects!$C$46+1),0)</f>
        <v>0</v>
      </c>
      <c r="CO101" s="298" t="n">
        <f aca="false">IF(AND(Projects!$G$17="Yes",Projects!$X$17="Yes",Projects!$M$17="Yes",88&gt;=Projects!$C$17,88&lt;Projects!$C$17+Projects!$D$17),Projects!$B$17*INDEX(Curves!$B$4:$AR$4,1,88-Projects!$C$17+1),0)+IF(AND(Projects!$G$18="Yes",Projects!$X$18="Yes",Projects!$M$18="Yes",88&gt;=Projects!$C$18,88&lt;Projects!$C$18+Projects!$D$18),Projects!$B$18*INDEX(Curves!$B$4:$AR$4,1,88-Projects!$C$18+1),0)+IF(AND(Projects!$G$19="Yes",Projects!$X$19="Yes",Projects!$M$19="Yes",88&gt;=Projects!$C$19,88&lt;Projects!$C$19+Projects!$D$19),Projects!$B$19*INDEX(Curves!$B$10:$AR$10,1,88-Projects!$C$19+1),0)+IF(AND(Projects!$G$20="Yes",Projects!$X$20="Yes",Projects!$M$20="Yes",88&gt;=Projects!$C$20,88&lt;Projects!$C$20+Projects!$D$20),Projects!$B$20*INDEX(Curves!$B$4:$AR$4,1,88-Projects!$C$20+1),0)+IF(AND(Projects!$G$21="Yes",Projects!$X$21="Yes",Projects!$M$21="Yes",88&gt;=Projects!$C$21,88&lt;Projects!$C$21+Projects!$D$21),Projects!$B$21*INDEX(Curves!$B$11:$AR$11,1,88-Projects!$C$21+1),0)+IF(AND(Projects!$G$22="Yes",Projects!$X$22="Yes",Projects!$M$22="Yes",88&gt;=Projects!$C$22,88&lt;Projects!$C$22+Projects!$D$22),Projects!$B$22*INDEX(Curves!$B$4:$AR$4,1,88-Projects!$C$22+1),0)+IF(AND(Projects!$G$23="Yes",Projects!$X$23="Yes",Projects!$M$23="Yes",88&gt;=Projects!$C$23,88&lt;Projects!$C$23+Projects!$D$23),Projects!$B$23*INDEX(Curves!$B$4:$AR$4,1,88-Projects!$C$23+1),0)+IF(AND(Projects!$G$24="Yes",Projects!$X$24="Yes",Projects!$M$24="Yes",88&gt;=Projects!$C$24,88&lt;Projects!$C$24+Projects!$D$24),Projects!$B$24*INDEX(Curves!$B$4:$AR$4,1,88-Projects!$C$24+1),0)+IF(AND(Projects!$G$25="Yes",Projects!$X$25="Yes",Projects!$M$25="Yes",88&gt;=Projects!$C$25,88&lt;Projects!$C$25+Projects!$D$25),Projects!$B$25*INDEX(Curves!$B$4:$AR$4,1,88-Projects!$C$25+1),0)+IF(AND(Projects!$G$26="Yes",Projects!$X$26="Yes",Projects!$M$26="Yes",88&gt;=Projects!$C$26,88&lt;Projects!$C$26+Projects!$D$26),Projects!$B$26*INDEX(Curves!$B$4:$AR$4,1,88-Projects!$C$26+1),0)+IF(AND(Projects!$G$27="Yes",Projects!$X$27="Yes",Projects!$M$27="Yes",88&gt;=Projects!$C$27,88&lt;Projects!$C$27+Projects!$D$27),Projects!$B$27*INDEX(Curves!$B$4:$AR$4,1,88-Projects!$C$27+1),0)+IF(AND(Projects!$G$28="Yes",Projects!$X$28="Yes",Projects!$M$28="Yes",88&gt;=Projects!$C$28,88&lt;Projects!$C$28+Projects!$D$28),Projects!$B$28*INDEX(Curves!$B$4:$AR$4,1,88-Projects!$C$28+1),0)+IF(AND(Projects!$G$29="Yes",Projects!$X$29="Yes",Projects!$M$29="Yes",88&gt;=Projects!$C$29,88&lt;Projects!$C$29+Projects!$D$29),Projects!$B$29*INDEX(Curves!$B$4:$AR$4,1,88-Projects!$C$29+1),0)+IF(AND(Projects!$G$30="Yes",Projects!$X$30="Yes",Projects!$M$30="Yes",88&gt;=Projects!$C$30,88&lt;Projects!$C$30+Projects!$D$30),Projects!$B$30*INDEX(Curves!$B$4:$AR$4,1,88-Projects!$C$30+1),0)+IF(AND(Projects!$G$31="Yes",Projects!$X$31="Yes",Projects!$M$31="Yes",88&gt;=Projects!$C$31,88&lt;Projects!$C$31+Projects!$D$31),Projects!$B$31*INDEX(Curves!$B$4:$AR$4,1,88-Projects!$C$31+1),0)+IF(AND(Projects!$G$32="Yes",Projects!$X$32="Yes",Projects!$M$32="Yes",88&gt;=Projects!$C$32,88&lt;Projects!$C$32+Projects!$D$32),Projects!$B$32*INDEX(Curves!$B$4:$AR$4,1,88-Projects!$C$32+1),0)+IF(AND(Projects!$G$33="Yes",Projects!$X$33="Yes",Projects!$M$33="Yes",88&gt;=Projects!$C$33,88&lt;Projects!$C$33+Projects!$D$33),Projects!$B$33*INDEX(Curves!$B$4:$AR$4,1,88-Projects!$C$33+1),0)+IF(AND(Projects!$G$34="Yes",Projects!$X$34="Yes",Projects!$M$34="Yes",88&gt;=Projects!$C$34,88&lt;Projects!$C$34+Projects!$D$34),Projects!$B$34*INDEX(Curves!$B$4:$AR$4,1,88-Projects!$C$34+1),0)+IF(AND(Projects!$G$35="Yes",Projects!$X$35="Yes",Projects!$M$35="Yes",88&gt;=Projects!$C$35,88&lt;Projects!$C$35+Projects!$D$35),Projects!$B$35*INDEX(Curves!$B$4:$AR$4,1,88-Projects!$C$35+1),0)+IF(AND(Projects!$G$36="Yes",Projects!$X$36="Yes",Projects!$M$36="Yes",88&gt;=Projects!$C$36,88&lt;Projects!$C$36+Projects!$D$36),Projects!$B$36*INDEX(Curves!$B$4:$AR$4,1,88-Projects!$C$36+1),0)+IF(AND(Projects!$G$37="Yes",Projects!$X$37="Yes",Projects!$M$37="Yes",88&gt;=Projects!$C$37,88&lt;Projects!$C$37+Projects!$D$37),Projects!$B$37*INDEX(Curves!$B$4:$AR$4,1,88-Projects!$C$37+1),0)+IF(AND(Projects!$G$38="Yes",Projects!$X$38="Yes",Projects!$M$38="Yes",88&gt;=Projects!$C$38,88&lt;Projects!$C$38+Projects!$D$38),Projects!$B$38*INDEX(Curves!$B$4:$AR$4,1,88-Projects!$C$38+1),0)+IF(AND(Projects!$G$39="Yes",Projects!$X$39="Yes",Projects!$M$39="Yes",88&gt;=Projects!$C$39,88&lt;Projects!$C$39+Projects!$D$39),Projects!$B$39*INDEX(Curves!$B$4:$AR$4,1,88-Projects!$C$39+1),0)+IF(AND(Projects!$G$40="Yes",Projects!$X$40="Yes",Projects!$M$40="Yes",88&gt;=Projects!$C$40,88&lt;Projects!$C$40+Projects!$D$40),Projects!$B$40*INDEX(Curves!$B$4:$AR$4,1,88-Projects!$C$40+1),0)+IF(AND(Projects!$G$41="Yes",Projects!$X$41="Yes",Projects!$M$41="Yes",88&gt;=Projects!$C$41,88&lt;Projects!$C$41+Projects!$D$41),Projects!$B$41*INDEX(Curves!$B$4:$AR$4,1,88-Projects!$C$41+1),0)+IF(AND(Projects!$G$42="Yes",Projects!$X$42="Yes",Projects!$M$42="Yes",88&gt;=Projects!$C$42,88&lt;Projects!$C$42+Projects!$D$42),Projects!$B$42*INDEX(Curves!$B$4:$AR$4,1,88-Projects!$C$42+1),0)+IF(AND(Projects!$G$43="Yes",Projects!$X$43="Yes",Projects!$M$43="Yes",88&gt;=Projects!$C$43,88&lt;Projects!$C$43+Projects!$D$43),Projects!$B$43*INDEX(Curves!$B$4:$AR$4,1,88-Projects!$C$43+1),0)+IF(AND(Projects!$G$44="Yes",Projects!$X$44="Yes",Projects!$M$44="Yes",88&gt;=Projects!$C$44,88&lt;Projects!$C$44+Projects!$D$44),Projects!$B$44*INDEX(Curves!$B$4:$AR$4,1,88-Projects!$C$44+1),0)+IF(AND(Projects!$G$45="Yes",Projects!$X$45="Yes",Projects!$M$45="Yes",88&gt;=Projects!$C$45,88&lt;Projects!$C$45+Projects!$D$45),Projects!$B$45*INDEX(Curves!$B$4:$AR$4,1,88-Projects!$C$45+1),0)+IF(AND(Projects!$G$46="Yes",Projects!$X$46="Yes",Projects!$M$46="Yes",88&gt;=Projects!$C$46,88&lt;Projects!$C$46+Projects!$D$46),Projects!$B$46*INDEX(Curves!$B$4:$AR$4,1,88-Projects!$C$46+1),0)</f>
        <v>0</v>
      </c>
      <c r="CP101" s="298" t="n">
        <f aca="false">IF(AND(Projects!$G$17="Yes",Projects!$X$17="Yes",Projects!$M$17="Yes",89&gt;=Projects!$C$17,89&lt;Projects!$C$17+Projects!$D$17),Projects!$B$17*INDEX(Curves!$B$4:$AR$4,1,89-Projects!$C$17+1),0)+IF(AND(Projects!$G$18="Yes",Projects!$X$18="Yes",Projects!$M$18="Yes",89&gt;=Projects!$C$18,89&lt;Projects!$C$18+Projects!$D$18),Projects!$B$18*INDEX(Curves!$B$4:$AR$4,1,89-Projects!$C$18+1),0)+IF(AND(Projects!$G$19="Yes",Projects!$X$19="Yes",Projects!$M$19="Yes",89&gt;=Projects!$C$19,89&lt;Projects!$C$19+Projects!$D$19),Projects!$B$19*INDEX(Curves!$B$10:$AR$10,1,89-Projects!$C$19+1),0)+IF(AND(Projects!$G$20="Yes",Projects!$X$20="Yes",Projects!$M$20="Yes",89&gt;=Projects!$C$20,89&lt;Projects!$C$20+Projects!$D$20),Projects!$B$20*INDEX(Curves!$B$4:$AR$4,1,89-Projects!$C$20+1),0)+IF(AND(Projects!$G$21="Yes",Projects!$X$21="Yes",Projects!$M$21="Yes",89&gt;=Projects!$C$21,89&lt;Projects!$C$21+Projects!$D$21),Projects!$B$21*INDEX(Curves!$B$11:$AR$11,1,89-Projects!$C$21+1),0)+IF(AND(Projects!$G$22="Yes",Projects!$X$22="Yes",Projects!$M$22="Yes",89&gt;=Projects!$C$22,89&lt;Projects!$C$22+Projects!$D$22),Projects!$B$22*INDEX(Curves!$B$4:$AR$4,1,89-Projects!$C$22+1),0)+IF(AND(Projects!$G$23="Yes",Projects!$X$23="Yes",Projects!$M$23="Yes",89&gt;=Projects!$C$23,89&lt;Projects!$C$23+Projects!$D$23),Projects!$B$23*INDEX(Curves!$B$4:$AR$4,1,89-Projects!$C$23+1),0)+IF(AND(Projects!$G$24="Yes",Projects!$X$24="Yes",Projects!$M$24="Yes",89&gt;=Projects!$C$24,89&lt;Projects!$C$24+Projects!$D$24),Projects!$B$24*INDEX(Curves!$B$4:$AR$4,1,89-Projects!$C$24+1),0)+IF(AND(Projects!$G$25="Yes",Projects!$X$25="Yes",Projects!$M$25="Yes",89&gt;=Projects!$C$25,89&lt;Projects!$C$25+Projects!$D$25),Projects!$B$25*INDEX(Curves!$B$4:$AR$4,1,89-Projects!$C$25+1),0)+IF(AND(Projects!$G$26="Yes",Projects!$X$26="Yes",Projects!$M$26="Yes",89&gt;=Projects!$C$26,89&lt;Projects!$C$26+Projects!$D$26),Projects!$B$26*INDEX(Curves!$B$4:$AR$4,1,89-Projects!$C$26+1),0)+IF(AND(Projects!$G$27="Yes",Projects!$X$27="Yes",Projects!$M$27="Yes",89&gt;=Projects!$C$27,89&lt;Projects!$C$27+Projects!$D$27),Projects!$B$27*INDEX(Curves!$B$4:$AR$4,1,89-Projects!$C$27+1),0)+IF(AND(Projects!$G$28="Yes",Projects!$X$28="Yes",Projects!$M$28="Yes",89&gt;=Projects!$C$28,89&lt;Projects!$C$28+Projects!$D$28),Projects!$B$28*INDEX(Curves!$B$4:$AR$4,1,89-Projects!$C$28+1),0)+IF(AND(Projects!$G$29="Yes",Projects!$X$29="Yes",Projects!$M$29="Yes",89&gt;=Projects!$C$29,89&lt;Projects!$C$29+Projects!$D$29),Projects!$B$29*INDEX(Curves!$B$4:$AR$4,1,89-Projects!$C$29+1),0)+IF(AND(Projects!$G$30="Yes",Projects!$X$30="Yes",Projects!$M$30="Yes",89&gt;=Projects!$C$30,89&lt;Projects!$C$30+Projects!$D$30),Projects!$B$30*INDEX(Curves!$B$4:$AR$4,1,89-Projects!$C$30+1),0)+IF(AND(Projects!$G$31="Yes",Projects!$X$31="Yes",Projects!$M$31="Yes",89&gt;=Projects!$C$31,89&lt;Projects!$C$31+Projects!$D$31),Projects!$B$31*INDEX(Curves!$B$4:$AR$4,1,89-Projects!$C$31+1),0)+IF(AND(Projects!$G$32="Yes",Projects!$X$32="Yes",Projects!$M$32="Yes",89&gt;=Projects!$C$32,89&lt;Projects!$C$32+Projects!$D$32),Projects!$B$32*INDEX(Curves!$B$4:$AR$4,1,89-Projects!$C$32+1),0)+IF(AND(Projects!$G$33="Yes",Projects!$X$33="Yes",Projects!$M$33="Yes",89&gt;=Projects!$C$33,89&lt;Projects!$C$33+Projects!$D$33),Projects!$B$33*INDEX(Curves!$B$4:$AR$4,1,89-Projects!$C$33+1),0)+IF(AND(Projects!$G$34="Yes",Projects!$X$34="Yes",Projects!$M$34="Yes",89&gt;=Projects!$C$34,89&lt;Projects!$C$34+Projects!$D$34),Projects!$B$34*INDEX(Curves!$B$4:$AR$4,1,89-Projects!$C$34+1),0)+IF(AND(Projects!$G$35="Yes",Projects!$X$35="Yes",Projects!$M$35="Yes",89&gt;=Projects!$C$35,89&lt;Projects!$C$35+Projects!$D$35),Projects!$B$35*INDEX(Curves!$B$4:$AR$4,1,89-Projects!$C$35+1),0)+IF(AND(Projects!$G$36="Yes",Projects!$X$36="Yes",Projects!$M$36="Yes",89&gt;=Projects!$C$36,89&lt;Projects!$C$36+Projects!$D$36),Projects!$B$36*INDEX(Curves!$B$4:$AR$4,1,89-Projects!$C$36+1),0)+IF(AND(Projects!$G$37="Yes",Projects!$X$37="Yes",Projects!$M$37="Yes",89&gt;=Projects!$C$37,89&lt;Projects!$C$37+Projects!$D$37),Projects!$B$37*INDEX(Curves!$B$4:$AR$4,1,89-Projects!$C$37+1),0)+IF(AND(Projects!$G$38="Yes",Projects!$X$38="Yes",Projects!$M$38="Yes",89&gt;=Projects!$C$38,89&lt;Projects!$C$38+Projects!$D$38),Projects!$B$38*INDEX(Curves!$B$4:$AR$4,1,89-Projects!$C$38+1),0)+IF(AND(Projects!$G$39="Yes",Projects!$X$39="Yes",Projects!$M$39="Yes",89&gt;=Projects!$C$39,89&lt;Projects!$C$39+Projects!$D$39),Projects!$B$39*INDEX(Curves!$B$4:$AR$4,1,89-Projects!$C$39+1),0)+IF(AND(Projects!$G$40="Yes",Projects!$X$40="Yes",Projects!$M$40="Yes",89&gt;=Projects!$C$40,89&lt;Projects!$C$40+Projects!$D$40),Projects!$B$40*INDEX(Curves!$B$4:$AR$4,1,89-Projects!$C$40+1),0)+IF(AND(Projects!$G$41="Yes",Projects!$X$41="Yes",Projects!$M$41="Yes",89&gt;=Projects!$C$41,89&lt;Projects!$C$41+Projects!$D$41),Projects!$B$41*INDEX(Curves!$B$4:$AR$4,1,89-Projects!$C$41+1),0)+IF(AND(Projects!$G$42="Yes",Projects!$X$42="Yes",Projects!$M$42="Yes",89&gt;=Projects!$C$42,89&lt;Projects!$C$42+Projects!$D$42),Projects!$B$42*INDEX(Curves!$B$4:$AR$4,1,89-Projects!$C$42+1),0)+IF(AND(Projects!$G$43="Yes",Projects!$X$43="Yes",Projects!$M$43="Yes",89&gt;=Projects!$C$43,89&lt;Projects!$C$43+Projects!$D$43),Projects!$B$43*INDEX(Curves!$B$4:$AR$4,1,89-Projects!$C$43+1),0)+IF(AND(Projects!$G$44="Yes",Projects!$X$44="Yes",Projects!$M$44="Yes",89&gt;=Projects!$C$44,89&lt;Projects!$C$44+Projects!$D$44),Projects!$B$44*INDEX(Curves!$B$4:$AR$4,1,89-Projects!$C$44+1),0)+IF(AND(Projects!$G$45="Yes",Projects!$X$45="Yes",Projects!$M$45="Yes",89&gt;=Projects!$C$45,89&lt;Projects!$C$45+Projects!$D$45),Projects!$B$45*INDEX(Curves!$B$4:$AR$4,1,89-Projects!$C$45+1),0)+IF(AND(Projects!$G$46="Yes",Projects!$X$46="Yes",Projects!$M$46="Yes",89&gt;=Projects!$C$46,89&lt;Projects!$C$46+Projects!$D$46),Projects!$B$46*INDEX(Curves!$B$4:$AR$4,1,89-Projects!$C$46+1),0)</f>
        <v>0</v>
      </c>
      <c r="CQ101" s="298" t="n">
        <f aca="false">IF(AND(Projects!$G$17="Yes",Projects!$X$17="Yes",Projects!$M$17="Yes",90&gt;=Projects!$C$17,90&lt;Projects!$C$17+Projects!$D$17),Projects!$B$17*INDEX(Curves!$B$4:$AR$4,1,90-Projects!$C$17+1),0)+IF(AND(Projects!$G$18="Yes",Projects!$X$18="Yes",Projects!$M$18="Yes",90&gt;=Projects!$C$18,90&lt;Projects!$C$18+Projects!$D$18),Projects!$B$18*INDEX(Curves!$B$4:$AR$4,1,90-Projects!$C$18+1),0)+IF(AND(Projects!$G$19="Yes",Projects!$X$19="Yes",Projects!$M$19="Yes",90&gt;=Projects!$C$19,90&lt;Projects!$C$19+Projects!$D$19),Projects!$B$19*INDEX(Curves!$B$10:$AR$10,1,90-Projects!$C$19+1),0)+IF(AND(Projects!$G$20="Yes",Projects!$X$20="Yes",Projects!$M$20="Yes",90&gt;=Projects!$C$20,90&lt;Projects!$C$20+Projects!$D$20),Projects!$B$20*INDEX(Curves!$B$4:$AR$4,1,90-Projects!$C$20+1),0)+IF(AND(Projects!$G$21="Yes",Projects!$X$21="Yes",Projects!$M$21="Yes",90&gt;=Projects!$C$21,90&lt;Projects!$C$21+Projects!$D$21),Projects!$B$21*INDEX(Curves!$B$11:$AR$11,1,90-Projects!$C$21+1),0)+IF(AND(Projects!$G$22="Yes",Projects!$X$22="Yes",Projects!$M$22="Yes",90&gt;=Projects!$C$22,90&lt;Projects!$C$22+Projects!$D$22),Projects!$B$22*INDEX(Curves!$B$4:$AR$4,1,90-Projects!$C$22+1),0)+IF(AND(Projects!$G$23="Yes",Projects!$X$23="Yes",Projects!$M$23="Yes",90&gt;=Projects!$C$23,90&lt;Projects!$C$23+Projects!$D$23),Projects!$B$23*INDEX(Curves!$B$4:$AR$4,1,90-Projects!$C$23+1),0)+IF(AND(Projects!$G$24="Yes",Projects!$X$24="Yes",Projects!$M$24="Yes",90&gt;=Projects!$C$24,90&lt;Projects!$C$24+Projects!$D$24),Projects!$B$24*INDEX(Curves!$B$4:$AR$4,1,90-Projects!$C$24+1),0)+IF(AND(Projects!$G$25="Yes",Projects!$X$25="Yes",Projects!$M$25="Yes",90&gt;=Projects!$C$25,90&lt;Projects!$C$25+Projects!$D$25),Projects!$B$25*INDEX(Curves!$B$4:$AR$4,1,90-Projects!$C$25+1),0)+IF(AND(Projects!$G$26="Yes",Projects!$X$26="Yes",Projects!$M$26="Yes",90&gt;=Projects!$C$26,90&lt;Projects!$C$26+Projects!$D$26),Projects!$B$26*INDEX(Curves!$B$4:$AR$4,1,90-Projects!$C$26+1),0)+IF(AND(Projects!$G$27="Yes",Projects!$X$27="Yes",Projects!$M$27="Yes",90&gt;=Projects!$C$27,90&lt;Projects!$C$27+Projects!$D$27),Projects!$B$27*INDEX(Curves!$B$4:$AR$4,1,90-Projects!$C$27+1),0)+IF(AND(Projects!$G$28="Yes",Projects!$X$28="Yes",Projects!$M$28="Yes",90&gt;=Projects!$C$28,90&lt;Projects!$C$28+Projects!$D$28),Projects!$B$28*INDEX(Curves!$B$4:$AR$4,1,90-Projects!$C$28+1),0)+IF(AND(Projects!$G$29="Yes",Projects!$X$29="Yes",Projects!$M$29="Yes",90&gt;=Projects!$C$29,90&lt;Projects!$C$29+Projects!$D$29),Projects!$B$29*INDEX(Curves!$B$4:$AR$4,1,90-Projects!$C$29+1),0)+IF(AND(Projects!$G$30="Yes",Projects!$X$30="Yes",Projects!$M$30="Yes",90&gt;=Projects!$C$30,90&lt;Projects!$C$30+Projects!$D$30),Projects!$B$30*INDEX(Curves!$B$4:$AR$4,1,90-Projects!$C$30+1),0)+IF(AND(Projects!$G$31="Yes",Projects!$X$31="Yes",Projects!$M$31="Yes",90&gt;=Projects!$C$31,90&lt;Projects!$C$31+Projects!$D$31),Projects!$B$31*INDEX(Curves!$B$4:$AR$4,1,90-Projects!$C$31+1),0)+IF(AND(Projects!$G$32="Yes",Projects!$X$32="Yes",Projects!$M$32="Yes",90&gt;=Projects!$C$32,90&lt;Projects!$C$32+Projects!$D$32),Projects!$B$32*INDEX(Curves!$B$4:$AR$4,1,90-Projects!$C$32+1),0)+IF(AND(Projects!$G$33="Yes",Projects!$X$33="Yes",Projects!$M$33="Yes",90&gt;=Projects!$C$33,90&lt;Projects!$C$33+Projects!$D$33),Projects!$B$33*INDEX(Curves!$B$4:$AR$4,1,90-Projects!$C$33+1),0)+IF(AND(Projects!$G$34="Yes",Projects!$X$34="Yes",Projects!$M$34="Yes",90&gt;=Projects!$C$34,90&lt;Projects!$C$34+Projects!$D$34),Projects!$B$34*INDEX(Curves!$B$4:$AR$4,1,90-Projects!$C$34+1),0)+IF(AND(Projects!$G$35="Yes",Projects!$X$35="Yes",Projects!$M$35="Yes",90&gt;=Projects!$C$35,90&lt;Projects!$C$35+Projects!$D$35),Projects!$B$35*INDEX(Curves!$B$4:$AR$4,1,90-Projects!$C$35+1),0)+IF(AND(Projects!$G$36="Yes",Projects!$X$36="Yes",Projects!$M$36="Yes",90&gt;=Projects!$C$36,90&lt;Projects!$C$36+Projects!$D$36),Projects!$B$36*INDEX(Curves!$B$4:$AR$4,1,90-Projects!$C$36+1),0)+IF(AND(Projects!$G$37="Yes",Projects!$X$37="Yes",Projects!$M$37="Yes",90&gt;=Projects!$C$37,90&lt;Projects!$C$37+Projects!$D$37),Projects!$B$37*INDEX(Curves!$B$4:$AR$4,1,90-Projects!$C$37+1),0)+IF(AND(Projects!$G$38="Yes",Projects!$X$38="Yes",Projects!$M$38="Yes",90&gt;=Projects!$C$38,90&lt;Projects!$C$38+Projects!$D$38),Projects!$B$38*INDEX(Curves!$B$4:$AR$4,1,90-Projects!$C$38+1),0)+IF(AND(Projects!$G$39="Yes",Projects!$X$39="Yes",Projects!$M$39="Yes",90&gt;=Projects!$C$39,90&lt;Projects!$C$39+Projects!$D$39),Projects!$B$39*INDEX(Curves!$B$4:$AR$4,1,90-Projects!$C$39+1),0)+IF(AND(Projects!$G$40="Yes",Projects!$X$40="Yes",Projects!$M$40="Yes",90&gt;=Projects!$C$40,90&lt;Projects!$C$40+Projects!$D$40),Projects!$B$40*INDEX(Curves!$B$4:$AR$4,1,90-Projects!$C$40+1),0)+IF(AND(Projects!$G$41="Yes",Projects!$X$41="Yes",Projects!$M$41="Yes",90&gt;=Projects!$C$41,90&lt;Projects!$C$41+Projects!$D$41),Projects!$B$41*INDEX(Curves!$B$4:$AR$4,1,90-Projects!$C$41+1),0)+IF(AND(Projects!$G$42="Yes",Projects!$X$42="Yes",Projects!$M$42="Yes",90&gt;=Projects!$C$42,90&lt;Projects!$C$42+Projects!$D$42),Projects!$B$42*INDEX(Curves!$B$4:$AR$4,1,90-Projects!$C$42+1),0)+IF(AND(Projects!$G$43="Yes",Projects!$X$43="Yes",Projects!$M$43="Yes",90&gt;=Projects!$C$43,90&lt;Projects!$C$43+Projects!$D$43),Projects!$B$43*INDEX(Curves!$B$4:$AR$4,1,90-Projects!$C$43+1),0)+IF(AND(Projects!$G$44="Yes",Projects!$X$44="Yes",Projects!$M$44="Yes",90&gt;=Projects!$C$44,90&lt;Projects!$C$44+Projects!$D$44),Projects!$B$44*INDEX(Curves!$B$4:$AR$4,1,90-Projects!$C$44+1),0)+IF(AND(Projects!$G$45="Yes",Projects!$X$45="Yes",Projects!$M$45="Yes",90&gt;=Projects!$C$45,90&lt;Projects!$C$45+Projects!$D$45),Projects!$B$45*INDEX(Curves!$B$4:$AR$4,1,90-Projects!$C$45+1),0)+IF(AND(Projects!$G$46="Yes",Projects!$X$46="Yes",Projects!$M$46="Yes",90&gt;=Projects!$C$46,90&lt;Projects!$C$46+Projects!$D$46),Projects!$B$46*INDEX(Curves!$B$4:$AR$4,1,90-Projects!$C$46+1),0)</f>
        <v>0</v>
      </c>
      <c r="CR101" s="298" t="n">
        <f aca="false">IF(AND(Projects!$G$17="Yes",Projects!$X$17="Yes",Projects!$M$17="Yes",91&gt;=Projects!$C$17,91&lt;Projects!$C$17+Projects!$D$17),Projects!$B$17*INDEX(Curves!$B$4:$AR$4,1,91-Projects!$C$17+1),0)+IF(AND(Projects!$G$18="Yes",Projects!$X$18="Yes",Projects!$M$18="Yes",91&gt;=Projects!$C$18,91&lt;Projects!$C$18+Projects!$D$18),Projects!$B$18*INDEX(Curves!$B$4:$AR$4,1,91-Projects!$C$18+1),0)+IF(AND(Projects!$G$19="Yes",Projects!$X$19="Yes",Projects!$M$19="Yes",91&gt;=Projects!$C$19,91&lt;Projects!$C$19+Projects!$D$19),Projects!$B$19*INDEX(Curves!$B$10:$AR$10,1,91-Projects!$C$19+1),0)+IF(AND(Projects!$G$20="Yes",Projects!$X$20="Yes",Projects!$M$20="Yes",91&gt;=Projects!$C$20,91&lt;Projects!$C$20+Projects!$D$20),Projects!$B$20*INDEX(Curves!$B$4:$AR$4,1,91-Projects!$C$20+1),0)+IF(AND(Projects!$G$21="Yes",Projects!$X$21="Yes",Projects!$M$21="Yes",91&gt;=Projects!$C$21,91&lt;Projects!$C$21+Projects!$D$21),Projects!$B$21*INDEX(Curves!$B$11:$AR$11,1,91-Projects!$C$21+1),0)+IF(AND(Projects!$G$22="Yes",Projects!$X$22="Yes",Projects!$M$22="Yes",91&gt;=Projects!$C$22,91&lt;Projects!$C$22+Projects!$D$22),Projects!$B$22*INDEX(Curves!$B$4:$AR$4,1,91-Projects!$C$22+1),0)+IF(AND(Projects!$G$23="Yes",Projects!$X$23="Yes",Projects!$M$23="Yes",91&gt;=Projects!$C$23,91&lt;Projects!$C$23+Projects!$D$23),Projects!$B$23*INDEX(Curves!$B$4:$AR$4,1,91-Projects!$C$23+1),0)+IF(AND(Projects!$G$24="Yes",Projects!$X$24="Yes",Projects!$M$24="Yes",91&gt;=Projects!$C$24,91&lt;Projects!$C$24+Projects!$D$24),Projects!$B$24*INDEX(Curves!$B$4:$AR$4,1,91-Projects!$C$24+1),0)+IF(AND(Projects!$G$25="Yes",Projects!$X$25="Yes",Projects!$M$25="Yes",91&gt;=Projects!$C$25,91&lt;Projects!$C$25+Projects!$D$25),Projects!$B$25*INDEX(Curves!$B$4:$AR$4,1,91-Projects!$C$25+1),0)+IF(AND(Projects!$G$26="Yes",Projects!$X$26="Yes",Projects!$M$26="Yes",91&gt;=Projects!$C$26,91&lt;Projects!$C$26+Projects!$D$26),Projects!$B$26*INDEX(Curves!$B$4:$AR$4,1,91-Projects!$C$26+1),0)+IF(AND(Projects!$G$27="Yes",Projects!$X$27="Yes",Projects!$M$27="Yes",91&gt;=Projects!$C$27,91&lt;Projects!$C$27+Projects!$D$27),Projects!$B$27*INDEX(Curves!$B$4:$AR$4,1,91-Projects!$C$27+1),0)+IF(AND(Projects!$G$28="Yes",Projects!$X$28="Yes",Projects!$M$28="Yes",91&gt;=Projects!$C$28,91&lt;Projects!$C$28+Projects!$D$28),Projects!$B$28*INDEX(Curves!$B$4:$AR$4,1,91-Projects!$C$28+1),0)+IF(AND(Projects!$G$29="Yes",Projects!$X$29="Yes",Projects!$M$29="Yes",91&gt;=Projects!$C$29,91&lt;Projects!$C$29+Projects!$D$29),Projects!$B$29*INDEX(Curves!$B$4:$AR$4,1,91-Projects!$C$29+1),0)+IF(AND(Projects!$G$30="Yes",Projects!$X$30="Yes",Projects!$M$30="Yes",91&gt;=Projects!$C$30,91&lt;Projects!$C$30+Projects!$D$30),Projects!$B$30*INDEX(Curves!$B$4:$AR$4,1,91-Projects!$C$30+1),0)+IF(AND(Projects!$G$31="Yes",Projects!$X$31="Yes",Projects!$M$31="Yes",91&gt;=Projects!$C$31,91&lt;Projects!$C$31+Projects!$D$31),Projects!$B$31*INDEX(Curves!$B$4:$AR$4,1,91-Projects!$C$31+1),0)+IF(AND(Projects!$G$32="Yes",Projects!$X$32="Yes",Projects!$M$32="Yes",91&gt;=Projects!$C$32,91&lt;Projects!$C$32+Projects!$D$32),Projects!$B$32*INDEX(Curves!$B$4:$AR$4,1,91-Projects!$C$32+1),0)+IF(AND(Projects!$G$33="Yes",Projects!$X$33="Yes",Projects!$M$33="Yes",91&gt;=Projects!$C$33,91&lt;Projects!$C$33+Projects!$D$33),Projects!$B$33*INDEX(Curves!$B$4:$AR$4,1,91-Projects!$C$33+1),0)+IF(AND(Projects!$G$34="Yes",Projects!$X$34="Yes",Projects!$M$34="Yes",91&gt;=Projects!$C$34,91&lt;Projects!$C$34+Projects!$D$34),Projects!$B$34*INDEX(Curves!$B$4:$AR$4,1,91-Projects!$C$34+1),0)+IF(AND(Projects!$G$35="Yes",Projects!$X$35="Yes",Projects!$M$35="Yes",91&gt;=Projects!$C$35,91&lt;Projects!$C$35+Projects!$D$35),Projects!$B$35*INDEX(Curves!$B$4:$AR$4,1,91-Projects!$C$35+1),0)+IF(AND(Projects!$G$36="Yes",Projects!$X$36="Yes",Projects!$M$36="Yes",91&gt;=Projects!$C$36,91&lt;Projects!$C$36+Projects!$D$36),Projects!$B$36*INDEX(Curves!$B$4:$AR$4,1,91-Projects!$C$36+1),0)+IF(AND(Projects!$G$37="Yes",Projects!$X$37="Yes",Projects!$M$37="Yes",91&gt;=Projects!$C$37,91&lt;Projects!$C$37+Projects!$D$37),Projects!$B$37*INDEX(Curves!$B$4:$AR$4,1,91-Projects!$C$37+1),0)+IF(AND(Projects!$G$38="Yes",Projects!$X$38="Yes",Projects!$M$38="Yes",91&gt;=Projects!$C$38,91&lt;Projects!$C$38+Projects!$D$38),Projects!$B$38*INDEX(Curves!$B$4:$AR$4,1,91-Projects!$C$38+1),0)+IF(AND(Projects!$G$39="Yes",Projects!$X$39="Yes",Projects!$M$39="Yes",91&gt;=Projects!$C$39,91&lt;Projects!$C$39+Projects!$D$39),Projects!$B$39*INDEX(Curves!$B$4:$AR$4,1,91-Projects!$C$39+1),0)+IF(AND(Projects!$G$40="Yes",Projects!$X$40="Yes",Projects!$M$40="Yes",91&gt;=Projects!$C$40,91&lt;Projects!$C$40+Projects!$D$40),Projects!$B$40*INDEX(Curves!$B$4:$AR$4,1,91-Projects!$C$40+1),0)+IF(AND(Projects!$G$41="Yes",Projects!$X$41="Yes",Projects!$M$41="Yes",91&gt;=Projects!$C$41,91&lt;Projects!$C$41+Projects!$D$41),Projects!$B$41*INDEX(Curves!$B$4:$AR$4,1,91-Projects!$C$41+1),0)+IF(AND(Projects!$G$42="Yes",Projects!$X$42="Yes",Projects!$M$42="Yes",91&gt;=Projects!$C$42,91&lt;Projects!$C$42+Projects!$D$42),Projects!$B$42*INDEX(Curves!$B$4:$AR$4,1,91-Projects!$C$42+1),0)+IF(AND(Projects!$G$43="Yes",Projects!$X$43="Yes",Projects!$M$43="Yes",91&gt;=Projects!$C$43,91&lt;Projects!$C$43+Projects!$D$43),Projects!$B$43*INDEX(Curves!$B$4:$AR$4,1,91-Projects!$C$43+1),0)+IF(AND(Projects!$G$44="Yes",Projects!$X$44="Yes",Projects!$M$44="Yes",91&gt;=Projects!$C$44,91&lt;Projects!$C$44+Projects!$D$44),Projects!$B$44*INDEX(Curves!$B$4:$AR$4,1,91-Projects!$C$44+1),0)+IF(AND(Projects!$G$45="Yes",Projects!$X$45="Yes",Projects!$M$45="Yes",91&gt;=Projects!$C$45,91&lt;Projects!$C$45+Projects!$D$45),Projects!$B$45*INDEX(Curves!$B$4:$AR$4,1,91-Projects!$C$45+1),0)+IF(AND(Projects!$G$46="Yes",Projects!$X$46="Yes",Projects!$M$46="Yes",91&gt;=Projects!$C$46,91&lt;Projects!$C$46+Projects!$D$46),Projects!$B$46*INDEX(Curves!$B$4:$AR$4,1,91-Projects!$C$46+1),0)</f>
        <v>0</v>
      </c>
      <c r="CS101" s="298" t="n">
        <f aca="false">IF(AND(Projects!$G$17="Yes",Projects!$X$17="Yes",Projects!$M$17="Yes",92&gt;=Projects!$C$17,92&lt;Projects!$C$17+Projects!$D$17),Projects!$B$17*INDEX(Curves!$B$4:$AR$4,1,92-Projects!$C$17+1),0)+IF(AND(Projects!$G$18="Yes",Projects!$X$18="Yes",Projects!$M$18="Yes",92&gt;=Projects!$C$18,92&lt;Projects!$C$18+Projects!$D$18),Projects!$B$18*INDEX(Curves!$B$4:$AR$4,1,92-Projects!$C$18+1),0)+IF(AND(Projects!$G$19="Yes",Projects!$X$19="Yes",Projects!$M$19="Yes",92&gt;=Projects!$C$19,92&lt;Projects!$C$19+Projects!$D$19),Projects!$B$19*INDEX(Curves!$B$10:$AR$10,1,92-Projects!$C$19+1),0)+IF(AND(Projects!$G$20="Yes",Projects!$X$20="Yes",Projects!$M$20="Yes",92&gt;=Projects!$C$20,92&lt;Projects!$C$20+Projects!$D$20),Projects!$B$20*INDEX(Curves!$B$4:$AR$4,1,92-Projects!$C$20+1),0)+IF(AND(Projects!$G$21="Yes",Projects!$X$21="Yes",Projects!$M$21="Yes",92&gt;=Projects!$C$21,92&lt;Projects!$C$21+Projects!$D$21),Projects!$B$21*INDEX(Curves!$B$11:$AR$11,1,92-Projects!$C$21+1),0)+IF(AND(Projects!$G$22="Yes",Projects!$X$22="Yes",Projects!$M$22="Yes",92&gt;=Projects!$C$22,92&lt;Projects!$C$22+Projects!$D$22),Projects!$B$22*INDEX(Curves!$B$4:$AR$4,1,92-Projects!$C$22+1),0)+IF(AND(Projects!$G$23="Yes",Projects!$X$23="Yes",Projects!$M$23="Yes",92&gt;=Projects!$C$23,92&lt;Projects!$C$23+Projects!$D$23),Projects!$B$23*INDEX(Curves!$B$4:$AR$4,1,92-Projects!$C$23+1),0)+IF(AND(Projects!$G$24="Yes",Projects!$X$24="Yes",Projects!$M$24="Yes",92&gt;=Projects!$C$24,92&lt;Projects!$C$24+Projects!$D$24),Projects!$B$24*INDEX(Curves!$B$4:$AR$4,1,92-Projects!$C$24+1),0)+IF(AND(Projects!$G$25="Yes",Projects!$X$25="Yes",Projects!$M$25="Yes",92&gt;=Projects!$C$25,92&lt;Projects!$C$25+Projects!$D$25),Projects!$B$25*INDEX(Curves!$B$4:$AR$4,1,92-Projects!$C$25+1),0)+IF(AND(Projects!$G$26="Yes",Projects!$X$26="Yes",Projects!$M$26="Yes",92&gt;=Projects!$C$26,92&lt;Projects!$C$26+Projects!$D$26),Projects!$B$26*INDEX(Curves!$B$4:$AR$4,1,92-Projects!$C$26+1),0)+IF(AND(Projects!$G$27="Yes",Projects!$X$27="Yes",Projects!$M$27="Yes",92&gt;=Projects!$C$27,92&lt;Projects!$C$27+Projects!$D$27),Projects!$B$27*INDEX(Curves!$B$4:$AR$4,1,92-Projects!$C$27+1),0)+IF(AND(Projects!$G$28="Yes",Projects!$X$28="Yes",Projects!$M$28="Yes",92&gt;=Projects!$C$28,92&lt;Projects!$C$28+Projects!$D$28),Projects!$B$28*INDEX(Curves!$B$4:$AR$4,1,92-Projects!$C$28+1),0)+IF(AND(Projects!$G$29="Yes",Projects!$X$29="Yes",Projects!$M$29="Yes",92&gt;=Projects!$C$29,92&lt;Projects!$C$29+Projects!$D$29),Projects!$B$29*INDEX(Curves!$B$4:$AR$4,1,92-Projects!$C$29+1),0)+IF(AND(Projects!$G$30="Yes",Projects!$X$30="Yes",Projects!$M$30="Yes",92&gt;=Projects!$C$30,92&lt;Projects!$C$30+Projects!$D$30),Projects!$B$30*INDEX(Curves!$B$4:$AR$4,1,92-Projects!$C$30+1),0)+IF(AND(Projects!$G$31="Yes",Projects!$X$31="Yes",Projects!$M$31="Yes",92&gt;=Projects!$C$31,92&lt;Projects!$C$31+Projects!$D$31),Projects!$B$31*INDEX(Curves!$B$4:$AR$4,1,92-Projects!$C$31+1),0)+IF(AND(Projects!$G$32="Yes",Projects!$X$32="Yes",Projects!$M$32="Yes",92&gt;=Projects!$C$32,92&lt;Projects!$C$32+Projects!$D$32),Projects!$B$32*INDEX(Curves!$B$4:$AR$4,1,92-Projects!$C$32+1),0)+IF(AND(Projects!$G$33="Yes",Projects!$X$33="Yes",Projects!$M$33="Yes",92&gt;=Projects!$C$33,92&lt;Projects!$C$33+Projects!$D$33),Projects!$B$33*INDEX(Curves!$B$4:$AR$4,1,92-Projects!$C$33+1),0)+IF(AND(Projects!$G$34="Yes",Projects!$X$34="Yes",Projects!$M$34="Yes",92&gt;=Projects!$C$34,92&lt;Projects!$C$34+Projects!$D$34),Projects!$B$34*INDEX(Curves!$B$4:$AR$4,1,92-Projects!$C$34+1),0)+IF(AND(Projects!$G$35="Yes",Projects!$X$35="Yes",Projects!$M$35="Yes",92&gt;=Projects!$C$35,92&lt;Projects!$C$35+Projects!$D$35),Projects!$B$35*INDEX(Curves!$B$4:$AR$4,1,92-Projects!$C$35+1),0)+IF(AND(Projects!$G$36="Yes",Projects!$X$36="Yes",Projects!$M$36="Yes",92&gt;=Projects!$C$36,92&lt;Projects!$C$36+Projects!$D$36),Projects!$B$36*INDEX(Curves!$B$4:$AR$4,1,92-Projects!$C$36+1),0)+IF(AND(Projects!$G$37="Yes",Projects!$X$37="Yes",Projects!$M$37="Yes",92&gt;=Projects!$C$37,92&lt;Projects!$C$37+Projects!$D$37),Projects!$B$37*INDEX(Curves!$B$4:$AR$4,1,92-Projects!$C$37+1),0)+IF(AND(Projects!$G$38="Yes",Projects!$X$38="Yes",Projects!$M$38="Yes",92&gt;=Projects!$C$38,92&lt;Projects!$C$38+Projects!$D$38),Projects!$B$38*INDEX(Curves!$B$4:$AR$4,1,92-Projects!$C$38+1),0)+IF(AND(Projects!$G$39="Yes",Projects!$X$39="Yes",Projects!$M$39="Yes",92&gt;=Projects!$C$39,92&lt;Projects!$C$39+Projects!$D$39),Projects!$B$39*INDEX(Curves!$B$4:$AR$4,1,92-Projects!$C$39+1),0)+IF(AND(Projects!$G$40="Yes",Projects!$X$40="Yes",Projects!$M$40="Yes",92&gt;=Projects!$C$40,92&lt;Projects!$C$40+Projects!$D$40),Projects!$B$40*INDEX(Curves!$B$4:$AR$4,1,92-Projects!$C$40+1),0)+IF(AND(Projects!$G$41="Yes",Projects!$X$41="Yes",Projects!$M$41="Yes",92&gt;=Projects!$C$41,92&lt;Projects!$C$41+Projects!$D$41),Projects!$B$41*INDEX(Curves!$B$4:$AR$4,1,92-Projects!$C$41+1),0)+IF(AND(Projects!$G$42="Yes",Projects!$X$42="Yes",Projects!$M$42="Yes",92&gt;=Projects!$C$42,92&lt;Projects!$C$42+Projects!$D$42),Projects!$B$42*INDEX(Curves!$B$4:$AR$4,1,92-Projects!$C$42+1),0)+IF(AND(Projects!$G$43="Yes",Projects!$X$43="Yes",Projects!$M$43="Yes",92&gt;=Projects!$C$43,92&lt;Projects!$C$43+Projects!$D$43),Projects!$B$43*INDEX(Curves!$B$4:$AR$4,1,92-Projects!$C$43+1),0)+IF(AND(Projects!$G$44="Yes",Projects!$X$44="Yes",Projects!$M$44="Yes",92&gt;=Projects!$C$44,92&lt;Projects!$C$44+Projects!$D$44),Projects!$B$44*INDEX(Curves!$B$4:$AR$4,1,92-Projects!$C$44+1),0)+IF(AND(Projects!$G$45="Yes",Projects!$X$45="Yes",Projects!$M$45="Yes",92&gt;=Projects!$C$45,92&lt;Projects!$C$45+Projects!$D$45),Projects!$B$45*INDEX(Curves!$B$4:$AR$4,1,92-Projects!$C$45+1),0)+IF(AND(Projects!$G$46="Yes",Projects!$X$46="Yes",Projects!$M$46="Yes",92&gt;=Projects!$C$46,92&lt;Projects!$C$46+Projects!$D$46),Projects!$B$46*INDEX(Curves!$B$4:$AR$4,1,92-Projects!$C$46+1),0)</f>
        <v>0</v>
      </c>
      <c r="CT101" s="298" t="n">
        <f aca="false">IF(AND(Projects!$G$17="Yes",Projects!$X$17="Yes",Projects!$M$17="Yes",93&gt;=Projects!$C$17,93&lt;Projects!$C$17+Projects!$D$17),Projects!$B$17*INDEX(Curves!$B$4:$AR$4,1,93-Projects!$C$17+1),0)+IF(AND(Projects!$G$18="Yes",Projects!$X$18="Yes",Projects!$M$18="Yes",93&gt;=Projects!$C$18,93&lt;Projects!$C$18+Projects!$D$18),Projects!$B$18*INDEX(Curves!$B$4:$AR$4,1,93-Projects!$C$18+1),0)+IF(AND(Projects!$G$19="Yes",Projects!$X$19="Yes",Projects!$M$19="Yes",93&gt;=Projects!$C$19,93&lt;Projects!$C$19+Projects!$D$19),Projects!$B$19*INDEX(Curves!$B$10:$AR$10,1,93-Projects!$C$19+1),0)+IF(AND(Projects!$G$20="Yes",Projects!$X$20="Yes",Projects!$M$20="Yes",93&gt;=Projects!$C$20,93&lt;Projects!$C$20+Projects!$D$20),Projects!$B$20*INDEX(Curves!$B$4:$AR$4,1,93-Projects!$C$20+1),0)+IF(AND(Projects!$G$21="Yes",Projects!$X$21="Yes",Projects!$M$21="Yes",93&gt;=Projects!$C$21,93&lt;Projects!$C$21+Projects!$D$21),Projects!$B$21*INDEX(Curves!$B$11:$AR$11,1,93-Projects!$C$21+1),0)+IF(AND(Projects!$G$22="Yes",Projects!$X$22="Yes",Projects!$M$22="Yes",93&gt;=Projects!$C$22,93&lt;Projects!$C$22+Projects!$D$22),Projects!$B$22*INDEX(Curves!$B$4:$AR$4,1,93-Projects!$C$22+1),0)+IF(AND(Projects!$G$23="Yes",Projects!$X$23="Yes",Projects!$M$23="Yes",93&gt;=Projects!$C$23,93&lt;Projects!$C$23+Projects!$D$23),Projects!$B$23*INDEX(Curves!$B$4:$AR$4,1,93-Projects!$C$23+1),0)+IF(AND(Projects!$G$24="Yes",Projects!$X$24="Yes",Projects!$M$24="Yes",93&gt;=Projects!$C$24,93&lt;Projects!$C$24+Projects!$D$24),Projects!$B$24*INDEX(Curves!$B$4:$AR$4,1,93-Projects!$C$24+1),0)+IF(AND(Projects!$G$25="Yes",Projects!$X$25="Yes",Projects!$M$25="Yes",93&gt;=Projects!$C$25,93&lt;Projects!$C$25+Projects!$D$25),Projects!$B$25*INDEX(Curves!$B$4:$AR$4,1,93-Projects!$C$25+1),0)+IF(AND(Projects!$G$26="Yes",Projects!$X$26="Yes",Projects!$M$26="Yes",93&gt;=Projects!$C$26,93&lt;Projects!$C$26+Projects!$D$26),Projects!$B$26*INDEX(Curves!$B$4:$AR$4,1,93-Projects!$C$26+1),0)+IF(AND(Projects!$G$27="Yes",Projects!$X$27="Yes",Projects!$M$27="Yes",93&gt;=Projects!$C$27,93&lt;Projects!$C$27+Projects!$D$27),Projects!$B$27*INDEX(Curves!$B$4:$AR$4,1,93-Projects!$C$27+1),0)+IF(AND(Projects!$G$28="Yes",Projects!$X$28="Yes",Projects!$M$28="Yes",93&gt;=Projects!$C$28,93&lt;Projects!$C$28+Projects!$D$28),Projects!$B$28*INDEX(Curves!$B$4:$AR$4,1,93-Projects!$C$28+1),0)+IF(AND(Projects!$G$29="Yes",Projects!$X$29="Yes",Projects!$M$29="Yes",93&gt;=Projects!$C$29,93&lt;Projects!$C$29+Projects!$D$29),Projects!$B$29*INDEX(Curves!$B$4:$AR$4,1,93-Projects!$C$29+1),0)+IF(AND(Projects!$G$30="Yes",Projects!$X$30="Yes",Projects!$M$30="Yes",93&gt;=Projects!$C$30,93&lt;Projects!$C$30+Projects!$D$30),Projects!$B$30*INDEX(Curves!$B$4:$AR$4,1,93-Projects!$C$30+1),0)+IF(AND(Projects!$G$31="Yes",Projects!$X$31="Yes",Projects!$M$31="Yes",93&gt;=Projects!$C$31,93&lt;Projects!$C$31+Projects!$D$31),Projects!$B$31*INDEX(Curves!$B$4:$AR$4,1,93-Projects!$C$31+1),0)+IF(AND(Projects!$G$32="Yes",Projects!$X$32="Yes",Projects!$M$32="Yes",93&gt;=Projects!$C$32,93&lt;Projects!$C$32+Projects!$D$32),Projects!$B$32*INDEX(Curves!$B$4:$AR$4,1,93-Projects!$C$32+1),0)+IF(AND(Projects!$G$33="Yes",Projects!$X$33="Yes",Projects!$M$33="Yes",93&gt;=Projects!$C$33,93&lt;Projects!$C$33+Projects!$D$33),Projects!$B$33*INDEX(Curves!$B$4:$AR$4,1,93-Projects!$C$33+1),0)+IF(AND(Projects!$G$34="Yes",Projects!$X$34="Yes",Projects!$M$34="Yes",93&gt;=Projects!$C$34,93&lt;Projects!$C$34+Projects!$D$34),Projects!$B$34*INDEX(Curves!$B$4:$AR$4,1,93-Projects!$C$34+1),0)+IF(AND(Projects!$G$35="Yes",Projects!$X$35="Yes",Projects!$M$35="Yes",93&gt;=Projects!$C$35,93&lt;Projects!$C$35+Projects!$D$35),Projects!$B$35*INDEX(Curves!$B$4:$AR$4,1,93-Projects!$C$35+1),0)+IF(AND(Projects!$G$36="Yes",Projects!$X$36="Yes",Projects!$M$36="Yes",93&gt;=Projects!$C$36,93&lt;Projects!$C$36+Projects!$D$36),Projects!$B$36*INDEX(Curves!$B$4:$AR$4,1,93-Projects!$C$36+1),0)+IF(AND(Projects!$G$37="Yes",Projects!$X$37="Yes",Projects!$M$37="Yes",93&gt;=Projects!$C$37,93&lt;Projects!$C$37+Projects!$D$37),Projects!$B$37*INDEX(Curves!$B$4:$AR$4,1,93-Projects!$C$37+1),0)+IF(AND(Projects!$G$38="Yes",Projects!$X$38="Yes",Projects!$M$38="Yes",93&gt;=Projects!$C$38,93&lt;Projects!$C$38+Projects!$D$38),Projects!$B$38*INDEX(Curves!$B$4:$AR$4,1,93-Projects!$C$38+1),0)+IF(AND(Projects!$G$39="Yes",Projects!$X$39="Yes",Projects!$M$39="Yes",93&gt;=Projects!$C$39,93&lt;Projects!$C$39+Projects!$D$39),Projects!$B$39*INDEX(Curves!$B$4:$AR$4,1,93-Projects!$C$39+1),0)+IF(AND(Projects!$G$40="Yes",Projects!$X$40="Yes",Projects!$M$40="Yes",93&gt;=Projects!$C$40,93&lt;Projects!$C$40+Projects!$D$40),Projects!$B$40*INDEX(Curves!$B$4:$AR$4,1,93-Projects!$C$40+1),0)+IF(AND(Projects!$G$41="Yes",Projects!$X$41="Yes",Projects!$M$41="Yes",93&gt;=Projects!$C$41,93&lt;Projects!$C$41+Projects!$D$41),Projects!$B$41*INDEX(Curves!$B$4:$AR$4,1,93-Projects!$C$41+1),0)+IF(AND(Projects!$G$42="Yes",Projects!$X$42="Yes",Projects!$M$42="Yes",93&gt;=Projects!$C$42,93&lt;Projects!$C$42+Projects!$D$42),Projects!$B$42*INDEX(Curves!$B$4:$AR$4,1,93-Projects!$C$42+1),0)+IF(AND(Projects!$G$43="Yes",Projects!$X$43="Yes",Projects!$M$43="Yes",93&gt;=Projects!$C$43,93&lt;Projects!$C$43+Projects!$D$43),Projects!$B$43*INDEX(Curves!$B$4:$AR$4,1,93-Projects!$C$43+1),0)+IF(AND(Projects!$G$44="Yes",Projects!$X$44="Yes",Projects!$M$44="Yes",93&gt;=Projects!$C$44,93&lt;Projects!$C$44+Projects!$D$44),Projects!$B$44*INDEX(Curves!$B$4:$AR$4,1,93-Projects!$C$44+1),0)+IF(AND(Projects!$G$45="Yes",Projects!$X$45="Yes",Projects!$M$45="Yes",93&gt;=Projects!$C$45,93&lt;Projects!$C$45+Projects!$D$45),Projects!$B$45*INDEX(Curves!$B$4:$AR$4,1,93-Projects!$C$45+1),0)+IF(AND(Projects!$G$46="Yes",Projects!$X$46="Yes",Projects!$M$46="Yes",93&gt;=Projects!$C$46,93&lt;Projects!$C$46+Projects!$D$46),Projects!$B$46*INDEX(Curves!$B$4:$AR$4,1,93-Projects!$C$46+1),0)</f>
        <v>0</v>
      </c>
      <c r="CU101" s="298" t="n">
        <f aca="false">IF(AND(Projects!$G$17="Yes",Projects!$X$17="Yes",Projects!$M$17="Yes",94&gt;=Projects!$C$17,94&lt;Projects!$C$17+Projects!$D$17),Projects!$B$17*INDEX(Curves!$B$4:$AR$4,1,94-Projects!$C$17+1),0)+IF(AND(Projects!$G$18="Yes",Projects!$X$18="Yes",Projects!$M$18="Yes",94&gt;=Projects!$C$18,94&lt;Projects!$C$18+Projects!$D$18),Projects!$B$18*INDEX(Curves!$B$4:$AR$4,1,94-Projects!$C$18+1),0)+IF(AND(Projects!$G$19="Yes",Projects!$X$19="Yes",Projects!$M$19="Yes",94&gt;=Projects!$C$19,94&lt;Projects!$C$19+Projects!$D$19),Projects!$B$19*INDEX(Curves!$B$10:$AR$10,1,94-Projects!$C$19+1),0)+IF(AND(Projects!$G$20="Yes",Projects!$X$20="Yes",Projects!$M$20="Yes",94&gt;=Projects!$C$20,94&lt;Projects!$C$20+Projects!$D$20),Projects!$B$20*INDEX(Curves!$B$4:$AR$4,1,94-Projects!$C$20+1),0)+IF(AND(Projects!$G$21="Yes",Projects!$X$21="Yes",Projects!$M$21="Yes",94&gt;=Projects!$C$21,94&lt;Projects!$C$21+Projects!$D$21),Projects!$B$21*INDEX(Curves!$B$11:$AR$11,1,94-Projects!$C$21+1),0)+IF(AND(Projects!$G$22="Yes",Projects!$X$22="Yes",Projects!$M$22="Yes",94&gt;=Projects!$C$22,94&lt;Projects!$C$22+Projects!$D$22),Projects!$B$22*INDEX(Curves!$B$4:$AR$4,1,94-Projects!$C$22+1),0)+IF(AND(Projects!$G$23="Yes",Projects!$X$23="Yes",Projects!$M$23="Yes",94&gt;=Projects!$C$23,94&lt;Projects!$C$23+Projects!$D$23),Projects!$B$23*INDEX(Curves!$B$4:$AR$4,1,94-Projects!$C$23+1),0)+IF(AND(Projects!$G$24="Yes",Projects!$X$24="Yes",Projects!$M$24="Yes",94&gt;=Projects!$C$24,94&lt;Projects!$C$24+Projects!$D$24),Projects!$B$24*INDEX(Curves!$B$4:$AR$4,1,94-Projects!$C$24+1),0)+IF(AND(Projects!$G$25="Yes",Projects!$X$25="Yes",Projects!$M$25="Yes",94&gt;=Projects!$C$25,94&lt;Projects!$C$25+Projects!$D$25),Projects!$B$25*INDEX(Curves!$B$4:$AR$4,1,94-Projects!$C$25+1),0)+IF(AND(Projects!$G$26="Yes",Projects!$X$26="Yes",Projects!$M$26="Yes",94&gt;=Projects!$C$26,94&lt;Projects!$C$26+Projects!$D$26),Projects!$B$26*INDEX(Curves!$B$4:$AR$4,1,94-Projects!$C$26+1),0)+IF(AND(Projects!$G$27="Yes",Projects!$X$27="Yes",Projects!$M$27="Yes",94&gt;=Projects!$C$27,94&lt;Projects!$C$27+Projects!$D$27),Projects!$B$27*INDEX(Curves!$B$4:$AR$4,1,94-Projects!$C$27+1),0)+IF(AND(Projects!$G$28="Yes",Projects!$X$28="Yes",Projects!$M$28="Yes",94&gt;=Projects!$C$28,94&lt;Projects!$C$28+Projects!$D$28),Projects!$B$28*INDEX(Curves!$B$4:$AR$4,1,94-Projects!$C$28+1),0)+IF(AND(Projects!$G$29="Yes",Projects!$X$29="Yes",Projects!$M$29="Yes",94&gt;=Projects!$C$29,94&lt;Projects!$C$29+Projects!$D$29),Projects!$B$29*INDEX(Curves!$B$4:$AR$4,1,94-Projects!$C$29+1),0)+IF(AND(Projects!$G$30="Yes",Projects!$X$30="Yes",Projects!$M$30="Yes",94&gt;=Projects!$C$30,94&lt;Projects!$C$30+Projects!$D$30),Projects!$B$30*INDEX(Curves!$B$4:$AR$4,1,94-Projects!$C$30+1),0)+IF(AND(Projects!$G$31="Yes",Projects!$X$31="Yes",Projects!$M$31="Yes",94&gt;=Projects!$C$31,94&lt;Projects!$C$31+Projects!$D$31),Projects!$B$31*INDEX(Curves!$B$4:$AR$4,1,94-Projects!$C$31+1),0)+IF(AND(Projects!$G$32="Yes",Projects!$X$32="Yes",Projects!$M$32="Yes",94&gt;=Projects!$C$32,94&lt;Projects!$C$32+Projects!$D$32),Projects!$B$32*INDEX(Curves!$B$4:$AR$4,1,94-Projects!$C$32+1),0)+IF(AND(Projects!$G$33="Yes",Projects!$X$33="Yes",Projects!$M$33="Yes",94&gt;=Projects!$C$33,94&lt;Projects!$C$33+Projects!$D$33),Projects!$B$33*INDEX(Curves!$B$4:$AR$4,1,94-Projects!$C$33+1),0)+IF(AND(Projects!$G$34="Yes",Projects!$X$34="Yes",Projects!$M$34="Yes",94&gt;=Projects!$C$34,94&lt;Projects!$C$34+Projects!$D$34),Projects!$B$34*INDEX(Curves!$B$4:$AR$4,1,94-Projects!$C$34+1),0)+IF(AND(Projects!$G$35="Yes",Projects!$X$35="Yes",Projects!$M$35="Yes",94&gt;=Projects!$C$35,94&lt;Projects!$C$35+Projects!$D$35),Projects!$B$35*INDEX(Curves!$B$4:$AR$4,1,94-Projects!$C$35+1),0)+IF(AND(Projects!$G$36="Yes",Projects!$X$36="Yes",Projects!$M$36="Yes",94&gt;=Projects!$C$36,94&lt;Projects!$C$36+Projects!$D$36),Projects!$B$36*INDEX(Curves!$B$4:$AR$4,1,94-Projects!$C$36+1),0)+IF(AND(Projects!$G$37="Yes",Projects!$X$37="Yes",Projects!$M$37="Yes",94&gt;=Projects!$C$37,94&lt;Projects!$C$37+Projects!$D$37),Projects!$B$37*INDEX(Curves!$B$4:$AR$4,1,94-Projects!$C$37+1),0)+IF(AND(Projects!$G$38="Yes",Projects!$X$38="Yes",Projects!$M$38="Yes",94&gt;=Projects!$C$38,94&lt;Projects!$C$38+Projects!$D$38),Projects!$B$38*INDEX(Curves!$B$4:$AR$4,1,94-Projects!$C$38+1),0)+IF(AND(Projects!$G$39="Yes",Projects!$X$39="Yes",Projects!$M$39="Yes",94&gt;=Projects!$C$39,94&lt;Projects!$C$39+Projects!$D$39),Projects!$B$39*INDEX(Curves!$B$4:$AR$4,1,94-Projects!$C$39+1),0)+IF(AND(Projects!$G$40="Yes",Projects!$X$40="Yes",Projects!$M$40="Yes",94&gt;=Projects!$C$40,94&lt;Projects!$C$40+Projects!$D$40),Projects!$B$40*INDEX(Curves!$B$4:$AR$4,1,94-Projects!$C$40+1),0)+IF(AND(Projects!$G$41="Yes",Projects!$X$41="Yes",Projects!$M$41="Yes",94&gt;=Projects!$C$41,94&lt;Projects!$C$41+Projects!$D$41),Projects!$B$41*INDEX(Curves!$B$4:$AR$4,1,94-Projects!$C$41+1),0)+IF(AND(Projects!$G$42="Yes",Projects!$X$42="Yes",Projects!$M$42="Yes",94&gt;=Projects!$C$42,94&lt;Projects!$C$42+Projects!$D$42),Projects!$B$42*INDEX(Curves!$B$4:$AR$4,1,94-Projects!$C$42+1),0)+IF(AND(Projects!$G$43="Yes",Projects!$X$43="Yes",Projects!$M$43="Yes",94&gt;=Projects!$C$43,94&lt;Projects!$C$43+Projects!$D$43),Projects!$B$43*INDEX(Curves!$B$4:$AR$4,1,94-Projects!$C$43+1),0)+IF(AND(Projects!$G$44="Yes",Projects!$X$44="Yes",Projects!$M$44="Yes",94&gt;=Projects!$C$44,94&lt;Projects!$C$44+Projects!$D$44),Projects!$B$44*INDEX(Curves!$B$4:$AR$4,1,94-Projects!$C$44+1),0)+IF(AND(Projects!$G$45="Yes",Projects!$X$45="Yes",Projects!$M$45="Yes",94&gt;=Projects!$C$45,94&lt;Projects!$C$45+Projects!$D$45),Projects!$B$45*INDEX(Curves!$B$4:$AR$4,1,94-Projects!$C$45+1),0)+IF(AND(Projects!$G$46="Yes",Projects!$X$46="Yes",Projects!$M$46="Yes",94&gt;=Projects!$C$46,94&lt;Projects!$C$46+Projects!$D$46),Projects!$B$46*INDEX(Curves!$B$4:$AR$4,1,94-Projects!$C$46+1),0)</f>
        <v>0</v>
      </c>
      <c r="CV101" s="298" t="n">
        <f aca="false">IF(AND(Projects!$G$17="Yes",Projects!$X$17="Yes",Projects!$M$17="Yes",95&gt;=Projects!$C$17,95&lt;Projects!$C$17+Projects!$D$17),Projects!$B$17*INDEX(Curves!$B$4:$AR$4,1,95-Projects!$C$17+1),0)+IF(AND(Projects!$G$18="Yes",Projects!$X$18="Yes",Projects!$M$18="Yes",95&gt;=Projects!$C$18,95&lt;Projects!$C$18+Projects!$D$18),Projects!$B$18*INDEX(Curves!$B$4:$AR$4,1,95-Projects!$C$18+1),0)+IF(AND(Projects!$G$19="Yes",Projects!$X$19="Yes",Projects!$M$19="Yes",95&gt;=Projects!$C$19,95&lt;Projects!$C$19+Projects!$D$19),Projects!$B$19*INDEX(Curves!$B$10:$AR$10,1,95-Projects!$C$19+1),0)+IF(AND(Projects!$G$20="Yes",Projects!$X$20="Yes",Projects!$M$20="Yes",95&gt;=Projects!$C$20,95&lt;Projects!$C$20+Projects!$D$20),Projects!$B$20*INDEX(Curves!$B$4:$AR$4,1,95-Projects!$C$20+1),0)+IF(AND(Projects!$G$21="Yes",Projects!$X$21="Yes",Projects!$M$21="Yes",95&gt;=Projects!$C$21,95&lt;Projects!$C$21+Projects!$D$21),Projects!$B$21*INDEX(Curves!$B$11:$AR$11,1,95-Projects!$C$21+1),0)+IF(AND(Projects!$G$22="Yes",Projects!$X$22="Yes",Projects!$M$22="Yes",95&gt;=Projects!$C$22,95&lt;Projects!$C$22+Projects!$D$22),Projects!$B$22*INDEX(Curves!$B$4:$AR$4,1,95-Projects!$C$22+1),0)+IF(AND(Projects!$G$23="Yes",Projects!$X$23="Yes",Projects!$M$23="Yes",95&gt;=Projects!$C$23,95&lt;Projects!$C$23+Projects!$D$23),Projects!$B$23*INDEX(Curves!$B$4:$AR$4,1,95-Projects!$C$23+1),0)+IF(AND(Projects!$G$24="Yes",Projects!$X$24="Yes",Projects!$M$24="Yes",95&gt;=Projects!$C$24,95&lt;Projects!$C$24+Projects!$D$24),Projects!$B$24*INDEX(Curves!$B$4:$AR$4,1,95-Projects!$C$24+1),0)+IF(AND(Projects!$G$25="Yes",Projects!$X$25="Yes",Projects!$M$25="Yes",95&gt;=Projects!$C$25,95&lt;Projects!$C$25+Projects!$D$25),Projects!$B$25*INDEX(Curves!$B$4:$AR$4,1,95-Projects!$C$25+1),0)+IF(AND(Projects!$G$26="Yes",Projects!$X$26="Yes",Projects!$M$26="Yes",95&gt;=Projects!$C$26,95&lt;Projects!$C$26+Projects!$D$26),Projects!$B$26*INDEX(Curves!$B$4:$AR$4,1,95-Projects!$C$26+1),0)+IF(AND(Projects!$G$27="Yes",Projects!$X$27="Yes",Projects!$M$27="Yes",95&gt;=Projects!$C$27,95&lt;Projects!$C$27+Projects!$D$27),Projects!$B$27*INDEX(Curves!$B$4:$AR$4,1,95-Projects!$C$27+1),0)+IF(AND(Projects!$G$28="Yes",Projects!$X$28="Yes",Projects!$M$28="Yes",95&gt;=Projects!$C$28,95&lt;Projects!$C$28+Projects!$D$28),Projects!$B$28*INDEX(Curves!$B$4:$AR$4,1,95-Projects!$C$28+1),0)+IF(AND(Projects!$G$29="Yes",Projects!$X$29="Yes",Projects!$M$29="Yes",95&gt;=Projects!$C$29,95&lt;Projects!$C$29+Projects!$D$29),Projects!$B$29*INDEX(Curves!$B$4:$AR$4,1,95-Projects!$C$29+1),0)+IF(AND(Projects!$G$30="Yes",Projects!$X$30="Yes",Projects!$M$30="Yes",95&gt;=Projects!$C$30,95&lt;Projects!$C$30+Projects!$D$30),Projects!$B$30*INDEX(Curves!$B$4:$AR$4,1,95-Projects!$C$30+1),0)+IF(AND(Projects!$G$31="Yes",Projects!$X$31="Yes",Projects!$M$31="Yes",95&gt;=Projects!$C$31,95&lt;Projects!$C$31+Projects!$D$31),Projects!$B$31*INDEX(Curves!$B$4:$AR$4,1,95-Projects!$C$31+1),0)+IF(AND(Projects!$G$32="Yes",Projects!$X$32="Yes",Projects!$M$32="Yes",95&gt;=Projects!$C$32,95&lt;Projects!$C$32+Projects!$D$32),Projects!$B$32*INDEX(Curves!$B$4:$AR$4,1,95-Projects!$C$32+1),0)+IF(AND(Projects!$G$33="Yes",Projects!$X$33="Yes",Projects!$M$33="Yes",95&gt;=Projects!$C$33,95&lt;Projects!$C$33+Projects!$D$33),Projects!$B$33*INDEX(Curves!$B$4:$AR$4,1,95-Projects!$C$33+1),0)+IF(AND(Projects!$G$34="Yes",Projects!$X$34="Yes",Projects!$M$34="Yes",95&gt;=Projects!$C$34,95&lt;Projects!$C$34+Projects!$D$34),Projects!$B$34*INDEX(Curves!$B$4:$AR$4,1,95-Projects!$C$34+1),0)+IF(AND(Projects!$G$35="Yes",Projects!$X$35="Yes",Projects!$M$35="Yes",95&gt;=Projects!$C$35,95&lt;Projects!$C$35+Projects!$D$35),Projects!$B$35*INDEX(Curves!$B$4:$AR$4,1,95-Projects!$C$35+1),0)+IF(AND(Projects!$G$36="Yes",Projects!$X$36="Yes",Projects!$M$36="Yes",95&gt;=Projects!$C$36,95&lt;Projects!$C$36+Projects!$D$36),Projects!$B$36*INDEX(Curves!$B$4:$AR$4,1,95-Projects!$C$36+1),0)+IF(AND(Projects!$G$37="Yes",Projects!$X$37="Yes",Projects!$M$37="Yes",95&gt;=Projects!$C$37,95&lt;Projects!$C$37+Projects!$D$37),Projects!$B$37*INDEX(Curves!$B$4:$AR$4,1,95-Projects!$C$37+1),0)+IF(AND(Projects!$G$38="Yes",Projects!$X$38="Yes",Projects!$M$38="Yes",95&gt;=Projects!$C$38,95&lt;Projects!$C$38+Projects!$D$38),Projects!$B$38*INDEX(Curves!$B$4:$AR$4,1,95-Projects!$C$38+1),0)+IF(AND(Projects!$G$39="Yes",Projects!$X$39="Yes",Projects!$M$39="Yes",95&gt;=Projects!$C$39,95&lt;Projects!$C$39+Projects!$D$39),Projects!$B$39*INDEX(Curves!$B$4:$AR$4,1,95-Projects!$C$39+1),0)+IF(AND(Projects!$G$40="Yes",Projects!$X$40="Yes",Projects!$M$40="Yes",95&gt;=Projects!$C$40,95&lt;Projects!$C$40+Projects!$D$40),Projects!$B$40*INDEX(Curves!$B$4:$AR$4,1,95-Projects!$C$40+1),0)+IF(AND(Projects!$G$41="Yes",Projects!$X$41="Yes",Projects!$M$41="Yes",95&gt;=Projects!$C$41,95&lt;Projects!$C$41+Projects!$D$41),Projects!$B$41*INDEX(Curves!$B$4:$AR$4,1,95-Projects!$C$41+1),0)+IF(AND(Projects!$G$42="Yes",Projects!$X$42="Yes",Projects!$M$42="Yes",95&gt;=Projects!$C$42,95&lt;Projects!$C$42+Projects!$D$42),Projects!$B$42*INDEX(Curves!$B$4:$AR$4,1,95-Projects!$C$42+1),0)+IF(AND(Projects!$G$43="Yes",Projects!$X$43="Yes",Projects!$M$43="Yes",95&gt;=Projects!$C$43,95&lt;Projects!$C$43+Projects!$D$43),Projects!$B$43*INDEX(Curves!$B$4:$AR$4,1,95-Projects!$C$43+1),0)+IF(AND(Projects!$G$44="Yes",Projects!$X$44="Yes",Projects!$M$44="Yes",95&gt;=Projects!$C$44,95&lt;Projects!$C$44+Projects!$D$44),Projects!$B$44*INDEX(Curves!$B$4:$AR$4,1,95-Projects!$C$44+1),0)+IF(AND(Projects!$G$45="Yes",Projects!$X$45="Yes",Projects!$M$45="Yes",95&gt;=Projects!$C$45,95&lt;Projects!$C$45+Projects!$D$45),Projects!$B$45*INDEX(Curves!$B$4:$AR$4,1,95-Projects!$C$45+1),0)+IF(AND(Projects!$G$46="Yes",Projects!$X$46="Yes",Projects!$M$46="Yes",95&gt;=Projects!$C$46,95&lt;Projects!$C$46+Projects!$D$46),Projects!$B$46*INDEX(Curves!$B$4:$AR$4,1,95-Projects!$C$46+1),0)</f>
        <v>0</v>
      </c>
      <c r="CW101" s="298" t="n">
        <f aca="false">IF(AND(Projects!$G$17="Yes",Projects!$X$17="Yes",Projects!$M$17="Yes",96&gt;=Projects!$C$17,96&lt;Projects!$C$17+Projects!$D$17),Projects!$B$17*INDEX(Curves!$B$4:$AR$4,1,96-Projects!$C$17+1),0)+IF(AND(Projects!$G$18="Yes",Projects!$X$18="Yes",Projects!$M$18="Yes",96&gt;=Projects!$C$18,96&lt;Projects!$C$18+Projects!$D$18),Projects!$B$18*INDEX(Curves!$B$4:$AR$4,1,96-Projects!$C$18+1),0)+IF(AND(Projects!$G$19="Yes",Projects!$X$19="Yes",Projects!$M$19="Yes",96&gt;=Projects!$C$19,96&lt;Projects!$C$19+Projects!$D$19),Projects!$B$19*INDEX(Curves!$B$10:$AR$10,1,96-Projects!$C$19+1),0)+IF(AND(Projects!$G$20="Yes",Projects!$X$20="Yes",Projects!$M$20="Yes",96&gt;=Projects!$C$20,96&lt;Projects!$C$20+Projects!$D$20),Projects!$B$20*INDEX(Curves!$B$4:$AR$4,1,96-Projects!$C$20+1),0)+IF(AND(Projects!$G$21="Yes",Projects!$X$21="Yes",Projects!$M$21="Yes",96&gt;=Projects!$C$21,96&lt;Projects!$C$21+Projects!$D$21),Projects!$B$21*INDEX(Curves!$B$11:$AR$11,1,96-Projects!$C$21+1),0)+IF(AND(Projects!$G$22="Yes",Projects!$X$22="Yes",Projects!$M$22="Yes",96&gt;=Projects!$C$22,96&lt;Projects!$C$22+Projects!$D$22),Projects!$B$22*INDEX(Curves!$B$4:$AR$4,1,96-Projects!$C$22+1),0)+IF(AND(Projects!$G$23="Yes",Projects!$X$23="Yes",Projects!$M$23="Yes",96&gt;=Projects!$C$23,96&lt;Projects!$C$23+Projects!$D$23),Projects!$B$23*INDEX(Curves!$B$4:$AR$4,1,96-Projects!$C$23+1),0)+IF(AND(Projects!$G$24="Yes",Projects!$X$24="Yes",Projects!$M$24="Yes",96&gt;=Projects!$C$24,96&lt;Projects!$C$24+Projects!$D$24),Projects!$B$24*INDEX(Curves!$B$4:$AR$4,1,96-Projects!$C$24+1),0)+IF(AND(Projects!$G$25="Yes",Projects!$X$25="Yes",Projects!$M$25="Yes",96&gt;=Projects!$C$25,96&lt;Projects!$C$25+Projects!$D$25),Projects!$B$25*INDEX(Curves!$B$4:$AR$4,1,96-Projects!$C$25+1),0)+IF(AND(Projects!$G$26="Yes",Projects!$X$26="Yes",Projects!$M$26="Yes",96&gt;=Projects!$C$26,96&lt;Projects!$C$26+Projects!$D$26),Projects!$B$26*INDEX(Curves!$B$4:$AR$4,1,96-Projects!$C$26+1),0)+IF(AND(Projects!$G$27="Yes",Projects!$X$27="Yes",Projects!$M$27="Yes",96&gt;=Projects!$C$27,96&lt;Projects!$C$27+Projects!$D$27),Projects!$B$27*INDEX(Curves!$B$4:$AR$4,1,96-Projects!$C$27+1),0)+IF(AND(Projects!$G$28="Yes",Projects!$X$28="Yes",Projects!$M$28="Yes",96&gt;=Projects!$C$28,96&lt;Projects!$C$28+Projects!$D$28),Projects!$B$28*INDEX(Curves!$B$4:$AR$4,1,96-Projects!$C$28+1),0)+IF(AND(Projects!$G$29="Yes",Projects!$X$29="Yes",Projects!$M$29="Yes",96&gt;=Projects!$C$29,96&lt;Projects!$C$29+Projects!$D$29),Projects!$B$29*INDEX(Curves!$B$4:$AR$4,1,96-Projects!$C$29+1),0)+IF(AND(Projects!$G$30="Yes",Projects!$X$30="Yes",Projects!$M$30="Yes",96&gt;=Projects!$C$30,96&lt;Projects!$C$30+Projects!$D$30),Projects!$B$30*INDEX(Curves!$B$4:$AR$4,1,96-Projects!$C$30+1),0)+IF(AND(Projects!$G$31="Yes",Projects!$X$31="Yes",Projects!$M$31="Yes",96&gt;=Projects!$C$31,96&lt;Projects!$C$31+Projects!$D$31),Projects!$B$31*INDEX(Curves!$B$4:$AR$4,1,96-Projects!$C$31+1),0)+IF(AND(Projects!$G$32="Yes",Projects!$X$32="Yes",Projects!$M$32="Yes",96&gt;=Projects!$C$32,96&lt;Projects!$C$32+Projects!$D$32),Projects!$B$32*INDEX(Curves!$B$4:$AR$4,1,96-Projects!$C$32+1),0)+IF(AND(Projects!$G$33="Yes",Projects!$X$33="Yes",Projects!$M$33="Yes",96&gt;=Projects!$C$33,96&lt;Projects!$C$33+Projects!$D$33),Projects!$B$33*INDEX(Curves!$B$4:$AR$4,1,96-Projects!$C$33+1),0)+IF(AND(Projects!$G$34="Yes",Projects!$X$34="Yes",Projects!$M$34="Yes",96&gt;=Projects!$C$34,96&lt;Projects!$C$34+Projects!$D$34),Projects!$B$34*INDEX(Curves!$B$4:$AR$4,1,96-Projects!$C$34+1),0)+IF(AND(Projects!$G$35="Yes",Projects!$X$35="Yes",Projects!$M$35="Yes",96&gt;=Projects!$C$35,96&lt;Projects!$C$35+Projects!$D$35),Projects!$B$35*INDEX(Curves!$B$4:$AR$4,1,96-Projects!$C$35+1),0)+IF(AND(Projects!$G$36="Yes",Projects!$X$36="Yes",Projects!$M$36="Yes",96&gt;=Projects!$C$36,96&lt;Projects!$C$36+Projects!$D$36),Projects!$B$36*INDEX(Curves!$B$4:$AR$4,1,96-Projects!$C$36+1),0)+IF(AND(Projects!$G$37="Yes",Projects!$X$37="Yes",Projects!$M$37="Yes",96&gt;=Projects!$C$37,96&lt;Projects!$C$37+Projects!$D$37),Projects!$B$37*INDEX(Curves!$B$4:$AR$4,1,96-Projects!$C$37+1),0)+IF(AND(Projects!$G$38="Yes",Projects!$X$38="Yes",Projects!$M$38="Yes",96&gt;=Projects!$C$38,96&lt;Projects!$C$38+Projects!$D$38),Projects!$B$38*INDEX(Curves!$B$4:$AR$4,1,96-Projects!$C$38+1),0)+IF(AND(Projects!$G$39="Yes",Projects!$X$39="Yes",Projects!$M$39="Yes",96&gt;=Projects!$C$39,96&lt;Projects!$C$39+Projects!$D$39),Projects!$B$39*INDEX(Curves!$B$4:$AR$4,1,96-Projects!$C$39+1),0)+IF(AND(Projects!$G$40="Yes",Projects!$X$40="Yes",Projects!$M$40="Yes",96&gt;=Projects!$C$40,96&lt;Projects!$C$40+Projects!$D$40),Projects!$B$40*INDEX(Curves!$B$4:$AR$4,1,96-Projects!$C$40+1),0)+IF(AND(Projects!$G$41="Yes",Projects!$X$41="Yes",Projects!$M$41="Yes",96&gt;=Projects!$C$41,96&lt;Projects!$C$41+Projects!$D$41),Projects!$B$41*INDEX(Curves!$B$4:$AR$4,1,96-Projects!$C$41+1),0)+IF(AND(Projects!$G$42="Yes",Projects!$X$42="Yes",Projects!$M$42="Yes",96&gt;=Projects!$C$42,96&lt;Projects!$C$42+Projects!$D$42),Projects!$B$42*INDEX(Curves!$B$4:$AR$4,1,96-Projects!$C$42+1),0)+IF(AND(Projects!$G$43="Yes",Projects!$X$43="Yes",Projects!$M$43="Yes",96&gt;=Projects!$C$43,96&lt;Projects!$C$43+Projects!$D$43),Projects!$B$43*INDEX(Curves!$B$4:$AR$4,1,96-Projects!$C$43+1),0)+IF(AND(Projects!$G$44="Yes",Projects!$X$44="Yes",Projects!$M$44="Yes",96&gt;=Projects!$C$44,96&lt;Projects!$C$44+Projects!$D$44),Projects!$B$44*INDEX(Curves!$B$4:$AR$4,1,96-Projects!$C$44+1),0)+IF(AND(Projects!$G$45="Yes",Projects!$X$45="Yes",Projects!$M$45="Yes",96&gt;=Projects!$C$45,96&lt;Projects!$C$45+Projects!$D$45),Projects!$B$45*INDEX(Curves!$B$4:$AR$4,1,96-Projects!$C$45+1),0)+IF(AND(Projects!$G$46="Yes",Projects!$X$46="Yes",Projects!$M$46="Yes",96&gt;=Projects!$C$46,96&lt;Projects!$C$46+Projects!$D$46),Projects!$B$46*INDEX(Curves!$B$4:$AR$4,1,96-Projects!$C$46+1),0)</f>
        <v>0</v>
      </c>
      <c r="CX101" s="298" t="n">
        <f aca="false">IF(AND(Projects!$G$17="Yes",Projects!$X$17="Yes",Projects!$M$17="Yes",97&gt;=Projects!$C$17,97&lt;Projects!$C$17+Projects!$D$17),Projects!$B$17*INDEX(Curves!$B$4:$AR$4,1,97-Projects!$C$17+1),0)+IF(AND(Projects!$G$18="Yes",Projects!$X$18="Yes",Projects!$M$18="Yes",97&gt;=Projects!$C$18,97&lt;Projects!$C$18+Projects!$D$18),Projects!$B$18*INDEX(Curves!$B$4:$AR$4,1,97-Projects!$C$18+1),0)+IF(AND(Projects!$G$19="Yes",Projects!$X$19="Yes",Projects!$M$19="Yes",97&gt;=Projects!$C$19,97&lt;Projects!$C$19+Projects!$D$19),Projects!$B$19*INDEX(Curves!$B$10:$AR$10,1,97-Projects!$C$19+1),0)+IF(AND(Projects!$G$20="Yes",Projects!$X$20="Yes",Projects!$M$20="Yes",97&gt;=Projects!$C$20,97&lt;Projects!$C$20+Projects!$D$20),Projects!$B$20*INDEX(Curves!$B$4:$AR$4,1,97-Projects!$C$20+1),0)+IF(AND(Projects!$G$21="Yes",Projects!$X$21="Yes",Projects!$M$21="Yes",97&gt;=Projects!$C$21,97&lt;Projects!$C$21+Projects!$D$21),Projects!$B$21*INDEX(Curves!$B$11:$AR$11,1,97-Projects!$C$21+1),0)+IF(AND(Projects!$G$22="Yes",Projects!$X$22="Yes",Projects!$M$22="Yes",97&gt;=Projects!$C$22,97&lt;Projects!$C$22+Projects!$D$22),Projects!$B$22*INDEX(Curves!$B$4:$AR$4,1,97-Projects!$C$22+1),0)+IF(AND(Projects!$G$23="Yes",Projects!$X$23="Yes",Projects!$M$23="Yes",97&gt;=Projects!$C$23,97&lt;Projects!$C$23+Projects!$D$23),Projects!$B$23*INDEX(Curves!$B$4:$AR$4,1,97-Projects!$C$23+1),0)+IF(AND(Projects!$G$24="Yes",Projects!$X$24="Yes",Projects!$M$24="Yes",97&gt;=Projects!$C$24,97&lt;Projects!$C$24+Projects!$D$24),Projects!$B$24*INDEX(Curves!$B$4:$AR$4,1,97-Projects!$C$24+1),0)+IF(AND(Projects!$G$25="Yes",Projects!$X$25="Yes",Projects!$M$25="Yes",97&gt;=Projects!$C$25,97&lt;Projects!$C$25+Projects!$D$25),Projects!$B$25*INDEX(Curves!$B$4:$AR$4,1,97-Projects!$C$25+1),0)+IF(AND(Projects!$G$26="Yes",Projects!$X$26="Yes",Projects!$M$26="Yes",97&gt;=Projects!$C$26,97&lt;Projects!$C$26+Projects!$D$26),Projects!$B$26*INDEX(Curves!$B$4:$AR$4,1,97-Projects!$C$26+1),0)+IF(AND(Projects!$G$27="Yes",Projects!$X$27="Yes",Projects!$M$27="Yes",97&gt;=Projects!$C$27,97&lt;Projects!$C$27+Projects!$D$27),Projects!$B$27*INDEX(Curves!$B$4:$AR$4,1,97-Projects!$C$27+1),0)+IF(AND(Projects!$G$28="Yes",Projects!$X$28="Yes",Projects!$M$28="Yes",97&gt;=Projects!$C$28,97&lt;Projects!$C$28+Projects!$D$28),Projects!$B$28*INDEX(Curves!$B$4:$AR$4,1,97-Projects!$C$28+1),0)+IF(AND(Projects!$G$29="Yes",Projects!$X$29="Yes",Projects!$M$29="Yes",97&gt;=Projects!$C$29,97&lt;Projects!$C$29+Projects!$D$29),Projects!$B$29*INDEX(Curves!$B$4:$AR$4,1,97-Projects!$C$29+1),0)+IF(AND(Projects!$G$30="Yes",Projects!$X$30="Yes",Projects!$M$30="Yes",97&gt;=Projects!$C$30,97&lt;Projects!$C$30+Projects!$D$30),Projects!$B$30*INDEX(Curves!$B$4:$AR$4,1,97-Projects!$C$30+1),0)+IF(AND(Projects!$G$31="Yes",Projects!$X$31="Yes",Projects!$M$31="Yes",97&gt;=Projects!$C$31,97&lt;Projects!$C$31+Projects!$D$31),Projects!$B$31*INDEX(Curves!$B$4:$AR$4,1,97-Projects!$C$31+1),0)+IF(AND(Projects!$G$32="Yes",Projects!$X$32="Yes",Projects!$M$32="Yes",97&gt;=Projects!$C$32,97&lt;Projects!$C$32+Projects!$D$32),Projects!$B$32*INDEX(Curves!$B$4:$AR$4,1,97-Projects!$C$32+1),0)+IF(AND(Projects!$G$33="Yes",Projects!$X$33="Yes",Projects!$M$33="Yes",97&gt;=Projects!$C$33,97&lt;Projects!$C$33+Projects!$D$33),Projects!$B$33*INDEX(Curves!$B$4:$AR$4,1,97-Projects!$C$33+1),0)+IF(AND(Projects!$G$34="Yes",Projects!$X$34="Yes",Projects!$M$34="Yes",97&gt;=Projects!$C$34,97&lt;Projects!$C$34+Projects!$D$34),Projects!$B$34*INDEX(Curves!$B$4:$AR$4,1,97-Projects!$C$34+1),0)+IF(AND(Projects!$G$35="Yes",Projects!$X$35="Yes",Projects!$M$35="Yes",97&gt;=Projects!$C$35,97&lt;Projects!$C$35+Projects!$D$35),Projects!$B$35*INDEX(Curves!$B$4:$AR$4,1,97-Projects!$C$35+1),0)+IF(AND(Projects!$G$36="Yes",Projects!$X$36="Yes",Projects!$M$36="Yes",97&gt;=Projects!$C$36,97&lt;Projects!$C$36+Projects!$D$36),Projects!$B$36*INDEX(Curves!$B$4:$AR$4,1,97-Projects!$C$36+1),0)+IF(AND(Projects!$G$37="Yes",Projects!$X$37="Yes",Projects!$M$37="Yes",97&gt;=Projects!$C$37,97&lt;Projects!$C$37+Projects!$D$37),Projects!$B$37*INDEX(Curves!$B$4:$AR$4,1,97-Projects!$C$37+1),0)+IF(AND(Projects!$G$38="Yes",Projects!$X$38="Yes",Projects!$M$38="Yes",97&gt;=Projects!$C$38,97&lt;Projects!$C$38+Projects!$D$38),Projects!$B$38*INDEX(Curves!$B$4:$AR$4,1,97-Projects!$C$38+1),0)+IF(AND(Projects!$G$39="Yes",Projects!$X$39="Yes",Projects!$M$39="Yes",97&gt;=Projects!$C$39,97&lt;Projects!$C$39+Projects!$D$39),Projects!$B$39*INDEX(Curves!$B$4:$AR$4,1,97-Projects!$C$39+1),0)+IF(AND(Projects!$G$40="Yes",Projects!$X$40="Yes",Projects!$M$40="Yes",97&gt;=Projects!$C$40,97&lt;Projects!$C$40+Projects!$D$40),Projects!$B$40*INDEX(Curves!$B$4:$AR$4,1,97-Projects!$C$40+1),0)+IF(AND(Projects!$G$41="Yes",Projects!$X$41="Yes",Projects!$M$41="Yes",97&gt;=Projects!$C$41,97&lt;Projects!$C$41+Projects!$D$41),Projects!$B$41*INDEX(Curves!$B$4:$AR$4,1,97-Projects!$C$41+1),0)+IF(AND(Projects!$G$42="Yes",Projects!$X$42="Yes",Projects!$M$42="Yes",97&gt;=Projects!$C$42,97&lt;Projects!$C$42+Projects!$D$42),Projects!$B$42*INDEX(Curves!$B$4:$AR$4,1,97-Projects!$C$42+1),0)+IF(AND(Projects!$G$43="Yes",Projects!$X$43="Yes",Projects!$M$43="Yes",97&gt;=Projects!$C$43,97&lt;Projects!$C$43+Projects!$D$43),Projects!$B$43*INDEX(Curves!$B$4:$AR$4,1,97-Projects!$C$43+1),0)+IF(AND(Projects!$G$44="Yes",Projects!$X$44="Yes",Projects!$M$44="Yes",97&gt;=Projects!$C$44,97&lt;Projects!$C$44+Projects!$D$44),Projects!$B$44*INDEX(Curves!$B$4:$AR$4,1,97-Projects!$C$44+1),0)+IF(AND(Projects!$G$45="Yes",Projects!$X$45="Yes",Projects!$M$45="Yes",97&gt;=Projects!$C$45,97&lt;Projects!$C$45+Projects!$D$45),Projects!$B$45*INDEX(Curves!$B$4:$AR$4,1,97-Projects!$C$45+1),0)+IF(AND(Projects!$G$46="Yes",Projects!$X$46="Yes",Projects!$M$46="Yes",97&gt;=Projects!$C$46,97&lt;Projects!$C$46+Projects!$D$46),Projects!$B$46*INDEX(Curves!$B$4:$AR$4,1,97-Projects!$C$46+1),0)</f>
        <v>0</v>
      </c>
      <c r="CY101" s="298" t="n">
        <f aca="false">IF(AND(Projects!$G$17="Yes",Projects!$X$17="Yes",Projects!$M$17="Yes",98&gt;=Projects!$C$17,98&lt;Projects!$C$17+Projects!$D$17),Projects!$B$17*INDEX(Curves!$B$4:$AR$4,1,98-Projects!$C$17+1),0)+IF(AND(Projects!$G$18="Yes",Projects!$X$18="Yes",Projects!$M$18="Yes",98&gt;=Projects!$C$18,98&lt;Projects!$C$18+Projects!$D$18),Projects!$B$18*INDEX(Curves!$B$4:$AR$4,1,98-Projects!$C$18+1),0)+IF(AND(Projects!$G$19="Yes",Projects!$X$19="Yes",Projects!$M$19="Yes",98&gt;=Projects!$C$19,98&lt;Projects!$C$19+Projects!$D$19),Projects!$B$19*INDEX(Curves!$B$10:$AR$10,1,98-Projects!$C$19+1),0)+IF(AND(Projects!$G$20="Yes",Projects!$X$20="Yes",Projects!$M$20="Yes",98&gt;=Projects!$C$20,98&lt;Projects!$C$20+Projects!$D$20),Projects!$B$20*INDEX(Curves!$B$4:$AR$4,1,98-Projects!$C$20+1),0)+IF(AND(Projects!$G$21="Yes",Projects!$X$21="Yes",Projects!$M$21="Yes",98&gt;=Projects!$C$21,98&lt;Projects!$C$21+Projects!$D$21),Projects!$B$21*INDEX(Curves!$B$11:$AR$11,1,98-Projects!$C$21+1),0)+IF(AND(Projects!$G$22="Yes",Projects!$X$22="Yes",Projects!$M$22="Yes",98&gt;=Projects!$C$22,98&lt;Projects!$C$22+Projects!$D$22),Projects!$B$22*INDEX(Curves!$B$4:$AR$4,1,98-Projects!$C$22+1),0)+IF(AND(Projects!$G$23="Yes",Projects!$X$23="Yes",Projects!$M$23="Yes",98&gt;=Projects!$C$23,98&lt;Projects!$C$23+Projects!$D$23),Projects!$B$23*INDEX(Curves!$B$4:$AR$4,1,98-Projects!$C$23+1),0)+IF(AND(Projects!$G$24="Yes",Projects!$X$24="Yes",Projects!$M$24="Yes",98&gt;=Projects!$C$24,98&lt;Projects!$C$24+Projects!$D$24),Projects!$B$24*INDEX(Curves!$B$4:$AR$4,1,98-Projects!$C$24+1),0)+IF(AND(Projects!$G$25="Yes",Projects!$X$25="Yes",Projects!$M$25="Yes",98&gt;=Projects!$C$25,98&lt;Projects!$C$25+Projects!$D$25),Projects!$B$25*INDEX(Curves!$B$4:$AR$4,1,98-Projects!$C$25+1),0)+IF(AND(Projects!$G$26="Yes",Projects!$X$26="Yes",Projects!$M$26="Yes",98&gt;=Projects!$C$26,98&lt;Projects!$C$26+Projects!$D$26),Projects!$B$26*INDEX(Curves!$B$4:$AR$4,1,98-Projects!$C$26+1),0)+IF(AND(Projects!$G$27="Yes",Projects!$X$27="Yes",Projects!$M$27="Yes",98&gt;=Projects!$C$27,98&lt;Projects!$C$27+Projects!$D$27),Projects!$B$27*INDEX(Curves!$B$4:$AR$4,1,98-Projects!$C$27+1),0)+IF(AND(Projects!$G$28="Yes",Projects!$X$28="Yes",Projects!$M$28="Yes",98&gt;=Projects!$C$28,98&lt;Projects!$C$28+Projects!$D$28),Projects!$B$28*INDEX(Curves!$B$4:$AR$4,1,98-Projects!$C$28+1),0)+IF(AND(Projects!$G$29="Yes",Projects!$X$29="Yes",Projects!$M$29="Yes",98&gt;=Projects!$C$29,98&lt;Projects!$C$29+Projects!$D$29),Projects!$B$29*INDEX(Curves!$B$4:$AR$4,1,98-Projects!$C$29+1),0)+IF(AND(Projects!$G$30="Yes",Projects!$X$30="Yes",Projects!$M$30="Yes",98&gt;=Projects!$C$30,98&lt;Projects!$C$30+Projects!$D$30),Projects!$B$30*INDEX(Curves!$B$4:$AR$4,1,98-Projects!$C$30+1),0)+IF(AND(Projects!$G$31="Yes",Projects!$X$31="Yes",Projects!$M$31="Yes",98&gt;=Projects!$C$31,98&lt;Projects!$C$31+Projects!$D$31),Projects!$B$31*INDEX(Curves!$B$4:$AR$4,1,98-Projects!$C$31+1),0)+IF(AND(Projects!$G$32="Yes",Projects!$X$32="Yes",Projects!$M$32="Yes",98&gt;=Projects!$C$32,98&lt;Projects!$C$32+Projects!$D$32),Projects!$B$32*INDEX(Curves!$B$4:$AR$4,1,98-Projects!$C$32+1),0)+IF(AND(Projects!$G$33="Yes",Projects!$X$33="Yes",Projects!$M$33="Yes",98&gt;=Projects!$C$33,98&lt;Projects!$C$33+Projects!$D$33),Projects!$B$33*INDEX(Curves!$B$4:$AR$4,1,98-Projects!$C$33+1),0)+IF(AND(Projects!$G$34="Yes",Projects!$X$34="Yes",Projects!$M$34="Yes",98&gt;=Projects!$C$34,98&lt;Projects!$C$34+Projects!$D$34),Projects!$B$34*INDEX(Curves!$B$4:$AR$4,1,98-Projects!$C$34+1),0)+IF(AND(Projects!$G$35="Yes",Projects!$X$35="Yes",Projects!$M$35="Yes",98&gt;=Projects!$C$35,98&lt;Projects!$C$35+Projects!$D$35),Projects!$B$35*INDEX(Curves!$B$4:$AR$4,1,98-Projects!$C$35+1),0)+IF(AND(Projects!$G$36="Yes",Projects!$X$36="Yes",Projects!$M$36="Yes",98&gt;=Projects!$C$36,98&lt;Projects!$C$36+Projects!$D$36),Projects!$B$36*INDEX(Curves!$B$4:$AR$4,1,98-Projects!$C$36+1),0)+IF(AND(Projects!$G$37="Yes",Projects!$X$37="Yes",Projects!$M$37="Yes",98&gt;=Projects!$C$37,98&lt;Projects!$C$37+Projects!$D$37),Projects!$B$37*INDEX(Curves!$B$4:$AR$4,1,98-Projects!$C$37+1),0)+IF(AND(Projects!$G$38="Yes",Projects!$X$38="Yes",Projects!$M$38="Yes",98&gt;=Projects!$C$38,98&lt;Projects!$C$38+Projects!$D$38),Projects!$B$38*INDEX(Curves!$B$4:$AR$4,1,98-Projects!$C$38+1),0)+IF(AND(Projects!$G$39="Yes",Projects!$X$39="Yes",Projects!$M$39="Yes",98&gt;=Projects!$C$39,98&lt;Projects!$C$39+Projects!$D$39),Projects!$B$39*INDEX(Curves!$B$4:$AR$4,1,98-Projects!$C$39+1),0)+IF(AND(Projects!$G$40="Yes",Projects!$X$40="Yes",Projects!$M$40="Yes",98&gt;=Projects!$C$40,98&lt;Projects!$C$40+Projects!$D$40),Projects!$B$40*INDEX(Curves!$B$4:$AR$4,1,98-Projects!$C$40+1),0)+IF(AND(Projects!$G$41="Yes",Projects!$X$41="Yes",Projects!$M$41="Yes",98&gt;=Projects!$C$41,98&lt;Projects!$C$41+Projects!$D$41),Projects!$B$41*INDEX(Curves!$B$4:$AR$4,1,98-Projects!$C$41+1),0)+IF(AND(Projects!$G$42="Yes",Projects!$X$42="Yes",Projects!$M$42="Yes",98&gt;=Projects!$C$42,98&lt;Projects!$C$42+Projects!$D$42),Projects!$B$42*INDEX(Curves!$B$4:$AR$4,1,98-Projects!$C$42+1),0)+IF(AND(Projects!$G$43="Yes",Projects!$X$43="Yes",Projects!$M$43="Yes",98&gt;=Projects!$C$43,98&lt;Projects!$C$43+Projects!$D$43),Projects!$B$43*INDEX(Curves!$B$4:$AR$4,1,98-Projects!$C$43+1),0)+IF(AND(Projects!$G$44="Yes",Projects!$X$44="Yes",Projects!$M$44="Yes",98&gt;=Projects!$C$44,98&lt;Projects!$C$44+Projects!$D$44),Projects!$B$44*INDEX(Curves!$B$4:$AR$4,1,98-Projects!$C$44+1),0)+IF(AND(Projects!$G$45="Yes",Projects!$X$45="Yes",Projects!$M$45="Yes",98&gt;=Projects!$C$45,98&lt;Projects!$C$45+Projects!$D$45),Projects!$B$45*INDEX(Curves!$B$4:$AR$4,1,98-Projects!$C$45+1),0)+IF(AND(Projects!$G$46="Yes",Projects!$X$46="Yes",Projects!$M$46="Yes",98&gt;=Projects!$C$46,98&lt;Projects!$C$46+Projects!$D$46),Projects!$B$46*INDEX(Curves!$B$4:$AR$4,1,98-Projects!$C$46+1),0)</f>
        <v>0</v>
      </c>
      <c r="CZ101" s="298" t="n">
        <f aca="false">IF(AND(Projects!$G$17="Yes",Projects!$X$17="Yes",Projects!$M$17="Yes",99&gt;=Projects!$C$17,99&lt;Projects!$C$17+Projects!$D$17),Projects!$B$17*INDEX(Curves!$B$4:$AR$4,1,99-Projects!$C$17+1),0)+IF(AND(Projects!$G$18="Yes",Projects!$X$18="Yes",Projects!$M$18="Yes",99&gt;=Projects!$C$18,99&lt;Projects!$C$18+Projects!$D$18),Projects!$B$18*INDEX(Curves!$B$4:$AR$4,1,99-Projects!$C$18+1),0)+IF(AND(Projects!$G$19="Yes",Projects!$X$19="Yes",Projects!$M$19="Yes",99&gt;=Projects!$C$19,99&lt;Projects!$C$19+Projects!$D$19),Projects!$B$19*INDEX(Curves!$B$10:$AR$10,1,99-Projects!$C$19+1),0)+IF(AND(Projects!$G$20="Yes",Projects!$X$20="Yes",Projects!$M$20="Yes",99&gt;=Projects!$C$20,99&lt;Projects!$C$20+Projects!$D$20),Projects!$B$20*INDEX(Curves!$B$4:$AR$4,1,99-Projects!$C$20+1),0)+IF(AND(Projects!$G$21="Yes",Projects!$X$21="Yes",Projects!$M$21="Yes",99&gt;=Projects!$C$21,99&lt;Projects!$C$21+Projects!$D$21),Projects!$B$21*INDEX(Curves!$B$11:$AR$11,1,99-Projects!$C$21+1),0)+IF(AND(Projects!$G$22="Yes",Projects!$X$22="Yes",Projects!$M$22="Yes",99&gt;=Projects!$C$22,99&lt;Projects!$C$22+Projects!$D$22),Projects!$B$22*INDEX(Curves!$B$4:$AR$4,1,99-Projects!$C$22+1),0)+IF(AND(Projects!$G$23="Yes",Projects!$X$23="Yes",Projects!$M$23="Yes",99&gt;=Projects!$C$23,99&lt;Projects!$C$23+Projects!$D$23),Projects!$B$23*INDEX(Curves!$B$4:$AR$4,1,99-Projects!$C$23+1),0)+IF(AND(Projects!$G$24="Yes",Projects!$X$24="Yes",Projects!$M$24="Yes",99&gt;=Projects!$C$24,99&lt;Projects!$C$24+Projects!$D$24),Projects!$B$24*INDEX(Curves!$B$4:$AR$4,1,99-Projects!$C$24+1),0)+IF(AND(Projects!$G$25="Yes",Projects!$X$25="Yes",Projects!$M$25="Yes",99&gt;=Projects!$C$25,99&lt;Projects!$C$25+Projects!$D$25),Projects!$B$25*INDEX(Curves!$B$4:$AR$4,1,99-Projects!$C$25+1),0)+IF(AND(Projects!$G$26="Yes",Projects!$X$26="Yes",Projects!$M$26="Yes",99&gt;=Projects!$C$26,99&lt;Projects!$C$26+Projects!$D$26),Projects!$B$26*INDEX(Curves!$B$4:$AR$4,1,99-Projects!$C$26+1),0)+IF(AND(Projects!$G$27="Yes",Projects!$X$27="Yes",Projects!$M$27="Yes",99&gt;=Projects!$C$27,99&lt;Projects!$C$27+Projects!$D$27),Projects!$B$27*INDEX(Curves!$B$4:$AR$4,1,99-Projects!$C$27+1),0)+IF(AND(Projects!$G$28="Yes",Projects!$X$28="Yes",Projects!$M$28="Yes",99&gt;=Projects!$C$28,99&lt;Projects!$C$28+Projects!$D$28),Projects!$B$28*INDEX(Curves!$B$4:$AR$4,1,99-Projects!$C$28+1),0)+IF(AND(Projects!$G$29="Yes",Projects!$X$29="Yes",Projects!$M$29="Yes",99&gt;=Projects!$C$29,99&lt;Projects!$C$29+Projects!$D$29),Projects!$B$29*INDEX(Curves!$B$4:$AR$4,1,99-Projects!$C$29+1),0)+IF(AND(Projects!$G$30="Yes",Projects!$X$30="Yes",Projects!$M$30="Yes",99&gt;=Projects!$C$30,99&lt;Projects!$C$30+Projects!$D$30),Projects!$B$30*INDEX(Curves!$B$4:$AR$4,1,99-Projects!$C$30+1),0)+IF(AND(Projects!$G$31="Yes",Projects!$X$31="Yes",Projects!$M$31="Yes",99&gt;=Projects!$C$31,99&lt;Projects!$C$31+Projects!$D$31),Projects!$B$31*INDEX(Curves!$B$4:$AR$4,1,99-Projects!$C$31+1),0)+IF(AND(Projects!$G$32="Yes",Projects!$X$32="Yes",Projects!$M$32="Yes",99&gt;=Projects!$C$32,99&lt;Projects!$C$32+Projects!$D$32),Projects!$B$32*INDEX(Curves!$B$4:$AR$4,1,99-Projects!$C$32+1),0)+IF(AND(Projects!$G$33="Yes",Projects!$X$33="Yes",Projects!$M$33="Yes",99&gt;=Projects!$C$33,99&lt;Projects!$C$33+Projects!$D$33),Projects!$B$33*INDEX(Curves!$B$4:$AR$4,1,99-Projects!$C$33+1),0)+IF(AND(Projects!$G$34="Yes",Projects!$X$34="Yes",Projects!$M$34="Yes",99&gt;=Projects!$C$34,99&lt;Projects!$C$34+Projects!$D$34),Projects!$B$34*INDEX(Curves!$B$4:$AR$4,1,99-Projects!$C$34+1),0)+IF(AND(Projects!$G$35="Yes",Projects!$X$35="Yes",Projects!$M$35="Yes",99&gt;=Projects!$C$35,99&lt;Projects!$C$35+Projects!$D$35),Projects!$B$35*INDEX(Curves!$B$4:$AR$4,1,99-Projects!$C$35+1),0)+IF(AND(Projects!$G$36="Yes",Projects!$X$36="Yes",Projects!$M$36="Yes",99&gt;=Projects!$C$36,99&lt;Projects!$C$36+Projects!$D$36),Projects!$B$36*INDEX(Curves!$B$4:$AR$4,1,99-Projects!$C$36+1),0)+IF(AND(Projects!$G$37="Yes",Projects!$X$37="Yes",Projects!$M$37="Yes",99&gt;=Projects!$C$37,99&lt;Projects!$C$37+Projects!$D$37),Projects!$B$37*INDEX(Curves!$B$4:$AR$4,1,99-Projects!$C$37+1),0)+IF(AND(Projects!$G$38="Yes",Projects!$X$38="Yes",Projects!$M$38="Yes",99&gt;=Projects!$C$38,99&lt;Projects!$C$38+Projects!$D$38),Projects!$B$38*INDEX(Curves!$B$4:$AR$4,1,99-Projects!$C$38+1),0)+IF(AND(Projects!$G$39="Yes",Projects!$X$39="Yes",Projects!$M$39="Yes",99&gt;=Projects!$C$39,99&lt;Projects!$C$39+Projects!$D$39),Projects!$B$39*INDEX(Curves!$B$4:$AR$4,1,99-Projects!$C$39+1),0)+IF(AND(Projects!$G$40="Yes",Projects!$X$40="Yes",Projects!$M$40="Yes",99&gt;=Projects!$C$40,99&lt;Projects!$C$40+Projects!$D$40),Projects!$B$40*INDEX(Curves!$B$4:$AR$4,1,99-Projects!$C$40+1),0)+IF(AND(Projects!$G$41="Yes",Projects!$X$41="Yes",Projects!$M$41="Yes",99&gt;=Projects!$C$41,99&lt;Projects!$C$41+Projects!$D$41),Projects!$B$41*INDEX(Curves!$B$4:$AR$4,1,99-Projects!$C$41+1),0)+IF(AND(Projects!$G$42="Yes",Projects!$X$42="Yes",Projects!$M$42="Yes",99&gt;=Projects!$C$42,99&lt;Projects!$C$42+Projects!$D$42),Projects!$B$42*INDEX(Curves!$B$4:$AR$4,1,99-Projects!$C$42+1),0)+IF(AND(Projects!$G$43="Yes",Projects!$X$43="Yes",Projects!$M$43="Yes",99&gt;=Projects!$C$43,99&lt;Projects!$C$43+Projects!$D$43),Projects!$B$43*INDEX(Curves!$B$4:$AR$4,1,99-Projects!$C$43+1),0)+IF(AND(Projects!$G$44="Yes",Projects!$X$44="Yes",Projects!$M$44="Yes",99&gt;=Projects!$C$44,99&lt;Projects!$C$44+Projects!$D$44),Projects!$B$44*INDEX(Curves!$B$4:$AR$4,1,99-Projects!$C$44+1),0)+IF(AND(Projects!$G$45="Yes",Projects!$X$45="Yes",Projects!$M$45="Yes",99&gt;=Projects!$C$45,99&lt;Projects!$C$45+Projects!$D$45),Projects!$B$45*INDEX(Curves!$B$4:$AR$4,1,99-Projects!$C$45+1),0)+IF(AND(Projects!$G$46="Yes",Projects!$X$46="Yes",Projects!$M$46="Yes",99&gt;=Projects!$C$46,99&lt;Projects!$C$46+Projects!$D$46),Projects!$B$46*INDEX(Curves!$B$4:$AR$4,1,99-Projects!$C$46+1),0)</f>
        <v>0</v>
      </c>
      <c r="DA101" s="298" t="n">
        <f aca="false">IF(AND(Projects!$G$17="Yes",Projects!$X$17="Yes",Projects!$M$17="Yes",100&gt;=Projects!$C$17,100&lt;Projects!$C$17+Projects!$D$17),Projects!$B$17*INDEX(Curves!$B$4:$AR$4,1,100-Projects!$C$17+1),0)+IF(AND(Projects!$G$18="Yes",Projects!$X$18="Yes",Projects!$M$18="Yes",100&gt;=Projects!$C$18,100&lt;Projects!$C$18+Projects!$D$18),Projects!$B$18*INDEX(Curves!$B$4:$AR$4,1,100-Projects!$C$18+1),0)+IF(AND(Projects!$G$19="Yes",Projects!$X$19="Yes",Projects!$M$19="Yes",100&gt;=Projects!$C$19,100&lt;Projects!$C$19+Projects!$D$19),Projects!$B$19*INDEX(Curves!$B$10:$AR$10,1,100-Projects!$C$19+1),0)+IF(AND(Projects!$G$20="Yes",Projects!$X$20="Yes",Projects!$M$20="Yes",100&gt;=Projects!$C$20,100&lt;Projects!$C$20+Projects!$D$20),Projects!$B$20*INDEX(Curves!$B$4:$AR$4,1,100-Projects!$C$20+1),0)+IF(AND(Projects!$G$21="Yes",Projects!$X$21="Yes",Projects!$M$21="Yes",100&gt;=Projects!$C$21,100&lt;Projects!$C$21+Projects!$D$21),Projects!$B$21*INDEX(Curves!$B$11:$AR$11,1,100-Projects!$C$21+1),0)+IF(AND(Projects!$G$22="Yes",Projects!$X$22="Yes",Projects!$M$22="Yes",100&gt;=Projects!$C$22,100&lt;Projects!$C$22+Projects!$D$22),Projects!$B$22*INDEX(Curves!$B$4:$AR$4,1,100-Projects!$C$22+1),0)+IF(AND(Projects!$G$23="Yes",Projects!$X$23="Yes",Projects!$M$23="Yes",100&gt;=Projects!$C$23,100&lt;Projects!$C$23+Projects!$D$23),Projects!$B$23*INDEX(Curves!$B$4:$AR$4,1,100-Projects!$C$23+1),0)+IF(AND(Projects!$G$24="Yes",Projects!$X$24="Yes",Projects!$M$24="Yes",100&gt;=Projects!$C$24,100&lt;Projects!$C$24+Projects!$D$24),Projects!$B$24*INDEX(Curves!$B$4:$AR$4,1,100-Projects!$C$24+1),0)+IF(AND(Projects!$G$25="Yes",Projects!$X$25="Yes",Projects!$M$25="Yes",100&gt;=Projects!$C$25,100&lt;Projects!$C$25+Projects!$D$25),Projects!$B$25*INDEX(Curves!$B$4:$AR$4,1,100-Projects!$C$25+1),0)+IF(AND(Projects!$G$26="Yes",Projects!$X$26="Yes",Projects!$M$26="Yes",100&gt;=Projects!$C$26,100&lt;Projects!$C$26+Projects!$D$26),Projects!$B$26*INDEX(Curves!$B$4:$AR$4,1,100-Projects!$C$26+1),0)+IF(AND(Projects!$G$27="Yes",Projects!$X$27="Yes",Projects!$M$27="Yes",100&gt;=Projects!$C$27,100&lt;Projects!$C$27+Projects!$D$27),Projects!$B$27*INDEX(Curves!$B$4:$AR$4,1,100-Projects!$C$27+1),0)+IF(AND(Projects!$G$28="Yes",Projects!$X$28="Yes",Projects!$M$28="Yes",100&gt;=Projects!$C$28,100&lt;Projects!$C$28+Projects!$D$28),Projects!$B$28*INDEX(Curves!$B$4:$AR$4,1,100-Projects!$C$28+1),0)+IF(AND(Projects!$G$29="Yes",Projects!$X$29="Yes",Projects!$M$29="Yes",100&gt;=Projects!$C$29,100&lt;Projects!$C$29+Projects!$D$29),Projects!$B$29*INDEX(Curves!$B$4:$AR$4,1,100-Projects!$C$29+1),0)+IF(AND(Projects!$G$30="Yes",Projects!$X$30="Yes",Projects!$M$30="Yes",100&gt;=Projects!$C$30,100&lt;Projects!$C$30+Projects!$D$30),Projects!$B$30*INDEX(Curves!$B$4:$AR$4,1,100-Projects!$C$30+1),0)+IF(AND(Projects!$G$31="Yes",Projects!$X$31="Yes",Projects!$M$31="Yes",100&gt;=Projects!$C$31,100&lt;Projects!$C$31+Projects!$D$31),Projects!$B$31*INDEX(Curves!$B$4:$AR$4,1,100-Projects!$C$31+1),0)+IF(AND(Projects!$G$32="Yes",Projects!$X$32="Yes",Projects!$M$32="Yes",100&gt;=Projects!$C$32,100&lt;Projects!$C$32+Projects!$D$32),Projects!$B$32*INDEX(Curves!$B$4:$AR$4,1,100-Projects!$C$32+1),0)+IF(AND(Projects!$G$33="Yes",Projects!$X$33="Yes",Projects!$M$33="Yes",100&gt;=Projects!$C$33,100&lt;Projects!$C$33+Projects!$D$33),Projects!$B$33*INDEX(Curves!$B$4:$AR$4,1,100-Projects!$C$33+1),0)+IF(AND(Projects!$G$34="Yes",Projects!$X$34="Yes",Projects!$M$34="Yes",100&gt;=Projects!$C$34,100&lt;Projects!$C$34+Projects!$D$34),Projects!$B$34*INDEX(Curves!$B$4:$AR$4,1,100-Projects!$C$34+1),0)+IF(AND(Projects!$G$35="Yes",Projects!$X$35="Yes",Projects!$M$35="Yes",100&gt;=Projects!$C$35,100&lt;Projects!$C$35+Projects!$D$35),Projects!$B$35*INDEX(Curves!$B$4:$AR$4,1,100-Projects!$C$35+1),0)+IF(AND(Projects!$G$36="Yes",Projects!$X$36="Yes",Projects!$M$36="Yes",100&gt;=Projects!$C$36,100&lt;Projects!$C$36+Projects!$D$36),Projects!$B$36*INDEX(Curves!$B$4:$AR$4,1,100-Projects!$C$36+1),0)+IF(AND(Projects!$G$37="Yes",Projects!$X$37="Yes",Projects!$M$37="Yes",100&gt;=Projects!$C$37,100&lt;Projects!$C$37+Projects!$D$37),Projects!$B$37*INDEX(Curves!$B$4:$AR$4,1,100-Projects!$C$37+1),0)+IF(AND(Projects!$G$38="Yes",Projects!$X$38="Yes",Projects!$M$38="Yes",100&gt;=Projects!$C$38,100&lt;Projects!$C$38+Projects!$D$38),Projects!$B$38*INDEX(Curves!$B$4:$AR$4,1,100-Projects!$C$38+1),0)+IF(AND(Projects!$G$39="Yes",Projects!$X$39="Yes",Projects!$M$39="Yes",100&gt;=Projects!$C$39,100&lt;Projects!$C$39+Projects!$D$39),Projects!$B$39*INDEX(Curves!$B$4:$AR$4,1,100-Projects!$C$39+1),0)+IF(AND(Projects!$G$40="Yes",Projects!$X$40="Yes",Projects!$M$40="Yes",100&gt;=Projects!$C$40,100&lt;Projects!$C$40+Projects!$D$40),Projects!$B$40*INDEX(Curves!$B$4:$AR$4,1,100-Projects!$C$40+1),0)+IF(AND(Projects!$G$41="Yes",Projects!$X$41="Yes",Projects!$M$41="Yes",100&gt;=Projects!$C$41,100&lt;Projects!$C$41+Projects!$D$41),Projects!$B$41*INDEX(Curves!$B$4:$AR$4,1,100-Projects!$C$41+1),0)+IF(AND(Projects!$G$42="Yes",Projects!$X$42="Yes",Projects!$M$42="Yes",100&gt;=Projects!$C$42,100&lt;Projects!$C$42+Projects!$D$42),Projects!$B$42*INDEX(Curves!$B$4:$AR$4,1,100-Projects!$C$42+1),0)+IF(AND(Projects!$G$43="Yes",Projects!$X$43="Yes",Projects!$M$43="Yes",100&gt;=Projects!$C$43,100&lt;Projects!$C$43+Projects!$D$43),Projects!$B$43*INDEX(Curves!$B$4:$AR$4,1,100-Projects!$C$43+1),0)+IF(AND(Projects!$G$44="Yes",Projects!$X$44="Yes",Projects!$M$44="Yes",100&gt;=Projects!$C$44,100&lt;Projects!$C$44+Projects!$D$44),Projects!$B$44*INDEX(Curves!$B$4:$AR$4,1,100-Projects!$C$44+1),0)+IF(AND(Projects!$G$45="Yes",Projects!$X$45="Yes",Projects!$M$45="Yes",100&gt;=Projects!$C$45,100&lt;Projects!$C$45+Projects!$D$45),Projects!$B$45*INDEX(Curves!$B$4:$AR$4,1,100-Projects!$C$45+1),0)+IF(AND(Projects!$G$46="Yes",Projects!$X$46="Yes",Projects!$M$46="Yes",100&gt;=Projects!$C$46,100&lt;Projects!$C$46+Projects!$D$46),Projects!$B$46*INDEX(Curves!$B$4:$AR$4,1,100-Projects!$C$46+1),0)</f>
        <v>0</v>
      </c>
      <c r="DB101" s="298" t="n">
        <f aca="false">IF(AND(Projects!$G$17="Yes",Projects!$X$17="Yes",Projects!$M$17="Yes",101&gt;=Projects!$C$17,101&lt;Projects!$C$17+Projects!$D$17),Projects!$B$17*INDEX(Curves!$B$4:$AR$4,1,101-Projects!$C$17+1),0)+IF(AND(Projects!$G$18="Yes",Projects!$X$18="Yes",Projects!$M$18="Yes",101&gt;=Projects!$C$18,101&lt;Projects!$C$18+Projects!$D$18),Projects!$B$18*INDEX(Curves!$B$4:$AR$4,1,101-Projects!$C$18+1),0)+IF(AND(Projects!$G$19="Yes",Projects!$X$19="Yes",Projects!$M$19="Yes",101&gt;=Projects!$C$19,101&lt;Projects!$C$19+Projects!$D$19),Projects!$B$19*INDEX(Curves!$B$10:$AR$10,1,101-Projects!$C$19+1),0)+IF(AND(Projects!$G$20="Yes",Projects!$X$20="Yes",Projects!$M$20="Yes",101&gt;=Projects!$C$20,101&lt;Projects!$C$20+Projects!$D$20),Projects!$B$20*INDEX(Curves!$B$4:$AR$4,1,101-Projects!$C$20+1),0)+IF(AND(Projects!$G$21="Yes",Projects!$X$21="Yes",Projects!$M$21="Yes",101&gt;=Projects!$C$21,101&lt;Projects!$C$21+Projects!$D$21),Projects!$B$21*INDEX(Curves!$B$11:$AR$11,1,101-Projects!$C$21+1),0)+IF(AND(Projects!$G$22="Yes",Projects!$X$22="Yes",Projects!$M$22="Yes",101&gt;=Projects!$C$22,101&lt;Projects!$C$22+Projects!$D$22),Projects!$B$22*INDEX(Curves!$B$4:$AR$4,1,101-Projects!$C$22+1),0)+IF(AND(Projects!$G$23="Yes",Projects!$X$23="Yes",Projects!$M$23="Yes",101&gt;=Projects!$C$23,101&lt;Projects!$C$23+Projects!$D$23),Projects!$B$23*INDEX(Curves!$B$4:$AR$4,1,101-Projects!$C$23+1),0)+IF(AND(Projects!$G$24="Yes",Projects!$X$24="Yes",Projects!$M$24="Yes",101&gt;=Projects!$C$24,101&lt;Projects!$C$24+Projects!$D$24),Projects!$B$24*INDEX(Curves!$B$4:$AR$4,1,101-Projects!$C$24+1),0)+IF(AND(Projects!$G$25="Yes",Projects!$X$25="Yes",Projects!$M$25="Yes",101&gt;=Projects!$C$25,101&lt;Projects!$C$25+Projects!$D$25),Projects!$B$25*INDEX(Curves!$B$4:$AR$4,1,101-Projects!$C$25+1),0)+IF(AND(Projects!$G$26="Yes",Projects!$X$26="Yes",Projects!$M$26="Yes",101&gt;=Projects!$C$26,101&lt;Projects!$C$26+Projects!$D$26),Projects!$B$26*INDEX(Curves!$B$4:$AR$4,1,101-Projects!$C$26+1),0)+IF(AND(Projects!$G$27="Yes",Projects!$X$27="Yes",Projects!$M$27="Yes",101&gt;=Projects!$C$27,101&lt;Projects!$C$27+Projects!$D$27),Projects!$B$27*INDEX(Curves!$B$4:$AR$4,1,101-Projects!$C$27+1),0)+IF(AND(Projects!$G$28="Yes",Projects!$X$28="Yes",Projects!$M$28="Yes",101&gt;=Projects!$C$28,101&lt;Projects!$C$28+Projects!$D$28),Projects!$B$28*INDEX(Curves!$B$4:$AR$4,1,101-Projects!$C$28+1),0)+IF(AND(Projects!$G$29="Yes",Projects!$X$29="Yes",Projects!$M$29="Yes",101&gt;=Projects!$C$29,101&lt;Projects!$C$29+Projects!$D$29),Projects!$B$29*INDEX(Curves!$B$4:$AR$4,1,101-Projects!$C$29+1),0)+IF(AND(Projects!$G$30="Yes",Projects!$X$30="Yes",Projects!$M$30="Yes",101&gt;=Projects!$C$30,101&lt;Projects!$C$30+Projects!$D$30),Projects!$B$30*INDEX(Curves!$B$4:$AR$4,1,101-Projects!$C$30+1),0)+IF(AND(Projects!$G$31="Yes",Projects!$X$31="Yes",Projects!$M$31="Yes",101&gt;=Projects!$C$31,101&lt;Projects!$C$31+Projects!$D$31),Projects!$B$31*INDEX(Curves!$B$4:$AR$4,1,101-Projects!$C$31+1),0)+IF(AND(Projects!$G$32="Yes",Projects!$X$32="Yes",Projects!$M$32="Yes",101&gt;=Projects!$C$32,101&lt;Projects!$C$32+Projects!$D$32),Projects!$B$32*INDEX(Curves!$B$4:$AR$4,1,101-Projects!$C$32+1),0)+IF(AND(Projects!$G$33="Yes",Projects!$X$33="Yes",Projects!$M$33="Yes",101&gt;=Projects!$C$33,101&lt;Projects!$C$33+Projects!$D$33),Projects!$B$33*INDEX(Curves!$B$4:$AR$4,1,101-Projects!$C$33+1),0)+IF(AND(Projects!$G$34="Yes",Projects!$X$34="Yes",Projects!$M$34="Yes",101&gt;=Projects!$C$34,101&lt;Projects!$C$34+Projects!$D$34),Projects!$B$34*INDEX(Curves!$B$4:$AR$4,1,101-Projects!$C$34+1),0)+IF(AND(Projects!$G$35="Yes",Projects!$X$35="Yes",Projects!$M$35="Yes",101&gt;=Projects!$C$35,101&lt;Projects!$C$35+Projects!$D$35),Projects!$B$35*INDEX(Curves!$B$4:$AR$4,1,101-Projects!$C$35+1),0)+IF(AND(Projects!$G$36="Yes",Projects!$X$36="Yes",Projects!$M$36="Yes",101&gt;=Projects!$C$36,101&lt;Projects!$C$36+Projects!$D$36),Projects!$B$36*INDEX(Curves!$B$4:$AR$4,1,101-Projects!$C$36+1),0)+IF(AND(Projects!$G$37="Yes",Projects!$X$37="Yes",Projects!$M$37="Yes",101&gt;=Projects!$C$37,101&lt;Projects!$C$37+Projects!$D$37),Projects!$B$37*INDEX(Curves!$B$4:$AR$4,1,101-Projects!$C$37+1),0)+IF(AND(Projects!$G$38="Yes",Projects!$X$38="Yes",Projects!$M$38="Yes",101&gt;=Projects!$C$38,101&lt;Projects!$C$38+Projects!$D$38),Projects!$B$38*INDEX(Curves!$B$4:$AR$4,1,101-Projects!$C$38+1),0)+IF(AND(Projects!$G$39="Yes",Projects!$X$39="Yes",Projects!$M$39="Yes",101&gt;=Projects!$C$39,101&lt;Projects!$C$39+Projects!$D$39),Projects!$B$39*INDEX(Curves!$B$4:$AR$4,1,101-Projects!$C$39+1),0)+IF(AND(Projects!$G$40="Yes",Projects!$X$40="Yes",Projects!$M$40="Yes",101&gt;=Projects!$C$40,101&lt;Projects!$C$40+Projects!$D$40),Projects!$B$40*INDEX(Curves!$B$4:$AR$4,1,101-Projects!$C$40+1),0)+IF(AND(Projects!$G$41="Yes",Projects!$X$41="Yes",Projects!$M$41="Yes",101&gt;=Projects!$C$41,101&lt;Projects!$C$41+Projects!$D$41),Projects!$B$41*INDEX(Curves!$B$4:$AR$4,1,101-Projects!$C$41+1),0)+IF(AND(Projects!$G$42="Yes",Projects!$X$42="Yes",Projects!$M$42="Yes",101&gt;=Projects!$C$42,101&lt;Projects!$C$42+Projects!$D$42),Projects!$B$42*INDEX(Curves!$B$4:$AR$4,1,101-Projects!$C$42+1),0)+IF(AND(Projects!$G$43="Yes",Projects!$X$43="Yes",Projects!$M$43="Yes",101&gt;=Projects!$C$43,101&lt;Projects!$C$43+Projects!$D$43),Projects!$B$43*INDEX(Curves!$B$4:$AR$4,1,101-Projects!$C$43+1),0)+IF(AND(Projects!$G$44="Yes",Projects!$X$44="Yes",Projects!$M$44="Yes",101&gt;=Projects!$C$44,101&lt;Projects!$C$44+Projects!$D$44),Projects!$B$44*INDEX(Curves!$B$4:$AR$4,1,101-Projects!$C$44+1),0)+IF(AND(Projects!$G$45="Yes",Projects!$X$45="Yes",Projects!$M$45="Yes",101&gt;=Projects!$C$45,101&lt;Projects!$C$45+Projects!$D$45),Projects!$B$45*INDEX(Curves!$B$4:$AR$4,1,101-Projects!$C$45+1),0)+IF(AND(Projects!$G$46="Yes",Projects!$X$46="Yes",Projects!$M$46="Yes",101&gt;=Projects!$C$46,101&lt;Projects!$C$46+Projects!$D$46),Projects!$B$46*INDEX(Curves!$B$4:$AR$4,1,101-Projects!$C$46+1),0)</f>
        <v>0</v>
      </c>
      <c r="DC101" s="298" t="n">
        <f aca="false">IF(AND(Projects!$G$17="Yes",Projects!$X$17="Yes",Projects!$M$17="Yes",102&gt;=Projects!$C$17,102&lt;Projects!$C$17+Projects!$D$17),Projects!$B$17*INDEX(Curves!$B$4:$AR$4,1,102-Projects!$C$17+1),0)+IF(AND(Projects!$G$18="Yes",Projects!$X$18="Yes",Projects!$M$18="Yes",102&gt;=Projects!$C$18,102&lt;Projects!$C$18+Projects!$D$18),Projects!$B$18*INDEX(Curves!$B$4:$AR$4,1,102-Projects!$C$18+1),0)+IF(AND(Projects!$G$19="Yes",Projects!$X$19="Yes",Projects!$M$19="Yes",102&gt;=Projects!$C$19,102&lt;Projects!$C$19+Projects!$D$19),Projects!$B$19*INDEX(Curves!$B$10:$AR$10,1,102-Projects!$C$19+1),0)+IF(AND(Projects!$G$20="Yes",Projects!$X$20="Yes",Projects!$M$20="Yes",102&gt;=Projects!$C$20,102&lt;Projects!$C$20+Projects!$D$20),Projects!$B$20*INDEX(Curves!$B$4:$AR$4,1,102-Projects!$C$20+1),0)+IF(AND(Projects!$G$21="Yes",Projects!$X$21="Yes",Projects!$M$21="Yes",102&gt;=Projects!$C$21,102&lt;Projects!$C$21+Projects!$D$21),Projects!$B$21*INDEX(Curves!$B$11:$AR$11,1,102-Projects!$C$21+1),0)+IF(AND(Projects!$G$22="Yes",Projects!$X$22="Yes",Projects!$M$22="Yes",102&gt;=Projects!$C$22,102&lt;Projects!$C$22+Projects!$D$22),Projects!$B$22*INDEX(Curves!$B$4:$AR$4,1,102-Projects!$C$22+1),0)+IF(AND(Projects!$G$23="Yes",Projects!$X$23="Yes",Projects!$M$23="Yes",102&gt;=Projects!$C$23,102&lt;Projects!$C$23+Projects!$D$23),Projects!$B$23*INDEX(Curves!$B$4:$AR$4,1,102-Projects!$C$23+1),0)+IF(AND(Projects!$G$24="Yes",Projects!$X$24="Yes",Projects!$M$24="Yes",102&gt;=Projects!$C$24,102&lt;Projects!$C$24+Projects!$D$24),Projects!$B$24*INDEX(Curves!$B$4:$AR$4,1,102-Projects!$C$24+1),0)+IF(AND(Projects!$G$25="Yes",Projects!$X$25="Yes",Projects!$M$25="Yes",102&gt;=Projects!$C$25,102&lt;Projects!$C$25+Projects!$D$25),Projects!$B$25*INDEX(Curves!$B$4:$AR$4,1,102-Projects!$C$25+1),0)+IF(AND(Projects!$G$26="Yes",Projects!$X$26="Yes",Projects!$M$26="Yes",102&gt;=Projects!$C$26,102&lt;Projects!$C$26+Projects!$D$26),Projects!$B$26*INDEX(Curves!$B$4:$AR$4,1,102-Projects!$C$26+1),0)+IF(AND(Projects!$G$27="Yes",Projects!$X$27="Yes",Projects!$M$27="Yes",102&gt;=Projects!$C$27,102&lt;Projects!$C$27+Projects!$D$27),Projects!$B$27*INDEX(Curves!$B$4:$AR$4,1,102-Projects!$C$27+1),0)+IF(AND(Projects!$G$28="Yes",Projects!$X$28="Yes",Projects!$M$28="Yes",102&gt;=Projects!$C$28,102&lt;Projects!$C$28+Projects!$D$28),Projects!$B$28*INDEX(Curves!$B$4:$AR$4,1,102-Projects!$C$28+1),0)+IF(AND(Projects!$G$29="Yes",Projects!$X$29="Yes",Projects!$M$29="Yes",102&gt;=Projects!$C$29,102&lt;Projects!$C$29+Projects!$D$29),Projects!$B$29*INDEX(Curves!$B$4:$AR$4,1,102-Projects!$C$29+1),0)+IF(AND(Projects!$G$30="Yes",Projects!$X$30="Yes",Projects!$M$30="Yes",102&gt;=Projects!$C$30,102&lt;Projects!$C$30+Projects!$D$30),Projects!$B$30*INDEX(Curves!$B$4:$AR$4,1,102-Projects!$C$30+1),0)+IF(AND(Projects!$G$31="Yes",Projects!$X$31="Yes",Projects!$M$31="Yes",102&gt;=Projects!$C$31,102&lt;Projects!$C$31+Projects!$D$31),Projects!$B$31*INDEX(Curves!$B$4:$AR$4,1,102-Projects!$C$31+1),0)+IF(AND(Projects!$G$32="Yes",Projects!$X$32="Yes",Projects!$M$32="Yes",102&gt;=Projects!$C$32,102&lt;Projects!$C$32+Projects!$D$32),Projects!$B$32*INDEX(Curves!$B$4:$AR$4,1,102-Projects!$C$32+1),0)+IF(AND(Projects!$G$33="Yes",Projects!$X$33="Yes",Projects!$M$33="Yes",102&gt;=Projects!$C$33,102&lt;Projects!$C$33+Projects!$D$33),Projects!$B$33*INDEX(Curves!$B$4:$AR$4,1,102-Projects!$C$33+1),0)+IF(AND(Projects!$G$34="Yes",Projects!$X$34="Yes",Projects!$M$34="Yes",102&gt;=Projects!$C$34,102&lt;Projects!$C$34+Projects!$D$34),Projects!$B$34*INDEX(Curves!$B$4:$AR$4,1,102-Projects!$C$34+1),0)+IF(AND(Projects!$G$35="Yes",Projects!$X$35="Yes",Projects!$M$35="Yes",102&gt;=Projects!$C$35,102&lt;Projects!$C$35+Projects!$D$35),Projects!$B$35*INDEX(Curves!$B$4:$AR$4,1,102-Projects!$C$35+1),0)+IF(AND(Projects!$G$36="Yes",Projects!$X$36="Yes",Projects!$M$36="Yes",102&gt;=Projects!$C$36,102&lt;Projects!$C$36+Projects!$D$36),Projects!$B$36*INDEX(Curves!$B$4:$AR$4,1,102-Projects!$C$36+1),0)+IF(AND(Projects!$G$37="Yes",Projects!$X$37="Yes",Projects!$M$37="Yes",102&gt;=Projects!$C$37,102&lt;Projects!$C$37+Projects!$D$37),Projects!$B$37*INDEX(Curves!$B$4:$AR$4,1,102-Projects!$C$37+1),0)+IF(AND(Projects!$G$38="Yes",Projects!$X$38="Yes",Projects!$M$38="Yes",102&gt;=Projects!$C$38,102&lt;Projects!$C$38+Projects!$D$38),Projects!$B$38*INDEX(Curves!$B$4:$AR$4,1,102-Projects!$C$38+1),0)+IF(AND(Projects!$G$39="Yes",Projects!$X$39="Yes",Projects!$M$39="Yes",102&gt;=Projects!$C$39,102&lt;Projects!$C$39+Projects!$D$39),Projects!$B$39*INDEX(Curves!$B$4:$AR$4,1,102-Projects!$C$39+1),0)+IF(AND(Projects!$G$40="Yes",Projects!$X$40="Yes",Projects!$M$40="Yes",102&gt;=Projects!$C$40,102&lt;Projects!$C$40+Projects!$D$40),Projects!$B$40*INDEX(Curves!$B$4:$AR$4,1,102-Projects!$C$40+1),0)+IF(AND(Projects!$G$41="Yes",Projects!$X$41="Yes",Projects!$M$41="Yes",102&gt;=Projects!$C$41,102&lt;Projects!$C$41+Projects!$D$41),Projects!$B$41*INDEX(Curves!$B$4:$AR$4,1,102-Projects!$C$41+1),0)+IF(AND(Projects!$G$42="Yes",Projects!$X$42="Yes",Projects!$M$42="Yes",102&gt;=Projects!$C$42,102&lt;Projects!$C$42+Projects!$D$42),Projects!$B$42*INDEX(Curves!$B$4:$AR$4,1,102-Projects!$C$42+1),0)+IF(AND(Projects!$G$43="Yes",Projects!$X$43="Yes",Projects!$M$43="Yes",102&gt;=Projects!$C$43,102&lt;Projects!$C$43+Projects!$D$43),Projects!$B$43*INDEX(Curves!$B$4:$AR$4,1,102-Projects!$C$43+1),0)+IF(AND(Projects!$G$44="Yes",Projects!$X$44="Yes",Projects!$M$44="Yes",102&gt;=Projects!$C$44,102&lt;Projects!$C$44+Projects!$D$44),Projects!$B$44*INDEX(Curves!$B$4:$AR$4,1,102-Projects!$C$44+1),0)+IF(AND(Projects!$G$45="Yes",Projects!$X$45="Yes",Projects!$M$45="Yes",102&gt;=Projects!$C$45,102&lt;Projects!$C$45+Projects!$D$45),Projects!$B$45*INDEX(Curves!$B$4:$AR$4,1,102-Projects!$C$45+1),0)+IF(AND(Projects!$G$46="Yes",Projects!$X$46="Yes",Projects!$M$46="Yes",102&gt;=Projects!$C$46,102&lt;Projects!$C$46+Projects!$D$46),Projects!$B$46*INDEX(Curves!$B$4:$AR$4,1,102-Projects!$C$46+1),0)</f>
        <v>0</v>
      </c>
      <c r="DD101" s="298" t="n">
        <f aca="false">IF(AND(Projects!$G$17="Yes",Projects!$X$17="Yes",Projects!$M$17="Yes",103&gt;=Projects!$C$17,103&lt;Projects!$C$17+Projects!$D$17),Projects!$B$17*INDEX(Curves!$B$4:$AR$4,1,103-Projects!$C$17+1),0)+IF(AND(Projects!$G$18="Yes",Projects!$X$18="Yes",Projects!$M$18="Yes",103&gt;=Projects!$C$18,103&lt;Projects!$C$18+Projects!$D$18),Projects!$B$18*INDEX(Curves!$B$4:$AR$4,1,103-Projects!$C$18+1),0)+IF(AND(Projects!$G$19="Yes",Projects!$X$19="Yes",Projects!$M$19="Yes",103&gt;=Projects!$C$19,103&lt;Projects!$C$19+Projects!$D$19),Projects!$B$19*INDEX(Curves!$B$10:$AR$10,1,103-Projects!$C$19+1),0)+IF(AND(Projects!$G$20="Yes",Projects!$X$20="Yes",Projects!$M$20="Yes",103&gt;=Projects!$C$20,103&lt;Projects!$C$20+Projects!$D$20),Projects!$B$20*INDEX(Curves!$B$4:$AR$4,1,103-Projects!$C$20+1),0)+IF(AND(Projects!$G$21="Yes",Projects!$X$21="Yes",Projects!$M$21="Yes",103&gt;=Projects!$C$21,103&lt;Projects!$C$21+Projects!$D$21),Projects!$B$21*INDEX(Curves!$B$11:$AR$11,1,103-Projects!$C$21+1),0)+IF(AND(Projects!$G$22="Yes",Projects!$X$22="Yes",Projects!$M$22="Yes",103&gt;=Projects!$C$22,103&lt;Projects!$C$22+Projects!$D$22),Projects!$B$22*INDEX(Curves!$B$4:$AR$4,1,103-Projects!$C$22+1),0)+IF(AND(Projects!$G$23="Yes",Projects!$X$23="Yes",Projects!$M$23="Yes",103&gt;=Projects!$C$23,103&lt;Projects!$C$23+Projects!$D$23),Projects!$B$23*INDEX(Curves!$B$4:$AR$4,1,103-Projects!$C$23+1),0)+IF(AND(Projects!$G$24="Yes",Projects!$X$24="Yes",Projects!$M$24="Yes",103&gt;=Projects!$C$24,103&lt;Projects!$C$24+Projects!$D$24),Projects!$B$24*INDEX(Curves!$B$4:$AR$4,1,103-Projects!$C$24+1),0)+IF(AND(Projects!$G$25="Yes",Projects!$X$25="Yes",Projects!$M$25="Yes",103&gt;=Projects!$C$25,103&lt;Projects!$C$25+Projects!$D$25),Projects!$B$25*INDEX(Curves!$B$4:$AR$4,1,103-Projects!$C$25+1),0)+IF(AND(Projects!$G$26="Yes",Projects!$X$26="Yes",Projects!$M$26="Yes",103&gt;=Projects!$C$26,103&lt;Projects!$C$26+Projects!$D$26),Projects!$B$26*INDEX(Curves!$B$4:$AR$4,1,103-Projects!$C$26+1),0)+IF(AND(Projects!$G$27="Yes",Projects!$X$27="Yes",Projects!$M$27="Yes",103&gt;=Projects!$C$27,103&lt;Projects!$C$27+Projects!$D$27),Projects!$B$27*INDEX(Curves!$B$4:$AR$4,1,103-Projects!$C$27+1),0)+IF(AND(Projects!$G$28="Yes",Projects!$X$28="Yes",Projects!$M$28="Yes",103&gt;=Projects!$C$28,103&lt;Projects!$C$28+Projects!$D$28),Projects!$B$28*INDEX(Curves!$B$4:$AR$4,1,103-Projects!$C$28+1),0)+IF(AND(Projects!$G$29="Yes",Projects!$X$29="Yes",Projects!$M$29="Yes",103&gt;=Projects!$C$29,103&lt;Projects!$C$29+Projects!$D$29),Projects!$B$29*INDEX(Curves!$B$4:$AR$4,1,103-Projects!$C$29+1),0)+IF(AND(Projects!$G$30="Yes",Projects!$X$30="Yes",Projects!$M$30="Yes",103&gt;=Projects!$C$30,103&lt;Projects!$C$30+Projects!$D$30),Projects!$B$30*INDEX(Curves!$B$4:$AR$4,1,103-Projects!$C$30+1),0)+IF(AND(Projects!$G$31="Yes",Projects!$X$31="Yes",Projects!$M$31="Yes",103&gt;=Projects!$C$31,103&lt;Projects!$C$31+Projects!$D$31),Projects!$B$31*INDEX(Curves!$B$4:$AR$4,1,103-Projects!$C$31+1),0)+IF(AND(Projects!$G$32="Yes",Projects!$X$32="Yes",Projects!$M$32="Yes",103&gt;=Projects!$C$32,103&lt;Projects!$C$32+Projects!$D$32),Projects!$B$32*INDEX(Curves!$B$4:$AR$4,1,103-Projects!$C$32+1),0)+IF(AND(Projects!$G$33="Yes",Projects!$X$33="Yes",Projects!$M$33="Yes",103&gt;=Projects!$C$33,103&lt;Projects!$C$33+Projects!$D$33),Projects!$B$33*INDEX(Curves!$B$4:$AR$4,1,103-Projects!$C$33+1),0)+IF(AND(Projects!$G$34="Yes",Projects!$X$34="Yes",Projects!$M$34="Yes",103&gt;=Projects!$C$34,103&lt;Projects!$C$34+Projects!$D$34),Projects!$B$34*INDEX(Curves!$B$4:$AR$4,1,103-Projects!$C$34+1),0)+IF(AND(Projects!$G$35="Yes",Projects!$X$35="Yes",Projects!$M$35="Yes",103&gt;=Projects!$C$35,103&lt;Projects!$C$35+Projects!$D$35),Projects!$B$35*INDEX(Curves!$B$4:$AR$4,1,103-Projects!$C$35+1),0)+IF(AND(Projects!$G$36="Yes",Projects!$X$36="Yes",Projects!$M$36="Yes",103&gt;=Projects!$C$36,103&lt;Projects!$C$36+Projects!$D$36),Projects!$B$36*INDEX(Curves!$B$4:$AR$4,1,103-Projects!$C$36+1),0)+IF(AND(Projects!$G$37="Yes",Projects!$X$37="Yes",Projects!$M$37="Yes",103&gt;=Projects!$C$37,103&lt;Projects!$C$37+Projects!$D$37),Projects!$B$37*INDEX(Curves!$B$4:$AR$4,1,103-Projects!$C$37+1),0)+IF(AND(Projects!$G$38="Yes",Projects!$X$38="Yes",Projects!$M$38="Yes",103&gt;=Projects!$C$38,103&lt;Projects!$C$38+Projects!$D$38),Projects!$B$38*INDEX(Curves!$B$4:$AR$4,1,103-Projects!$C$38+1),0)+IF(AND(Projects!$G$39="Yes",Projects!$X$39="Yes",Projects!$M$39="Yes",103&gt;=Projects!$C$39,103&lt;Projects!$C$39+Projects!$D$39),Projects!$B$39*INDEX(Curves!$B$4:$AR$4,1,103-Projects!$C$39+1),0)+IF(AND(Projects!$G$40="Yes",Projects!$X$40="Yes",Projects!$M$40="Yes",103&gt;=Projects!$C$40,103&lt;Projects!$C$40+Projects!$D$40),Projects!$B$40*INDEX(Curves!$B$4:$AR$4,1,103-Projects!$C$40+1),0)+IF(AND(Projects!$G$41="Yes",Projects!$X$41="Yes",Projects!$M$41="Yes",103&gt;=Projects!$C$41,103&lt;Projects!$C$41+Projects!$D$41),Projects!$B$41*INDEX(Curves!$B$4:$AR$4,1,103-Projects!$C$41+1),0)+IF(AND(Projects!$G$42="Yes",Projects!$X$42="Yes",Projects!$M$42="Yes",103&gt;=Projects!$C$42,103&lt;Projects!$C$42+Projects!$D$42),Projects!$B$42*INDEX(Curves!$B$4:$AR$4,1,103-Projects!$C$42+1),0)+IF(AND(Projects!$G$43="Yes",Projects!$X$43="Yes",Projects!$M$43="Yes",103&gt;=Projects!$C$43,103&lt;Projects!$C$43+Projects!$D$43),Projects!$B$43*INDEX(Curves!$B$4:$AR$4,1,103-Projects!$C$43+1),0)+IF(AND(Projects!$G$44="Yes",Projects!$X$44="Yes",Projects!$M$44="Yes",103&gt;=Projects!$C$44,103&lt;Projects!$C$44+Projects!$D$44),Projects!$B$44*INDEX(Curves!$B$4:$AR$4,1,103-Projects!$C$44+1),0)+IF(AND(Projects!$G$45="Yes",Projects!$X$45="Yes",Projects!$M$45="Yes",103&gt;=Projects!$C$45,103&lt;Projects!$C$45+Projects!$D$45),Projects!$B$45*INDEX(Curves!$B$4:$AR$4,1,103-Projects!$C$45+1),0)+IF(AND(Projects!$G$46="Yes",Projects!$X$46="Yes",Projects!$M$46="Yes",103&gt;=Projects!$C$46,103&lt;Projects!$C$46+Projects!$D$46),Projects!$B$46*INDEX(Curves!$B$4:$AR$4,1,103-Projects!$C$46+1),0)</f>
        <v>0</v>
      </c>
      <c r="DE101" s="298" t="n">
        <f aca="false">IF(AND(Projects!$G$17="Yes",Projects!$X$17="Yes",Projects!$M$17="Yes",104&gt;=Projects!$C$17,104&lt;Projects!$C$17+Projects!$D$17),Projects!$B$17*INDEX(Curves!$B$4:$AR$4,1,104-Projects!$C$17+1),0)+IF(AND(Projects!$G$18="Yes",Projects!$X$18="Yes",Projects!$M$18="Yes",104&gt;=Projects!$C$18,104&lt;Projects!$C$18+Projects!$D$18),Projects!$B$18*INDEX(Curves!$B$4:$AR$4,1,104-Projects!$C$18+1),0)+IF(AND(Projects!$G$19="Yes",Projects!$X$19="Yes",Projects!$M$19="Yes",104&gt;=Projects!$C$19,104&lt;Projects!$C$19+Projects!$D$19),Projects!$B$19*INDEX(Curves!$B$10:$AR$10,1,104-Projects!$C$19+1),0)+IF(AND(Projects!$G$20="Yes",Projects!$X$20="Yes",Projects!$M$20="Yes",104&gt;=Projects!$C$20,104&lt;Projects!$C$20+Projects!$D$20),Projects!$B$20*INDEX(Curves!$B$4:$AR$4,1,104-Projects!$C$20+1),0)+IF(AND(Projects!$G$21="Yes",Projects!$X$21="Yes",Projects!$M$21="Yes",104&gt;=Projects!$C$21,104&lt;Projects!$C$21+Projects!$D$21),Projects!$B$21*INDEX(Curves!$B$11:$AR$11,1,104-Projects!$C$21+1),0)+IF(AND(Projects!$G$22="Yes",Projects!$X$22="Yes",Projects!$M$22="Yes",104&gt;=Projects!$C$22,104&lt;Projects!$C$22+Projects!$D$22),Projects!$B$22*INDEX(Curves!$B$4:$AR$4,1,104-Projects!$C$22+1),0)+IF(AND(Projects!$G$23="Yes",Projects!$X$23="Yes",Projects!$M$23="Yes",104&gt;=Projects!$C$23,104&lt;Projects!$C$23+Projects!$D$23),Projects!$B$23*INDEX(Curves!$B$4:$AR$4,1,104-Projects!$C$23+1),0)+IF(AND(Projects!$G$24="Yes",Projects!$X$24="Yes",Projects!$M$24="Yes",104&gt;=Projects!$C$24,104&lt;Projects!$C$24+Projects!$D$24),Projects!$B$24*INDEX(Curves!$B$4:$AR$4,1,104-Projects!$C$24+1),0)+IF(AND(Projects!$G$25="Yes",Projects!$X$25="Yes",Projects!$M$25="Yes",104&gt;=Projects!$C$25,104&lt;Projects!$C$25+Projects!$D$25),Projects!$B$25*INDEX(Curves!$B$4:$AR$4,1,104-Projects!$C$25+1),0)+IF(AND(Projects!$G$26="Yes",Projects!$X$26="Yes",Projects!$M$26="Yes",104&gt;=Projects!$C$26,104&lt;Projects!$C$26+Projects!$D$26),Projects!$B$26*INDEX(Curves!$B$4:$AR$4,1,104-Projects!$C$26+1),0)+IF(AND(Projects!$G$27="Yes",Projects!$X$27="Yes",Projects!$M$27="Yes",104&gt;=Projects!$C$27,104&lt;Projects!$C$27+Projects!$D$27),Projects!$B$27*INDEX(Curves!$B$4:$AR$4,1,104-Projects!$C$27+1),0)+IF(AND(Projects!$G$28="Yes",Projects!$X$28="Yes",Projects!$M$28="Yes",104&gt;=Projects!$C$28,104&lt;Projects!$C$28+Projects!$D$28),Projects!$B$28*INDEX(Curves!$B$4:$AR$4,1,104-Projects!$C$28+1),0)+IF(AND(Projects!$G$29="Yes",Projects!$X$29="Yes",Projects!$M$29="Yes",104&gt;=Projects!$C$29,104&lt;Projects!$C$29+Projects!$D$29),Projects!$B$29*INDEX(Curves!$B$4:$AR$4,1,104-Projects!$C$29+1),0)+IF(AND(Projects!$G$30="Yes",Projects!$X$30="Yes",Projects!$M$30="Yes",104&gt;=Projects!$C$30,104&lt;Projects!$C$30+Projects!$D$30),Projects!$B$30*INDEX(Curves!$B$4:$AR$4,1,104-Projects!$C$30+1),0)+IF(AND(Projects!$G$31="Yes",Projects!$X$31="Yes",Projects!$M$31="Yes",104&gt;=Projects!$C$31,104&lt;Projects!$C$31+Projects!$D$31),Projects!$B$31*INDEX(Curves!$B$4:$AR$4,1,104-Projects!$C$31+1),0)+IF(AND(Projects!$G$32="Yes",Projects!$X$32="Yes",Projects!$M$32="Yes",104&gt;=Projects!$C$32,104&lt;Projects!$C$32+Projects!$D$32),Projects!$B$32*INDEX(Curves!$B$4:$AR$4,1,104-Projects!$C$32+1),0)+IF(AND(Projects!$G$33="Yes",Projects!$X$33="Yes",Projects!$M$33="Yes",104&gt;=Projects!$C$33,104&lt;Projects!$C$33+Projects!$D$33),Projects!$B$33*INDEX(Curves!$B$4:$AR$4,1,104-Projects!$C$33+1),0)+IF(AND(Projects!$G$34="Yes",Projects!$X$34="Yes",Projects!$M$34="Yes",104&gt;=Projects!$C$34,104&lt;Projects!$C$34+Projects!$D$34),Projects!$B$34*INDEX(Curves!$B$4:$AR$4,1,104-Projects!$C$34+1),0)+IF(AND(Projects!$G$35="Yes",Projects!$X$35="Yes",Projects!$M$35="Yes",104&gt;=Projects!$C$35,104&lt;Projects!$C$35+Projects!$D$35),Projects!$B$35*INDEX(Curves!$B$4:$AR$4,1,104-Projects!$C$35+1),0)+IF(AND(Projects!$G$36="Yes",Projects!$X$36="Yes",Projects!$M$36="Yes",104&gt;=Projects!$C$36,104&lt;Projects!$C$36+Projects!$D$36),Projects!$B$36*INDEX(Curves!$B$4:$AR$4,1,104-Projects!$C$36+1),0)+IF(AND(Projects!$G$37="Yes",Projects!$X$37="Yes",Projects!$M$37="Yes",104&gt;=Projects!$C$37,104&lt;Projects!$C$37+Projects!$D$37),Projects!$B$37*INDEX(Curves!$B$4:$AR$4,1,104-Projects!$C$37+1),0)+IF(AND(Projects!$G$38="Yes",Projects!$X$38="Yes",Projects!$M$38="Yes",104&gt;=Projects!$C$38,104&lt;Projects!$C$38+Projects!$D$38),Projects!$B$38*INDEX(Curves!$B$4:$AR$4,1,104-Projects!$C$38+1),0)+IF(AND(Projects!$G$39="Yes",Projects!$X$39="Yes",Projects!$M$39="Yes",104&gt;=Projects!$C$39,104&lt;Projects!$C$39+Projects!$D$39),Projects!$B$39*INDEX(Curves!$B$4:$AR$4,1,104-Projects!$C$39+1),0)+IF(AND(Projects!$G$40="Yes",Projects!$X$40="Yes",Projects!$M$40="Yes",104&gt;=Projects!$C$40,104&lt;Projects!$C$40+Projects!$D$40),Projects!$B$40*INDEX(Curves!$B$4:$AR$4,1,104-Projects!$C$40+1),0)+IF(AND(Projects!$G$41="Yes",Projects!$X$41="Yes",Projects!$M$41="Yes",104&gt;=Projects!$C$41,104&lt;Projects!$C$41+Projects!$D$41),Projects!$B$41*INDEX(Curves!$B$4:$AR$4,1,104-Projects!$C$41+1),0)+IF(AND(Projects!$G$42="Yes",Projects!$X$42="Yes",Projects!$M$42="Yes",104&gt;=Projects!$C$42,104&lt;Projects!$C$42+Projects!$D$42),Projects!$B$42*INDEX(Curves!$B$4:$AR$4,1,104-Projects!$C$42+1),0)+IF(AND(Projects!$G$43="Yes",Projects!$X$43="Yes",Projects!$M$43="Yes",104&gt;=Projects!$C$43,104&lt;Projects!$C$43+Projects!$D$43),Projects!$B$43*INDEX(Curves!$B$4:$AR$4,1,104-Projects!$C$43+1),0)+IF(AND(Projects!$G$44="Yes",Projects!$X$44="Yes",Projects!$M$44="Yes",104&gt;=Projects!$C$44,104&lt;Projects!$C$44+Projects!$D$44),Projects!$B$44*INDEX(Curves!$B$4:$AR$4,1,104-Projects!$C$44+1),0)+IF(AND(Projects!$G$45="Yes",Projects!$X$45="Yes",Projects!$M$45="Yes",104&gt;=Projects!$C$45,104&lt;Projects!$C$45+Projects!$D$45),Projects!$B$45*INDEX(Curves!$B$4:$AR$4,1,104-Projects!$C$45+1),0)+IF(AND(Projects!$G$46="Yes",Projects!$X$46="Yes",Projects!$M$46="Yes",104&gt;=Projects!$C$46,104&lt;Projects!$C$46+Projects!$D$46),Projects!$B$46*INDEX(Curves!$B$4:$AR$4,1,104-Projects!$C$46+1),0)</f>
        <v>0</v>
      </c>
      <c r="DF101" s="298" t="n">
        <f aca="false">IF(AND(Projects!$G$17="Yes",Projects!$X$17="Yes",Projects!$M$17="Yes",105&gt;=Projects!$C$17,105&lt;Projects!$C$17+Projects!$D$17),Projects!$B$17*INDEX(Curves!$B$4:$AR$4,1,105-Projects!$C$17+1),0)+IF(AND(Projects!$G$18="Yes",Projects!$X$18="Yes",Projects!$M$18="Yes",105&gt;=Projects!$C$18,105&lt;Projects!$C$18+Projects!$D$18),Projects!$B$18*INDEX(Curves!$B$4:$AR$4,1,105-Projects!$C$18+1),0)+IF(AND(Projects!$G$19="Yes",Projects!$X$19="Yes",Projects!$M$19="Yes",105&gt;=Projects!$C$19,105&lt;Projects!$C$19+Projects!$D$19),Projects!$B$19*INDEX(Curves!$B$10:$AR$10,1,105-Projects!$C$19+1),0)+IF(AND(Projects!$G$20="Yes",Projects!$X$20="Yes",Projects!$M$20="Yes",105&gt;=Projects!$C$20,105&lt;Projects!$C$20+Projects!$D$20),Projects!$B$20*INDEX(Curves!$B$4:$AR$4,1,105-Projects!$C$20+1),0)+IF(AND(Projects!$G$21="Yes",Projects!$X$21="Yes",Projects!$M$21="Yes",105&gt;=Projects!$C$21,105&lt;Projects!$C$21+Projects!$D$21),Projects!$B$21*INDEX(Curves!$B$11:$AR$11,1,105-Projects!$C$21+1),0)+IF(AND(Projects!$G$22="Yes",Projects!$X$22="Yes",Projects!$M$22="Yes",105&gt;=Projects!$C$22,105&lt;Projects!$C$22+Projects!$D$22),Projects!$B$22*INDEX(Curves!$B$4:$AR$4,1,105-Projects!$C$22+1),0)+IF(AND(Projects!$G$23="Yes",Projects!$X$23="Yes",Projects!$M$23="Yes",105&gt;=Projects!$C$23,105&lt;Projects!$C$23+Projects!$D$23),Projects!$B$23*INDEX(Curves!$B$4:$AR$4,1,105-Projects!$C$23+1),0)+IF(AND(Projects!$G$24="Yes",Projects!$X$24="Yes",Projects!$M$24="Yes",105&gt;=Projects!$C$24,105&lt;Projects!$C$24+Projects!$D$24),Projects!$B$24*INDEX(Curves!$B$4:$AR$4,1,105-Projects!$C$24+1),0)+IF(AND(Projects!$G$25="Yes",Projects!$X$25="Yes",Projects!$M$25="Yes",105&gt;=Projects!$C$25,105&lt;Projects!$C$25+Projects!$D$25),Projects!$B$25*INDEX(Curves!$B$4:$AR$4,1,105-Projects!$C$25+1),0)+IF(AND(Projects!$G$26="Yes",Projects!$X$26="Yes",Projects!$M$26="Yes",105&gt;=Projects!$C$26,105&lt;Projects!$C$26+Projects!$D$26),Projects!$B$26*INDEX(Curves!$B$4:$AR$4,1,105-Projects!$C$26+1),0)+IF(AND(Projects!$G$27="Yes",Projects!$X$27="Yes",Projects!$M$27="Yes",105&gt;=Projects!$C$27,105&lt;Projects!$C$27+Projects!$D$27),Projects!$B$27*INDEX(Curves!$B$4:$AR$4,1,105-Projects!$C$27+1),0)+IF(AND(Projects!$G$28="Yes",Projects!$X$28="Yes",Projects!$M$28="Yes",105&gt;=Projects!$C$28,105&lt;Projects!$C$28+Projects!$D$28),Projects!$B$28*INDEX(Curves!$B$4:$AR$4,1,105-Projects!$C$28+1),0)+IF(AND(Projects!$G$29="Yes",Projects!$X$29="Yes",Projects!$M$29="Yes",105&gt;=Projects!$C$29,105&lt;Projects!$C$29+Projects!$D$29),Projects!$B$29*INDEX(Curves!$B$4:$AR$4,1,105-Projects!$C$29+1),0)+IF(AND(Projects!$G$30="Yes",Projects!$X$30="Yes",Projects!$M$30="Yes",105&gt;=Projects!$C$30,105&lt;Projects!$C$30+Projects!$D$30),Projects!$B$30*INDEX(Curves!$B$4:$AR$4,1,105-Projects!$C$30+1),0)+IF(AND(Projects!$G$31="Yes",Projects!$X$31="Yes",Projects!$M$31="Yes",105&gt;=Projects!$C$31,105&lt;Projects!$C$31+Projects!$D$31),Projects!$B$31*INDEX(Curves!$B$4:$AR$4,1,105-Projects!$C$31+1),0)+IF(AND(Projects!$G$32="Yes",Projects!$X$32="Yes",Projects!$M$32="Yes",105&gt;=Projects!$C$32,105&lt;Projects!$C$32+Projects!$D$32),Projects!$B$32*INDEX(Curves!$B$4:$AR$4,1,105-Projects!$C$32+1),0)+IF(AND(Projects!$G$33="Yes",Projects!$X$33="Yes",Projects!$M$33="Yes",105&gt;=Projects!$C$33,105&lt;Projects!$C$33+Projects!$D$33),Projects!$B$33*INDEX(Curves!$B$4:$AR$4,1,105-Projects!$C$33+1),0)+IF(AND(Projects!$G$34="Yes",Projects!$X$34="Yes",Projects!$M$34="Yes",105&gt;=Projects!$C$34,105&lt;Projects!$C$34+Projects!$D$34),Projects!$B$34*INDEX(Curves!$B$4:$AR$4,1,105-Projects!$C$34+1),0)+IF(AND(Projects!$G$35="Yes",Projects!$X$35="Yes",Projects!$M$35="Yes",105&gt;=Projects!$C$35,105&lt;Projects!$C$35+Projects!$D$35),Projects!$B$35*INDEX(Curves!$B$4:$AR$4,1,105-Projects!$C$35+1),0)+IF(AND(Projects!$G$36="Yes",Projects!$X$36="Yes",Projects!$M$36="Yes",105&gt;=Projects!$C$36,105&lt;Projects!$C$36+Projects!$D$36),Projects!$B$36*INDEX(Curves!$B$4:$AR$4,1,105-Projects!$C$36+1),0)+IF(AND(Projects!$G$37="Yes",Projects!$X$37="Yes",Projects!$M$37="Yes",105&gt;=Projects!$C$37,105&lt;Projects!$C$37+Projects!$D$37),Projects!$B$37*INDEX(Curves!$B$4:$AR$4,1,105-Projects!$C$37+1),0)+IF(AND(Projects!$G$38="Yes",Projects!$X$38="Yes",Projects!$M$38="Yes",105&gt;=Projects!$C$38,105&lt;Projects!$C$38+Projects!$D$38),Projects!$B$38*INDEX(Curves!$B$4:$AR$4,1,105-Projects!$C$38+1),0)+IF(AND(Projects!$G$39="Yes",Projects!$X$39="Yes",Projects!$M$39="Yes",105&gt;=Projects!$C$39,105&lt;Projects!$C$39+Projects!$D$39),Projects!$B$39*INDEX(Curves!$B$4:$AR$4,1,105-Projects!$C$39+1),0)+IF(AND(Projects!$G$40="Yes",Projects!$X$40="Yes",Projects!$M$40="Yes",105&gt;=Projects!$C$40,105&lt;Projects!$C$40+Projects!$D$40),Projects!$B$40*INDEX(Curves!$B$4:$AR$4,1,105-Projects!$C$40+1),0)+IF(AND(Projects!$G$41="Yes",Projects!$X$41="Yes",Projects!$M$41="Yes",105&gt;=Projects!$C$41,105&lt;Projects!$C$41+Projects!$D$41),Projects!$B$41*INDEX(Curves!$B$4:$AR$4,1,105-Projects!$C$41+1),0)+IF(AND(Projects!$G$42="Yes",Projects!$X$42="Yes",Projects!$M$42="Yes",105&gt;=Projects!$C$42,105&lt;Projects!$C$42+Projects!$D$42),Projects!$B$42*INDEX(Curves!$B$4:$AR$4,1,105-Projects!$C$42+1),0)+IF(AND(Projects!$G$43="Yes",Projects!$X$43="Yes",Projects!$M$43="Yes",105&gt;=Projects!$C$43,105&lt;Projects!$C$43+Projects!$D$43),Projects!$B$43*INDEX(Curves!$B$4:$AR$4,1,105-Projects!$C$43+1),0)+IF(AND(Projects!$G$44="Yes",Projects!$X$44="Yes",Projects!$M$44="Yes",105&gt;=Projects!$C$44,105&lt;Projects!$C$44+Projects!$D$44),Projects!$B$44*INDEX(Curves!$B$4:$AR$4,1,105-Projects!$C$44+1),0)+IF(AND(Projects!$G$45="Yes",Projects!$X$45="Yes",Projects!$M$45="Yes",105&gt;=Projects!$C$45,105&lt;Projects!$C$45+Projects!$D$45),Projects!$B$45*INDEX(Curves!$B$4:$AR$4,1,105-Projects!$C$45+1),0)+IF(AND(Projects!$G$46="Yes",Projects!$X$46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265625" defaultRowHeight="13.5" customHeight="false"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1104</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299"/>
      <c r="D2" s="299"/>
      <c r="E2" s="299"/>
      <c r="F2" s="299"/>
      <c r="G2" s="299"/>
      <c r="H2" s="299"/>
      <c r="I2" s="299"/>
      <c r="J2" s="299"/>
      <c r="K2" s="299"/>
      <c r="L2" s="299"/>
      <c r="M2" s="299"/>
      <c r="N2" s="299"/>
      <c r="O2" s="299"/>
      <c r="P2" s="299"/>
      <c r="Q2" s="299"/>
      <c r="R2" s="299"/>
      <c r="S2" s="299"/>
      <c r="T2" s="299"/>
      <c r="U2" s="299"/>
      <c r="V2" s="299"/>
      <c r="W2" s="299"/>
      <c r="X2" s="299"/>
      <c r="Y2" s="299"/>
      <c r="Z2" s="299"/>
      <c r="AA2" s="299"/>
      <c r="AB2" s="299"/>
      <c r="AC2" s="299"/>
      <c r="AD2" s="299"/>
      <c r="AE2" s="299"/>
      <c r="AF2" s="299"/>
      <c r="AG2" s="299"/>
      <c r="AH2" s="299"/>
      <c r="AI2" s="299"/>
      <c r="AJ2" s="299"/>
      <c r="AK2" s="299"/>
      <c r="AL2" s="299"/>
      <c r="AM2" s="299"/>
      <c r="AN2" s="299"/>
      <c r="AO2" s="299"/>
      <c r="AP2" s="299"/>
      <c r="AQ2" s="299"/>
      <c r="AR2" s="299"/>
      <c r="AS2" s="299"/>
      <c r="AT2" s="299"/>
      <c r="AU2" s="299"/>
      <c r="AV2" s="299"/>
      <c r="AW2" s="299"/>
      <c r="AX2" s="299"/>
      <c r="AY2" s="299"/>
      <c r="AZ2" s="299"/>
      <c r="BA2" s="299"/>
      <c r="BB2" s="299"/>
      <c r="BC2" s="299"/>
      <c r="BD2" s="299"/>
      <c r="BE2" s="299"/>
      <c r="BF2" s="299"/>
      <c r="BG2" s="299"/>
      <c r="BH2" s="299"/>
      <c r="BI2" s="299"/>
      <c r="BJ2" s="299"/>
      <c r="BK2" s="299"/>
      <c r="BL2" s="299"/>
      <c r="BM2" s="299"/>
      <c r="BN2" s="299"/>
      <c r="BO2" s="299"/>
      <c r="BP2" s="299"/>
      <c r="BQ2" s="299"/>
      <c r="BR2" s="299"/>
      <c r="BS2" s="299"/>
      <c r="BT2" s="299"/>
      <c r="BU2" s="299"/>
      <c r="BV2" s="299"/>
      <c r="BW2" s="299"/>
      <c r="BX2" s="299"/>
      <c r="BY2" s="299"/>
      <c r="BZ2" s="299"/>
      <c r="CA2" s="299"/>
      <c r="CB2" s="299"/>
      <c r="CC2" s="299"/>
      <c r="CD2" s="299"/>
      <c r="CE2" s="299"/>
      <c r="CF2" s="299"/>
      <c r="CG2" s="299"/>
      <c r="CH2" s="299"/>
    </row>
    <row r="3" customFormat="false" ht="15" hidden="false" customHeight="true" outlineLevel="0" collapsed="false">
      <c r="A3" s="300"/>
      <c r="B3" s="301" t="s">
        <v>1105</v>
      </c>
      <c r="C3" s="301" t="s">
        <v>1106</v>
      </c>
      <c r="D3" s="301" t="s">
        <v>1107</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93"/>
      <c r="C4" s="293"/>
      <c r="D4" s="293"/>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02" t="s">
        <v>12</v>
      </c>
      <c r="B5" s="303"/>
      <c r="C5" s="303"/>
      <c r="D5" s="303"/>
      <c r="E5" s="293"/>
      <c r="F5" s="293"/>
      <c r="G5" s="293"/>
      <c r="H5" s="293"/>
      <c r="I5" s="293"/>
      <c r="J5" s="293"/>
      <c r="K5" s="293"/>
      <c r="L5" s="293"/>
      <c r="M5" s="293"/>
      <c r="N5" s="293"/>
      <c r="O5" s="293"/>
      <c r="P5" s="293"/>
      <c r="Q5" s="293"/>
      <c r="R5" s="293"/>
      <c r="S5" s="293"/>
      <c r="T5" s="293"/>
      <c r="U5" s="293"/>
      <c r="V5" s="293"/>
      <c r="W5" s="293"/>
      <c r="X5" s="293"/>
      <c r="Y5" s="293"/>
      <c r="Z5" s="293"/>
      <c r="AA5" s="293"/>
      <c r="AB5" s="293"/>
      <c r="AC5" s="293"/>
      <c r="AD5" s="293"/>
      <c r="AE5" s="293"/>
      <c r="AF5" s="293"/>
      <c r="AG5" s="293"/>
      <c r="AH5" s="293"/>
      <c r="AI5" s="293"/>
      <c r="AJ5" s="293"/>
      <c r="AK5" s="293"/>
      <c r="AL5" s="293"/>
      <c r="AM5" s="293"/>
      <c r="AN5" s="293"/>
      <c r="AO5" s="293"/>
      <c r="AP5" s="293"/>
      <c r="AQ5" s="293"/>
      <c r="AR5" s="293"/>
      <c r="AS5" s="293"/>
      <c r="AT5" s="293"/>
      <c r="AU5" s="293"/>
      <c r="AV5" s="293"/>
      <c r="AW5" s="293"/>
      <c r="AX5" s="293"/>
      <c r="AY5" s="293"/>
      <c r="AZ5" s="293"/>
      <c r="BA5" s="293"/>
      <c r="BB5" s="293"/>
      <c r="BC5" s="293"/>
      <c r="BD5" s="293"/>
      <c r="BE5" s="293"/>
      <c r="BF5" s="293"/>
      <c r="BG5" s="293"/>
      <c r="BH5" s="293"/>
      <c r="BI5" s="293"/>
      <c r="BJ5" s="293"/>
      <c r="BK5" s="293"/>
      <c r="BL5" s="293"/>
      <c r="BM5" s="293"/>
      <c r="BN5" s="293"/>
      <c r="BO5" s="293"/>
      <c r="BP5" s="293"/>
      <c r="BQ5" s="293"/>
      <c r="BR5" s="293"/>
      <c r="BS5" s="293"/>
      <c r="BT5" s="293"/>
      <c r="BU5" s="293"/>
      <c r="BV5" s="293"/>
      <c r="BW5" s="293"/>
      <c r="BX5" s="293"/>
      <c r="BY5" s="293"/>
      <c r="BZ5" s="293"/>
      <c r="CA5" s="293"/>
      <c r="CB5" s="293"/>
      <c r="CC5" s="293"/>
      <c r="CD5" s="293"/>
      <c r="CE5" s="293"/>
      <c r="CF5" s="293"/>
      <c r="CG5" s="293"/>
      <c r="CH5" s="293"/>
    </row>
    <row r="6" customFormat="false" ht="15" hidden="false" customHeight="true" outlineLevel="0" collapsed="false">
      <c r="A6" s="304" t="s">
        <v>1108</v>
      </c>
      <c r="B6" s="305" t="n">
        <f aca="false">SUM(Model!E254:CG254)</f>
        <v>1114996</v>
      </c>
      <c r="C6" s="305" t="n">
        <f aca="false">Helpers!B47</f>
        <v>1912475</v>
      </c>
      <c r="D6" s="305" t="n">
        <f aca="false">B6+C6</f>
        <v>3027471</v>
      </c>
      <c r="E6" s="293"/>
      <c r="F6" s="293"/>
      <c r="G6" s="293"/>
      <c r="H6" s="293"/>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3"/>
      <c r="BK6" s="293"/>
      <c r="BL6" s="293"/>
      <c r="BM6" s="293"/>
      <c r="BN6" s="293"/>
      <c r="BO6" s="293"/>
      <c r="BP6" s="293"/>
      <c r="BQ6" s="293"/>
      <c r="BR6" s="293"/>
      <c r="BS6" s="293"/>
      <c r="BT6" s="293"/>
      <c r="BU6" s="293"/>
      <c r="BV6" s="293"/>
      <c r="BW6" s="293"/>
      <c r="BX6" s="293"/>
      <c r="BY6" s="293"/>
      <c r="BZ6" s="293"/>
      <c r="CA6" s="293"/>
      <c r="CB6" s="293"/>
      <c r="CC6" s="293"/>
      <c r="CD6" s="293"/>
      <c r="CE6" s="293"/>
      <c r="CF6" s="293"/>
      <c r="CG6" s="293"/>
      <c r="CH6" s="293"/>
    </row>
    <row r="7" customFormat="false" ht="15" hidden="false" customHeight="true" outlineLevel="0" collapsed="false">
      <c r="A7" s="90" t="s">
        <v>1109</v>
      </c>
      <c r="B7" s="293" t="n">
        <f aca="false">-Projects!$B$7*Assumptions!$B$47</f>
        <v>-427947.65</v>
      </c>
      <c r="C7" s="293" t="n">
        <v>0</v>
      </c>
      <c r="D7" s="293" t="n">
        <f aca="false">B7+C7</f>
        <v>-427947.65</v>
      </c>
      <c r="E7" s="293"/>
      <c r="F7" s="293"/>
      <c r="G7" s="293"/>
      <c r="H7" s="293"/>
      <c r="I7" s="293"/>
      <c r="J7" s="293"/>
      <c r="K7" s="293"/>
      <c r="L7" s="293"/>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3"/>
      <c r="CH7" s="293"/>
    </row>
    <row r="8" customFormat="false" ht="15" hidden="false" customHeight="true" outlineLevel="0" collapsed="false">
      <c r="A8" s="304" t="s">
        <v>1110</v>
      </c>
      <c r="B8" s="305" t="n">
        <f aca="false">-Assumptions!$B$53*Assumptions!$B$48</f>
        <v>-150000</v>
      </c>
      <c r="C8" s="305" t="n">
        <v>0</v>
      </c>
      <c r="D8" s="305"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1093</v>
      </c>
      <c r="B9" s="293" t="n">
        <v>0</v>
      </c>
      <c r="C9" s="293" t="n">
        <v>0</v>
      </c>
      <c r="D9" s="293"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306" t="s">
        <v>1111</v>
      </c>
      <c r="B10" s="307" t="n">
        <f aca="false">SUM(B6:B9)</f>
        <v>537048.35</v>
      </c>
      <c r="C10" s="307" t="n">
        <f aca="false">SUM(C6:C9)</f>
        <v>1912475</v>
      </c>
      <c r="D10" s="307" t="n">
        <f aca="false">SUM(D6:D9)</f>
        <v>2449523.35</v>
      </c>
      <c r="E10" s="293"/>
      <c r="F10" s="293"/>
      <c r="G10" s="293"/>
      <c r="H10" s="293"/>
      <c r="I10" s="293"/>
      <c r="J10" s="293"/>
      <c r="K10" s="293"/>
      <c r="L10" s="293"/>
      <c r="M10" s="293"/>
      <c r="N10" s="293"/>
      <c r="O10" s="293"/>
      <c r="P10" s="293"/>
      <c r="Q10" s="293"/>
      <c r="R10" s="293"/>
      <c r="S10" s="293"/>
      <c r="T10" s="293"/>
      <c r="U10" s="293"/>
      <c r="V10" s="293"/>
      <c r="W10" s="293"/>
      <c r="X10" s="293"/>
      <c r="Y10" s="293"/>
      <c r="Z10" s="293"/>
      <c r="AA10" s="293"/>
      <c r="AB10" s="293"/>
      <c r="AC10" s="293"/>
      <c r="AD10" s="293"/>
      <c r="AE10" s="293"/>
      <c r="AF10" s="293"/>
      <c r="AG10" s="293"/>
      <c r="AH10" s="293"/>
      <c r="AI10" s="293"/>
      <c r="AJ10" s="293"/>
      <c r="AK10" s="293"/>
      <c r="AL10" s="293"/>
      <c r="AM10" s="293"/>
      <c r="AN10" s="293"/>
      <c r="AO10" s="293"/>
      <c r="AP10" s="293"/>
      <c r="AQ10" s="293"/>
      <c r="AR10" s="293"/>
      <c r="AS10" s="293"/>
      <c r="AT10" s="293"/>
      <c r="AU10" s="293"/>
      <c r="AV10" s="293"/>
      <c r="AW10" s="293"/>
      <c r="AX10" s="293"/>
      <c r="AY10" s="293"/>
      <c r="AZ10" s="293"/>
      <c r="BA10" s="293"/>
      <c r="BB10" s="293"/>
      <c r="BC10" s="293"/>
      <c r="BD10" s="293"/>
      <c r="BE10" s="293"/>
      <c r="BF10" s="293"/>
      <c r="BG10" s="293"/>
      <c r="BH10" s="293"/>
      <c r="BI10" s="293"/>
      <c r="BJ10" s="293"/>
      <c r="BK10" s="293"/>
      <c r="BL10" s="293"/>
      <c r="BM10" s="293"/>
      <c r="BN10" s="293"/>
      <c r="BO10" s="293"/>
      <c r="BP10" s="293"/>
      <c r="BQ10" s="293"/>
      <c r="BR10" s="293"/>
      <c r="BS10" s="293"/>
      <c r="BT10" s="293"/>
      <c r="BU10" s="293"/>
      <c r="BV10" s="293"/>
      <c r="BW10" s="293"/>
      <c r="BX10" s="293"/>
      <c r="BY10" s="293"/>
      <c r="BZ10" s="293"/>
      <c r="CA10" s="293"/>
      <c r="CB10" s="293"/>
      <c r="CC10" s="293"/>
      <c r="CD10" s="293"/>
      <c r="CE10" s="293"/>
      <c r="CF10" s="293"/>
      <c r="CG10" s="293"/>
      <c r="CH10" s="293"/>
    </row>
    <row r="11" customFormat="false" ht="15" hidden="false" customHeight="true" outlineLevel="0" collapsed="false">
      <c r="A11" s="308"/>
      <c r="B11" s="309"/>
      <c r="C11" s="309"/>
      <c r="D11" s="309"/>
      <c r="E11" s="293"/>
      <c r="F11" s="293"/>
      <c r="G11" s="293"/>
      <c r="H11" s="293"/>
      <c r="I11" s="293"/>
      <c r="J11" s="293"/>
      <c r="K11" s="293"/>
      <c r="L11" s="293"/>
      <c r="M11" s="293"/>
      <c r="N11" s="293"/>
      <c r="O11" s="293"/>
      <c r="P11" s="293"/>
      <c r="Q11" s="293"/>
      <c r="R11" s="293"/>
      <c r="S11" s="293"/>
      <c r="T11" s="293"/>
      <c r="U11" s="293"/>
      <c r="V11" s="293"/>
      <c r="W11" s="293"/>
      <c r="X11" s="293"/>
      <c r="Y11" s="293"/>
      <c r="Z11" s="293"/>
      <c r="AA11" s="293"/>
      <c r="AB11" s="293"/>
      <c r="AC11" s="293"/>
      <c r="AD11" s="293"/>
      <c r="AE11" s="293"/>
      <c r="AF11" s="293"/>
      <c r="AG11" s="293"/>
      <c r="AH11" s="293"/>
      <c r="AI11" s="293"/>
      <c r="AJ11" s="293"/>
      <c r="AK11" s="293"/>
      <c r="AL11" s="293"/>
      <c r="AM11" s="293"/>
      <c r="AN11" s="293"/>
      <c r="AO11" s="293"/>
      <c r="AP11" s="293"/>
      <c r="AQ11" s="293"/>
      <c r="AR11" s="293"/>
      <c r="AS11" s="293"/>
      <c r="AT11" s="293"/>
      <c r="AU11" s="293"/>
      <c r="AV11" s="293"/>
      <c r="AW11" s="293"/>
      <c r="AX11" s="293"/>
      <c r="AY11" s="293"/>
      <c r="AZ11" s="293"/>
      <c r="BA11" s="293"/>
      <c r="BB11" s="293"/>
      <c r="BC11" s="293"/>
      <c r="BD11" s="293"/>
      <c r="BE11" s="293"/>
      <c r="BF11" s="293"/>
      <c r="BG11" s="293"/>
      <c r="BH11" s="293"/>
      <c r="BI11" s="293"/>
      <c r="BJ11" s="293"/>
      <c r="BK11" s="293"/>
      <c r="BL11" s="293"/>
      <c r="BM11" s="293"/>
      <c r="BN11" s="293"/>
      <c r="BO11" s="293"/>
      <c r="BP11" s="293"/>
      <c r="BQ11" s="293"/>
      <c r="BR11" s="293"/>
      <c r="BS11" s="293"/>
      <c r="BT11" s="293"/>
      <c r="BU11" s="293"/>
      <c r="BV11" s="293"/>
      <c r="BW11" s="293"/>
      <c r="BX11" s="293"/>
      <c r="BY11" s="293"/>
      <c r="BZ11" s="293"/>
      <c r="CA11" s="293"/>
      <c r="CB11" s="293"/>
      <c r="CC11" s="293"/>
      <c r="CD11" s="293"/>
      <c r="CE11" s="293"/>
      <c r="CF11" s="293"/>
      <c r="CG11" s="293"/>
      <c r="CH11" s="293"/>
    </row>
    <row r="12" customFormat="false" ht="15" hidden="false" customHeight="true" outlineLevel="0" collapsed="false">
      <c r="A12" s="274" t="s">
        <v>1112</v>
      </c>
      <c r="B12" s="274"/>
      <c r="C12" s="310"/>
      <c r="D12" s="310"/>
      <c r="E12" s="293"/>
      <c r="F12" s="293"/>
      <c r="G12" s="293"/>
      <c r="H12" s="293"/>
      <c r="I12" s="293"/>
      <c r="J12" s="293"/>
      <c r="K12" s="293"/>
      <c r="L12" s="293"/>
      <c r="M12" s="293"/>
      <c r="N12" s="293"/>
      <c r="O12" s="293"/>
      <c r="P12" s="293"/>
      <c r="Q12" s="293"/>
      <c r="R12" s="293"/>
      <c r="S12" s="293"/>
      <c r="T12" s="293"/>
      <c r="U12" s="293"/>
      <c r="V12" s="293"/>
      <c r="W12" s="293"/>
      <c r="X12" s="293"/>
      <c r="Y12" s="293"/>
      <c r="Z12" s="293"/>
      <c r="AA12" s="293"/>
      <c r="AB12" s="293"/>
      <c r="AC12" s="293"/>
      <c r="AD12" s="293"/>
      <c r="AE12" s="293"/>
      <c r="AF12" s="293"/>
      <c r="AG12" s="293"/>
      <c r="AH12" s="293"/>
      <c r="AI12" s="293"/>
      <c r="AJ12" s="293"/>
      <c r="AK12" s="293"/>
      <c r="AL12" s="293"/>
      <c r="AM12" s="293"/>
      <c r="AN12" s="293"/>
      <c r="AO12" s="293"/>
      <c r="AP12" s="293"/>
      <c r="AQ12" s="293"/>
      <c r="AR12" s="293"/>
      <c r="AS12" s="293"/>
      <c r="AT12" s="293"/>
      <c r="AU12" s="293"/>
      <c r="AV12" s="293"/>
      <c r="AW12" s="293"/>
      <c r="AX12" s="293"/>
      <c r="AY12" s="293"/>
      <c r="AZ12" s="293"/>
      <c r="BA12" s="293"/>
      <c r="BB12" s="293"/>
      <c r="BC12" s="293"/>
      <c r="BD12" s="293"/>
      <c r="BE12" s="293"/>
      <c r="BF12" s="293"/>
      <c r="BG12" s="293"/>
      <c r="BH12" s="293"/>
      <c r="BI12" s="293"/>
      <c r="BJ12" s="293"/>
      <c r="BK12" s="293"/>
      <c r="BL12" s="293"/>
      <c r="BM12" s="293"/>
      <c r="BN12" s="293"/>
      <c r="BO12" s="293"/>
      <c r="BP12" s="293"/>
      <c r="BQ12" s="293"/>
      <c r="BR12" s="293"/>
      <c r="BS12" s="293"/>
      <c r="BT12" s="293"/>
      <c r="BU12" s="293"/>
      <c r="BV12" s="293"/>
      <c r="BW12" s="293"/>
      <c r="BX12" s="293"/>
      <c r="BY12" s="293"/>
      <c r="BZ12" s="293"/>
      <c r="CA12" s="293"/>
      <c r="CB12" s="293"/>
      <c r="CC12" s="293"/>
      <c r="CD12" s="293"/>
      <c r="CE12" s="293"/>
      <c r="CF12" s="293"/>
      <c r="CG12" s="293"/>
      <c r="CH12" s="293"/>
    </row>
    <row r="13" customFormat="false" ht="15" hidden="false" customHeight="true" outlineLevel="0" collapsed="false">
      <c r="A13" s="304" t="s">
        <v>1108</v>
      </c>
      <c r="B13" s="305" t="n">
        <f aca="false">SUM(Model!E256:CG256)</f>
        <v>219466</v>
      </c>
      <c r="C13" s="305" t="n">
        <f aca="false">IFERROR(Helpers!B48,0)</f>
        <v>2706735</v>
      </c>
      <c r="D13" s="305" t="n">
        <f aca="false">IFERROR(B13+C13,0)</f>
        <v>2926201</v>
      </c>
      <c r="E13" s="293"/>
      <c r="F13" s="293"/>
      <c r="G13" s="293"/>
      <c r="H13" s="293"/>
      <c r="I13" s="293"/>
      <c r="J13" s="293"/>
      <c r="K13" s="293"/>
      <c r="L13" s="293"/>
      <c r="M13" s="293"/>
      <c r="N13" s="293"/>
      <c r="O13" s="293"/>
      <c r="P13" s="293"/>
      <c r="Q13" s="293"/>
      <c r="R13" s="293"/>
      <c r="S13" s="293"/>
      <c r="T13" s="293"/>
      <c r="U13" s="293"/>
      <c r="V13" s="293"/>
      <c r="W13" s="293"/>
      <c r="X13" s="293"/>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3"/>
      <c r="BK13" s="293"/>
      <c r="BL13" s="293"/>
      <c r="BM13" s="293"/>
      <c r="BN13" s="293"/>
      <c r="BO13" s="293"/>
      <c r="BP13" s="293"/>
      <c r="BQ13" s="293"/>
      <c r="BR13" s="293"/>
      <c r="BS13" s="293"/>
      <c r="BT13" s="293"/>
      <c r="BU13" s="293"/>
      <c r="BV13" s="293"/>
      <c r="BW13" s="293"/>
      <c r="BX13" s="293"/>
      <c r="BY13" s="293"/>
      <c r="BZ13" s="293"/>
      <c r="CA13" s="293"/>
      <c r="CB13" s="293"/>
      <c r="CC13" s="293"/>
      <c r="CD13" s="293"/>
      <c r="CE13" s="293"/>
      <c r="CF13" s="293"/>
      <c r="CG13" s="293"/>
      <c r="CH13" s="293"/>
    </row>
    <row r="14" customFormat="false" ht="15" hidden="false" customHeight="true" outlineLevel="0" collapsed="false">
      <c r="A14" s="311" t="s">
        <v>1109</v>
      </c>
      <c r="B14" s="312" t="n">
        <f aca="false">-Projects!$B$14*Assumptions!$B$47</f>
        <v>-413546.32</v>
      </c>
      <c r="C14" s="312" t="n">
        <v>0</v>
      </c>
      <c r="D14" s="312" t="n">
        <f aca="false">B14+C14</f>
        <v>-413546.32</v>
      </c>
      <c r="E14" s="293"/>
      <c r="F14" s="293"/>
      <c r="G14" s="293"/>
      <c r="H14" s="293"/>
      <c r="I14" s="293"/>
      <c r="J14" s="293"/>
      <c r="K14" s="293"/>
      <c r="L14" s="293"/>
      <c r="M14" s="293"/>
      <c r="N14" s="293"/>
      <c r="O14" s="293"/>
      <c r="P14" s="293"/>
      <c r="Q14" s="293"/>
      <c r="R14" s="293"/>
      <c r="S14" s="293"/>
      <c r="T14" s="293"/>
      <c r="U14" s="293"/>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3"/>
      <c r="BK14" s="293"/>
      <c r="BL14" s="293"/>
      <c r="BM14" s="293"/>
      <c r="BN14" s="293"/>
      <c r="BO14" s="293"/>
      <c r="BP14" s="293"/>
      <c r="BQ14" s="293"/>
      <c r="BR14" s="293"/>
      <c r="BS14" s="293"/>
      <c r="BT14" s="293"/>
      <c r="BU14" s="293"/>
      <c r="BV14" s="293"/>
      <c r="BW14" s="293"/>
      <c r="BX14" s="293"/>
      <c r="BY14" s="293"/>
      <c r="BZ14" s="293"/>
      <c r="CA14" s="293"/>
      <c r="CB14" s="293"/>
      <c r="CC14" s="293"/>
      <c r="CD14" s="293"/>
      <c r="CE14" s="293"/>
      <c r="CF14" s="293"/>
      <c r="CG14" s="293"/>
      <c r="CH14" s="293"/>
    </row>
    <row r="15" customFormat="false" ht="15" hidden="false" customHeight="true" outlineLevel="0" collapsed="false">
      <c r="A15" s="304" t="s">
        <v>1110</v>
      </c>
      <c r="B15" s="305" t="n">
        <f aca="false">-Assumptions!$B$55*Assumptions!$B$48</f>
        <v>-150000</v>
      </c>
      <c r="C15" s="305" t="n">
        <v>0</v>
      </c>
      <c r="D15" s="305"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11" t="s">
        <v>1093</v>
      </c>
      <c r="B16" s="312" t="n">
        <f aca="false">-SUM(Model!E337:CG337)</f>
        <v>-583237.358559202</v>
      </c>
      <c r="C16" s="312" t="n">
        <f aca="false">IFERROR(-Helpers!F93,0)</f>
        <v>-240125.881206445</v>
      </c>
      <c r="D16" s="312" t="n">
        <f aca="false">IFERROR(B16+C16,0)</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1111</v>
      </c>
      <c r="B17" s="313" t="n">
        <f aca="false">SUM(B13:B16)</f>
        <v>-927317.678559202</v>
      </c>
      <c r="C17" s="313" t="n">
        <f aca="false">IFERROR(SUM(C13:C16),0)</f>
        <v>2466609.11879355</v>
      </c>
      <c r="D17" s="313" t="n">
        <f aca="false">IFERROR(SUM(D13:D16),0)</f>
        <v>1539291.44023435</v>
      </c>
      <c r="E17" s="293"/>
      <c r="F17" s="293"/>
      <c r="G17" s="293"/>
      <c r="H17" s="293"/>
      <c r="I17" s="293"/>
      <c r="J17" s="293"/>
      <c r="K17" s="293"/>
      <c r="L17" s="293"/>
      <c r="M17" s="293"/>
      <c r="N17" s="293"/>
      <c r="O17" s="293"/>
      <c r="P17" s="293"/>
      <c r="Q17" s="293"/>
      <c r="R17" s="293"/>
      <c r="S17" s="293"/>
      <c r="T17" s="293"/>
      <c r="U17" s="293"/>
      <c r="V17" s="293"/>
      <c r="W17" s="293"/>
      <c r="X17" s="293"/>
      <c r="Y17" s="293"/>
      <c r="Z17" s="293"/>
      <c r="AA17" s="293"/>
      <c r="AB17" s="293"/>
      <c r="AC17" s="293"/>
      <c r="AD17" s="293"/>
      <c r="AE17" s="293"/>
      <c r="AF17" s="293"/>
      <c r="AG17" s="293"/>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3"/>
      <c r="BD17" s="293"/>
      <c r="BE17" s="293"/>
      <c r="BF17" s="293"/>
      <c r="BG17" s="293"/>
      <c r="BH17" s="293"/>
      <c r="BI17" s="293"/>
      <c r="BJ17" s="293"/>
      <c r="BK17" s="293"/>
      <c r="BL17" s="293"/>
      <c r="BM17" s="293"/>
      <c r="BN17" s="293"/>
      <c r="BO17" s="293"/>
      <c r="BP17" s="293"/>
      <c r="BQ17" s="293"/>
      <c r="BR17" s="293"/>
      <c r="BS17" s="293"/>
      <c r="BT17" s="293"/>
      <c r="BU17" s="293"/>
      <c r="BV17" s="293"/>
      <c r="BW17" s="293"/>
      <c r="BX17" s="293"/>
      <c r="BY17" s="293"/>
      <c r="BZ17" s="293"/>
      <c r="CA17" s="293"/>
      <c r="CB17" s="293"/>
      <c r="CC17" s="293"/>
      <c r="CD17" s="293"/>
      <c r="CE17" s="293"/>
      <c r="CF17" s="293"/>
      <c r="CG17" s="293"/>
      <c r="CH17" s="293"/>
    </row>
    <row r="18" customFormat="false" ht="15" hidden="false" customHeight="true" outlineLevel="0" collapsed="false">
      <c r="A18" s="314"/>
      <c r="B18" s="315"/>
      <c r="C18" s="315"/>
      <c r="D18" s="315"/>
      <c r="E18" s="293"/>
      <c r="F18" s="293"/>
      <c r="G18" s="293"/>
      <c r="H18" s="293"/>
      <c r="I18" s="293"/>
      <c r="J18" s="293"/>
      <c r="K18" s="293"/>
      <c r="L18" s="293"/>
      <c r="M18" s="293"/>
      <c r="N18" s="293"/>
      <c r="O18" s="293"/>
      <c r="P18" s="293"/>
      <c r="Q18" s="293"/>
      <c r="R18" s="293"/>
      <c r="S18" s="293"/>
      <c r="T18" s="293"/>
      <c r="U18" s="293"/>
      <c r="V18" s="293"/>
      <c r="W18" s="293"/>
      <c r="X18" s="293"/>
      <c r="Y18" s="293"/>
      <c r="Z18" s="293"/>
      <c r="AA18" s="293"/>
      <c r="AB18" s="293"/>
      <c r="AC18" s="293"/>
      <c r="AD18" s="293"/>
      <c r="AE18" s="293"/>
      <c r="AF18" s="293"/>
      <c r="AG18" s="293"/>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3"/>
      <c r="BD18" s="293"/>
      <c r="BE18" s="293"/>
      <c r="BF18" s="293"/>
      <c r="BG18" s="293"/>
      <c r="BH18" s="293"/>
      <c r="BI18" s="293"/>
      <c r="BJ18" s="293"/>
      <c r="BK18" s="293"/>
      <c r="BL18" s="293"/>
      <c r="BM18" s="293"/>
      <c r="BN18" s="293"/>
      <c r="BO18" s="293"/>
      <c r="BP18" s="293"/>
      <c r="BQ18" s="293"/>
      <c r="BR18" s="293"/>
      <c r="BS18" s="293"/>
      <c r="BT18" s="293"/>
      <c r="BU18" s="293"/>
      <c r="BV18" s="293"/>
      <c r="BW18" s="293"/>
      <c r="BX18" s="293"/>
      <c r="BY18" s="293"/>
      <c r="BZ18" s="293"/>
      <c r="CA18" s="293"/>
      <c r="CB18" s="293"/>
      <c r="CC18" s="293"/>
      <c r="CD18" s="293"/>
      <c r="CE18" s="293"/>
      <c r="CF18" s="293"/>
      <c r="CG18" s="293"/>
      <c r="CH18" s="293"/>
    </row>
    <row r="19" customFormat="false" ht="15" hidden="false" customHeight="true" outlineLevel="0" collapsed="false">
      <c r="A19" s="316" t="s">
        <v>18</v>
      </c>
      <c r="B19" s="317"/>
      <c r="C19" s="317"/>
      <c r="D19" s="317"/>
      <c r="E19" s="293"/>
      <c r="F19" s="293"/>
      <c r="G19" s="293"/>
      <c r="H19" s="293"/>
      <c r="I19" s="293"/>
      <c r="J19" s="293"/>
      <c r="K19" s="293"/>
      <c r="L19" s="293"/>
      <c r="M19" s="293"/>
      <c r="N19" s="293"/>
      <c r="O19" s="293"/>
      <c r="P19" s="293"/>
      <c r="Q19" s="293"/>
      <c r="R19" s="293"/>
      <c r="S19" s="293"/>
      <c r="T19" s="293"/>
      <c r="U19" s="293"/>
      <c r="V19" s="293"/>
      <c r="W19" s="293"/>
      <c r="X19" s="293"/>
      <c r="Y19" s="293"/>
      <c r="Z19" s="293"/>
      <c r="AA19" s="293"/>
      <c r="AB19" s="293"/>
      <c r="AC19" s="293"/>
      <c r="AD19" s="293"/>
      <c r="AE19" s="293"/>
      <c r="AF19" s="293"/>
      <c r="AG19" s="293"/>
      <c r="AH19" s="293"/>
      <c r="AI19" s="293"/>
      <c r="AJ19" s="293"/>
      <c r="AK19" s="293"/>
      <c r="AL19" s="293"/>
      <c r="AM19" s="293"/>
      <c r="AN19" s="293"/>
      <c r="AO19" s="293"/>
      <c r="AP19" s="293"/>
      <c r="AQ19" s="293"/>
      <c r="AR19" s="293"/>
      <c r="AS19" s="293"/>
      <c r="AT19" s="293"/>
      <c r="AU19" s="293"/>
      <c r="AV19" s="293"/>
      <c r="AW19" s="293"/>
      <c r="AX19" s="293"/>
      <c r="AY19" s="293"/>
      <c r="AZ19" s="293"/>
      <c r="BA19" s="293"/>
      <c r="BB19" s="293"/>
      <c r="BC19" s="293"/>
      <c r="BD19" s="293"/>
      <c r="BE19" s="293"/>
      <c r="BF19" s="293"/>
      <c r="BG19" s="293"/>
      <c r="BH19" s="293"/>
      <c r="BI19" s="293"/>
      <c r="BJ19" s="293"/>
      <c r="BK19" s="293"/>
      <c r="BL19" s="293"/>
      <c r="BM19" s="293"/>
      <c r="BN19" s="293"/>
      <c r="BO19" s="293"/>
      <c r="BP19" s="293"/>
      <c r="BQ19" s="293"/>
      <c r="BR19" s="293"/>
      <c r="BS19" s="293"/>
      <c r="BT19" s="293"/>
      <c r="BU19" s="293"/>
      <c r="BV19" s="293"/>
      <c r="BW19" s="293"/>
      <c r="BX19" s="293"/>
      <c r="BY19" s="293"/>
      <c r="BZ19" s="293"/>
      <c r="CA19" s="293"/>
      <c r="CB19" s="293"/>
      <c r="CC19" s="293"/>
      <c r="CD19" s="293"/>
      <c r="CE19" s="293"/>
      <c r="CF19" s="293"/>
      <c r="CG19" s="293"/>
      <c r="CH19" s="293"/>
    </row>
    <row r="20" customFormat="false" ht="15" hidden="false" customHeight="true" outlineLevel="0" collapsed="false">
      <c r="A20" s="318" t="s">
        <v>1108</v>
      </c>
      <c r="B20" s="319" t="n">
        <f aca="false">SUM(Model!E255:CG255)</f>
        <v>1599927</v>
      </c>
      <c r="C20" s="319" t="n">
        <f aca="false">Helpers!B49</f>
        <v>2359498</v>
      </c>
      <c r="D20" s="319"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20" t="s">
        <v>1109</v>
      </c>
      <c r="B21" s="321" t="n">
        <f aca="false">-Projects!$B$13*Assumptions!$B$47</f>
        <v>-452667.7</v>
      </c>
      <c r="C21" s="321" t="n">
        <v>0</v>
      </c>
      <c r="D21" s="321"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18" t="s">
        <v>1110</v>
      </c>
      <c r="B22" s="319" t="n">
        <f aca="false">-Assumptions!$B$54*Assumptions!$B$48</f>
        <v>-150000</v>
      </c>
      <c r="C22" s="319" t="n">
        <v>0</v>
      </c>
      <c r="D22" s="319" t="n">
        <f aca="false">B22+C22</f>
        <v>-150000</v>
      </c>
      <c r="E22" s="293"/>
      <c r="F22" s="293"/>
      <c r="G22" s="293"/>
      <c r="H22" s="293"/>
      <c r="I22" s="293"/>
      <c r="J22" s="293"/>
      <c r="K22" s="293"/>
      <c r="L22" s="293"/>
      <c r="M22" s="293"/>
      <c r="N22" s="293"/>
      <c r="O22" s="293"/>
      <c r="P22" s="293"/>
      <c r="Q22" s="293"/>
      <c r="R22" s="293"/>
      <c r="S22" s="293"/>
      <c r="T22" s="293"/>
      <c r="U22" s="293"/>
      <c r="V22" s="293"/>
      <c r="W22" s="293"/>
      <c r="X22" s="293"/>
      <c r="Y22" s="293"/>
      <c r="Z22" s="293"/>
      <c r="AA22" s="293"/>
      <c r="AB22" s="293"/>
      <c r="AC22" s="293"/>
      <c r="AD22" s="293"/>
      <c r="AE22" s="293"/>
      <c r="AF22" s="293"/>
      <c r="AG22" s="293"/>
      <c r="AH22" s="293"/>
      <c r="AI22" s="293"/>
      <c r="AJ22" s="293"/>
      <c r="AK22" s="293"/>
      <c r="AL22" s="293"/>
      <c r="AM22" s="293"/>
      <c r="AN22" s="293"/>
      <c r="AO22" s="293"/>
      <c r="AP22" s="293"/>
      <c r="AQ22" s="293"/>
      <c r="AR22" s="293"/>
      <c r="AS22" s="293"/>
      <c r="AT22" s="293"/>
      <c r="AU22" s="293"/>
      <c r="AV22" s="293"/>
      <c r="AW22" s="293"/>
      <c r="AX22" s="293"/>
      <c r="AY22" s="293"/>
      <c r="AZ22" s="293"/>
      <c r="BA22" s="293"/>
      <c r="BB22" s="293"/>
      <c r="BC22" s="293"/>
      <c r="BD22" s="293"/>
      <c r="BE22" s="293"/>
      <c r="BF22" s="293"/>
      <c r="BG22" s="293"/>
      <c r="BH22" s="293"/>
      <c r="BI22" s="293"/>
      <c r="BJ22" s="293"/>
      <c r="BK22" s="293"/>
      <c r="BL22" s="293"/>
      <c r="BM22" s="293"/>
      <c r="BN22" s="293"/>
      <c r="BO22" s="293"/>
      <c r="BP22" s="293"/>
      <c r="BQ22" s="293"/>
      <c r="BR22" s="293"/>
      <c r="BS22" s="293"/>
      <c r="BT22" s="293"/>
      <c r="BU22" s="293"/>
      <c r="BV22" s="293"/>
      <c r="BW22" s="293"/>
      <c r="BX22" s="293"/>
      <c r="BY22" s="293"/>
      <c r="BZ22" s="293"/>
      <c r="CA22" s="293"/>
      <c r="CB22" s="293"/>
      <c r="CC22" s="293"/>
      <c r="CD22" s="293"/>
      <c r="CE22" s="293"/>
      <c r="CF22" s="293"/>
      <c r="CG22" s="293"/>
      <c r="CH22" s="293"/>
    </row>
    <row r="23" customFormat="false" ht="15" hidden="false" customHeight="true" outlineLevel="0" collapsed="false">
      <c r="A23" s="90" t="s">
        <v>1093</v>
      </c>
      <c r="B23" s="293" t="n">
        <f aca="false">-SUM(Model!E342:CG342)</f>
        <v>-735311.322547972</v>
      </c>
      <c r="C23" s="293" t="n">
        <v>0</v>
      </c>
      <c r="D23" s="293" t="n">
        <f aca="false">B23+C23</f>
        <v>-735311.322547972</v>
      </c>
      <c r="E23" s="293"/>
      <c r="F23" s="293"/>
      <c r="G23" s="293"/>
      <c r="H23" s="293"/>
      <c r="I23" s="293"/>
      <c r="J23" s="293"/>
      <c r="K23" s="293"/>
      <c r="L23" s="293"/>
      <c r="M23" s="293"/>
      <c r="N23" s="293"/>
      <c r="O23" s="293"/>
      <c r="P23" s="293"/>
      <c r="Q23" s="293"/>
      <c r="R23" s="293"/>
      <c r="S23" s="293"/>
      <c r="T23" s="293"/>
      <c r="U23" s="293"/>
      <c r="V23" s="293"/>
      <c r="W23" s="293"/>
      <c r="X23" s="293"/>
      <c r="Y23" s="293"/>
      <c r="Z23" s="293"/>
      <c r="AA23" s="293"/>
      <c r="AB23" s="293"/>
      <c r="AC23" s="293"/>
      <c r="AD23" s="293"/>
      <c r="AE23" s="293"/>
      <c r="AF23" s="293"/>
      <c r="AG23" s="293"/>
      <c r="AH23" s="293"/>
      <c r="AI23" s="293"/>
      <c r="AJ23" s="293"/>
      <c r="AK23" s="293"/>
      <c r="AL23" s="293"/>
      <c r="AM23" s="293"/>
      <c r="AN23" s="293"/>
      <c r="AO23" s="293"/>
      <c r="AP23" s="293"/>
      <c r="AQ23" s="293"/>
      <c r="AR23" s="293"/>
      <c r="AS23" s="293"/>
      <c r="AT23" s="293"/>
      <c r="AU23" s="293"/>
      <c r="AV23" s="293"/>
      <c r="AW23" s="293"/>
      <c r="AX23" s="293"/>
      <c r="AY23" s="293"/>
      <c r="AZ23" s="293"/>
      <c r="BA23" s="293"/>
      <c r="BB23" s="293"/>
      <c r="BC23" s="293"/>
      <c r="BD23" s="293"/>
      <c r="BE23" s="293"/>
      <c r="BF23" s="293"/>
      <c r="BG23" s="293"/>
      <c r="BH23" s="293"/>
      <c r="BI23" s="293"/>
      <c r="BJ23" s="293"/>
      <c r="BK23" s="293"/>
      <c r="BL23" s="293"/>
      <c r="BM23" s="293"/>
      <c r="BN23" s="293"/>
      <c r="BO23" s="293"/>
      <c r="BP23" s="293"/>
      <c r="BQ23" s="293"/>
      <c r="BR23" s="293"/>
      <c r="BS23" s="293"/>
      <c r="BT23" s="293"/>
      <c r="BU23" s="293"/>
      <c r="BV23" s="293"/>
      <c r="BW23" s="293"/>
      <c r="BX23" s="293"/>
      <c r="BY23" s="293"/>
      <c r="BZ23" s="293"/>
      <c r="CA23" s="293"/>
      <c r="CB23" s="293"/>
      <c r="CC23" s="293"/>
      <c r="CD23" s="293"/>
      <c r="CE23" s="293"/>
      <c r="CF23" s="293"/>
      <c r="CG23" s="293"/>
      <c r="CH23" s="293"/>
    </row>
    <row r="24" customFormat="false" ht="15" hidden="false" customHeight="true" outlineLevel="0" collapsed="false">
      <c r="A24" s="322" t="s">
        <v>1111</v>
      </c>
      <c r="B24" s="323" t="n">
        <f aca="false">SUM(B20:B23)</f>
        <v>261947.977452028</v>
      </c>
      <c r="C24" s="323" t="n">
        <f aca="false">SUM(C20:C23)</f>
        <v>2359498</v>
      </c>
      <c r="D24" s="323" t="n">
        <f aca="false">SUM(D20:D23)</f>
        <v>2621445.97745203</v>
      </c>
      <c r="E24" s="293"/>
      <c r="F24" s="293"/>
      <c r="G24" s="293"/>
      <c r="H24" s="293"/>
      <c r="I24" s="293"/>
      <c r="J24" s="293"/>
      <c r="K24" s="293"/>
      <c r="L24" s="293"/>
      <c r="M24" s="293"/>
      <c r="N24" s="293"/>
      <c r="O24" s="293"/>
      <c r="P24" s="293"/>
      <c r="Q24" s="293"/>
      <c r="R24" s="293"/>
      <c r="S24" s="293"/>
      <c r="T24" s="293"/>
      <c r="U24" s="293"/>
      <c r="V24" s="293"/>
      <c r="W24" s="293"/>
      <c r="X24" s="293"/>
      <c r="Y24" s="293"/>
      <c r="Z24" s="293"/>
      <c r="AA24" s="293"/>
      <c r="AB24" s="293"/>
      <c r="AC24" s="293"/>
      <c r="AD24" s="293"/>
      <c r="AE24" s="293"/>
      <c r="AF24" s="293"/>
      <c r="AG24" s="293"/>
      <c r="AH24" s="293"/>
      <c r="AI24" s="293"/>
      <c r="AJ24" s="293"/>
      <c r="AK24" s="293"/>
      <c r="AL24" s="293"/>
      <c r="AM24" s="293"/>
      <c r="AN24" s="293"/>
      <c r="AO24" s="293"/>
      <c r="AP24" s="293"/>
      <c r="AQ24" s="293"/>
      <c r="AR24" s="293"/>
      <c r="AS24" s="293"/>
      <c r="AT24" s="293"/>
      <c r="AU24" s="293"/>
      <c r="AV24" s="293"/>
      <c r="AW24" s="293"/>
      <c r="AX24" s="293"/>
      <c r="AY24" s="293"/>
      <c r="AZ24" s="293"/>
      <c r="BA24" s="293"/>
      <c r="BB24" s="293"/>
      <c r="BC24" s="293"/>
      <c r="BD24" s="293"/>
      <c r="BE24" s="293"/>
      <c r="BF24" s="293"/>
      <c r="BG24" s="293"/>
      <c r="BH24" s="293"/>
      <c r="BI24" s="293"/>
      <c r="BJ24" s="293"/>
      <c r="BK24" s="293"/>
      <c r="BL24" s="293"/>
      <c r="BM24" s="293"/>
      <c r="BN24" s="293"/>
      <c r="BO24" s="293"/>
      <c r="BP24" s="293"/>
      <c r="BQ24" s="293"/>
      <c r="BR24" s="293"/>
      <c r="BS24" s="293"/>
      <c r="BT24" s="293"/>
      <c r="BU24" s="293"/>
      <c r="BV24" s="293"/>
      <c r="BW24" s="293"/>
      <c r="BX24" s="293"/>
      <c r="BY24" s="293"/>
      <c r="BZ24" s="293"/>
      <c r="CA24" s="293"/>
      <c r="CB24" s="293"/>
      <c r="CC24" s="293"/>
      <c r="CD24" s="293"/>
      <c r="CE24" s="293"/>
      <c r="CF24" s="293"/>
      <c r="CG24" s="293"/>
      <c r="CH24" s="293"/>
    </row>
    <row r="25" customFormat="false" ht="15" hidden="false" customHeight="true" outlineLevel="0" collapsed="false">
      <c r="A25" s="292"/>
      <c r="B25" s="324"/>
      <c r="C25" s="324"/>
      <c r="D25" s="324"/>
      <c r="E25" s="293"/>
      <c r="F25" s="293"/>
      <c r="G25" s="293"/>
      <c r="H25" s="293"/>
      <c r="I25" s="293"/>
      <c r="J25" s="293"/>
      <c r="K25" s="293"/>
      <c r="L25" s="293"/>
      <c r="M25" s="293"/>
      <c r="N25" s="293"/>
      <c r="O25" s="293"/>
      <c r="P25" s="293"/>
      <c r="Q25" s="293"/>
      <c r="R25" s="293"/>
      <c r="S25" s="293"/>
      <c r="T25" s="293"/>
      <c r="U25" s="293"/>
      <c r="V25" s="293"/>
      <c r="W25" s="293"/>
      <c r="X25" s="293"/>
      <c r="Y25" s="293"/>
      <c r="Z25" s="293"/>
      <c r="AA25" s="293"/>
      <c r="AB25" s="293"/>
      <c r="AC25" s="293"/>
      <c r="AD25" s="293"/>
      <c r="AE25" s="293"/>
      <c r="AF25" s="293"/>
      <c r="AG25" s="293"/>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3"/>
      <c r="BD25" s="293"/>
      <c r="BE25" s="293"/>
      <c r="BF25" s="293"/>
      <c r="BG25" s="293"/>
      <c r="BH25" s="293"/>
      <c r="BI25" s="293"/>
      <c r="BJ25" s="293"/>
      <c r="BK25" s="293"/>
      <c r="BL25" s="293"/>
      <c r="BM25" s="293"/>
      <c r="BN25" s="293"/>
      <c r="BO25" s="293"/>
      <c r="BP25" s="293"/>
      <c r="BQ25" s="293"/>
      <c r="BR25" s="293"/>
      <c r="BS25" s="293"/>
      <c r="BT25" s="293"/>
      <c r="BU25" s="293"/>
      <c r="BV25" s="293"/>
      <c r="BW25" s="293"/>
      <c r="BX25" s="293"/>
      <c r="BY25" s="293"/>
      <c r="BZ25" s="293"/>
      <c r="CA25" s="293"/>
      <c r="CB25" s="293"/>
      <c r="CC25" s="293"/>
      <c r="CD25" s="293"/>
      <c r="CE25" s="293"/>
      <c r="CF25" s="293"/>
      <c r="CG25" s="293"/>
      <c r="CH25" s="293"/>
    </row>
    <row r="26" customFormat="false" ht="15" hidden="false" customHeight="true" outlineLevel="0" collapsed="false">
      <c r="A26" s="325" t="s">
        <v>1113</v>
      </c>
      <c r="B26" s="326"/>
      <c r="C26" s="326"/>
      <c r="D26" s="326"/>
      <c r="E26" s="293"/>
      <c r="F26" s="293"/>
      <c r="G26" s="293"/>
      <c r="H26" s="293"/>
      <c r="I26" s="293"/>
      <c r="J26" s="293"/>
      <c r="K26" s="293"/>
      <c r="L26" s="293"/>
      <c r="M26" s="293"/>
      <c r="N26" s="293"/>
      <c r="O26" s="293"/>
      <c r="P26" s="293"/>
      <c r="Q26" s="293"/>
      <c r="R26" s="293"/>
      <c r="S26" s="293"/>
      <c r="T26" s="293"/>
      <c r="U26" s="293"/>
      <c r="V26" s="293"/>
      <c r="W26" s="293"/>
      <c r="X26" s="293"/>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3"/>
      <c r="BD26" s="293"/>
      <c r="BE26" s="293"/>
      <c r="BF26" s="293"/>
      <c r="BG26" s="293"/>
      <c r="BH26" s="293"/>
      <c r="BI26" s="293"/>
      <c r="BJ26" s="293"/>
      <c r="BK26" s="293"/>
      <c r="BL26" s="293"/>
      <c r="BM26" s="293"/>
      <c r="BN26" s="293"/>
      <c r="BO26" s="293"/>
      <c r="BP26" s="293"/>
      <c r="BQ26" s="293"/>
      <c r="BR26" s="293"/>
      <c r="BS26" s="293"/>
      <c r="BT26" s="293"/>
      <c r="BU26" s="293"/>
      <c r="BV26" s="293"/>
      <c r="BW26" s="293"/>
      <c r="BX26" s="293"/>
      <c r="BY26" s="293"/>
      <c r="BZ26" s="293"/>
      <c r="CA26" s="293"/>
      <c r="CB26" s="293"/>
      <c r="CC26" s="293"/>
      <c r="CD26" s="293"/>
      <c r="CE26" s="293"/>
      <c r="CF26" s="293"/>
      <c r="CG26" s="293"/>
      <c r="CH26" s="293"/>
    </row>
    <row r="27" customFormat="false" ht="15" hidden="false" customHeight="true" outlineLevel="0" collapsed="false">
      <c r="A27" s="327" t="s">
        <v>1114</v>
      </c>
      <c r="B27" s="328" t="n">
        <f aca="false">B6+B13+B20</f>
        <v>2934389</v>
      </c>
      <c r="C27" s="328" t="n">
        <f aca="false">IFERROR(C6+C13+C20,0)</f>
        <v>6978708</v>
      </c>
      <c r="D27" s="328" t="n">
        <f aca="false">IFERROR(D6+D13+D20,0)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1115</v>
      </c>
      <c r="B28" s="293" t="n">
        <f aca="false">B7+B14+B21</f>
        <v>-1294161.67</v>
      </c>
      <c r="C28" s="293" t="n">
        <f aca="false">C7+C14+C21</f>
        <v>0</v>
      </c>
      <c r="D28" s="293"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29" t="s">
        <v>1116</v>
      </c>
      <c r="B29" s="330" t="n">
        <f aca="false">B8+B15+B22</f>
        <v>-450000</v>
      </c>
      <c r="C29" s="330" t="n">
        <f aca="false">C8+C15+C22</f>
        <v>0</v>
      </c>
      <c r="D29" s="330" t="n">
        <f aca="false">D8+D15+D22</f>
        <v>-450000</v>
      </c>
      <c r="E29" s="293"/>
      <c r="F29" s="293"/>
      <c r="G29" s="293"/>
      <c r="H29" s="293"/>
      <c r="I29" s="293"/>
      <c r="J29" s="293"/>
      <c r="K29" s="293"/>
      <c r="L29" s="293"/>
      <c r="M29" s="293"/>
      <c r="N29" s="293"/>
      <c r="O29" s="293"/>
      <c r="P29" s="293"/>
      <c r="Q29" s="293"/>
      <c r="R29" s="293"/>
      <c r="S29" s="293"/>
      <c r="T29" s="293"/>
      <c r="U29" s="293"/>
      <c r="V29" s="293"/>
      <c r="W29" s="293"/>
      <c r="X29" s="293"/>
      <c r="Y29" s="293"/>
      <c r="Z29" s="293"/>
      <c r="AA29" s="293"/>
      <c r="AB29" s="293"/>
      <c r="AC29" s="293"/>
      <c r="AD29" s="293"/>
      <c r="AE29" s="293"/>
      <c r="AF29" s="293"/>
      <c r="AG29" s="293"/>
      <c r="AH29" s="293"/>
      <c r="AI29" s="293"/>
      <c r="AJ29" s="293"/>
      <c r="AK29" s="293"/>
      <c r="AL29" s="293"/>
      <c r="AM29" s="293"/>
      <c r="AN29" s="293"/>
      <c r="AO29" s="293"/>
      <c r="AP29" s="293"/>
      <c r="AQ29" s="293"/>
      <c r="AR29" s="293"/>
      <c r="AS29" s="293"/>
      <c r="AT29" s="293"/>
      <c r="AU29" s="293"/>
      <c r="AV29" s="293"/>
      <c r="AW29" s="293"/>
      <c r="AX29" s="293"/>
      <c r="AY29" s="293"/>
      <c r="AZ29" s="293"/>
      <c r="BA29" s="293"/>
      <c r="BB29" s="293"/>
      <c r="BC29" s="293"/>
      <c r="BD29" s="293"/>
      <c r="BE29" s="293"/>
      <c r="BF29" s="293"/>
      <c r="BG29" s="293"/>
      <c r="BH29" s="293"/>
      <c r="BI29" s="293"/>
      <c r="BJ29" s="293"/>
      <c r="BK29" s="293"/>
      <c r="BL29" s="293"/>
      <c r="BM29" s="293"/>
      <c r="BN29" s="293"/>
      <c r="BO29" s="293"/>
      <c r="BP29" s="293"/>
      <c r="BQ29" s="293"/>
      <c r="BR29" s="293"/>
      <c r="BS29" s="293"/>
      <c r="BT29" s="293"/>
      <c r="BU29" s="293"/>
      <c r="BV29" s="293"/>
      <c r="BW29" s="293"/>
      <c r="BX29" s="293"/>
      <c r="BY29" s="293"/>
      <c r="BZ29" s="293"/>
      <c r="CA29" s="293"/>
      <c r="CB29" s="293"/>
      <c r="CC29" s="293"/>
      <c r="CD29" s="293"/>
      <c r="CE29" s="293"/>
      <c r="CF29" s="293"/>
      <c r="CG29" s="293"/>
      <c r="CH29" s="293"/>
    </row>
    <row r="30" customFormat="false" ht="15" hidden="false" customHeight="true" outlineLevel="0" collapsed="false">
      <c r="A30" s="331" t="s">
        <v>1117</v>
      </c>
      <c r="B30" s="332" t="n">
        <f aca="false">B9+B16+B23</f>
        <v>-1318548.68110717</v>
      </c>
      <c r="C30" s="332" t="n">
        <f aca="false">IFERROR(C9+C16+C23,0)</f>
        <v>-240125.881206445</v>
      </c>
      <c r="D30" s="332" t="n">
        <f aca="false">IFERROR(D9+D16+D23,0)</f>
        <v>-1558674.56231362</v>
      </c>
      <c r="E30" s="293"/>
      <c r="F30" s="293"/>
      <c r="G30" s="293"/>
      <c r="H30" s="293"/>
      <c r="I30" s="293"/>
      <c r="J30" s="293"/>
      <c r="K30" s="293"/>
      <c r="L30" s="293"/>
      <c r="M30" s="293"/>
      <c r="N30" s="293"/>
      <c r="O30" s="293"/>
      <c r="P30" s="293"/>
      <c r="Q30" s="293"/>
      <c r="R30" s="293"/>
      <c r="S30" s="293"/>
      <c r="T30" s="293"/>
      <c r="U30" s="293"/>
      <c r="V30" s="293"/>
      <c r="W30" s="293"/>
      <c r="X30" s="293"/>
      <c r="Y30" s="293"/>
      <c r="Z30" s="293"/>
      <c r="AA30" s="293"/>
      <c r="AB30" s="293"/>
      <c r="AC30" s="293"/>
      <c r="AD30" s="293"/>
      <c r="AE30" s="293"/>
      <c r="AF30" s="293"/>
      <c r="AG30" s="293"/>
      <c r="AH30" s="293"/>
      <c r="AI30" s="293"/>
      <c r="AJ30" s="293"/>
      <c r="AK30" s="293"/>
      <c r="AL30" s="293"/>
      <c r="AM30" s="293"/>
      <c r="AN30" s="293"/>
      <c r="AO30" s="293"/>
      <c r="AP30" s="293"/>
      <c r="AQ30" s="293"/>
      <c r="AR30" s="293"/>
      <c r="AS30" s="293"/>
      <c r="AT30" s="293"/>
      <c r="AU30" s="293"/>
      <c r="AV30" s="293"/>
      <c r="AW30" s="293"/>
      <c r="AX30" s="293"/>
      <c r="AY30" s="293"/>
      <c r="AZ30" s="293"/>
      <c r="BA30" s="293"/>
      <c r="BB30" s="293"/>
      <c r="BC30" s="293"/>
      <c r="BD30" s="293"/>
      <c r="BE30" s="293"/>
      <c r="BF30" s="293"/>
      <c r="BG30" s="293"/>
      <c r="BH30" s="293"/>
      <c r="BI30" s="293"/>
      <c r="BJ30" s="293"/>
      <c r="BK30" s="293"/>
      <c r="BL30" s="293"/>
      <c r="BM30" s="293"/>
      <c r="BN30" s="293"/>
      <c r="BO30" s="293"/>
      <c r="BP30" s="293"/>
      <c r="BQ30" s="293"/>
      <c r="BR30" s="293"/>
      <c r="BS30" s="293"/>
      <c r="BT30" s="293"/>
      <c r="BU30" s="293"/>
      <c r="BV30" s="293"/>
      <c r="BW30" s="293"/>
      <c r="BX30" s="293"/>
      <c r="BY30" s="293"/>
      <c r="BZ30" s="293"/>
      <c r="CA30" s="293"/>
      <c r="CB30" s="293"/>
      <c r="CC30" s="293"/>
      <c r="CD30" s="293"/>
      <c r="CE30" s="293"/>
      <c r="CF30" s="293"/>
      <c r="CG30" s="293"/>
      <c r="CH30" s="293"/>
    </row>
    <row r="31" customFormat="false" ht="15" hidden="false" customHeight="true" outlineLevel="0" collapsed="false">
      <c r="A31" s="97" t="s">
        <v>1118</v>
      </c>
      <c r="B31" s="313" t="n">
        <f aca="false">B10+B17+B24</f>
        <v>-128321.351107174</v>
      </c>
      <c r="C31" s="313" t="n">
        <f aca="false">IFERROR(C10+C17+C24,0)</f>
        <v>6738582.11879356</v>
      </c>
      <c r="D31" s="313" t="n">
        <f aca="false">IFERROR(D10+D17+D24,0)</f>
        <v>6610260.76768638</v>
      </c>
      <c r="E31" s="293"/>
      <c r="F31" s="293"/>
      <c r="G31" s="293"/>
      <c r="H31" s="293"/>
      <c r="I31" s="293"/>
      <c r="J31" s="293"/>
      <c r="K31" s="293"/>
      <c r="L31" s="293"/>
      <c r="M31" s="293"/>
      <c r="N31" s="293"/>
      <c r="O31" s="293"/>
      <c r="P31" s="293"/>
      <c r="Q31" s="293"/>
      <c r="R31" s="293"/>
      <c r="S31" s="293"/>
      <c r="T31" s="293"/>
      <c r="U31" s="293"/>
      <c r="V31" s="293"/>
      <c r="W31" s="293"/>
      <c r="X31" s="293"/>
      <c r="Y31" s="293"/>
      <c r="Z31" s="293"/>
      <c r="AA31" s="293"/>
      <c r="AB31" s="293"/>
      <c r="AC31" s="293"/>
      <c r="AD31" s="293"/>
      <c r="AE31" s="293"/>
      <c r="AF31" s="293"/>
      <c r="AG31" s="293"/>
      <c r="AH31" s="293"/>
      <c r="AI31" s="293"/>
      <c r="AJ31" s="293"/>
      <c r="AK31" s="293"/>
      <c r="AL31" s="293"/>
      <c r="AM31" s="293"/>
      <c r="AN31" s="293"/>
      <c r="AO31" s="293"/>
      <c r="AP31" s="293"/>
      <c r="AQ31" s="293"/>
      <c r="AR31" s="293"/>
      <c r="AS31" s="293"/>
      <c r="AT31" s="293"/>
      <c r="AU31" s="293"/>
      <c r="AV31" s="293"/>
      <c r="AW31" s="293"/>
      <c r="AX31" s="293"/>
      <c r="AY31" s="293"/>
      <c r="AZ31" s="293"/>
      <c r="BA31" s="293"/>
      <c r="BB31" s="293"/>
      <c r="BC31" s="293"/>
      <c r="BD31" s="293"/>
      <c r="BE31" s="293"/>
      <c r="BF31" s="293"/>
      <c r="BG31" s="293"/>
      <c r="BH31" s="293"/>
      <c r="BI31" s="293"/>
      <c r="BJ31" s="293"/>
      <c r="BK31" s="293"/>
      <c r="BL31" s="293"/>
      <c r="BM31" s="293"/>
      <c r="BN31" s="293"/>
      <c r="BO31" s="293"/>
      <c r="BP31" s="293"/>
      <c r="BQ31" s="293"/>
      <c r="BR31" s="293"/>
      <c r="BS31" s="293"/>
      <c r="BT31" s="293"/>
      <c r="BU31" s="293"/>
      <c r="BV31" s="293"/>
      <c r="BW31" s="293"/>
      <c r="BX31" s="293"/>
      <c r="BY31" s="293"/>
      <c r="BZ31" s="293"/>
      <c r="CA31" s="293"/>
      <c r="CB31" s="293"/>
      <c r="CC31" s="293"/>
      <c r="CD31" s="293"/>
      <c r="CE31" s="293"/>
      <c r="CF31" s="293"/>
      <c r="CG31" s="293"/>
      <c r="CH31" s="293"/>
    </row>
    <row r="32" customFormat="false" ht="15" hidden="false" customHeight="true" outlineLevel="0" collapsed="false">
      <c r="A32" s="333"/>
      <c r="B32" s="334"/>
      <c r="C32" s="334"/>
      <c r="D32" s="334"/>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292"/>
      <c r="B33" s="324"/>
      <c r="C33" s="324"/>
      <c r="D33" s="324"/>
      <c r="E33" s="293"/>
      <c r="F33" s="293"/>
      <c r="G33" s="293"/>
      <c r="H33" s="293"/>
      <c r="I33" s="293"/>
      <c r="J33" s="293"/>
      <c r="K33" s="293"/>
      <c r="L33" s="293"/>
      <c r="M33" s="293"/>
      <c r="N33" s="293"/>
      <c r="O33" s="293"/>
      <c r="P33" s="293"/>
      <c r="Q33" s="293"/>
      <c r="R33" s="293"/>
      <c r="S33" s="293"/>
      <c r="T33" s="293"/>
      <c r="U33" s="293"/>
      <c r="V33" s="293"/>
      <c r="W33" s="293"/>
      <c r="X33" s="293"/>
      <c r="Y33" s="293"/>
      <c r="Z33" s="293"/>
      <c r="AA33" s="293"/>
      <c r="AB33" s="293"/>
      <c r="AC33" s="293"/>
      <c r="AD33" s="293"/>
      <c r="AE33" s="293"/>
      <c r="AF33" s="293"/>
      <c r="AG33" s="293"/>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3"/>
      <c r="BD33" s="293"/>
      <c r="BE33" s="293"/>
      <c r="BF33" s="293"/>
      <c r="BG33" s="293"/>
      <c r="BH33" s="293"/>
      <c r="BI33" s="293"/>
      <c r="BJ33" s="293"/>
      <c r="BK33" s="293"/>
      <c r="BL33" s="293"/>
      <c r="BM33" s="293"/>
      <c r="BN33" s="293"/>
      <c r="BO33" s="293"/>
      <c r="BP33" s="293"/>
      <c r="BQ33" s="293"/>
      <c r="BR33" s="293"/>
      <c r="BS33" s="293"/>
      <c r="BT33" s="293"/>
      <c r="BU33" s="293"/>
      <c r="BV33" s="293"/>
      <c r="BW33" s="293"/>
      <c r="BX33" s="293"/>
      <c r="BY33" s="293"/>
      <c r="BZ33" s="293"/>
      <c r="CA33" s="293"/>
      <c r="CB33" s="293"/>
      <c r="CC33" s="293"/>
      <c r="CD33" s="293"/>
      <c r="CE33" s="293"/>
      <c r="CF33" s="293"/>
      <c r="CG33" s="293"/>
      <c r="CH33" s="293"/>
    </row>
    <row r="34" customFormat="false" ht="15" hidden="false" customHeight="true" outlineLevel="0" collapsed="false">
      <c r="A34" s="333"/>
      <c r="B34" s="334"/>
      <c r="C34" s="334"/>
      <c r="D34" s="334"/>
    </row>
    <row r="35" customFormat="false" ht="15" hidden="false" customHeight="true" outlineLevel="0" collapsed="false">
      <c r="A35" s="308"/>
      <c r="B35" s="309"/>
      <c r="C35" s="309"/>
      <c r="D35" s="309"/>
    </row>
    <row r="37" customFormat="false" ht="15" hidden="false" customHeight="true" outlineLevel="0" collapsed="false">
      <c r="A37" s="335"/>
    </row>
    <row r="38" customFormat="false" ht="15" hidden="false" customHeight="true" outlineLevel="0" collapsed="false">
      <c r="A38" s="336"/>
    </row>
    <row r="39" customFormat="false" ht="15" hidden="false" customHeight="true" outlineLevel="0" collapsed="false">
      <c r="A39" s="336"/>
    </row>
    <row r="40" customFormat="false" ht="15" hidden="false" customHeight="true" outlineLevel="0" collapsed="false">
      <c r="A40" s="336" t="s">
        <v>1119</v>
      </c>
    </row>
    <row r="41" customFormat="false" ht="15" hidden="false" customHeight="true" outlineLevel="0" collapsed="false">
      <c r="A41" s="336" t="s">
        <v>1120</v>
      </c>
    </row>
    <row r="42" customFormat="false" ht="15" hidden="false" customHeight="true" outlineLevel="0" collapsed="false">
      <c r="A42" s="336" t="s">
        <v>1121</v>
      </c>
    </row>
    <row r="43" customFormat="false" ht="15" hidden="false" customHeight="true" outlineLevel="0" collapsed="false">
      <c r="A43" s="336" t="s">
        <v>1122</v>
      </c>
    </row>
    <row r="44" customFormat="false" ht="15" hidden="false" customHeight="true" outlineLevel="0" collapsed="false">
      <c r="A44" s="336" t="s">
        <v>1123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265625" defaultRowHeight="13.5" customHeight="false"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1124</v>
      </c>
    </row>
    <row r="2" customFormat="false" ht="15" hidden="false" customHeight="true" outlineLevel="0" collapsed="false">
      <c r="A2" s="90" t="s">
        <v>1125</v>
      </c>
      <c r="B2" s="337" t="n">
        <v>0.0025</v>
      </c>
    </row>
    <row r="3" customFormat="false" ht="15" hidden="false" customHeight="true" outlineLevel="0" collapsed="false">
      <c r="A3" s="90" t="s">
        <v>1126</v>
      </c>
      <c r="B3" s="338" t="n">
        <v>0.1</v>
      </c>
    </row>
    <row r="4" customFormat="false" ht="15" hidden="false" customHeight="true" outlineLevel="0" collapsed="false"/>
    <row r="5" customFormat="false" ht="30" hidden="false" customHeight="true" outlineLevel="0" collapsed="false">
      <c r="A5" s="339" t="s">
        <v>1127</v>
      </c>
      <c r="B5" s="339" t="s">
        <v>1128</v>
      </c>
      <c r="C5" s="339" t="s">
        <v>1129</v>
      </c>
      <c r="D5" s="340" t="s">
        <v>1130</v>
      </c>
      <c r="E5" s="340" t="s">
        <v>1131</v>
      </c>
      <c r="F5" s="340" t="s">
        <v>1132</v>
      </c>
      <c r="G5" s="341" t="s">
        <v>575</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42"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2471600.4080808</v>
      </c>
      <c r="E7" s="104" t="n">
        <f aca="false">SUM(Helpers!O101:Z101)</f>
        <v>0</v>
      </c>
      <c r="F7" s="104" t="n">
        <f aca="false">D7-E7</f>
        <v>2471600.4080808</v>
      </c>
      <c r="G7" s="342"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18921607.7089594</v>
      </c>
      <c r="E8" s="104" t="n">
        <f aca="false">SUM(Helpers!AA101:AL101)</f>
        <v>0</v>
      </c>
      <c r="F8" s="104" t="n">
        <f aca="false">D8-E8</f>
        <v>18921607.7089594</v>
      </c>
      <c r="G8" s="342" t="n">
        <f aca="false">IF(F8&gt;=Assumptions!$B$86,Assumptions!$C$86,IF(F8&gt;=Assumptions!$B$85,Assumptions!$C$85,IF(F8&gt;=Assumptions!$B$84,Assumptions!$C$84,Assumptions!$C$83)))</f>
        <v>0.25</v>
      </c>
    </row>
    <row r="9" customFormat="false" ht="15" hidden="false" customHeight="true" outlineLevel="0" collapsed="false">
      <c r="A9" s="9" t="n">
        <v>2029</v>
      </c>
      <c r="B9" s="9" t="n">
        <v>34</v>
      </c>
      <c r="C9" s="9" t="n">
        <v>45</v>
      </c>
      <c r="D9" s="104" t="n">
        <f aca="false">SUM(Helpers!AM96:AX96)</f>
        <v>3633122.46295976</v>
      </c>
      <c r="E9" s="104" t="n">
        <f aca="false">SUM(Helpers!AM101:AX101)</f>
        <v>0</v>
      </c>
      <c r="F9" s="104" t="n">
        <f aca="false">D9-E9</f>
        <v>3633122.46295976</v>
      </c>
      <c r="G9" s="342" t="n">
        <f aca="false">IF(F9&gt;=Assumptions!$B$86,Assumptions!$C$86,IF(F9&gt;=Assumptions!$B$85,Assumptions!$C$85,IF(F9&gt;=Assumptions!$B$84,Assumptions!$C$84,Assumptions!$C$83)))</f>
        <v>0.25</v>
      </c>
    </row>
    <row r="10" customFormat="false" ht="15" hidden="false" customHeight="true" outlineLevel="0" collapsed="false">
      <c r="A10" s="9" t="n">
        <v>2030</v>
      </c>
      <c r="B10" s="9" t="n">
        <v>46</v>
      </c>
      <c r="C10" s="9" t="n">
        <v>57</v>
      </c>
      <c r="D10" s="104" t="n">
        <f aca="false">SUM(Helpers!AY96:BJ96)</f>
        <v>0</v>
      </c>
      <c r="E10" s="104" t="n">
        <f aca="false">SUM(Helpers!AY101:BJ101)</f>
        <v>0</v>
      </c>
      <c r="F10" s="104" t="n">
        <f aca="false">D10-E10</f>
        <v>0</v>
      </c>
      <c r="G10" s="342" t="n">
        <f aca="false">IF(F10&gt;=Assumptions!$B$86,Assumptions!$C$86,IF(F10&gt;=Assumptions!$B$85,Assumptions!$C$85,IF(F10&gt;=Assumptions!$B$84,Assumptions!$C$84,Assumptions!$C$83)))</f>
        <v>0.25</v>
      </c>
    </row>
    <row r="11" customFormat="false" ht="15" hidden="false" customHeight="true" outlineLevel="0" collapsed="false">
      <c r="A11" s="9" t="n">
        <v>2031</v>
      </c>
      <c r="B11" s="9" t="n">
        <v>58</v>
      </c>
      <c r="C11" s="9" t="n">
        <v>69</v>
      </c>
      <c r="D11" s="104" t="n">
        <f aca="false">SUM(Helpers!BK96:BV96)</f>
        <v>0</v>
      </c>
      <c r="E11" s="104" t="n">
        <f aca="false">SUM(Helpers!BK101:BV101)</f>
        <v>0</v>
      </c>
      <c r="F11" s="104" t="n">
        <f aca="false">D11-E11</f>
        <v>0</v>
      </c>
      <c r="G11" s="342" t="n">
        <f aca="false">IF(F11&gt;=Assumptions!$B$86,Assumptions!$C$86,IF(F11&gt;=Assumptions!$B$85,Assumptions!$C$85,IF(F11&gt;=Assumptions!$B$84,Assumptions!$C$84,Assumptions!$C$83)))</f>
        <v>0.25</v>
      </c>
    </row>
    <row r="12" customFormat="false" ht="15" hidden="false" customHeight="true" outlineLevel="0" collapsed="false">
      <c r="A12" s="9" t="n">
        <v>2032</v>
      </c>
      <c r="B12" s="9" t="n">
        <v>70</v>
      </c>
      <c r="C12" s="9" t="n">
        <v>81</v>
      </c>
      <c r="D12" s="104" t="n">
        <f aca="false">SUM(Helpers!BW96:CH96)</f>
        <v>0</v>
      </c>
      <c r="E12" s="104" t="n">
        <f aca="false">SUM(Helpers!BW101:CH101)</f>
        <v>0</v>
      </c>
      <c r="F12" s="104" t="n">
        <f aca="false">D12-E12</f>
        <v>0</v>
      </c>
      <c r="G12" s="342"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42"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42" t="n">
        <f aca="false">IF(F14&gt;=Assumptions!$B$86,Assumptions!$C$86,IF(F14&gt;=Assumptions!$B$85,Assumptions!$C$85,IF(F14&gt;=Assumptions!$B$84,Assumptions!$C$84,Assumptions!$C$83)))</f>
        <v>0.25</v>
      </c>
    </row>
    <row r="15" customFormat="false" ht="15" hidden="false" customHeight="true" outlineLevel="0" collapsed="false">
      <c r="A15" s="343"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343" t="s">
        <v>1133</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379121.6</v>
      </c>
      <c r="L16" s="104" t="n">
        <f aca="false">-SUM(Model!K203:K233)-Model!K235</f>
        <v>403247.629666667</v>
      </c>
      <c r="M16" s="104" t="n">
        <f aca="false">-SUM(Model!L203:L233)-Model!L235</f>
        <v>395747.629666667</v>
      </c>
      <c r="N16" s="104" t="n">
        <f aca="false">-SUM(Model!M203:M233)-Model!M235</f>
        <v>497587.629666667</v>
      </c>
      <c r="O16" s="104" t="n">
        <f aca="false">-SUM(Model!N203:N233)-Model!N235</f>
        <v>416147.838</v>
      </c>
      <c r="P16" s="104" t="n">
        <f aca="false">-SUM(Model!O203:O233)-Model!O235</f>
        <v>437116.588</v>
      </c>
      <c r="Q16" s="104" t="n">
        <f aca="false">-SUM(Model!P203:P233)-Model!P235</f>
        <v>404241.588</v>
      </c>
      <c r="R16" s="104" t="n">
        <f aca="false">-SUM(Model!Q203:Q233)-Model!Q235</f>
        <v>431081.588</v>
      </c>
      <c r="S16" s="104" t="n">
        <f aca="false">-SUM(Model!R203:R233)-Model!R235</f>
        <v>466890.338</v>
      </c>
      <c r="T16" s="104" t="n">
        <f aca="false">-SUM(Model!S203:S233)-Model!S235</f>
        <v>541971.588</v>
      </c>
      <c r="U16" s="104" t="n">
        <f aca="false">-SUM(Model!T203:T233)-Model!T235</f>
        <v>498846.588</v>
      </c>
      <c r="V16" s="104" t="n">
        <f aca="false">-SUM(Model!U203:U233)-Model!U235</f>
        <v>498846.588</v>
      </c>
      <c r="W16" s="104" t="n">
        <f aca="false">-SUM(Model!V203:V233)-Model!V235</f>
        <v>498846.588</v>
      </c>
      <c r="X16" s="104" t="n">
        <f aca="false">-SUM(Model!W203:W233)-Model!W235</f>
        <v>592786.588</v>
      </c>
      <c r="Y16" s="104" t="n">
        <f aca="false">-SUM(Model!X203:X233)-Model!X235</f>
        <v>550786.588</v>
      </c>
      <c r="Z16" s="104" t="n">
        <f aca="false">-SUM(Model!Y203:Y233)-Model!Y235</f>
        <v>750786.588</v>
      </c>
      <c r="AA16" s="104" t="n">
        <f aca="false">-SUM(Model!Z203:Z233)-Model!Z235</f>
        <v>562972.31976</v>
      </c>
      <c r="AB16" s="104" t="n">
        <f aca="false">-SUM(Model!AA203:AA233)-Model!AA235</f>
        <v>562972.31976</v>
      </c>
      <c r="AC16" s="104" t="n">
        <f aca="false">-SUM(Model!AB203:AB233)-Model!AB235</f>
        <v>562972.31976</v>
      </c>
      <c r="AD16" s="104" t="n">
        <f aca="false">-SUM(Model!AC203:AC233)-Model!AC235</f>
        <v>558463.429375385</v>
      </c>
      <c r="AE16" s="104" t="n">
        <f aca="false">-SUM(Model!AD203:AD233)-Model!AD235</f>
        <v>533808.696683077</v>
      </c>
      <c r="AF16" s="104" t="n">
        <f aca="false">-SUM(Model!AE203:AE233)-Model!AE235</f>
        <v>511885.61976</v>
      </c>
      <c r="AG16" s="104" t="n">
        <f aca="false">-SUM(Model!AF203:AF233)-Model!AF235</f>
        <v>511885.61976</v>
      </c>
      <c r="AH16" s="104" t="n">
        <f aca="false">-SUM(Model!AG203:AG233)-Model!AG235</f>
        <v>508702.873606154</v>
      </c>
      <c r="AI16" s="104" t="n">
        <f aca="false">-SUM(Model!AH203:AH233)-Model!AH235</f>
        <v>492027.612067692</v>
      </c>
      <c r="AJ16" s="104" t="n">
        <f aca="false">-SUM(Model!AI203:AI233)-Model!AI235</f>
        <v>479719.91976</v>
      </c>
      <c r="AK16" s="104" t="n">
        <f aca="false">-SUM(Model!AJ203:AJ233)-Model!AJ235</f>
        <v>479719.91976</v>
      </c>
      <c r="AL16" s="104" t="n">
        <f aca="false">-SUM(Model!AK203:AK233)-Model!AK235</f>
        <v>679719.91976</v>
      </c>
      <c r="AM16" s="104" t="n">
        <f aca="false">-SUM(Model!AL203:AL233)-Model!AL235</f>
        <v>488903.3181552</v>
      </c>
      <c r="AN16" s="104" t="n">
        <f aca="false">-SUM(Model!AM203:AM233)-Model!AM235</f>
        <v>482639.630770585</v>
      </c>
      <c r="AO16" s="104" t="n">
        <f aca="false">-SUM(Model!AN203:AN233)-Model!AN235</f>
        <v>455577.493270585</v>
      </c>
      <c r="AP16" s="104" t="n">
        <f aca="false">-SUM(Model!AO203:AO233)-Model!AO235</f>
        <v>440285.641962892</v>
      </c>
      <c r="AQ16" s="104" t="n">
        <f aca="false">-SUM(Model!AP203:AP233)-Model!AP235</f>
        <v>417977.9496552</v>
      </c>
      <c r="AR16" s="104" t="n">
        <f aca="false">-SUM(Model!AQ203:AQ233)-Model!AQ235</f>
        <v>415531.196770585</v>
      </c>
      <c r="AS16" s="104" t="n">
        <f aca="false">-SUM(Model!AR203:AR233)-Model!AR235</f>
        <v>405915.8121552</v>
      </c>
      <c r="AT16" s="104" t="n">
        <f aca="false">-SUM(Model!AS203:AS233)-Model!AS235</f>
        <v>405915.8121552</v>
      </c>
      <c r="AU16" s="104" t="n">
        <f aca="false">-SUM(Model!AT203:AT233)-Model!AT235</f>
        <v>405915.8121552</v>
      </c>
      <c r="AV16" s="104" t="n">
        <f aca="false">-SUM(Model!AU203:AU233)-Model!AU235</f>
        <v>403469.059270585</v>
      </c>
      <c r="AW16" s="104" t="n">
        <f aca="false">-SUM(Model!AV203:AV233)-Model!AV235</f>
        <v>393853.6746552</v>
      </c>
      <c r="AX16" s="104" t="n">
        <f aca="false">-SUM(Model!AW203:AW233)-Model!AW235</f>
        <v>593853.6746552</v>
      </c>
      <c r="AY16" s="104" t="n">
        <f aca="false">-SUM(Model!AX203:AX233)-Model!AX235</f>
        <v>401319.748148304</v>
      </c>
      <c r="AZ16" s="104" t="n">
        <f aca="false">-SUM(Model!AY203:AY233)-Model!AY235</f>
        <v>401319.748148304</v>
      </c>
      <c r="BA16" s="104" t="n">
        <f aca="false">-SUM(Model!AZ203:AZ233)-Model!AZ235</f>
        <v>401319.748148304</v>
      </c>
      <c r="BB16" s="104" t="n">
        <f aca="false">-SUM(Model!BA203:BA233)-Model!BA235</f>
        <v>401319.748148304</v>
      </c>
      <c r="BC16" s="104" t="n">
        <f aca="false">-SUM(Model!BB203:BB233)-Model!BB235</f>
        <v>401319.748148304</v>
      </c>
      <c r="BD16" s="104" t="n">
        <f aca="false">-SUM(Model!BC203:BC233)-Model!BC235</f>
        <v>401319.748148304</v>
      </c>
      <c r="BE16" s="104" t="n">
        <f aca="false">-SUM(Model!BD203:BD233)-Model!BD235</f>
        <v>401319.748148304</v>
      </c>
      <c r="BF16" s="104" t="n">
        <f aca="false">-SUM(Model!BE203:BE233)-Model!BE235</f>
        <v>401319.748148304</v>
      </c>
      <c r="BG16" s="104" t="n">
        <f aca="false">-SUM(Model!BF203:BF233)-Model!BF235</f>
        <v>401319.748148304</v>
      </c>
      <c r="BH16" s="104" t="n">
        <f aca="false">-SUM(Model!BG203:BG233)-Model!BG235</f>
        <v>401319.748148304</v>
      </c>
      <c r="BI16" s="104" t="n">
        <f aca="false">-SUM(Model!BH203:BH233)-Model!BH235</f>
        <v>401319.748148304</v>
      </c>
      <c r="BJ16" s="104" t="n">
        <f aca="false">-SUM(Model!BI203:BI233)-Model!BI235</f>
        <v>601319.748148304</v>
      </c>
      <c r="BK16" s="104" t="n">
        <f aca="false">-SUM(Model!BJ203:BJ233)-Model!BJ235</f>
        <v>408935.14311127</v>
      </c>
      <c r="BL16" s="104" t="n">
        <f aca="false">-SUM(Model!BK203:BK233)-Model!BK235</f>
        <v>408935.14311127</v>
      </c>
      <c r="BM16" s="104" t="n">
        <f aca="false">-SUM(Model!BL203:BL233)-Model!BL235</f>
        <v>408935.14311127</v>
      </c>
      <c r="BN16" s="104" t="n">
        <f aca="false">-SUM(Model!BM203:BM233)-Model!BM235</f>
        <v>408935.14311127</v>
      </c>
      <c r="BO16" s="104" t="n">
        <f aca="false">-SUM(Model!BN203:BN233)-Model!BN235</f>
        <v>408935.14311127</v>
      </c>
      <c r="BP16" s="104" t="n">
        <f aca="false">-SUM(Model!BO203:BO233)-Model!BO235</f>
        <v>408935.14311127</v>
      </c>
      <c r="BQ16" s="104" t="n">
        <f aca="false">-SUM(Model!BP203:BP233)-Model!BP235</f>
        <v>408935.14311127</v>
      </c>
      <c r="BR16" s="104" t="n">
        <f aca="false">-SUM(Model!BQ203:BQ233)-Model!BQ235</f>
        <v>408935.14311127</v>
      </c>
      <c r="BS16" s="104" t="n">
        <f aca="false">-SUM(Model!BR203:BR233)-Model!BR235</f>
        <v>408935.14311127</v>
      </c>
      <c r="BT16" s="104" t="n">
        <f aca="false">-SUM(Model!BS203:BS233)-Model!BS235</f>
        <v>408935.14311127</v>
      </c>
      <c r="BU16" s="104" t="n">
        <f aca="false">-SUM(Model!BT203:BT233)-Model!BT235</f>
        <v>408935.14311127</v>
      </c>
      <c r="BV16" s="104" t="n">
        <f aca="false">-SUM(Model!BU203:BU233)-Model!BU235</f>
        <v>608935.14311127</v>
      </c>
      <c r="BW16" s="104" t="n">
        <f aca="false">-SUM(Model!BV203:BV233)-Model!BV235</f>
        <v>416702.845973495</v>
      </c>
      <c r="BX16" s="104" t="n">
        <f aca="false">-SUM(Model!BW203:BW233)-Model!BW235</f>
        <v>416702.845973495</v>
      </c>
      <c r="BY16" s="104" t="n">
        <f aca="false">-SUM(Model!BX203:BX233)-Model!BX235</f>
        <v>416702.845973495</v>
      </c>
      <c r="BZ16" s="104" t="n">
        <f aca="false">-SUM(Model!BY203:BY233)-Model!BY235</f>
        <v>416702.845973495</v>
      </c>
      <c r="CA16" s="104" t="n">
        <f aca="false">-SUM(Model!BZ203:BZ233)-Model!BZ235</f>
        <v>416702.845973495</v>
      </c>
      <c r="CB16" s="104" t="n">
        <f aca="false">-SUM(Model!CA203:CA233)-Model!CA235</f>
        <v>416702.845973495</v>
      </c>
      <c r="CC16" s="104" t="n">
        <f aca="false">-SUM(Model!CB203:CB233)-Model!CB235</f>
        <v>416702.845973495</v>
      </c>
      <c r="CD16" s="104" t="n">
        <f aca="false">-SUM(Model!CC203:CC233)-Model!CC235</f>
        <v>416702.845973495</v>
      </c>
      <c r="CE16" s="104" t="n">
        <f aca="false">-SUM(Model!CD203:CD233)-Model!CD235</f>
        <v>416702.845973495</v>
      </c>
      <c r="CF16" s="104" t="n">
        <f aca="false">-SUM(Model!CE203:CE233)-Model!CE235</f>
        <v>416702.845973495</v>
      </c>
      <c r="CG16" s="104" t="n">
        <f aca="false">-SUM(Model!CF203:CF233)-Model!CF235</f>
        <v>416702.845973495</v>
      </c>
      <c r="CH16" s="104" t="n">
        <f aca="false">-SUM(Model!CG203:CG233)-Model!CG235</f>
        <v>616702.845973496</v>
      </c>
      <c r="CI16" s="104" t="n">
        <f aca="false">-SUM(Model!CH203:CH233)-Model!CH235</f>
        <v>424625.902892966</v>
      </c>
      <c r="CJ16" s="104" t="n">
        <f aca="false">-SUM(Model!CI203:CI233)-Model!CI235</f>
        <v>424625.902892966</v>
      </c>
      <c r="CK16" s="104" t="n">
        <f aca="false">-SUM(Model!CJ203:CJ233)-Model!CJ235</f>
        <v>424625.902892966</v>
      </c>
      <c r="CL16" s="104" t="n">
        <f aca="false">-SUM(Model!CK203:CK233)-Model!CK235</f>
        <v>424625.902892966</v>
      </c>
      <c r="CM16" s="104" t="n">
        <f aca="false">-SUM(Model!CL203:CL233)-Model!CL235</f>
        <v>424625.902892966</v>
      </c>
      <c r="CN16" s="104" t="n">
        <f aca="false">-SUM(Model!CM203:CM233)-Model!CM235</f>
        <v>424625.902892966</v>
      </c>
      <c r="CO16" s="104" t="n">
        <f aca="false">-SUM(Model!CN203:CN233)-Model!CN235</f>
        <v>424625.902892966</v>
      </c>
      <c r="CP16" s="104" t="n">
        <f aca="false">-SUM(Model!CO203:CO233)-Model!CO235</f>
        <v>424625.902892966</v>
      </c>
      <c r="CQ16" s="104" t="n">
        <f aca="false">-SUM(Model!CP203:CP233)-Model!CP235</f>
        <v>424625.902892966</v>
      </c>
      <c r="CR16" s="104" t="n">
        <f aca="false">-SUM(Model!CQ203:CQ233)-Model!CQ235</f>
        <v>424625.902892966</v>
      </c>
      <c r="CS16" s="104" t="n">
        <f aca="false">-SUM(Model!CR203:CR233)-Model!CR235</f>
        <v>424625.902892966</v>
      </c>
      <c r="CT16" s="104" t="n">
        <f aca="false">-SUM(Model!CS203:CS233)-Model!CS235</f>
        <v>624625.902892965</v>
      </c>
      <c r="CU16" s="104" t="n">
        <f aca="false">-SUM(Model!CT203:CT233)-Model!CT235</f>
        <v>392165.313083151</v>
      </c>
      <c r="CV16" s="104" t="n">
        <f aca="false">-SUM(Model!CU203:CU233)-Model!CU235</f>
        <v>392165.313083151</v>
      </c>
      <c r="CW16" s="104" t="n">
        <f aca="false">-SUM(Model!CV203:CV233)-Model!CV235</f>
        <v>392165.313083151</v>
      </c>
      <c r="CX16" s="104" t="n">
        <f aca="false">-SUM(Model!CW203:CW233)-Model!CW235</f>
        <v>392165.313083151</v>
      </c>
      <c r="CY16" s="104" t="n">
        <f aca="false">-SUM(Model!CX203:CX233)-Model!CX235</f>
        <v>392165.313083151</v>
      </c>
      <c r="CZ16" s="104" t="n">
        <f aca="false">-SUM(Model!CY203:CY233)-Model!CY235</f>
        <v>392165.313083151</v>
      </c>
      <c r="DA16" s="104" t="n">
        <f aca="false">-SUM(Model!CZ203:CZ233)-Model!CZ235</f>
        <v>392165.313083151</v>
      </c>
      <c r="DB16" s="104" t="n">
        <f aca="false">-SUM(Model!DA203:DA233)-Model!DA235</f>
        <v>392165.313083151</v>
      </c>
      <c r="DC16" s="104" t="n">
        <f aca="false">-SUM(Model!DB203:DB233)-Model!DB235</f>
        <v>392165.313083151</v>
      </c>
      <c r="DD16" s="104" t="n">
        <f aca="false">-SUM(Model!DC203:DC233)-Model!DC235</f>
        <v>392165.313083151</v>
      </c>
      <c r="DE16" s="104" t="n">
        <f aca="false">-SUM(Model!DD203:DD233)-Model!DD235</f>
        <v>392165.313083151</v>
      </c>
      <c r="DF16" s="104" t="n">
        <f aca="false">-SUM(Model!DE203:DE233)-Model!DE235</f>
        <v>592165.313083151</v>
      </c>
    </row>
    <row r="17" customFormat="false" ht="15" hidden="false" customHeight="true" outlineLevel="0" collapsed="false">
      <c r="A17" s="343" t="s">
        <v>1134</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4</v>
      </c>
      <c r="P17" s="9" t="n">
        <f aca="false">SUMPRODUCT((Projects!$G$2:$G$14="Yes")*(P$15&gt;=Projects!$C$2:$C$14)*(P$15&lt;Projects!$C$2:$C$14+Projects!$D$2:$D$14))+SUMPRODUCT((Projects!$G$17:$G$46="Yes")*(P$15&gt;=Projects!$C$17:$C$46)*(P$15&lt;Projects!$C$17:$C$46+Projects!$D$17:$D$46))</f>
        <v>5</v>
      </c>
      <c r="Q17" s="9" t="n">
        <f aca="false">SUMPRODUCT((Projects!$G$2:$G$14="Yes")*(Q$15&gt;=Projects!$C$2:$C$14)*(Q$15&lt;Projects!$C$2:$C$14+Projects!$D$2:$D$14))+SUMPRODUCT((Projects!$G$17:$G$46="Yes")*(Q$15&gt;=Projects!$C$17:$C$46)*(Q$15&lt;Projects!$C$17:$C$46+Projects!$D$17:$D$46))</f>
        <v>5</v>
      </c>
      <c r="R17" s="9" t="n">
        <f aca="false">SUMPRODUCT((Projects!$G$2:$G$14="Yes")*(R$15&gt;=Projects!$C$2:$C$14)*(R$15&lt;Projects!$C$2:$C$14+Projects!$D$2:$D$14))+SUMPRODUCT((Projects!$G$17:$G$46="Yes")*(R$15&gt;=Projects!$C$17:$C$46)*(R$15&lt;Projects!$C$17:$C$46+Projects!$D$17:$D$46))</f>
        <v>6</v>
      </c>
      <c r="S17" s="9" t="n">
        <f aca="false">SUMPRODUCT((Projects!$G$2:$G$14="Yes")*(S$15&gt;=Projects!$C$2:$C$14)*(S$15&lt;Projects!$C$2:$C$14+Projects!$D$2:$D$14))+SUMPRODUCT((Projects!$G$17:$G$46="Yes")*(S$15&gt;=Projects!$C$17:$C$46)*(S$15&lt;Projects!$C$17:$C$46+Projects!$D$17:$D$46))</f>
        <v>7</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9</v>
      </c>
      <c r="V17" s="9" t="n">
        <f aca="false">SUMPRODUCT((Projects!$G$2:$G$14="Yes")*(V$15&gt;=Projects!$C$2:$C$14)*(V$15&lt;Projects!$C$2:$C$14+Projects!$D$2:$D$14))+SUMPRODUCT((Projects!$G$17:$G$46="Yes")*(V$15&gt;=Projects!$C$17:$C$46)*(V$15&lt;Projects!$C$17:$C$46+Projects!$D$17:$D$46))</f>
        <v>9</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12</v>
      </c>
      <c r="Y17" s="9" t="n">
        <f aca="false">SUMPRODUCT((Projects!$G$2:$G$14="Yes")*(Y$15&gt;=Projects!$C$2:$C$14)*(Y$15&lt;Projects!$C$2:$C$14+Projects!$D$2:$D$14))+SUMPRODUCT((Projects!$G$17:$G$46="Yes")*(Y$15&gt;=Projects!$C$17:$C$46)*(Y$15&lt;Projects!$C$17:$C$46+Projects!$D$17:$D$46))</f>
        <v>12</v>
      </c>
      <c r="Z17" s="9" t="n">
        <f aca="false">SUMPRODUCT((Projects!$G$2:$G$14="Yes")*(Z$15&gt;=Projects!$C$2:$C$14)*(Z$15&lt;Projects!$C$2:$C$14+Projects!$D$2:$D$14))+SUMPRODUCT((Projects!$G$17:$G$46="Yes")*(Z$15&gt;=Projects!$C$17:$C$46)*(Z$15&lt;Projects!$C$17:$C$46+Projects!$D$17:$D$46))</f>
        <v>12</v>
      </c>
      <c r="AA17" s="9" t="n">
        <f aca="false">SUMPRODUCT((Projects!$G$2:$G$14="Yes")*(AA$15&gt;=Projects!$C$2:$C$14)*(AA$15&lt;Projects!$C$2:$C$14+Projects!$D$2:$D$14))+SUMPRODUCT((Projects!$G$17:$G$46="Yes")*(AA$15&gt;=Projects!$C$17:$C$46)*(AA$15&lt;Projects!$C$17:$C$46+Projects!$D$17:$D$46))</f>
        <v>12</v>
      </c>
      <c r="AB17" s="9" t="n">
        <f aca="false">SUMPRODUCT((Projects!$G$2:$G$14="Yes")*(AB$15&gt;=Projects!$C$2:$C$14)*(AB$15&lt;Projects!$C$2:$C$14+Projects!$D$2:$D$14))+SUMPRODUCT((Projects!$G$17:$G$46="Yes")*(AB$15&gt;=Projects!$C$17:$C$46)*(AB$15&lt;Projects!$C$17:$C$46+Projects!$D$17:$D$46))</f>
        <v>12</v>
      </c>
      <c r="AC17" s="9" t="n">
        <f aca="false">SUMPRODUCT((Projects!$G$2:$G$14="Yes")*(AC$15&gt;=Projects!$C$2:$C$14)*(AC$15&lt;Projects!$C$2:$C$14+Projects!$D$2:$D$14))+SUMPRODUCT((Projects!$G$17:$G$46="Yes")*(AC$15&gt;=Projects!$C$17:$C$46)*(AC$15&lt;Projects!$C$17:$C$46+Projects!$D$17:$D$46))</f>
        <v>11</v>
      </c>
      <c r="AD17" s="9" t="n">
        <f aca="false">SUMPRODUCT((Projects!$G$2:$G$14="Yes")*(AD$15&gt;=Projects!$C$2:$C$14)*(AD$15&lt;Projects!$C$2:$C$14+Projects!$D$2:$D$14))+SUMPRODUCT((Projects!$G$17:$G$46="Yes")*(AD$15&gt;=Projects!$C$17:$C$46)*(AD$15&lt;Projects!$C$17:$C$46+Projects!$D$17:$D$46))</f>
        <v>10</v>
      </c>
      <c r="AE17" s="9" t="n">
        <f aca="false">SUMPRODUCT((Projects!$G$2:$G$14="Yes")*(AE$15&gt;=Projects!$C$2:$C$14)*(AE$15&lt;Projects!$C$2:$C$14+Projects!$D$2:$D$14))+SUMPRODUCT((Projects!$G$17:$G$46="Yes")*(AE$15&gt;=Projects!$C$17:$C$46)*(AE$15&lt;Projects!$C$17:$C$46+Projects!$D$17:$D$46))</f>
        <v>10</v>
      </c>
      <c r="AF17" s="9" t="n">
        <f aca="false">SUMPRODUCT((Projects!$G$2:$G$14="Yes")*(AF$15&gt;=Projects!$C$2:$C$14)*(AF$15&lt;Projects!$C$2:$C$14+Projects!$D$2:$D$14))+SUMPRODUCT((Projects!$G$17:$G$46="Yes")*(AF$15&gt;=Projects!$C$17:$C$46)*(AF$15&lt;Projects!$C$17:$C$46+Projects!$D$17:$D$46))</f>
        <v>11</v>
      </c>
      <c r="AG17" s="9" t="n">
        <f aca="false">SUMPRODUCT((Projects!$G$2:$G$14="Yes")*(AG$15&gt;=Projects!$C$2:$C$14)*(AG$15&lt;Projects!$C$2:$C$14+Projects!$D$2:$D$14))+SUMPRODUCT((Projects!$G$17:$G$46="Yes")*(AG$15&gt;=Projects!$C$17:$C$46)*(AG$15&lt;Projects!$C$17:$C$46+Projects!$D$17:$D$46))</f>
        <v>11</v>
      </c>
      <c r="AH17" s="9" t="n">
        <f aca="false">SUMPRODUCT((Projects!$G$2:$G$14="Yes")*(AH$15&gt;=Projects!$C$2:$C$14)*(AH$15&lt;Projects!$C$2:$C$14+Projects!$D$2:$D$14))+SUMPRODUCT((Projects!$G$17:$G$46="Yes")*(AH$15&gt;=Projects!$C$17:$C$46)*(AH$15&lt;Projects!$C$17:$C$46+Projects!$D$17:$D$46))</f>
        <v>9</v>
      </c>
      <c r="AI17" s="9" t="n">
        <f aca="false">SUMPRODUCT((Projects!$G$2:$G$14="Yes")*(AI$15&gt;=Projects!$C$2:$C$14)*(AI$15&lt;Projects!$C$2:$C$14+Projects!$D$2:$D$14))+SUMPRODUCT((Projects!$G$17:$G$46="Yes")*(AI$15&gt;=Projects!$C$17:$C$46)*(AI$15&lt;Projects!$C$17:$C$46+Projects!$D$17:$D$46))</f>
        <v>8</v>
      </c>
      <c r="AJ17" s="9" t="n">
        <f aca="false">SUMPRODUCT((Projects!$G$2:$G$14="Yes")*(AJ$15&gt;=Projects!$C$2:$C$14)*(AJ$15&lt;Projects!$C$2:$C$14+Projects!$D$2:$D$14))+SUMPRODUCT((Projects!$G$17:$G$46="Yes")*(AJ$15&gt;=Projects!$C$17:$C$46)*(AJ$15&lt;Projects!$C$17:$C$46+Projects!$D$17:$D$46))</f>
        <v>7</v>
      </c>
      <c r="AK17" s="9" t="n">
        <f aca="false">SUMPRODUCT((Projects!$G$2:$G$14="Yes")*(AK$15&gt;=Projects!$C$2:$C$14)*(AK$15&lt;Projects!$C$2:$C$14+Projects!$D$2:$D$14))+SUMPRODUCT((Projects!$G$17:$G$46="Yes")*(AK$15&gt;=Projects!$C$17:$C$46)*(AK$15&lt;Projects!$C$17:$C$46+Projects!$D$17:$D$46))</f>
        <v>7</v>
      </c>
      <c r="AL17" s="9" t="n">
        <f aca="false">SUMPRODUCT((Projects!$G$2:$G$14="Yes")*(AL$15&gt;=Projects!$C$2:$C$14)*(AL$15&lt;Projects!$C$2:$C$14+Projects!$D$2:$D$14))+SUMPRODUCT((Projects!$G$17:$G$46="Yes")*(AL$15&gt;=Projects!$C$17:$C$46)*(AL$15&lt;Projects!$C$17:$C$46+Projects!$D$17:$D$46))</f>
        <v>6</v>
      </c>
      <c r="AM17" s="9" t="n">
        <f aca="false">SUMPRODUCT((Projects!$G$2:$G$14="Yes")*(AM$15&gt;=Projects!$C$2:$C$14)*(AM$15&lt;Projects!$C$2:$C$14+Projects!$D$2:$D$14))+SUMPRODUCT((Projects!$G$17:$G$46="Yes")*(AM$15&gt;=Projects!$C$17:$C$46)*(AM$15&lt;Projects!$C$17:$C$46+Projects!$D$17:$D$46))</f>
        <v>6</v>
      </c>
      <c r="AN17" s="9" t="n">
        <f aca="false">SUMPRODUCT((Projects!$G$2:$G$14="Yes")*(AN$15&gt;=Projects!$C$2:$C$14)*(AN$15&lt;Projects!$C$2:$C$14+Projects!$D$2:$D$14))+SUMPRODUCT((Projects!$G$17:$G$46="Yes")*(AN$15&gt;=Projects!$C$17:$C$46)*(AN$15&lt;Projects!$C$17:$C$46+Projects!$D$17:$D$46))</f>
        <v>6</v>
      </c>
      <c r="AO17" s="9" t="n">
        <f aca="false">SUMPRODUCT((Projects!$G$2:$G$14="Yes")*(AO$15&gt;=Projects!$C$2:$C$14)*(AO$15&lt;Projects!$C$2:$C$14+Projects!$D$2:$D$14))+SUMPRODUCT((Projects!$G$17:$G$46="Yes")*(AO$15&gt;=Projects!$C$17:$C$46)*(AO$15&lt;Projects!$C$17:$C$46+Projects!$D$17:$D$46))</f>
        <v>6</v>
      </c>
      <c r="AP17" s="9" t="n">
        <f aca="false">SUMPRODUCT((Projects!$G$2:$G$14="Yes")*(AP$15&gt;=Projects!$C$2:$C$14)*(AP$15&lt;Projects!$C$2:$C$14+Projects!$D$2:$D$14))+SUMPRODUCT((Projects!$G$17:$G$46="Yes")*(AP$15&gt;=Projects!$C$17:$C$46)*(AP$15&lt;Projects!$C$17:$C$46+Projects!$D$17:$D$46))</f>
        <v>5</v>
      </c>
      <c r="AQ17" s="9" t="n">
        <f aca="false">SUMPRODUCT((Projects!$G$2:$G$14="Yes")*(AQ$15&gt;=Projects!$C$2:$C$14)*(AQ$15&lt;Projects!$C$2:$C$14+Projects!$D$2:$D$14))+SUMPRODUCT((Projects!$G$17:$G$46="Yes")*(AQ$15&gt;=Projects!$C$17:$C$46)*(AQ$15&lt;Projects!$C$17:$C$46+Projects!$D$17:$D$46))</f>
        <v>4</v>
      </c>
      <c r="AR17" s="9" t="n">
        <f aca="false">SUMPRODUCT((Projects!$G$2:$G$14="Yes")*(AR$15&gt;=Projects!$C$2:$C$14)*(AR$15&lt;Projects!$C$2:$C$14+Projects!$D$2:$D$14))+SUMPRODUCT((Projects!$G$17:$G$46="Yes")*(AR$15&gt;=Projects!$C$17:$C$46)*(AR$15&lt;Projects!$C$17:$C$46+Projects!$D$17:$D$46))</f>
        <v>3</v>
      </c>
      <c r="AS17" s="9" t="n">
        <f aca="false">SUMPRODUCT((Projects!$G$2:$G$14="Yes")*(AS$15&gt;=Projects!$C$2:$C$14)*(AS$15&lt;Projects!$C$2:$C$14+Projects!$D$2:$D$14))+SUMPRODUCT((Projects!$G$17:$G$46="Yes")*(AS$15&gt;=Projects!$C$17:$C$46)*(AS$15&lt;Projects!$C$17:$C$46+Projects!$D$17:$D$46))</f>
        <v>3</v>
      </c>
      <c r="AT17" s="9" t="n">
        <f aca="false">SUMPRODUCT((Projects!$G$2:$G$14="Yes")*(AT$15&gt;=Projects!$C$2:$C$14)*(AT$15&lt;Projects!$C$2:$C$14+Projects!$D$2:$D$14))+SUMPRODUCT((Projects!$G$17:$G$46="Yes")*(AT$15&gt;=Projects!$C$17:$C$46)*(AT$15&lt;Projects!$C$17:$C$46+Projects!$D$17:$D$46))</f>
        <v>3</v>
      </c>
      <c r="AU17" s="9" t="n">
        <f aca="false">SUMPRODUCT((Projects!$G$2:$G$14="Yes")*(AU$15&gt;=Projects!$C$2:$C$14)*(AU$15&lt;Projects!$C$2:$C$14+Projects!$D$2:$D$14))+SUMPRODUCT((Projects!$G$17:$G$46="Yes")*(AU$15&gt;=Projects!$C$17:$C$46)*(AU$15&lt;Projects!$C$17:$C$46+Projects!$D$17:$D$46))</f>
        <v>3</v>
      </c>
      <c r="AV17" s="9" t="n">
        <f aca="false">SUMPRODUCT((Projects!$G$2:$G$14="Yes")*(AV$15&gt;=Projects!$C$2:$C$14)*(AV$15&lt;Projects!$C$2:$C$14+Projects!$D$2:$D$14))+SUMPRODUCT((Projects!$G$17:$G$46="Yes")*(AV$15&gt;=Projects!$C$17:$C$46)*(AV$15&lt;Projects!$C$17:$C$46+Projects!$D$17:$D$46))</f>
        <v>2</v>
      </c>
      <c r="AW17" s="9" t="n">
        <f aca="false">SUMPRODUCT((Projects!$G$2:$G$14="Yes")*(AW$15&gt;=Projects!$C$2:$C$14)*(AW$15&lt;Projects!$C$2:$C$14+Projects!$D$2:$D$14))+SUMPRODUCT((Projects!$G$17:$G$46="Yes")*(AW$15&gt;=Projects!$C$17:$C$46)*(AW$15&lt;Projects!$C$17:$C$46+Projects!$D$17:$D$46))</f>
        <v>2</v>
      </c>
      <c r="AX17" s="9" t="n">
        <f aca="false">SUMPRODUCT((Projects!$G$2:$G$14="Yes")*(AX$15&gt;=Projects!$C$2:$C$14)*(AX$15&lt;Projects!$C$2:$C$14+Projects!$D$2:$D$14))+SUMPRODUCT((Projects!$G$17:$G$46="Yes")*(AX$15&gt;=Projects!$C$17:$C$46)*(AX$15&lt;Projects!$C$17:$C$46+Projects!$D$17:$D$46))</f>
        <v>1</v>
      </c>
      <c r="AY17" s="9" t="n">
        <f aca="false">SUMPRODUCT((Projects!$G$2:$G$14="Yes")*(AY$15&gt;=Projects!$C$2:$C$14)*(AY$15&lt;Projects!$C$2:$C$14+Projects!$D$2:$D$14))+SUMPRODUCT((Projects!$G$17:$G$46="Yes")*(AY$15&gt;=Projects!$C$17:$C$46)*(AY$15&lt;Projects!$C$17:$C$46+Projects!$D$17:$D$46))</f>
        <v>1</v>
      </c>
      <c r="AZ17" s="9" t="n">
        <f aca="false">SUMPRODUCT((Projects!$G$2:$G$14="Yes")*(AZ$15&gt;=Projects!$C$2:$C$14)*(AZ$15&lt;Projects!$C$2:$C$14+Projects!$D$2:$D$14))+SUMPRODUCT((Projects!$G$17:$G$46="Yes")*(AZ$15&gt;=Projects!$C$17:$C$46)*(AZ$15&lt;Projects!$C$17:$C$46+Projects!$D$17:$D$46))</f>
        <v>1</v>
      </c>
      <c r="BA17" s="9" t="n">
        <f aca="false">SUMPRODUCT((Projects!$G$2:$G$14="Yes")*(BA$15&gt;=Projects!$C$2:$C$14)*(BA$15&lt;Projects!$C$2:$C$14+Projects!$D$2:$D$14))+SUMPRODUCT((Projects!$G$17:$G$46="Yes")*(BA$15&gt;=Projects!$C$17:$C$46)*(BA$15&lt;Projects!$C$17:$C$46+Projects!$D$17:$D$46))</f>
        <v>1</v>
      </c>
      <c r="BB17" s="9" t="n">
        <f aca="false">SUMPRODUCT((Projects!$G$2:$G$14="Yes")*(BB$15&gt;=Projects!$C$2:$C$14)*(BB$15&lt;Projects!$C$2:$C$14+Projects!$D$2:$D$14))+SUMPRODUCT((Projects!$G$17:$G$46="Yes")*(BB$15&gt;=Projects!$C$17:$C$46)*(BB$15&lt;Projects!$C$17:$C$46+Projects!$D$17:$D$46))</f>
        <v>1</v>
      </c>
      <c r="BC17" s="9" t="n">
        <f aca="false">SUMPRODUCT((Projects!$G$2:$G$14="Yes")*(BC$15&gt;=Projects!$C$2:$C$14)*(BC$15&lt;Projects!$C$2:$C$14+Projects!$D$2:$D$14))+SUMPRODUCT((Projects!$G$17:$G$46="Yes")*(BC$15&gt;=Projects!$C$17:$C$46)*(BC$15&lt;Projects!$C$17:$C$46+Projects!$D$17:$D$46))</f>
        <v>1</v>
      </c>
      <c r="BD17" s="9" t="n">
        <f aca="false">SUMPRODUCT((Projects!$G$2:$G$14="Yes")*(BD$15&gt;=Projects!$C$2:$C$14)*(BD$15&lt;Projects!$C$2:$C$14+Projects!$D$2:$D$14))+SUMPRODUCT((Projects!$G$17:$G$46="Yes")*(BD$15&gt;=Projects!$C$17:$C$46)*(BD$15&lt;Projects!$C$17:$C$46+Projects!$D$17:$D$46))</f>
        <v>1</v>
      </c>
      <c r="BE17" s="9" t="n">
        <f aca="false">SUMPRODUCT((Projects!$G$2:$G$14="Yes")*(BE$15&gt;=Projects!$C$2:$C$14)*(BE$15&lt;Projects!$C$2:$C$14+Projects!$D$2:$D$14))+SUMPRODUCT((Projects!$G$17:$G$46="Yes")*(BE$15&gt;=Projects!$C$17:$C$46)*(BE$15&lt;Projects!$C$17:$C$46+Projects!$D$17:$D$46))</f>
        <v>1</v>
      </c>
      <c r="BF17" s="9" t="n">
        <f aca="false">SUMPRODUCT((Projects!$G$2:$G$14="Yes")*(BF$15&gt;=Projects!$C$2:$C$14)*(BF$15&lt;Projects!$C$2:$C$14+Projects!$D$2:$D$14))+SUMPRODUCT((Projects!$G$17:$G$46="Yes")*(BF$15&gt;=Projects!$C$17:$C$46)*(BF$15&lt;Projects!$C$17:$C$46+Projects!$D$17:$D$46))</f>
        <v>1</v>
      </c>
      <c r="BG17" s="9" t="n">
        <f aca="false">SUMPRODUCT((Projects!$G$2:$G$14="Yes")*(BG$15&gt;=Projects!$C$2:$C$14)*(BG$15&lt;Projects!$C$2:$C$14+Projects!$D$2:$D$14))+SUMPRODUCT((Projects!$G$17:$G$46="Yes")*(BG$15&gt;=Projects!$C$17:$C$46)*(BG$15&lt;Projects!$C$17:$C$46+Projects!$D$17:$D$46))</f>
        <v>1</v>
      </c>
      <c r="BH17" s="9" t="n">
        <f aca="false">SUMPRODUCT((Projects!$G$2:$G$14="Yes")*(BH$15&gt;=Projects!$C$2:$C$14)*(BH$15&lt;Projects!$C$2:$C$14+Projects!$D$2:$D$14))+SUMPRODUCT((Projects!$G$17:$G$46="Yes")*(BH$15&gt;=Projects!$C$17:$C$46)*(BH$15&lt;Projects!$C$17:$C$46+Projects!$D$17:$D$46))</f>
        <v>1</v>
      </c>
      <c r="BI17" s="9" t="n">
        <f aca="false">SUMPRODUCT((Projects!$G$2:$G$14="Yes")*(BI$15&gt;=Projects!$C$2:$C$14)*(BI$15&lt;Projects!$C$2:$C$14+Projects!$D$2:$D$14))+SUMPRODUCT((Projects!$G$17:$G$46="Yes")*(BI$15&gt;=Projects!$C$17:$C$46)*(BI$15&lt;Projects!$C$17:$C$46+Projects!$D$17:$D$46))</f>
        <v>1</v>
      </c>
      <c r="BJ17" s="9" t="n">
        <f aca="false">SUMPRODUCT((Projects!$G$2:$G$14="Yes")*(BJ$15&gt;=Projects!$C$2:$C$14)*(BJ$15&lt;Projects!$C$2:$C$14+Projects!$D$2:$D$14))+SUMPRODUCT((Projects!$G$17:$G$46="Yes")*(BJ$15&gt;=Projects!$C$17:$C$46)*(BJ$15&lt;Projects!$C$17:$C$46+Projects!$D$17:$D$46))</f>
        <v>0</v>
      </c>
      <c r="BK17" s="9" t="n">
        <f aca="false">SUMPRODUCT((Projects!$G$2:$G$14="Yes")*(BK$15&gt;=Projects!$C$2:$C$14)*(BK$15&lt;Projects!$C$2:$C$14+Projects!$D$2:$D$14))+SUMPRODUCT((Projects!$G$17:$G$46="Yes")*(BK$15&gt;=Projects!$C$17:$C$46)*(BK$15&lt;Projects!$C$17:$C$46+Projects!$D$17:$D$46))</f>
        <v>0</v>
      </c>
      <c r="BL17" s="9" t="n">
        <f aca="false">SUMPRODUCT((Projects!$G$2:$G$14="Yes")*(BL$15&gt;=Projects!$C$2:$C$14)*(BL$15&lt;Projects!$C$2:$C$14+Projects!$D$2:$D$14))+SUMPRODUCT((Projects!$G$17:$G$46="Yes")*(BL$15&gt;=Projects!$C$17:$C$46)*(BL$15&lt;Projects!$C$17:$C$46+Projects!$D$17:$D$46))</f>
        <v>0</v>
      </c>
      <c r="BM17" s="9" t="n">
        <f aca="false">SUMPRODUCT((Projects!$G$2:$G$14="Yes")*(BM$15&gt;=Projects!$C$2:$C$14)*(BM$15&lt;Projects!$C$2:$C$14+Projects!$D$2:$D$14))+SUMPRODUCT((Projects!$G$17:$G$46="Yes")*(BM$15&gt;=Projects!$C$17:$C$46)*(BM$15&lt;Projects!$C$17:$C$46+Projects!$D$17:$D$46))</f>
        <v>0</v>
      </c>
      <c r="BN17" s="9" t="n">
        <f aca="false">SUMPRODUCT((Projects!$G$2:$G$14="Yes")*(BN$15&gt;=Projects!$C$2:$C$14)*(BN$15&lt;Projects!$C$2:$C$14+Projects!$D$2:$D$14))+SUMPRODUCT((Projects!$G$17:$G$46="Yes")*(BN$15&gt;=Projects!$C$17:$C$46)*(BN$15&lt;Projects!$C$17:$C$46+Projects!$D$17:$D$46))</f>
        <v>0</v>
      </c>
      <c r="BO17" s="9" t="n">
        <f aca="false">SUMPRODUCT((Projects!$G$2:$G$14="Yes")*(BO$15&gt;=Projects!$C$2:$C$14)*(BO$15&lt;Projects!$C$2:$C$14+Projects!$D$2:$D$14))+SUMPRODUCT((Projects!$G$17:$G$46="Yes")*(BO$15&gt;=Projects!$C$17:$C$46)*(BO$15&lt;Projects!$C$17:$C$46+Projects!$D$17:$D$46))</f>
        <v>0</v>
      </c>
      <c r="BP17" s="9" t="n">
        <f aca="false">SUMPRODUCT((Projects!$G$2:$G$14="Yes")*(BP$15&gt;=Projects!$C$2:$C$14)*(BP$15&lt;Projects!$C$2:$C$14+Projects!$D$2:$D$14))+SUMPRODUCT((Projects!$G$17:$G$46="Yes")*(BP$15&gt;=Projects!$C$17:$C$46)*(BP$15&lt;Projects!$C$17:$C$46+Projects!$D$17:$D$46))</f>
        <v>0</v>
      </c>
      <c r="BQ17" s="9" t="n">
        <f aca="false">SUMPRODUCT((Projects!$G$2:$G$14="Yes")*(BQ$15&gt;=Projects!$C$2:$C$14)*(BQ$15&lt;Projects!$C$2:$C$14+Projects!$D$2:$D$14))+SUMPRODUCT((Projects!$G$17:$G$46="Yes")*(BQ$15&gt;=Projects!$C$17:$C$46)*(BQ$15&lt;Projects!$C$17:$C$46+Projects!$D$17:$D$46))</f>
        <v>0</v>
      </c>
      <c r="BR17" s="9" t="n">
        <f aca="false">SUMPRODUCT((Projects!$G$2:$G$14="Yes")*(BR$15&gt;=Projects!$C$2:$C$14)*(BR$15&lt;Projects!$C$2:$C$14+Projects!$D$2:$D$14))+SUMPRODUCT((Projects!$G$17:$G$46="Yes")*(BR$15&gt;=Projects!$C$17:$C$46)*(BR$15&lt;Projects!$C$17:$C$46+Projects!$D$17:$D$46))</f>
        <v>0</v>
      </c>
      <c r="BS17" s="9" t="n">
        <f aca="false">SUMPRODUCT((Projects!$G$2:$G$14="Yes")*(BS$15&gt;=Projects!$C$2:$C$14)*(BS$15&lt;Projects!$C$2:$C$14+Projects!$D$2:$D$14))+SUMPRODUCT((Projects!$G$17:$G$46="Yes")*(BS$15&gt;=Projects!$C$17:$C$46)*(BS$15&lt;Projects!$C$17:$C$46+Projects!$D$17:$D$46))</f>
        <v>0</v>
      </c>
      <c r="BT17" s="9" t="n">
        <f aca="false">SUMPRODUCT((Projects!$G$2:$G$14="Yes")*(BT$15&gt;=Projects!$C$2:$C$14)*(BT$15&lt;Projects!$C$2:$C$14+Projects!$D$2:$D$14))+SUMPRODUCT((Projects!$G$17:$G$46="Yes")*(BT$15&gt;=Projects!$C$17:$C$46)*(BT$15&lt;Projects!$C$17:$C$46+Projects!$D$17:$D$46))</f>
        <v>0</v>
      </c>
      <c r="BU17" s="9" t="n">
        <f aca="false">SUMPRODUCT((Projects!$G$2:$G$14="Yes")*(BU$15&gt;=Projects!$C$2:$C$14)*(BU$15&lt;Projects!$C$2:$C$14+Projects!$D$2:$D$14))+SUMPRODUCT((Projects!$G$17:$G$46="Yes")*(BU$15&gt;=Projects!$C$17:$C$46)*(BU$15&lt;Projects!$C$17:$C$46+Projects!$D$17:$D$46))</f>
        <v>0</v>
      </c>
      <c r="BV17" s="9" t="n">
        <f aca="false">SUMPRODUCT((Projects!$G$2:$G$14="Yes")*(BV$15&gt;=Projects!$C$2:$C$14)*(BV$15&lt;Projects!$C$2:$C$14+Projects!$D$2:$D$14))+SUMPRODUCT((Projects!$G$17:$G$46="Yes")*(BV$15&gt;=Projects!$C$17:$C$46)*(BV$15&lt;Projects!$C$17:$C$46+Projects!$D$17:$D$46))</f>
        <v>0</v>
      </c>
      <c r="BW17" s="9" t="n">
        <f aca="false">SUMPRODUCT((Projects!$G$2:$G$14="Yes")*(BW$15&gt;=Projects!$C$2:$C$14)*(BW$15&lt;Projects!$C$2:$C$14+Projects!$D$2:$D$14))+SUMPRODUCT((Projects!$G$17:$G$46="Yes")*(BW$15&gt;=Projects!$C$17:$C$46)*(BW$15&lt;Projects!$C$17:$C$46+Projects!$D$17:$D$46))</f>
        <v>0</v>
      </c>
      <c r="BX17" s="9" t="n">
        <f aca="false">SUMPRODUCT((Projects!$G$2:$G$14="Yes")*(BX$15&gt;=Projects!$C$2:$C$14)*(BX$15&lt;Projects!$C$2:$C$14+Projects!$D$2:$D$14))+SUMPRODUCT((Projects!$G$17:$G$46="Yes")*(BX$15&gt;=Projects!$C$17:$C$46)*(BX$15&lt;Projects!$C$17:$C$46+Projects!$D$17:$D$46))</f>
        <v>0</v>
      </c>
      <c r="BY17" s="9" t="n">
        <f aca="false">SUMPRODUCT((Projects!$G$2:$G$14="Yes")*(BY$15&gt;=Projects!$C$2:$C$14)*(BY$15&lt;Projects!$C$2:$C$14+Projects!$D$2:$D$14))+SUMPRODUCT((Projects!$G$17:$G$46="Yes")*(BY$15&gt;=Projects!$C$17:$C$46)*(BY$15&lt;Projects!$C$17:$C$46+Projects!$D$17:$D$46))</f>
        <v>0</v>
      </c>
      <c r="BZ17" s="9" t="n">
        <f aca="false">SUMPRODUCT((Projects!$G$2:$G$14="Yes")*(BZ$15&gt;=Projects!$C$2:$C$14)*(BZ$15&lt;Projects!$C$2:$C$14+Projects!$D$2:$D$14))+SUMPRODUCT((Projects!$G$17:$G$46="Yes")*(BZ$15&gt;=Projects!$C$17:$C$46)*(BZ$15&lt;Projects!$C$17:$C$46+Projects!$D$17:$D$46))</f>
        <v>0</v>
      </c>
      <c r="CA17" s="9" t="n">
        <f aca="false">SUMPRODUCT((Projects!$G$2:$G$14="Yes")*(CA$15&gt;=Projects!$C$2:$C$14)*(CA$15&lt;Projects!$C$2:$C$14+Projects!$D$2:$D$14))+SUMPRODUCT((Projects!$G$17:$G$46="Yes")*(CA$15&gt;=Projects!$C$17:$C$46)*(CA$15&lt;Projects!$C$17:$C$46+Projects!$D$17:$D$46))</f>
        <v>0</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343" t="s">
        <v>1135</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126373.866666667</v>
      </c>
      <c r="L18" s="104" t="n">
        <f aca="false">IFERROR(L16/L17,0)</f>
        <v>134415.876555556</v>
      </c>
      <c r="M18" s="104" t="n">
        <f aca="false">IFERROR(M16/M17,0)</f>
        <v>131915.876555556</v>
      </c>
      <c r="N18" s="104" t="n">
        <f aca="false">IFERROR(N16/N17,0)</f>
        <v>165862.543222222</v>
      </c>
      <c r="O18" s="104" t="n">
        <f aca="false">IFERROR(O16/O17,0)</f>
        <v>104036.9595</v>
      </c>
      <c r="P18" s="104" t="n">
        <f aca="false">IFERROR(P16/P17,0)</f>
        <v>87423.3176</v>
      </c>
      <c r="Q18" s="104" t="n">
        <f aca="false">IFERROR(Q16/Q17,0)</f>
        <v>80848.3176</v>
      </c>
      <c r="R18" s="104" t="n">
        <f aca="false">IFERROR(R16/R17,0)</f>
        <v>71846.9313333333</v>
      </c>
      <c r="S18" s="104" t="n">
        <f aca="false">IFERROR(S16/S17,0)</f>
        <v>66698.6197142857</v>
      </c>
      <c r="T18" s="104" t="n">
        <f aca="false">IFERROR(T16/T17,0)</f>
        <v>60219.0653333333</v>
      </c>
      <c r="U18" s="104" t="n">
        <f aca="false">IFERROR(U16/U17,0)</f>
        <v>55427.3986666667</v>
      </c>
      <c r="V18" s="104" t="n">
        <f aca="false">IFERROR(V16/V17,0)</f>
        <v>55427.3986666667</v>
      </c>
      <c r="W18" s="104" t="n">
        <f aca="false">IFERROR(W16/W17,0)</f>
        <v>49884.6588</v>
      </c>
      <c r="X18" s="104" t="n">
        <f aca="false">IFERROR(X16/X17,0)</f>
        <v>49398.8823333333</v>
      </c>
      <c r="Y18" s="104" t="n">
        <f aca="false">IFERROR(Y16/Y17,0)</f>
        <v>45898.8823333333</v>
      </c>
      <c r="Z18" s="104" t="n">
        <f aca="false">IFERROR(Z16/Z17,0)</f>
        <v>62565.549</v>
      </c>
      <c r="AA18" s="104" t="n">
        <f aca="false">IFERROR(AA16/AA17,0)</f>
        <v>46914.35998</v>
      </c>
      <c r="AB18" s="104" t="n">
        <f aca="false">IFERROR(AB16/AB17,0)</f>
        <v>46914.35998</v>
      </c>
      <c r="AC18" s="104" t="n">
        <f aca="false">IFERROR(AC16/AC17,0)</f>
        <v>51179.3017963636</v>
      </c>
      <c r="AD18" s="104" t="n">
        <f aca="false">IFERROR(AD16/AD17,0)</f>
        <v>55846.3429375385</v>
      </c>
      <c r="AE18" s="104" t="n">
        <f aca="false">IFERROR(AE16/AE17,0)</f>
        <v>53380.8696683077</v>
      </c>
      <c r="AF18" s="104" t="n">
        <f aca="false">IFERROR(AF16/AF17,0)</f>
        <v>46535.0563418182</v>
      </c>
      <c r="AG18" s="104" t="n">
        <f aca="false">IFERROR(AG16/AG17,0)</f>
        <v>46535.0563418182</v>
      </c>
      <c r="AH18" s="104" t="n">
        <f aca="false">IFERROR(AH16/AH17,0)</f>
        <v>56522.5415117949</v>
      </c>
      <c r="AI18" s="104" t="n">
        <f aca="false">IFERROR(AI16/AI17,0)</f>
        <v>61503.4515084615</v>
      </c>
      <c r="AJ18" s="104" t="n">
        <f aca="false">IFERROR(AJ16/AJ17,0)</f>
        <v>68531.4171085714</v>
      </c>
      <c r="AK18" s="104" t="n">
        <f aca="false">IFERROR(AK16/AK17,0)</f>
        <v>68531.4171085714</v>
      </c>
      <c r="AL18" s="104" t="n">
        <f aca="false">IFERROR(AL16/AL17,0)</f>
        <v>113286.653293333</v>
      </c>
      <c r="AM18" s="104" t="n">
        <f aca="false">IFERROR(AM16/AM17,0)</f>
        <v>81483.8863592</v>
      </c>
      <c r="AN18" s="104" t="n">
        <f aca="false">IFERROR(AN16/AN17,0)</f>
        <v>80439.9384617641</v>
      </c>
      <c r="AO18" s="104" t="n">
        <f aca="false">IFERROR(AO16/AO17,0)</f>
        <v>75929.5822117641</v>
      </c>
      <c r="AP18" s="104" t="n">
        <f aca="false">IFERROR(AP16/AP17,0)</f>
        <v>88057.1283925785</v>
      </c>
      <c r="AQ18" s="104" t="n">
        <f aca="false">IFERROR(AQ16/AQ17,0)</f>
        <v>104494.4874138</v>
      </c>
      <c r="AR18" s="104" t="n">
        <f aca="false">IFERROR(AR16/AR17,0)</f>
        <v>138510.398923528</v>
      </c>
      <c r="AS18" s="104" t="n">
        <f aca="false">IFERROR(AS16/AS17,0)</f>
        <v>135305.2707184</v>
      </c>
      <c r="AT18" s="104" t="n">
        <f aca="false">IFERROR(AT16/AT17,0)</f>
        <v>135305.2707184</v>
      </c>
      <c r="AU18" s="104" t="n">
        <f aca="false">IFERROR(AU16/AU17,0)</f>
        <v>135305.2707184</v>
      </c>
      <c r="AV18" s="104" t="n">
        <f aca="false">IFERROR(AV16/AV17,0)</f>
        <v>201734.529635292</v>
      </c>
      <c r="AW18" s="104" t="n">
        <f aca="false">IFERROR(AW16/AW17,0)</f>
        <v>196926.8373276</v>
      </c>
      <c r="AX18" s="104" t="n">
        <f aca="false">IFERROR(AX16/AX17,0)</f>
        <v>593853.6746552</v>
      </c>
      <c r="AY18" s="104" t="n">
        <f aca="false">IFERROR(AY16/AY17,0)</f>
        <v>401319.748148304</v>
      </c>
      <c r="AZ18" s="104" t="n">
        <f aca="false">IFERROR(AZ16/AZ17,0)</f>
        <v>401319.748148304</v>
      </c>
      <c r="BA18" s="104" t="n">
        <f aca="false">IFERROR(BA16/BA17,0)</f>
        <v>401319.748148304</v>
      </c>
      <c r="BB18" s="104" t="n">
        <f aca="false">IFERROR(BB16/BB17,0)</f>
        <v>401319.748148304</v>
      </c>
      <c r="BC18" s="104" t="n">
        <f aca="false">IFERROR(BC16/BC17,0)</f>
        <v>401319.748148304</v>
      </c>
      <c r="BD18" s="104" t="n">
        <f aca="false">IFERROR(BD16/BD17,0)</f>
        <v>401319.748148304</v>
      </c>
      <c r="BE18" s="104" t="n">
        <f aca="false">IFERROR(BE16/BE17,0)</f>
        <v>401319.748148304</v>
      </c>
      <c r="BF18" s="104" t="n">
        <f aca="false">IFERROR(BF16/BF17,0)</f>
        <v>401319.748148304</v>
      </c>
      <c r="BG18" s="104" t="n">
        <f aca="false">IFERROR(BG16/BG17,0)</f>
        <v>401319.748148304</v>
      </c>
      <c r="BH18" s="104" t="n">
        <f aca="false">IFERROR(BH16/BH17,0)</f>
        <v>401319.748148304</v>
      </c>
      <c r="BI18" s="104" t="n">
        <f aca="false">IFERROR(BI16/BI17,0)</f>
        <v>401319.748148304</v>
      </c>
      <c r="BJ18" s="104" t="n">
        <f aca="false">IFERROR(BJ16/BJ17,0)</f>
        <v>0</v>
      </c>
      <c r="BK18" s="104" t="n">
        <f aca="false">IFERROR(BK16/BK17,0)</f>
        <v>0</v>
      </c>
      <c r="BL18" s="104" t="n">
        <f aca="false">IFERROR(BL16/BL17,0)</f>
        <v>0</v>
      </c>
      <c r="BM18" s="104" t="n">
        <f aca="false">IFERROR(BM16/BM17,0)</f>
        <v>0</v>
      </c>
      <c r="BN18" s="104" t="n">
        <f aca="false">IFERROR(BN16/BN17,0)</f>
        <v>0</v>
      </c>
      <c r="BO18" s="104" t="n">
        <f aca="false">IFERROR(BO16/BO17,0)</f>
        <v>0</v>
      </c>
      <c r="BP18" s="104" t="n">
        <f aca="false">IFERROR(BP16/BP17,0)</f>
        <v>0</v>
      </c>
      <c r="BQ18" s="104" t="n">
        <f aca="false">IFERROR(BQ16/BQ17,0)</f>
        <v>0</v>
      </c>
      <c r="BR18" s="104" t="n">
        <f aca="false">IFERROR(BR16/BR17,0)</f>
        <v>0</v>
      </c>
      <c r="BS18" s="104" t="n">
        <f aca="false">IFERROR(BS16/BS17,0)</f>
        <v>0</v>
      </c>
      <c r="BT18" s="104" t="n">
        <f aca="false">IFERROR(BT16/BT17,0)</f>
        <v>0</v>
      </c>
      <c r="BU18" s="104" t="n">
        <f aca="false">IFERROR(BU16/BU17,0)</f>
        <v>0</v>
      </c>
      <c r="BV18" s="104" t="n">
        <f aca="false">IFERROR(BV16/BV17,0)</f>
        <v>0</v>
      </c>
      <c r="BW18" s="104" t="n">
        <f aca="false">IFERROR(BW16/BW17,0)</f>
        <v>0</v>
      </c>
      <c r="BX18" s="104" t="n">
        <f aca="false">IFERROR(BX16/BX17,0)</f>
        <v>0</v>
      </c>
      <c r="BY18" s="104" t="n">
        <f aca="false">IFERROR(BY16/BY17,0)</f>
        <v>0</v>
      </c>
      <c r="BZ18" s="104" t="n">
        <f aca="false">IFERROR(BZ16/BZ17,0)</f>
        <v>0</v>
      </c>
      <c r="CA18" s="104" t="n">
        <f aca="false">IFERROR(CA16/CA17,0)</f>
        <v>0</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2" t="s">
        <v>1136</v>
      </c>
      <c r="B20" s="122" t="s">
        <v>812</v>
      </c>
      <c r="C20" s="122" t="s">
        <v>621</v>
      </c>
      <c r="D20" s="122" t="s">
        <v>623</v>
      </c>
      <c r="E20" s="122" t="s">
        <v>595</v>
      </c>
      <c r="F20" s="122" t="s">
        <v>1137</v>
      </c>
      <c r="G20" s="122" t="s">
        <v>622</v>
      </c>
      <c r="H20" s="122" t="s">
        <v>1138</v>
      </c>
      <c r="I20" s="122" t="s">
        <v>1139</v>
      </c>
      <c r="J20" s="122" t="s">
        <v>1140</v>
      </c>
      <c r="K20" s="122" t="s">
        <v>1141</v>
      </c>
      <c r="L20" s="122" t="s">
        <v>1142</v>
      </c>
      <c r="M20" s="122" t="s">
        <v>1143</v>
      </c>
      <c r="N20" s="122" t="s">
        <v>1144</v>
      </c>
      <c r="O20" s="122" t="s">
        <v>1145</v>
      </c>
      <c r="P20" s="122" t="s">
        <v>489</v>
      </c>
      <c r="Q20" s="122" t="s">
        <v>1146</v>
      </c>
    </row>
    <row r="21" customFormat="false" ht="15" hidden="false" customHeight="true" outlineLevel="0" collapsed="false">
      <c r="A21" s="1" t="str">
        <f aca="false">Projects!A17</f>
        <v>Lemp</v>
      </c>
      <c r="B21" s="104" t="n">
        <f aca="false">Projects!B17</f>
        <v>14219545</v>
      </c>
      <c r="C21" s="9" t="n">
        <f aca="false">Projects!C17</f>
        <v>18</v>
      </c>
      <c r="D21" s="9" t="n">
        <f aca="false">Projects!D17</f>
        <v>19</v>
      </c>
      <c r="E21" s="1" t="str">
        <f aca="false">IF(Projects!$X$17="Yes",Projects!G17,"No")</f>
        <v>No</v>
      </c>
      <c r="F21" s="1" t="str">
        <f aca="false">Projects!M17</f>
        <v>Yes</v>
      </c>
      <c r="G21" s="9" t="n">
        <f aca="false">C21+D21-1</f>
        <v>36</v>
      </c>
      <c r="H21" s="9" t="n">
        <f aca="false">C21+1</f>
        <v>19</v>
      </c>
      <c r="I21" s="338" t="n">
        <f aca="false">IF($F21="Yes",INDEX($G$6:$G$14,MATCH(MIN($G21,105),$B$6:$B$14,1)),1)</f>
        <v>0.25</v>
      </c>
      <c r="J21" s="104" t="n">
        <f aca="false">IF($E21="Yes",$B21*Assumptions!$B$9*0.95/$D21*SUMPRODUCT(($C$15:$DF$15&gt;=$C21)*($C$15:$DF$15&lt;$C21+$D21))+$B21*Assumptions!$B$9*0.05*SUMPRODUCT(--($C$15:$DF$15=$G21)),0)</f>
        <v>0</v>
      </c>
      <c r="K21" s="104" t="n">
        <f aca="false">IF($E21="Yes",SUMPRODUCT(($C$15:$DF$15&gt;=$C21)*($C$15:$DF$15&lt;$C21+$D21)*$C$18:$DF$18),0)</f>
        <v>0</v>
      </c>
      <c r="L21" s="104" t="n">
        <f aca="false">J21-K21</f>
        <v>0</v>
      </c>
      <c r="M21" s="338" t="n">
        <f aca="false">$B$3*I21</f>
        <v>0.025</v>
      </c>
      <c r="N21" s="104" t="n">
        <f aca="false">IF($E21="Yes",$B$2*$B21,0)</f>
        <v>0</v>
      </c>
      <c r="O21" s="104" t="n">
        <f aca="false">M21*MAX(0,L21)</f>
        <v>0</v>
      </c>
      <c r="P21" s="104" t="n">
        <f aca="false">N21+Q21</f>
        <v>0</v>
      </c>
      <c r="Q21" s="104" t="n">
        <f aca="false">MAX(0,O21-N21)</f>
        <v>0</v>
      </c>
    </row>
    <row r="22" customFormat="false" ht="15" hidden="false" customHeight="true" outlineLevel="0" collapsed="false">
      <c r="A22" s="1" t="str">
        <f aca="false">Projects!A18</f>
        <v>Riverton 75</v>
      </c>
      <c r="B22" s="104" t="n">
        <f aca="false">Projects!B18</f>
        <v>11537565</v>
      </c>
      <c r="C22" s="9" t="n">
        <f aca="false">Projects!C18</f>
        <v>14</v>
      </c>
      <c r="D22" s="9" t="n">
        <f aca="false">Projects!D18</f>
        <v>19</v>
      </c>
      <c r="E22" s="1" t="str">
        <f aca="false">IF(Projects!$X$18="Yes",Projects!G18,"No")</f>
        <v>No</v>
      </c>
      <c r="F22" s="1" t="str">
        <f aca="false">Projects!M18</f>
        <v>Yes</v>
      </c>
      <c r="G22" s="9" t="n">
        <f aca="false">C22+D22-1</f>
        <v>32</v>
      </c>
      <c r="H22" s="9" t="n">
        <f aca="false">C22+1</f>
        <v>15</v>
      </c>
      <c r="I22" s="338" t="n">
        <f aca="false">IF($F22="Yes",INDEX($G$6:$G$14,MATCH(MIN($G22,105),$B$6:$B$14,1)),1)</f>
        <v>0.25</v>
      </c>
      <c r="J22" s="104" t="n">
        <f aca="false">IF($E22="Yes",$B22*Assumptions!$B$9*0.95/$D22*SUMPRODUCT(($C$15:$DF$15&gt;=$C22)*($C$15:$DF$15&lt;$C22+$D22))+$B22*Assumptions!$B$9*0.05*SUMPRODUCT(--($C$15:$DF$15=$G22)),0)</f>
        <v>0</v>
      </c>
      <c r="K22" s="104" t="n">
        <f aca="false">IF($E22="Yes",SUMPRODUCT(($C$15:$DF$15&gt;=$C22)*($C$15:$DF$15&lt;$C22+$D22)*$C$18:$DF$18),0)</f>
        <v>0</v>
      </c>
      <c r="L22" s="104" t="n">
        <f aca="false">J22-K22</f>
        <v>0</v>
      </c>
      <c r="M22" s="338" t="n">
        <f aca="false">$B$3*I22</f>
        <v>0.025</v>
      </c>
      <c r="N22" s="104" t="n">
        <f aca="false">IF($E22="Yes",$B$2*$B22,0)</f>
        <v>0</v>
      </c>
      <c r="O22" s="104" t="n">
        <f aca="false">M22*MAX(0,L22)</f>
        <v>0</v>
      </c>
      <c r="P22" s="104" t="n">
        <f aca="false">N22+Q22</f>
        <v>0</v>
      </c>
      <c r="Q22" s="104" t="n">
        <f aca="false">MAX(0,O22-N22)</f>
        <v>0</v>
      </c>
    </row>
    <row r="23" customFormat="false" ht="15" hidden="false" customHeight="true" outlineLevel="0" collapsed="false">
      <c r="A23" s="1" t="str">
        <f aca="false">Projects!A19</f>
        <v>Moorpark</v>
      </c>
      <c r="B23" s="104" t="n">
        <f aca="false">Projects!B19</f>
        <v>18764585</v>
      </c>
      <c r="C23" s="9" t="n">
        <f aca="false">Projects!C19</f>
        <v>13</v>
      </c>
      <c r="D23" s="9" t="n">
        <f aca="false">Projects!D19</f>
        <v>18</v>
      </c>
      <c r="E23" s="1" t="str">
        <f aca="false">IF(Projects!$X$19="Yes",Projects!G19,"No")</f>
        <v>No</v>
      </c>
      <c r="F23" s="1" t="str">
        <f aca="false">Projects!M19</f>
        <v>Yes</v>
      </c>
      <c r="G23" s="9" t="n">
        <f aca="false">C23+D23-1</f>
        <v>30</v>
      </c>
      <c r="H23" s="9" t="n">
        <f aca="false">C23+1</f>
        <v>14</v>
      </c>
      <c r="I23" s="338" t="n">
        <f aca="false">IF($F23="Yes",INDEX($G$6:$G$14,MATCH(MIN($G23,105),$B$6:$B$14,1)),1)</f>
        <v>0.25</v>
      </c>
      <c r="J23" s="104" t="n">
        <f aca="false">IF($E23="Yes",$B23*Assumptions!$B$9*0.95/$D23*SUMPRODUCT(($C$15:$DF$15&gt;=$C23)*($C$15:$DF$15&lt;$C23+$D23))+$B23*Assumptions!$B$9*0.05*SUMPRODUCT(--($C$15:$DF$15=$G23)),0)</f>
        <v>0</v>
      </c>
      <c r="K23" s="104" t="n">
        <f aca="false">IF($E23="Yes",SUMPRODUCT(($C$15:$DF$15&gt;=$C23)*($C$15:$DF$15&lt;$C23+$D23)*$C$18:$DF$18),0)</f>
        <v>0</v>
      </c>
      <c r="L23" s="104" t="n">
        <f aca="false">J23-K23</f>
        <v>0</v>
      </c>
      <c r="M23" s="338" t="n">
        <f aca="false">$B$3*I23</f>
        <v>0.025</v>
      </c>
      <c r="N23" s="104" t="n">
        <f aca="false">IF($E23="Yes",$B$2*$B23,0)</f>
        <v>0</v>
      </c>
      <c r="O23" s="104" t="n">
        <f aca="false">M23*MAX(0,L23)</f>
        <v>0</v>
      </c>
      <c r="P23" s="104" t="n">
        <f aca="false">N23+Q23</f>
        <v>0</v>
      </c>
      <c r="Q23" s="104" t="n">
        <f aca="false">MAX(0,O23-N23)</f>
        <v>0</v>
      </c>
    </row>
    <row r="24" customFormat="false" ht="15" hidden="false" customHeight="true" outlineLevel="0" collapsed="false">
      <c r="A24" s="1" t="str">
        <f aca="false">Projects!A20</f>
        <v>Beverly (BD-04)</v>
      </c>
      <c r="B24" s="104" t="n">
        <f aca="false">Projects!B20</f>
        <v>25026330.58</v>
      </c>
      <c r="C24" s="9" t="n">
        <f aca="false">Projects!C20</f>
        <v>19</v>
      </c>
      <c r="D24" s="9" t="n">
        <f aca="false">Projects!D20</f>
        <v>24</v>
      </c>
      <c r="E24" s="1" t="str">
        <f aca="false">IF(Projects!$X$20="Yes",Projects!G20,"No")</f>
        <v>Yes</v>
      </c>
      <c r="F24" s="1" t="str">
        <f aca="false">Projects!M20</f>
        <v>No</v>
      </c>
      <c r="G24" s="9" t="n">
        <f aca="false">C24+D24-1</f>
        <v>42</v>
      </c>
      <c r="H24" s="9" t="n">
        <f aca="false">C24+1</f>
        <v>20</v>
      </c>
      <c r="I24" s="338"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1848375.37516108</v>
      </c>
      <c r="L24" s="104" t="n">
        <f aca="false">J24-K24</f>
        <v>1164569.5896957</v>
      </c>
      <c r="M24" s="338" t="n">
        <f aca="false">$B$3*I24</f>
        <v>0.1</v>
      </c>
      <c r="N24" s="104" t="n">
        <f aca="false">IF($E24="Yes",$B$2*$B24,0)</f>
        <v>62565.82645</v>
      </c>
      <c r="O24" s="104" t="n">
        <f aca="false">M24*MAX(0,L24)</f>
        <v>116456.95896957</v>
      </c>
      <c r="P24" s="104" t="n">
        <f aca="false">N24+Q24</f>
        <v>116456.95896957</v>
      </c>
      <c r="Q24" s="104" t="n">
        <f aca="false">MAX(0,O24-N24)</f>
        <v>53891.1325195699</v>
      </c>
    </row>
    <row r="25" customFormat="false" ht="15" hidden="false" customHeight="true" outlineLevel="0" collapsed="false">
      <c r="A25" s="1" t="str">
        <f aca="false">Projects!A21</f>
        <v>Troost (HVN)</v>
      </c>
      <c r="B25" s="104" t="n">
        <f aca="false">Projects!B21</f>
        <v>14935493</v>
      </c>
      <c r="C25" s="9" t="n">
        <f aca="false">Projects!C21</f>
        <v>9</v>
      </c>
      <c r="D25" s="9" t="n">
        <f aca="false">Projects!D21</f>
        <v>20</v>
      </c>
      <c r="E25" s="1" t="str">
        <f aca="false">IF(Projects!$X$21="Yes",Projects!G21,"No")</f>
        <v>No</v>
      </c>
      <c r="F25" s="1" t="str">
        <f aca="false">Projects!M21</f>
        <v>Yes</v>
      </c>
      <c r="G25" s="9" t="n">
        <f aca="false">C25+D25-1</f>
        <v>28</v>
      </c>
      <c r="H25" s="9" t="n">
        <f aca="false">C25+1</f>
        <v>10</v>
      </c>
      <c r="I25" s="338" t="n">
        <f aca="false">IF($F25="Yes",INDEX($G$6:$G$14,MATCH(MIN($G25,105),$B$6:$B$14,1)),1)</f>
        <v>0.25</v>
      </c>
      <c r="J25" s="104" t="n">
        <f aca="false">IF($E25="Yes",$B25*Assumptions!$B$9*0.95/$D25*SUMPRODUCT(($C$15:$DF$15&gt;=$C25)*($C$15:$DF$15&lt;$C25+$D25))+$B25*Assumptions!$B$9*0.05*SUMPRODUCT(--($C$15:$DF$15=$G25)),0)</f>
        <v>0</v>
      </c>
      <c r="K25" s="104" t="n">
        <f aca="false">IF($E25="Yes",SUMPRODUCT(($C$15:$DF$15&gt;=$C25)*($C$15:$DF$15&lt;$C25+$D25)*$C$18:$DF$18),0)</f>
        <v>0</v>
      </c>
      <c r="L25" s="104" t="n">
        <f aca="false">J25-K25</f>
        <v>0</v>
      </c>
      <c r="M25" s="338" t="n">
        <f aca="false">$B$3*I25</f>
        <v>0.025</v>
      </c>
      <c r="N25" s="104" t="n">
        <f aca="false">IF($E25="Yes",$B$2*$B25,0)</f>
        <v>0</v>
      </c>
      <c r="O25" s="104" t="n">
        <f aca="false">M25*MAX(0,L25)</f>
        <v>0</v>
      </c>
      <c r="P25" s="104" t="n">
        <f aca="false">N25+Q25</f>
        <v>0</v>
      </c>
      <c r="Q25" s="104" t="n">
        <f aca="false">MAX(0,O25-N25)</f>
        <v>0</v>
      </c>
    </row>
    <row r="26" customFormat="false" ht="15" hidden="false" customHeight="true" outlineLevel="0" collapsed="false">
      <c r="A26" s="1" t="str">
        <f aca="false">Projects!A22</f>
        <v>Kester</v>
      </c>
      <c r="B26" s="104" t="n">
        <f aca="false">Projects!B22</f>
        <v>13706000</v>
      </c>
      <c r="C26" s="9" t="n">
        <f aca="false">Projects!C22</f>
        <v>19</v>
      </c>
      <c r="D26" s="9" t="n">
        <f aca="false">Projects!D22</f>
        <v>19</v>
      </c>
      <c r="E26" s="1" t="str">
        <f aca="false">IF(Projects!$X$22="Yes",Projects!G22,"No")</f>
        <v>No</v>
      </c>
      <c r="F26" s="1" t="str">
        <f aca="false">Projects!M22</f>
        <v>Yes</v>
      </c>
      <c r="G26" s="9" t="n">
        <f aca="false">C26+D26-1</f>
        <v>37</v>
      </c>
      <c r="H26" s="9" t="n">
        <f aca="false">C26+1</f>
        <v>20</v>
      </c>
      <c r="I26" s="338" t="n">
        <f aca="false">IF($F26="Yes",INDEX($G$6:$G$14,MATCH(MIN($G26,105),$B$6:$B$14,1)),1)</f>
        <v>0.25</v>
      </c>
      <c r="J26" s="104" t="n">
        <f aca="false">IF($E26="Yes",$B26*Assumptions!$B$9*0.95/$D26*SUMPRODUCT(($C$15:$DF$15&gt;=$C26)*($C$15:$DF$15&lt;$C26+$D26))+$B26*Assumptions!$B$9*0.05*SUMPRODUCT(--($C$15:$DF$15=$G26)),0)</f>
        <v>0</v>
      </c>
      <c r="K26" s="104" t="n">
        <f aca="false">IF($E26="Yes",SUMPRODUCT(($C$15:$DF$15&gt;=$C26)*($C$15:$DF$15&lt;$C26+$D26)*$C$18:$DF$18),0)</f>
        <v>0</v>
      </c>
      <c r="L26" s="104" t="n">
        <f aca="false">J26-K26</f>
        <v>0</v>
      </c>
      <c r="M26" s="338" t="n">
        <f aca="false">$B$3*I26</f>
        <v>0.025</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34</v>
      </c>
      <c r="D27" s="9" t="n">
        <f aca="false">Projects!D23</f>
        <v>19</v>
      </c>
      <c r="E27" s="1" t="str">
        <f aca="false">IF(Projects!$X$23="Yes",Projects!G23,"No")</f>
        <v>No</v>
      </c>
      <c r="F27" s="1" t="str">
        <f aca="false">Projects!M23</f>
        <v>Yes</v>
      </c>
      <c r="G27" s="9" t="n">
        <f aca="false">C27+D27-1</f>
        <v>52</v>
      </c>
      <c r="H27" s="9" t="n">
        <f aca="false">C27+1</f>
        <v>35</v>
      </c>
      <c r="I27" s="338" t="n">
        <f aca="false">IF($F27="Yes",INDEX($G$6:$G$14,MATCH(MIN($G27,105),$B$6:$B$14,1)),1)</f>
        <v>0.25</v>
      </c>
      <c r="J27" s="104" t="n">
        <f aca="false">IF($E27="Yes",$B27*Assumptions!$B$9*0.95/$D27*SUMPRODUCT(($C$15:$DF$15&gt;=$C27)*($C$15:$DF$15&lt;$C27+$D27))+$B27*Assumptions!$B$9*0.05*SUMPRODUCT(--($C$15:$DF$15=$G27)),0)</f>
        <v>0</v>
      </c>
      <c r="K27" s="104" t="n">
        <f aca="false">IF($E27="Yes",SUMPRODUCT(($C$15:$DF$15&gt;=$C27)*($C$15:$DF$15&lt;$C27+$D27)*$C$18:$DF$18),0)</f>
        <v>0</v>
      </c>
      <c r="L27" s="104" t="n">
        <f aca="false">J27-K27</f>
        <v>0</v>
      </c>
      <c r="M27" s="338" t="n">
        <f aca="false">$B$3*I27</f>
        <v>0.025</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37</v>
      </c>
      <c r="D28" s="9" t="n">
        <f aca="false">Projects!D24</f>
        <v>19</v>
      </c>
      <c r="E28" s="1" t="str">
        <f aca="false">IF(Projects!$X$24="Yes",Projects!G24,"No")</f>
        <v>No</v>
      </c>
      <c r="F28" s="1" t="str">
        <f aca="false">Projects!M24</f>
        <v>No</v>
      </c>
      <c r="G28" s="9" t="n">
        <f aca="false">C28+D28-1</f>
        <v>55</v>
      </c>
      <c r="H28" s="9" t="n">
        <f aca="false">C28+1</f>
        <v>38</v>
      </c>
      <c r="I28" s="338" t="n">
        <f aca="false">IF($F28="Yes",INDEX($G$6:$G$14,MATCH(MIN($G28,105),$B$6:$B$14,1)),1)</f>
        <v>1</v>
      </c>
      <c r="J28" s="104" t="n">
        <f aca="false">IF($E28="Yes",$B28*Assumptions!$B$9*0.95/$D28*SUMPRODUCT(($C$15:$DF$15&gt;=$C28)*($C$15:$DF$15&lt;$C28+$D28))+$B28*Assumptions!$B$9*0.05*SUMPRODUCT(--($C$15:$DF$15=$G28)),0)</f>
        <v>0</v>
      </c>
      <c r="K28" s="104" t="n">
        <f aca="false">IF($E28="Yes",SUMPRODUCT(($C$15:$DF$15&gt;=$C28)*($C$15:$DF$15&lt;$C28+$D28)*$C$18:$DF$18),0)</f>
        <v>0</v>
      </c>
      <c r="L28" s="104" t="n">
        <f aca="false">J28-K28</f>
        <v>0</v>
      </c>
      <c r="M28" s="338" t="n">
        <f aca="false">$B$3*I28</f>
        <v>0.1</v>
      </c>
      <c r="N28" s="104" t="n">
        <f aca="false">IF($E28="Yes",$B$2*$B28,0)</f>
        <v>0</v>
      </c>
      <c r="O28" s="104" t="n">
        <f aca="false">M28*MAX(0,L28)</f>
        <v>0</v>
      </c>
      <c r="P28" s="104" t="n">
        <f aca="false">N28+Q28</f>
        <v>0</v>
      </c>
      <c r="Q28" s="104" t="n">
        <f aca="false">MAX(0,O28-N28)</f>
        <v>0</v>
      </c>
    </row>
    <row r="29" customFormat="false" ht="15" hidden="false" customHeight="true" outlineLevel="0" collapsed="false">
      <c r="A29" s="1" t="str">
        <f aca="false">Projects!A25</f>
        <v>BD-09</v>
      </c>
      <c r="B29" s="104" t="n">
        <f aca="false">Projects!B25</f>
        <v>18000000</v>
      </c>
      <c r="C29" s="9" t="n">
        <f aca="false">Projects!C25</f>
        <v>40</v>
      </c>
      <c r="D29" s="9" t="n">
        <f aca="false">Projects!D25</f>
        <v>19</v>
      </c>
      <c r="E29" s="1" t="str">
        <f aca="false">IF(Projects!$X$25="Yes",Projects!G25,"No")</f>
        <v>No</v>
      </c>
      <c r="F29" s="1" t="str">
        <f aca="false">Projects!M25</f>
        <v>No</v>
      </c>
      <c r="G29" s="9" t="n">
        <f aca="false">C29+D29-1</f>
        <v>58</v>
      </c>
      <c r="H29" s="9" t="n">
        <f aca="false">C29+1</f>
        <v>41</v>
      </c>
      <c r="I29" s="338" t="n">
        <f aca="false">IF($F29="Yes",INDEX($G$6:$G$14,MATCH(MIN($G29,105),$B$6:$B$14,1)),1)</f>
        <v>1</v>
      </c>
      <c r="J29" s="104" t="n">
        <f aca="false">IF($E29="Yes",$B29*Assumptions!$B$9*0.95/$D29*SUMPRODUCT(($C$15:$DF$15&gt;=$C29)*($C$15:$DF$15&lt;$C29+$D29))+$B29*Assumptions!$B$9*0.05*SUMPRODUCT(--($C$15:$DF$15=$G29)),0)</f>
        <v>0</v>
      </c>
      <c r="K29" s="104" t="n">
        <f aca="false">IF($E29="Yes",SUMPRODUCT(($C$15:$DF$15&gt;=$C29)*($C$15:$DF$15&lt;$C29+$D29)*$C$18:$DF$18),0)</f>
        <v>0</v>
      </c>
      <c r="L29" s="104" t="n">
        <f aca="false">J29-K29</f>
        <v>0</v>
      </c>
      <c r="M29" s="338" t="n">
        <f aca="false">$B$3*I29</f>
        <v>0.1</v>
      </c>
      <c r="N29" s="104" t="n">
        <f aca="false">IF($E29="Yes",$B$2*$B29,0)</f>
        <v>0</v>
      </c>
      <c r="O29" s="104" t="n">
        <f aca="false">M29*MAX(0,L29)</f>
        <v>0</v>
      </c>
      <c r="P29" s="104" t="n">
        <f aca="false">N29+Q29</f>
        <v>0</v>
      </c>
      <c r="Q29" s="104" t="n">
        <f aca="false">MAX(0,O29-N29)</f>
        <v>0</v>
      </c>
    </row>
    <row r="30" customFormat="false" ht="15" hidden="false" customHeight="true" outlineLevel="0" collapsed="false">
      <c r="A30" s="1" t="str">
        <f aca="false">Projects!A26</f>
        <v>BD-10</v>
      </c>
      <c r="B30" s="104" t="n">
        <f aca="false">Projects!B26</f>
        <v>18000000</v>
      </c>
      <c r="C30" s="9" t="n">
        <f aca="false">Projects!C26</f>
        <v>42</v>
      </c>
      <c r="D30" s="9" t="n">
        <f aca="false">Projects!D26</f>
        <v>19</v>
      </c>
      <c r="E30" s="1" t="str">
        <f aca="false">IF(Projects!$X$26="Yes",Projects!G26,"No")</f>
        <v>No</v>
      </c>
      <c r="F30" s="1" t="str">
        <f aca="false">Projects!M26</f>
        <v>No</v>
      </c>
      <c r="G30" s="9" t="n">
        <f aca="false">C30+D30-1</f>
        <v>60</v>
      </c>
      <c r="H30" s="9" t="n">
        <f aca="false">C30+1</f>
        <v>43</v>
      </c>
      <c r="I30" s="338" t="n">
        <f aca="false">IF($F30="Yes",INDEX($G$6:$G$14,MATCH(MIN($G30,105),$B$6:$B$14,1)),1)</f>
        <v>1</v>
      </c>
      <c r="J30" s="104" t="n">
        <f aca="false">IF($E30="Yes",$B30*Assumptions!$B$9*0.95/$D30*SUMPRODUCT(($C$15:$DF$15&gt;=$C30)*($C$15:$DF$15&lt;$C30+$D30))+$B30*Assumptions!$B$9*0.05*SUMPRODUCT(--($C$15:$DF$15=$G30)),0)</f>
        <v>0</v>
      </c>
      <c r="K30" s="104" t="n">
        <f aca="false">IF($E30="Yes",SUMPRODUCT(($C$15:$DF$15&gt;=$C30)*($C$15:$DF$15&lt;$C30+$D30)*$C$18:$DF$18),0)</f>
        <v>0</v>
      </c>
      <c r="L30" s="104" t="n">
        <f aca="false">J30-K30</f>
        <v>0</v>
      </c>
      <c r="M30" s="338" t="n">
        <f aca="false">$B$3*I30</f>
        <v>0.1</v>
      </c>
      <c r="N30" s="104" t="n">
        <f aca="false">IF($E30="Yes",$B$2*$B30,0)</f>
        <v>0</v>
      </c>
      <c r="O30" s="104" t="n">
        <f aca="false">M30*MAX(0,L30)</f>
        <v>0</v>
      </c>
      <c r="P30" s="104" t="n">
        <f aca="false">N30+Q30</f>
        <v>0</v>
      </c>
      <c r="Q30" s="104" t="n">
        <f aca="false">MAX(0,O30-N30)</f>
        <v>0</v>
      </c>
    </row>
    <row r="31" customFormat="false" ht="15" hidden="false" customHeight="true" outlineLevel="0" collapsed="false">
      <c r="A31" s="1" t="str">
        <f aca="false">Projects!A27</f>
        <v>BD-11</v>
      </c>
      <c r="B31" s="104" t="n">
        <f aca="false">Projects!B27</f>
        <v>15000000</v>
      </c>
      <c r="C31" s="9" t="n">
        <f aca="false">Projects!C27</f>
        <v>44</v>
      </c>
      <c r="D31" s="9" t="n">
        <f aca="false">Projects!D27</f>
        <v>19</v>
      </c>
      <c r="E31" s="1" t="str">
        <f aca="false">IF(Projects!$X$27="Yes",Projects!G27,"No")</f>
        <v>No</v>
      </c>
      <c r="F31" s="1" t="str">
        <f aca="false">Projects!M27</f>
        <v>No</v>
      </c>
      <c r="G31" s="9" t="n">
        <f aca="false">C31+D31-1</f>
        <v>62</v>
      </c>
      <c r="H31" s="9" t="n">
        <f aca="false">C31+1</f>
        <v>45</v>
      </c>
      <c r="I31" s="338" t="n">
        <f aca="false">IF($F31="Yes",INDEX($G$6:$G$14,MATCH(MIN($G31,105),$B$6:$B$14,1)),1)</f>
        <v>1</v>
      </c>
      <c r="J31" s="104" t="n">
        <f aca="false">IF($E31="Yes",$B31*Assumptions!$B$9*0.95/$D31*SUMPRODUCT(($C$15:$DF$15&gt;=$C31)*($C$15:$DF$15&lt;$C31+$D31))+$B31*Assumptions!$B$9*0.05*SUMPRODUCT(--($C$15:$DF$15=$G31)),0)</f>
        <v>0</v>
      </c>
      <c r="K31" s="104" t="n">
        <f aca="false">IF($E31="Yes",SUMPRODUCT(($C$15:$DF$15&gt;=$C31)*($C$15:$DF$15&lt;$C31+$D31)*$C$18:$DF$18),0)</f>
        <v>0</v>
      </c>
      <c r="L31" s="104" t="n">
        <f aca="false">J31-K31</f>
        <v>0</v>
      </c>
      <c r="M31" s="338" t="n">
        <f aca="false">$B$3*I31</f>
        <v>0.1</v>
      </c>
      <c r="N31" s="104" t="n">
        <f aca="false">IF($E31="Yes",$B$2*$B31,0)</f>
        <v>0</v>
      </c>
      <c r="O31" s="104" t="n">
        <f aca="false">M31*MAX(0,L31)</f>
        <v>0</v>
      </c>
      <c r="P31" s="104" t="n">
        <f aca="false">N31+Q31</f>
        <v>0</v>
      </c>
      <c r="Q31" s="104" t="n">
        <f aca="false">MAX(0,O31-N31)</f>
        <v>0</v>
      </c>
    </row>
    <row r="32" customFormat="false" ht="15" hidden="false" customHeight="true" outlineLevel="0" collapsed="false">
      <c r="A32" s="1" t="str">
        <f aca="false">Projects!A28</f>
        <v>BD-12</v>
      </c>
      <c r="B32" s="104" t="n">
        <f aca="false">Projects!B28</f>
        <v>15000000</v>
      </c>
      <c r="C32" s="9" t="n">
        <f aca="false">Projects!C28</f>
        <v>46</v>
      </c>
      <c r="D32" s="9" t="n">
        <f aca="false">Projects!D28</f>
        <v>19</v>
      </c>
      <c r="E32" s="1" t="str">
        <f aca="false">IF(Projects!$X$28="Yes",Projects!G28,"No")</f>
        <v>No</v>
      </c>
      <c r="F32" s="1" t="str">
        <f aca="false">Projects!M28</f>
        <v>Yes</v>
      </c>
      <c r="G32" s="9" t="n">
        <f aca="false">C32+D32-1</f>
        <v>64</v>
      </c>
      <c r="H32" s="9" t="n">
        <f aca="false">C32+1</f>
        <v>47</v>
      </c>
      <c r="I32" s="338" t="n">
        <f aca="false">IF($F32="Yes",INDEX($G$6:$G$14,MATCH(MIN($G32,105),$B$6:$B$14,1)),1)</f>
        <v>0.25</v>
      </c>
      <c r="J32" s="104" t="n">
        <f aca="false">IF($E32="Yes",$B32*Assumptions!$B$9*0.95/$D32*SUMPRODUCT(($C$15:$DF$15&gt;=$C32)*($C$15:$DF$15&lt;$C32+$D32))+$B32*Assumptions!$B$9*0.05*SUMPRODUCT(--($C$15:$DF$15=$G32)),0)</f>
        <v>0</v>
      </c>
      <c r="K32" s="104" t="n">
        <f aca="false">IF($E32="Yes",SUMPRODUCT(($C$15:$DF$15&gt;=$C32)*($C$15:$DF$15&lt;$C32+$D32)*$C$18:$DF$18),0)</f>
        <v>0</v>
      </c>
      <c r="L32" s="104" t="n">
        <f aca="false">J32-K32</f>
        <v>0</v>
      </c>
      <c r="M32" s="338" t="n">
        <f aca="false">$B$3*I32</f>
        <v>0.025</v>
      </c>
      <c r="N32" s="104" t="n">
        <f aca="false">IF($E32="Yes",$B$2*$B32,0)</f>
        <v>0</v>
      </c>
      <c r="O32" s="104" t="n">
        <f aca="false">M32*MAX(0,L32)</f>
        <v>0</v>
      </c>
      <c r="P32" s="104" t="n">
        <f aca="false">N32+Q32</f>
        <v>0</v>
      </c>
      <c r="Q32" s="104" t="n">
        <f aca="false">MAX(0,O32-N32)</f>
        <v>0</v>
      </c>
    </row>
    <row r="33" customFormat="false" ht="15" hidden="false" customHeight="true" outlineLevel="0" collapsed="false">
      <c r="A33" s="1" t="str">
        <f aca="false">Projects!A29</f>
        <v>BD-13</v>
      </c>
      <c r="B33" s="104" t="n">
        <f aca="false">Projects!B29</f>
        <v>15000000</v>
      </c>
      <c r="C33" s="9" t="n">
        <f aca="false">Projects!C29</f>
        <v>48</v>
      </c>
      <c r="D33" s="9" t="n">
        <f aca="false">Projects!D29</f>
        <v>19</v>
      </c>
      <c r="E33" s="1" t="str">
        <f aca="false">IF(Projects!$X$29="Yes",Projects!G29,"No")</f>
        <v>No</v>
      </c>
      <c r="F33" s="1" t="str">
        <f aca="false">Projects!M29</f>
        <v>No</v>
      </c>
      <c r="G33" s="9" t="n">
        <f aca="false">C33+D33-1</f>
        <v>66</v>
      </c>
      <c r="H33" s="9" t="n">
        <f aca="false">C33+1</f>
        <v>49</v>
      </c>
      <c r="I33" s="338" t="n">
        <f aca="false">IF($F33="Yes",INDEX($G$6:$G$14,MATCH(MIN($G33,105),$B$6:$B$14,1)),1)</f>
        <v>1</v>
      </c>
      <c r="J33" s="104" t="n">
        <f aca="false">IF($E33="Yes",$B33*Assumptions!$B$9*0.95/$D33*SUMPRODUCT(($C$15:$DF$15&gt;=$C33)*($C$15:$DF$15&lt;$C33+$D33))+$B33*Assumptions!$B$9*0.05*SUMPRODUCT(--($C$15:$DF$15=$G33)),0)</f>
        <v>0</v>
      </c>
      <c r="K33" s="104" t="n">
        <f aca="false">IF($E33="Yes",SUMPRODUCT(($C$15:$DF$15&gt;=$C33)*($C$15:$DF$15&lt;$C33+$D33)*$C$18:$DF$18),0)</f>
        <v>0</v>
      </c>
      <c r="L33" s="104" t="n">
        <f aca="false">J33-K33</f>
        <v>0</v>
      </c>
      <c r="M33" s="338" t="n">
        <f aca="false">$B$3*I33</f>
        <v>0.1</v>
      </c>
      <c r="N33" s="104" t="n">
        <f aca="false">IF($E33="Yes",$B$2*$B33,0)</f>
        <v>0</v>
      </c>
      <c r="O33" s="104" t="n">
        <f aca="false">M33*MAX(0,L33)</f>
        <v>0</v>
      </c>
      <c r="P33" s="104" t="n">
        <f aca="false">N33+Q33</f>
        <v>0</v>
      </c>
      <c r="Q33" s="104" t="n">
        <f aca="false">MAX(0,O33-N33)</f>
        <v>0</v>
      </c>
    </row>
    <row r="34" customFormat="false" ht="15" hidden="false" customHeight="true" outlineLevel="0" collapsed="false">
      <c r="A34" s="1" t="str">
        <f aca="false">Projects!A30</f>
        <v>BD-14</v>
      </c>
      <c r="B34" s="104" t="n">
        <f aca="false">Projects!B30</f>
        <v>15000000</v>
      </c>
      <c r="C34" s="9" t="n">
        <f aca="false">Projects!C30</f>
        <v>50</v>
      </c>
      <c r="D34" s="9" t="n">
        <f aca="false">Projects!D30</f>
        <v>19</v>
      </c>
      <c r="E34" s="1" t="str">
        <f aca="false">IF(Projects!$X$30="Yes",Projects!G30,"No")</f>
        <v>No</v>
      </c>
      <c r="F34" s="1" t="str">
        <f aca="false">Projects!M30</f>
        <v>No</v>
      </c>
      <c r="G34" s="9" t="n">
        <f aca="false">C34+D34-1</f>
        <v>68</v>
      </c>
      <c r="H34" s="9" t="n">
        <f aca="false">C34+1</f>
        <v>51</v>
      </c>
      <c r="I34" s="338" t="n">
        <f aca="false">IF($F34="Yes",INDEX($G$6:$G$14,MATCH(MIN($G34,105),$B$6:$B$14,1)),1)</f>
        <v>1</v>
      </c>
      <c r="J34" s="104" t="n">
        <f aca="false">IF($E34="Yes",$B34*Assumptions!$B$9*0.95/$D34*SUMPRODUCT(($C$15:$DF$15&gt;=$C34)*($C$15:$DF$15&lt;$C34+$D34))+$B34*Assumptions!$B$9*0.05*SUMPRODUCT(--($C$15:$DF$15=$G34)),0)</f>
        <v>0</v>
      </c>
      <c r="K34" s="104" t="n">
        <f aca="false">IF($E34="Yes",SUMPRODUCT(($C$15:$DF$15&gt;=$C34)*($C$15:$DF$15&lt;$C34+$D34)*$C$18:$DF$18),0)</f>
        <v>0</v>
      </c>
      <c r="L34" s="104" t="n">
        <f aca="false">J34-K34</f>
        <v>0</v>
      </c>
      <c r="M34" s="338" t="n">
        <f aca="false">$B$3*I34</f>
        <v>0.1</v>
      </c>
      <c r="N34" s="104" t="n">
        <f aca="false">IF($E34="Yes",$B$2*$B34,0)</f>
        <v>0</v>
      </c>
      <c r="O34" s="104" t="n">
        <f aca="false">M34*MAX(0,L34)</f>
        <v>0</v>
      </c>
      <c r="P34" s="104" t="n">
        <f aca="false">N34+Q34</f>
        <v>0</v>
      </c>
      <c r="Q34" s="104" t="n">
        <f aca="false">MAX(0,O34-N34)</f>
        <v>0</v>
      </c>
    </row>
    <row r="35" customFormat="false" ht="15" hidden="false" customHeight="true" outlineLevel="0" collapsed="false">
      <c r="A35" s="1" t="str">
        <f aca="false">Projects!A31</f>
        <v>BD-15</v>
      </c>
      <c r="B35" s="104" t="n">
        <f aca="false">Projects!B31</f>
        <v>18000000</v>
      </c>
      <c r="C35" s="9" t="n">
        <f aca="false">Projects!C31</f>
        <v>52</v>
      </c>
      <c r="D35" s="9" t="n">
        <f aca="false">Projects!D31</f>
        <v>19</v>
      </c>
      <c r="E35" s="1" t="str">
        <f aca="false">IF(Projects!$X$31="Yes",Projects!G31,"No")</f>
        <v>No</v>
      </c>
      <c r="F35" s="1" t="str">
        <f aca="false">Projects!M31</f>
        <v>No</v>
      </c>
      <c r="G35" s="9" t="n">
        <f aca="false">C35+D35-1</f>
        <v>70</v>
      </c>
      <c r="H35" s="9" t="n">
        <f aca="false">C35+1</f>
        <v>53</v>
      </c>
      <c r="I35" s="338" t="n">
        <f aca="false">IF($F35="Yes",INDEX($G$6:$G$14,MATCH(MIN($G35,105),$B$6:$B$14,1)),1)</f>
        <v>1</v>
      </c>
      <c r="J35" s="104" t="n">
        <f aca="false">IF($E35="Yes",$B35*Assumptions!$B$9*0.95/$D35*SUMPRODUCT(($C$15:$DF$15&gt;=$C35)*($C$15:$DF$15&lt;$C35+$D35))+$B35*Assumptions!$B$9*0.05*SUMPRODUCT(--($C$15:$DF$15=$G35)),0)</f>
        <v>0</v>
      </c>
      <c r="K35" s="104" t="n">
        <f aca="false">IF($E35="Yes",SUMPRODUCT(($C$15:$DF$15&gt;=$C35)*($C$15:$DF$15&lt;$C35+$D35)*$C$18:$DF$18),0)</f>
        <v>0</v>
      </c>
      <c r="L35" s="104" t="n">
        <f aca="false">J35-K35</f>
        <v>0</v>
      </c>
      <c r="M35" s="338" t="n">
        <f aca="false">$B$3*I35</f>
        <v>0.1</v>
      </c>
      <c r="N35" s="104" t="n">
        <f aca="false">IF($E35="Yes",$B$2*$B35,0)</f>
        <v>0</v>
      </c>
      <c r="O35" s="104" t="n">
        <f aca="false">M35*MAX(0,L35)</f>
        <v>0</v>
      </c>
      <c r="P35" s="104" t="n">
        <f aca="false">N35+Q35</f>
        <v>0</v>
      </c>
      <c r="Q35" s="104" t="n">
        <f aca="false">MAX(0,O35-N35)</f>
        <v>0</v>
      </c>
    </row>
    <row r="36" customFormat="false" ht="15" hidden="false" customHeight="true" outlineLevel="0" collapsed="false">
      <c r="A36" s="1" t="str">
        <f aca="false">Projects!A32</f>
        <v>BD-16</v>
      </c>
      <c r="B36" s="104" t="n">
        <f aca="false">Projects!B32</f>
        <v>15000000</v>
      </c>
      <c r="C36" s="9" t="n">
        <f aca="false">Projects!C32</f>
        <v>54</v>
      </c>
      <c r="D36" s="9" t="n">
        <f aca="false">Projects!D32</f>
        <v>19</v>
      </c>
      <c r="E36" s="1" t="str">
        <f aca="false">IF(Projects!$X$32="Yes",Projects!G32,"No")</f>
        <v>No</v>
      </c>
      <c r="F36" s="1" t="str">
        <f aca="false">Projects!M32</f>
        <v>No</v>
      </c>
      <c r="G36" s="9" t="n">
        <f aca="false">C36+D36-1</f>
        <v>72</v>
      </c>
      <c r="H36" s="9" t="n">
        <f aca="false">C36+1</f>
        <v>55</v>
      </c>
      <c r="I36" s="338" t="n">
        <f aca="false">IF($F36="Yes",INDEX($G$6:$G$14,MATCH(MIN($G36,105),$B$6:$B$14,1)),1)</f>
        <v>1</v>
      </c>
      <c r="J36" s="104" t="n">
        <f aca="false">IF($E36="Yes",$B36*Assumptions!$B$9*0.95/$D36*SUMPRODUCT(($C$15:$DF$15&gt;=$C36)*($C$15:$DF$15&lt;$C36+$D36))+$B36*Assumptions!$B$9*0.05*SUMPRODUCT(--($C$15:$DF$15=$G36)),0)</f>
        <v>0</v>
      </c>
      <c r="K36" s="104" t="n">
        <f aca="false">IF($E36="Yes",SUMPRODUCT(($C$15:$DF$15&gt;=$C36)*($C$15:$DF$15&lt;$C36+$D36)*$C$18:$DF$18),0)</f>
        <v>0</v>
      </c>
      <c r="L36" s="104" t="n">
        <f aca="false">J36-K36</f>
        <v>0</v>
      </c>
      <c r="M36" s="338" t="n">
        <f aca="false">$B$3*I36</f>
        <v>0.1</v>
      </c>
      <c r="N36" s="104" t="n">
        <f aca="false">IF($E36="Yes",$B$2*$B36,0)</f>
        <v>0</v>
      </c>
      <c r="O36" s="104" t="n">
        <f aca="false">M36*MAX(0,L36)</f>
        <v>0</v>
      </c>
      <c r="P36" s="104" t="n">
        <f aca="false">N36+Q36</f>
        <v>0</v>
      </c>
      <c r="Q36" s="104" t="n">
        <f aca="false">MAX(0,O36-N36)</f>
        <v>0</v>
      </c>
    </row>
    <row r="37" customFormat="false" ht="15" hidden="false" customHeight="true" outlineLevel="0" collapsed="false">
      <c r="A37" s="1" t="str">
        <f aca="false">Projects!A33</f>
        <v>BD-17</v>
      </c>
      <c r="B37" s="104" t="n">
        <f aca="false">Projects!B33</f>
        <v>15000000</v>
      </c>
      <c r="C37" s="9" t="n">
        <f aca="false">Projects!C33</f>
        <v>56</v>
      </c>
      <c r="D37" s="9" t="n">
        <f aca="false">Projects!D33</f>
        <v>19</v>
      </c>
      <c r="E37" s="1" t="str">
        <f aca="false">IF(Projects!$X$33="Yes",Projects!G33,"No")</f>
        <v>No</v>
      </c>
      <c r="F37" s="1" t="str">
        <f aca="false">Projects!M33</f>
        <v>No</v>
      </c>
      <c r="G37" s="9" t="n">
        <f aca="false">C37+D37-1</f>
        <v>74</v>
      </c>
      <c r="H37" s="9" t="n">
        <f aca="false">C37+1</f>
        <v>57</v>
      </c>
      <c r="I37" s="338" t="n">
        <f aca="false">IF($F37="Yes",INDEX($G$6:$G$14,MATCH(MIN($G37,105),$B$6:$B$14,1)),1)</f>
        <v>1</v>
      </c>
      <c r="J37" s="104" t="n">
        <f aca="false">IF($E37="Yes",$B37*Assumptions!$B$9*0.95/$D37*SUMPRODUCT(($C$15:$DF$15&gt;=$C37)*($C$15:$DF$15&lt;$C37+$D37))+$B37*Assumptions!$B$9*0.05*SUMPRODUCT(--($C$15:$DF$15=$G37)),0)</f>
        <v>0</v>
      </c>
      <c r="K37" s="104" t="n">
        <f aca="false">IF($E37="Yes",SUMPRODUCT(($C$15:$DF$15&gt;=$C37)*($C$15:$DF$15&lt;$C37+$D37)*$C$18:$DF$18),0)</f>
        <v>0</v>
      </c>
      <c r="L37" s="104" t="n">
        <f aca="false">J37-K37</f>
        <v>0</v>
      </c>
      <c r="M37" s="338" t="n">
        <f aca="false">$B$3*I37</f>
        <v>0.1</v>
      </c>
      <c r="N37" s="104" t="n">
        <f aca="false">IF($E37="Yes",$B$2*$B37,0)</f>
        <v>0</v>
      </c>
      <c r="O37" s="104" t="n">
        <f aca="false">M37*MAX(0,L37)</f>
        <v>0</v>
      </c>
      <c r="P37" s="104" t="n">
        <f aca="false">N37+Q37</f>
        <v>0</v>
      </c>
      <c r="Q37" s="104" t="n">
        <f aca="false">MAX(0,O37-N37)</f>
        <v>0</v>
      </c>
    </row>
    <row r="38" customFormat="false" ht="15" hidden="false" customHeight="true" outlineLevel="0" collapsed="false">
      <c r="A38" s="1" t="str">
        <f aca="false">Projects!A34</f>
        <v>BD-18</v>
      </c>
      <c r="B38" s="104" t="n">
        <f aca="false">Projects!B34</f>
        <v>18000000</v>
      </c>
      <c r="C38" s="9" t="n">
        <f aca="false">Projects!C34</f>
        <v>58</v>
      </c>
      <c r="D38" s="9" t="n">
        <f aca="false">Projects!D34</f>
        <v>19</v>
      </c>
      <c r="E38" s="1" t="str">
        <f aca="false">IF(Projects!$X$34="Yes",Projects!G34,"No")</f>
        <v>No</v>
      </c>
      <c r="F38" s="1" t="str">
        <f aca="false">Projects!M34</f>
        <v>Yes</v>
      </c>
      <c r="G38" s="9" t="n">
        <f aca="false">C38+D38-1</f>
        <v>76</v>
      </c>
      <c r="H38" s="9" t="n">
        <f aca="false">C38+1</f>
        <v>59</v>
      </c>
      <c r="I38" s="338" t="n">
        <f aca="false">IF($F38="Yes",INDEX($G$6:$G$14,MATCH(MIN($G38,105),$B$6:$B$14,1)),1)</f>
        <v>0.25</v>
      </c>
      <c r="J38" s="104" t="n">
        <f aca="false">IF($E38="Yes",$B38*Assumptions!$B$9*0.95/$D38*SUMPRODUCT(($C$15:$DF$15&gt;=$C38)*($C$15:$DF$15&lt;$C38+$D38))+$B38*Assumptions!$B$9*0.05*SUMPRODUCT(--($C$15:$DF$15=$G38)),0)</f>
        <v>0</v>
      </c>
      <c r="K38" s="104" t="n">
        <f aca="false">IF($E38="Yes",SUMPRODUCT(($C$15:$DF$15&gt;=$C38)*($C$15:$DF$15&lt;$C38+$D38)*$C$18:$DF$18),0)</f>
        <v>0</v>
      </c>
      <c r="L38" s="104" t="n">
        <f aca="false">J38-K38</f>
        <v>0</v>
      </c>
      <c r="M38" s="338" t="n">
        <f aca="false">$B$3*I38</f>
        <v>0.025</v>
      </c>
      <c r="N38" s="104" t="n">
        <f aca="false">IF($E38="Yes",$B$2*$B38,0)</f>
        <v>0</v>
      </c>
      <c r="O38" s="104" t="n">
        <f aca="false">M38*MAX(0,L38)</f>
        <v>0</v>
      </c>
      <c r="P38" s="104" t="n">
        <f aca="false">N38+Q38</f>
        <v>0</v>
      </c>
      <c r="Q38" s="104" t="n">
        <f aca="false">MAX(0,O38-N38)</f>
        <v>0</v>
      </c>
    </row>
    <row r="39" customFormat="false" ht="15" hidden="false" customHeight="true" outlineLevel="0" collapsed="false">
      <c r="A39" s="1" t="str">
        <f aca="false">Projects!A35</f>
        <v>BD-19</v>
      </c>
      <c r="B39" s="104" t="n">
        <f aca="false">Projects!B35</f>
        <v>15000000</v>
      </c>
      <c r="C39" s="9" t="n">
        <f aca="false">Projects!C35</f>
        <v>60</v>
      </c>
      <c r="D39" s="9" t="n">
        <f aca="false">Projects!D35</f>
        <v>19</v>
      </c>
      <c r="E39" s="1" t="str">
        <f aca="false">IF(Projects!$X$35="Yes",Projects!G35,"No")</f>
        <v>No</v>
      </c>
      <c r="F39" s="1" t="str">
        <f aca="false">Projects!M35</f>
        <v>No</v>
      </c>
      <c r="G39" s="9" t="n">
        <f aca="false">C39+D39-1</f>
        <v>78</v>
      </c>
      <c r="H39" s="9" t="n">
        <f aca="false">C39+1</f>
        <v>61</v>
      </c>
      <c r="I39" s="338" t="n">
        <f aca="false">IF($F39="Yes",INDEX($G$6:$G$14,MATCH(MIN($G39,105),$B$6:$B$14,1)),1)</f>
        <v>1</v>
      </c>
      <c r="J39" s="104" t="n">
        <f aca="false">IF($E39="Yes",$B39*Assumptions!$B$9*0.95/$D39*SUMPRODUCT(($C$15:$DF$15&gt;=$C39)*($C$15:$DF$15&lt;$C39+$D39))+$B39*Assumptions!$B$9*0.05*SUMPRODUCT(--($C$15:$DF$15=$G39)),0)</f>
        <v>0</v>
      </c>
      <c r="K39" s="104" t="n">
        <f aca="false">IF($E39="Yes",SUMPRODUCT(($C$15:$DF$15&gt;=$C39)*($C$15:$DF$15&lt;$C39+$D39)*$C$18:$DF$18),0)</f>
        <v>0</v>
      </c>
      <c r="L39" s="104" t="n">
        <f aca="false">J39-K39</f>
        <v>0</v>
      </c>
      <c r="M39" s="338" t="n">
        <f aca="false">$B$3*I39</f>
        <v>0.1</v>
      </c>
      <c r="N39" s="104" t="n">
        <f aca="false">IF($E39="Yes",$B$2*$B39,0)</f>
        <v>0</v>
      </c>
      <c r="O39" s="104" t="n">
        <f aca="false">M39*MAX(0,L39)</f>
        <v>0</v>
      </c>
      <c r="P39" s="104" t="n">
        <f aca="false">N39+Q39</f>
        <v>0</v>
      </c>
      <c r="Q39" s="104" t="n">
        <f aca="false">MAX(0,O39-N39)</f>
        <v>0</v>
      </c>
    </row>
    <row r="40" customFormat="false" ht="15" hidden="false" customHeight="true" outlineLevel="0" collapsed="false">
      <c r="A40" s="1" t="str">
        <f aca="false">Projects!A36</f>
        <v>BD-20</v>
      </c>
      <c r="B40" s="104" t="n">
        <f aca="false">Projects!B36</f>
        <v>18000000</v>
      </c>
      <c r="C40" s="9" t="n">
        <f aca="false">Projects!C36</f>
        <v>62</v>
      </c>
      <c r="D40" s="9" t="n">
        <f aca="false">Projects!D36</f>
        <v>19</v>
      </c>
      <c r="E40" s="1" t="str">
        <f aca="false">IF(Projects!$X$36="Yes",Projects!G36,"No")</f>
        <v>No</v>
      </c>
      <c r="F40" s="1" t="str">
        <f aca="false">Projects!M36</f>
        <v>No</v>
      </c>
      <c r="G40" s="9" t="n">
        <f aca="false">C40+D40-1</f>
        <v>80</v>
      </c>
      <c r="H40" s="9" t="n">
        <f aca="false">C40+1</f>
        <v>63</v>
      </c>
      <c r="I40" s="338" t="n">
        <f aca="false">IF($F40="Yes",INDEX($G$6:$G$14,MATCH(MIN($G40,105),$B$6:$B$14,1)),1)</f>
        <v>1</v>
      </c>
      <c r="J40" s="104" t="n">
        <f aca="false">IF($E40="Yes",$B40*Assumptions!$B$9*0.95/$D40*SUMPRODUCT(($C$15:$DF$15&gt;=$C40)*($C$15:$DF$15&lt;$C40+$D40))+$B40*Assumptions!$B$9*0.05*SUMPRODUCT(--($C$15:$DF$15=$G40)),0)</f>
        <v>0</v>
      </c>
      <c r="K40" s="104" t="n">
        <f aca="false">IF($E40="Yes",SUMPRODUCT(($C$15:$DF$15&gt;=$C40)*($C$15:$DF$15&lt;$C40+$D40)*$C$18:$DF$18),0)</f>
        <v>0</v>
      </c>
      <c r="L40" s="104" t="n">
        <f aca="false">J40-K40</f>
        <v>0</v>
      </c>
      <c r="M40" s="338" t="n">
        <f aca="false">$B$3*I40</f>
        <v>0.1</v>
      </c>
      <c r="N40" s="104" t="n">
        <f aca="false">IF($E40="Yes",$B$2*$B40,0)</f>
        <v>0</v>
      </c>
      <c r="O40" s="104" t="n">
        <f aca="false">M40*MAX(0,L40)</f>
        <v>0</v>
      </c>
      <c r="P40" s="104" t="n">
        <f aca="false">N40+Q40</f>
        <v>0</v>
      </c>
      <c r="Q40" s="104" t="n">
        <f aca="false">MAX(0,O40-N40)</f>
        <v>0</v>
      </c>
    </row>
    <row r="41" customFormat="false" ht="15" hidden="false" customHeight="true" outlineLevel="0" collapsed="false">
      <c r="A41" s="1" t="str">
        <f aca="false">Projects!A37</f>
        <v>BD-21</v>
      </c>
      <c r="B41" s="104" t="n">
        <f aca="false">Projects!B37</f>
        <v>15000000</v>
      </c>
      <c r="C41" s="9" t="n">
        <f aca="false">Projects!C37</f>
        <v>64</v>
      </c>
      <c r="D41" s="9" t="n">
        <f aca="false">Projects!D37</f>
        <v>19</v>
      </c>
      <c r="E41" s="1" t="str">
        <f aca="false">IF(Projects!$X$37="Yes",Projects!G37,"No")</f>
        <v>No</v>
      </c>
      <c r="F41" s="1" t="str">
        <f aca="false">Projects!M37</f>
        <v>No</v>
      </c>
      <c r="G41" s="9" t="n">
        <f aca="false">C41+D41-1</f>
        <v>82</v>
      </c>
      <c r="H41" s="9" t="n">
        <f aca="false">C41+1</f>
        <v>65</v>
      </c>
      <c r="I41" s="338" t="n">
        <f aca="false">IF($F41="Yes",INDEX($G$6:$G$14,MATCH(MIN($G41,105),$B$6:$B$14,1)),1)</f>
        <v>1</v>
      </c>
      <c r="J41" s="104" t="n">
        <f aca="false">IF($E41="Yes",$B41*Assumptions!$B$9*0.95/$D41*SUMPRODUCT(($C$15:$DF$15&gt;=$C41)*($C$15:$DF$15&lt;$C41+$D41))+$B41*Assumptions!$B$9*0.05*SUMPRODUCT(--($C$15:$DF$15=$G41)),0)</f>
        <v>0</v>
      </c>
      <c r="K41" s="104" t="n">
        <f aca="false">IF($E41="Yes",SUMPRODUCT(($C$15:$DF$15&gt;=$C41)*($C$15:$DF$15&lt;$C41+$D41)*$C$18:$DF$18),0)</f>
        <v>0</v>
      </c>
      <c r="L41" s="104" t="n">
        <f aca="false">J41-K41</f>
        <v>0</v>
      </c>
      <c r="M41" s="338" t="n">
        <f aca="false">$B$3*I41</f>
        <v>0.1</v>
      </c>
      <c r="N41" s="104" t="n">
        <f aca="false">IF($E41="Yes",$B$2*$B41,0)</f>
        <v>0</v>
      </c>
      <c r="O41" s="104" t="n">
        <f aca="false">M41*MAX(0,L41)</f>
        <v>0</v>
      </c>
      <c r="P41" s="104" t="n">
        <f aca="false">N41+Q41</f>
        <v>0</v>
      </c>
      <c r="Q41" s="104" t="n">
        <f aca="false">MAX(0,O41-N41)</f>
        <v>0</v>
      </c>
    </row>
    <row r="42" customFormat="false" ht="15" hidden="false" customHeight="true" outlineLevel="0" collapsed="false">
      <c r="A42" s="1" t="str">
        <f aca="false">Projects!A38</f>
        <v>BD-22</v>
      </c>
      <c r="B42" s="104" t="n">
        <f aca="false">Projects!B38</f>
        <v>15000000</v>
      </c>
      <c r="C42" s="9" t="n">
        <f aca="false">Projects!C38</f>
        <v>66</v>
      </c>
      <c r="D42" s="9" t="n">
        <f aca="false">Projects!D38</f>
        <v>19</v>
      </c>
      <c r="E42" s="1" t="str">
        <f aca="false">IF(Projects!$X$38="Yes",Projects!G38,"No")</f>
        <v>No</v>
      </c>
      <c r="F42" s="1" t="str">
        <f aca="false">Projects!M38</f>
        <v>No</v>
      </c>
      <c r="G42" s="9" t="n">
        <f aca="false">C42+D42-1</f>
        <v>84</v>
      </c>
      <c r="H42" s="9" t="n">
        <f aca="false">C42+1</f>
        <v>67</v>
      </c>
      <c r="I42" s="338" t="n">
        <f aca="false">IF($F42="Yes",INDEX($G$6:$G$14,MATCH(MIN($G42,105),$B$6:$B$14,1)),1)</f>
        <v>1</v>
      </c>
      <c r="J42" s="104" t="n">
        <f aca="false">IF($E42="Yes",$B42*Assumptions!$B$9*0.95/$D42*SUMPRODUCT(($C$15:$DF$15&gt;=$C42)*($C$15:$DF$15&lt;$C42+$D42))+$B42*Assumptions!$B$9*0.05*SUMPRODUCT(--($C$15:$DF$15=$G42)),0)</f>
        <v>0</v>
      </c>
      <c r="K42" s="104" t="n">
        <f aca="false">IF($E42="Yes",SUMPRODUCT(($C$15:$DF$15&gt;=$C42)*($C$15:$DF$15&lt;$C42+$D42)*$C$18:$DF$18),0)</f>
        <v>0</v>
      </c>
      <c r="L42" s="104" t="n">
        <f aca="false">J42-K42</f>
        <v>0</v>
      </c>
      <c r="M42" s="338" t="n">
        <f aca="false">$B$3*I42</f>
        <v>0.1</v>
      </c>
      <c r="N42" s="104" t="n">
        <f aca="false">IF($E42="Yes",$B$2*$B42,0)</f>
        <v>0</v>
      </c>
      <c r="O42" s="104" t="n">
        <f aca="false">M42*MAX(0,L42)</f>
        <v>0</v>
      </c>
      <c r="P42" s="104" t="n">
        <f aca="false">N42+Q42</f>
        <v>0</v>
      </c>
      <c r="Q42" s="104" t="n">
        <f aca="false">MAX(0,O42-N42)</f>
        <v>0</v>
      </c>
    </row>
    <row r="43" customFormat="false" ht="15" hidden="false" customHeight="true" outlineLevel="0" collapsed="false">
      <c r="A43" s="1" t="str">
        <f aca="false">Projects!A39</f>
        <v>BD-23</v>
      </c>
      <c r="B43" s="104" t="n">
        <f aca="false">Projects!B39</f>
        <v>18000000</v>
      </c>
      <c r="C43" s="9" t="n">
        <f aca="false">Projects!C39</f>
        <v>68</v>
      </c>
      <c r="D43" s="9" t="n">
        <f aca="false">Projects!D39</f>
        <v>19</v>
      </c>
      <c r="E43" s="1" t="str">
        <f aca="false">IF(Projects!$X$39="Yes",Projects!G39,"No")</f>
        <v>No</v>
      </c>
      <c r="F43" s="1" t="str">
        <f aca="false">Projects!M39</f>
        <v>No</v>
      </c>
      <c r="G43" s="9" t="n">
        <f aca="false">C43+D43-1</f>
        <v>86</v>
      </c>
      <c r="H43" s="9" t="n">
        <f aca="false">C43+1</f>
        <v>69</v>
      </c>
      <c r="I43" s="338" t="n">
        <f aca="false">IF($F43="Yes",INDEX($G$6:$G$14,MATCH(MIN($G43,105),$B$6:$B$14,1)),1)</f>
        <v>1</v>
      </c>
      <c r="J43" s="104" t="n">
        <f aca="false">IF($E43="Yes",$B43*Assumptions!$B$9*0.95/$D43*SUMPRODUCT(($C$15:$DF$15&gt;=$C43)*($C$15:$DF$15&lt;$C43+$D43))+$B43*Assumptions!$B$9*0.05*SUMPRODUCT(--($C$15:$DF$15=$G43)),0)</f>
        <v>0</v>
      </c>
      <c r="K43" s="104" t="n">
        <f aca="false">IF($E43="Yes",SUMPRODUCT(($C$15:$DF$15&gt;=$C43)*($C$15:$DF$15&lt;$C43+$D43)*$C$18:$DF$18),0)</f>
        <v>0</v>
      </c>
      <c r="L43" s="104" t="n">
        <f aca="false">J43-K43</f>
        <v>0</v>
      </c>
      <c r="M43" s="338" t="n">
        <f aca="false">$B$3*I43</f>
        <v>0.1</v>
      </c>
      <c r="N43" s="104" t="n">
        <f aca="false">IF($E43="Yes",$B$2*$B43,0)</f>
        <v>0</v>
      </c>
      <c r="O43" s="104" t="n">
        <f aca="false">M43*MAX(0,L43)</f>
        <v>0</v>
      </c>
      <c r="P43" s="104" t="n">
        <f aca="false">N43+Q43</f>
        <v>0</v>
      </c>
      <c r="Q43" s="104" t="n">
        <f aca="false">MAX(0,O43-N43)</f>
        <v>0</v>
      </c>
    </row>
    <row r="44" customFormat="false" ht="15" hidden="false" customHeight="true" outlineLevel="0" collapsed="false">
      <c r="A44" s="1" t="str">
        <f aca="false">Projects!A40</f>
        <v>BD-24</v>
      </c>
      <c r="B44" s="104" t="n">
        <f aca="false">Projects!B40</f>
        <v>15000000</v>
      </c>
      <c r="C44" s="9" t="n">
        <f aca="false">Projects!C40</f>
        <v>70</v>
      </c>
      <c r="D44" s="9" t="n">
        <f aca="false">Projects!D40</f>
        <v>19</v>
      </c>
      <c r="E44" s="1" t="str">
        <f aca="false">IF(Projects!$X$40="Yes",Projects!G40,"No")</f>
        <v>No</v>
      </c>
      <c r="F44" s="1" t="str">
        <f aca="false">Projects!M40</f>
        <v>Yes</v>
      </c>
      <c r="G44" s="9" t="n">
        <f aca="false">C44+D44-1</f>
        <v>88</v>
      </c>
      <c r="H44" s="9" t="n">
        <f aca="false">C44+1</f>
        <v>71</v>
      </c>
      <c r="I44" s="338" t="n">
        <f aca="false">IF($F44="Yes",INDEX($G$6:$G$14,MATCH(MIN($G44,105),$B$6:$B$14,1)),1)</f>
        <v>0.25</v>
      </c>
      <c r="J44" s="104" t="n">
        <f aca="false">IF($E44="Yes",$B44*Assumptions!$B$9*0.95/$D44*SUMPRODUCT(($C$15:$DF$15&gt;=$C44)*($C$15:$DF$15&lt;$C44+$D44))+$B44*Assumptions!$B$9*0.05*SUMPRODUCT(--($C$15:$DF$15=$G44)),0)</f>
        <v>0</v>
      </c>
      <c r="K44" s="104" t="n">
        <f aca="false">IF($E44="Yes",SUMPRODUCT(($C$15:$DF$15&gt;=$C44)*($C$15:$DF$15&lt;$C44+$D44)*$C$18:$DF$18),0)</f>
        <v>0</v>
      </c>
      <c r="L44" s="104" t="n">
        <f aca="false">J44-K44</f>
        <v>0</v>
      </c>
      <c r="M44" s="338" t="n">
        <f aca="false">$B$3*I44</f>
        <v>0.025</v>
      </c>
      <c r="N44" s="104" t="n">
        <f aca="false">IF($E44="Yes",$B$2*$B44,0)</f>
        <v>0</v>
      </c>
      <c r="O44" s="104" t="n">
        <f aca="false">M44*MAX(0,L44)</f>
        <v>0</v>
      </c>
      <c r="P44" s="104" t="n">
        <f aca="false">N44+Q44</f>
        <v>0</v>
      </c>
      <c r="Q44" s="104" t="n">
        <f aca="false">MAX(0,O44-N44)</f>
        <v>0</v>
      </c>
    </row>
    <row r="45" customFormat="false" ht="15" hidden="false" customHeight="true" outlineLevel="0" collapsed="false">
      <c r="A45" s="1" t="str">
        <f aca="false">Projects!A41</f>
        <v>BD-25</v>
      </c>
      <c r="B45" s="104" t="n">
        <f aca="false">Projects!B41</f>
        <v>15000000</v>
      </c>
      <c r="C45" s="9" t="n">
        <f aca="false">Projects!C41</f>
        <v>72</v>
      </c>
      <c r="D45" s="9" t="n">
        <f aca="false">Projects!D41</f>
        <v>19</v>
      </c>
      <c r="E45" s="1" t="str">
        <f aca="false">IF(Projects!$X$41="Yes",Projects!G41,"No")</f>
        <v>No</v>
      </c>
      <c r="F45" s="1" t="str">
        <f aca="false">Projects!M41</f>
        <v>No</v>
      </c>
      <c r="G45" s="9" t="n">
        <f aca="false">C45+D45-1</f>
        <v>90</v>
      </c>
      <c r="H45" s="9" t="n">
        <f aca="false">C45+1</f>
        <v>73</v>
      </c>
      <c r="I45" s="338" t="n">
        <f aca="false">IF($F45="Yes",INDEX($G$6:$G$14,MATCH(MIN($G45,105),$B$6:$B$14,1)),1)</f>
        <v>1</v>
      </c>
      <c r="J45" s="104" t="n">
        <f aca="false">IF($E45="Yes",$B45*Assumptions!$B$9*0.95/$D45*SUMPRODUCT(($C$15:$DF$15&gt;=$C45)*($C$15:$DF$15&lt;$C45+$D45))+$B45*Assumptions!$B$9*0.05*SUMPRODUCT(--($C$15:$DF$15=$G45)),0)</f>
        <v>0</v>
      </c>
      <c r="K45" s="104" t="n">
        <f aca="false">IF($E45="Yes",SUMPRODUCT(($C$15:$DF$15&gt;=$C45)*($C$15:$DF$15&lt;$C45+$D45)*$C$18:$DF$18),0)</f>
        <v>0</v>
      </c>
      <c r="L45" s="104" t="n">
        <f aca="false">J45-K45</f>
        <v>0</v>
      </c>
      <c r="M45" s="338" t="n">
        <f aca="false">$B$3*I45</f>
        <v>0.1</v>
      </c>
      <c r="N45" s="104" t="n">
        <f aca="false">IF($E45="Yes",$B$2*$B45,0)</f>
        <v>0</v>
      </c>
      <c r="O45" s="104" t="n">
        <f aca="false">M45*MAX(0,L45)</f>
        <v>0</v>
      </c>
      <c r="P45" s="104" t="n">
        <f aca="false">N45+Q45</f>
        <v>0</v>
      </c>
      <c r="Q45" s="104" t="n">
        <f aca="false">MAX(0,O45-N45)</f>
        <v>0</v>
      </c>
    </row>
    <row r="46" customFormat="false" ht="15" hidden="false" customHeight="true" outlineLevel="0" collapsed="false">
      <c r="A46" s="1" t="str">
        <f aca="false">Projects!A42</f>
        <v>BD-26</v>
      </c>
      <c r="B46" s="104" t="n">
        <f aca="false">Projects!B42</f>
        <v>18000000</v>
      </c>
      <c r="C46" s="9" t="n">
        <f aca="false">Projects!C42</f>
        <v>74</v>
      </c>
      <c r="D46" s="9" t="n">
        <f aca="false">Projects!D42</f>
        <v>19</v>
      </c>
      <c r="E46" s="1" t="str">
        <f aca="false">IF(Projects!$X$42="Yes",Projects!G42,"No")</f>
        <v>No</v>
      </c>
      <c r="F46" s="1" t="str">
        <f aca="false">Projects!M42</f>
        <v>No</v>
      </c>
      <c r="G46" s="9" t="n">
        <f aca="false">C46+D46-1</f>
        <v>92</v>
      </c>
      <c r="H46" s="9" t="n">
        <f aca="false">C46+1</f>
        <v>75</v>
      </c>
      <c r="I46" s="338" t="n">
        <f aca="false">IF($F46="Yes",INDEX($G$6:$G$14,MATCH(MIN($G46,105),$B$6:$B$14,1)),1)</f>
        <v>1</v>
      </c>
      <c r="J46" s="104" t="n">
        <f aca="false">IF($E46="Yes",$B46*Assumptions!$B$9*0.95/$D46*SUMPRODUCT(($C$15:$DF$15&gt;=$C46)*($C$15:$DF$15&lt;$C46+$D46))+$B46*Assumptions!$B$9*0.05*SUMPRODUCT(--($C$15:$DF$15=$G46)),0)</f>
        <v>0</v>
      </c>
      <c r="K46" s="104" t="n">
        <f aca="false">IF($E46="Yes",SUMPRODUCT(($C$15:$DF$15&gt;=$C46)*($C$15:$DF$15&lt;$C46+$D46)*$C$18:$DF$18),0)</f>
        <v>0</v>
      </c>
      <c r="L46" s="104" t="n">
        <f aca="false">J46-K46</f>
        <v>0</v>
      </c>
      <c r="M46" s="338" t="n">
        <f aca="false">$B$3*I46</f>
        <v>0.1</v>
      </c>
      <c r="N46" s="104" t="n">
        <f aca="false">IF($E46="Yes",$B$2*$B46,0)</f>
        <v>0</v>
      </c>
      <c r="O46" s="104" t="n">
        <f aca="false">M46*MAX(0,L46)</f>
        <v>0</v>
      </c>
      <c r="P46" s="104" t="n">
        <f aca="false">N46+Q46</f>
        <v>0</v>
      </c>
      <c r="Q46" s="104" t="n">
        <f aca="false">MAX(0,O46-N46)</f>
        <v>0</v>
      </c>
    </row>
    <row r="47" customFormat="false" ht="15" hidden="false" customHeight="true" outlineLevel="0" collapsed="false">
      <c r="A47" s="1" t="str">
        <f aca="false">Projects!A43</f>
        <v>BD-27</v>
      </c>
      <c r="B47" s="104" t="n">
        <f aca="false">Projects!B43</f>
        <v>15000000</v>
      </c>
      <c r="C47" s="9" t="n">
        <f aca="false">Projects!C43</f>
        <v>76</v>
      </c>
      <c r="D47" s="9" t="n">
        <f aca="false">Projects!D43</f>
        <v>19</v>
      </c>
      <c r="E47" s="1" t="str">
        <f aca="false">IF(Projects!$X$43="Yes",Projects!G43,"No")</f>
        <v>No</v>
      </c>
      <c r="F47" s="1" t="str">
        <f aca="false">Projects!M43</f>
        <v>No</v>
      </c>
      <c r="G47" s="9" t="n">
        <f aca="false">C47+D47-1</f>
        <v>94</v>
      </c>
      <c r="H47" s="9" t="n">
        <f aca="false">C47+1</f>
        <v>77</v>
      </c>
      <c r="I47" s="338" t="n">
        <f aca="false">IF($F47="Yes",INDEX($G$6:$G$14,MATCH(MIN($G47,105),$B$6:$B$14,1)),1)</f>
        <v>1</v>
      </c>
      <c r="J47" s="104" t="n">
        <f aca="false">IF($E47="Yes",$B47*Assumptions!$B$9*0.95/$D47*SUMPRODUCT(($C$15:$DF$15&gt;=$C47)*($C$15:$DF$15&lt;$C47+$D47))+$B47*Assumptions!$B$9*0.05*SUMPRODUCT(--($C$15:$DF$15=$G47)),0)</f>
        <v>0</v>
      </c>
      <c r="K47" s="104" t="n">
        <f aca="false">IF($E47="Yes",SUMPRODUCT(($C$15:$DF$15&gt;=$C47)*($C$15:$DF$15&lt;$C47+$D47)*$C$18:$DF$18),0)</f>
        <v>0</v>
      </c>
      <c r="L47" s="104" t="n">
        <f aca="false">J47-K47</f>
        <v>0</v>
      </c>
      <c r="M47" s="338" t="n">
        <f aca="false">$B$3*I47</f>
        <v>0.1</v>
      </c>
      <c r="N47" s="104" t="n">
        <f aca="false">IF($E47="Yes",$B$2*$B47,0)</f>
        <v>0</v>
      </c>
      <c r="O47" s="104" t="n">
        <f aca="false">M47*MAX(0,L47)</f>
        <v>0</v>
      </c>
      <c r="P47" s="104" t="n">
        <f aca="false">N47+Q47</f>
        <v>0</v>
      </c>
      <c r="Q47" s="104" t="n">
        <f aca="false">MAX(0,O47-N47)</f>
        <v>0</v>
      </c>
    </row>
    <row r="48" customFormat="false" ht="15" hidden="false" customHeight="true" outlineLevel="0" collapsed="false">
      <c r="A48" s="1" t="str">
        <f aca="false">Projects!A44</f>
        <v>BD-28</v>
      </c>
      <c r="B48" s="104" t="n">
        <f aca="false">Projects!B44</f>
        <v>15000000</v>
      </c>
      <c r="C48" s="9" t="n">
        <f aca="false">Projects!C44</f>
        <v>78</v>
      </c>
      <c r="D48" s="9" t="n">
        <f aca="false">Projects!D44</f>
        <v>19</v>
      </c>
      <c r="E48" s="1" t="str">
        <f aca="false">IF(Projects!$X$44="Yes",Projects!G44,"No")</f>
        <v>No</v>
      </c>
      <c r="F48" s="1" t="str">
        <f aca="false">Projects!M44</f>
        <v>No</v>
      </c>
      <c r="G48" s="9" t="n">
        <f aca="false">C48+D48-1</f>
        <v>96</v>
      </c>
      <c r="H48" s="9" t="n">
        <f aca="false">C48+1</f>
        <v>79</v>
      </c>
      <c r="I48" s="338" t="n">
        <f aca="false">IF($F48="Yes",INDEX($G$6:$G$14,MATCH(MIN($G48,105),$B$6:$B$14,1)),1)</f>
        <v>1</v>
      </c>
      <c r="J48" s="104" t="n">
        <f aca="false">IF($E48="Yes",$B48*Assumptions!$B$9*0.95/$D48*SUMPRODUCT(($C$15:$DF$15&gt;=$C48)*($C$15:$DF$15&lt;$C48+$D48))+$B48*Assumptions!$B$9*0.05*SUMPRODUCT(--($C$15:$DF$15=$G48)),0)</f>
        <v>0</v>
      </c>
      <c r="K48" s="104" t="n">
        <f aca="false">IF($E48="Yes",SUMPRODUCT(($C$15:$DF$15&gt;=$C48)*($C$15:$DF$15&lt;$C48+$D48)*$C$18:$DF$18),0)</f>
        <v>0</v>
      </c>
      <c r="L48" s="104" t="n">
        <f aca="false">J48-K48</f>
        <v>0</v>
      </c>
      <c r="M48" s="338" t="n">
        <f aca="false">$B$3*I48</f>
        <v>0.1</v>
      </c>
      <c r="N48" s="104" t="n">
        <f aca="false">IF($E48="Yes",$B$2*$B48,0)</f>
        <v>0</v>
      </c>
      <c r="O48" s="104" t="n">
        <f aca="false">M48*MAX(0,L48)</f>
        <v>0</v>
      </c>
      <c r="P48" s="104" t="n">
        <f aca="false">N48+Q48</f>
        <v>0</v>
      </c>
      <c r="Q48" s="104" t="n">
        <f aca="false">MAX(0,O48-N48)</f>
        <v>0</v>
      </c>
    </row>
    <row r="49" customFormat="false" ht="15" hidden="false" customHeight="true" outlineLevel="0" collapsed="false">
      <c r="A49" s="1" t="str">
        <f aca="false">Projects!A45</f>
        <v>BD-29</v>
      </c>
      <c r="B49" s="104" t="n">
        <f aca="false">Projects!B45</f>
        <v>18000000</v>
      </c>
      <c r="C49" s="9" t="n">
        <f aca="false">Projects!C45</f>
        <v>80</v>
      </c>
      <c r="D49" s="9" t="n">
        <f aca="false">Projects!D45</f>
        <v>19</v>
      </c>
      <c r="E49" s="1" t="str">
        <f aca="false">IF(Projects!$X$45="Yes",Projects!G45,"No")</f>
        <v>No</v>
      </c>
      <c r="F49" s="1" t="str">
        <f aca="false">Projects!M45</f>
        <v>No</v>
      </c>
      <c r="G49" s="9" t="n">
        <f aca="false">C49+D49-1</f>
        <v>98</v>
      </c>
      <c r="H49" s="9" t="n">
        <f aca="false">C49+1</f>
        <v>81</v>
      </c>
      <c r="I49" s="338" t="n">
        <f aca="false">IF($F49="Yes",INDEX($G$6:$G$14,MATCH(MIN($G49,105),$B$6:$B$14,1)),1)</f>
        <v>1</v>
      </c>
      <c r="J49" s="104" t="n">
        <f aca="false">IF($E49="Yes",$B49*Assumptions!$B$9*0.95/$D49*SUMPRODUCT(($C$15:$DF$15&gt;=$C49)*($C$15:$DF$15&lt;$C49+$D49))+$B49*Assumptions!$B$9*0.05*SUMPRODUCT(--($C$15:$DF$15=$G49)),0)</f>
        <v>0</v>
      </c>
      <c r="K49" s="104" t="n">
        <f aca="false">IF($E49="Yes",SUMPRODUCT(($C$15:$DF$15&gt;=$C49)*($C$15:$DF$15&lt;$C49+$D49)*$C$18:$DF$18),0)</f>
        <v>0</v>
      </c>
      <c r="L49" s="104" t="n">
        <f aca="false">J49-K49</f>
        <v>0</v>
      </c>
      <c r="M49" s="338" t="n">
        <f aca="false">$B$3*I49</f>
        <v>0.1</v>
      </c>
      <c r="N49" s="104" t="n">
        <f aca="false">IF($E49="Yes",$B$2*$B49,0)</f>
        <v>0</v>
      </c>
      <c r="O49" s="104" t="n">
        <f aca="false">M49*MAX(0,L49)</f>
        <v>0</v>
      </c>
      <c r="P49" s="104" t="n">
        <f aca="false">N49+Q49</f>
        <v>0</v>
      </c>
      <c r="Q49" s="104" t="n">
        <f aca="false">MAX(0,O49-N49)</f>
        <v>0</v>
      </c>
    </row>
    <row r="50" customFormat="false" ht="15" hidden="false" customHeight="true" outlineLevel="0" collapsed="false">
      <c r="A50" s="1" t="str">
        <f aca="false">Projects!A46</f>
        <v>BD-30</v>
      </c>
      <c r="B50" s="104" t="n">
        <f aca="false">Projects!B46</f>
        <v>15000000</v>
      </c>
      <c r="C50" s="9" t="n">
        <f aca="false">Projects!C46</f>
        <v>82</v>
      </c>
      <c r="D50" s="9" t="n">
        <f aca="false">Projects!D46</f>
        <v>19</v>
      </c>
      <c r="E50" s="1" t="str">
        <f aca="false">IF(Projects!$X$46="Yes",Projects!G46,"No")</f>
        <v>No</v>
      </c>
      <c r="F50" s="1" t="str">
        <f aca="false">Projects!M46</f>
        <v>Yes</v>
      </c>
      <c r="G50" s="9" t="n">
        <f aca="false">C50+D50-1</f>
        <v>100</v>
      </c>
      <c r="H50" s="9" t="n">
        <f aca="false">C50+1</f>
        <v>83</v>
      </c>
      <c r="I50" s="338" t="n">
        <f aca="false">IF($F50="Yes",INDEX($G$6:$G$14,MATCH(MIN($G50,105),$B$6:$B$14,1)),1)</f>
        <v>0.25</v>
      </c>
      <c r="J50" s="104" t="n">
        <f aca="false">IF($E50="Yes",$B50*Assumptions!$B$9*0.95/$D50*SUMPRODUCT(($C$15:$DF$15&gt;=$C50)*($C$15:$DF$15&lt;$C50+$D50))+$B50*Assumptions!$B$9*0.05*SUMPRODUCT(--($C$15:$DF$15=$G50)),0)</f>
        <v>0</v>
      </c>
      <c r="K50" s="104" t="n">
        <f aca="false">IF($E50="Yes",SUMPRODUCT(($C$15:$DF$15&gt;=$C50)*($C$15:$DF$15&lt;$C50+$D50)*$C$18:$DF$18),0)</f>
        <v>0</v>
      </c>
      <c r="L50" s="104" t="n">
        <f aca="false">J50-K50</f>
        <v>0</v>
      </c>
      <c r="M50" s="338" t="n">
        <f aca="false">$B$3*I50</f>
        <v>0.025</v>
      </c>
      <c r="N50" s="104" t="n">
        <f aca="false">IF($E50="Yes",$B$2*$B50,0)</f>
        <v>0</v>
      </c>
      <c r="O50" s="104" t="n">
        <f aca="false">M50*MAX(0,L50)</f>
        <v>0</v>
      </c>
      <c r="P50" s="104" t="n">
        <f aca="false">N50+Q50</f>
        <v>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1147</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0</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0</v>
      </c>
      <c r="U53" s="104" t="n">
        <f aca="false">SUMPRODUCT(($H$21:$H$50=U$15)*$N$21:$N$50)+SUMPRODUCT(($G$21:$G$50=U$15)*$Q$21:$Q$50)</f>
        <v>0</v>
      </c>
      <c r="V53" s="104" t="n">
        <f aca="false">SUMPRODUCT(($H$21:$H$50=V$15)*$N$21:$N$50)+SUMPRODUCT(($G$21:$G$50=V$15)*$Q$21:$Q$50)</f>
        <v>0</v>
      </c>
      <c r="W53" s="104" t="n">
        <f aca="false">SUMPRODUCT(($H$21:$H$50=W$15)*$N$21:$N$50)+SUMPRODUCT(($G$21:$G$50=W$15)*$Q$21:$Q$50)</f>
        <v>0</v>
      </c>
      <c r="X53" s="104" t="n">
        <f aca="false">SUMPRODUCT(($H$21:$H$50=X$15)*$N$21:$N$50)+SUMPRODUCT(($G$21:$G$50=X$15)*$Q$21:$Q$50)</f>
        <v>0</v>
      </c>
      <c r="Y53" s="104" t="n">
        <f aca="false">SUMPRODUCT(($H$21:$H$50=Y$15)*$N$21:$N$50)+SUMPRODUCT(($G$21:$G$50=Y$15)*$Q$21:$Q$50)</f>
        <v>62565.82645</v>
      </c>
      <c r="Z53" s="104" t="n">
        <f aca="false">SUMPRODUCT(($H$21:$H$50=Z$15)*$N$21:$N$50)+SUMPRODUCT(($G$21:$G$50=Z$15)*$Q$21:$Q$50)</f>
        <v>0</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0</v>
      </c>
      <c r="AJ53" s="104" t="n">
        <f aca="false">SUMPRODUCT(($H$21:$H$50=AJ$15)*$N$21:$N$50)+SUMPRODUCT(($G$21:$G$50=AJ$15)*$Q$21:$Q$50)</f>
        <v>0</v>
      </c>
      <c r="AK53" s="104" t="n">
        <f aca="false">SUMPRODUCT(($H$21:$H$50=AK$15)*$N$21:$N$50)+SUMPRODUCT(($G$21:$G$50=AK$15)*$Q$21:$Q$50)</f>
        <v>0</v>
      </c>
      <c r="AL53" s="104" t="n">
        <f aca="false">SUMPRODUCT(($H$21:$H$50=AL$15)*$N$21:$N$50)+SUMPRODUCT(($G$21:$G$50=AL$15)*$Q$21:$Q$50)</f>
        <v>0</v>
      </c>
      <c r="AM53" s="104" t="n">
        <f aca="false">SUMPRODUCT(($H$21:$H$50=AM$15)*$N$21:$N$50)+SUMPRODUCT(($G$21:$G$50=AM$15)*$Q$21:$Q$50)</f>
        <v>0</v>
      </c>
      <c r="AN53" s="104" t="n">
        <f aca="false">SUMPRODUCT(($H$21:$H$50=AN$15)*$N$21:$N$50)+SUMPRODUCT(($G$21:$G$50=AN$15)*$Q$21:$Q$50)</f>
        <v>0</v>
      </c>
      <c r="AO53" s="104" t="n">
        <f aca="false">SUMPRODUCT(($H$21:$H$50=AO$15)*$N$21:$N$50)+SUMPRODUCT(($G$21:$G$50=AO$15)*$Q$21:$Q$50)</f>
        <v>0</v>
      </c>
      <c r="AP53" s="104" t="n">
        <f aca="false">SUMPRODUCT(($H$21:$H$50=AP$15)*$N$21:$N$50)+SUMPRODUCT(($G$21:$G$50=AP$15)*$Q$21:$Q$50)</f>
        <v>0</v>
      </c>
      <c r="AQ53" s="104" t="n">
        <f aca="false">SUMPRODUCT(($H$21:$H$50=AQ$15)*$N$21:$N$50)+SUMPRODUCT(($G$21:$G$50=AQ$15)*$Q$21:$Q$50)</f>
        <v>0</v>
      </c>
      <c r="AR53" s="104" t="n">
        <f aca="false">SUMPRODUCT(($H$21:$H$50=AR$15)*$N$21:$N$50)+SUMPRODUCT(($G$21:$G$50=AR$15)*$Q$21:$Q$50)</f>
        <v>0</v>
      </c>
      <c r="AS53" s="104" t="n">
        <f aca="false">SUMPRODUCT(($H$21:$H$50=AS$15)*$N$21:$N$50)+SUMPRODUCT(($G$21:$G$50=AS$15)*$Q$21:$Q$50)</f>
        <v>0</v>
      </c>
      <c r="AT53" s="104" t="n">
        <f aca="false">SUMPRODUCT(($H$21:$H$50=AT$15)*$N$21:$N$50)+SUMPRODUCT(($G$21:$G$50=AT$15)*$Q$21:$Q$50)</f>
        <v>0</v>
      </c>
      <c r="AU53" s="104" t="n">
        <f aca="false">SUMPRODUCT(($H$21:$H$50=AU$15)*$N$21:$N$50)+SUMPRODUCT(($G$21:$G$50=AU$15)*$Q$21:$Q$50)</f>
        <v>53891.1325195699</v>
      </c>
      <c r="AV53" s="104" t="n">
        <f aca="false">SUMPRODUCT(($H$21:$H$50=AV$15)*$N$21:$N$50)+SUMPRODUCT(($G$21:$G$50=AV$15)*$Q$21:$Q$50)</f>
        <v>0</v>
      </c>
      <c r="AW53" s="104" t="n">
        <f aca="false">SUMPRODUCT(($H$21:$H$50=AW$15)*$N$21:$N$50)+SUMPRODUCT(($G$21:$G$50=AW$15)*$Q$21:$Q$50)</f>
        <v>0</v>
      </c>
      <c r="AX53" s="104" t="n">
        <f aca="false">SUMPRODUCT(($H$21:$H$50=AX$15)*$N$21:$N$50)+SUMPRODUCT(($G$21:$G$50=AX$15)*$Q$21:$Q$50)</f>
        <v>0</v>
      </c>
      <c r="AY53" s="104" t="n">
        <f aca="false">SUMPRODUCT(($H$21:$H$50=AY$15)*$N$21:$N$50)+SUMPRODUCT(($G$21:$G$50=AY$15)*$Q$21:$Q$50)</f>
        <v>0</v>
      </c>
      <c r="AZ53" s="104" t="n">
        <f aca="false">SUMPRODUCT(($H$21:$H$50=AZ$15)*$N$21:$N$50)+SUMPRODUCT(($G$21:$G$50=AZ$15)*$Q$21:$Q$50)</f>
        <v>0</v>
      </c>
      <c r="BA53" s="104" t="n">
        <f aca="false">SUMPRODUCT(($H$21:$H$50=BA$15)*$N$21:$N$50)+SUMPRODUCT(($G$21:$G$50=BA$15)*$Q$21:$Q$50)</f>
        <v>0</v>
      </c>
      <c r="BB53" s="104" t="n">
        <f aca="false">SUMPRODUCT(($H$21:$H$50=BB$15)*$N$21:$N$50)+SUMPRODUCT(($G$21:$G$50=BB$15)*$Q$21:$Q$50)</f>
        <v>0</v>
      </c>
      <c r="BC53" s="104" t="n">
        <f aca="false">SUMPRODUCT(($H$21:$H$50=BC$15)*$N$21:$N$50)+SUMPRODUCT(($G$21:$G$50=BC$15)*$Q$21:$Q$50)</f>
        <v>0</v>
      </c>
      <c r="BD53" s="104" t="n">
        <f aca="false">SUMPRODUCT(($H$21:$H$50=BD$15)*$N$21:$N$50)+SUMPRODUCT(($G$21:$G$50=BD$15)*$Q$21:$Q$50)</f>
        <v>0</v>
      </c>
      <c r="BE53" s="104" t="n">
        <f aca="false">SUMPRODUCT(($H$21:$H$50=BE$15)*$N$21:$N$50)+SUMPRODUCT(($G$21:$G$50=BE$15)*$Q$21:$Q$50)</f>
        <v>0</v>
      </c>
      <c r="BF53" s="104" t="n">
        <f aca="false">SUMPRODUCT(($H$21:$H$50=BF$15)*$N$21:$N$50)+SUMPRODUCT(($G$21:$G$50=BF$15)*$Q$21:$Q$50)</f>
        <v>0</v>
      </c>
      <c r="BG53" s="104" t="n">
        <f aca="false">SUMPRODUCT(($H$21:$H$50=BG$15)*$N$21:$N$50)+SUMPRODUCT(($G$21:$G$50=BG$15)*$Q$21:$Q$50)</f>
        <v>0</v>
      </c>
      <c r="BH53" s="104" t="n">
        <f aca="false">SUMPRODUCT(($H$21:$H$50=BH$15)*$N$21:$N$50)+SUMPRODUCT(($G$21:$G$50=BH$15)*$Q$21:$Q$50)</f>
        <v>0</v>
      </c>
      <c r="BI53" s="104" t="n">
        <f aca="false">SUMPRODUCT(($H$21:$H$50=BI$15)*$N$21:$N$50)+SUMPRODUCT(($G$21:$G$50=BI$15)*$Q$21:$Q$50)</f>
        <v>0</v>
      </c>
      <c r="BJ53" s="104" t="n">
        <f aca="false">SUMPRODUCT(($H$21:$H$50=BJ$15)*$N$21:$N$50)+SUMPRODUCT(($G$21:$G$50=BJ$15)*$Q$21:$Q$50)</f>
        <v>0</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0</v>
      </c>
      <c r="BO53" s="104" t="n">
        <f aca="false">SUMPRODUCT(($H$21:$H$50=BO$15)*$N$21:$N$50)+SUMPRODUCT(($G$21:$G$50=BO$15)*$Q$21:$Q$50)</f>
        <v>0</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0</v>
      </c>
      <c r="BT53" s="104" t="n">
        <f aca="false">SUMPRODUCT(($H$21:$H$50=BT$15)*$N$21:$N$50)+SUMPRODUCT(($G$21:$G$50=BT$15)*$Q$21:$Q$50)</f>
        <v>0</v>
      </c>
      <c r="BU53" s="104" t="n">
        <f aca="false">SUMPRODUCT(($H$21:$H$50=BU$15)*$N$21:$N$50)+SUMPRODUCT(($G$21:$G$50=BU$15)*$Q$21:$Q$50)</f>
        <v>0</v>
      </c>
      <c r="BV53" s="104" t="n">
        <f aca="false">SUMPRODUCT(($H$21:$H$50=BV$15)*$N$21:$N$50)+SUMPRODUCT(($G$21:$G$50=BV$15)*$Q$21:$Q$50)</f>
        <v>0</v>
      </c>
      <c r="BW53" s="104" t="n">
        <f aca="false">SUMPRODUCT(($H$21:$H$50=BW$15)*$N$21:$N$50)+SUMPRODUCT(($G$21:$G$50=BW$15)*$Q$21:$Q$50)</f>
        <v>0</v>
      </c>
      <c r="BX53" s="104" t="n">
        <f aca="false">SUMPRODUCT(($H$21:$H$50=BX$15)*$N$21:$N$50)+SUMPRODUCT(($G$21:$G$50=BX$15)*$Q$21:$Q$50)</f>
        <v>0</v>
      </c>
      <c r="BY53" s="104" t="n">
        <f aca="false">SUMPRODUCT(($H$21:$H$50=BY$15)*$N$21:$N$50)+SUMPRODUCT(($G$21:$G$50=BY$15)*$Q$21:$Q$50)</f>
        <v>0</v>
      </c>
      <c r="BZ53" s="104" t="n">
        <f aca="false">SUMPRODUCT(($H$21:$H$50=BZ$15)*$N$21:$N$50)+SUMPRODUCT(($G$21:$G$50=BZ$15)*$Q$21:$Q$50)</f>
        <v>0</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27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I274" activeCellId="0" sqref="I274"/>
    </sheetView>
  </sheetViews>
  <sheetFormatPr defaultColWidth="8.7265625" defaultRowHeight="13.5" customHeight="false"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45" customFormat="true" ht="15" hidden="false" customHeight="true" outlineLevel="0" collapsed="false">
      <c r="A1" s="344" t="s">
        <v>589</v>
      </c>
      <c r="B1" s="344" t="s">
        <v>1148</v>
      </c>
      <c r="C1" s="344" t="s">
        <v>1149</v>
      </c>
      <c r="D1" s="344" t="s">
        <v>1150</v>
      </c>
      <c r="E1" s="344" t="s">
        <v>1151</v>
      </c>
      <c r="F1" s="344" t="s">
        <v>1152</v>
      </c>
      <c r="G1" s="344" t="s">
        <v>1153</v>
      </c>
    </row>
    <row r="2" customFormat="false" ht="15" hidden="false" customHeight="true" outlineLevel="0" collapsed="false">
      <c r="A2" s="189" t="s">
        <v>7</v>
      </c>
      <c r="B2" s="190" t="n">
        <v>64068.16</v>
      </c>
      <c r="C2" s="190" t="n">
        <v>262447.96</v>
      </c>
      <c r="D2" s="346" t="n">
        <f aca="false">C2*0.05</f>
        <v>13122.398</v>
      </c>
      <c r="E2" s="346" t="n">
        <f aca="false">B2+D2</f>
        <v>77190.558</v>
      </c>
      <c r="F2" s="347" t="n">
        <f aca="false">Projects!$C$2+Projects!$D$2-1</f>
        <v>8</v>
      </c>
      <c r="G2" s="348" t="n">
        <f aca="false">EDATE(DATE(2026,4,1),F2-1)</f>
        <v>46327</v>
      </c>
    </row>
    <row r="3" customFormat="false" ht="15" hidden="false" customHeight="true" outlineLevel="0" collapsed="false">
      <c r="A3" s="189" t="s">
        <v>8</v>
      </c>
      <c r="B3" s="190" t="n">
        <v>71716.43</v>
      </c>
      <c r="C3" s="190" t="n">
        <v>1314727.24</v>
      </c>
      <c r="D3" s="346" t="n">
        <f aca="false">C3*0.05</f>
        <v>65736.362</v>
      </c>
      <c r="E3" s="346" t="n">
        <f aca="false">B3+D3</f>
        <v>137452.792</v>
      </c>
      <c r="F3" s="347" t="n">
        <v>18</v>
      </c>
      <c r="G3" s="348" t="n">
        <f aca="false">EDATE(DATE(2026,4,1),F3-1)</f>
        <v>46631</v>
      </c>
    </row>
    <row r="4" customFormat="false" ht="15" hidden="false" customHeight="true" outlineLevel="0" collapsed="false">
      <c r="A4" s="189" t="s">
        <v>9</v>
      </c>
      <c r="B4" s="190" t="n">
        <v>37008.93</v>
      </c>
      <c r="C4" s="190" t="n">
        <v>876131.96</v>
      </c>
      <c r="D4" s="346" t="n">
        <f aca="false">C4*0.05</f>
        <v>43806.598</v>
      </c>
      <c r="E4" s="346" t="n">
        <f aca="false">B4+D4</f>
        <v>80815.528</v>
      </c>
      <c r="F4" s="347" t="n">
        <v>17</v>
      </c>
      <c r="G4" s="348" t="n">
        <f aca="false">EDATE(DATE(2026,4,1),F4-1)</f>
        <v>46600</v>
      </c>
    </row>
    <row r="5" customFormat="false" ht="15" hidden="false" customHeight="true" outlineLevel="0" collapsed="false">
      <c r="A5" s="189" t="s">
        <v>10</v>
      </c>
      <c r="B5" s="190" t="n">
        <v>41184.33</v>
      </c>
      <c r="C5" s="190" t="n">
        <v>1021070.74</v>
      </c>
      <c r="D5" s="346" t="n">
        <f aca="false">C5*0.05</f>
        <v>51053.537</v>
      </c>
      <c r="E5" s="346" t="n">
        <f aca="false">B5+D5</f>
        <v>92237.867</v>
      </c>
      <c r="F5" s="347" t="n">
        <v>19</v>
      </c>
      <c r="G5" s="348" t="n">
        <f aca="false">EDATE(DATE(2026,4,1),F5-1)</f>
        <v>46661</v>
      </c>
    </row>
    <row r="6" customFormat="false" ht="15" hidden="false" customHeight="true" outlineLevel="0" collapsed="false">
      <c r="A6" s="189" t="s">
        <v>11</v>
      </c>
      <c r="B6" s="190" t="n">
        <v>15059.01</v>
      </c>
      <c r="C6" s="190" t="n">
        <v>307369.47</v>
      </c>
      <c r="D6" s="346" t="n">
        <f aca="false">C6*0.05</f>
        <v>15368.4735</v>
      </c>
      <c r="E6" s="346" t="n">
        <f aca="false">B6+D6</f>
        <v>30427.4835</v>
      </c>
      <c r="F6" s="347" t="n">
        <v>15</v>
      </c>
      <c r="G6" s="348" t="n">
        <f aca="false">EDATE(DATE(2026,4,1),F6-1)</f>
        <v>46539</v>
      </c>
    </row>
    <row r="7" customFormat="false" ht="15" hidden="false" customHeight="true" outlineLevel="0" collapsed="false">
      <c r="A7" s="189" t="s">
        <v>12</v>
      </c>
      <c r="B7" s="190" t="n">
        <v>5444.32</v>
      </c>
      <c r="C7" s="346" t="n">
        <v>5038551.52</v>
      </c>
      <c r="D7" s="346" t="n">
        <f aca="false">C7*0.05</f>
        <v>251927.576</v>
      </c>
      <c r="E7" s="346" t="n">
        <f aca="false">B7+D7</f>
        <v>257371.896</v>
      </c>
      <c r="F7" s="347" t="n">
        <v>36</v>
      </c>
      <c r="G7" s="348" t="n">
        <f aca="false">EDATE(DATE(2026,4,1),F7-1)</f>
        <v>47178</v>
      </c>
    </row>
    <row r="8" customFormat="false" ht="15" hidden="false" customHeight="true" outlineLevel="0" collapsed="false">
      <c r="A8" s="189" t="s">
        <v>13</v>
      </c>
      <c r="B8" s="190" t="n">
        <v>0</v>
      </c>
      <c r="C8" s="346" t="n">
        <f aca="false">IF(Projects!$G$8="Yes",Projects!$B$8*(Assumptions!$B$10+Assumptions!$B$11+Assumptions!$B$12),0)</f>
        <v>1564333.69243555</v>
      </c>
      <c r="D8" s="346" t="n">
        <f aca="false">C8*0.05</f>
        <v>78216.6846217775</v>
      </c>
      <c r="E8" s="346" t="n">
        <f aca="false">B8+D8</f>
        <v>78216.6846217775</v>
      </c>
      <c r="F8" s="347" t="n">
        <f aca="false">Projects!$C$8+Projects!$D$8-1</f>
        <v>24</v>
      </c>
      <c r="G8" s="348" t="n">
        <f aca="false">EDATE(DATE(2026,4,1),F8-1)</f>
        <v>46813</v>
      </c>
    </row>
    <row r="9" customFormat="false" ht="15" hidden="false" customHeight="true" outlineLevel="0" collapsed="false">
      <c r="A9" s="189" t="s">
        <v>14</v>
      </c>
      <c r="B9" s="190" t="n">
        <v>6916.62</v>
      </c>
      <c r="C9" s="346" t="n">
        <v>1587341.45</v>
      </c>
      <c r="D9" s="346" t="n">
        <f aca="false">C9*0.05</f>
        <v>79367.0725</v>
      </c>
      <c r="E9" s="346" t="n">
        <f aca="false">B9+D9</f>
        <v>86283.6925</v>
      </c>
      <c r="F9" s="347" t="n">
        <f aca="false">Projects!$C$9+Projects!$D$9-1</f>
        <v>23</v>
      </c>
      <c r="G9" s="348" t="n">
        <f aca="false">EDATE(DATE(2026,4,1),F9-1)</f>
        <v>46784</v>
      </c>
    </row>
    <row r="10" customFormat="false" ht="15" hidden="false" customHeight="true" outlineLevel="0" collapsed="false">
      <c r="A10" s="189" t="s">
        <v>15</v>
      </c>
      <c r="B10" s="190" t="n">
        <v>0</v>
      </c>
      <c r="C10" s="346" t="n">
        <f aca="false">IF(Projects!$G$10="Yes",Projects!$B$10*(Assumptions!$B$10+Assumptions!$B$11+Assumptions!$B$12),0)</f>
        <v>2559922.591355</v>
      </c>
      <c r="D10" s="346" t="n">
        <f aca="false">C10*0.05</f>
        <v>127996.12956775</v>
      </c>
      <c r="E10" s="346" t="n">
        <f aca="false">B10+D10</f>
        <v>127996.12956775</v>
      </c>
      <c r="F10" s="347" t="n">
        <f aca="false">Projects!$C$10+Projects!$D$10-1</f>
        <v>38</v>
      </c>
      <c r="G10" s="348" t="n">
        <f aca="false">EDATE(DATE(2026,4,1),F10-1)</f>
        <v>47239</v>
      </c>
    </row>
    <row r="11" customFormat="false" ht="15" hidden="false" customHeight="true" outlineLevel="0" collapsed="false">
      <c r="A11" s="189" t="s">
        <v>16</v>
      </c>
      <c r="B11" s="190" t="n">
        <v>0</v>
      </c>
      <c r="C11" s="346" t="n">
        <f aca="false">IF(Projects!$G$11="Yes",Projects!$B$11*(Assumptions!$B$10+Assumptions!$B$11+Assumptions!$B$12),0)</f>
        <v>1152997.729619</v>
      </c>
      <c r="D11" s="346" t="n">
        <f aca="false">C11*0.05</f>
        <v>57649.88648095</v>
      </c>
      <c r="E11" s="346" t="n">
        <f aca="false">B11+D11</f>
        <v>57649.88648095</v>
      </c>
      <c r="F11" s="347" t="n">
        <f aca="false">Projects!$C$11+Projects!$D$11-1</f>
        <v>29</v>
      </c>
      <c r="G11" s="348" t="n">
        <f aca="false">EDATE(DATE(2026,4,1),F11-1)</f>
        <v>46966</v>
      </c>
    </row>
    <row r="12" customFormat="false" ht="15" hidden="false" customHeight="true" outlineLevel="0" collapsed="false">
      <c r="A12" s="189" t="s">
        <v>17</v>
      </c>
      <c r="B12" s="190" t="n">
        <v>0</v>
      </c>
      <c r="C12" s="346" t="n">
        <f aca="false">IF(Projects!$G$12="Yes",Projects!$B$12*(Assumptions!$B$10+Assumptions!$B$11+Assumptions!$B$12),0)</f>
        <v>908374.534373</v>
      </c>
      <c r="D12" s="346" t="n">
        <f aca="false">C12*0.05</f>
        <v>45418.72671865</v>
      </c>
      <c r="E12" s="346" t="n">
        <f aca="false">B12+D12</f>
        <v>45418.72671865</v>
      </c>
      <c r="F12" s="347" t="n">
        <f aca="false">Projects!$C$12+Projects!$D$12-1</f>
        <v>28</v>
      </c>
      <c r="G12" s="348" t="n">
        <f aca="false">EDATE(DATE(2026,4,1),F12-1)</f>
        <v>46935</v>
      </c>
    </row>
    <row r="13" customFormat="false" ht="15" hidden="false" customHeight="true" outlineLevel="0" collapsed="false">
      <c r="A13" s="189" t="s">
        <v>18</v>
      </c>
      <c r="B13" s="190" t="n">
        <v>0</v>
      </c>
      <c r="C13" s="346" t="n">
        <f aca="false">IF(Projects!$G$13="Yes",Projects!$B$13*(Assumptions!$B$10+Assumptions!$B$11+Assumptions!$B$12),0)</f>
        <v>5449711.70707</v>
      </c>
      <c r="D13" s="346" t="n">
        <f aca="false">C13*0.05</f>
        <v>272485.5853535</v>
      </c>
      <c r="E13" s="346" t="n">
        <f aca="false">B13+D13</f>
        <v>272485.5853535</v>
      </c>
      <c r="F13" s="347" t="n">
        <f aca="false">Projects!$C$13+Projects!$D$13-1</f>
        <v>44</v>
      </c>
      <c r="G13" s="348" t="n">
        <f aca="false">EDATE(DATE(2026,4,1),F13-1)</f>
        <v>47423</v>
      </c>
    </row>
    <row r="14" customFormat="false" ht="15" hidden="false" customHeight="true" outlineLevel="0" collapsed="false">
      <c r="A14" s="189" t="s">
        <v>19</v>
      </c>
      <c r="B14" s="190" t="n">
        <v>0</v>
      </c>
      <c r="C14" s="346" t="n">
        <f aca="false">IF(Projects!$G$14="Yes",Projects!$B$14*(Assumptions!$B$10+Assumptions!$B$11+Assumptions!$B$12),0)</f>
        <v>4978725.501112</v>
      </c>
      <c r="D14" s="346" t="n">
        <f aca="false">C14*0.05</f>
        <v>248936.2750556</v>
      </c>
      <c r="E14" s="346" t="n">
        <f aca="false">B14+D14</f>
        <v>248936.2750556</v>
      </c>
      <c r="F14" s="347" t="n">
        <f aca="false">Projects!$C$14+Projects!$D$14-1</f>
        <v>56</v>
      </c>
      <c r="G14" s="348" t="n">
        <f aca="false">EDATE(DATE(2026,4,1),F14-1)</f>
        <v>47788</v>
      </c>
    </row>
    <row r="15" customFormat="false" ht="15" hidden="false" customHeight="true" outlineLevel="0" collapsed="false">
      <c r="A15" s="189" t="s">
        <v>1154</v>
      </c>
      <c r="B15" s="190" t="n">
        <v>0</v>
      </c>
      <c r="C15" s="346" t="n">
        <f aca="false">IF(Projects!$G$17="Yes",Projects!$B$17*(Assumptions!$B$10+Assumptions!$B$11+Assumptions!$B$12),0)</f>
        <v>1711905.242095</v>
      </c>
      <c r="D15" s="346" t="n">
        <f aca="false">C15*0.05</f>
        <v>85595.26210475</v>
      </c>
      <c r="E15" s="346" t="n">
        <f aca="false">B15+D15</f>
        <v>85595.26210475</v>
      </c>
      <c r="F15" s="347" t="n">
        <f aca="false">Projects!$C$17+Projects!$D$17-1</f>
        <v>36</v>
      </c>
      <c r="G15" s="348" t="n">
        <f aca="false">EDATE(DATE(2026,4,1),F15-1)</f>
        <v>47178</v>
      </c>
    </row>
    <row r="16" customFormat="false" ht="15" hidden="false" customHeight="true" outlineLevel="0" collapsed="false">
      <c r="A16" s="189" t="s">
        <v>1155</v>
      </c>
      <c r="B16" s="190" t="n">
        <v>0</v>
      </c>
      <c r="C16" s="346" t="n">
        <f aca="false">IF(Projects!$G$18="Yes",Projects!$B$18*(Assumptions!$B$10+Assumptions!$B$11+Assumptions!$B$12),0)</f>
        <v>1389018.987915</v>
      </c>
      <c r="D16" s="346" t="n">
        <f aca="false">C16*0.05</f>
        <v>69450.94939575</v>
      </c>
      <c r="E16" s="346" t="n">
        <f aca="false">B16+D16</f>
        <v>69450.94939575</v>
      </c>
      <c r="F16" s="347" t="n">
        <f aca="false">Projects!$C$18+Projects!$D$18-1</f>
        <v>32</v>
      </c>
      <c r="G16" s="348" t="n">
        <f aca="false">EDATE(DATE(2026,4,1),F16-1)</f>
        <v>47058</v>
      </c>
    </row>
    <row r="17" customFormat="false" ht="15" hidden="false" customHeight="true" outlineLevel="0" collapsed="false">
      <c r="A17" s="189" t="s">
        <v>1156</v>
      </c>
      <c r="B17" s="190" t="n">
        <v>0</v>
      </c>
      <c r="C17" s="346" t="n">
        <f aca="false">IF(Projects!$G$19="Yes",Projects!$B$19*(Assumptions!$B$10+Assumptions!$B$11+Assumptions!$B$12),0)</f>
        <v>2259087.152735</v>
      </c>
      <c r="D17" s="346" t="n">
        <f aca="false">C17*0.05</f>
        <v>112954.35763675</v>
      </c>
      <c r="E17" s="346" t="n">
        <f aca="false">B17+D17</f>
        <v>112954.35763675</v>
      </c>
      <c r="F17" s="347" t="n">
        <f aca="false">Projects!$C$19+Projects!$D$19-1</f>
        <v>30</v>
      </c>
      <c r="G17" s="348" t="n">
        <f aca="false">EDATE(DATE(2026,4,1),F17-1)</f>
        <v>46997</v>
      </c>
    </row>
    <row r="18" customFormat="false" ht="15" hidden="false" customHeight="true" outlineLevel="0" collapsed="false">
      <c r="A18" s="189" t="s">
        <v>23</v>
      </c>
      <c r="B18" s="190" t="n">
        <v>0</v>
      </c>
      <c r="C18" s="346" t="n">
        <f aca="false">IF(Projects!$G$20="Yes",Projects!$B$20*(Assumptions!$B$10+Assumptions!$B$11+Assumptions!$B$12),0)</f>
        <v>3012944.96485678</v>
      </c>
      <c r="D18" s="346" t="n">
        <f aca="false">C18*0.05</f>
        <v>150647.248242839</v>
      </c>
      <c r="E18" s="346" t="n">
        <f aca="false">B18+D18</f>
        <v>150647.248242839</v>
      </c>
      <c r="F18" s="347" t="n">
        <f aca="false">Projects!$C$20+Projects!$D$20-1</f>
        <v>42</v>
      </c>
      <c r="G18" s="348" t="n">
        <f aca="false">EDATE(DATE(2026,4,1),F18-1)</f>
        <v>47362</v>
      </c>
    </row>
    <row r="19" customFormat="false" ht="15" hidden="false" customHeight="true" outlineLevel="0" collapsed="false">
      <c r="A19" s="189" t="s">
        <v>24</v>
      </c>
      <c r="B19" s="190" t="n">
        <v>0</v>
      </c>
      <c r="C19" s="346" t="n">
        <f aca="false">IF(Projects!$G$21="Yes",Projects!$Q$21,0)</f>
        <v>1614928</v>
      </c>
      <c r="D19" s="346" t="n">
        <f aca="false">C19*0.05</f>
        <v>80746.4</v>
      </c>
      <c r="E19" s="346" t="n">
        <f aca="false">B19+D19</f>
        <v>80746.4</v>
      </c>
      <c r="F19" s="347" t="n">
        <f aca="false">Projects!$C$21+Projects!$D$21-1</f>
        <v>28</v>
      </c>
      <c r="G19" s="348" t="n">
        <f aca="false">EDATE(DATE(2026,4,1),F19-1)</f>
        <v>46935</v>
      </c>
    </row>
    <row r="20" customFormat="false" ht="15" hidden="false" customHeight="true" outlineLevel="0" collapsed="false">
      <c r="A20" s="189" t="s">
        <v>25</v>
      </c>
      <c r="B20" s="190" t="n">
        <v>0</v>
      </c>
      <c r="C20" s="346" t="n">
        <f aca="false">IF(Projects!$G$22="Yes",Projects!$B$22*(Assumptions!$B$10+Assumptions!$B$11+Assumptions!$B$12),0)</f>
        <v>1650079.046</v>
      </c>
      <c r="D20" s="346" t="n">
        <f aca="false">C20*0.05</f>
        <v>82503.9523</v>
      </c>
      <c r="E20" s="346" t="n">
        <f aca="false">B20+D20</f>
        <v>82503.9523</v>
      </c>
      <c r="F20" s="347" t="n">
        <f aca="false">Projects!$C$22+Projects!$D$22-1</f>
        <v>37</v>
      </c>
      <c r="G20" s="348" t="n">
        <f aca="false">EDATE(DATE(2026,4,1),F20-1)</f>
        <v>47209</v>
      </c>
    </row>
    <row r="21" customFormat="false" ht="15" hidden="false" customHeight="true" outlineLevel="0" collapsed="false">
      <c r="A21" s="189" t="s">
        <v>26</v>
      </c>
      <c r="B21" s="190" t="n">
        <v>0</v>
      </c>
      <c r="C21" s="346" t="n">
        <f aca="false">IF(Projects!$G$23="Yes",Projects!$B$23*(Assumptions!$B$10+Assumptions!$B$11+Assumptions!$B$12),0)</f>
        <v>0</v>
      </c>
      <c r="D21" s="346" t="n">
        <f aca="false">C21*0.05</f>
        <v>0</v>
      </c>
      <c r="E21" s="346" t="n">
        <f aca="false">B21+D21</f>
        <v>0</v>
      </c>
      <c r="F21" s="347" t="n">
        <f aca="false">Projects!$C$23+Projects!$D$23-1</f>
        <v>52</v>
      </c>
      <c r="G21" s="348" t="n">
        <f aca="false">EDATE(DATE(2026,4,1),F21-1)</f>
        <v>47665</v>
      </c>
    </row>
    <row r="22" customFormat="false" ht="15" hidden="false" customHeight="true" outlineLevel="0" collapsed="false">
      <c r="A22" s="189" t="s">
        <v>27</v>
      </c>
      <c r="B22" s="190" t="n">
        <v>0</v>
      </c>
      <c r="C22" s="346" t="n">
        <f aca="false">IF(Projects!$G$24="Yes",Projects!$B$24*(Assumptions!$B$10+Assumptions!$B$11+Assumptions!$B$12),0)</f>
        <v>0</v>
      </c>
      <c r="D22" s="346" t="n">
        <f aca="false">C22*0.05</f>
        <v>0</v>
      </c>
      <c r="E22" s="346" t="n">
        <f aca="false">B22+D22</f>
        <v>0</v>
      </c>
      <c r="F22" s="347" t="n">
        <f aca="false">Projects!$C$24+Projects!$D$24-1</f>
        <v>55</v>
      </c>
      <c r="G22" s="348" t="n">
        <f aca="false">EDATE(DATE(2026,4,1),F22-1)</f>
        <v>47757</v>
      </c>
    </row>
    <row r="23" customFormat="false" ht="15" hidden="false" customHeight="true" outlineLevel="0" collapsed="false">
      <c r="A23" s="189" t="s">
        <v>28</v>
      </c>
      <c r="B23" s="190" t="n">
        <v>0</v>
      </c>
      <c r="C23" s="346" t="n">
        <f aca="false">IF(Projects!$G$25="Yes",Projects!$B$25*(Assumptions!$B$10+Assumptions!$B$11+Assumptions!$B$12),0)</f>
        <v>0</v>
      </c>
      <c r="D23" s="346" t="n">
        <f aca="false">C23*0.05</f>
        <v>0</v>
      </c>
      <c r="E23" s="346" t="n">
        <f aca="false">B23+D23</f>
        <v>0</v>
      </c>
      <c r="F23" s="347" t="n">
        <f aca="false">Projects!$C$25+Projects!$D$25-1</f>
        <v>58</v>
      </c>
      <c r="G23" s="348" t="n">
        <f aca="false">EDATE(DATE(2026,4,1),F23-1)</f>
        <v>47849</v>
      </c>
    </row>
    <row r="24" customFormat="false" ht="15" hidden="false" customHeight="true" outlineLevel="0" collapsed="false">
      <c r="A24" s="189" t="s">
        <v>29</v>
      </c>
      <c r="B24" s="190" t="n">
        <v>0</v>
      </c>
      <c r="C24" s="346" t="n">
        <f aca="false">IF(Projects!$G$26="Yes",Projects!$B$26*(Assumptions!$B$10+Assumptions!$B$11+Assumptions!$B$12),0)</f>
        <v>0</v>
      </c>
      <c r="D24" s="346" t="n">
        <f aca="false">C24*0.05</f>
        <v>0</v>
      </c>
      <c r="E24" s="346" t="n">
        <f aca="false">B24+D24</f>
        <v>0</v>
      </c>
      <c r="F24" s="347" t="n">
        <f aca="false">Projects!$C$26+Projects!$D$26-1</f>
        <v>60</v>
      </c>
      <c r="G24" s="348" t="n">
        <f aca="false">EDATE(DATE(2026,4,1),F24-1)</f>
        <v>47908</v>
      </c>
    </row>
    <row r="25" customFormat="false" ht="15" hidden="false" customHeight="true" outlineLevel="0" collapsed="false">
      <c r="A25" s="189" t="s">
        <v>30</v>
      </c>
      <c r="B25" s="190" t="n">
        <v>0</v>
      </c>
      <c r="C25" s="346" t="n">
        <f aca="false">IF(Projects!$G$27="Yes",Projects!$B$27*(Assumptions!$B$10+Assumptions!$B$11+Assumptions!$B$12),0)</f>
        <v>0</v>
      </c>
      <c r="D25" s="346" t="n">
        <f aca="false">C25*0.05</f>
        <v>0</v>
      </c>
      <c r="E25" s="346" t="n">
        <f aca="false">B25+D25</f>
        <v>0</v>
      </c>
      <c r="F25" s="347" t="n">
        <f aca="false">Projects!$C$27+Projects!$D$27-1</f>
        <v>62</v>
      </c>
      <c r="G25" s="348" t="n">
        <f aca="false">EDATE(DATE(2026,4,1),F25-1)</f>
        <v>47969</v>
      </c>
    </row>
    <row r="26" customFormat="false" ht="15" hidden="false" customHeight="true" outlineLevel="0" collapsed="false">
      <c r="A26" s="189" t="s">
        <v>31</v>
      </c>
      <c r="B26" s="190" t="n">
        <v>0</v>
      </c>
      <c r="C26" s="346" t="n">
        <f aca="false">IF(Projects!$G$28="Yes",Projects!$B$28*(Assumptions!$B$10+Assumptions!$B$11+Assumptions!$B$12),0)</f>
        <v>0</v>
      </c>
      <c r="D26" s="346" t="n">
        <f aca="false">C26*0.05</f>
        <v>0</v>
      </c>
      <c r="E26" s="346" t="n">
        <f aca="false">B26+D26</f>
        <v>0</v>
      </c>
      <c r="F26" s="347" t="n">
        <f aca="false">Projects!$C$28+Projects!$D$28-1</f>
        <v>64</v>
      </c>
      <c r="G26" s="348" t="n">
        <f aca="false">EDATE(DATE(2026,4,1),F26-1)</f>
        <v>48030</v>
      </c>
    </row>
    <row r="27" customFormat="false" ht="15" hidden="false" customHeight="true" outlineLevel="0" collapsed="false">
      <c r="A27" s="189" t="s">
        <v>32</v>
      </c>
      <c r="B27" s="190" t="n">
        <v>0</v>
      </c>
      <c r="C27" s="346" t="n">
        <f aca="false">IF(Projects!$G$29="Yes",Projects!$B$29*(Assumptions!$B$10+Assumptions!$B$11+Assumptions!$B$12),0)</f>
        <v>0</v>
      </c>
      <c r="D27" s="346" t="n">
        <f aca="false">C27*0.05</f>
        <v>0</v>
      </c>
      <c r="E27" s="346" t="n">
        <f aca="false">B27+D27</f>
        <v>0</v>
      </c>
      <c r="F27" s="347" t="n">
        <f aca="false">Projects!$C$29+Projects!$D$29-1</f>
        <v>66</v>
      </c>
      <c r="G27" s="348" t="n">
        <f aca="false">EDATE(DATE(2026,4,1),F27-1)</f>
        <v>48092</v>
      </c>
    </row>
    <row r="28" customFormat="false" ht="15" hidden="false" customHeight="true" outlineLevel="0" collapsed="false">
      <c r="A28" s="189" t="s">
        <v>33</v>
      </c>
      <c r="B28" s="190" t="n">
        <v>0</v>
      </c>
      <c r="C28" s="346" t="n">
        <f aca="false">IF(Projects!$G$30="Yes",Projects!$B$30*(Assumptions!$B$10+Assumptions!$B$11+Assumptions!$B$12),0)</f>
        <v>0</v>
      </c>
      <c r="D28" s="346" t="n">
        <f aca="false">C28*0.05</f>
        <v>0</v>
      </c>
      <c r="E28" s="346" t="n">
        <f aca="false">B28+D28</f>
        <v>0</v>
      </c>
      <c r="F28" s="347" t="n">
        <f aca="false">Projects!$C$30+Projects!$D$30-1</f>
        <v>68</v>
      </c>
      <c r="G28" s="348" t="n">
        <f aca="false">EDATE(DATE(2026,4,1),F28-1)</f>
        <v>48153</v>
      </c>
    </row>
    <row r="29" customFormat="false" ht="15" hidden="false" customHeight="true" outlineLevel="0" collapsed="false">
      <c r="A29" s="189" t="s">
        <v>34</v>
      </c>
      <c r="B29" s="190" t="n">
        <v>0</v>
      </c>
      <c r="C29" s="346" t="n">
        <f aca="false">IF(Projects!$G$31="Yes",Projects!$B$31*(Assumptions!$B$10+Assumptions!$B$11+Assumptions!$B$12),0)</f>
        <v>0</v>
      </c>
      <c r="D29" s="346" t="n">
        <f aca="false">C29*0.05</f>
        <v>0</v>
      </c>
      <c r="E29" s="346" t="n">
        <f aca="false">B29+D29</f>
        <v>0</v>
      </c>
      <c r="F29" s="347" t="n">
        <f aca="false">Projects!$C$31+Projects!$D$31-1</f>
        <v>70</v>
      </c>
      <c r="G29" s="348" t="n">
        <f aca="false">EDATE(DATE(2026,4,1),F29-1)</f>
        <v>48214</v>
      </c>
    </row>
    <row r="30" customFormat="false" ht="15" hidden="false" customHeight="true" outlineLevel="0" collapsed="false">
      <c r="A30" s="189" t="s">
        <v>35</v>
      </c>
      <c r="B30" s="190" t="n">
        <v>0</v>
      </c>
      <c r="C30" s="346" t="n">
        <f aca="false">IF(Projects!$G$32="Yes",Projects!$B$32*(Assumptions!$B$10+Assumptions!$B$11+Assumptions!$B$12),0)</f>
        <v>0</v>
      </c>
      <c r="D30" s="346" t="n">
        <f aca="false">C30*0.05</f>
        <v>0</v>
      </c>
      <c r="E30" s="346" t="n">
        <f aca="false">B30+D30</f>
        <v>0</v>
      </c>
      <c r="F30" s="347" t="n">
        <f aca="false">Projects!$C$32+Projects!$D$32-1</f>
        <v>72</v>
      </c>
      <c r="G30" s="348" t="n">
        <f aca="false">EDATE(DATE(2026,4,1),F30-1)</f>
        <v>48274</v>
      </c>
    </row>
    <row r="31" customFormat="false" ht="15" hidden="false" customHeight="true" outlineLevel="0" collapsed="false">
      <c r="A31" s="189" t="s">
        <v>36</v>
      </c>
      <c r="B31" s="190" t="n">
        <v>0</v>
      </c>
      <c r="C31" s="346" t="n">
        <f aca="false">IF(Projects!$G$33="Yes",Projects!$B$33*(Assumptions!$B$10+Assumptions!$B$11+Assumptions!$B$12),0)</f>
        <v>0</v>
      </c>
      <c r="D31" s="346" t="n">
        <f aca="false">C31*0.05</f>
        <v>0</v>
      </c>
      <c r="E31" s="346" t="n">
        <f aca="false">B31+D31</f>
        <v>0</v>
      </c>
      <c r="F31" s="347" t="n">
        <f aca="false">Projects!$C$33+Projects!$D$33-1</f>
        <v>74</v>
      </c>
      <c r="G31" s="348" t="n">
        <f aca="false">EDATE(DATE(2026,4,1),F31-1)</f>
        <v>48335</v>
      </c>
    </row>
    <row r="32" customFormat="false" ht="15" hidden="false" customHeight="true" outlineLevel="0" collapsed="false">
      <c r="A32" s="189" t="s">
        <v>37</v>
      </c>
      <c r="B32" s="190" t="n">
        <v>0</v>
      </c>
      <c r="C32" s="346" t="n">
        <f aca="false">IF(Projects!$G$34="Yes",Projects!$B$34*(Assumptions!$B$10+Assumptions!$B$11+Assumptions!$B$12),0)</f>
        <v>0</v>
      </c>
      <c r="D32" s="346" t="n">
        <f aca="false">C32*0.05</f>
        <v>0</v>
      </c>
      <c r="E32" s="346" t="n">
        <f aca="false">B32+D32</f>
        <v>0</v>
      </c>
      <c r="F32" s="347" t="n">
        <f aca="false">Projects!$C$34+Projects!$D$34-1</f>
        <v>76</v>
      </c>
      <c r="G32" s="348" t="n">
        <f aca="false">EDATE(DATE(2026,4,1),F32-1)</f>
        <v>48396</v>
      </c>
    </row>
    <row r="33" customFormat="false" ht="15" hidden="false" customHeight="true" outlineLevel="0" collapsed="false">
      <c r="A33" s="189" t="s">
        <v>38</v>
      </c>
      <c r="B33" s="190" t="n">
        <v>0</v>
      </c>
      <c r="C33" s="346" t="n">
        <f aca="false">IF(Projects!$G$35="Yes",Projects!$B$35*(Assumptions!$B$10+Assumptions!$B$11+Assumptions!$B$12),0)</f>
        <v>0</v>
      </c>
      <c r="D33" s="346" t="n">
        <f aca="false">C33*0.05</f>
        <v>0</v>
      </c>
      <c r="E33" s="346" t="n">
        <f aca="false">B33+D33</f>
        <v>0</v>
      </c>
      <c r="F33" s="347" t="n">
        <f aca="false">Projects!$C$35+Projects!$D$35-1</f>
        <v>78</v>
      </c>
      <c r="G33" s="348" t="n">
        <f aca="false">EDATE(DATE(2026,4,1),F33-1)</f>
        <v>48458</v>
      </c>
    </row>
    <row r="34" customFormat="false" ht="15" hidden="false" customHeight="true" outlineLevel="0" collapsed="false">
      <c r="A34" s="189" t="s">
        <v>39</v>
      </c>
      <c r="B34" s="190" t="n">
        <v>0</v>
      </c>
      <c r="C34" s="346" t="n">
        <f aca="false">IF(Projects!$G$36="Yes",Projects!$B$36*(Assumptions!$B$10+Assumptions!$B$11+Assumptions!$B$12),0)</f>
        <v>0</v>
      </c>
      <c r="D34" s="346" t="n">
        <f aca="false">C34*0.05</f>
        <v>0</v>
      </c>
      <c r="E34" s="346" t="n">
        <f aca="false">B34+D34</f>
        <v>0</v>
      </c>
      <c r="F34" s="347" t="n">
        <f aca="false">Projects!$C$36+Projects!$D$36-1</f>
        <v>80</v>
      </c>
      <c r="G34" s="348" t="n">
        <f aca="false">EDATE(DATE(2026,4,1),F34-1)</f>
        <v>48519</v>
      </c>
    </row>
    <row r="35" customFormat="false" ht="15" hidden="false" customHeight="true" outlineLevel="0" collapsed="false">
      <c r="A35" s="189" t="s">
        <v>40</v>
      </c>
      <c r="B35" s="190" t="n">
        <v>0</v>
      </c>
      <c r="C35" s="346" t="n">
        <f aca="false">IF(Projects!$G$37="Yes",Projects!$B$37*(Assumptions!$B$10+Assumptions!$B$11+Assumptions!$B$12),0)</f>
        <v>0</v>
      </c>
      <c r="D35" s="346" t="n">
        <f aca="false">C35*0.05</f>
        <v>0</v>
      </c>
      <c r="E35" s="346" t="n">
        <f aca="false">B35+D35</f>
        <v>0</v>
      </c>
      <c r="F35" s="347" t="n">
        <f aca="false">Projects!$C$37+Projects!$D$37-1</f>
        <v>82</v>
      </c>
      <c r="G35" s="348" t="n">
        <f aca="false">EDATE(DATE(2026,4,1),F35-1)</f>
        <v>48580</v>
      </c>
    </row>
    <row r="36" customFormat="false" ht="15" hidden="false" customHeight="true" outlineLevel="0" collapsed="false">
      <c r="A36" s="189" t="s">
        <v>41</v>
      </c>
      <c r="B36" s="190" t="n">
        <v>0</v>
      </c>
      <c r="C36" s="346" t="n">
        <f aca="false">IF(Projects!$G$38="Yes",Projects!$B$38*(Assumptions!$B$10+Assumptions!$B$11+Assumptions!$B$12),0)</f>
        <v>0</v>
      </c>
      <c r="D36" s="346" t="n">
        <f aca="false">C36*0.05</f>
        <v>0</v>
      </c>
      <c r="E36" s="346" t="n">
        <f aca="false">B36+D36</f>
        <v>0</v>
      </c>
      <c r="F36" s="347" t="n">
        <f aca="false">Projects!$C$38+Projects!$D$38-1</f>
        <v>84</v>
      </c>
      <c r="G36" s="348" t="n">
        <f aca="false">EDATE(DATE(2026,4,1),F36-1)</f>
        <v>48639</v>
      </c>
    </row>
    <row r="37" customFormat="false" ht="15" hidden="false" customHeight="true" outlineLevel="0" collapsed="false">
      <c r="A37" s="189" t="s">
        <v>42</v>
      </c>
      <c r="B37" s="190" t="n">
        <v>0</v>
      </c>
      <c r="C37" s="346" t="n">
        <f aca="false">IF(Projects!$G$39="Yes",Projects!$B$39*(Assumptions!$B$10+Assumptions!$B$11+Assumptions!$B$12),0)</f>
        <v>0</v>
      </c>
      <c r="D37" s="346" t="n">
        <f aca="false">C37*0.05</f>
        <v>0</v>
      </c>
      <c r="E37" s="346" t="n">
        <f aca="false">B37+D37</f>
        <v>0</v>
      </c>
      <c r="F37" s="347" t="n">
        <f aca="false">Projects!$C$39+Projects!$D$39-1</f>
        <v>86</v>
      </c>
      <c r="G37" s="348" t="n">
        <f aca="false">EDATE(DATE(2026,4,1),F37-1)</f>
        <v>48700</v>
      </c>
    </row>
    <row r="38" customFormat="false" ht="15" hidden="false" customHeight="true" outlineLevel="0" collapsed="false">
      <c r="A38" s="189" t="s">
        <v>43</v>
      </c>
      <c r="B38" s="190" t="n">
        <v>0</v>
      </c>
      <c r="C38" s="346" t="n">
        <f aca="false">IF(Projects!$G$40="Yes",Projects!$B$40*(Assumptions!$B$10+Assumptions!$B$11+Assumptions!$B$12),0)</f>
        <v>0</v>
      </c>
      <c r="D38" s="346" t="n">
        <f aca="false">C38*0.05</f>
        <v>0</v>
      </c>
      <c r="E38" s="346" t="n">
        <f aca="false">B38+D38</f>
        <v>0</v>
      </c>
      <c r="F38" s="347" t="n">
        <f aca="false">Projects!$C$40+Projects!$D$40-1</f>
        <v>88</v>
      </c>
      <c r="G38" s="348" t="n">
        <f aca="false">EDATE(DATE(2026,4,1),F38-1)</f>
        <v>48761</v>
      </c>
    </row>
    <row r="39" customFormat="false" ht="15" hidden="false" customHeight="true" outlineLevel="0" collapsed="false">
      <c r="A39" s="189" t="s">
        <v>44</v>
      </c>
      <c r="B39" s="190" t="n">
        <v>0</v>
      </c>
      <c r="C39" s="346" t="n">
        <f aca="false">IF(Projects!$G$41="Yes",Projects!$B$41*(Assumptions!$B$10+Assumptions!$B$11+Assumptions!$B$12),0)</f>
        <v>0</v>
      </c>
      <c r="D39" s="346" t="n">
        <f aca="false">C39*0.05</f>
        <v>0</v>
      </c>
      <c r="E39" s="346" t="n">
        <f aca="false">B39+D39</f>
        <v>0</v>
      </c>
      <c r="F39" s="347" t="n">
        <f aca="false">Projects!$C$41+Projects!$D$41-1</f>
        <v>90</v>
      </c>
      <c r="G39" s="348" t="n">
        <f aca="false">EDATE(DATE(2026,4,1),F39-1)</f>
        <v>48823</v>
      </c>
    </row>
    <row r="40" customFormat="false" ht="15" hidden="false" customHeight="true" outlineLevel="0" collapsed="false">
      <c r="A40" s="189" t="s">
        <v>45</v>
      </c>
      <c r="B40" s="190" t="n">
        <v>0</v>
      </c>
      <c r="C40" s="346" t="n">
        <f aca="false">IF(Projects!$G$42="Yes",Projects!$B$42*(Assumptions!$B$10+Assumptions!$B$11+Assumptions!$B$12),0)</f>
        <v>0</v>
      </c>
      <c r="D40" s="346" t="n">
        <f aca="false">C40*0.05</f>
        <v>0</v>
      </c>
      <c r="E40" s="346" t="n">
        <f aca="false">B40+D40</f>
        <v>0</v>
      </c>
      <c r="F40" s="347" t="n">
        <f aca="false">Projects!$C$42+Projects!$D$42-1</f>
        <v>92</v>
      </c>
      <c r="G40" s="348" t="n">
        <f aca="false">EDATE(DATE(2026,4,1),F40-1)</f>
        <v>48884</v>
      </c>
    </row>
    <row r="41" customFormat="false" ht="15" hidden="false" customHeight="true" outlineLevel="0" collapsed="false">
      <c r="A41" s="189" t="s">
        <v>46</v>
      </c>
      <c r="B41" s="190" t="n">
        <v>0</v>
      </c>
      <c r="C41" s="346" t="n">
        <f aca="false">IF(Projects!$G$43="Yes",Projects!$B$43*(Assumptions!$B$10+Assumptions!$B$11+Assumptions!$B$12),0)</f>
        <v>0</v>
      </c>
      <c r="D41" s="346" t="n">
        <f aca="false">C41*0.05</f>
        <v>0</v>
      </c>
      <c r="E41" s="346" t="n">
        <f aca="false">B41+D41</f>
        <v>0</v>
      </c>
      <c r="F41" s="347" t="n">
        <f aca="false">Projects!$C$43+Projects!$D$43-1</f>
        <v>94</v>
      </c>
      <c r="G41" s="348" t="n">
        <f aca="false">EDATE(DATE(2026,4,1),F41-1)</f>
        <v>48945</v>
      </c>
    </row>
    <row r="42" customFormat="false" ht="15" hidden="false" customHeight="true" outlineLevel="0" collapsed="false">
      <c r="A42" s="189" t="s">
        <v>47</v>
      </c>
      <c r="B42" s="190" t="n">
        <v>0</v>
      </c>
      <c r="C42" s="346" t="n">
        <f aca="false">IF(Projects!$G$44="Yes",Projects!$B$44*(Assumptions!$B$10+Assumptions!$B$11+Assumptions!$B$12),0)</f>
        <v>0</v>
      </c>
      <c r="D42" s="346" t="n">
        <f aca="false">C42*0.05</f>
        <v>0</v>
      </c>
      <c r="E42" s="346" t="n">
        <f aca="false">B42+D42</f>
        <v>0</v>
      </c>
      <c r="F42" s="347" t="n">
        <f aca="false">Projects!$C$44+Projects!$D$44-1</f>
        <v>96</v>
      </c>
      <c r="G42" s="348" t="n">
        <f aca="false">EDATE(DATE(2026,4,1),F42-1)</f>
        <v>49004</v>
      </c>
    </row>
    <row r="43" customFormat="false" ht="15" hidden="false" customHeight="true" outlineLevel="0" collapsed="false">
      <c r="A43" s="189" t="s">
        <v>48</v>
      </c>
      <c r="B43" s="190" t="n">
        <v>0</v>
      </c>
      <c r="C43" s="346" t="n">
        <f aca="false">IF(Projects!$G$45="Yes",Projects!$B$45*(Assumptions!$B$10+Assumptions!$B$11+Assumptions!$B$12),0)</f>
        <v>0</v>
      </c>
      <c r="D43" s="346" t="n">
        <f aca="false">C43*0.05</f>
        <v>0</v>
      </c>
      <c r="E43" s="346" t="n">
        <f aca="false">B43+D43</f>
        <v>0</v>
      </c>
      <c r="F43" s="347" t="n">
        <f aca="false">Projects!$C$45+Projects!$D$45-1</f>
        <v>98</v>
      </c>
      <c r="G43" s="348" t="n">
        <f aca="false">EDATE(DATE(2026,4,1),F43-1)</f>
        <v>49065</v>
      </c>
    </row>
    <row r="44" customFormat="false" ht="15" hidden="false" customHeight="true" outlineLevel="0" collapsed="false">
      <c r="A44" s="189" t="s">
        <v>49</v>
      </c>
      <c r="B44" s="190" t="n">
        <v>0</v>
      </c>
      <c r="C44" s="346" t="n">
        <f aca="false">IF(Projects!$G$46="Yes",Projects!$B$46*(Assumptions!$B$10+Assumptions!$B$11+Assumptions!$B$12),0)</f>
        <v>0</v>
      </c>
      <c r="D44" s="346" t="n">
        <f aca="false">C44*0.05</f>
        <v>0</v>
      </c>
      <c r="E44" s="346" t="n">
        <f aca="false">B44+D44</f>
        <v>0</v>
      </c>
      <c r="F44" s="347" t="n">
        <f aca="false">Projects!$C$46+Projects!$D$46-1</f>
        <v>100</v>
      </c>
      <c r="G44" s="348" t="n">
        <f aca="false">EDATE(DATE(2026,4,1),F44-1)</f>
        <v>49126</v>
      </c>
    </row>
    <row r="267" customFormat="false" ht="13.5" hidden="false" customHeight="true" outlineLevel="0" collapsed="false"/>
    <row r="273" customFormat="false" ht="13.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859375" defaultRowHeight="13.5" customHeight="false"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49" t="s">
        <v>1157</v>
      </c>
      <c r="N1" s="1" t="s">
        <v>1158</v>
      </c>
      <c r="O1" s="350" t="n">
        <v>1</v>
      </c>
    </row>
    <row r="2" customFormat="false" ht="13.5" hidden="false" customHeight="true" outlineLevel="0" collapsed="false">
      <c r="A2" s="351" t="s">
        <v>1159</v>
      </c>
      <c r="N2" s="1" t="s">
        <v>1160</v>
      </c>
    </row>
    <row r="3" customFormat="false" ht="57" hidden="false" customHeight="true" outlineLevel="0" collapsed="false">
      <c r="A3" s="187" t="s">
        <v>1161</v>
      </c>
      <c r="B3" s="187" t="s">
        <v>470</v>
      </c>
      <c r="C3" s="187" t="s">
        <v>1162</v>
      </c>
      <c r="D3" s="187" t="s">
        <v>1163</v>
      </c>
      <c r="E3" s="187" t="s">
        <v>1164</v>
      </c>
      <c r="F3" s="187" t="s">
        <v>1165</v>
      </c>
      <c r="G3" s="187" t="s">
        <v>1166</v>
      </c>
      <c r="H3" s="187" t="s">
        <v>657</v>
      </c>
      <c r="I3" s="187" t="s">
        <v>1167</v>
      </c>
      <c r="J3" s="187" t="s">
        <v>1168</v>
      </c>
      <c r="K3" s="187" t="s">
        <v>1169</v>
      </c>
      <c r="L3" s="187" t="s">
        <v>1170</v>
      </c>
    </row>
    <row r="4" customFormat="false" ht="13.5" hidden="false" customHeight="true" outlineLevel="0" collapsed="false">
      <c r="A4" s="229" t="n">
        <v>13</v>
      </c>
      <c r="B4" s="227" t="s">
        <v>7</v>
      </c>
      <c r="C4" s="227" t="s">
        <v>1171</v>
      </c>
      <c r="D4" s="229" t="n">
        <v>0</v>
      </c>
      <c r="E4" s="229" t="n">
        <v>1</v>
      </c>
      <c r="F4" s="352" t="n">
        <v>150000</v>
      </c>
      <c r="G4" s="229" t="n">
        <v>9</v>
      </c>
      <c r="H4" s="227" t="s">
        <v>1172</v>
      </c>
      <c r="I4" s="353" t="n">
        <f aca="false">IF(OR($D4=1,$E4=1),SUM(INDEX(Model!$K$13:$DE$56,$A4-12,0))+SUM(INDEX(Model!$K$60:$DE$103,$A4-12,0)),0)</f>
        <v>-201983.3</v>
      </c>
      <c r="J4" s="352" t="n">
        <f aca="false">201983</f>
        <v>201983</v>
      </c>
      <c r="K4" s="353" t="n">
        <f aca="false">IF(OR($D4=1,$E4=1),J4+IF(AND($D4=1,$O$1=1),0,I4),0)</f>
        <v>-0.300000000046566</v>
      </c>
      <c r="L4" s="354" t="n">
        <v>0.5</v>
      </c>
    </row>
    <row r="5" customFormat="false" ht="13.5" hidden="false" customHeight="true" outlineLevel="0" collapsed="false">
      <c r="A5" s="355" t="n">
        <v>14</v>
      </c>
      <c r="B5" s="356" t="s">
        <v>8</v>
      </c>
      <c r="C5" s="356" t="s">
        <v>1171</v>
      </c>
      <c r="D5" s="355" t="n">
        <v>0</v>
      </c>
      <c r="E5" s="355" t="n">
        <v>1</v>
      </c>
      <c r="F5" s="357" t="n">
        <v>358268</v>
      </c>
      <c r="G5" s="355" t="n">
        <v>19</v>
      </c>
      <c r="H5" s="356" t="s">
        <v>1172</v>
      </c>
      <c r="I5" s="358" t="n">
        <f aca="false">IF(OR($D5=1,$E5=1),SUM(INDEX(Model!$K$13:$DE$56,$A5-12,0))+SUM(INDEX(Model!$K$60:$DE$103,$A5-12,0)),0)</f>
        <v>-443926.629999999</v>
      </c>
      <c r="J5" s="357" t="n">
        <f aca="false">194267</f>
        <v>194267</v>
      </c>
      <c r="K5" s="358" t="n">
        <f aca="false">IF(OR($D5=1,$E5=1),J5+IF(AND($D5=1,$O$1=1),0,I5),0)</f>
        <v>-249659.629999999</v>
      </c>
      <c r="L5" s="359" t="n">
        <v>0.5</v>
      </c>
    </row>
    <row r="6" customFormat="false" ht="13.5" hidden="false" customHeight="true" outlineLevel="0" collapsed="false">
      <c r="A6" s="229" t="n">
        <v>15</v>
      </c>
      <c r="B6" s="227" t="s">
        <v>9</v>
      </c>
      <c r="C6" s="227" t="s">
        <v>1173</v>
      </c>
      <c r="D6" s="229" t="n">
        <v>1</v>
      </c>
      <c r="E6" s="229" t="n">
        <v>0</v>
      </c>
      <c r="F6" s="352" t="n">
        <v>0</v>
      </c>
      <c r="G6" s="360" t="n">
        <f aca="false">Retention!$F$4</f>
        <v>17</v>
      </c>
      <c r="H6" s="1" t="s">
        <v>1174</v>
      </c>
      <c r="I6" s="353" t="n">
        <f aca="false">IF(OR($D6=1,$E6=1),SUM(INDEX(Model!$K$13:$DE$56,$A6-12,0))+SUM(INDEX(Model!$K$60:$DE$103,$A6-12,0)),0)</f>
        <v>-129122.51</v>
      </c>
      <c r="J6" s="352" t="n">
        <f aca="false">11610889-11656654</f>
        <v>-45765</v>
      </c>
      <c r="K6" s="353" t="n">
        <f aca="false">IF(OR($D6=1,$E6=1),J6+IF(AND($D6=1,$O$1=1),0,I6),0)</f>
        <v>-45765</v>
      </c>
      <c r="L6" s="354" t="n">
        <v>0</v>
      </c>
    </row>
    <row r="7" customFormat="false" ht="13.5" hidden="false" customHeight="true" outlineLevel="0" collapsed="false">
      <c r="A7" s="355" t="n">
        <v>16</v>
      </c>
      <c r="B7" s="356" t="s">
        <v>10</v>
      </c>
      <c r="C7" s="356" t="s">
        <v>1173</v>
      </c>
      <c r="D7" s="355" t="n">
        <v>1</v>
      </c>
      <c r="E7" s="355" t="n">
        <v>0</v>
      </c>
      <c r="F7" s="357" t="n">
        <v>0</v>
      </c>
      <c r="G7" s="361" t="n">
        <f aca="false">Retention!$F$5</f>
        <v>19</v>
      </c>
      <c r="H7" s="1" t="s">
        <v>1174</v>
      </c>
      <c r="I7" s="358" t="n">
        <f aca="false">IF(OR($D7=1,$E7=1),SUM(INDEX(Model!$K$13:$DE$56,$A7-12,0))+SUM(INDEX(Model!$K$60:$DE$103,$A7-12,0)),0)</f>
        <v>-122763.819999999</v>
      </c>
      <c r="J7" s="357" t="n">
        <f aca="false">13275793-13332488</f>
        <v>-56695</v>
      </c>
      <c r="K7" s="358" t="n">
        <f aca="false">IF(OR($D7=1,$E7=1),J7+IF(AND($D7=1,$O$1=1),0,I7),0)</f>
        <v>-56695</v>
      </c>
      <c r="L7" s="359" t="n">
        <v>0</v>
      </c>
    </row>
    <row r="8" customFormat="false" ht="13.5" hidden="false" customHeight="true" outlineLevel="0" collapsed="false">
      <c r="A8" s="229" t="n">
        <v>17</v>
      </c>
      <c r="B8" s="227" t="s">
        <v>11</v>
      </c>
      <c r="C8" s="227" t="s">
        <v>1171</v>
      </c>
      <c r="D8" s="229" t="n">
        <v>0</v>
      </c>
      <c r="E8" s="229" t="n">
        <v>1</v>
      </c>
      <c r="F8" s="352" t="n">
        <v>0</v>
      </c>
      <c r="G8" s="360" t="n">
        <f aca="false">Retention!$F$6</f>
        <v>15</v>
      </c>
      <c r="H8" s="227" t="s">
        <v>1172</v>
      </c>
      <c r="I8" s="353" t="n">
        <f aca="false">IF(OR($D8=1,$E8=1),SUM(INDEX(Model!$K$13:$DE$56,$A8-12,0))+SUM(INDEX(Model!$K$60:$DE$103,$A8-12,0)),0)</f>
        <v>-2920.55000000005</v>
      </c>
      <c r="J8" s="352" t="n">
        <f aca="false">2920</f>
        <v>2920</v>
      </c>
      <c r="K8" s="353" t="n">
        <f aca="false">IF(OR($D8=1,$E8=1),J8+IF(AND($D8=1,$O$1=1),0,I8),0)</f>
        <v>-0.550000000046566</v>
      </c>
      <c r="L8" s="354" t="n">
        <v>0.5</v>
      </c>
    </row>
    <row r="9" customFormat="false" ht="13.5" hidden="false" customHeight="true" outlineLevel="0" collapsed="false">
      <c r="A9" s="355" t="n">
        <v>18</v>
      </c>
      <c r="B9" s="356" t="s">
        <v>12</v>
      </c>
      <c r="C9" s="356" t="s">
        <v>1173</v>
      </c>
      <c r="D9" s="355" t="n">
        <v>1</v>
      </c>
      <c r="E9" s="355" t="n">
        <v>0</v>
      </c>
      <c r="F9" s="357" t="n">
        <v>0</v>
      </c>
      <c r="G9" s="361" t="n">
        <f aca="false">Retention!$F$7</f>
        <v>36</v>
      </c>
      <c r="H9" s="1" t="s">
        <v>1174</v>
      </c>
      <c r="I9" s="358" t="n">
        <f aca="false">IF(OR($D9=1,$E9=1),SUM(INDEX(Model!$K$13:$DE$56,$A9-12,0))+SUM(INDEX(Model!$K$60:$DE$103,$A9-12,0)),0)</f>
        <v>10991.7400000021</v>
      </c>
      <c r="J9" s="357" t="n">
        <f aca="false">36808214-36808214</f>
        <v>0</v>
      </c>
      <c r="K9" s="358" t="n">
        <f aca="false">IF(OR($D9=1,$E9=1),J9+IF(AND($D9=1,$O$1=1),0,I9),0)</f>
        <v>0</v>
      </c>
      <c r="L9" s="359" t="n">
        <v>0</v>
      </c>
    </row>
    <row r="10" customFormat="false" ht="13.5" hidden="false" customHeight="true" outlineLevel="0" collapsed="false">
      <c r="A10" s="229" t="n">
        <v>19</v>
      </c>
      <c r="B10" s="227" t="s">
        <v>13</v>
      </c>
      <c r="C10" s="227" t="s">
        <v>1173</v>
      </c>
      <c r="D10" s="229" t="n">
        <v>1</v>
      </c>
      <c r="E10" s="229" t="n">
        <v>0</v>
      </c>
      <c r="F10" s="352" t="n">
        <v>0</v>
      </c>
      <c r="G10" s="360" t="n">
        <f aca="false">Retention!$F$8</f>
        <v>24</v>
      </c>
      <c r="H10" s="1" t="s">
        <v>1174</v>
      </c>
      <c r="I10" s="353" t="n">
        <f aca="false">IF(OR($D10=1,$E10=1),SUM(INDEX(Model!$K$13:$DE$56,$A10-12,0))+SUM(INDEX(Model!$K$60:$DE$103,$A10-12,0)),0)</f>
        <v>597.490000000224</v>
      </c>
      <c r="J10" s="352" t="n">
        <f aca="false">11237427-11237427</f>
        <v>0</v>
      </c>
      <c r="K10" s="353" t="n">
        <f aca="false">IF(OR($D10=1,$E10=1),J10+IF(AND($D10=1,$O$1=1),0,I10),0)</f>
        <v>0</v>
      </c>
      <c r="L10" s="354" t="n">
        <v>0</v>
      </c>
    </row>
    <row r="11" customFormat="false" ht="13.5" hidden="false" customHeight="true" outlineLevel="0" collapsed="false">
      <c r="A11" s="355" t="n">
        <v>20</v>
      </c>
      <c r="B11" s="356" t="s">
        <v>14</v>
      </c>
      <c r="C11" s="356" t="s">
        <v>1173</v>
      </c>
      <c r="D11" s="355" t="n">
        <v>1</v>
      </c>
      <c r="E11" s="355" t="n">
        <v>0</v>
      </c>
      <c r="F11" s="357" t="n">
        <v>0</v>
      </c>
      <c r="G11" s="361" t="n">
        <f aca="false">Retention!$F$9</f>
        <v>23</v>
      </c>
      <c r="H11" s="1" t="s">
        <v>1174</v>
      </c>
      <c r="I11" s="358" t="n">
        <f aca="false">IF(OR($D11=1,$E11=1),SUM(INDEX(Model!$K$13:$DE$56,$A11-12,0))+SUM(INDEX(Model!$K$60:$DE$103,$A11-12,0)),0)</f>
        <v>3464.53000000119</v>
      </c>
      <c r="J11" s="357" t="n">
        <f aca="false">12399460-12399460</f>
        <v>0</v>
      </c>
      <c r="K11" s="358" t="n">
        <f aca="false">IF(OR($D11=1,$E11=1),J11+IF(AND($D11=1,$O$1=1),0,I11),0)</f>
        <v>0</v>
      </c>
      <c r="L11" s="359" t="n">
        <v>0</v>
      </c>
    </row>
    <row r="12" customFormat="false" ht="13.5" hidden="false" customHeight="true" outlineLevel="0" collapsed="false">
      <c r="A12" s="229" t="n">
        <v>21</v>
      </c>
      <c r="B12" s="227" t="s">
        <v>15</v>
      </c>
      <c r="C12" s="227" t="s">
        <v>1173</v>
      </c>
      <c r="D12" s="229" t="n">
        <v>1</v>
      </c>
      <c r="E12" s="229" t="n">
        <v>0</v>
      </c>
      <c r="F12" s="352" t="n">
        <v>0</v>
      </c>
      <c r="G12" s="360" t="n">
        <f aca="false">Retention!$F$10</f>
        <v>38</v>
      </c>
      <c r="H12" s="1" t="s">
        <v>1174</v>
      </c>
      <c r="I12" s="353" t="n">
        <f aca="false">IF(OR($D12=1,$E12=1),SUM(INDEX(Model!$K$13:$DE$56,$A12-12,0))+SUM(INDEX(Model!$K$60:$DE$103,$A12-12,0)),0)</f>
        <v>0</v>
      </c>
      <c r="J12" s="352" t="n">
        <v>0</v>
      </c>
      <c r="K12" s="353" t="n">
        <f aca="false">IF(OR($D12=1,$E12=1),J12+IF(AND($D12=1,$O$1=1),0,I12),0)</f>
        <v>0</v>
      </c>
      <c r="L12" s="354" t="n">
        <v>0</v>
      </c>
    </row>
    <row r="13" customFormat="false" ht="13.5" hidden="false" customHeight="true" outlineLevel="0" collapsed="false">
      <c r="A13" s="355" t="n">
        <v>22</v>
      </c>
      <c r="B13" s="356" t="s">
        <v>16</v>
      </c>
      <c r="C13" s="356" t="s">
        <v>1171</v>
      </c>
      <c r="D13" s="355" t="n">
        <v>0</v>
      </c>
      <c r="E13" s="355" t="n">
        <v>1</v>
      </c>
      <c r="F13" s="357" t="n">
        <v>0</v>
      </c>
      <c r="G13" s="361" t="n">
        <f aca="false">Retention!$F$11</f>
        <v>29</v>
      </c>
      <c r="H13" s="356" t="s">
        <v>1172</v>
      </c>
      <c r="I13" s="358" t="n">
        <f aca="false">IF(OR($D13=1,$E13=1),SUM(INDEX(Model!$K$13:$DE$56,$A13-12,0))+SUM(INDEX(Model!$K$60:$DE$103,$A13-12,0)),0)</f>
        <v>0</v>
      </c>
      <c r="J13" s="357" t="n">
        <v>0</v>
      </c>
      <c r="K13" s="358" t="n">
        <f aca="false">IF(OR($D13=1,$E13=1),J13+IF(AND($D13=1,$O$1=1),0,I13),0)</f>
        <v>0</v>
      </c>
      <c r="L13" s="359" t="n">
        <v>0.5</v>
      </c>
    </row>
    <row r="14" customFormat="false" ht="13.5" hidden="false" customHeight="true" outlineLevel="0" collapsed="false">
      <c r="A14" s="229" t="n">
        <v>23</v>
      </c>
      <c r="B14" s="227" t="s">
        <v>17</v>
      </c>
      <c r="C14" s="227" t="s">
        <v>1171</v>
      </c>
      <c r="D14" s="229" t="n">
        <v>0</v>
      </c>
      <c r="E14" s="229" t="n">
        <v>1</v>
      </c>
      <c r="F14" s="352" t="n">
        <v>0</v>
      </c>
      <c r="G14" s="360" t="n">
        <f aca="false">Retention!$F$12</f>
        <v>28</v>
      </c>
      <c r="H14" s="227" t="s">
        <v>1172</v>
      </c>
      <c r="I14" s="353" t="n">
        <f aca="false">IF(OR($D14=1,$E14=1),SUM(INDEX(Model!$K$13:$DE$56,$A14-12,0))+SUM(INDEX(Model!$K$60:$DE$103,$A14-12,0)),0)</f>
        <v>0</v>
      </c>
      <c r="J14" s="352" t="n">
        <v>0</v>
      </c>
      <c r="K14" s="353" t="n">
        <f aca="false">IF(OR($D14=1,$E14=1),J14+IF(AND($D14=1,$O$1=1),0,I14),0)</f>
        <v>0</v>
      </c>
      <c r="L14" s="354" t="n">
        <v>0.5</v>
      </c>
    </row>
    <row r="15" customFormat="false" ht="13.5" hidden="false" customHeight="true" outlineLevel="0" collapsed="false">
      <c r="A15" s="355" t="n">
        <v>24</v>
      </c>
      <c r="B15" s="356" t="s">
        <v>18</v>
      </c>
      <c r="C15" s="356" t="s">
        <v>1173</v>
      </c>
      <c r="D15" s="355" t="n">
        <v>1</v>
      </c>
      <c r="E15" s="355" t="n">
        <v>0</v>
      </c>
      <c r="F15" s="357" t="n">
        <v>0</v>
      </c>
      <c r="G15" s="361" t="n">
        <f aca="false">Retention!$F$13</f>
        <v>44</v>
      </c>
      <c r="H15" s="1" t="s">
        <v>1174</v>
      </c>
      <c r="I15" s="358" t="n">
        <f aca="false">IF(OR($D15=1,$E15=1),SUM(INDEX(Model!$K$13:$DE$56,$A15-12,0))+SUM(INDEX(Model!$K$60:$DE$103,$A15-12,0)),0)</f>
        <v>0</v>
      </c>
      <c r="J15" s="357" t="n">
        <v>0</v>
      </c>
      <c r="K15" s="358" t="n">
        <f aca="false">IF(OR($D15=1,$E15=1),J15+IF(AND($D15=1,$O$1=1),0,I15),0)</f>
        <v>0</v>
      </c>
      <c r="L15" s="359" t="n">
        <v>0</v>
      </c>
    </row>
    <row r="16" customFormat="false" ht="13.5" hidden="false" customHeight="true" outlineLevel="0" collapsed="false">
      <c r="A16" s="229" t="n">
        <v>25</v>
      </c>
      <c r="B16" s="227" t="s">
        <v>19</v>
      </c>
      <c r="C16" s="227" t="s">
        <v>1173</v>
      </c>
      <c r="D16" s="229" t="n">
        <v>1</v>
      </c>
      <c r="E16" s="229" t="n">
        <v>0</v>
      </c>
      <c r="F16" s="352" t="n">
        <v>0</v>
      </c>
      <c r="G16" s="360" t="n">
        <f aca="false">Retention!$F$14</f>
        <v>56</v>
      </c>
      <c r="H16" s="1" t="s">
        <v>1174</v>
      </c>
      <c r="I16" s="353" t="n">
        <f aca="false">IF(OR($D16=1,$E16=1),SUM(INDEX(Model!$K$13:$DE$56,$A16-12,0))+SUM(INDEX(Model!$K$60:$DE$103,$A16-12,0)),0)</f>
        <v>0</v>
      </c>
      <c r="J16" s="352" t="n">
        <v>0</v>
      </c>
      <c r="K16" s="353" t="n">
        <f aca="false">IF(OR($D16=1,$E16=1),J16+IF(AND($D16=1,$O$1=1),0,I16),0)</f>
        <v>0</v>
      </c>
      <c r="L16" s="354" t="n">
        <v>0</v>
      </c>
    </row>
    <row r="17" customFormat="false" ht="13.5" hidden="false" customHeight="true" outlineLevel="0" collapsed="false">
      <c r="A17" s="355" t="n">
        <v>26</v>
      </c>
      <c r="B17" s="356" t="s">
        <v>20</v>
      </c>
      <c r="C17" s="356" t="s">
        <v>1173</v>
      </c>
      <c r="D17" s="355" t="n">
        <v>1</v>
      </c>
      <c r="E17" s="355" t="n">
        <v>0</v>
      </c>
      <c r="F17" s="357" t="n">
        <v>0</v>
      </c>
      <c r="G17" s="361" t="n">
        <f aca="false">Retention!$F$15</f>
        <v>36</v>
      </c>
      <c r="H17" s="1" t="s">
        <v>1174</v>
      </c>
      <c r="I17" s="358" t="n">
        <f aca="false">IF(OR($D17=1,$E17=1),SUM(INDEX(Model!$K$13:$DE$56,$A17-12,0))+SUM(INDEX(Model!$K$60:$DE$103,$A17-12,0)),0)</f>
        <v>0</v>
      </c>
      <c r="J17" s="357" t="n">
        <v>0</v>
      </c>
      <c r="K17" s="358" t="n">
        <f aca="false">IF(OR($D17=1,$E17=1),J17+IF(AND($D17=1,$O$1=1),0,I17),0)</f>
        <v>0</v>
      </c>
      <c r="L17" s="359" t="n">
        <v>0</v>
      </c>
    </row>
    <row r="18" customFormat="false" ht="13.5" hidden="false" customHeight="true" outlineLevel="0" collapsed="false">
      <c r="A18" s="229" t="n">
        <v>27</v>
      </c>
      <c r="B18" s="227" t="s">
        <v>21</v>
      </c>
      <c r="C18" s="227" t="s">
        <v>1173</v>
      </c>
      <c r="D18" s="229" t="n">
        <v>1</v>
      </c>
      <c r="E18" s="229" t="n">
        <v>0</v>
      </c>
      <c r="F18" s="352" t="n">
        <v>0</v>
      </c>
      <c r="G18" s="360" t="n">
        <f aca="false">Retention!$F$16</f>
        <v>32</v>
      </c>
      <c r="H18" s="1" t="s">
        <v>1174</v>
      </c>
      <c r="I18" s="353" t="n">
        <f aca="false">IF(OR($D18=1,$E18=1),SUM(INDEX(Model!$K$13:$DE$56,$A18-12,0))+SUM(INDEX(Model!$K$60:$DE$103,$A18-12,0)),0)</f>
        <v>0</v>
      </c>
      <c r="J18" s="352" t="n">
        <v>0</v>
      </c>
      <c r="K18" s="353" t="n">
        <f aca="false">IF(OR($D18=1,$E18=1),J18+IF(AND($D18=1,$O$1=1),0,I18),0)</f>
        <v>0</v>
      </c>
      <c r="L18" s="354" t="n">
        <v>0</v>
      </c>
    </row>
    <row r="19" customFormat="false" ht="13.5" hidden="false" customHeight="true" outlineLevel="0" collapsed="false">
      <c r="A19" s="355" t="n">
        <v>28</v>
      </c>
      <c r="B19" s="356" t="s">
        <v>22</v>
      </c>
      <c r="C19" s="356" t="s">
        <v>1173</v>
      </c>
      <c r="D19" s="355" t="n">
        <v>1</v>
      </c>
      <c r="E19" s="355" t="n">
        <v>0</v>
      </c>
      <c r="F19" s="357" t="n">
        <v>0</v>
      </c>
      <c r="G19" s="361" t="n">
        <f aca="false">Retention!$F$17</f>
        <v>30</v>
      </c>
      <c r="H19" s="1" t="s">
        <v>1174</v>
      </c>
      <c r="I19" s="358" t="n">
        <f aca="false">IF(OR($D19=1,$E19=1),SUM(INDEX(Model!$K$13:$DE$56,$A19-12,0))+SUM(INDEX(Model!$K$60:$DE$103,$A19-12,0)),0)</f>
        <v>0</v>
      </c>
      <c r="J19" s="357" t="n">
        <v>0</v>
      </c>
      <c r="K19" s="358" t="n">
        <f aca="false">IF(OR($D19=1,$E19=1),J19+IF(AND($D19=1,$O$1=1),0,I19),0)</f>
        <v>0</v>
      </c>
      <c r="L19" s="359" t="n">
        <v>0</v>
      </c>
    </row>
    <row r="20" customFormat="false" ht="13.5" hidden="false" customHeight="true" outlineLevel="0" collapsed="false">
      <c r="A20" s="229" t="n">
        <v>29</v>
      </c>
      <c r="B20" s="227" t="s">
        <v>23</v>
      </c>
      <c r="C20" s="227" t="s">
        <v>1171</v>
      </c>
      <c r="D20" s="229" t="n">
        <v>0</v>
      </c>
      <c r="E20" s="229" t="n">
        <v>1</v>
      </c>
      <c r="F20" s="352" t="n">
        <v>0</v>
      </c>
      <c r="G20" s="360" t="n">
        <f aca="false">Retention!$F$18</f>
        <v>42</v>
      </c>
      <c r="H20" s="227" t="s">
        <v>1172</v>
      </c>
      <c r="I20" s="353" t="n">
        <f aca="false">IF(OR($D20=1,$E20=1),SUM(INDEX(Model!$K$13:$DE$56,$A20-12,0))+SUM(INDEX(Model!$K$60:$DE$103,$A20-12,0)),0)</f>
        <v>0</v>
      </c>
      <c r="J20" s="352" t="n">
        <v>0</v>
      </c>
      <c r="K20" s="353" t="n">
        <f aca="false">IF(OR($D20=1,$E20=1),J20+IF(AND($D20=1,$O$1=1),0,I20),0)</f>
        <v>0</v>
      </c>
      <c r="L20" s="354" t="n">
        <v>0.5</v>
      </c>
    </row>
    <row r="21" customFormat="false" ht="13.5" hidden="false" customHeight="true" outlineLevel="0" collapsed="false">
      <c r="A21" s="355" t="n">
        <v>30</v>
      </c>
      <c r="B21" s="356" t="s">
        <v>24</v>
      </c>
      <c r="C21" s="356" t="s">
        <v>1171</v>
      </c>
      <c r="D21" s="355" t="n">
        <v>0</v>
      </c>
      <c r="E21" s="355" t="n">
        <v>1</v>
      </c>
      <c r="F21" s="357" t="n">
        <v>0</v>
      </c>
      <c r="G21" s="361" t="n">
        <f aca="false">Retention!$F$19</f>
        <v>28</v>
      </c>
      <c r="H21" s="356" t="s">
        <v>1172</v>
      </c>
      <c r="I21" s="358" t="n">
        <f aca="false">IF(OR($D21=1,$E21=1),SUM(INDEX(Model!$K$13:$DE$56,$A21-12,0))+SUM(INDEX(Model!$K$60:$DE$103,$A21-12,0)),0)</f>
        <v>0</v>
      </c>
      <c r="J21" s="357" t="n">
        <v>0</v>
      </c>
      <c r="K21" s="358" t="n">
        <f aca="false">IF(OR($D21=1,$E21=1),J21+IF(AND($D21=1,$O$1=1),0,I21),0)</f>
        <v>0</v>
      </c>
      <c r="L21" s="359" t="n">
        <v>0.5</v>
      </c>
    </row>
    <row r="22" customFormat="false" ht="13.5" hidden="false" customHeight="true" outlineLevel="0" collapsed="false">
      <c r="A22" s="229" t="n">
        <v>31</v>
      </c>
      <c r="B22" s="227" t="s">
        <v>25</v>
      </c>
      <c r="C22" s="227" t="s">
        <v>1173</v>
      </c>
      <c r="D22" s="229" t="n">
        <v>1</v>
      </c>
      <c r="E22" s="229" t="n">
        <v>0</v>
      </c>
      <c r="F22" s="352" t="n">
        <v>0</v>
      </c>
      <c r="G22" s="360" t="n">
        <f aca="false">Retention!$F$20</f>
        <v>37</v>
      </c>
      <c r="H22" s="227" t="s">
        <v>1174</v>
      </c>
      <c r="I22" s="353" t="n">
        <f aca="false">IF(OR($D22=1,$E22=1),SUM(INDEX(Model!$K$13:$DE$56,$A22-12,0))+SUM(INDEX(Model!$K$60:$DE$103,$A22-12,0)),0)</f>
        <v>0</v>
      </c>
      <c r="J22" s="352" t="n">
        <v>0</v>
      </c>
      <c r="K22" s="353" t="n">
        <f aca="false">IF(OR($D22=1,$E22=1),J22+IF(AND($D22=1,$O$1=1),0,I22),0)</f>
        <v>0</v>
      </c>
      <c r="L22" s="354" t="n">
        <v>0</v>
      </c>
    </row>
    <row r="23" customFormat="false" ht="13.5" hidden="false" customHeight="true" outlineLevel="0" collapsed="false">
      <c r="A23" s="355" t="n">
        <v>32</v>
      </c>
      <c r="B23" s="356" t="s">
        <v>26</v>
      </c>
      <c r="C23" s="356" t="s">
        <v>1173</v>
      </c>
      <c r="D23" s="355" t="n">
        <v>1</v>
      </c>
      <c r="E23" s="355" t="n">
        <v>0</v>
      </c>
      <c r="F23" s="357" t="n">
        <v>0</v>
      </c>
      <c r="G23" s="361" t="n">
        <f aca="false">Retention!$F$21</f>
        <v>52</v>
      </c>
      <c r="H23" s="356" t="s">
        <v>1174</v>
      </c>
      <c r="I23" s="358" t="n">
        <f aca="false">IF(OR($D23=1,$E23=1),SUM(INDEX(Model!$K$13:$DE$56,$A23-12,0))+SUM(INDEX(Model!$K$60:$DE$103,$A23-12,0)),0)</f>
        <v>0</v>
      </c>
      <c r="J23" s="357" t="n">
        <v>0</v>
      </c>
      <c r="K23" s="358" t="n">
        <f aca="false">IF(OR($D23=1,$E23=1),J23+IF(AND($D23=1,$O$1=1),0,I23),0)</f>
        <v>0</v>
      </c>
      <c r="L23" s="359" t="n">
        <v>0</v>
      </c>
    </row>
    <row r="24" customFormat="false" ht="13.5" hidden="false" customHeight="true" outlineLevel="0" collapsed="false">
      <c r="A24" s="229" t="n">
        <v>33</v>
      </c>
      <c r="B24" s="227" t="s">
        <v>27</v>
      </c>
      <c r="C24" s="227" t="s">
        <v>1173</v>
      </c>
      <c r="D24" s="229" t="n">
        <v>1</v>
      </c>
      <c r="E24" s="229" t="n">
        <v>0</v>
      </c>
      <c r="F24" s="352" t="n">
        <v>0</v>
      </c>
      <c r="G24" s="360" t="n">
        <f aca="false">Retention!$F$22</f>
        <v>55</v>
      </c>
      <c r="H24" s="227" t="s">
        <v>1174</v>
      </c>
      <c r="I24" s="353" t="n">
        <f aca="false">IF(OR($D24=1,$E24=1),SUM(INDEX(Model!$K$13:$DE$56,$A24-12,0))+SUM(INDEX(Model!$K$60:$DE$103,$A24-12,0)),0)</f>
        <v>0</v>
      </c>
      <c r="J24" s="352" t="n">
        <v>0</v>
      </c>
      <c r="K24" s="353" t="n">
        <f aca="false">IF(OR($D24=1,$E24=1),J24+IF(AND($D24=1,$O$1=1),0,I24),0)</f>
        <v>0</v>
      </c>
      <c r="L24" s="354" t="n">
        <v>0</v>
      </c>
    </row>
    <row r="25" customFormat="false" ht="13.5" hidden="false" customHeight="true" outlineLevel="0" collapsed="false">
      <c r="A25" s="355" t="n">
        <v>34</v>
      </c>
      <c r="B25" s="356" t="s">
        <v>28</v>
      </c>
      <c r="C25" s="356" t="s">
        <v>1173</v>
      </c>
      <c r="D25" s="355" t="n">
        <v>1</v>
      </c>
      <c r="E25" s="355" t="n">
        <v>0</v>
      </c>
      <c r="F25" s="357" t="n">
        <v>0</v>
      </c>
      <c r="G25" s="361" t="n">
        <f aca="false">Retention!$F$23</f>
        <v>58</v>
      </c>
      <c r="H25" s="356" t="s">
        <v>1174</v>
      </c>
      <c r="I25" s="358" t="n">
        <f aca="false">IF(OR($D25=1,$E25=1),SUM(INDEX(Model!$K$13:$DE$56,$A25-12,0))+SUM(INDEX(Model!$K$60:$DE$103,$A25-12,0)),0)</f>
        <v>0</v>
      </c>
      <c r="J25" s="357" t="n">
        <v>0</v>
      </c>
      <c r="K25" s="358" t="n">
        <f aca="false">IF(OR($D25=1,$E25=1),J25+IF(AND($D25=1,$O$1=1),0,I25),0)</f>
        <v>0</v>
      </c>
      <c r="L25" s="359" t="n">
        <v>0</v>
      </c>
    </row>
    <row r="26" customFormat="false" ht="13.5" hidden="false" customHeight="true" outlineLevel="0" collapsed="false">
      <c r="A26" s="229" t="n">
        <v>35</v>
      </c>
      <c r="B26" s="227" t="s">
        <v>29</v>
      </c>
      <c r="C26" s="227" t="s">
        <v>1173</v>
      </c>
      <c r="D26" s="229" t="n">
        <v>1</v>
      </c>
      <c r="E26" s="229" t="n">
        <v>0</v>
      </c>
      <c r="F26" s="352" t="n">
        <v>0</v>
      </c>
      <c r="G26" s="360" t="n">
        <f aca="false">Retention!$F$24</f>
        <v>60</v>
      </c>
      <c r="H26" s="227" t="s">
        <v>1174</v>
      </c>
      <c r="I26" s="353" t="n">
        <f aca="false">IF(OR($D26=1,$E26=1),SUM(INDEX(Model!$K$13:$DE$56,$A26-12,0))+SUM(INDEX(Model!$K$60:$DE$103,$A26-12,0)),0)</f>
        <v>0</v>
      </c>
      <c r="J26" s="352" t="n">
        <v>0</v>
      </c>
      <c r="K26" s="353" t="n">
        <f aca="false">IF(OR($D26=1,$E26=1),J26+IF(AND($D26=1,$O$1=1),0,I26),0)</f>
        <v>0</v>
      </c>
      <c r="L26" s="354" t="n">
        <v>0</v>
      </c>
    </row>
    <row r="27" customFormat="false" ht="13.5" hidden="false" customHeight="true" outlineLevel="0" collapsed="false">
      <c r="A27" s="355" t="n">
        <v>36</v>
      </c>
      <c r="B27" s="356" t="s">
        <v>30</v>
      </c>
      <c r="C27" s="356" t="s">
        <v>1173</v>
      </c>
      <c r="D27" s="355" t="n">
        <v>1</v>
      </c>
      <c r="E27" s="355" t="n">
        <v>0</v>
      </c>
      <c r="F27" s="357" t="n">
        <v>0</v>
      </c>
      <c r="G27" s="361" t="n">
        <f aca="false">Retention!$F$25</f>
        <v>62</v>
      </c>
      <c r="H27" s="356" t="s">
        <v>1174</v>
      </c>
      <c r="I27" s="358" t="n">
        <f aca="false">IF(OR($D27=1,$E27=1),SUM(INDEX(Model!$K$13:$DE$56,$A27-12,0))+SUM(INDEX(Model!$K$60:$DE$103,$A27-12,0)),0)</f>
        <v>0</v>
      </c>
      <c r="J27" s="357" t="n">
        <v>0</v>
      </c>
      <c r="K27" s="358" t="n">
        <f aca="false">IF(OR($D27=1,$E27=1),J27+IF(AND($D27=1,$O$1=1),0,I27),0)</f>
        <v>0</v>
      </c>
      <c r="L27" s="359" t="n">
        <v>0</v>
      </c>
    </row>
    <row r="28" customFormat="false" ht="13.5" hidden="false" customHeight="true" outlineLevel="0" collapsed="false">
      <c r="A28" s="229" t="n">
        <v>37</v>
      </c>
      <c r="B28" s="227" t="s">
        <v>31</v>
      </c>
      <c r="C28" s="227" t="s">
        <v>1173</v>
      </c>
      <c r="D28" s="229" t="n">
        <v>1</v>
      </c>
      <c r="E28" s="229" t="n">
        <v>0</v>
      </c>
      <c r="F28" s="352" t="n">
        <v>0</v>
      </c>
      <c r="G28" s="360" t="n">
        <f aca="false">Retention!$F$26</f>
        <v>64</v>
      </c>
      <c r="H28" s="227" t="s">
        <v>1174</v>
      </c>
      <c r="I28" s="353" t="n">
        <f aca="false">IF(OR($D28=1,$E28=1),SUM(INDEX(Model!$K$13:$DE$56,$A28-12,0))+SUM(INDEX(Model!$K$60:$DE$103,$A28-12,0)),0)</f>
        <v>0</v>
      </c>
      <c r="J28" s="352" t="n">
        <v>0</v>
      </c>
      <c r="K28" s="353" t="n">
        <f aca="false">IF(OR($D28=1,$E28=1),J28+IF(AND($D28=1,$O$1=1),0,I28),0)</f>
        <v>0</v>
      </c>
      <c r="L28" s="354" t="n">
        <v>0</v>
      </c>
    </row>
    <row r="29" customFormat="false" ht="13.5" hidden="false" customHeight="true" outlineLevel="0" collapsed="false">
      <c r="A29" s="355" t="n">
        <v>38</v>
      </c>
      <c r="B29" s="356" t="s">
        <v>32</v>
      </c>
      <c r="C29" s="356" t="s">
        <v>1173</v>
      </c>
      <c r="D29" s="355" t="n">
        <v>1</v>
      </c>
      <c r="E29" s="355" t="n">
        <v>0</v>
      </c>
      <c r="F29" s="357" t="n">
        <v>0</v>
      </c>
      <c r="G29" s="361" t="n">
        <f aca="false">Retention!$F$27</f>
        <v>66</v>
      </c>
      <c r="H29" s="356" t="s">
        <v>1174</v>
      </c>
      <c r="I29" s="358" t="n">
        <f aca="false">IF(OR($D29=1,$E29=1),SUM(INDEX(Model!$K$13:$DE$56,$A29-12,0))+SUM(INDEX(Model!$K$60:$DE$103,$A29-12,0)),0)</f>
        <v>0</v>
      </c>
      <c r="J29" s="357" t="n">
        <v>0</v>
      </c>
      <c r="K29" s="358" t="n">
        <f aca="false">IF(OR($D29=1,$E29=1),J29+IF(AND($D29=1,$O$1=1),0,I29),0)</f>
        <v>0</v>
      </c>
      <c r="L29" s="359" t="n">
        <v>0</v>
      </c>
    </row>
    <row r="30" customFormat="false" ht="13.5" hidden="false" customHeight="true" outlineLevel="0" collapsed="false">
      <c r="A30" s="229" t="n">
        <v>39</v>
      </c>
      <c r="B30" s="227" t="s">
        <v>33</v>
      </c>
      <c r="C30" s="227" t="s">
        <v>1173</v>
      </c>
      <c r="D30" s="229" t="n">
        <v>1</v>
      </c>
      <c r="E30" s="229" t="n">
        <v>0</v>
      </c>
      <c r="F30" s="352" t="n">
        <v>0</v>
      </c>
      <c r="G30" s="360" t="n">
        <f aca="false">Retention!$F$28</f>
        <v>68</v>
      </c>
      <c r="H30" s="227" t="s">
        <v>1174</v>
      </c>
      <c r="I30" s="353" t="n">
        <f aca="false">IF(OR($D30=1,$E30=1),SUM(INDEX(Model!$K$13:$DE$56,$A30-12,0))+SUM(INDEX(Model!$K$60:$DE$103,$A30-12,0)),0)</f>
        <v>0</v>
      </c>
      <c r="J30" s="352" t="n">
        <v>0</v>
      </c>
      <c r="K30" s="353" t="n">
        <f aca="false">IF(OR($D30=1,$E30=1),J30+IF(AND($D30=1,$O$1=1),0,I30),0)</f>
        <v>0</v>
      </c>
      <c r="L30" s="354" t="n">
        <v>0</v>
      </c>
    </row>
    <row r="31" customFormat="false" ht="13.5" hidden="false" customHeight="true" outlineLevel="0" collapsed="false">
      <c r="A31" s="355" t="n">
        <v>40</v>
      </c>
      <c r="B31" s="356" t="s">
        <v>34</v>
      </c>
      <c r="C31" s="356" t="s">
        <v>1173</v>
      </c>
      <c r="D31" s="355" t="n">
        <v>1</v>
      </c>
      <c r="E31" s="355" t="n">
        <v>0</v>
      </c>
      <c r="F31" s="357" t="n">
        <v>0</v>
      </c>
      <c r="G31" s="361" t="n">
        <f aca="false">Retention!$F$29</f>
        <v>70</v>
      </c>
      <c r="H31" s="356" t="s">
        <v>1174</v>
      </c>
      <c r="I31" s="358" t="n">
        <f aca="false">IF(OR($D31=1,$E31=1),SUM(INDEX(Model!$K$13:$DE$56,$A31-12,0))+SUM(INDEX(Model!$K$60:$DE$103,$A31-12,0)),0)</f>
        <v>0</v>
      </c>
      <c r="J31" s="357" t="n">
        <v>0</v>
      </c>
      <c r="K31" s="358" t="n">
        <f aca="false">IF(OR($D31=1,$E31=1),J31+IF(AND($D31=1,$O$1=1),0,I31),0)</f>
        <v>0</v>
      </c>
      <c r="L31" s="359" t="n">
        <v>0</v>
      </c>
    </row>
    <row r="32" customFormat="false" ht="13.5" hidden="false" customHeight="true" outlineLevel="0" collapsed="false">
      <c r="A32" s="229" t="n">
        <v>41</v>
      </c>
      <c r="B32" s="227" t="s">
        <v>35</v>
      </c>
      <c r="C32" s="227" t="s">
        <v>1173</v>
      </c>
      <c r="D32" s="229" t="n">
        <v>1</v>
      </c>
      <c r="E32" s="229" t="n">
        <v>0</v>
      </c>
      <c r="F32" s="352" t="n">
        <v>0</v>
      </c>
      <c r="G32" s="360" t="n">
        <f aca="false">Retention!$F$30</f>
        <v>72</v>
      </c>
      <c r="H32" s="227" t="s">
        <v>1174</v>
      </c>
      <c r="I32" s="353" t="n">
        <f aca="false">IF(OR($D32=1,$E32=1),SUM(INDEX(Model!$K$13:$DE$56,$A32-12,0))+SUM(INDEX(Model!$K$60:$DE$103,$A32-12,0)),0)</f>
        <v>0</v>
      </c>
      <c r="J32" s="352" t="n">
        <v>0</v>
      </c>
      <c r="K32" s="353" t="n">
        <f aca="false">IF(OR($D32=1,$E32=1),J32+IF(AND($D32=1,$O$1=1),0,I32),0)</f>
        <v>0</v>
      </c>
      <c r="L32" s="354" t="n">
        <v>0</v>
      </c>
    </row>
    <row r="33" customFormat="false" ht="13.5" hidden="false" customHeight="true" outlineLevel="0" collapsed="false">
      <c r="A33" s="355" t="n">
        <v>42</v>
      </c>
      <c r="B33" s="356" t="s">
        <v>36</v>
      </c>
      <c r="C33" s="356" t="s">
        <v>1173</v>
      </c>
      <c r="D33" s="355" t="n">
        <v>1</v>
      </c>
      <c r="E33" s="355" t="n">
        <v>0</v>
      </c>
      <c r="F33" s="357" t="n">
        <v>0</v>
      </c>
      <c r="G33" s="361" t="n">
        <f aca="false">Retention!$F$31</f>
        <v>74</v>
      </c>
      <c r="H33" s="356" t="s">
        <v>1174</v>
      </c>
      <c r="I33" s="358" t="n">
        <f aca="false">IF(OR($D33=1,$E33=1),SUM(INDEX(Model!$K$13:$DE$56,$A33-12,0))+SUM(INDEX(Model!$K$60:$DE$103,$A33-12,0)),0)</f>
        <v>0</v>
      </c>
      <c r="J33" s="357" t="n">
        <v>0</v>
      </c>
      <c r="K33" s="358" t="n">
        <f aca="false">IF(OR($D33=1,$E33=1),J33+IF(AND($D33=1,$O$1=1),0,I33),0)</f>
        <v>0</v>
      </c>
      <c r="L33" s="359" t="n">
        <v>0</v>
      </c>
    </row>
    <row r="34" customFormat="false" ht="13.5" hidden="false" customHeight="true" outlineLevel="0" collapsed="false">
      <c r="A34" s="229" t="n">
        <v>43</v>
      </c>
      <c r="B34" s="227" t="s">
        <v>37</v>
      </c>
      <c r="C34" s="227" t="s">
        <v>1173</v>
      </c>
      <c r="D34" s="229" t="n">
        <v>1</v>
      </c>
      <c r="E34" s="229" t="n">
        <v>0</v>
      </c>
      <c r="F34" s="352" t="n">
        <v>0</v>
      </c>
      <c r="G34" s="360" t="n">
        <f aca="false">Retention!$F$32</f>
        <v>76</v>
      </c>
      <c r="H34" s="227" t="s">
        <v>1174</v>
      </c>
      <c r="I34" s="353" t="n">
        <f aca="false">IF(OR($D34=1,$E34=1),SUM(INDEX(Model!$K$13:$DE$56,$A34-12,0))+SUM(INDEX(Model!$K$60:$DE$103,$A34-12,0)),0)</f>
        <v>0</v>
      </c>
      <c r="J34" s="352" t="n">
        <v>0</v>
      </c>
      <c r="K34" s="353" t="n">
        <f aca="false">IF(OR($D34=1,$E34=1),J34+IF(AND($D34=1,$O$1=1),0,I34),0)</f>
        <v>0</v>
      </c>
      <c r="L34" s="354" t="n">
        <v>0</v>
      </c>
    </row>
    <row r="35" customFormat="false" ht="13.5" hidden="false" customHeight="true" outlineLevel="0" collapsed="false">
      <c r="A35" s="355" t="n">
        <v>44</v>
      </c>
      <c r="B35" s="356" t="s">
        <v>38</v>
      </c>
      <c r="C35" s="356" t="s">
        <v>1173</v>
      </c>
      <c r="D35" s="355" t="n">
        <v>1</v>
      </c>
      <c r="E35" s="355" t="n">
        <v>0</v>
      </c>
      <c r="F35" s="357" t="n">
        <v>0</v>
      </c>
      <c r="G35" s="361" t="n">
        <f aca="false">Retention!$F$33</f>
        <v>78</v>
      </c>
      <c r="H35" s="356" t="s">
        <v>1174</v>
      </c>
      <c r="I35" s="358" t="n">
        <f aca="false">IF(OR($D35=1,$E35=1),SUM(INDEX(Model!$K$13:$DE$56,$A35-12,0))+SUM(INDEX(Model!$K$60:$DE$103,$A35-12,0)),0)</f>
        <v>0</v>
      </c>
      <c r="J35" s="357" t="n">
        <v>0</v>
      </c>
      <c r="K35" s="358" t="n">
        <f aca="false">IF(OR($D35=1,$E35=1),J35+IF(AND($D35=1,$O$1=1),0,I35),0)</f>
        <v>0</v>
      </c>
      <c r="L35" s="359" t="n">
        <v>0</v>
      </c>
    </row>
    <row r="36" customFormat="false" ht="13.5" hidden="false" customHeight="true" outlineLevel="0" collapsed="false">
      <c r="A36" s="229" t="n">
        <v>45</v>
      </c>
      <c r="B36" s="227" t="s">
        <v>39</v>
      </c>
      <c r="C36" s="227" t="s">
        <v>1173</v>
      </c>
      <c r="D36" s="229" t="n">
        <v>1</v>
      </c>
      <c r="E36" s="229" t="n">
        <v>0</v>
      </c>
      <c r="F36" s="352" t="n">
        <v>0</v>
      </c>
      <c r="G36" s="360" t="n">
        <f aca="false">Retention!$F$34</f>
        <v>80</v>
      </c>
      <c r="H36" s="227" t="s">
        <v>1174</v>
      </c>
      <c r="I36" s="353" t="n">
        <f aca="false">IF(OR($D36=1,$E36=1),SUM(INDEX(Model!$K$13:$DE$56,$A36-12,0))+SUM(INDEX(Model!$K$60:$DE$103,$A36-12,0)),0)</f>
        <v>0</v>
      </c>
      <c r="J36" s="352" t="n">
        <v>0</v>
      </c>
      <c r="K36" s="353" t="n">
        <f aca="false">IF(OR($D36=1,$E36=1),J36+IF(AND($D36=1,$O$1=1),0,I36),0)</f>
        <v>0</v>
      </c>
      <c r="L36" s="354" t="n">
        <v>0</v>
      </c>
    </row>
    <row r="37" customFormat="false" ht="13.5" hidden="false" customHeight="true" outlineLevel="0" collapsed="false">
      <c r="A37" s="355" t="n">
        <v>46</v>
      </c>
      <c r="B37" s="356" t="s">
        <v>40</v>
      </c>
      <c r="C37" s="356" t="s">
        <v>1173</v>
      </c>
      <c r="D37" s="355" t="n">
        <v>1</v>
      </c>
      <c r="E37" s="355" t="n">
        <v>0</v>
      </c>
      <c r="F37" s="357" t="n">
        <v>0</v>
      </c>
      <c r="G37" s="361" t="n">
        <f aca="false">Retention!$F$35</f>
        <v>82</v>
      </c>
      <c r="H37" s="356" t="s">
        <v>1174</v>
      </c>
      <c r="I37" s="358" t="n">
        <f aca="false">IF(OR($D37=1,$E37=1),SUM(INDEX(Model!$K$13:$DE$56,$A37-12,0))+SUM(INDEX(Model!$K$60:$DE$103,$A37-12,0)),0)</f>
        <v>0</v>
      </c>
      <c r="J37" s="357" t="n">
        <v>0</v>
      </c>
      <c r="K37" s="358" t="n">
        <f aca="false">IF(OR($D37=1,$E37=1),J37+IF(AND($D37=1,$O$1=1),0,I37),0)</f>
        <v>0</v>
      </c>
      <c r="L37" s="359" t="n">
        <v>0</v>
      </c>
    </row>
    <row r="38" customFormat="false" ht="13.5" hidden="false" customHeight="true" outlineLevel="0" collapsed="false">
      <c r="A38" s="229" t="n">
        <v>47</v>
      </c>
      <c r="B38" s="227" t="s">
        <v>41</v>
      </c>
      <c r="C38" s="227" t="s">
        <v>1173</v>
      </c>
      <c r="D38" s="229" t="n">
        <v>1</v>
      </c>
      <c r="E38" s="229" t="n">
        <v>0</v>
      </c>
      <c r="F38" s="352" t="n">
        <v>0</v>
      </c>
      <c r="G38" s="360" t="n">
        <f aca="false">Retention!$F$36</f>
        <v>84</v>
      </c>
      <c r="H38" s="227" t="s">
        <v>1174</v>
      </c>
      <c r="I38" s="353" t="n">
        <f aca="false">IF(OR($D38=1,$E38=1),SUM(INDEX(Model!$K$13:$DE$56,$A38-12,0))+SUM(INDEX(Model!$K$60:$DE$103,$A38-12,0)),0)</f>
        <v>0</v>
      </c>
      <c r="J38" s="352" t="n">
        <v>0</v>
      </c>
      <c r="K38" s="353" t="n">
        <f aca="false">IF(OR($D38=1,$E38=1),J38+IF(AND($D38=1,$O$1=1),0,I38),0)</f>
        <v>0</v>
      </c>
      <c r="L38" s="354" t="n">
        <v>0</v>
      </c>
    </row>
    <row r="39" customFormat="false" ht="13.5" hidden="false" customHeight="true" outlineLevel="0" collapsed="false">
      <c r="A39" s="355" t="n">
        <v>48</v>
      </c>
      <c r="B39" s="356" t="s">
        <v>42</v>
      </c>
      <c r="C39" s="356" t="s">
        <v>1173</v>
      </c>
      <c r="D39" s="355" t="n">
        <v>1</v>
      </c>
      <c r="E39" s="355" t="n">
        <v>0</v>
      </c>
      <c r="F39" s="357" t="n">
        <v>0</v>
      </c>
      <c r="G39" s="361" t="n">
        <f aca="false">Retention!$F$37</f>
        <v>86</v>
      </c>
      <c r="H39" s="356" t="s">
        <v>1174</v>
      </c>
      <c r="I39" s="358" t="n">
        <f aca="false">IF(OR($D39=1,$E39=1),SUM(INDEX(Model!$K$13:$DE$56,$A39-12,0))+SUM(INDEX(Model!$K$60:$DE$103,$A39-12,0)),0)</f>
        <v>0</v>
      </c>
      <c r="J39" s="357" t="n">
        <v>0</v>
      </c>
      <c r="K39" s="358" t="n">
        <f aca="false">IF(OR($D39=1,$E39=1),J39+IF(AND($D39=1,$O$1=1),0,I39),0)</f>
        <v>0</v>
      </c>
      <c r="L39" s="359" t="n">
        <v>0</v>
      </c>
    </row>
    <row r="40" customFormat="false" ht="13.5" hidden="false" customHeight="true" outlineLevel="0" collapsed="false">
      <c r="A40" s="229" t="n">
        <v>49</v>
      </c>
      <c r="B40" s="227" t="s">
        <v>43</v>
      </c>
      <c r="C40" s="227" t="s">
        <v>1173</v>
      </c>
      <c r="D40" s="229" t="n">
        <v>1</v>
      </c>
      <c r="E40" s="229" t="n">
        <v>0</v>
      </c>
      <c r="F40" s="352" t="n">
        <v>0</v>
      </c>
      <c r="G40" s="360" t="n">
        <f aca="false">Retention!$F$38</f>
        <v>88</v>
      </c>
      <c r="H40" s="227" t="s">
        <v>1174</v>
      </c>
      <c r="I40" s="353" t="n">
        <f aca="false">IF(OR($D40=1,$E40=1),SUM(INDEX(Model!$K$13:$DE$56,$A40-12,0))+SUM(INDEX(Model!$K$60:$DE$103,$A40-12,0)),0)</f>
        <v>0</v>
      </c>
      <c r="J40" s="352" t="n">
        <v>0</v>
      </c>
      <c r="K40" s="353" t="n">
        <f aca="false">IF(OR($D40=1,$E40=1),J40+IF(AND($D40=1,$O$1=1),0,I40),0)</f>
        <v>0</v>
      </c>
      <c r="L40" s="354" t="n">
        <v>0</v>
      </c>
    </row>
    <row r="41" customFormat="false" ht="13.5" hidden="false" customHeight="true" outlineLevel="0" collapsed="false">
      <c r="A41" s="355" t="n">
        <v>50</v>
      </c>
      <c r="B41" s="356" t="s">
        <v>44</v>
      </c>
      <c r="C41" s="356" t="s">
        <v>1173</v>
      </c>
      <c r="D41" s="355" t="n">
        <v>1</v>
      </c>
      <c r="E41" s="355" t="n">
        <v>0</v>
      </c>
      <c r="F41" s="357" t="n">
        <v>0</v>
      </c>
      <c r="G41" s="361" t="n">
        <f aca="false">Retention!$F$39</f>
        <v>90</v>
      </c>
      <c r="H41" s="356" t="s">
        <v>1174</v>
      </c>
      <c r="I41" s="358" t="n">
        <f aca="false">IF(OR($D41=1,$E41=1),SUM(INDEX(Model!$K$13:$DE$56,$A41-12,0))+SUM(INDEX(Model!$K$60:$DE$103,$A41-12,0)),0)</f>
        <v>0</v>
      </c>
      <c r="J41" s="357" t="n">
        <v>0</v>
      </c>
      <c r="K41" s="358" t="n">
        <f aca="false">IF(OR($D41=1,$E41=1),J41+IF(AND($D41=1,$O$1=1),0,I41),0)</f>
        <v>0</v>
      </c>
      <c r="L41" s="359" t="n">
        <v>0</v>
      </c>
    </row>
    <row r="42" customFormat="false" ht="13.5" hidden="false" customHeight="true" outlineLevel="0" collapsed="false">
      <c r="A42" s="229" t="n">
        <v>51</v>
      </c>
      <c r="B42" s="227" t="s">
        <v>45</v>
      </c>
      <c r="C42" s="227" t="s">
        <v>1173</v>
      </c>
      <c r="D42" s="229" t="n">
        <v>1</v>
      </c>
      <c r="E42" s="229" t="n">
        <v>0</v>
      </c>
      <c r="F42" s="352" t="n">
        <v>0</v>
      </c>
      <c r="G42" s="360" t="n">
        <f aca="false">Retention!$F$40</f>
        <v>92</v>
      </c>
      <c r="H42" s="227" t="s">
        <v>1174</v>
      </c>
      <c r="I42" s="353" t="n">
        <f aca="false">IF(OR($D42=1,$E42=1),SUM(INDEX(Model!$K$13:$DE$56,$A42-12,0))+SUM(INDEX(Model!$K$60:$DE$103,$A42-12,0)),0)</f>
        <v>0</v>
      </c>
      <c r="J42" s="352" t="n">
        <v>0</v>
      </c>
      <c r="K42" s="353" t="n">
        <f aca="false">IF(OR($D42=1,$E42=1),J42+IF(AND($D42=1,$O$1=1),0,I42),0)</f>
        <v>0</v>
      </c>
      <c r="L42" s="354" t="n">
        <v>0</v>
      </c>
    </row>
    <row r="43" customFormat="false" ht="13.5" hidden="false" customHeight="true" outlineLevel="0" collapsed="false">
      <c r="A43" s="355" t="n">
        <v>52</v>
      </c>
      <c r="B43" s="356" t="s">
        <v>46</v>
      </c>
      <c r="C43" s="356" t="s">
        <v>1173</v>
      </c>
      <c r="D43" s="355" t="n">
        <v>1</v>
      </c>
      <c r="E43" s="355" t="n">
        <v>0</v>
      </c>
      <c r="F43" s="357" t="n">
        <v>0</v>
      </c>
      <c r="G43" s="361" t="n">
        <f aca="false">Retention!$F$41</f>
        <v>94</v>
      </c>
      <c r="H43" s="356" t="s">
        <v>1174</v>
      </c>
      <c r="I43" s="358" t="n">
        <f aca="false">IF(OR($D43=1,$E43=1),SUM(INDEX(Model!$K$13:$DE$56,$A43-12,0))+SUM(INDEX(Model!$K$60:$DE$103,$A43-12,0)),0)</f>
        <v>0</v>
      </c>
      <c r="J43" s="357" t="n">
        <v>0</v>
      </c>
      <c r="K43" s="358" t="n">
        <f aca="false">IF(OR($D43=1,$E43=1),J43+IF(AND($D43=1,$O$1=1),0,I43),0)</f>
        <v>0</v>
      </c>
      <c r="L43" s="359" t="n">
        <v>0</v>
      </c>
    </row>
    <row r="44" customFormat="false" ht="13.5" hidden="false" customHeight="true" outlineLevel="0" collapsed="false">
      <c r="A44" s="229" t="n">
        <v>53</v>
      </c>
      <c r="B44" s="227" t="s">
        <v>47</v>
      </c>
      <c r="C44" s="227" t="s">
        <v>1173</v>
      </c>
      <c r="D44" s="229" t="n">
        <v>1</v>
      </c>
      <c r="E44" s="229" t="n">
        <v>0</v>
      </c>
      <c r="F44" s="352" t="n">
        <v>0</v>
      </c>
      <c r="G44" s="360" t="n">
        <f aca="false">Retention!$F$42</f>
        <v>96</v>
      </c>
      <c r="H44" s="227" t="s">
        <v>1174</v>
      </c>
      <c r="I44" s="353" t="n">
        <f aca="false">IF(OR($D44=1,$E44=1),SUM(INDEX(Model!$K$13:$DE$56,$A44-12,0))+SUM(INDEX(Model!$K$60:$DE$103,$A44-12,0)),0)</f>
        <v>0</v>
      </c>
      <c r="J44" s="352" t="n">
        <v>0</v>
      </c>
      <c r="K44" s="353" t="n">
        <f aca="false">IF(OR($D44=1,$E44=1),J44+IF(AND($D44=1,$O$1=1),0,I44),0)</f>
        <v>0</v>
      </c>
      <c r="L44" s="354" t="n">
        <v>0</v>
      </c>
    </row>
    <row r="45" customFormat="false" ht="13.5" hidden="false" customHeight="true" outlineLevel="0" collapsed="false">
      <c r="A45" s="355" t="n">
        <v>54</v>
      </c>
      <c r="B45" s="356" t="s">
        <v>48</v>
      </c>
      <c r="C45" s="356" t="s">
        <v>1173</v>
      </c>
      <c r="D45" s="355" t="n">
        <v>1</v>
      </c>
      <c r="E45" s="355" t="n">
        <v>0</v>
      </c>
      <c r="F45" s="357" t="n">
        <v>0</v>
      </c>
      <c r="G45" s="361" t="n">
        <f aca="false">Retention!$F$43</f>
        <v>98</v>
      </c>
      <c r="H45" s="356" t="s">
        <v>1174</v>
      </c>
      <c r="I45" s="358" t="n">
        <f aca="false">IF(OR($D45=1,$E45=1),SUM(INDEX(Model!$K$13:$DE$56,$A45-12,0))+SUM(INDEX(Model!$K$60:$DE$103,$A45-12,0)),0)</f>
        <v>0</v>
      </c>
      <c r="J45" s="357" t="n">
        <v>0</v>
      </c>
      <c r="K45" s="358" t="n">
        <f aca="false">IF(OR($D45=1,$E45=1),J45+IF(AND($D45=1,$O$1=1),0,I45),0)</f>
        <v>0</v>
      </c>
      <c r="L45" s="359" t="n">
        <v>0</v>
      </c>
    </row>
    <row r="46" customFormat="false" ht="13.5" hidden="false" customHeight="true" outlineLevel="0" collapsed="false">
      <c r="A46" s="229" t="n">
        <v>55</v>
      </c>
      <c r="B46" s="227" t="s">
        <v>49</v>
      </c>
      <c r="C46" s="227" t="s">
        <v>1173</v>
      </c>
      <c r="D46" s="229" t="n">
        <v>1</v>
      </c>
      <c r="E46" s="229" t="n">
        <v>0</v>
      </c>
      <c r="F46" s="352" t="n">
        <v>0</v>
      </c>
      <c r="G46" s="360" t="n">
        <f aca="false">Retention!$F$44</f>
        <v>100</v>
      </c>
      <c r="H46" s="227" t="s">
        <v>1174</v>
      </c>
      <c r="I46" s="353" t="n">
        <f aca="false">IF(OR($D46=1,$E46=1),SUM(INDEX(Model!$K$13:$DE$56,$A46-12,0))+SUM(INDEX(Model!$K$60:$DE$103,$A46-12,0)),0)</f>
        <v>0</v>
      </c>
      <c r="J46" s="352" t="n">
        <v>0</v>
      </c>
      <c r="K46" s="353" t="n">
        <f aca="false">IF(OR($D46=1,$E46=1),J46+IF(AND($D46=1,$O$1=1),0,I46),0)</f>
        <v>0</v>
      </c>
      <c r="L46" s="354" t="n">
        <v>0</v>
      </c>
    </row>
    <row r="47" customFormat="false" ht="13.5" hidden="false" customHeight="true" outlineLevel="0" collapsed="false">
      <c r="A47" s="355" t="n">
        <v>56</v>
      </c>
      <c r="B47" s="356" t="s">
        <v>50</v>
      </c>
      <c r="C47" s="356" t="s">
        <v>1175</v>
      </c>
      <c r="D47" s="355" t="n">
        <v>0</v>
      </c>
      <c r="E47" s="355" t="n">
        <v>0</v>
      </c>
      <c r="F47" s="357" t="n">
        <v>0</v>
      </c>
      <c r="G47" s="355" t="n">
        <v>0</v>
      </c>
      <c r="I47" s="358" t="n">
        <f aca="false">IF(OR($D47=1,$E47=1),SUM(INDEX(Model!$K$13:$DE$56,$A47-12,0))+SUM(INDEX(Model!$K$60:$DE$103,$A47-12,0)),0)</f>
        <v>0</v>
      </c>
      <c r="J47" s="357" t="n">
        <v>0</v>
      </c>
      <c r="K47" s="358" t="n">
        <f aca="false">IF(OR($D47=1,$E47=1),J47+IF(AND($D47=1,$O$1=1),0,I47),0)</f>
        <v>0</v>
      </c>
      <c r="L47" s="359" t="n">
        <v>0</v>
      </c>
    </row>
    <row r="58" customFormat="false" ht="13.5" hidden="false" customHeight="true" outlineLevel="0" collapsed="false">
      <c r="A58" s="362" t="s">
        <v>1176</v>
      </c>
    </row>
    <row r="59" customFormat="false" ht="13.5" hidden="false" customHeight="true" outlineLevel="0" collapsed="false">
      <c r="A59" s="1" t="s">
        <v>1177</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v>0</v>
      </c>
      <c r="K60" s="1" t="n">
        <f aca="false">IF($D$4=1,MAX(0,SUM(Model!$K13:K13)+SUM(Model!$K60:K60)),0)</f>
        <v>0</v>
      </c>
      <c r="L60" s="1" t="n">
        <f aca="false">IF($D$4=1,MAX(0,SUM(Model!$K13:L13)+SUM(Model!$K60:L60)),0)</f>
        <v>0</v>
      </c>
      <c r="M60" s="1" t="n">
        <f aca="false">IF($D$4=1,MAX(0,SUM(Model!$K13:M13)+SUM(Model!$K60:M60)),0)</f>
        <v>0</v>
      </c>
      <c r="N60" s="1" t="n">
        <f aca="false">IF($D$4=1,MAX(0,SUM(Model!$K13:N13)+SUM(Model!$K60:N60)),0)</f>
        <v>0</v>
      </c>
      <c r="O60" s="1" t="n">
        <f aca="false">IF($D$4=1,MAX(0,SUM(Model!$K13:O13)+SUM(Model!$K60:O60)),0)</f>
        <v>0</v>
      </c>
      <c r="P60" s="1" t="n">
        <f aca="false">IF($D$4=1,MAX(0,SUM(Model!$K13:P13)+SUM(Model!$K60:P60)),0)</f>
        <v>0</v>
      </c>
      <c r="Q60" s="1" t="n">
        <f aca="false">IF($D$4=1,MAX(0,SUM(Model!$K13:Q13)+SUM(Model!$K60:Q60)),0)</f>
        <v>0</v>
      </c>
      <c r="R60" s="1" t="n">
        <f aca="false">IF($D$4=1,MAX(0,SUM(Model!$K13:R13)+SUM(Model!$K60:R60)),0)</f>
        <v>0</v>
      </c>
      <c r="S60" s="1" t="n">
        <f aca="false">IF($D$4=1,MAX(0,SUM(Model!$K13:S13)+SUM(Model!$K60:S60)),0)</f>
        <v>0</v>
      </c>
      <c r="T60" s="1" t="n">
        <f aca="false">IF($D$4=1,MAX(0,SUM(Model!$K13:T13)+SUM(Model!$K60:T60)),0)</f>
        <v>0</v>
      </c>
      <c r="U60" s="1" t="n">
        <f aca="false">IF($D$4=1,MAX(0,SUM(Model!$K13:U13)+SUM(Model!$K60:U60)),0)</f>
        <v>0</v>
      </c>
      <c r="V60" s="1" t="n">
        <f aca="false">IF($D$4=1,MAX(0,SUM(Model!$K13:V13)+SUM(Model!$K60:V60)),0)</f>
        <v>0</v>
      </c>
      <c r="W60" s="1" t="n">
        <f aca="false">IF($D$4=1,MAX(0,SUM(Model!$K13:W13)+SUM(Model!$K60:W60)),0)</f>
        <v>0</v>
      </c>
      <c r="X60" s="1" t="n">
        <f aca="false">IF($D$4=1,MAX(0,SUM(Model!$K13:X13)+SUM(Model!$K60:X60)),0)</f>
        <v>0</v>
      </c>
      <c r="Y60" s="1" t="n">
        <f aca="false">IF($D$4=1,MAX(0,SUM(Model!$K13:Y13)+SUM(Model!$K60:Y60)),0)</f>
        <v>0</v>
      </c>
      <c r="Z60" s="1" t="n">
        <f aca="false">IF($D$4=1,MAX(0,SUM(Model!$K13:Z13)+SUM(Model!$K60:Z60)),0)</f>
        <v>0</v>
      </c>
      <c r="AA60" s="1" t="n">
        <f aca="false">IF($D$4=1,MAX(0,SUM(Model!$K13:AA13)+SUM(Model!$K60:AA60)),0)</f>
        <v>0</v>
      </c>
      <c r="AB60" s="1" t="n">
        <f aca="false">IF($D$4=1,MAX(0,SUM(Model!$K13:AB13)+SUM(Model!$K60:AB60)),0)</f>
        <v>0</v>
      </c>
      <c r="AC60" s="1" t="n">
        <f aca="false">IF($D$4=1,MAX(0,SUM(Model!$K13:AC13)+SUM(Model!$K60:AC60)),0)</f>
        <v>0</v>
      </c>
      <c r="AD60" s="1" t="n">
        <f aca="false">IF($D$4=1,MAX(0,SUM(Model!$K13:AD13)+SUM(Model!$K60:AD60)),0)</f>
        <v>0</v>
      </c>
      <c r="AE60" s="1" t="n">
        <f aca="false">IF($D$4=1,MAX(0,SUM(Model!$K13:AE13)+SUM(Model!$K60:AE60)),0)</f>
        <v>0</v>
      </c>
      <c r="AF60" s="1" t="n">
        <f aca="false">IF($D$4=1,MAX(0,SUM(Model!$K13:AF13)+SUM(Model!$K60:AF60)),0)</f>
        <v>0</v>
      </c>
      <c r="AG60" s="1" t="n">
        <f aca="false">IF($D$4=1,MAX(0,SUM(Model!$K13:AG13)+SUM(Model!$K60:AG60)),0)</f>
        <v>0</v>
      </c>
      <c r="AH60" s="1" t="n">
        <f aca="false">IF($D$4=1,MAX(0,SUM(Model!$K13:AH13)+SUM(Model!$K60:AH60)),0)</f>
        <v>0</v>
      </c>
      <c r="AI60" s="1" t="n">
        <f aca="false">IF($D$4=1,MAX(0,SUM(Model!$K13:AI13)+SUM(Model!$K60:AI60)),0)</f>
        <v>0</v>
      </c>
      <c r="AJ60" s="1" t="n">
        <f aca="false">IF($D$4=1,MAX(0,SUM(Model!$K13:AJ13)+SUM(Model!$K60:AJ60)),0)</f>
        <v>0</v>
      </c>
      <c r="AK60" s="1" t="n">
        <f aca="false">IF($D$4=1,MAX(0,SUM(Model!$K13:AK13)+SUM(Model!$K60:AK60)),0)</f>
        <v>0</v>
      </c>
      <c r="AL60" s="1" t="n">
        <f aca="false">IF($D$4=1,MAX(0,SUM(Model!$K13:AL13)+SUM(Model!$K60:AL60)),0)</f>
        <v>0</v>
      </c>
      <c r="AM60" s="1" t="n">
        <f aca="false">IF($D$4=1,MAX(0,SUM(Model!$K13:AM13)+SUM(Model!$K60:AM60)),0)</f>
        <v>0</v>
      </c>
      <c r="AN60" s="1" t="n">
        <f aca="false">IF($D$4=1,MAX(0,SUM(Model!$K13:AN13)+SUM(Model!$K60:AN60)),0)</f>
        <v>0</v>
      </c>
      <c r="AO60" s="1" t="n">
        <f aca="false">IF($D$4=1,MAX(0,SUM(Model!$K13:AO13)+SUM(Model!$K60:AO60)),0)</f>
        <v>0</v>
      </c>
      <c r="AP60" s="1" t="n">
        <f aca="false">IF($D$4=1,MAX(0,SUM(Model!$K13:AP13)+SUM(Model!$K60:AP60)),0)</f>
        <v>0</v>
      </c>
      <c r="AQ60" s="1" t="n">
        <f aca="false">IF($D$4=1,MAX(0,SUM(Model!$K13:AQ13)+SUM(Model!$K60:AQ60)),0)</f>
        <v>0</v>
      </c>
      <c r="AR60" s="1" t="n">
        <f aca="false">IF($D$4=1,MAX(0,SUM(Model!$K13:AR13)+SUM(Model!$K60:AR60)),0)</f>
        <v>0</v>
      </c>
      <c r="AS60" s="1" t="n">
        <f aca="false">IF($D$4=1,MAX(0,SUM(Model!$K13:AS13)+SUM(Model!$K60:AS60)),0)</f>
        <v>0</v>
      </c>
      <c r="AT60" s="1" t="n">
        <f aca="false">IF($D$4=1,MAX(0,SUM(Model!$K13:AT13)+SUM(Model!$K60:AT60)),0)</f>
        <v>0</v>
      </c>
      <c r="AU60" s="1" t="n">
        <f aca="false">IF($D$4=1,MAX(0,SUM(Model!$K13:AU13)+SUM(Model!$K60:AU60)),0)</f>
        <v>0</v>
      </c>
      <c r="AV60" s="1" t="n">
        <f aca="false">IF($D$4=1,MAX(0,SUM(Model!$K13:AV13)+SUM(Model!$K60:AV60)),0)</f>
        <v>0</v>
      </c>
      <c r="AW60" s="1" t="n">
        <f aca="false">IF($D$4=1,MAX(0,SUM(Model!$K13:AW13)+SUM(Model!$K60:AW60)),0)</f>
        <v>0</v>
      </c>
      <c r="AX60" s="1" t="n">
        <f aca="false">IF($D$4=1,MAX(0,SUM(Model!$K13:AX13)+SUM(Model!$K60:AX60)),0)</f>
        <v>0</v>
      </c>
      <c r="AY60" s="1" t="n">
        <f aca="false">IF($D$4=1,MAX(0,SUM(Model!$K13:AY13)+SUM(Model!$K60:AY60)),0)</f>
        <v>0</v>
      </c>
      <c r="AZ60" s="1" t="n">
        <f aca="false">IF($D$4=1,MAX(0,SUM(Model!$K13:AZ13)+SUM(Model!$K60:AZ60)),0)</f>
        <v>0</v>
      </c>
      <c r="BA60" s="1" t="n">
        <f aca="false">IF($D$4=1,MAX(0,SUM(Model!$K13:BA13)+SUM(Model!$K60:BA60)),0)</f>
        <v>0</v>
      </c>
      <c r="BB60" s="1" t="n">
        <f aca="false">IF($D$4=1,MAX(0,SUM(Model!$K13:BB13)+SUM(Model!$K60:BB60)),0)</f>
        <v>0</v>
      </c>
      <c r="BC60" s="1" t="n">
        <f aca="false">IF($D$4=1,MAX(0,SUM(Model!$K13:BC13)+SUM(Model!$K60:BC60)),0)</f>
        <v>0</v>
      </c>
      <c r="BD60" s="1" t="n">
        <f aca="false">IF($D$4=1,MAX(0,SUM(Model!$K13:BD13)+SUM(Model!$K60:BD60)),0)</f>
        <v>0</v>
      </c>
      <c r="BE60" s="1" t="n">
        <f aca="false">IF($D$4=1,MAX(0,SUM(Model!$K13:BE13)+SUM(Model!$K60:BE60)),0)</f>
        <v>0</v>
      </c>
      <c r="BF60" s="1" t="n">
        <f aca="false">IF($D$4=1,MAX(0,SUM(Model!$K13:BF13)+SUM(Model!$K60:BF60)),0)</f>
        <v>0</v>
      </c>
      <c r="BG60" s="1" t="n">
        <f aca="false">IF($D$4=1,MAX(0,SUM(Model!$K13:BG13)+SUM(Model!$K60:BG60)),0)</f>
        <v>0</v>
      </c>
      <c r="BH60" s="1" t="n">
        <f aca="false">IF($D$4=1,MAX(0,SUM(Model!$K13:BH13)+SUM(Model!$K60:BH60)),0)</f>
        <v>0</v>
      </c>
      <c r="BI60" s="1" t="n">
        <f aca="false">IF($D$4=1,MAX(0,SUM(Model!$K13:BI13)+SUM(Model!$K60:BI60)),0)</f>
        <v>0</v>
      </c>
      <c r="BJ60" s="1" t="n">
        <f aca="false">IF($D$4=1,MAX(0,SUM(Model!$K13:BJ13)+SUM(Model!$K60:BJ60)),0)</f>
        <v>0</v>
      </c>
      <c r="BK60" s="1" t="n">
        <f aca="false">IF($D$4=1,MAX(0,SUM(Model!$K13:BK13)+SUM(Model!$K60:BK60)),0)</f>
        <v>0</v>
      </c>
      <c r="BL60" s="1" t="n">
        <f aca="false">IF($D$4=1,MAX(0,SUM(Model!$K13:BL13)+SUM(Model!$K60:BL60)),0)</f>
        <v>0</v>
      </c>
      <c r="BM60" s="1" t="n">
        <f aca="false">IF($D$4=1,MAX(0,SUM(Model!$K13:BM13)+SUM(Model!$K60:BM60)),0)</f>
        <v>0</v>
      </c>
      <c r="BN60" s="1" t="n">
        <f aca="false">IF($D$4=1,MAX(0,SUM(Model!$K13:BN13)+SUM(Model!$K60:BN60)),0)</f>
        <v>0</v>
      </c>
      <c r="BO60" s="1" t="n">
        <f aca="false">IF($D$4=1,MAX(0,SUM(Model!$K13:BO13)+SUM(Model!$K60:BO60)),0)</f>
        <v>0</v>
      </c>
      <c r="BP60" s="1" t="n">
        <f aca="false">IF($D$4=1,MAX(0,SUM(Model!$K13:BP13)+SUM(Model!$K60:BP60)),0)</f>
        <v>0</v>
      </c>
      <c r="BQ60" s="1" t="n">
        <f aca="false">IF($D$4=1,MAX(0,SUM(Model!$K13:BQ13)+SUM(Model!$K60:BQ60)),0)</f>
        <v>0</v>
      </c>
      <c r="BR60" s="1" t="n">
        <f aca="false">IF($D$4=1,MAX(0,SUM(Model!$K13:BR13)+SUM(Model!$K60:BR60)),0)</f>
        <v>0</v>
      </c>
      <c r="BS60" s="1" t="n">
        <f aca="false">IF($D$4=1,MAX(0,SUM(Model!$K13:BS13)+SUM(Model!$K60:BS60)),0)</f>
        <v>0</v>
      </c>
      <c r="BT60" s="1" t="n">
        <f aca="false">IF($D$4=1,MAX(0,SUM(Model!$K13:BT13)+SUM(Model!$K60:BT60)),0)</f>
        <v>0</v>
      </c>
      <c r="BU60" s="1" t="n">
        <f aca="false">IF($D$4=1,MAX(0,SUM(Model!$K13:BU13)+SUM(Model!$K60:BU60)),0)</f>
        <v>0</v>
      </c>
      <c r="BV60" s="1" t="n">
        <f aca="false">IF($D$4=1,MAX(0,SUM(Model!$K13:BV13)+SUM(Model!$K60:BV60)),0)</f>
        <v>0</v>
      </c>
      <c r="BW60" s="1" t="n">
        <f aca="false">IF($D$4=1,MAX(0,SUM(Model!$K13:BW13)+SUM(Model!$K60:BW60)),0)</f>
        <v>0</v>
      </c>
      <c r="BX60" s="1" t="n">
        <f aca="false">IF($D$4=1,MAX(0,SUM(Model!$K13:BX13)+SUM(Model!$K60:BX60)),0)</f>
        <v>0</v>
      </c>
      <c r="BY60" s="1" t="n">
        <f aca="false">IF($D$4=1,MAX(0,SUM(Model!$K13:BY13)+SUM(Model!$K60:BY60)),0)</f>
        <v>0</v>
      </c>
      <c r="BZ60" s="1" t="n">
        <f aca="false">IF($D$4=1,MAX(0,SUM(Model!$K13:BZ13)+SUM(Model!$K60:BZ60)),0)</f>
        <v>0</v>
      </c>
      <c r="CA60" s="1" t="n">
        <f aca="false">IF($D$4=1,MAX(0,SUM(Model!$K13:CA13)+SUM(Model!$K60:CA60)),0)</f>
        <v>0</v>
      </c>
      <c r="CB60" s="1" t="n">
        <f aca="false">IF($D$4=1,MAX(0,SUM(Model!$K13:CB13)+SUM(Model!$K60:CB60)),0)</f>
        <v>0</v>
      </c>
      <c r="CC60" s="1" t="n">
        <f aca="false">IF($D$4=1,MAX(0,SUM(Model!$K13:CC13)+SUM(Model!$K60:CC60)),0)</f>
        <v>0</v>
      </c>
      <c r="CD60" s="1" t="n">
        <f aca="false">IF($D$4=1,MAX(0,SUM(Model!$K13:CD13)+SUM(Model!$K60:CD60)),0)</f>
        <v>0</v>
      </c>
      <c r="CE60" s="1" t="n">
        <f aca="false">IF($D$4=1,MAX(0,SUM(Model!$K13:CE13)+SUM(Model!$K60:CE60)),0)</f>
        <v>0</v>
      </c>
      <c r="CF60" s="1" t="n">
        <f aca="false">IF($D$4=1,MAX(0,SUM(Model!$K13:CF13)+SUM(Model!$K60:CF60)),0)</f>
        <v>0</v>
      </c>
      <c r="CG60" s="1" t="n">
        <f aca="false">IF($D$4=1,MAX(0,SUM(Model!$K13:CG13)+SUM(Model!$K60:CG60)),0)</f>
        <v>0</v>
      </c>
      <c r="CH60" s="1" t="n">
        <f aca="false">IF($D$4=1,MAX(0,SUM(Model!$K13:CH13)+SUM(Model!$K60:CH60)),0)</f>
        <v>0</v>
      </c>
      <c r="CI60" s="1" t="n">
        <f aca="false">IF($D$4=1,MAX(0,SUM(Model!$K13:CI13)+SUM(Model!$K60:CI60)),0)</f>
        <v>0</v>
      </c>
      <c r="CJ60" s="1" t="n">
        <f aca="false">IF($D$4=1,MAX(0,SUM(Model!$K13:CJ13)+SUM(Model!$K60:CJ60)),0)</f>
        <v>0</v>
      </c>
      <c r="CK60" s="1" t="n">
        <f aca="false">IF($D$4=1,MAX(0,SUM(Model!$K13:CK13)+SUM(Model!$K60:CK60)),0)</f>
        <v>0</v>
      </c>
      <c r="CL60" s="1" t="n">
        <f aca="false">IF($D$4=1,MAX(0,SUM(Model!$K13:CL13)+SUM(Model!$K60:CL60)),0)</f>
        <v>0</v>
      </c>
      <c r="CM60" s="1" t="n">
        <f aca="false">IF($D$4=1,MAX(0,SUM(Model!$K13:CM13)+SUM(Model!$K60:CM60)),0)</f>
        <v>0</v>
      </c>
      <c r="CN60" s="1" t="n">
        <f aca="false">IF($D$4=1,MAX(0,SUM(Model!$K13:CN13)+SUM(Model!$K60:CN60)),0)</f>
        <v>0</v>
      </c>
      <c r="CO60" s="1" t="n">
        <f aca="false">IF($D$4=1,MAX(0,SUM(Model!$K13:CO13)+SUM(Model!$K60:CO60)),0)</f>
        <v>0</v>
      </c>
      <c r="CP60" s="1" t="n">
        <f aca="false">IF($D$4=1,MAX(0,SUM(Model!$K13:CP13)+SUM(Model!$K60:CP60)),0)</f>
        <v>0</v>
      </c>
      <c r="CQ60" s="1" t="n">
        <f aca="false">IF($D$4=1,MAX(0,SUM(Model!$K13:CQ13)+SUM(Model!$K60:CQ60)),0)</f>
        <v>0</v>
      </c>
      <c r="CR60" s="1" t="n">
        <f aca="false">IF($D$4=1,MAX(0,SUM(Model!$K13:CR13)+SUM(Model!$K60:CR60)),0)</f>
        <v>0</v>
      </c>
      <c r="CS60" s="1" t="n">
        <f aca="false">IF($D$4=1,MAX(0,SUM(Model!$K13:CS13)+SUM(Model!$K60:CS60)),0)</f>
        <v>0</v>
      </c>
      <c r="CT60" s="1" t="n">
        <f aca="false">IF($D$4=1,MAX(0,SUM(Model!$K13:CT13)+SUM(Model!$K60:CT60)),0)</f>
        <v>0</v>
      </c>
      <c r="CU60" s="1" t="n">
        <f aca="false">IF($D$4=1,MAX(0,SUM(Model!$K13:CU13)+SUM(Model!$K60:CU60)),0)</f>
        <v>0</v>
      </c>
      <c r="CV60" s="1" t="n">
        <f aca="false">IF($D$4=1,MAX(0,SUM(Model!$K13:CV13)+SUM(Model!$K60:CV60)),0)</f>
        <v>0</v>
      </c>
      <c r="CW60" s="1" t="n">
        <f aca="false">IF($D$4=1,MAX(0,SUM(Model!$K13:CW13)+SUM(Model!$K60:CW60)),0)</f>
        <v>0</v>
      </c>
      <c r="CX60" s="1" t="n">
        <f aca="false">IF($D$4=1,MAX(0,SUM(Model!$K13:CX13)+SUM(Model!$K60:CX60)),0)</f>
        <v>0</v>
      </c>
      <c r="CY60" s="1" t="n">
        <f aca="false">IF($D$4=1,MAX(0,SUM(Model!$K13:CY13)+SUM(Model!$K60:CY60)),0)</f>
        <v>0</v>
      </c>
      <c r="CZ60" s="1" t="n">
        <f aca="false">IF($D$4=1,MAX(0,SUM(Model!$K13:CZ13)+SUM(Model!$K60:CZ60)),0)</f>
        <v>0</v>
      </c>
      <c r="DA60" s="1" t="n">
        <f aca="false">IF($D$4=1,MAX(0,SUM(Model!$K13:DA13)+SUM(Model!$K60:DA60)),0)</f>
        <v>0</v>
      </c>
      <c r="DB60" s="1" t="n">
        <f aca="false">IF($D$4=1,MAX(0,SUM(Model!$K13:DB13)+SUM(Model!$K60:DB60)),0)</f>
        <v>0</v>
      </c>
      <c r="DC60" s="1" t="n">
        <f aca="false">IF($D$4=1,MAX(0,SUM(Model!$K13:DC13)+SUM(Model!$K60:DC60)),0)</f>
        <v>0</v>
      </c>
      <c r="DD60" s="1" t="n">
        <f aca="false">IF($D$4=1,MAX(0,SUM(Model!$K13:DD13)+SUM(Model!$K60:DD60)),0)</f>
        <v>0</v>
      </c>
      <c r="DE60" s="1" t="n">
        <f aca="false">IF($D$4=1,MAX(0,SUM(Model!$K13:DE13)+SUM(Model!$K60:DE60)),0)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v>0</v>
      </c>
      <c r="K61" s="1" t="n">
        <f aca="false">IF($D$5=1,MAX(0,SUM(Model!$K14:K14)+SUM(Model!$K61:K61)),0)</f>
        <v>0</v>
      </c>
      <c r="L61" s="1" t="n">
        <f aca="false">IF($D$5=1,MAX(0,SUM(Model!$K14:L14)+SUM(Model!$K61:L61)),0)</f>
        <v>0</v>
      </c>
      <c r="M61" s="1" t="n">
        <f aca="false">IF($D$5=1,MAX(0,SUM(Model!$K14:M14)+SUM(Model!$K61:M61)),0)</f>
        <v>0</v>
      </c>
      <c r="N61" s="1" t="n">
        <f aca="false">IF($D$5=1,MAX(0,SUM(Model!$K14:N14)+SUM(Model!$K61:N61)),0)</f>
        <v>0</v>
      </c>
      <c r="O61" s="1" t="n">
        <f aca="false">IF($D$5=1,MAX(0,SUM(Model!$K14:O14)+SUM(Model!$K61:O61)),0)</f>
        <v>0</v>
      </c>
      <c r="P61" s="1" t="n">
        <f aca="false">IF($D$5=1,MAX(0,SUM(Model!$K14:P14)+SUM(Model!$K61:P61)),0)</f>
        <v>0</v>
      </c>
      <c r="Q61" s="1" t="n">
        <f aca="false">IF($D$5=1,MAX(0,SUM(Model!$K14:Q14)+SUM(Model!$K61:Q61)),0)</f>
        <v>0</v>
      </c>
      <c r="R61" s="1" t="n">
        <f aca="false">IF($D$5=1,MAX(0,SUM(Model!$K14:R14)+SUM(Model!$K61:R61)),0)</f>
        <v>0</v>
      </c>
      <c r="S61" s="1" t="n">
        <f aca="false">IF($D$5=1,MAX(0,SUM(Model!$K14:S14)+SUM(Model!$K61:S61)),0)</f>
        <v>0</v>
      </c>
      <c r="T61" s="1" t="n">
        <f aca="false">IF($D$5=1,MAX(0,SUM(Model!$K14:T14)+SUM(Model!$K61:T61)),0)</f>
        <v>0</v>
      </c>
      <c r="U61" s="1" t="n">
        <f aca="false">IF($D$5=1,MAX(0,SUM(Model!$K14:U14)+SUM(Model!$K61:U61)),0)</f>
        <v>0</v>
      </c>
      <c r="V61" s="1" t="n">
        <f aca="false">IF($D$5=1,MAX(0,SUM(Model!$K14:V14)+SUM(Model!$K61:V61)),0)</f>
        <v>0</v>
      </c>
      <c r="W61" s="1" t="n">
        <f aca="false">IF($D$5=1,MAX(0,SUM(Model!$K14:W14)+SUM(Model!$K61:W61)),0)</f>
        <v>0</v>
      </c>
      <c r="X61" s="1" t="n">
        <f aca="false">IF($D$5=1,MAX(0,SUM(Model!$K14:X14)+SUM(Model!$K61:X61)),0)</f>
        <v>0</v>
      </c>
      <c r="Y61" s="1" t="n">
        <f aca="false">IF($D$5=1,MAX(0,SUM(Model!$K14:Y14)+SUM(Model!$K61:Y61)),0)</f>
        <v>0</v>
      </c>
      <c r="Z61" s="1" t="n">
        <f aca="false">IF($D$5=1,MAX(0,SUM(Model!$K14:Z14)+SUM(Model!$K61:Z61)),0)</f>
        <v>0</v>
      </c>
      <c r="AA61" s="1" t="n">
        <f aca="false">IF($D$5=1,MAX(0,SUM(Model!$K14:AA14)+SUM(Model!$K61:AA61)),0)</f>
        <v>0</v>
      </c>
      <c r="AB61" s="1" t="n">
        <f aca="false">IF($D$5=1,MAX(0,SUM(Model!$K14:AB14)+SUM(Model!$K61:AB61)),0)</f>
        <v>0</v>
      </c>
      <c r="AC61" s="1" t="n">
        <f aca="false">IF($D$5=1,MAX(0,SUM(Model!$K14:AC14)+SUM(Model!$K61:AC61)),0)</f>
        <v>0</v>
      </c>
      <c r="AD61" s="1" t="n">
        <f aca="false">IF($D$5=1,MAX(0,SUM(Model!$K14:AD14)+SUM(Model!$K61:AD61)),0)</f>
        <v>0</v>
      </c>
      <c r="AE61" s="1" t="n">
        <f aca="false">IF($D$5=1,MAX(0,SUM(Model!$K14:AE14)+SUM(Model!$K61:AE61)),0)</f>
        <v>0</v>
      </c>
      <c r="AF61" s="1" t="n">
        <f aca="false">IF($D$5=1,MAX(0,SUM(Model!$K14:AF14)+SUM(Model!$K61:AF61)),0)</f>
        <v>0</v>
      </c>
      <c r="AG61" s="1" t="n">
        <f aca="false">IF($D$5=1,MAX(0,SUM(Model!$K14:AG14)+SUM(Model!$K61:AG61)),0)</f>
        <v>0</v>
      </c>
      <c r="AH61" s="1" t="n">
        <f aca="false">IF($D$5=1,MAX(0,SUM(Model!$K14:AH14)+SUM(Model!$K61:AH61)),0)</f>
        <v>0</v>
      </c>
      <c r="AI61" s="1" t="n">
        <f aca="false">IF($D$5=1,MAX(0,SUM(Model!$K14:AI14)+SUM(Model!$K61:AI61)),0)</f>
        <v>0</v>
      </c>
      <c r="AJ61" s="1" t="n">
        <f aca="false">IF($D$5=1,MAX(0,SUM(Model!$K14:AJ14)+SUM(Model!$K61:AJ61)),0)</f>
        <v>0</v>
      </c>
      <c r="AK61" s="1" t="n">
        <f aca="false">IF($D$5=1,MAX(0,SUM(Model!$K14:AK14)+SUM(Model!$K61:AK61)),0)</f>
        <v>0</v>
      </c>
      <c r="AL61" s="1" t="n">
        <f aca="false">IF($D$5=1,MAX(0,SUM(Model!$K14:AL14)+SUM(Model!$K61:AL61)),0)</f>
        <v>0</v>
      </c>
      <c r="AM61" s="1" t="n">
        <f aca="false">IF($D$5=1,MAX(0,SUM(Model!$K14:AM14)+SUM(Model!$K61:AM61)),0)</f>
        <v>0</v>
      </c>
      <c r="AN61" s="1" t="n">
        <f aca="false">IF($D$5=1,MAX(0,SUM(Model!$K14:AN14)+SUM(Model!$K61:AN61)),0)</f>
        <v>0</v>
      </c>
      <c r="AO61" s="1" t="n">
        <f aca="false">IF($D$5=1,MAX(0,SUM(Model!$K14:AO14)+SUM(Model!$K61:AO61)),0)</f>
        <v>0</v>
      </c>
      <c r="AP61" s="1" t="n">
        <f aca="false">IF($D$5=1,MAX(0,SUM(Model!$K14:AP14)+SUM(Model!$K61:AP61)),0)</f>
        <v>0</v>
      </c>
      <c r="AQ61" s="1" t="n">
        <f aca="false">IF($D$5=1,MAX(0,SUM(Model!$K14:AQ14)+SUM(Model!$K61:AQ61)),0)</f>
        <v>0</v>
      </c>
      <c r="AR61" s="1" t="n">
        <f aca="false">IF($D$5=1,MAX(0,SUM(Model!$K14:AR14)+SUM(Model!$K61:AR61)),0)</f>
        <v>0</v>
      </c>
      <c r="AS61" s="1" t="n">
        <f aca="false">IF($D$5=1,MAX(0,SUM(Model!$K14:AS14)+SUM(Model!$K61:AS61)),0)</f>
        <v>0</v>
      </c>
      <c r="AT61" s="1" t="n">
        <f aca="false">IF($D$5=1,MAX(0,SUM(Model!$K14:AT14)+SUM(Model!$K61:AT61)),0)</f>
        <v>0</v>
      </c>
      <c r="AU61" s="1" t="n">
        <f aca="false">IF($D$5=1,MAX(0,SUM(Model!$K14:AU14)+SUM(Model!$K61:AU61)),0)</f>
        <v>0</v>
      </c>
      <c r="AV61" s="1" t="n">
        <f aca="false">IF($D$5=1,MAX(0,SUM(Model!$K14:AV14)+SUM(Model!$K61:AV61)),0)</f>
        <v>0</v>
      </c>
      <c r="AW61" s="1" t="n">
        <f aca="false">IF($D$5=1,MAX(0,SUM(Model!$K14:AW14)+SUM(Model!$K61:AW61)),0)</f>
        <v>0</v>
      </c>
      <c r="AX61" s="1" t="n">
        <f aca="false">IF($D$5=1,MAX(0,SUM(Model!$K14:AX14)+SUM(Model!$K61:AX61)),0)</f>
        <v>0</v>
      </c>
      <c r="AY61" s="1" t="n">
        <f aca="false">IF($D$5=1,MAX(0,SUM(Model!$K14:AY14)+SUM(Model!$K61:AY61)),0)</f>
        <v>0</v>
      </c>
      <c r="AZ61" s="1" t="n">
        <f aca="false">IF($D$5=1,MAX(0,SUM(Model!$K14:AZ14)+SUM(Model!$K61:AZ61)),0)</f>
        <v>0</v>
      </c>
      <c r="BA61" s="1" t="n">
        <f aca="false">IF($D$5=1,MAX(0,SUM(Model!$K14:BA14)+SUM(Model!$K61:BA61)),0)</f>
        <v>0</v>
      </c>
      <c r="BB61" s="1" t="n">
        <f aca="false">IF($D$5=1,MAX(0,SUM(Model!$K14:BB14)+SUM(Model!$K61:BB61)),0)</f>
        <v>0</v>
      </c>
      <c r="BC61" s="1" t="n">
        <f aca="false">IF($D$5=1,MAX(0,SUM(Model!$K14:BC14)+SUM(Model!$K61:BC61)),0)</f>
        <v>0</v>
      </c>
      <c r="BD61" s="1" t="n">
        <f aca="false">IF($D$5=1,MAX(0,SUM(Model!$K14:BD14)+SUM(Model!$K61:BD61)),0)</f>
        <v>0</v>
      </c>
      <c r="BE61" s="1" t="n">
        <f aca="false">IF($D$5=1,MAX(0,SUM(Model!$K14:BE14)+SUM(Model!$K61:BE61)),0)</f>
        <v>0</v>
      </c>
      <c r="BF61" s="1" t="n">
        <f aca="false">IF($D$5=1,MAX(0,SUM(Model!$K14:BF14)+SUM(Model!$K61:BF61)),0)</f>
        <v>0</v>
      </c>
      <c r="BG61" s="1" t="n">
        <f aca="false">IF($D$5=1,MAX(0,SUM(Model!$K14:BG14)+SUM(Model!$K61:BG61)),0)</f>
        <v>0</v>
      </c>
      <c r="BH61" s="1" t="n">
        <f aca="false">IF($D$5=1,MAX(0,SUM(Model!$K14:BH14)+SUM(Model!$K61:BH61)),0)</f>
        <v>0</v>
      </c>
      <c r="BI61" s="1" t="n">
        <f aca="false">IF($D$5=1,MAX(0,SUM(Model!$K14:BI14)+SUM(Model!$K61:BI61)),0)</f>
        <v>0</v>
      </c>
      <c r="BJ61" s="1" t="n">
        <f aca="false">IF($D$5=1,MAX(0,SUM(Model!$K14:BJ14)+SUM(Model!$K61:BJ61)),0)</f>
        <v>0</v>
      </c>
      <c r="BK61" s="1" t="n">
        <f aca="false">IF($D$5=1,MAX(0,SUM(Model!$K14:BK14)+SUM(Model!$K61:BK61)),0)</f>
        <v>0</v>
      </c>
      <c r="BL61" s="1" t="n">
        <f aca="false">IF($D$5=1,MAX(0,SUM(Model!$K14:BL14)+SUM(Model!$K61:BL61)),0)</f>
        <v>0</v>
      </c>
      <c r="BM61" s="1" t="n">
        <f aca="false">IF($D$5=1,MAX(0,SUM(Model!$K14:BM14)+SUM(Model!$K61:BM61)),0)</f>
        <v>0</v>
      </c>
      <c r="BN61" s="1" t="n">
        <f aca="false">IF($D$5=1,MAX(0,SUM(Model!$K14:BN14)+SUM(Model!$K61:BN61)),0)</f>
        <v>0</v>
      </c>
      <c r="BO61" s="1" t="n">
        <f aca="false">IF($D$5=1,MAX(0,SUM(Model!$K14:BO14)+SUM(Model!$K61:BO61)),0)</f>
        <v>0</v>
      </c>
      <c r="BP61" s="1" t="n">
        <f aca="false">IF($D$5=1,MAX(0,SUM(Model!$K14:BP14)+SUM(Model!$K61:BP61)),0)</f>
        <v>0</v>
      </c>
      <c r="BQ61" s="1" t="n">
        <f aca="false">IF($D$5=1,MAX(0,SUM(Model!$K14:BQ14)+SUM(Model!$K61:BQ61)),0)</f>
        <v>0</v>
      </c>
      <c r="BR61" s="1" t="n">
        <f aca="false">IF($D$5=1,MAX(0,SUM(Model!$K14:BR14)+SUM(Model!$K61:BR61)),0)</f>
        <v>0</v>
      </c>
      <c r="BS61" s="1" t="n">
        <f aca="false">IF($D$5=1,MAX(0,SUM(Model!$K14:BS14)+SUM(Model!$K61:BS61)),0)</f>
        <v>0</v>
      </c>
      <c r="BT61" s="1" t="n">
        <f aca="false">IF($D$5=1,MAX(0,SUM(Model!$K14:BT14)+SUM(Model!$K61:BT61)),0)</f>
        <v>0</v>
      </c>
      <c r="BU61" s="1" t="n">
        <f aca="false">IF($D$5=1,MAX(0,SUM(Model!$K14:BU14)+SUM(Model!$K61:BU61)),0)</f>
        <v>0</v>
      </c>
      <c r="BV61" s="1" t="n">
        <f aca="false">IF($D$5=1,MAX(0,SUM(Model!$K14:BV14)+SUM(Model!$K61:BV61)),0)</f>
        <v>0</v>
      </c>
      <c r="BW61" s="1" t="n">
        <f aca="false">IF($D$5=1,MAX(0,SUM(Model!$K14:BW14)+SUM(Model!$K61:BW61)),0)</f>
        <v>0</v>
      </c>
      <c r="BX61" s="1" t="n">
        <f aca="false">IF($D$5=1,MAX(0,SUM(Model!$K14:BX14)+SUM(Model!$K61:BX61)),0)</f>
        <v>0</v>
      </c>
      <c r="BY61" s="1" t="n">
        <f aca="false">IF($D$5=1,MAX(0,SUM(Model!$K14:BY14)+SUM(Model!$K61:BY61)),0)</f>
        <v>0</v>
      </c>
      <c r="BZ61" s="1" t="n">
        <f aca="false">IF($D$5=1,MAX(0,SUM(Model!$K14:BZ14)+SUM(Model!$K61:BZ61)),0)</f>
        <v>0</v>
      </c>
      <c r="CA61" s="1" t="n">
        <f aca="false">IF($D$5=1,MAX(0,SUM(Model!$K14:CA14)+SUM(Model!$K61:CA61)),0)</f>
        <v>0</v>
      </c>
      <c r="CB61" s="1" t="n">
        <f aca="false">IF($D$5=1,MAX(0,SUM(Model!$K14:CB14)+SUM(Model!$K61:CB61)),0)</f>
        <v>0</v>
      </c>
      <c r="CC61" s="1" t="n">
        <f aca="false">IF($D$5=1,MAX(0,SUM(Model!$K14:CC14)+SUM(Model!$K61:CC61)),0)</f>
        <v>0</v>
      </c>
      <c r="CD61" s="1" t="n">
        <f aca="false">IF($D$5=1,MAX(0,SUM(Model!$K14:CD14)+SUM(Model!$K61:CD61)),0)</f>
        <v>0</v>
      </c>
      <c r="CE61" s="1" t="n">
        <f aca="false">IF($D$5=1,MAX(0,SUM(Model!$K14:CE14)+SUM(Model!$K61:CE61)),0)</f>
        <v>0</v>
      </c>
      <c r="CF61" s="1" t="n">
        <f aca="false">IF($D$5=1,MAX(0,SUM(Model!$K14:CF14)+SUM(Model!$K61:CF61)),0)</f>
        <v>0</v>
      </c>
      <c r="CG61" s="1" t="n">
        <f aca="false">IF($D$5=1,MAX(0,SUM(Model!$K14:CG14)+SUM(Model!$K61:CG61)),0)</f>
        <v>0</v>
      </c>
      <c r="CH61" s="1" t="n">
        <f aca="false">IF($D$5=1,MAX(0,SUM(Model!$K14:CH14)+SUM(Model!$K61:CH61)),0)</f>
        <v>0</v>
      </c>
      <c r="CI61" s="1" t="n">
        <f aca="false">IF($D$5=1,MAX(0,SUM(Model!$K14:CI14)+SUM(Model!$K61:CI61)),0)</f>
        <v>0</v>
      </c>
      <c r="CJ61" s="1" t="n">
        <f aca="false">IF($D$5=1,MAX(0,SUM(Model!$K14:CJ14)+SUM(Model!$K61:CJ61)),0)</f>
        <v>0</v>
      </c>
      <c r="CK61" s="1" t="n">
        <f aca="false">IF($D$5=1,MAX(0,SUM(Model!$K14:CK14)+SUM(Model!$K61:CK61)),0)</f>
        <v>0</v>
      </c>
      <c r="CL61" s="1" t="n">
        <f aca="false">IF($D$5=1,MAX(0,SUM(Model!$K14:CL14)+SUM(Model!$K61:CL61)),0)</f>
        <v>0</v>
      </c>
      <c r="CM61" s="1" t="n">
        <f aca="false">IF($D$5=1,MAX(0,SUM(Model!$K14:CM14)+SUM(Model!$K61:CM61)),0)</f>
        <v>0</v>
      </c>
      <c r="CN61" s="1" t="n">
        <f aca="false">IF($D$5=1,MAX(0,SUM(Model!$K14:CN14)+SUM(Model!$K61:CN61)),0)</f>
        <v>0</v>
      </c>
      <c r="CO61" s="1" t="n">
        <f aca="false">IF($D$5=1,MAX(0,SUM(Model!$K14:CO14)+SUM(Model!$K61:CO61)),0)</f>
        <v>0</v>
      </c>
      <c r="CP61" s="1" t="n">
        <f aca="false">IF($D$5=1,MAX(0,SUM(Model!$K14:CP14)+SUM(Model!$K61:CP61)),0)</f>
        <v>0</v>
      </c>
      <c r="CQ61" s="1" t="n">
        <f aca="false">IF($D$5=1,MAX(0,SUM(Model!$K14:CQ14)+SUM(Model!$K61:CQ61)),0)</f>
        <v>0</v>
      </c>
      <c r="CR61" s="1" t="n">
        <f aca="false">IF($D$5=1,MAX(0,SUM(Model!$K14:CR14)+SUM(Model!$K61:CR61)),0)</f>
        <v>0</v>
      </c>
      <c r="CS61" s="1" t="n">
        <f aca="false">IF($D$5=1,MAX(0,SUM(Model!$K14:CS14)+SUM(Model!$K61:CS61)),0)</f>
        <v>0</v>
      </c>
      <c r="CT61" s="1" t="n">
        <f aca="false">IF($D$5=1,MAX(0,SUM(Model!$K14:CT14)+SUM(Model!$K61:CT61)),0)</f>
        <v>0</v>
      </c>
      <c r="CU61" s="1" t="n">
        <f aca="false">IF($D$5=1,MAX(0,SUM(Model!$K14:CU14)+SUM(Model!$K61:CU61)),0)</f>
        <v>0</v>
      </c>
      <c r="CV61" s="1" t="n">
        <f aca="false">IF($D$5=1,MAX(0,SUM(Model!$K14:CV14)+SUM(Model!$K61:CV61)),0)</f>
        <v>0</v>
      </c>
      <c r="CW61" s="1" t="n">
        <f aca="false">IF($D$5=1,MAX(0,SUM(Model!$K14:CW14)+SUM(Model!$K61:CW61)),0)</f>
        <v>0</v>
      </c>
      <c r="CX61" s="1" t="n">
        <f aca="false">IF($D$5=1,MAX(0,SUM(Model!$K14:CX14)+SUM(Model!$K61:CX61)),0)</f>
        <v>0</v>
      </c>
      <c r="CY61" s="1" t="n">
        <f aca="false">IF($D$5=1,MAX(0,SUM(Model!$K14:CY14)+SUM(Model!$K61:CY61)),0)</f>
        <v>0</v>
      </c>
      <c r="CZ61" s="1" t="n">
        <f aca="false">IF($D$5=1,MAX(0,SUM(Model!$K14:CZ14)+SUM(Model!$K61:CZ61)),0)</f>
        <v>0</v>
      </c>
      <c r="DA61" s="1" t="n">
        <f aca="false">IF($D$5=1,MAX(0,SUM(Model!$K14:DA14)+SUM(Model!$K61:DA61)),0)</f>
        <v>0</v>
      </c>
      <c r="DB61" s="1" t="n">
        <f aca="false">IF($D$5=1,MAX(0,SUM(Model!$K14:DB14)+SUM(Model!$K61:DB61)),0)</f>
        <v>0</v>
      </c>
      <c r="DC61" s="1" t="n">
        <f aca="false">IF($D$5=1,MAX(0,SUM(Model!$K14:DC14)+SUM(Model!$K61:DC61)),0)</f>
        <v>0</v>
      </c>
      <c r="DD61" s="1" t="n">
        <f aca="false">IF($D$5=1,MAX(0,SUM(Model!$K14:DD14)+SUM(Model!$K61:DD61)),0)</f>
        <v>0</v>
      </c>
      <c r="DE61" s="1" t="n">
        <f aca="false">IF($D$5=1,MAX(0,SUM(Model!$K14:DE14)+SUM(Model!$K61:DE61)),0)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v>0</v>
      </c>
      <c r="K62" s="1" t="n">
        <f aca="false">IF($D$6=1,MAX(0,SUM(Model!$K15:K15)+SUM(Model!$K62:K62)),0)</f>
        <v>0</v>
      </c>
      <c r="L62" s="1" t="n">
        <f aca="false">IF($D$6=1,MAX(0,SUM(Model!$K15:L15)+SUM(Model!$K62:L62)),0)</f>
        <v>0</v>
      </c>
      <c r="M62" s="1" t="n">
        <f aca="false">IF($D$6=1,MAX(0,SUM(Model!$K15:M15)+SUM(Model!$K62:M62)),0)</f>
        <v>0</v>
      </c>
      <c r="N62" s="1" t="n">
        <f aca="false">IF($D$6=1,MAX(0,SUM(Model!$K15:N15)+SUM(Model!$K62:N62)),0)</f>
        <v>0</v>
      </c>
      <c r="O62" s="1" t="n">
        <f aca="false">IF($D$6=1,MAX(0,SUM(Model!$K15:O15)+SUM(Model!$K62:O62)),0)</f>
        <v>0</v>
      </c>
      <c r="P62" s="1" t="n">
        <f aca="false">IF($D$6=1,MAX(0,SUM(Model!$K15:P15)+SUM(Model!$K62:P62)),0)</f>
        <v>0</v>
      </c>
      <c r="Q62" s="1" t="n">
        <f aca="false">IF($D$6=1,MAX(0,SUM(Model!$K15:Q15)+SUM(Model!$K62:Q62)),0)</f>
        <v>0</v>
      </c>
      <c r="R62" s="1" t="n">
        <f aca="false">IF($D$6=1,MAX(0,SUM(Model!$K15:R15)+SUM(Model!$K62:R62)),0)</f>
        <v>0</v>
      </c>
      <c r="S62" s="1" t="n">
        <f aca="false">IF($D$6=1,MAX(0,SUM(Model!$K15:S15)+SUM(Model!$K62:S62)),0)</f>
        <v>0</v>
      </c>
      <c r="T62" s="1" t="n">
        <f aca="false">IF($D$6=1,MAX(0,SUM(Model!$K15:T15)+SUM(Model!$K62:T62)),0)</f>
        <v>0</v>
      </c>
      <c r="U62" s="1" t="n">
        <f aca="false">IF($D$6=1,MAX(0,SUM(Model!$K15:U15)+SUM(Model!$K62:U62)),0)</f>
        <v>0</v>
      </c>
      <c r="V62" s="1" t="n">
        <f aca="false">IF($D$6=1,MAX(0,SUM(Model!$K15:V15)+SUM(Model!$K62:V62)),0)</f>
        <v>0</v>
      </c>
      <c r="W62" s="1" t="n">
        <f aca="false">IF($D$6=1,MAX(0,SUM(Model!$K15:W15)+SUM(Model!$K62:W62)),0)</f>
        <v>0</v>
      </c>
      <c r="X62" s="1" t="n">
        <f aca="false">IF($D$6=1,MAX(0,SUM(Model!$K15:X15)+SUM(Model!$K62:X62)),0)</f>
        <v>0</v>
      </c>
      <c r="Y62" s="1" t="n">
        <f aca="false">IF($D$6=1,MAX(0,SUM(Model!$K15:Y15)+SUM(Model!$K62:Y62)),0)</f>
        <v>0</v>
      </c>
      <c r="Z62" s="1" t="n">
        <f aca="false">IF($D$6=1,MAX(0,SUM(Model!$K15:Z15)+SUM(Model!$K62:Z62)),0)</f>
        <v>0</v>
      </c>
      <c r="AA62" s="1" t="n">
        <f aca="false">IF($D$6=1,MAX(0,SUM(Model!$K15:AA15)+SUM(Model!$K62:AA62)),0)</f>
        <v>0</v>
      </c>
      <c r="AB62" s="1" t="n">
        <f aca="false">IF($D$6=1,MAX(0,SUM(Model!$K15:AB15)+SUM(Model!$K62:AB62)),0)</f>
        <v>0</v>
      </c>
      <c r="AC62" s="1" t="n">
        <f aca="false">IF($D$6=1,MAX(0,SUM(Model!$K15:AC15)+SUM(Model!$K62:AC62)),0)</f>
        <v>0</v>
      </c>
      <c r="AD62" s="1" t="n">
        <f aca="false">IF($D$6=1,MAX(0,SUM(Model!$K15:AD15)+SUM(Model!$K62:AD62)),0)</f>
        <v>0</v>
      </c>
      <c r="AE62" s="1" t="n">
        <f aca="false">IF($D$6=1,MAX(0,SUM(Model!$K15:AE15)+SUM(Model!$K62:AE62)),0)</f>
        <v>0</v>
      </c>
      <c r="AF62" s="1" t="n">
        <f aca="false">IF($D$6=1,MAX(0,SUM(Model!$K15:AF15)+SUM(Model!$K62:AF62)),0)</f>
        <v>0</v>
      </c>
      <c r="AG62" s="1" t="n">
        <f aca="false">IF($D$6=1,MAX(0,SUM(Model!$K15:AG15)+SUM(Model!$K62:AG62)),0)</f>
        <v>0</v>
      </c>
      <c r="AH62" s="1" t="n">
        <f aca="false">IF($D$6=1,MAX(0,SUM(Model!$K15:AH15)+SUM(Model!$K62:AH62)),0)</f>
        <v>0</v>
      </c>
      <c r="AI62" s="1" t="n">
        <f aca="false">IF($D$6=1,MAX(0,SUM(Model!$K15:AI15)+SUM(Model!$K62:AI62)),0)</f>
        <v>0</v>
      </c>
      <c r="AJ62" s="1" t="n">
        <f aca="false">IF($D$6=1,MAX(0,SUM(Model!$K15:AJ15)+SUM(Model!$K62:AJ62)),0)</f>
        <v>0</v>
      </c>
      <c r="AK62" s="1" t="n">
        <f aca="false">IF($D$6=1,MAX(0,SUM(Model!$K15:AK15)+SUM(Model!$K62:AK62)),0)</f>
        <v>0</v>
      </c>
      <c r="AL62" s="1" t="n">
        <f aca="false">IF($D$6=1,MAX(0,SUM(Model!$K15:AL15)+SUM(Model!$K62:AL62)),0)</f>
        <v>0</v>
      </c>
      <c r="AM62" s="1" t="n">
        <f aca="false">IF($D$6=1,MAX(0,SUM(Model!$K15:AM15)+SUM(Model!$K62:AM62)),0)</f>
        <v>0</v>
      </c>
      <c r="AN62" s="1" t="n">
        <f aca="false">IF($D$6=1,MAX(0,SUM(Model!$K15:AN15)+SUM(Model!$K62:AN62)),0)</f>
        <v>0</v>
      </c>
      <c r="AO62" s="1" t="n">
        <f aca="false">IF($D$6=1,MAX(0,SUM(Model!$K15:AO15)+SUM(Model!$K62:AO62)),0)</f>
        <v>0</v>
      </c>
      <c r="AP62" s="1" t="n">
        <f aca="false">IF($D$6=1,MAX(0,SUM(Model!$K15:AP15)+SUM(Model!$K62:AP62)),0)</f>
        <v>0</v>
      </c>
      <c r="AQ62" s="1" t="n">
        <f aca="false">IF($D$6=1,MAX(0,SUM(Model!$K15:AQ15)+SUM(Model!$K62:AQ62)),0)</f>
        <v>0</v>
      </c>
      <c r="AR62" s="1" t="n">
        <f aca="false">IF($D$6=1,MAX(0,SUM(Model!$K15:AR15)+SUM(Model!$K62:AR62)),0)</f>
        <v>0</v>
      </c>
      <c r="AS62" s="1" t="n">
        <f aca="false">IF($D$6=1,MAX(0,SUM(Model!$K15:AS15)+SUM(Model!$K62:AS62)),0)</f>
        <v>0</v>
      </c>
      <c r="AT62" s="1" t="n">
        <f aca="false">IF($D$6=1,MAX(0,SUM(Model!$K15:AT15)+SUM(Model!$K62:AT62)),0)</f>
        <v>0</v>
      </c>
      <c r="AU62" s="1" t="n">
        <f aca="false">IF($D$6=1,MAX(0,SUM(Model!$K15:AU15)+SUM(Model!$K62:AU62)),0)</f>
        <v>0</v>
      </c>
      <c r="AV62" s="1" t="n">
        <f aca="false">IF($D$6=1,MAX(0,SUM(Model!$K15:AV15)+SUM(Model!$K62:AV62)),0)</f>
        <v>0</v>
      </c>
      <c r="AW62" s="1" t="n">
        <f aca="false">IF($D$6=1,MAX(0,SUM(Model!$K15:AW15)+SUM(Model!$K62:AW62)),0)</f>
        <v>0</v>
      </c>
      <c r="AX62" s="1" t="n">
        <f aca="false">IF($D$6=1,MAX(0,SUM(Model!$K15:AX15)+SUM(Model!$K62:AX62)),0)</f>
        <v>0</v>
      </c>
      <c r="AY62" s="1" t="n">
        <f aca="false">IF($D$6=1,MAX(0,SUM(Model!$K15:AY15)+SUM(Model!$K62:AY62)),0)</f>
        <v>0</v>
      </c>
      <c r="AZ62" s="1" t="n">
        <f aca="false">IF($D$6=1,MAX(0,SUM(Model!$K15:AZ15)+SUM(Model!$K62:AZ62)),0)</f>
        <v>0</v>
      </c>
      <c r="BA62" s="1" t="n">
        <f aca="false">IF($D$6=1,MAX(0,SUM(Model!$K15:BA15)+SUM(Model!$K62:BA62)),0)</f>
        <v>0</v>
      </c>
      <c r="BB62" s="1" t="n">
        <f aca="false">IF($D$6=1,MAX(0,SUM(Model!$K15:BB15)+SUM(Model!$K62:BB62)),0)</f>
        <v>0</v>
      </c>
      <c r="BC62" s="1" t="n">
        <f aca="false">IF($D$6=1,MAX(0,SUM(Model!$K15:BC15)+SUM(Model!$K62:BC62)),0)</f>
        <v>0</v>
      </c>
      <c r="BD62" s="1" t="n">
        <f aca="false">IF($D$6=1,MAX(0,SUM(Model!$K15:BD15)+SUM(Model!$K62:BD62)),0)</f>
        <v>0</v>
      </c>
      <c r="BE62" s="1" t="n">
        <f aca="false">IF($D$6=1,MAX(0,SUM(Model!$K15:BE15)+SUM(Model!$K62:BE62)),0)</f>
        <v>0</v>
      </c>
      <c r="BF62" s="1" t="n">
        <f aca="false">IF($D$6=1,MAX(0,SUM(Model!$K15:BF15)+SUM(Model!$K62:BF62)),0)</f>
        <v>0</v>
      </c>
      <c r="BG62" s="1" t="n">
        <f aca="false">IF($D$6=1,MAX(0,SUM(Model!$K15:BG15)+SUM(Model!$K62:BG62)),0)</f>
        <v>0</v>
      </c>
      <c r="BH62" s="1" t="n">
        <f aca="false">IF($D$6=1,MAX(0,SUM(Model!$K15:BH15)+SUM(Model!$K62:BH62)),0)</f>
        <v>0</v>
      </c>
      <c r="BI62" s="1" t="n">
        <f aca="false">IF($D$6=1,MAX(0,SUM(Model!$K15:BI15)+SUM(Model!$K62:BI62)),0)</f>
        <v>0</v>
      </c>
      <c r="BJ62" s="1" t="n">
        <f aca="false">IF($D$6=1,MAX(0,SUM(Model!$K15:BJ15)+SUM(Model!$K62:BJ62)),0)</f>
        <v>0</v>
      </c>
      <c r="BK62" s="1" t="n">
        <f aca="false">IF($D$6=1,MAX(0,SUM(Model!$K15:BK15)+SUM(Model!$K62:BK62)),0)</f>
        <v>0</v>
      </c>
      <c r="BL62" s="1" t="n">
        <f aca="false">IF($D$6=1,MAX(0,SUM(Model!$K15:BL15)+SUM(Model!$K62:BL62)),0)</f>
        <v>0</v>
      </c>
      <c r="BM62" s="1" t="n">
        <f aca="false">IF($D$6=1,MAX(0,SUM(Model!$K15:BM15)+SUM(Model!$K62:BM62)),0)</f>
        <v>0</v>
      </c>
      <c r="BN62" s="1" t="n">
        <f aca="false">IF($D$6=1,MAX(0,SUM(Model!$K15:BN15)+SUM(Model!$K62:BN62)),0)</f>
        <v>0</v>
      </c>
      <c r="BO62" s="1" t="n">
        <f aca="false">IF($D$6=1,MAX(0,SUM(Model!$K15:BO15)+SUM(Model!$K62:BO62)),0)</f>
        <v>0</v>
      </c>
      <c r="BP62" s="1" t="n">
        <f aca="false">IF($D$6=1,MAX(0,SUM(Model!$K15:BP15)+SUM(Model!$K62:BP62)),0)</f>
        <v>0</v>
      </c>
      <c r="BQ62" s="1" t="n">
        <f aca="false">IF($D$6=1,MAX(0,SUM(Model!$K15:BQ15)+SUM(Model!$K62:BQ62)),0)</f>
        <v>0</v>
      </c>
      <c r="BR62" s="1" t="n">
        <f aca="false">IF($D$6=1,MAX(0,SUM(Model!$K15:BR15)+SUM(Model!$K62:BR62)),0)</f>
        <v>0</v>
      </c>
      <c r="BS62" s="1" t="n">
        <f aca="false">IF($D$6=1,MAX(0,SUM(Model!$K15:BS15)+SUM(Model!$K62:BS62)),0)</f>
        <v>0</v>
      </c>
      <c r="BT62" s="1" t="n">
        <f aca="false">IF($D$6=1,MAX(0,SUM(Model!$K15:BT15)+SUM(Model!$K62:BT62)),0)</f>
        <v>0</v>
      </c>
      <c r="BU62" s="1" t="n">
        <f aca="false">IF($D$6=1,MAX(0,SUM(Model!$K15:BU15)+SUM(Model!$K62:BU62)),0)</f>
        <v>0</v>
      </c>
      <c r="BV62" s="1" t="n">
        <f aca="false">IF($D$6=1,MAX(0,SUM(Model!$K15:BV15)+SUM(Model!$K62:BV62)),0)</f>
        <v>0</v>
      </c>
      <c r="BW62" s="1" t="n">
        <f aca="false">IF($D$6=1,MAX(0,SUM(Model!$K15:BW15)+SUM(Model!$K62:BW62)),0)</f>
        <v>0</v>
      </c>
      <c r="BX62" s="1" t="n">
        <f aca="false">IF($D$6=1,MAX(0,SUM(Model!$K15:BX15)+SUM(Model!$K62:BX62)),0)</f>
        <v>0</v>
      </c>
      <c r="BY62" s="1" t="n">
        <f aca="false">IF($D$6=1,MAX(0,SUM(Model!$K15:BY15)+SUM(Model!$K62:BY62)),0)</f>
        <v>0</v>
      </c>
      <c r="BZ62" s="1" t="n">
        <f aca="false">IF($D$6=1,MAX(0,SUM(Model!$K15:BZ15)+SUM(Model!$K62:BZ62)),0)</f>
        <v>0</v>
      </c>
      <c r="CA62" s="1" t="n">
        <f aca="false">IF($D$6=1,MAX(0,SUM(Model!$K15:CA15)+SUM(Model!$K62:CA62)),0)</f>
        <v>0</v>
      </c>
      <c r="CB62" s="1" t="n">
        <f aca="false">IF($D$6=1,MAX(0,SUM(Model!$K15:CB15)+SUM(Model!$K62:CB62)),0)</f>
        <v>0</v>
      </c>
      <c r="CC62" s="1" t="n">
        <f aca="false">IF($D$6=1,MAX(0,SUM(Model!$K15:CC15)+SUM(Model!$K62:CC62)),0)</f>
        <v>0</v>
      </c>
      <c r="CD62" s="1" t="n">
        <f aca="false">IF($D$6=1,MAX(0,SUM(Model!$K15:CD15)+SUM(Model!$K62:CD62)),0)</f>
        <v>0</v>
      </c>
      <c r="CE62" s="1" t="n">
        <f aca="false">IF($D$6=1,MAX(0,SUM(Model!$K15:CE15)+SUM(Model!$K62:CE62)),0)</f>
        <v>0</v>
      </c>
      <c r="CF62" s="1" t="n">
        <f aca="false">IF($D$6=1,MAX(0,SUM(Model!$K15:CF15)+SUM(Model!$K62:CF62)),0)</f>
        <v>0</v>
      </c>
      <c r="CG62" s="1" t="n">
        <f aca="false">IF($D$6=1,MAX(0,SUM(Model!$K15:CG15)+SUM(Model!$K62:CG62)),0)</f>
        <v>0</v>
      </c>
      <c r="CH62" s="1" t="n">
        <f aca="false">IF($D$6=1,MAX(0,SUM(Model!$K15:CH15)+SUM(Model!$K62:CH62)),0)</f>
        <v>0</v>
      </c>
      <c r="CI62" s="1" t="n">
        <f aca="false">IF($D$6=1,MAX(0,SUM(Model!$K15:CI15)+SUM(Model!$K62:CI62)),0)</f>
        <v>0</v>
      </c>
      <c r="CJ62" s="1" t="n">
        <f aca="false">IF($D$6=1,MAX(0,SUM(Model!$K15:CJ15)+SUM(Model!$K62:CJ62)),0)</f>
        <v>0</v>
      </c>
      <c r="CK62" s="1" t="n">
        <f aca="false">IF($D$6=1,MAX(0,SUM(Model!$K15:CK15)+SUM(Model!$K62:CK62)),0)</f>
        <v>0</v>
      </c>
      <c r="CL62" s="1" t="n">
        <f aca="false">IF($D$6=1,MAX(0,SUM(Model!$K15:CL15)+SUM(Model!$K62:CL62)),0)</f>
        <v>0</v>
      </c>
      <c r="CM62" s="1" t="n">
        <f aca="false">IF($D$6=1,MAX(0,SUM(Model!$K15:CM15)+SUM(Model!$K62:CM62)),0)</f>
        <v>0</v>
      </c>
      <c r="CN62" s="1" t="n">
        <f aca="false">IF($D$6=1,MAX(0,SUM(Model!$K15:CN15)+SUM(Model!$K62:CN62)),0)</f>
        <v>0</v>
      </c>
      <c r="CO62" s="1" t="n">
        <f aca="false">IF($D$6=1,MAX(0,SUM(Model!$K15:CO15)+SUM(Model!$K62:CO62)),0)</f>
        <v>0</v>
      </c>
      <c r="CP62" s="1" t="n">
        <f aca="false">IF($D$6=1,MAX(0,SUM(Model!$K15:CP15)+SUM(Model!$K62:CP62)),0)</f>
        <v>0</v>
      </c>
      <c r="CQ62" s="1" t="n">
        <f aca="false">IF($D$6=1,MAX(0,SUM(Model!$K15:CQ15)+SUM(Model!$K62:CQ62)),0)</f>
        <v>0</v>
      </c>
      <c r="CR62" s="1" t="n">
        <f aca="false">IF($D$6=1,MAX(0,SUM(Model!$K15:CR15)+SUM(Model!$K62:CR62)),0)</f>
        <v>0</v>
      </c>
      <c r="CS62" s="1" t="n">
        <f aca="false">IF($D$6=1,MAX(0,SUM(Model!$K15:CS15)+SUM(Model!$K62:CS62)),0)</f>
        <v>0</v>
      </c>
      <c r="CT62" s="1" t="n">
        <f aca="false">IF($D$6=1,MAX(0,SUM(Model!$K15:CT15)+SUM(Model!$K62:CT62)),0)</f>
        <v>0</v>
      </c>
      <c r="CU62" s="1" t="n">
        <f aca="false">IF($D$6=1,MAX(0,SUM(Model!$K15:CU15)+SUM(Model!$K62:CU62)),0)</f>
        <v>0</v>
      </c>
      <c r="CV62" s="1" t="n">
        <f aca="false">IF($D$6=1,MAX(0,SUM(Model!$K15:CV15)+SUM(Model!$K62:CV62)),0)</f>
        <v>0</v>
      </c>
      <c r="CW62" s="1" t="n">
        <f aca="false">IF($D$6=1,MAX(0,SUM(Model!$K15:CW15)+SUM(Model!$K62:CW62)),0)</f>
        <v>0</v>
      </c>
      <c r="CX62" s="1" t="n">
        <f aca="false">IF($D$6=1,MAX(0,SUM(Model!$K15:CX15)+SUM(Model!$K62:CX62)),0)</f>
        <v>0</v>
      </c>
      <c r="CY62" s="1" t="n">
        <f aca="false">IF($D$6=1,MAX(0,SUM(Model!$K15:CY15)+SUM(Model!$K62:CY62)),0)</f>
        <v>0</v>
      </c>
      <c r="CZ62" s="1" t="n">
        <f aca="false">IF($D$6=1,MAX(0,SUM(Model!$K15:CZ15)+SUM(Model!$K62:CZ62)),0)</f>
        <v>0</v>
      </c>
      <c r="DA62" s="1" t="n">
        <f aca="false">IF($D$6=1,MAX(0,SUM(Model!$K15:DA15)+SUM(Model!$K62:DA62)),0)</f>
        <v>0</v>
      </c>
      <c r="DB62" s="1" t="n">
        <f aca="false">IF($D$6=1,MAX(0,SUM(Model!$K15:DB15)+SUM(Model!$K62:DB62)),0)</f>
        <v>0</v>
      </c>
      <c r="DC62" s="1" t="n">
        <f aca="false">IF($D$6=1,MAX(0,SUM(Model!$K15:DC15)+SUM(Model!$K62:DC62)),0)</f>
        <v>0</v>
      </c>
      <c r="DD62" s="1" t="n">
        <f aca="false">IF($D$6=1,MAX(0,SUM(Model!$K15:DD15)+SUM(Model!$K62:DD62)),0)</f>
        <v>0</v>
      </c>
      <c r="DE62" s="1" t="n">
        <f aca="false">IF($D$6=1,MAX(0,SUM(Model!$K15:DE15)+SUM(Model!$K62:DE62)),0)</f>
        <v>0</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v>0</v>
      </c>
      <c r="K63" s="1" t="n">
        <f aca="false">IF($D$7=1,MAX(0,SUM(Model!$K16:K16)+SUM(Model!$K63:K63)),0)</f>
        <v>0</v>
      </c>
      <c r="L63" s="1" t="n">
        <f aca="false">IF($D$7=1,MAX(0,SUM(Model!$K16:L16)+SUM(Model!$K63:L63)),0)</f>
        <v>0</v>
      </c>
      <c r="M63" s="1" t="n">
        <f aca="false">IF($D$7=1,MAX(0,SUM(Model!$K16:M16)+SUM(Model!$K63:M63)),0)</f>
        <v>0</v>
      </c>
      <c r="N63" s="1" t="n">
        <f aca="false">IF($D$7=1,MAX(0,SUM(Model!$K16:N16)+SUM(Model!$K63:N63)),0)</f>
        <v>0</v>
      </c>
      <c r="O63" s="1" t="n">
        <f aca="false">IF($D$7=1,MAX(0,SUM(Model!$K16:O16)+SUM(Model!$K63:O63)),0)</f>
        <v>0</v>
      </c>
      <c r="P63" s="1" t="n">
        <f aca="false">IF($D$7=1,MAX(0,SUM(Model!$K16:P16)+SUM(Model!$K63:P63)),0)</f>
        <v>0</v>
      </c>
      <c r="Q63" s="1" t="n">
        <f aca="false">IF($D$7=1,MAX(0,SUM(Model!$K16:Q16)+SUM(Model!$K63:Q63)),0)</f>
        <v>0</v>
      </c>
      <c r="R63" s="1" t="n">
        <f aca="false">IF($D$7=1,MAX(0,SUM(Model!$K16:R16)+SUM(Model!$K63:R63)),0)</f>
        <v>0</v>
      </c>
      <c r="S63" s="1" t="n">
        <f aca="false">IF($D$7=1,MAX(0,SUM(Model!$K16:S16)+SUM(Model!$K63:S63)),0)</f>
        <v>0</v>
      </c>
      <c r="T63" s="1" t="n">
        <f aca="false">IF($D$7=1,MAX(0,SUM(Model!$K16:T16)+SUM(Model!$K63:T63)),0)</f>
        <v>0</v>
      </c>
      <c r="U63" s="1" t="n">
        <f aca="false">IF($D$7=1,MAX(0,SUM(Model!$K16:U16)+SUM(Model!$K63:U63)),0)</f>
        <v>0</v>
      </c>
      <c r="V63" s="1" t="n">
        <f aca="false">IF($D$7=1,MAX(0,SUM(Model!$K16:V16)+SUM(Model!$K63:V63)),0)</f>
        <v>0</v>
      </c>
      <c r="W63" s="1" t="n">
        <f aca="false">IF($D$7=1,MAX(0,SUM(Model!$K16:W16)+SUM(Model!$K63:W63)),0)</f>
        <v>0</v>
      </c>
      <c r="X63" s="1" t="n">
        <f aca="false">IF($D$7=1,MAX(0,SUM(Model!$K16:X16)+SUM(Model!$K63:X63)),0)</f>
        <v>0</v>
      </c>
      <c r="Y63" s="1" t="n">
        <f aca="false">IF($D$7=1,MAX(0,SUM(Model!$K16:Y16)+SUM(Model!$K63:Y63)),0)</f>
        <v>0</v>
      </c>
      <c r="Z63" s="1" t="n">
        <f aca="false">IF($D$7=1,MAX(0,SUM(Model!$K16:Z16)+SUM(Model!$K63:Z63)),0)</f>
        <v>0</v>
      </c>
      <c r="AA63" s="1" t="n">
        <f aca="false">IF($D$7=1,MAX(0,SUM(Model!$K16:AA16)+SUM(Model!$K63:AA63)),0)</f>
        <v>0</v>
      </c>
      <c r="AB63" s="1" t="n">
        <f aca="false">IF($D$7=1,MAX(0,SUM(Model!$K16:AB16)+SUM(Model!$K63:AB63)),0)</f>
        <v>0</v>
      </c>
      <c r="AC63" s="1" t="n">
        <f aca="false">IF($D$7=1,MAX(0,SUM(Model!$K16:AC16)+SUM(Model!$K63:AC63)),0)</f>
        <v>0</v>
      </c>
      <c r="AD63" s="1" t="n">
        <f aca="false">IF($D$7=1,MAX(0,SUM(Model!$K16:AD16)+SUM(Model!$K63:AD63)),0)</f>
        <v>0</v>
      </c>
      <c r="AE63" s="1" t="n">
        <f aca="false">IF($D$7=1,MAX(0,SUM(Model!$K16:AE16)+SUM(Model!$K63:AE63)),0)</f>
        <v>0</v>
      </c>
      <c r="AF63" s="1" t="n">
        <f aca="false">IF($D$7=1,MAX(0,SUM(Model!$K16:AF16)+SUM(Model!$K63:AF63)),0)</f>
        <v>0</v>
      </c>
      <c r="AG63" s="1" t="n">
        <f aca="false">IF($D$7=1,MAX(0,SUM(Model!$K16:AG16)+SUM(Model!$K63:AG63)),0)</f>
        <v>0</v>
      </c>
      <c r="AH63" s="1" t="n">
        <f aca="false">IF($D$7=1,MAX(0,SUM(Model!$K16:AH16)+SUM(Model!$K63:AH63)),0)</f>
        <v>0</v>
      </c>
      <c r="AI63" s="1" t="n">
        <f aca="false">IF($D$7=1,MAX(0,SUM(Model!$K16:AI16)+SUM(Model!$K63:AI63)),0)</f>
        <v>0</v>
      </c>
      <c r="AJ63" s="1" t="n">
        <f aca="false">IF($D$7=1,MAX(0,SUM(Model!$K16:AJ16)+SUM(Model!$K63:AJ63)),0)</f>
        <v>0</v>
      </c>
      <c r="AK63" s="1" t="n">
        <f aca="false">IF($D$7=1,MAX(0,SUM(Model!$K16:AK16)+SUM(Model!$K63:AK63)),0)</f>
        <v>0</v>
      </c>
      <c r="AL63" s="1" t="n">
        <f aca="false">IF($D$7=1,MAX(0,SUM(Model!$K16:AL16)+SUM(Model!$K63:AL63)),0)</f>
        <v>0</v>
      </c>
      <c r="AM63" s="1" t="n">
        <f aca="false">IF($D$7=1,MAX(0,SUM(Model!$K16:AM16)+SUM(Model!$K63:AM63)),0)</f>
        <v>0</v>
      </c>
      <c r="AN63" s="1" t="n">
        <f aca="false">IF($D$7=1,MAX(0,SUM(Model!$K16:AN16)+SUM(Model!$K63:AN63)),0)</f>
        <v>0</v>
      </c>
      <c r="AO63" s="1" t="n">
        <f aca="false">IF($D$7=1,MAX(0,SUM(Model!$K16:AO16)+SUM(Model!$K63:AO63)),0)</f>
        <v>0</v>
      </c>
      <c r="AP63" s="1" t="n">
        <f aca="false">IF($D$7=1,MAX(0,SUM(Model!$K16:AP16)+SUM(Model!$K63:AP63)),0)</f>
        <v>0</v>
      </c>
      <c r="AQ63" s="1" t="n">
        <f aca="false">IF($D$7=1,MAX(0,SUM(Model!$K16:AQ16)+SUM(Model!$K63:AQ63)),0)</f>
        <v>0</v>
      </c>
      <c r="AR63" s="1" t="n">
        <f aca="false">IF($D$7=1,MAX(0,SUM(Model!$K16:AR16)+SUM(Model!$K63:AR63)),0)</f>
        <v>0</v>
      </c>
      <c r="AS63" s="1" t="n">
        <f aca="false">IF($D$7=1,MAX(0,SUM(Model!$K16:AS16)+SUM(Model!$K63:AS63)),0)</f>
        <v>0</v>
      </c>
      <c r="AT63" s="1" t="n">
        <f aca="false">IF($D$7=1,MAX(0,SUM(Model!$K16:AT16)+SUM(Model!$K63:AT63)),0)</f>
        <v>0</v>
      </c>
      <c r="AU63" s="1" t="n">
        <f aca="false">IF($D$7=1,MAX(0,SUM(Model!$K16:AU16)+SUM(Model!$K63:AU63)),0)</f>
        <v>0</v>
      </c>
      <c r="AV63" s="1" t="n">
        <f aca="false">IF($D$7=1,MAX(0,SUM(Model!$K16:AV16)+SUM(Model!$K63:AV63)),0)</f>
        <v>0</v>
      </c>
      <c r="AW63" s="1" t="n">
        <f aca="false">IF($D$7=1,MAX(0,SUM(Model!$K16:AW16)+SUM(Model!$K63:AW63)),0)</f>
        <v>0</v>
      </c>
      <c r="AX63" s="1" t="n">
        <f aca="false">IF($D$7=1,MAX(0,SUM(Model!$K16:AX16)+SUM(Model!$K63:AX63)),0)</f>
        <v>0</v>
      </c>
      <c r="AY63" s="1" t="n">
        <f aca="false">IF($D$7=1,MAX(0,SUM(Model!$K16:AY16)+SUM(Model!$K63:AY63)),0)</f>
        <v>0</v>
      </c>
      <c r="AZ63" s="1" t="n">
        <f aca="false">IF($D$7=1,MAX(0,SUM(Model!$K16:AZ16)+SUM(Model!$K63:AZ63)),0)</f>
        <v>0</v>
      </c>
      <c r="BA63" s="1" t="n">
        <f aca="false">IF($D$7=1,MAX(0,SUM(Model!$K16:BA16)+SUM(Model!$K63:BA63)),0)</f>
        <v>0</v>
      </c>
      <c r="BB63" s="1" t="n">
        <f aca="false">IF($D$7=1,MAX(0,SUM(Model!$K16:BB16)+SUM(Model!$K63:BB63)),0)</f>
        <v>0</v>
      </c>
      <c r="BC63" s="1" t="n">
        <f aca="false">IF($D$7=1,MAX(0,SUM(Model!$K16:BC16)+SUM(Model!$K63:BC63)),0)</f>
        <v>0</v>
      </c>
      <c r="BD63" s="1" t="n">
        <f aca="false">IF($D$7=1,MAX(0,SUM(Model!$K16:BD16)+SUM(Model!$K63:BD63)),0)</f>
        <v>0</v>
      </c>
      <c r="BE63" s="1" t="n">
        <f aca="false">IF($D$7=1,MAX(0,SUM(Model!$K16:BE16)+SUM(Model!$K63:BE63)),0)</f>
        <v>0</v>
      </c>
      <c r="BF63" s="1" t="n">
        <f aca="false">IF($D$7=1,MAX(0,SUM(Model!$K16:BF16)+SUM(Model!$K63:BF63)),0)</f>
        <v>0</v>
      </c>
      <c r="BG63" s="1" t="n">
        <f aca="false">IF($D$7=1,MAX(0,SUM(Model!$K16:BG16)+SUM(Model!$K63:BG63)),0)</f>
        <v>0</v>
      </c>
      <c r="BH63" s="1" t="n">
        <f aca="false">IF($D$7=1,MAX(0,SUM(Model!$K16:BH16)+SUM(Model!$K63:BH63)),0)</f>
        <v>0</v>
      </c>
      <c r="BI63" s="1" t="n">
        <f aca="false">IF($D$7=1,MAX(0,SUM(Model!$K16:BI16)+SUM(Model!$K63:BI63)),0)</f>
        <v>0</v>
      </c>
      <c r="BJ63" s="1" t="n">
        <f aca="false">IF($D$7=1,MAX(0,SUM(Model!$K16:BJ16)+SUM(Model!$K63:BJ63)),0)</f>
        <v>0</v>
      </c>
      <c r="BK63" s="1" t="n">
        <f aca="false">IF($D$7=1,MAX(0,SUM(Model!$K16:BK16)+SUM(Model!$K63:BK63)),0)</f>
        <v>0</v>
      </c>
      <c r="BL63" s="1" t="n">
        <f aca="false">IF($D$7=1,MAX(0,SUM(Model!$K16:BL16)+SUM(Model!$K63:BL63)),0)</f>
        <v>0</v>
      </c>
      <c r="BM63" s="1" t="n">
        <f aca="false">IF($D$7=1,MAX(0,SUM(Model!$K16:BM16)+SUM(Model!$K63:BM63)),0)</f>
        <v>0</v>
      </c>
      <c r="BN63" s="1" t="n">
        <f aca="false">IF($D$7=1,MAX(0,SUM(Model!$K16:BN16)+SUM(Model!$K63:BN63)),0)</f>
        <v>0</v>
      </c>
      <c r="BO63" s="1" t="n">
        <f aca="false">IF($D$7=1,MAX(0,SUM(Model!$K16:BO16)+SUM(Model!$K63:BO63)),0)</f>
        <v>0</v>
      </c>
      <c r="BP63" s="1" t="n">
        <f aca="false">IF($D$7=1,MAX(0,SUM(Model!$K16:BP16)+SUM(Model!$K63:BP63)),0)</f>
        <v>0</v>
      </c>
      <c r="BQ63" s="1" t="n">
        <f aca="false">IF($D$7=1,MAX(0,SUM(Model!$K16:BQ16)+SUM(Model!$K63:BQ63)),0)</f>
        <v>0</v>
      </c>
      <c r="BR63" s="1" t="n">
        <f aca="false">IF($D$7=1,MAX(0,SUM(Model!$K16:BR16)+SUM(Model!$K63:BR63)),0)</f>
        <v>0</v>
      </c>
      <c r="BS63" s="1" t="n">
        <f aca="false">IF($D$7=1,MAX(0,SUM(Model!$K16:BS16)+SUM(Model!$K63:BS63)),0)</f>
        <v>0</v>
      </c>
      <c r="BT63" s="1" t="n">
        <f aca="false">IF($D$7=1,MAX(0,SUM(Model!$K16:BT16)+SUM(Model!$K63:BT63)),0)</f>
        <v>0</v>
      </c>
      <c r="BU63" s="1" t="n">
        <f aca="false">IF($D$7=1,MAX(0,SUM(Model!$K16:BU16)+SUM(Model!$K63:BU63)),0)</f>
        <v>0</v>
      </c>
      <c r="BV63" s="1" t="n">
        <f aca="false">IF($D$7=1,MAX(0,SUM(Model!$K16:BV16)+SUM(Model!$K63:BV63)),0)</f>
        <v>0</v>
      </c>
      <c r="BW63" s="1" t="n">
        <f aca="false">IF($D$7=1,MAX(0,SUM(Model!$K16:BW16)+SUM(Model!$K63:BW63)),0)</f>
        <v>0</v>
      </c>
      <c r="BX63" s="1" t="n">
        <f aca="false">IF($D$7=1,MAX(0,SUM(Model!$K16:BX16)+SUM(Model!$K63:BX63)),0)</f>
        <v>0</v>
      </c>
      <c r="BY63" s="1" t="n">
        <f aca="false">IF($D$7=1,MAX(0,SUM(Model!$K16:BY16)+SUM(Model!$K63:BY63)),0)</f>
        <v>0</v>
      </c>
      <c r="BZ63" s="1" t="n">
        <f aca="false">IF($D$7=1,MAX(0,SUM(Model!$K16:BZ16)+SUM(Model!$K63:BZ63)),0)</f>
        <v>0</v>
      </c>
      <c r="CA63" s="1" t="n">
        <f aca="false">IF($D$7=1,MAX(0,SUM(Model!$K16:CA16)+SUM(Model!$K63:CA63)),0)</f>
        <v>0</v>
      </c>
      <c r="CB63" s="1" t="n">
        <f aca="false">IF($D$7=1,MAX(0,SUM(Model!$K16:CB16)+SUM(Model!$K63:CB63)),0)</f>
        <v>0</v>
      </c>
      <c r="CC63" s="1" t="n">
        <f aca="false">IF($D$7=1,MAX(0,SUM(Model!$K16:CC16)+SUM(Model!$K63:CC63)),0)</f>
        <v>0</v>
      </c>
      <c r="CD63" s="1" t="n">
        <f aca="false">IF($D$7=1,MAX(0,SUM(Model!$K16:CD16)+SUM(Model!$K63:CD63)),0)</f>
        <v>0</v>
      </c>
      <c r="CE63" s="1" t="n">
        <f aca="false">IF($D$7=1,MAX(0,SUM(Model!$K16:CE16)+SUM(Model!$K63:CE63)),0)</f>
        <v>0</v>
      </c>
      <c r="CF63" s="1" t="n">
        <f aca="false">IF($D$7=1,MAX(0,SUM(Model!$K16:CF16)+SUM(Model!$K63:CF63)),0)</f>
        <v>0</v>
      </c>
      <c r="CG63" s="1" t="n">
        <f aca="false">IF($D$7=1,MAX(0,SUM(Model!$K16:CG16)+SUM(Model!$K63:CG63)),0)</f>
        <v>0</v>
      </c>
      <c r="CH63" s="1" t="n">
        <f aca="false">IF($D$7=1,MAX(0,SUM(Model!$K16:CH16)+SUM(Model!$K63:CH63)),0)</f>
        <v>0</v>
      </c>
      <c r="CI63" s="1" t="n">
        <f aca="false">IF($D$7=1,MAX(0,SUM(Model!$K16:CI16)+SUM(Model!$K63:CI63)),0)</f>
        <v>0</v>
      </c>
      <c r="CJ63" s="1" t="n">
        <f aca="false">IF($D$7=1,MAX(0,SUM(Model!$K16:CJ16)+SUM(Model!$K63:CJ63)),0)</f>
        <v>0</v>
      </c>
      <c r="CK63" s="1" t="n">
        <f aca="false">IF($D$7=1,MAX(0,SUM(Model!$K16:CK16)+SUM(Model!$K63:CK63)),0)</f>
        <v>0</v>
      </c>
      <c r="CL63" s="1" t="n">
        <f aca="false">IF($D$7=1,MAX(0,SUM(Model!$K16:CL16)+SUM(Model!$K63:CL63)),0)</f>
        <v>0</v>
      </c>
      <c r="CM63" s="1" t="n">
        <f aca="false">IF($D$7=1,MAX(0,SUM(Model!$K16:CM16)+SUM(Model!$K63:CM63)),0)</f>
        <v>0</v>
      </c>
      <c r="CN63" s="1" t="n">
        <f aca="false">IF($D$7=1,MAX(0,SUM(Model!$K16:CN16)+SUM(Model!$K63:CN63)),0)</f>
        <v>0</v>
      </c>
      <c r="CO63" s="1" t="n">
        <f aca="false">IF($D$7=1,MAX(0,SUM(Model!$K16:CO16)+SUM(Model!$K63:CO63)),0)</f>
        <v>0</v>
      </c>
      <c r="CP63" s="1" t="n">
        <f aca="false">IF($D$7=1,MAX(0,SUM(Model!$K16:CP16)+SUM(Model!$K63:CP63)),0)</f>
        <v>0</v>
      </c>
      <c r="CQ63" s="1" t="n">
        <f aca="false">IF($D$7=1,MAX(0,SUM(Model!$K16:CQ16)+SUM(Model!$K63:CQ63)),0)</f>
        <v>0</v>
      </c>
      <c r="CR63" s="1" t="n">
        <f aca="false">IF($D$7=1,MAX(0,SUM(Model!$K16:CR16)+SUM(Model!$K63:CR63)),0)</f>
        <v>0</v>
      </c>
      <c r="CS63" s="1" t="n">
        <f aca="false">IF($D$7=1,MAX(0,SUM(Model!$K16:CS16)+SUM(Model!$K63:CS63)),0)</f>
        <v>0</v>
      </c>
      <c r="CT63" s="1" t="n">
        <f aca="false">IF($D$7=1,MAX(0,SUM(Model!$K16:CT16)+SUM(Model!$K63:CT63)),0)</f>
        <v>0</v>
      </c>
      <c r="CU63" s="1" t="n">
        <f aca="false">IF($D$7=1,MAX(0,SUM(Model!$K16:CU16)+SUM(Model!$K63:CU63)),0)</f>
        <v>0</v>
      </c>
      <c r="CV63" s="1" t="n">
        <f aca="false">IF($D$7=1,MAX(0,SUM(Model!$K16:CV16)+SUM(Model!$K63:CV63)),0)</f>
        <v>0</v>
      </c>
      <c r="CW63" s="1" t="n">
        <f aca="false">IF($D$7=1,MAX(0,SUM(Model!$K16:CW16)+SUM(Model!$K63:CW63)),0)</f>
        <v>0</v>
      </c>
      <c r="CX63" s="1" t="n">
        <f aca="false">IF($D$7=1,MAX(0,SUM(Model!$K16:CX16)+SUM(Model!$K63:CX63)),0)</f>
        <v>0</v>
      </c>
      <c r="CY63" s="1" t="n">
        <f aca="false">IF($D$7=1,MAX(0,SUM(Model!$K16:CY16)+SUM(Model!$K63:CY63)),0)</f>
        <v>0</v>
      </c>
      <c r="CZ63" s="1" t="n">
        <f aca="false">IF($D$7=1,MAX(0,SUM(Model!$K16:CZ16)+SUM(Model!$K63:CZ63)),0)</f>
        <v>0</v>
      </c>
      <c r="DA63" s="1" t="n">
        <f aca="false">IF($D$7=1,MAX(0,SUM(Model!$K16:DA16)+SUM(Model!$K63:DA63)),0)</f>
        <v>0</v>
      </c>
      <c r="DB63" s="1" t="n">
        <f aca="false">IF($D$7=1,MAX(0,SUM(Model!$K16:DB16)+SUM(Model!$K63:DB63)),0)</f>
        <v>0</v>
      </c>
      <c r="DC63" s="1" t="n">
        <f aca="false">IF($D$7=1,MAX(0,SUM(Model!$K16:DC16)+SUM(Model!$K63:DC63)),0)</f>
        <v>0</v>
      </c>
      <c r="DD63" s="1" t="n">
        <f aca="false">IF($D$7=1,MAX(0,SUM(Model!$K16:DD16)+SUM(Model!$K63:DD63)),0)</f>
        <v>0</v>
      </c>
      <c r="DE63" s="1" t="n">
        <f aca="false">IF($D$7=1,MAX(0,SUM(Model!$K16:DE16)+SUM(Model!$K63:DE63)),0)</f>
        <v>0</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v>0</v>
      </c>
      <c r="K64" s="1" t="n">
        <f aca="false">IF($D$8=1,MAX(0,SUM(Model!$K17:K17)+SUM(Model!$K64:K64)),0)</f>
        <v>0</v>
      </c>
      <c r="L64" s="1" t="n">
        <f aca="false">IF($D$8=1,MAX(0,SUM(Model!$K17:L17)+SUM(Model!$K64:L64)),0)</f>
        <v>0</v>
      </c>
      <c r="M64" s="1" t="n">
        <f aca="false">IF($D$8=1,MAX(0,SUM(Model!$K17:M17)+SUM(Model!$K64:M64)),0)</f>
        <v>0</v>
      </c>
      <c r="N64" s="1" t="n">
        <f aca="false">IF($D$8=1,MAX(0,SUM(Model!$K17:N17)+SUM(Model!$K64:N64)),0)</f>
        <v>0</v>
      </c>
      <c r="O64" s="1" t="n">
        <f aca="false">IF($D$8=1,MAX(0,SUM(Model!$K17:O17)+SUM(Model!$K64:O64)),0)</f>
        <v>0</v>
      </c>
      <c r="P64" s="1" t="n">
        <f aca="false">IF($D$8=1,MAX(0,SUM(Model!$K17:P17)+SUM(Model!$K64:P64)),0)</f>
        <v>0</v>
      </c>
      <c r="Q64" s="1" t="n">
        <f aca="false">IF($D$8=1,MAX(0,SUM(Model!$K17:Q17)+SUM(Model!$K64:Q64)),0)</f>
        <v>0</v>
      </c>
      <c r="R64" s="1" t="n">
        <f aca="false">IF($D$8=1,MAX(0,SUM(Model!$K17:R17)+SUM(Model!$K64:R64)),0)</f>
        <v>0</v>
      </c>
      <c r="S64" s="1" t="n">
        <f aca="false">IF($D$8=1,MAX(0,SUM(Model!$K17:S17)+SUM(Model!$K64:S64)),0)</f>
        <v>0</v>
      </c>
      <c r="T64" s="1" t="n">
        <f aca="false">IF($D$8=1,MAX(0,SUM(Model!$K17:T17)+SUM(Model!$K64:T64)),0)</f>
        <v>0</v>
      </c>
      <c r="U64" s="1" t="n">
        <f aca="false">IF($D$8=1,MAX(0,SUM(Model!$K17:U17)+SUM(Model!$K64:U64)),0)</f>
        <v>0</v>
      </c>
      <c r="V64" s="1" t="n">
        <f aca="false">IF($D$8=1,MAX(0,SUM(Model!$K17:V17)+SUM(Model!$K64:V64)),0)</f>
        <v>0</v>
      </c>
      <c r="W64" s="1" t="n">
        <f aca="false">IF($D$8=1,MAX(0,SUM(Model!$K17:W17)+SUM(Model!$K64:W64)),0)</f>
        <v>0</v>
      </c>
      <c r="X64" s="1" t="n">
        <f aca="false">IF($D$8=1,MAX(0,SUM(Model!$K17:X17)+SUM(Model!$K64:X64)),0)</f>
        <v>0</v>
      </c>
      <c r="Y64" s="1" t="n">
        <f aca="false">IF($D$8=1,MAX(0,SUM(Model!$K17:Y17)+SUM(Model!$K64:Y64)),0)</f>
        <v>0</v>
      </c>
      <c r="Z64" s="1" t="n">
        <f aca="false">IF($D$8=1,MAX(0,SUM(Model!$K17:Z17)+SUM(Model!$K64:Z64)),0)</f>
        <v>0</v>
      </c>
      <c r="AA64" s="1" t="n">
        <f aca="false">IF($D$8=1,MAX(0,SUM(Model!$K17:AA17)+SUM(Model!$K64:AA64)),0)</f>
        <v>0</v>
      </c>
      <c r="AB64" s="1" t="n">
        <f aca="false">IF($D$8=1,MAX(0,SUM(Model!$K17:AB17)+SUM(Model!$K64:AB64)),0)</f>
        <v>0</v>
      </c>
      <c r="AC64" s="1" t="n">
        <f aca="false">IF($D$8=1,MAX(0,SUM(Model!$K17:AC17)+SUM(Model!$K64:AC64)),0)</f>
        <v>0</v>
      </c>
      <c r="AD64" s="1" t="n">
        <f aca="false">IF($D$8=1,MAX(0,SUM(Model!$K17:AD17)+SUM(Model!$K64:AD64)),0)</f>
        <v>0</v>
      </c>
      <c r="AE64" s="1" t="n">
        <f aca="false">IF($D$8=1,MAX(0,SUM(Model!$K17:AE17)+SUM(Model!$K64:AE64)),0)</f>
        <v>0</v>
      </c>
      <c r="AF64" s="1" t="n">
        <f aca="false">IF($D$8=1,MAX(0,SUM(Model!$K17:AF17)+SUM(Model!$K64:AF64)),0)</f>
        <v>0</v>
      </c>
      <c r="AG64" s="1" t="n">
        <f aca="false">IF($D$8=1,MAX(0,SUM(Model!$K17:AG17)+SUM(Model!$K64:AG64)),0)</f>
        <v>0</v>
      </c>
      <c r="AH64" s="1" t="n">
        <f aca="false">IF($D$8=1,MAX(0,SUM(Model!$K17:AH17)+SUM(Model!$K64:AH64)),0)</f>
        <v>0</v>
      </c>
      <c r="AI64" s="1" t="n">
        <f aca="false">IF($D$8=1,MAX(0,SUM(Model!$K17:AI17)+SUM(Model!$K64:AI64)),0)</f>
        <v>0</v>
      </c>
      <c r="AJ64" s="1" t="n">
        <f aca="false">IF($D$8=1,MAX(0,SUM(Model!$K17:AJ17)+SUM(Model!$K64:AJ64)),0)</f>
        <v>0</v>
      </c>
      <c r="AK64" s="1" t="n">
        <f aca="false">IF($D$8=1,MAX(0,SUM(Model!$K17:AK17)+SUM(Model!$K64:AK64)),0)</f>
        <v>0</v>
      </c>
      <c r="AL64" s="1" t="n">
        <f aca="false">IF($D$8=1,MAX(0,SUM(Model!$K17:AL17)+SUM(Model!$K64:AL64)),0)</f>
        <v>0</v>
      </c>
      <c r="AM64" s="1" t="n">
        <f aca="false">IF($D$8=1,MAX(0,SUM(Model!$K17:AM17)+SUM(Model!$K64:AM64)),0)</f>
        <v>0</v>
      </c>
      <c r="AN64" s="1" t="n">
        <f aca="false">IF($D$8=1,MAX(0,SUM(Model!$K17:AN17)+SUM(Model!$K64:AN64)),0)</f>
        <v>0</v>
      </c>
      <c r="AO64" s="1" t="n">
        <f aca="false">IF($D$8=1,MAX(0,SUM(Model!$K17:AO17)+SUM(Model!$K64:AO64)),0)</f>
        <v>0</v>
      </c>
      <c r="AP64" s="1" t="n">
        <f aca="false">IF($D$8=1,MAX(0,SUM(Model!$K17:AP17)+SUM(Model!$K64:AP64)),0)</f>
        <v>0</v>
      </c>
      <c r="AQ64" s="1" t="n">
        <f aca="false">IF($D$8=1,MAX(0,SUM(Model!$K17:AQ17)+SUM(Model!$K64:AQ64)),0)</f>
        <v>0</v>
      </c>
      <c r="AR64" s="1" t="n">
        <f aca="false">IF($D$8=1,MAX(0,SUM(Model!$K17:AR17)+SUM(Model!$K64:AR64)),0)</f>
        <v>0</v>
      </c>
      <c r="AS64" s="1" t="n">
        <f aca="false">IF($D$8=1,MAX(0,SUM(Model!$K17:AS17)+SUM(Model!$K64:AS64)),0)</f>
        <v>0</v>
      </c>
      <c r="AT64" s="1" t="n">
        <f aca="false">IF($D$8=1,MAX(0,SUM(Model!$K17:AT17)+SUM(Model!$K64:AT64)),0)</f>
        <v>0</v>
      </c>
      <c r="AU64" s="1" t="n">
        <f aca="false">IF($D$8=1,MAX(0,SUM(Model!$K17:AU17)+SUM(Model!$K64:AU64)),0)</f>
        <v>0</v>
      </c>
      <c r="AV64" s="1" t="n">
        <f aca="false">IF($D$8=1,MAX(0,SUM(Model!$K17:AV17)+SUM(Model!$K64:AV64)),0)</f>
        <v>0</v>
      </c>
      <c r="AW64" s="1" t="n">
        <f aca="false">IF($D$8=1,MAX(0,SUM(Model!$K17:AW17)+SUM(Model!$K64:AW64)),0)</f>
        <v>0</v>
      </c>
      <c r="AX64" s="1" t="n">
        <f aca="false">IF($D$8=1,MAX(0,SUM(Model!$K17:AX17)+SUM(Model!$K64:AX64)),0)</f>
        <v>0</v>
      </c>
      <c r="AY64" s="1" t="n">
        <f aca="false">IF($D$8=1,MAX(0,SUM(Model!$K17:AY17)+SUM(Model!$K64:AY64)),0)</f>
        <v>0</v>
      </c>
      <c r="AZ64" s="1" t="n">
        <f aca="false">IF($D$8=1,MAX(0,SUM(Model!$K17:AZ17)+SUM(Model!$K64:AZ64)),0)</f>
        <v>0</v>
      </c>
      <c r="BA64" s="1" t="n">
        <f aca="false">IF($D$8=1,MAX(0,SUM(Model!$K17:BA17)+SUM(Model!$K64:BA64)),0)</f>
        <v>0</v>
      </c>
      <c r="BB64" s="1" t="n">
        <f aca="false">IF($D$8=1,MAX(0,SUM(Model!$K17:BB17)+SUM(Model!$K64:BB64)),0)</f>
        <v>0</v>
      </c>
      <c r="BC64" s="1" t="n">
        <f aca="false">IF($D$8=1,MAX(0,SUM(Model!$K17:BC17)+SUM(Model!$K64:BC64)),0)</f>
        <v>0</v>
      </c>
      <c r="BD64" s="1" t="n">
        <f aca="false">IF($D$8=1,MAX(0,SUM(Model!$K17:BD17)+SUM(Model!$K64:BD64)),0)</f>
        <v>0</v>
      </c>
      <c r="BE64" s="1" t="n">
        <f aca="false">IF($D$8=1,MAX(0,SUM(Model!$K17:BE17)+SUM(Model!$K64:BE64)),0)</f>
        <v>0</v>
      </c>
      <c r="BF64" s="1" t="n">
        <f aca="false">IF($D$8=1,MAX(0,SUM(Model!$K17:BF17)+SUM(Model!$K64:BF64)),0)</f>
        <v>0</v>
      </c>
      <c r="BG64" s="1" t="n">
        <f aca="false">IF($D$8=1,MAX(0,SUM(Model!$K17:BG17)+SUM(Model!$K64:BG64)),0)</f>
        <v>0</v>
      </c>
      <c r="BH64" s="1" t="n">
        <f aca="false">IF($D$8=1,MAX(0,SUM(Model!$K17:BH17)+SUM(Model!$K64:BH64)),0)</f>
        <v>0</v>
      </c>
      <c r="BI64" s="1" t="n">
        <f aca="false">IF($D$8=1,MAX(0,SUM(Model!$K17:BI17)+SUM(Model!$K64:BI64)),0)</f>
        <v>0</v>
      </c>
      <c r="BJ64" s="1" t="n">
        <f aca="false">IF($D$8=1,MAX(0,SUM(Model!$K17:BJ17)+SUM(Model!$K64:BJ64)),0)</f>
        <v>0</v>
      </c>
      <c r="BK64" s="1" t="n">
        <f aca="false">IF($D$8=1,MAX(0,SUM(Model!$K17:BK17)+SUM(Model!$K64:BK64)),0)</f>
        <v>0</v>
      </c>
      <c r="BL64" s="1" t="n">
        <f aca="false">IF($D$8=1,MAX(0,SUM(Model!$K17:BL17)+SUM(Model!$K64:BL64)),0)</f>
        <v>0</v>
      </c>
      <c r="BM64" s="1" t="n">
        <f aca="false">IF($D$8=1,MAX(0,SUM(Model!$K17:BM17)+SUM(Model!$K64:BM64)),0)</f>
        <v>0</v>
      </c>
      <c r="BN64" s="1" t="n">
        <f aca="false">IF($D$8=1,MAX(0,SUM(Model!$K17:BN17)+SUM(Model!$K64:BN64)),0)</f>
        <v>0</v>
      </c>
      <c r="BO64" s="1" t="n">
        <f aca="false">IF($D$8=1,MAX(0,SUM(Model!$K17:BO17)+SUM(Model!$K64:BO64)),0)</f>
        <v>0</v>
      </c>
      <c r="BP64" s="1" t="n">
        <f aca="false">IF($D$8=1,MAX(0,SUM(Model!$K17:BP17)+SUM(Model!$K64:BP64)),0)</f>
        <v>0</v>
      </c>
      <c r="BQ64" s="1" t="n">
        <f aca="false">IF($D$8=1,MAX(0,SUM(Model!$K17:BQ17)+SUM(Model!$K64:BQ64)),0)</f>
        <v>0</v>
      </c>
      <c r="BR64" s="1" t="n">
        <f aca="false">IF($D$8=1,MAX(0,SUM(Model!$K17:BR17)+SUM(Model!$K64:BR64)),0)</f>
        <v>0</v>
      </c>
      <c r="BS64" s="1" t="n">
        <f aca="false">IF($D$8=1,MAX(0,SUM(Model!$K17:BS17)+SUM(Model!$K64:BS64)),0)</f>
        <v>0</v>
      </c>
      <c r="BT64" s="1" t="n">
        <f aca="false">IF($D$8=1,MAX(0,SUM(Model!$K17:BT17)+SUM(Model!$K64:BT64)),0)</f>
        <v>0</v>
      </c>
      <c r="BU64" s="1" t="n">
        <f aca="false">IF($D$8=1,MAX(0,SUM(Model!$K17:BU17)+SUM(Model!$K64:BU64)),0)</f>
        <v>0</v>
      </c>
      <c r="BV64" s="1" t="n">
        <f aca="false">IF($D$8=1,MAX(0,SUM(Model!$K17:BV17)+SUM(Model!$K64:BV64)),0)</f>
        <v>0</v>
      </c>
      <c r="BW64" s="1" t="n">
        <f aca="false">IF($D$8=1,MAX(0,SUM(Model!$K17:BW17)+SUM(Model!$K64:BW64)),0)</f>
        <v>0</v>
      </c>
      <c r="BX64" s="1" t="n">
        <f aca="false">IF($D$8=1,MAX(0,SUM(Model!$K17:BX17)+SUM(Model!$K64:BX64)),0)</f>
        <v>0</v>
      </c>
      <c r="BY64" s="1" t="n">
        <f aca="false">IF($D$8=1,MAX(0,SUM(Model!$K17:BY17)+SUM(Model!$K64:BY64)),0)</f>
        <v>0</v>
      </c>
      <c r="BZ64" s="1" t="n">
        <f aca="false">IF($D$8=1,MAX(0,SUM(Model!$K17:BZ17)+SUM(Model!$K64:BZ64)),0)</f>
        <v>0</v>
      </c>
      <c r="CA64" s="1" t="n">
        <f aca="false">IF($D$8=1,MAX(0,SUM(Model!$K17:CA17)+SUM(Model!$K64:CA64)),0)</f>
        <v>0</v>
      </c>
      <c r="CB64" s="1" t="n">
        <f aca="false">IF($D$8=1,MAX(0,SUM(Model!$K17:CB17)+SUM(Model!$K64:CB64)),0)</f>
        <v>0</v>
      </c>
      <c r="CC64" s="1" t="n">
        <f aca="false">IF($D$8=1,MAX(0,SUM(Model!$K17:CC17)+SUM(Model!$K64:CC64)),0)</f>
        <v>0</v>
      </c>
      <c r="CD64" s="1" t="n">
        <f aca="false">IF($D$8=1,MAX(0,SUM(Model!$K17:CD17)+SUM(Model!$K64:CD64)),0)</f>
        <v>0</v>
      </c>
      <c r="CE64" s="1" t="n">
        <f aca="false">IF($D$8=1,MAX(0,SUM(Model!$K17:CE17)+SUM(Model!$K64:CE64)),0)</f>
        <v>0</v>
      </c>
      <c r="CF64" s="1" t="n">
        <f aca="false">IF($D$8=1,MAX(0,SUM(Model!$K17:CF17)+SUM(Model!$K64:CF64)),0)</f>
        <v>0</v>
      </c>
      <c r="CG64" s="1" t="n">
        <f aca="false">IF($D$8=1,MAX(0,SUM(Model!$K17:CG17)+SUM(Model!$K64:CG64)),0)</f>
        <v>0</v>
      </c>
      <c r="CH64" s="1" t="n">
        <f aca="false">IF($D$8=1,MAX(0,SUM(Model!$K17:CH17)+SUM(Model!$K64:CH64)),0)</f>
        <v>0</v>
      </c>
      <c r="CI64" s="1" t="n">
        <f aca="false">IF($D$8=1,MAX(0,SUM(Model!$K17:CI17)+SUM(Model!$K64:CI64)),0)</f>
        <v>0</v>
      </c>
      <c r="CJ64" s="1" t="n">
        <f aca="false">IF($D$8=1,MAX(0,SUM(Model!$K17:CJ17)+SUM(Model!$K64:CJ64)),0)</f>
        <v>0</v>
      </c>
      <c r="CK64" s="1" t="n">
        <f aca="false">IF($D$8=1,MAX(0,SUM(Model!$K17:CK17)+SUM(Model!$K64:CK64)),0)</f>
        <v>0</v>
      </c>
      <c r="CL64" s="1" t="n">
        <f aca="false">IF($D$8=1,MAX(0,SUM(Model!$K17:CL17)+SUM(Model!$K64:CL64)),0)</f>
        <v>0</v>
      </c>
      <c r="CM64" s="1" t="n">
        <f aca="false">IF($D$8=1,MAX(0,SUM(Model!$K17:CM17)+SUM(Model!$K64:CM64)),0)</f>
        <v>0</v>
      </c>
      <c r="CN64" s="1" t="n">
        <f aca="false">IF($D$8=1,MAX(0,SUM(Model!$K17:CN17)+SUM(Model!$K64:CN64)),0)</f>
        <v>0</v>
      </c>
      <c r="CO64" s="1" t="n">
        <f aca="false">IF($D$8=1,MAX(0,SUM(Model!$K17:CO17)+SUM(Model!$K64:CO64)),0)</f>
        <v>0</v>
      </c>
      <c r="CP64" s="1" t="n">
        <f aca="false">IF($D$8=1,MAX(0,SUM(Model!$K17:CP17)+SUM(Model!$K64:CP64)),0)</f>
        <v>0</v>
      </c>
      <c r="CQ64" s="1" t="n">
        <f aca="false">IF($D$8=1,MAX(0,SUM(Model!$K17:CQ17)+SUM(Model!$K64:CQ64)),0)</f>
        <v>0</v>
      </c>
      <c r="CR64" s="1" t="n">
        <f aca="false">IF($D$8=1,MAX(0,SUM(Model!$K17:CR17)+SUM(Model!$K64:CR64)),0)</f>
        <v>0</v>
      </c>
      <c r="CS64" s="1" t="n">
        <f aca="false">IF($D$8=1,MAX(0,SUM(Model!$K17:CS17)+SUM(Model!$K64:CS64)),0)</f>
        <v>0</v>
      </c>
      <c r="CT64" s="1" t="n">
        <f aca="false">IF($D$8=1,MAX(0,SUM(Model!$K17:CT17)+SUM(Model!$K64:CT64)),0)</f>
        <v>0</v>
      </c>
      <c r="CU64" s="1" t="n">
        <f aca="false">IF($D$8=1,MAX(0,SUM(Model!$K17:CU17)+SUM(Model!$K64:CU64)),0)</f>
        <v>0</v>
      </c>
      <c r="CV64" s="1" t="n">
        <f aca="false">IF($D$8=1,MAX(0,SUM(Model!$K17:CV17)+SUM(Model!$K64:CV64)),0)</f>
        <v>0</v>
      </c>
      <c r="CW64" s="1" t="n">
        <f aca="false">IF($D$8=1,MAX(0,SUM(Model!$K17:CW17)+SUM(Model!$K64:CW64)),0)</f>
        <v>0</v>
      </c>
      <c r="CX64" s="1" t="n">
        <f aca="false">IF($D$8=1,MAX(0,SUM(Model!$K17:CX17)+SUM(Model!$K64:CX64)),0)</f>
        <v>0</v>
      </c>
      <c r="CY64" s="1" t="n">
        <f aca="false">IF($D$8=1,MAX(0,SUM(Model!$K17:CY17)+SUM(Model!$K64:CY64)),0)</f>
        <v>0</v>
      </c>
      <c r="CZ64" s="1" t="n">
        <f aca="false">IF($D$8=1,MAX(0,SUM(Model!$K17:CZ17)+SUM(Model!$K64:CZ64)),0)</f>
        <v>0</v>
      </c>
      <c r="DA64" s="1" t="n">
        <f aca="false">IF($D$8=1,MAX(0,SUM(Model!$K17:DA17)+SUM(Model!$K64:DA64)),0)</f>
        <v>0</v>
      </c>
      <c r="DB64" s="1" t="n">
        <f aca="false">IF($D$8=1,MAX(0,SUM(Model!$K17:DB17)+SUM(Model!$K64:DB64)),0)</f>
        <v>0</v>
      </c>
      <c r="DC64" s="1" t="n">
        <f aca="false">IF($D$8=1,MAX(0,SUM(Model!$K17:DC17)+SUM(Model!$K64:DC64)),0)</f>
        <v>0</v>
      </c>
      <c r="DD64" s="1" t="n">
        <f aca="false">IF($D$8=1,MAX(0,SUM(Model!$K17:DD17)+SUM(Model!$K64:DD64)),0)</f>
        <v>0</v>
      </c>
      <c r="DE64" s="1" t="n">
        <f aca="false">IF($D$8=1,MAX(0,SUM(Model!$K17:DE17)+SUM(Model!$K64:DE64)),0)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v>0</v>
      </c>
      <c r="K65" s="1" t="n">
        <f aca="false">IF($D$9=1,MAX(0,SUM(Model!$K18:K18)+SUM(Model!$K65:K65)),0)</f>
        <v>319.879999999888</v>
      </c>
      <c r="L65" s="1" t="n">
        <f aca="false">IF($D$9=1,MAX(0,SUM(Model!$K18:L18)+SUM(Model!$K65:L65)),0)</f>
        <v>527.819999999832</v>
      </c>
      <c r="M65" s="1" t="n">
        <f aca="false">IF($D$9=1,MAX(0,SUM(Model!$K18:M18)+SUM(Model!$K65:M65)),0)</f>
        <v>683.659999999683</v>
      </c>
      <c r="N65" s="1" t="n">
        <f aca="false">IF($D$9=1,MAX(0,SUM(Model!$K18:N18)+SUM(Model!$K65:N65)),0)</f>
        <v>882.189999999944</v>
      </c>
      <c r="O65" s="1" t="n">
        <f aca="false">IF($D$9=1,MAX(0,SUM(Model!$K18:O18)+SUM(Model!$K65:O65)),0)</f>
        <v>1042.80999999959</v>
      </c>
      <c r="P65" s="1" t="n">
        <f aca="false">IF($D$9=1,MAX(0,SUM(Model!$K18:P18)+SUM(Model!$K65:P65)),0)</f>
        <v>1236.58999999985</v>
      </c>
      <c r="Q65" s="1" t="n">
        <f aca="false">IF($D$9=1,MAX(0,SUM(Model!$K18:Q18)+SUM(Model!$K65:Q65)),0)</f>
        <v>1400.25999999978</v>
      </c>
      <c r="R65" s="1" t="n">
        <f aca="false">IF($D$9=1,MAX(0,SUM(Model!$K18:R18)+SUM(Model!$K65:R65)),0)</f>
        <v>1601.40000000037</v>
      </c>
      <c r="S65" s="1" t="n">
        <f aca="false">IF($D$9=1,MAX(0,SUM(Model!$K18:S18)+SUM(Model!$K65:S65)),0)</f>
        <v>1790.45999999903</v>
      </c>
      <c r="T65" s="1" t="n">
        <f aca="false">IF($D$9=1,MAX(0,SUM(Model!$K18:T18)+SUM(Model!$K65:T65)),0)</f>
        <v>2129.5700000003</v>
      </c>
      <c r="U65" s="1" t="n">
        <f aca="false">IF($D$9=1,MAX(0,SUM(Model!$K18:U18)+SUM(Model!$K65:U65)),0)</f>
        <v>2346.28000000026</v>
      </c>
      <c r="V65" s="1" t="n">
        <f aca="false">IF($D$9=1,MAX(0,SUM(Model!$K18:V18)+SUM(Model!$K65:V65)),0)</f>
        <v>2992.50999999978</v>
      </c>
      <c r="W65" s="1" t="n">
        <f aca="false">IF($D$9=1,MAX(0,SUM(Model!$K18:W18)+SUM(Model!$K65:W65)),0)</f>
        <v>3400.74000000022</v>
      </c>
      <c r="X65" s="1" t="n">
        <f aca="false">IF($D$9=1,MAX(0,SUM(Model!$K18:X18)+SUM(Model!$K65:X65)),0)</f>
        <v>4239.25999999978</v>
      </c>
      <c r="Y65" s="1" t="n">
        <f aca="false">IF($D$9=1,MAX(0,SUM(Model!$K18:Y18)+SUM(Model!$K65:Y65)),0)</f>
        <v>4722.0700000003</v>
      </c>
      <c r="Z65" s="1" t="n">
        <f aca="false">IF($D$9=1,MAX(0,SUM(Model!$K18:Z18)+SUM(Model!$K65:Z65)),0)</f>
        <v>5482.71999999881</v>
      </c>
      <c r="AA65" s="1" t="n">
        <f aca="false">IF($D$9=1,MAX(0,SUM(Model!$K18:AA18)+SUM(Model!$K65:AA65)),0)</f>
        <v>6117.8900000006</v>
      </c>
      <c r="AB65" s="1" t="n">
        <f aca="false">IF($D$9=1,MAX(0,SUM(Model!$K18:AB18)+SUM(Model!$K65:AB65)),0)</f>
        <v>6550.87000000104</v>
      </c>
      <c r="AC65" s="1" t="n">
        <f aca="false">IF($D$9=1,MAX(0,SUM(Model!$K18:AC18)+SUM(Model!$K65:AC65)),0)</f>
        <v>6824.87999999896</v>
      </c>
      <c r="AD65" s="1" t="n">
        <f aca="false">IF($D$9=1,MAX(0,SUM(Model!$K18:AD18)+SUM(Model!$K65:AD65)),0)</f>
        <v>7149.3599999994</v>
      </c>
      <c r="AE65" s="1" t="n">
        <f aca="false">IF($D$9=1,MAX(0,SUM(Model!$K18:AE18)+SUM(Model!$K65:AE65)),0)</f>
        <v>7453.90000000224</v>
      </c>
      <c r="AF65" s="1" t="n">
        <f aca="false">IF($D$9=1,MAX(0,SUM(Model!$K18:AF18)+SUM(Model!$K65:AF65)),0)</f>
        <v>7830.5</v>
      </c>
      <c r="AG65" s="1" t="n">
        <f aca="false">IF($D$9=1,MAX(0,SUM(Model!$K18:AG18)+SUM(Model!$K65:AG65)),0)</f>
        <v>8484.5</v>
      </c>
      <c r="AH65" s="1" t="n">
        <f aca="false">IF($D$9=1,MAX(0,SUM(Model!$K18:AH18)+SUM(Model!$K65:AH65)),0)</f>
        <v>9091.46000000089</v>
      </c>
      <c r="AI65" s="1" t="n">
        <f aca="false">IF($D$9=1,MAX(0,SUM(Model!$K18:AI18)+SUM(Model!$K65:AI65)),0)</f>
        <v>9684.85999999568</v>
      </c>
      <c r="AJ65" s="1" t="n">
        <f aca="false">IF($D$9=1,MAX(0,SUM(Model!$K18:AJ18)+SUM(Model!$K65:AJ65)),0)</f>
        <v>10008.6099999994</v>
      </c>
      <c r="AK65" s="1" t="n">
        <f aca="false">IF($D$9=1,MAX(0,SUM(Model!$K18:AK18)+SUM(Model!$K65:AK65)),0)</f>
        <v>10277.3599999994</v>
      </c>
      <c r="AL65" s="1" t="n">
        <f aca="false">IF($D$9=1,MAX(0,SUM(Model!$K18:AL18)+SUM(Model!$K65:AL65)),0)</f>
        <v>10577.5799999982</v>
      </c>
      <c r="AM65" s="1" t="n">
        <f aca="false">IF($D$9=1,MAX(0,SUM(Model!$K18:AM18)+SUM(Model!$K65:AM65)),0)</f>
        <v>10903.9299999997</v>
      </c>
      <c r="AN65" s="1" t="n">
        <f aca="false">IF($D$9=1,MAX(0,SUM(Model!$K18:AN18)+SUM(Model!$K65:AN65)),0)</f>
        <v>10991.7400000021</v>
      </c>
      <c r="AO65" s="1" t="n">
        <f aca="false">IF($D$9=1,MAX(0,SUM(Model!$K18:AO18)+SUM(Model!$K65:AO65)),0)</f>
        <v>10991.7400000021</v>
      </c>
      <c r="AP65" s="1" t="n">
        <f aca="false">IF($D$9=1,MAX(0,SUM(Model!$K18:AP18)+SUM(Model!$K65:AP65)),0)</f>
        <v>10991.7400000021</v>
      </c>
      <c r="AQ65" s="1" t="n">
        <f aca="false">IF($D$9=1,MAX(0,SUM(Model!$K18:AQ18)+SUM(Model!$K65:AQ65)),0)</f>
        <v>10991.7400000021</v>
      </c>
      <c r="AR65" s="1" t="n">
        <f aca="false">IF($D$9=1,MAX(0,SUM(Model!$K18:AR18)+SUM(Model!$K65:AR65)),0)</f>
        <v>10991.7400000021</v>
      </c>
      <c r="AS65" s="1" t="n">
        <f aca="false">IF($D$9=1,MAX(0,SUM(Model!$K18:AS18)+SUM(Model!$K65:AS65)),0)</f>
        <v>10991.7400000021</v>
      </c>
      <c r="AT65" s="1" t="n">
        <f aca="false">IF($D$9=1,MAX(0,SUM(Model!$K18:AT18)+SUM(Model!$K65:AT65)),0)</f>
        <v>10991.7400000021</v>
      </c>
      <c r="AU65" s="1" t="n">
        <f aca="false">IF($D$9=1,MAX(0,SUM(Model!$K18:AU18)+SUM(Model!$K65:AU65)),0)</f>
        <v>10991.7400000021</v>
      </c>
      <c r="AV65" s="1" t="n">
        <f aca="false">IF($D$9=1,MAX(0,SUM(Model!$K18:AV18)+SUM(Model!$K65:AV65)),0)</f>
        <v>10991.7400000021</v>
      </c>
      <c r="AW65" s="1" t="n">
        <f aca="false">IF($D$9=1,MAX(0,SUM(Model!$K18:AW18)+SUM(Model!$K65:AW65)),0)</f>
        <v>10991.7400000021</v>
      </c>
      <c r="AX65" s="1" t="n">
        <f aca="false">IF($D$9=1,MAX(0,SUM(Model!$K18:AX18)+SUM(Model!$K65:AX65)),0)</f>
        <v>10991.7400000021</v>
      </c>
      <c r="AY65" s="1" t="n">
        <f aca="false">IF($D$9=1,MAX(0,SUM(Model!$K18:AY18)+SUM(Model!$K65:AY65)),0)</f>
        <v>10991.7400000021</v>
      </c>
      <c r="AZ65" s="1" t="n">
        <f aca="false">IF($D$9=1,MAX(0,SUM(Model!$K18:AZ18)+SUM(Model!$K65:AZ65)),0)</f>
        <v>10991.7400000021</v>
      </c>
      <c r="BA65" s="1" t="n">
        <f aca="false">IF($D$9=1,MAX(0,SUM(Model!$K18:BA18)+SUM(Model!$K65:BA65)),0)</f>
        <v>10991.7400000021</v>
      </c>
      <c r="BB65" s="1" t="n">
        <f aca="false">IF($D$9=1,MAX(0,SUM(Model!$K18:BB18)+SUM(Model!$K65:BB65)),0)</f>
        <v>10991.7400000021</v>
      </c>
      <c r="BC65" s="1" t="n">
        <f aca="false">IF($D$9=1,MAX(0,SUM(Model!$K18:BC18)+SUM(Model!$K65:BC65)),0)</f>
        <v>10991.7400000021</v>
      </c>
      <c r="BD65" s="1" t="n">
        <f aca="false">IF($D$9=1,MAX(0,SUM(Model!$K18:BD18)+SUM(Model!$K65:BD65)),0)</f>
        <v>10991.7400000021</v>
      </c>
      <c r="BE65" s="1" t="n">
        <f aca="false">IF($D$9=1,MAX(0,SUM(Model!$K18:BE18)+SUM(Model!$K65:BE65)),0)</f>
        <v>10991.7400000021</v>
      </c>
      <c r="BF65" s="1" t="n">
        <f aca="false">IF($D$9=1,MAX(0,SUM(Model!$K18:BF18)+SUM(Model!$K65:BF65)),0)</f>
        <v>10991.7400000021</v>
      </c>
      <c r="BG65" s="1" t="n">
        <f aca="false">IF($D$9=1,MAX(0,SUM(Model!$K18:BG18)+SUM(Model!$K65:BG65)),0)</f>
        <v>10991.7400000021</v>
      </c>
      <c r="BH65" s="1" t="n">
        <f aca="false">IF($D$9=1,MAX(0,SUM(Model!$K18:BH18)+SUM(Model!$K65:BH65)),0)</f>
        <v>10991.7400000021</v>
      </c>
      <c r="BI65" s="1" t="n">
        <f aca="false">IF($D$9=1,MAX(0,SUM(Model!$K18:BI18)+SUM(Model!$K65:BI65)),0)</f>
        <v>10991.7400000021</v>
      </c>
      <c r="BJ65" s="1" t="n">
        <f aca="false">IF($D$9=1,MAX(0,SUM(Model!$K18:BJ18)+SUM(Model!$K65:BJ65)),0)</f>
        <v>10991.7400000021</v>
      </c>
      <c r="BK65" s="1" t="n">
        <f aca="false">IF($D$9=1,MAX(0,SUM(Model!$K18:BK18)+SUM(Model!$K65:BK65)),0)</f>
        <v>10991.7400000021</v>
      </c>
      <c r="BL65" s="1" t="n">
        <f aca="false">IF($D$9=1,MAX(0,SUM(Model!$K18:BL18)+SUM(Model!$K65:BL65)),0)</f>
        <v>10991.7400000021</v>
      </c>
      <c r="BM65" s="1" t="n">
        <f aca="false">IF($D$9=1,MAX(0,SUM(Model!$K18:BM18)+SUM(Model!$K65:BM65)),0)</f>
        <v>10991.7400000021</v>
      </c>
      <c r="BN65" s="1" t="n">
        <f aca="false">IF($D$9=1,MAX(0,SUM(Model!$K18:BN18)+SUM(Model!$K65:BN65)),0)</f>
        <v>10991.7400000021</v>
      </c>
      <c r="BO65" s="1" t="n">
        <f aca="false">IF($D$9=1,MAX(0,SUM(Model!$K18:BO18)+SUM(Model!$K65:BO65)),0)</f>
        <v>10991.7400000021</v>
      </c>
      <c r="BP65" s="1" t="n">
        <f aca="false">IF($D$9=1,MAX(0,SUM(Model!$K18:BP18)+SUM(Model!$K65:BP65)),0)</f>
        <v>10991.7400000021</v>
      </c>
      <c r="BQ65" s="1" t="n">
        <f aca="false">IF($D$9=1,MAX(0,SUM(Model!$K18:BQ18)+SUM(Model!$K65:BQ65)),0)</f>
        <v>10991.7400000021</v>
      </c>
      <c r="BR65" s="1" t="n">
        <f aca="false">IF($D$9=1,MAX(0,SUM(Model!$K18:BR18)+SUM(Model!$K65:BR65)),0)</f>
        <v>10991.7400000021</v>
      </c>
      <c r="BS65" s="1" t="n">
        <f aca="false">IF($D$9=1,MAX(0,SUM(Model!$K18:BS18)+SUM(Model!$K65:BS65)),0)</f>
        <v>10991.7400000021</v>
      </c>
      <c r="BT65" s="1" t="n">
        <f aca="false">IF($D$9=1,MAX(0,SUM(Model!$K18:BT18)+SUM(Model!$K65:BT65)),0)</f>
        <v>10991.7400000021</v>
      </c>
      <c r="BU65" s="1" t="n">
        <f aca="false">IF($D$9=1,MAX(0,SUM(Model!$K18:BU18)+SUM(Model!$K65:BU65)),0)</f>
        <v>10991.7400000021</v>
      </c>
      <c r="BV65" s="1" t="n">
        <f aca="false">IF($D$9=1,MAX(0,SUM(Model!$K18:BV18)+SUM(Model!$K65:BV65)),0)</f>
        <v>10991.7400000021</v>
      </c>
      <c r="BW65" s="1" t="n">
        <f aca="false">IF($D$9=1,MAX(0,SUM(Model!$K18:BW18)+SUM(Model!$K65:BW65)),0)</f>
        <v>10991.7400000021</v>
      </c>
      <c r="BX65" s="1" t="n">
        <f aca="false">IF($D$9=1,MAX(0,SUM(Model!$K18:BX18)+SUM(Model!$K65:BX65)),0)</f>
        <v>10991.7400000021</v>
      </c>
      <c r="BY65" s="1" t="n">
        <f aca="false">IF($D$9=1,MAX(0,SUM(Model!$K18:BY18)+SUM(Model!$K65:BY65)),0)</f>
        <v>10991.7400000021</v>
      </c>
      <c r="BZ65" s="1" t="n">
        <f aca="false">IF($D$9=1,MAX(0,SUM(Model!$K18:BZ18)+SUM(Model!$K65:BZ65)),0)</f>
        <v>10991.7400000021</v>
      </c>
      <c r="CA65" s="1" t="n">
        <f aca="false">IF($D$9=1,MAX(0,SUM(Model!$K18:CA18)+SUM(Model!$K65:CA65)),0)</f>
        <v>10991.7400000021</v>
      </c>
      <c r="CB65" s="1" t="n">
        <f aca="false">IF($D$9=1,MAX(0,SUM(Model!$K18:CB18)+SUM(Model!$K65:CB65)),0)</f>
        <v>10991.7400000021</v>
      </c>
      <c r="CC65" s="1" t="n">
        <f aca="false">IF($D$9=1,MAX(0,SUM(Model!$K18:CC18)+SUM(Model!$K65:CC65)),0)</f>
        <v>10991.7400000021</v>
      </c>
      <c r="CD65" s="1" t="n">
        <f aca="false">IF($D$9=1,MAX(0,SUM(Model!$K18:CD18)+SUM(Model!$K65:CD65)),0)</f>
        <v>10991.7400000021</v>
      </c>
      <c r="CE65" s="1" t="n">
        <f aca="false">IF($D$9=1,MAX(0,SUM(Model!$K18:CE18)+SUM(Model!$K65:CE65)),0)</f>
        <v>10991.7400000021</v>
      </c>
      <c r="CF65" s="1" t="n">
        <f aca="false">IF($D$9=1,MAX(0,SUM(Model!$K18:CF18)+SUM(Model!$K65:CF65)),0)</f>
        <v>10991.7400000021</v>
      </c>
      <c r="CG65" s="1" t="n">
        <f aca="false">IF($D$9=1,MAX(0,SUM(Model!$K18:CG18)+SUM(Model!$K65:CG65)),0)</f>
        <v>10991.7400000021</v>
      </c>
      <c r="CH65" s="1" t="n">
        <f aca="false">IF($D$9=1,MAX(0,SUM(Model!$K18:CH18)+SUM(Model!$K65:CH65)),0)</f>
        <v>10991.7400000021</v>
      </c>
      <c r="CI65" s="1" t="n">
        <f aca="false">IF($D$9=1,MAX(0,SUM(Model!$K18:CI18)+SUM(Model!$K65:CI65)),0)</f>
        <v>10991.7400000021</v>
      </c>
      <c r="CJ65" s="1" t="n">
        <f aca="false">IF($D$9=1,MAX(0,SUM(Model!$K18:CJ18)+SUM(Model!$K65:CJ65)),0)</f>
        <v>10991.7400000021</v>
      </c>
      <c r="CK65" s="1" t="n">
        <f aca="false">IF($D$9=1,MAX(0,SUM(Model!$K18:CK18)+SUM(Model!$K65:CK65)),0)</f>
        <v>10991.7400000021</v>
      </c>
      <c r="CL65" s="1" t="n">
        <f aca="false">IF($D$9=1,MAX(0,SUM(Model!$K18:CL18)+SUM(Model!$K65:CL65)),0)</f>
        <v>10991.7400000021</v>
      </c>
      <c r="CM65" s="1" t="n">
        <f aca="false">IF($D$9=1,MAX(0,SUM(Model!$K18:CM18)+SUM(Model!$K65:CM65)),0)</f>
        <v>10991.7400000021</v>
      </c>
      <c r="CN65" s="1" t="n">
        <f aca="false">IF($D$9=1,MAX(0,SUM(Model!$K18:CN18)+SUM(Model!$K65:CN65)),0)</f>
        <v>10991.7400000021</v>
      </c>
      <c r="CO65" s="1" t="n">
        <f aca="false">IF($D$9=1,MAX(0,SUM(Model!$K18:CO18)+SUM(Model!$K65:CO65)),0)</f>
        <v>10991.7400000021</v>
      </c>
      <c r="CP65" s="1" t="n">
        <f aca="false">IF($D$9=1,MAX(0,SUM(Model!$K18:CP18)+SUM(Model!$K65:CP65)),0)</f>
        <v>10991.7400000021</v>
      </c>
      <c r="CQ65" s="1" t="n">
        <f aca="false">IF($D$9=1,MAX(0,SUM(Model!$K18:CQ18)+SUM(Model!$K65:CQ65)),0)</f>
        <v>10991.7400000021</v>
      </c>
      <c r="CR65" s="1" t="n">
        <f aca="false">IF($D$9=1,MAX(0,SUM(Model!$K18:CR18)+SUM(Model!$K65:CR65)),0)</f>
        <v>10991.7400000021</v>
      </c>
      <c r="CS65" s="1" t="n">
        <f aca="false">IF($D$9=1,MAX(0,SUM(Model!$K18:CS18)+SUM(Model!$K65:CS65)),0)</f>
        <v>10991.7400000021</v>
      </c>
      <c r="CT65" s="1" t="n">
        <f aca="false">IF($D$9=1,MAX(0,SUM(Model!$K18:CT18)+SUM(Model!$K65:CT65)),0)</f>
        <v>10991.7400000021</v>
      </c>
      <c r="CU65" s="1" t="n">
        <f aca="false">IF($D$9=1,MAX(0,SUM(Model!$K18:CU18)+SUM(Model!$K65:CU65)),0)</f>
        <v>10991.7400000021</v>
      </c>
      <c r="CV65" s="1" t="n">
        <f aca="false">IF($D$9=1,MAX(0,SUM(Model!$K18:CV18)+SUM(Model!$K65:CV65)),0)</f>
        <v>10991.7400000021</v>
      </c>
      <c r="CW65" s="1" t="n">
        <f aca="false">IF($D$9=1,MAX(0,SUM(Model!$K18:CW18)+SUM(Model!$K65:CW65)),0)</f>
        <v>10991.7400000021</v>
      </c>
      <c r="CX65" s="1" t="n">
        <f aca="false">IF($D$9=1,MAX(0,SUM(Model!$K18:CX18)+SUM(Model!$K65:CX65)),0)</f>
        <v>10991.7400000021</v>
      </c>
      <c r="CY65" s="1" t="n">
        <f aca="false">IF($D$9=1,MAX(0,SUM(Model!$K18:CY18)+SUM(Model!$K65:CY65)),0)</f>
        <v>10991.7400000021</v>
      </c>
      <c r="CZ65" s="1" t="n">
        <f aca="false">IF($D$9=1,MAX(0,SUM(Model!$K18:CZ18)+SUM(Model!$K65:CZ65)),0)</f>
        <v>10991.7400000021</v>
      </c>
      <c r="DA65" s="1" t="n">
        <f aca="false">IF($D$9=1,MAX(0,SUM(Model!$K18:DA18)+SUM(Model!$K65:DA65)),0)</f>
        <v>10991.7400000021</v>
      </c>
      <c r="DB65" s="1" t="n">
        <f aca="false">IF($D$9=1,MAX(0,SUM(Model!$K18:DB18)+SUM(Model!$K65:DB65)),0)</f>
        <v>10991.7400000021</v>
      </c>
      <c r="DC65" s="1" t="n">
        <f aca="false">IF($D$9=1,MAX(0,SUM(Model!$K18:DC18)+SUM(Model!$K65:DC65)),0)</f>
        <v>10991.7400000021</v>
      </c>
      <c r="DD65" s="1" t="n">
        <f aca="false">IF($D$9=1,MAX(0,SUM(Model!$K18:DD18)+SUM(Model!$K65:DD65)),0)</f>
        <v>10991.7400000021</v>
      </c>
      <c r="DE65" s="1" t="n">
        <f aca="false">IF($D$9=1,MAX(0,SUM(Model!$K18:DE18)+SUM(Model!$K65:DE65)),0)</f>
        <v>10991.7400000021</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v>0</v>
      </c>
      <c r="K66" s="1" t="n">
        <f aca="false">IF($D$10=1,MAX(0,SUM(Model!$K19:K19)+SUM(Model!$K66:K66)),0)</f>
        <v>18.5999999999767</v>
      </c>
      <c r="L66" s="1" t="n">
        <f aca="false">IF($D$10=1,MAX(0,SUM(Model!$K19:L19)+SUM(Model!$K66:L66)),0)</f>
        <v>41.8699999998789</v>
      </c>
      <c r="M66" s="1" t="n">
        <f aca="false">IF($D$10=1,MAX(0,SUM(Model!$K19:M19)+SUM(Model!$K66:M66)),0)</f>
        <v>69.9599999997299</v>
      </c>
      <c r="N66" s="1" t="n">
        <f aca="false">IF($D$10=1,MAX(0,SUM(Model!$K19:N19)+SUM(Model!$K66:N66)),0)</f>
        <v>102.780000000261</v>
      </c>
      <c r="O66" s="1" t="n">
        <f aca="false">IF($D$10=1,MAX(0,SUM(Model!$K19:O19)+SUM(Model!$K66:O66)),0)</f>
        <v>139.989999999758</v>
      </c>
      <c r="P66" s="1" t="n">
        <f aca="false">IF($D$10=1,MAX(0,SUM(Model!$K19:P19)+SUM(Model!$K66:P66)),0)</f>
        <v>180.969999999739</v>
      </c>
      <c r="Q66" s="1" t="n">
        <f aca="false">IF($D$10=1,MAX(0,SUM(Model!$K19:Q19)+SUM(Model!$K66:Q66)),0)</f>
        <v>224.839999999851</v>
      </c>
      <c r="R66" s="1" t="n">
        <f aca="false">IF($D$10=1,MAX(0,SUM(Model!$K19:R19)+SUM(Model!$K66:R66)),0)</f>
        <v>270.550000000745</v>
      </c>
      <c r="S66" s="1" t="n">
        <f aca="false">IF($D$10=1,MAX(0,SUM(Model!$K19:S19)+SUM(Model!$K66:S66)),0)</f>
        <v>316.870000001043</v>
      </c>
      <c r="T66" s="1" t="n">
        <f aca="false">IF($D$10=1,MAX(0,SUM(Model!$K19:T19)+SUM(Model!$K66:T66)),0)</f>
        <v>362.580000000075</v>
      </c>
      <c r="U66" s="1" t="n">
        <f aca="false">IF($D$10=1,MAX(0,SUM(Model!$K19:U19)+SUM(Model!$K66:U66)),0)</f>
        <v>406.450000000186</v>
      </c>
      <c r="V66" s="1" t="n">
        <f aca="false">IF($D$10=1,MAX(0,SUM(Model!$K19:V19)+SUM(Model!$K66:V66)),0)</f>
        <v>447.430000000633</v>
      </c>
      <c r="W66" s="1" t="n">
        <f aca="false">IF($D$10=1,MAX(0,SUM(Model!$K19:W19)+SUM(Model!$K66:W66)),0)</f>
        <v>484.640000000596</v>
      </c>
      <c r="X66" s="1" t="n">
        <f aca="false">IF($D$10=1,MAX(0,SUM(Model!$K19:X19)+SUM(Model!$K66:X66)),0)</f>
        <v>517.460000000894</v>
      </c>
      <c r="Y66" s="1" t="n">
        <f aca="false">IF($D$10=1,MAX(0,SUM(Model!$K19:Y19)+SUM(Model!$K66:Y66)),0)</f>
        <v>545.550000000745</v>
      </c>
      <c r="Z66" s="1" t="n">
        <f aca="false">IF($D$10=1,MAX(0,SUM(Model!$K19:Z19)+SUM(Model!$K66:Z66)),0)</f>
        <v>568.819999998435</v>
      </c>
      <c r="AA66" s="1" t="n">
        <f aca="false">IF($D$10=1,MAX(0,SUM(Model!$K19:AA19)+SUM(Model!$K66:AA66)),0)</f>
        <v>587.419999999926</v>
      </c>
      <c r="AB66" s="1" t="n">
        <f aca="false">IF($D$10=1,MAX(0,SUM(Model!$K19:AB19)+SUM(Model!$K66:AB66)),0)</f>
        <v>597.490000000224</v>
      </c>
      <c r="AC66" s="1" t="n">
        <f aca="false">IF($D$10=1,MAX(0,SUM(Model!$K19:AC19)+SUM(Model!$K66:AC66)),0)</f>
        <v>597.490000000224</v>
      </c>
      <c r="AD66" s="1" t="n">
        <f aca="false">IF($D$10=1,MAX(0,SUM(Model!$K19:AD19)+SUM(Model!$K66:AD66)),0)</f>
        <v>597.490000000224</v>
      </c>
      <c r="AE66" s="1" t="n">
        <f aca="false">IF($D$10=1,MAX(0,SUM(Model!$K19:AE19)+SUM(Model!$K66:AE66)),0)</f>
        <v>597.490000000224</v>
      </c>
      <c r="AF66" s="1" t="n">
        <f aca="false">IF($D$10=1,MAX(0,SUM(Model!$K19:AF19)+SUM(Model!$K66:AF66)),0)</f>
        <v>597.490000000224</v>
      </c>
      <c r="AG66" s="1" t="n">
        <f aca="false">IF($D$10=1,MAX(0,SUM(Model!$K19:AG19)+SUM(Model!$K66:AG66)),0)</f>
        <v>597.490000000224</v>
      </c>
      <c r="AH66" s="1" t="n">
        <f aca="false">IF($D$10=1,MAX(0,SUM(Model!$K19:AH19)+SUM(Model!$K66:AH66)),0)</f>
        <v>597.490000000224</v>
      </c>
      <c r="AI66" s="1" t="n">
        <f aca="false">IF($D$10=1,MAX(0,SUM(Model!$K19:AI19)+SUM(Model!$K66:AI66)),0)</f>
        <v>597.490000000224</v>
      </c>
      <c r="AJ66" s="1" t="n">
        <f aca="false">IF($D$10=1,MAX(0,SUM(Model!$K19:AJ19)+SUM(Model!$K66:AJ66)),0)</f>
        <v>597.490000000224</v>
      </c>
      <c r="AK66" s="1" t="n">
        <f aca="false">IF($D$10=1,MAX(0,SUM(Model!$K19:AK19)+SUM(Model!$K66:AK66)),0)</f>
        <v>597.490000000224</v>
      </c>
      <c r="AL66" s="1" t="n">
        <f aca="false">IF($D$10=1,MAX(0,SUM(Model!$K19:AL19)+SUM(Model!$K66:AL66)),0)</f>
        <v>597.490000000224</v>
      </c>
      <c r="AM66" s="1" t="n">
        <f aca="false">IF($D$10=1,MAX(0,SUM(Model!$K19:AM19)+SUM(Model!$K66:AM66)),0)</f>
        <v>597.490000000224</v>
      </c>
      <c r="AN66" s="1" t="n">
        <f aca="false">IF($D$10=1,MAX(0,SUM(Model!$K19:AN19)+SUM(Model!$K66:AN66)),0)</f>
        <v>597.490000000224</v>
      </c>
      <c r="AO66" s="1" t="n">
        <f aca="false">IF($D$10=1,MAX(0,SUM(Model!$K19:AO19)+SUM(Model!$K66:AO66)),0)</f>
        <v>597.490000000224</v>
      </c>
      <c r="AP66" s="1" t="n">
        <f aca="false">IF($D$10=1,MAX(0,SUM(Model!$K19:AP19)+SUM(Model!$K66:AP66)),0)</f>
        <v>597.490000000224</v>
      </c>
      <c r="AQ66" s="1" t="n">
        <f aca="false">IF($D$10=1,MAX(0,SUM(Model!$K19:AQ19)+SUM(Model!$K66:AQ66)),0)</f>
        <v>597.490000000224</v>
      </c>
      <c r="AR66" s="1" t="n">
        <f aca="false">IF($D$10=1,MAX(0,SUM(Model!$K19:AR19)+SUM(Model!$K66:AR66)),0)</f>
        <v>597.490000000224</v>
      </c>
      <c r="AS66" s="1" t="n">
        <f aca="false">IF($D$10=1,MAX(0,SUM(Model!$K19:AS19)+SUM(Model!$K66:AS66)),0)</f>
        <v>597.490000000224</v>
      </c>
      <c r="AT66" s="1" t="n">
        <f aca="false">IF($D$10=1,MAX(0,SUM(Model!$K19:AT19)+SUM(Model!$K66:AT66)),0)</f>
        <v>597.490000000224</v>
      </c>
      <c r="AU66" s="1" t="n">
        <f aca="false">IF($D$10=1,MAX(0,SUM(Model!$K19:AU19)+SUM(Model!$K66:AU66)),0)</f>
        <v>597.490000000224</v>
      </c>
      <c r="AV66" s="1" t="n">
        <f aca="false">IF($D$10=1,MAX(0,SUM(Model!$K19:AV19)+SUM(Model!$K66:AV66)),0)</f>
        <v>597.490000000224</v>
      </c>
      <c r="AW66" s="1" t="n">
        <f aca="false">IF($D$10=1,MAX(0,SUM(Model!$K19:AW19)+SUM(Model!$K66:AW66)),0)</f>
        <v>597.490000000224</v>
      </c>
      <c r="AX66" s="1" t="n">
        <f aca="false">IF($D$10=1,MAX(0,SUM(Model!$K19:AX19)+SUM(Model!$K66:AX66)),0)</f>
        <v>597.490000000224</v>
      </c>
      <c r="AY66" s="1" t="n">
        <f aca="false">IF($D$10=1,MAX(0,SUM(Model!$K19:AY19)+SUM(Model!$K66:AY66)),0)</f>
        <v>597.490000000224</v>
      </c>
      <c r="AZ66" s="1" t="n">
        <f aca="false">IF($D$10=1,MAX(0,SUM(Model!$K19:AZ19)+SUM(Model!$K66:AZ66)),0)</f>
        <v>597.490000000224</v>
      </c>
      <c r="BA66" s="1" t="n">
        <f aca="false">IF($D$10=1,MAX(0,SUM(Model!$K19:BA19)+SUM(Model!$K66:BA66)),0)</f>
        <v>597.490000000224</v>
      </c>
      <c r="BB66" s="1" t="n">
        <f aca="false">IF($D$10=1,MAX(0,SUM(Model!$K19:BB19)+SUM(Model!$K66:BB66)),0)</f>
        <v>597.490000000224</v>
      </c>
      <c r="BC66" s="1" t="n">
        <f aca="false">IF($D$10=1,MAX(0,SUM(Model!$K19:BC19)+SUM(Model!$K66:BC66)),0)</f>
        <v>597.490000000224</v>
      </c>
      <c r="BD66" s="1" t="n">
        <f aca="false">IF($D$10=1,MAX(0,SUM(Model!$K19:BD19)+SUM(Model!$K66:BD66)),0)</f>
        <v>597.490000000224</v>
      </c>
      <c r="BE66" s="1" t="n">
        <f aca="false">IF($D$10=1,MAX(0,SUM(Model!$K19:BE19)+SUM(Model!$K66:BE66)),0)</f>
        <v>597.490000000224</v>
      </c>
      <c r="BF66" s="1" t="n">
        <f aca="false">IF($D$10=1,MAX(0,SUM(Model!$K19:BF19)+SUM(Model!$K66:BF66)),0)</f>
        <v>597.490000000224</v>
      </c>
      <c r="BG66" s="1" t="n">
        <f aca="false">IF($D$10=1,MAX(0,SUM(Model!$K19:BG19)+SUM(Model!$K66:BG66)),0)</f>
        <v>597.490000000224</v>
      </c>
      <c r="BH66" s="1" t="n">
        <f aca="false">IF($D$10=1,MAX(0,SUM(Model!$K19:BH19)+SUM(Model!$K66:BH66)),0)</f>
        <v>597.490000000224</v>
      </c>
      <c r="BI66" s="1" t="n">
        <f aca="false">IF($D$10=1,MAX(0,SUM(Model!$K19:BI19)+SUM(Model!$K66:BI66)),0)</f>
        <v>597.490000000224</v>
      </c>
      <c r="BJ66" s="1" t="n">
        <f aca="false">IF($D$10=1,MAX(0,SUM(Model!$K19:BJ19)+SUM(Model!$K66:BJ66)),0)</f>
        <v>597.490000000224</v>
      </c>
      <c r="BK66" s="1" t="n">
        <f aca="false">IF($D$10=1,MAX(0,SUM(Model!$K19:BK19)+SUM(Model!$K66:BK66)),0)</f>
        <v>597.490000000224</v>
      </c>
      <c r="BL66" s="1" t="n">
        <f aca="false">IF($D$10=1,MAX(0,SUM(Model!$K19:BL19)+SUM(Model!$K66:BL66)),0)</f>
        <v>597.490000000224</v>
      </c>
      <c r="BM66" s="1" t="n">
        <f aca="false">IF($D$10=1,MAX(0,SUM(Model!$K19:BM19)+SUM(Model!$K66:BM66)),0)</f>
        <v>597.490000000224</v>
      </c>
      <c r="BN66" s="1" t="n">
        <f aca="false">IF($D$10=1,MAX(0,SUM(Model!$K19:BN19)+SUM(Model!$K66:BN66)),0)</f>
        <v>597.490000000224</v>
      </c>
      <c r="BO66" s="1" t="n">
        <f aca="false">IF($D$10=1,MAX(0,SUM(Model!$K19:BO19)+SUM(Model!$K66:BO66)),0)</f>
        <v>597.490000000224</v>
      </c>
      <c r="BP66" s="1" t="n">
        <f aca="false">IF($D$10=1,MAX(0,SUM(Model!$K19:BP19)+SUM(Model!$K66:BP66)),0)</f>
        <v>597.490000000224</v>
      </c>
      <c r="BQ66" s="1" t="n">
        <f aca="false">IF($D$10=1,MAX(0,SUM(Model!$K19:BQ19)+SUM(Model!$K66:BQ66)),0)</f>
        <v>597.490000000224</v>
      </c>
      <c r="BR66" s="1" t="n">
        <f aca="false">IF($D$10=1,MAX(0,SUM(Model!$K19:BR19)+SUM(Model!$K66:BR66)),0)</f>
        <v>597.490000000224</v>
      </c>
      <c r="BS66" s="1" t="n">
        <f aca="false">IF($D$10=1,MAX(0,SUM(Model!$K19:BS19)+SUM(Model!$K66:BS66)),0)</f>
        <v>597.490000000224</v>
      </c>
      <c r="BT66" s="1" t="n">
        <f aca="false">IF($D$10=1,MAX(0,SUM(Model!$K19:BT19)+SUM(Model!$K66:BT66)),0)</f>
        <v>597.490000000224</v>
      </c>
      <c r="BU66" s="1" t="n">
        <f aca="false">IF($D$10=1,MAX(0,SUM(Model!$K19:BU19)+SUM(Model!$K66:BU66)),0)</f>
        <v>597.490000000224</v>
      </c>
      <c r="BV66" s="1" t="n">
        <f aca="false">IF($D$10=1,MAX(0,SUM(Model!$K19:BV19)+SUM(Model!$K66:BV66)),0)</f>
        <v>597.490000000224</v>
      </c>
      <c r="BW66" s="1" t="n">
        <f aca="false">IF($D$10=1,MAX(0,SUM(Model!$K19:BW19)+SUM(Model!$K66:BW66)),0)</f>
        <v>597.490000000224</v>
      </c>
      <c r="BX66" s="1" t="n">
        <f aca="false">IF($D$10=1,MAX(0,SUM(Model!$K19:BX19)+SUM(Model!$K66:BX66)),0)</f>
        <v>597.490000000224</v>
      </c>
      <c r="BY66" s="1" t="n">
        <f aca="false">IF($D$10=1,MAX(0,SUM(Model!$K19:BY19)+SUM(Model!$K66:BY66)),0)</f>
        <v>597.490000000224</v>
      </c>
      <c r="BZ66" s="1" t="n">
        <f aca="false">IF($D$10=1,MAX(0,SUM(Model!$K19:BZ19)+SUM(Model!$K66:BZ66)),0)</f>
        <v>597.490000000224</v>
      </c>
      <c r="CA66" s="1" t="n">
        <f aca="false">IF($D$10=1,MAX(0,SUM(Model!$K19:CA19)+SUM(Model!$K66:CA66)),0)</f>
        <v>597.490000000224</v>
      </c>
      <c r="CB66" s="1" t="n">
        <f aca="false">IF($D$10=1,MAX(0,SUM(Model!$K19:CB19)+SUM(Model!$K66:CB66)),0)</f>
        <v>597.490000000224</v>
      </c>
      <c r="CC66" s="1" t="n">
        <f aca="false">IF($D$10=1,MAX(0,SUM(Model!$K19:CC19)+SUM(Model!$K66:CC66)),0)</f>
        <v>597.490000000224</v>
      </c>
      <c r="CD66" s="1" t="n">
        <f aca="false">IF($D$10=1,MAX(0,SUM(Model!$K19:CD19)+SUM(Model!$K66:CD66)),0)</f>
        <v>597.490000000224</v>
      </c>
      <c r="CE66" s="1" t="n">
        <f aca="false">IF($D$10=1,MAX(0,SUM(Model!$K19:CE19)+SUM(Model!$K66:CE66)),0)</f>
        <v>597.490000000224</v>
      </c>
      <c r="CF66" s="1" t="n">
        <f aca="false">IF($D$10=1,MAX(0,SUM(Model!$K19:CF19)+SUM(Model!$K66:CF66)),0)</f>
        <v>597.490000000224</v>
      </c>
      <c r="CG66" s="1" t="n">
        <f aca="false">IF($D$10=1,MAX(0,SUM(Model!$K19:CG19)+SUM(Model!$K66:CG66)),0)</f>
        <v>597.490000000224</v>
      </c>
      <c r="CH66" s="1" t="n">
        <f aca="false">IF($D$10=1,MAX(0,SUM(Model!$K19:CH19)+SUM(Model!$K66:CH66)),0)</f>
        <v>597.490000000224</v>
      </c>
      <c r="CI66" s="1" t="n">
        <f aca="false">IF($D$10=1,MAX(0,SUM(Model!$K19:CI19)+SUM(Model!$K66:CI66)),0)</f>
        <v>597.490000000224</v>
      </c>
      <c r="CJ66" s="1" t="n">
        <f aca="false">IF($D$10=1,MAX(0,SUM(Model!$K19:CJ19)+SUM(Model!$K66:CJ66)),0)</f>
        <v>597.490000000224</v>
      </c>
      <c r="CK66" s="1" t="n">
        <f aca="false">IF($D$10=1,MAX(0,SUM(Model!$K19:CK19)+SUM(Model!$K66:CK66)),0)</f>
        <v>597.490000000224</v>
      </c>
      <c r="CL66" s="1" t="n">
        <f aca="false">IF($D$10=1,MAX(0,SUM(Model!$K19:CL19)+SUM(Model!$K66:CL66)),0)</f>
        <v>597.490000000224</v>
      </c>
      <c r="CM66" s="1" t="n">
        <f aca="false">IF($D$10=1,MAX(0,SUM(Model!$K19:CM19)+SUM(Model!$K66:CM66)),0)</f>
        <v>597.490000000224</v>
      </c>
      <c r="CN66" s="1" t="n">
        <f aca="false">IF($D$10=1,MAX(0,SUM(Model!$K19:CN19)+SUM(Model!$K66:CN66)),0)</f>
        <v>597.490000000224</v>
      </c>
      <c r="CO66" s="1" t="n">
        <f aca="false">IF($D$10=1,MAX(0,SUM(Model!$K19:CO19)+SUM(Model!$K66:CO66)),0)</f>
        <v>597.490000000224</v>
      </c>
      <c r="CP66" s="1" t="n">
        <f aca="false">IF($D$10=1,MAX(0,SUM(Model!$K19:CP19)+SUM(Model!$K66:CP66)),0)</f>
        <v>597.490000000224</v>
      </c>
      <c r="CQ66" s="1" t="n">
        <f aca="false">IF($D$10=1,MAX(0,SUM(Model!$K19:CQ19)+SUM(Model!$K66:CQ66)),0)</f>
        <v>597.490000000224</v>
      </c>
      <c r="CR66" s="1" t="n">
        <f aca="false">IF($D$10=1,MAX(0,SUM(Model!$K19:CR19)+SUM(Model!$K66:CR66)),0)</f>
        <v>597.490000000224</v>
      </c>
      <c r="CS66" s="1" t="n">
        <f aca="false">IF($D$10=1,MAX(0,SUM(Model!$K19:CS19)+SUM(Model!$K66:CS66)),0)</f>
        <v>597.490000000224</v>
      </c>
      <c r="CT66" s="1" t="n">
        <f aca="false">IF($D$10=1,MAX(0,SUM(Model!$K19:CT19)+SUM(Model!$K66:CT66)),0)</f>
        <v>597.490000000224</v>
      </c>
      <c r="CU66" s="1" t="n">
        <f aca="false">IF($D$10=1,MAX(0,SUM(Model!$K19:CU19)+SUM(Model!$K66:CU66)),0)</f>
        <v>597.490000000224</v>
      </c>
      <c r="CV66" s="1" t="n">
        <f aca="false">IF($D$10=1,MAX(0,SUM(Model!$K19:CV19)+SUM(Model!$K66:CV66)),0)</f>
        <v>597.490000000224</v>
      </c>
      <c r="CW66" s="1" t="n">
        <f aca="false">IF($D$10=1,MAX(0,SUM(Model!$K19:CW19)+SUM(Model!$K66:CW66)),0)</f>
        <v>597.490000000224</v>
      </c>
      <c r="CX66" s="1" t="n">
        <f aca="false">IF($D$10=1,MAX(0,SUM(Model!$K19:CX19)+SUM(Model!$K66:CX66)),0)</f>
        <v>597.490000000224</v>
      </c>
      <c r="CY66" s="1" t="n">
        <f aca="false">IF($D$10=1,MAX(0,SUM(Model!$K19:CY19)+SUM(Model!$K66:CY66)),0)</f>
        <v>597.490000000224</v>
      </c>
      <c r="CZ66" s="1" t="n">
        <f aca="false">IF($D$10=1,MAX(0,SUM(Model!$K19:CZ19)+SUM(Model!$K66:CZ66)),0)</f>
        <v>597.490000000224</v>
      </c>
      <c r="DA66" s="1" t="n">
        <f aca="false">IF($D$10=1,MAX(0,SUM(Model!$K19:DA19)+SUM(Model!$K66:DA66)),0)</f>
        <v>597.490000000224</v>
      </c>
      <c r="DB66" s="1" t="n">
        <f aca="false">IF($D$10=1,MAX(0,SUM(Model!$K19:DB19)+SUM(Model!$K66:DB66)),0)</f>
        <v>597.490000000224</v>
      </c>
      <c r="DC66" s="1" t="n">
        <f aca="false">IF($D$10=1,MAX(0,SUM(Model!$K19:DC19)+SUM(Model!$K66:DC66)),0)</f>
        <v>597.490000000224</v>
      </c>
      <c r="DD66" s="1" t="n">
        <f aca="false">IF($D$10=1,MAX(0,SUM(Model!$K19:DD19)+SUM(Model!$K66:DD66)),0)</f>
        <v>597.490000000224</v>
      </c>
      <c r="DE66" s="1" t="n">
        <f aca="false">IF($D$10=1,MAX(0,SUM(Model!$K19:DE19)+SUM(Model!$K66:DE66)),0)</f>
        <v>597.490000000224</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v>0</v>
      </c>
      <c r="K67" s="1" t="n">
        <f aca="false">IF($D$11=1,MAX(0,SUM(Model!$K20:K20)+SUM(Model!$K67:K67)),0)</f>
        <v>139.27999999997</v>
      </c>
      <c r="L67" s="1" t="n">
        <f aca="false">IF($D$11=1,MAX(0,SUM(Model!$K20:L20)+SUM(Model!$K67:L67)),0)</f>
        <v>307.399999999907</v>
      </c>
      <c r="M67" s="1" t="n">
        <f aca="false">IF($D$11=1,MAX(0,SUM(Model!$K20:M20)+SUM(Model!$K67:M67)),0)</f>
        <v>503.84999999986</v>
      </c>
      <c r="N67" s="1" t="n">
        <f aca="false">IF($D$11=1,MAX(0,SUM(Model!$K20:N20)+SUM(Model!$K67:N67)),0)</f>
        <v>726.539999999572</v>
      </c>
      <c r="O67" s="1" t="n">
        <f aca="false">IF($D$11=1,MAX(0,SUM(Model!$K20:O20)+SUM(Model!$K67:O67)),0)</f>
        <v>971.769999999553</v>
      </c>
      <c r="P67" s="1" t="n">
        <f aca="false">IF($D$11=1,MAX(0,SUM(Model!$K20:P20)+SUM(Model!$K67:P67)),0)</f>
        <v>1234.34999999963</v>
      </c>
      <c r="Q67" s="1" t="n">
        <f aca="false">IF($D$11=1,MAX(0,SUM(Model!$K20:Q20)+SUM(Model!$K67:Q67)),0)</f>
        <v>1507.8599999994</v>
      </c>
      <c r="R67" s="1" t="n">
        <f aca="false">IF($D$11=1,MAX(0,SUM(Model!$K20:R20)+SUM(Model!$K67:R67)),0)</f>
        <v>1785.11000000034</v>
      </c>
      <c r="S67" s="1" t="n">
        <f aca="false">IF($D$11=1,MAX(0,SUM(Model!$K20:S20)+SUM(Model!$K67:S67)),0)</f>
        <v>2058.62000000011</v>
      </c>
      <c r="T67" s="1" t="n">
        <f aca="false">IF($D$11=1,MAX(0,SUM(Model!$K20:T20)+SUM(Model!$K67:T67)),0)</f>
        <v>2321.20000000019</v>
      </c>
      <c r="U67" s="1" t="n">
        <f aca="false">IF($D$11=1,MAX(0,SUM(Model!$K20:U20)+SUM(Model!$K67:U67)),0)</f>
        <v>2566.4299999997</v>
      </c>
      <c r="V67" s="1" t="n">
        <f aca="false">IF($D$11=1,MAX(0,SUM(Model!$K20:V20)+SUM(Model!$K67:V67)),0)</f>
        <v>2789.12000000104</v>
      </c>
      <c r="W67" s="1" t="n">
        <f aca="false">IF($D$11=1,MAX(0,SUM(Model!$K20:W20)+SUM(Model!$K67:W67)),0)</f>
        <v>2985.57000000216</v>
      </c>
      <c r="X67" s="1" t="n">
        <f aca="false">IF($D$11=1,MAX(0,SUM(Model!$K20:X20)+SUM(Model!$K67:X67)),0)</f>
        <v>3153.68999999948</v>
      </c>
      <c r="Y67" s="1" t="n">
        <f aca="false">IF($D$11=1,MAX(0,SUM(Model!$K20:Y20)+SUM(Model!$K67:Y67)),0)</f>
        <v>3292.96999999881</v>
      </c>
      <c r="Z67" s="1" t="n">
        <f aca="false">IF($D$11=1,MAX(0,SUM(Model!$K20:Z20)+SUM(Model!$K67:Z67)),0)</f>
        <v>3404.27000000142</v>
      </c>
      <c r="AA67" s="1" t="n">
        <f aca="false">IF($D$11=1,MAX(0,SUM(Model!$K20:AA20)+SUM(Model!$K67:AA67)),0)</f>
        <v>3464.53000000119</v>
      </c>
      <c r="AB67" s="1" t="n">
        <f aca="false">IF($D$11=1,MAX(0,SUM(Model!$K20:AB20)+SUM(Model!$K67:AB67)),0)</f>
        <v>3464.53000000119</v>
      </c>
      <c r="AC67" s="1" t="n">
        <f aca="false">IF($D$11=1,MAX(0,SUM(Model!$K20:AC20)+SUM(Model!$K67:AC67)),0)</f>
        <v>3464.53000000119</v>
      </c>
      <c r="AD67" s="1" t="n">
        <f aca="false">IF($D$11=1,MAX(0,SUM(Model!$K20:AD20)+SUM(Model!$K67:AD67)),0)</f>
        <v>3464.53000000119</v>
      </c>
      <c r="AE67" s="1" t="n">
        <f aca="false">IF($D$11=1,MAX(0,SUM(Model!$K20:AE20)+SUM(Model!$K67:AE67)),0)</f>
        <v>3464.53000000119</v>
      </c>
      <c r="AF67" s="1" t="n">
        <f aca="false">IF($D$11=1,MAX(0,SUM(Model!$K20:AF20)+SUM(Model!$K67:AF67)),0)</f>
        <v>3464.53000000119</v>
      </c>
      <c r="AG67" s="1" t="n">
        <f aca="false">IF($D$11=1,MAX(0,SUM(Model!$K20:AG20)+SUM(Model!$K67:AG67)),0)</f>
        <v>3464.53000000119</v>
      </c>
      <c r="AH67" s="1" t="n">
        <f aca="false">IF($D$11=1,MAX(0,SUM(Model!$K20:AH20)+SUM(Model!$K67:AH67)),0)</f>
        <v>3464.53000000119</v>
      </c>
      <c r="AI67" s="1" t="n">
        <f aca="false">IF($D$11=1,MAX(0,SUM(Model!$K20:AI20)+SUM(Model!$K67:AI67)),0)</f>
        <v>3464.53000000119</v>
      </c>
      <c r="AJ67" s="1" t="n">
        <f aca="false">IF($D$11=1,MAX(0,SUM(Model!$K20:AJ20)+SUM(Model!$K67:AJ67)),0)</f>
        <v>3464.53000000119</v>
      </c>
      <c r="AK67" s="1" t="n">
        <f aca="false">IF($D$11=1,MAX(0,SUM(Model!$K20:AK20)+SUM(Model!$K67:AK67)),0)</f>
        <v>3464.53000000119</v>
      </c>
      <c r="AL67" s="1" t="n">
        <f aca="false">IF($D$11=1,MAX(0,SUM(Model!$K20:AL20)+SUM(Model!$K67:AL67)),0)</f>
        <v>3464.53000000119</v>
      </c>
      <c r="AM67" s="1" t="n">
        <f aca="false">IF($D$11=1,MAX(0,SUM(Model!$K20:AM20)+SUM(Model!$K67:AM67)),0)</f>
        <v>3464.53000000119</v>
      </c>
      <c r="AN67" s="1" t="n">
        <f aca="false">IF($D$11=1,MAX(0,SUM(Model!$K20:AN20)+SUM(Model!$K67:AN67)),0)</f>
        <v>3464.53000000119</v>
      </c>
      <c r="AO67" s="1" t="n">
        <f aca="false">IF($D$11=1,MAX(0,SUM(Model!$K20:AO20)+SUM(Model!$K67:AO67)),0)</f>
        <v>3464.53000000119</v>
      </c>
      <c r="AP67" s="1" t="n">
        <f aca="false">IF($D$11=1,MAX(0,SUM(Model!$K20:AP20)+SUM(Model!$K67:AP67)),0)</f>
        <v>3464.53000000119</v>
      </c>
      <c r="AQ67" s="1" t="n">
        <f aca="false">IF($D$11=1,MAX(0,SUM(Model!$K20:AQ20)+SUM(Model!$K67:AQ67)),0)</f>
        <v>3464.53000000119</v>
      </c>
      <c r="AR67" s="1" t="n">
        <f aca="false">IF($D$11=1,MAX(0,SUM(Model!$K20:AR20)+SUM(Model!$K67:AR67)),0)</f>
        <v>3464.53000000119</v>
      </c>
      <c r="AS67" s="1" t="n">
        <f aca="false">IF($D$11=1,MAX(0,SUM(Model!$K20:AS20)+SUM(Model!$K67:AS67)),0)</f>
        <v>3464.53000000119</v>
      </c>
      <c r="AT67" s="1" t="n">
        <f aca="false">IF($D$11=1,MAX(0,SUM(Model!$K20:AT20)+SUM(Model!$K67:AT67)),0)</f>
        <v>3464.53000000119</v>
      </c>
      <c r="AU67" s="1" t="n">
        <f aca="false">IF($D$11=1,MAX(0,SUM(Model!$K20:AU20)+SUM(Model!$K67:AU67)),0)</f>
        <v>3464.53000000119</v>
      </c>
      <c r="AV67" s="1" t="n">
        <f aca="false">IF($D$11=1,MAX(0,SUM(Model!$K20:AV20)+SUM(Model!$K67:AV67)),0)</f>
        <v>3464.53000000119</v>
      </c>
      <c r="AW67" s="1" t="n">
        <f aca="false">IF($D$11=1,MAX(0,SUM(Model!$K20:AW20)+SUM(Model!$K67:AW67)),0)</f>
        <v>3464.53000000119</v>
      </c>
      <c r="AX67" s="1" t="n">
        <f aca="false">IF($D$11=1,MAX(0,SUM(Model!$K20:AX20)+SUM(Model!$K67:AX67)),0)</f>
        <v>3464.53000000119</v>
      </c>
      <c r="AY67" s="1" t="n">
        <f aca="false">IF($D$11=1,MAX(0,SUM(Model!$K20:AY20)+SUM(Model!$K67:AY67)),0)</f>
        <v>3464.53000000119</v>
      </c>
      <c r="AZ67" s="1" t="n">
        <f aca="false">IF($D$11=1,MAX(0,SUM(Model!$K20:AZ20)+SUM(Model!$K67:AZ67)),0)</f>
        <v>3464.53000000119</v>
      </c>
      <c r="BA67" s="1" t="n">
        <f aca="false">IF($D$11=1,MAX(0,SUM(Model!$K20:BA20)+SUM(Model!$K67:BA67)),0)</f>
        <v>3464.53000000119</v>
      </c>
      <c r="BB67" s="1" t="n">
        <f aca="false">IF($D$11=1,MAX(0,SUM(Model!$K20:BB20)+SUM(Model!$K67:BB67)),0)</f>
        <v>3464.53000000119</v>
      </c>
      <c r="BC67" s="1" t="n">
        <f aca="false">IF($D$11=1,MAX(0,SUM(Model!$K20:BC20)+SUM(Model!$K67:BC67)),0)</f>
        <v>3464.53000000119</v>
      </c>
      <c r="BD67" s="1" t="n">
        <f aca="false">IF($D$11=1,MAX(0,SUM(Model!$K20:BD20)+SUM(Model!$K67:BD67)),0)</f>
        <v>3464.53000000119</v>
      </c>
      <c r="BE67" s="1" t="n">
        <f aca="false">IF($D$11=1,MAX(0,SUM(Model!$K20:BE20)+SUM(Model!$K67:BE67)),0)</f>
        <v>3464.53000000119</v>
      </c>
      <c r="BF67" s="1" t="n">
        <f aca="false">IF($D$11=1,MAX(0,SUM(Model!$K20:BF20)+SUM(Model!$K67:BF67)),0)</f>
        <v>3464.53000000119</v>
      </c>
      <c r="BG67" s="1" t="n">
        <f aca="false">IF($D$11=1,MAX(0,SUM(Model!$K20:BG20)+SUM(Model!$K67:BG67)),0)</f>
        <v>3464.53000000119</v>
      </c>
      <c r="BH67" s="1" t="n">
        <f aca="false">IF($D$11=1,MAX(0,SUM(Model!$K20:BH20)+SUM(Model!$K67:BH67)),0)</f>
        <v>3464.53000000119</v>
      </c>
      <c r="BI67" s="1" t="n">
        <f aca="false">IF($D$11=1,MAX(0,SUM(Model!$K20:BI20)+SUM(Model!$K67:BI67)),0)</f>
        <v>3464.53000000119</v>
      </c>
      <c r="BJ67" s="1" t="n">
        <f aca="false">IF($D$11=1,MAX(0,SUM(Model!$K20:BJ20)+SUM(Model!$K67:BJ67)),0)</f>
        <v>3464.53000000119</v>
      </c>
      <c r="BK67" s="1" t="n">
        <f aca="false">IF($D$11=1,MAX(0,SUM(Model!$K20:BK20)+SUM(Model!$K67:BK67)),0)</f>
        <v>3464.53000000119</v>
      </c>
      <c r="BL67" s="1" t="n">
        <f aca="false">IF($D$11=1,MAX(0,SUM(Model!$K20:BL20)+SUM(Model!$K67:BL67)),0)</f>
        <v>3464.53000000119</v>
      </c>
      <c r="BM67" s="1" t="n">
        <f aca="false">IF($D$11=1,MAX(0,SUM(Model!$K20:BM20)+SUM(Model!$K67:BM67)),0)</f>
        <v>3464.53000000119</v>
      </c>
      <c r="BN67" s="1" t="n">
        <f aca="false">IF($D$11=1,MAX(0,SUM(Model!$K20:BN20)+SUM(Model!$K67:BN67)),0)</f>
        <v>3464.53000000119</v>
      </c>
      <c r="BO67" s="1" t="n">
        <f aca="false">IF($D$11=1,MAX(0,SUM(Model!$K20:BO20)+SUM(Model!$K67:BO67)),0)</f>
        <v>3464.53000000119</v>
      </c>
      <c r="BP67" s="1" t="n">
        <f aca="false">IF($D$11=1,MAX(0,SUM(Model!$K20:BP20)+SUM(Model!$K67:BP67)),0)</f>
        <v>3464.53000000119</v>
      </c>
      <c r="BQ67" s="1" t="n">
        <f aca="false">IF($D$11=1,MAX(0,SUM(Model!$K20:BQ20)+SUM(Model!$K67:BQ67)),0)</f>
        <v>3464.53000000119</v>
      </c>
      <c r="BR67" s="1" t="n">
        <f aca="false">IF($D$11=1,MAX(0,SUM(Model!$K20:BR20)+SUM(Model!$K67:BR67)),0)</f>
        <v>3464.53000000119</v>
      </c>
      <c r="BS67" s="1" t="n">
        <f aca="false">IF($D$11=1,MAX(0,SUM(Model!$K20:BS20)+SUM(Model!$K67:BS67)),0)</f>
        <v>3464.53000000119</v>
      </c>
      <c r="BT67" s="1" t="n">
        <f aca="false">IF($D$11=1,MAX(0,SUM(Model!$K20:BT20)+SUM(Model!$K67:BT67)),0)</f>
        <v>3464.53000000119</v>
      </c>
      <c r="BU67" s="1" t="n">
        <f aca="false">IF($D$11=1,MAX(0,SUM(Model!$K20:BU20)+SUM(Model!$K67:BU67)),0)</f>
        <v>3464.53000000119</v>
      </c>
      <c r="BV67" s="1" t="n">
        <f aca="false">IF($D$11=1,MAX(0,SUM(Model!$K20:BV20)+SUM(Model!$K67:BV67)),0)</f>
        <v>3464.53000000119</v>
      </c>
      <c r="BW67" s="1" t="n">
        <f aca="false">IF($D$11=1,MAX(0,SUM(Model!$K20:BW20)+SUM(Model!$K67:BW67)),0)</f>
        <v>3464.53000000119</v>
      </c>
      <c r="BX67" s="1" t="n">
        <f aca="false">IF($D$11=1,MAX(0,SUM(Model!$K20:BX20)+SUM(Model!$K67:BX67)),0)</f>
        <v>3464.53000000119</v>
      </c>
      <c r="BY67" s="1" t="n">
        <f aca="false">IF($D$11=1,MAX(0,SUM(Model!$K20:BY20)+SUM(Model!$K67:BY67)),0)</f>
        <v>3464.53000000119</v>
      </c>
      <c r="BZ67" s="1" t="n">
        <f aca="false">IF($D$11=1,MAX(0,SUM(Model!$K20:BZ20)+SUM(Model!$K67:BZ67)),0)</f>
        <v>3464.53000000119</v>
      </c>
      <c r="CA67" s="1" t="n">
        <f aca="false">IF($D$11=1,MAX(0,SUM(Model!$K20:CA20)+SUM(Model!$K67:CA67)),0)</f>
        <v>3464.53000000119</v>
      </c>
      <c r="CB67" s="1" t="n">
        <f aca="false">IF($D$11=1,MAX(0,SUM(Model!$K20:CB20)+SUM(Model!$K67:CB67)),0)</f>
        <v>3464.53000000119</v>
      </c>
      <c r="CC67" s="1" t="n">
        <f aca="false">IF($D$11=1,MAX(0,SUM(Model!$K20:CC20)+SUM(Model!$K67:CC67)),0)</f>
        <v>3464.53000000119</v>
      </c>
      <c r="CD67" s="1" t="n">
        <f aca="false">IF($D$11=1,MAX(0,SUM(Model!$K20:CD20)+SUM(Model!$K67:CD67)),0)</f>
        <v>3464.53000000119</v>
      </c>
      <c r="CE67" s="1" t="n">
        <f aca="false">IF($D$11=1,MAX(0,SUM(Model!$K20:CE20)+SUM(Model!$K67:CE67)),0)</f>
        <v>3464.53000000119</v>
      </c>
      <c r="CF67" s="1" t="n">
        <f aca="false">IF($D$11=1,MAX(0,SUM(Model!$K20:CF20)+SUM(Model!$K67:CF67)),0)</f>
        <v>3464.53000000119</v>
      </c>
      <c r="CG67" s="1" t="n">
        <f aca="false">IF($D$11=1,MAX(0,SUM(Model!$K20:CG20)+SUM(Model!$K67:CG67)),0)</f>
        <v>3464.53000000119</v>
      </c>
      <c r="CH67" s="1" t="n">
        <f aca="false">IF($D$11=1,MAX(0,SUM(Model!$K20:CH20)+SUM(Model!$K67:CH67)),0)</f>
        <v>3464.53000000119</v>
      </c>
      <c r="CI67" s="1" t="n">
        <f aca="false">IF($D$11=1,MAX(0,SUM(Model!$K20:CI20)+SUM(Model!$K67:CI67)),0)</f>
        <v>3464.53000000119</v>
      </c>
      <c r="CJ67" s="1" t="n">
        <f aca="false">IF($D$11=1,MAX(0,SUM(Model!$K20:CJ20)+SUM(Model!$K67:CJ67)),0)</f>
        <v>3464.53000000119</v>
      </c>
      <c r="CK67" s="1" t="n">
        <f aca="false">IF($D$11=1,MAX(0,SUM(Model!$K20:CK20)+SUM(Model!$K67:CK67)),0)</f>
        <v>3464.53000000119</v>
      </c>
      <c r="CL67" s="1" t="n">
        <f aca="false">IF($D$11=1,MAX(0,SUM(Model!$K20:CL20)+SUM(Model!$K67:CL67)),0)</f>
        <v>3464.53000000119</v>
      </c>
      <c r="CM67" s="1" t="n">
        <f aca="false">IF($D$11=1,MAX(0,SUM(Model!$K20:CM20)+SUM(Model!$K67:CM67)),0)</f>
        <v>3464.53000000119</v>
      </c>
      <c r="CN67" s="1" t="n">
        <f aca="false">IF($D$11=1,MAX(0,SUM(Model!$K20:CN20)+SUM(Model!$K67:CN67)),0)</f>
        <v>3464.53000000119</v>
      </c>
      <c r="CO67" s="1" t="n">
        <f aca="false">IF($D$11=1,MAX(0,SUM(Model!$K20:CO20)+SUM(Model!$K67:CO67)),0)</f>
        <v>3464.53000000119</v>
      </c>
      <c r="CP67" s="1" t="n">
        <f aca="false">IF($D$11=1,MAX(0,SUM(Model!$K20:CP20)+SUM(Model!$K67:CP67)),0)</f>
        <v>3464.53000000119</v>
      </c>
      <c r="CQ67" s="1" t="n">
        <f aca="false">IF($D$11=1,MAX(0,SUM(Model!$K20:CQ20)+SUM(Model!$K67:CQ67)),0)</f>
        <v>3464.53000000119</v>
      </c>
      <c r="CR67" s="1" t="n">
        <f aca="false">IF($D$11=1,MAX(0,SUM(Model!$K20:CR20)+SUM(Model!$K67:CR67)),0)</f>
        <v>3464.53000000119</v>
      </c>
      <c r="CS67" s="1" t="n">
        <f aca="false">IF($D$11=1,MAX(0,SUM(Model!$K20:CS20)+SUM(Model!$K67:CS67)),0)</f>
        <v>3464.53000000119</v>
      </c>
      <c r="CT67" s="1" t="n">
        <f aca="false">IF($D$11=1,MAX(0,SUM(Model!$K20:CT20)+SUM(Model!$K67:CT67)),0)</f>
        <v>3464.53000000119</v>
      </c>
      <c r="CU67" s="1" t="n">
        <f aca="false">IF($D$11=1,MAX(0,SUM(Model!$K20:CU20)+SUM(Model!$K67:CU67)),0)</f>
        <v>3464.53000000119</v>
      </c>
      <c r="CV67" s="1" t="n">
        <f aca="false">IF($D$11=1,MAX(0,SUM(Model!$K20:CV20)+SUM(Model!$K67:CV67)),0)</f>
        <v>3464.53000000119</v>
      </c>
      <c r="CW67" s="1" t="n">
        <f aca="false">IF($D$11=1,MAX(0,SUM(Model!$K20:CW20)+SUM(Model!$K67:CW67)),0)</f>
        <v>3464.53000000119</v>
      </c>
      <c r="CX67" s="1" t="n">
        <f aca="false">IF($D$11=1,MAX(0,SUM(Model!$K20:CX20)+SUM(Model!$K67:CX67)),0)</f>
        <v>3464.53000000119</v>
      </c>
      <c r="CY67" s="1" t="n">
        <f aca="false">IF($D$11=1,MAX(0,SUM(Model!$K20:CY20)+SUM(Model!$K67:CY67)),0)</f>
        <v>3464.53000000119</v>
      </c>
      <c r="CZ67" s="1" t="n">
        <f aca="false">IF($D$11=1,MAX(0,SUM(Model!$K20:CZ20)+SUM(Model!$K67:CZ67)),0)</f>
        <v>3464.53000000119</v>
      </c>
      <c r="DA67" s="1" t="n">
        <f aca="false">IF($D$11=1,MAX(0,SUM(Model!$K20:DA20)+SUM(Model!$K67:DA67)),0)</f>
        <v>3464.53000000119</v>
      </c>
      <c r="DB67" s="1" t="n">
        <f aca="false">IF($D$11=1,MAX(0,SUM(Model!$K20:DB20)+SUM(Model!$K67:DB67)),0)</f>
        <v>3464.53000000119</v>
      </c>
      <c r="DC67" s="1" t="n">
        <f aca="false">IF($D$11=1,MAX(0,SUM(Model!$K20:DC20)+SUM(Model!$K67:DC67)),0)</f>
        <v>3464.53000000119</v>
      </c>
      <c r="DD67" s="1" t="n">
        <f aca="false">IF($D$11=1,MAX(0,SUM(Model!$K20:DD20)+SUM(Model!$K67:DD67)),0)</f>
        <v>3464.53000000119</v>
      </c>
      <c r="DE67" s="1" t="n">
        <f aca="false">IF($D$11=1,MAX(0,SUM(Model!$K20:DE20)+SUM(Model!$K67:DE67)),0)</f>
        <v>3464.53000000119</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v>0</v>
      </c>
      <c r="K68" s="1" t="n">
        <f aca="false">IF($D$12=1,MAX(0,SUM(Model!$K21:K21)+SUM(Model!$K68:K68)),0)</f>
        <v>0</v>
      </c>
      <c r="L68" s="1" t="n">
        <f aca="false">IF($D$12=1,MAX(0,SUM(Model!$K21:L21)+SUM(Model!$K68:L68)),0)</f>
        <v>0</v>
      </c>
      <c r="M68" s="1" t="n">
        <f aca="false">IF($D$12=1,MAX(0,SUM(Model!$K21:M21)+SUM(Model!$K68:M68)),0)</f>
        <v>0</v>
      </c>
      <c r="N68" s="1" t="n">
        <f aca="false">IF($D$12=1,MAX(0,SUM(Model!$K21:N21)+SUM(Model!$K68:N68)),0)</f>
        <v>0</v>
      </c>
      <c r="O68" s="1" t="n">
        <f aca="false">IF($D$12=1,MAX(0,SUM(Model!$K21:O21)+SUM(Model!$K68:O68)),0)</f>
        <v>0</v>
      </c>
      <c r="P68" s="1" t="n">
        <f aca="false">IF($D$12=1,MAX(0,SUM(Model!$K21:P21)+SUM(Model!$K68:P68)),0)</f>
        <v>0</v>
      </c>
      <c r="Q68" s="1" t="n">
        <f aca="false">IF($D$12=1,MAX(0,SUM(Model!$K21:Q21)+SUM(Model!$K68:Q68)),0)</f>
        <v>0</v>
      </c>
      <c r="R68" s="1" t="n">
        <f aca="false">IF($D$12=1,MAX(0,SUM(Model!$K21:R21)+SUM(Model!$K68:R68)),0)</f>
        <v>0</v>
      </c>
      <c r="S68" s="1" t="n">
        <f aca="false">IF($D$12=1,MAX(0,SUM(Model!$K21:S21)+SUM(Model!$K68:S68)),0)</f>
        <v>0</v>
      </c>
      <c r="T68" s="1" t="n">
        <f aca="false">IF($D$12=1,MAX(0,SUM(Model!$K21:T21)+SUM(Model!$K68:T68)),0)</f>
        <v>0</v>
      </c>
      <c r="U68" s="1" t="n">
        <f aca="false">IF($D$12=1,MAX(0,SUM(Model!$K21:U21)+SUM(Model!$K68:U68)),0)</f>
        <v>0</v>
      </c>
      <c r="V68" s="1" t="n">
        <f aca="false">IF($D$12=1,MAX(0,SUM(Model!$K21:V21)+SUM(Model!$K68:V68)),0)</f>
        <v>0</v>
      </c>
      <c r="W68" s="1" t="n">
        <f aca="false">IF($D$12=1,MAX(0,SUM(Model!$K21:W21)+SUM(Model!$K68:W68)),0)</f>
        <v>0</v>
      </c>
      <c r="X68" s="1" t="n">
        <f aca="false">IF($D$12=1,MAX(0,SUM(Model!$K21:X21)+SUM(Model!$K68:X68)),0)</f>
        <v>0</v>
      </c>
      <c r="Y68" s="1" t="n">
        <f aca="false">IF($D$12=1,MAX(0,SUM(Model!$K21:Y21)+SUM(Model!$K68:Y68)),0)</f>
        <v>0</v>
      </c>
      <c r="Z68" s="1" t="n">
        <f aca="false">IF($D$12=1,MAX(0,SUM(Model!$K21:Z21)+SUM(Model!$K68:Z68)),0)</f>
        <v>0</v>
      </c>
      <c r="AA68" s="1" t="n">
        <f aca="false">IF($D$12=1,MAX(0,SUM(Model!$K21:AA21)+SUM(Model!$K68:AA68)),0)</f>
        <v>0</v>
      </c>
      <c r="AB68" s="1" t="n">
        <f aca="false">IF($D$12=1,MAX(0,SUM(Model!$K21:AB21)+SUM(Model!$K68:AB68)),0)</f>
        <v>0</v>
      </c>
      <c r="AC68" s="1" t="n">
        <f aca="false">IF($D$12=1,MAX(0,SUM(Model!$K21:AC21)+SUM(Model!$K68:AC68)),0)</f>
        <v>0</v>
      </c>
      <c r="AD68" s="1" t="n">
        <f aca="false">IF($D$12=1,MAX(0,SUM(Model!$K21:AD21)+SUM(Model!$K68:AD68)),0)</f>
        <v>0</v>
      </c>
      <c r="AE68" s="1" t="n">
        <f aca="false">IF($D$12=1,MAX(0,SUM(Model!$K21:AE21)+SUM(Model!$K68:AE68)),0)</f>
        <v>0</v>
      </c>
      <c r="AF68" s="1" t="n">
        <f aca="false">IF($D$12=1,MAX(0,SUM(Model!$K21:AF21)+SUM(Model!$K68:AF68)),0)</f>
        <v>0</v>
      </c>
      <c r="AG68" s="1" t="n">
        <f aca="false">IF($D$12=1,MAX(0,SUM(Model!$K21:AG21)+SUM(Model!$K68:AG68)),0)</f>
        <v>0</v>
      </c>
      <c r="AH68" s="1" t="n">
        <f aca="false">IF($D$12=1,MAX(0,SUM(Model!$K21:AH21)+SUM(Model!$K68:AH68)),0)</f>
        <v>0</v>
      </c>
      <c r="AI68" s="1" t="n">
        <f aca="false">IF($D$12=1,MAX(0,SUM(Model!$K21:AI21)+SUM(Model!$K68:AI68)),0)</f>
        <v>0</v>
      </c>
      <c r="AJ68" s="1" t="n">
        <f aca="false">IF($D$12=1,MAX(0,SUM(Model!$K21:AJ21)+SUM(Model!$K68:AJ68)),0)</f>
        <v>0</v>
      </c>
      <c r="AK68" s="1" t="n">
        <f aca="false">IF($D$12=1,MAX(0,SUM(Model!$K21:AK21)+SUM(Model!$K68:AK68)),0)</f>
        <v>0</v>
      </c>
      <c r="AL68" s="1" t="n">
        <f aca="false">IF($D$12=1,MAX(0,SUM(Model!$K21:AL21)+SUM(Model!$K68:AL68)),0)</f>
        <v>0</v>
      </c>
      <c r="AM68" s="1" t="n">
        <f aca="false">IF($D$12=1,MAX(0,SUM(Model!$K21:AM21)+SUM(Model!$K68:AM68)),0)</f>
        <v>0</v>
      </c>
      <c r="AN68" s="1" t="n">
        <f aca="false">IF($D$12=1,MAX(0,SUM(Model!$K21:AN21)+SUM(Model!$K68:AN68)),0)</f>
        <v>0</v>
      </c>
      <c r="AO68" s="1" t="n">
        <f aca="false">IF($D$12=1,MAX(0,SUM(Model!$K21:AO21)+SUM(Model!$K68:AO68)),0)</f>
        <v>0</v>
      </c>
      <c r="AP68" s="1" t="n">
        <f aca="false">IF($D$12=1,MAX(0,SUM(Model!$K21:AP21)+SUM(Model!$K68:AP68)),0)</f>
        <v>0</v>
      </c>
      <c r="AQ68" s="1" t="n">
        <f aca="false">IF($D$12=1,MAX(0,SUM(Model!$K21:AQ21)+SUM(Model!$K68:AQ68)),0)</f>
        <v>0</v>
      </c>
      <c r="AR68" s="1" t="n">
        <f aca="false">IF($D$12=1,MAX(0,SUM(Model!$K21:AR21)+SUM(Model!$K68:AR68)),0)</f>
        <v>0</v>
      </c>
      <c r="AS68" s="1" t="n">
        <f aca="false">IF($D$12=1,MAX(0,SUM(Model!$K21:AS21)+SUM(Model!$K68:AS68)),0)</f>
        <v>0</v>
      </c>
      <c r="AT68" s="1" t="n">
        <f aca="false">IF($D$12=1,MAX(0,SUM(Model!$K21:AT21)+SUM(Model!$K68:AT68)),0)</f>
        <v>0</v>
      </c>
      <c r="AU68" s="1" t="n">
        <f aca="false">IF($D$12=1,MAX(0,SUM(Model!$K21:AU21)+SUM(Model!$K68:AU68)),0)</f>
        <v>0</v>
      </c>
      <c r="AV68" s="1" t="n">
        <f aca="false">IF($D$12=1,MAX(0,SUM(Model!$K21:AV21)+SUM(Model!$K68:AV68)),0)</f>
        <v>0</v>
      </c>
      <c r="AW68" s="1" t="n">
        <f aca="false">IF($D$12=1,MAX(0,SUM(Model!$K21:AW21)+SUM(Model!$K68:AW68)),0)</f>
        <v>0</v>
      </c>
      <c r="AX68" s="1" t="n">
        <f aca="false">IF($D$12=1,MAX(0,SUM(Model!$K21:AX21)+SUM(Model!$K68:AX68)),0)</f>
        <v>0</v>
      </c>
      <c r="AY68" s="1" t="n">
        <f aca="false">IF($D$12=1,MAX(0,SUM(Model!$K21:AY21)+SUM(Model!$K68:AY68)),0)</f>
        <v>0</v>
      </c>
      <c r="AZ68" s="1" t="n">
        <f aca="false">IF($D$12=1,MAX(0,SUM(Model!$K21:AZ21)+SUM(Model!$K68:AZ68)),0)</f>
        <v>0</v>
      </c>
      <c r="BA68" s="1" t="n">
        <f aca="false">IF($D$12=1,MAX(0,SUM(Model!$K21:BA21)+SUM(Model!$K68:BA68)),0)</f>
        <v>0</v>
      </c>
      <c r="BB68" s="1" t="n">
        <f aca="false">IF($D$12=1,MAX(0,SUM(Model!$K21:BB21)+SUM(Model!$K68:BB68)),0)</f>
        <v>0</v>
      </c>
      <c r="BC68" s="1" t="n">
        <f aca="false">IF($D$12=1,MAX(0,SUM(Model!$K21:BC21)+SUM(Model!$K68:BC68)),0)</f>
        <v>0</v>
      </c>
      <c r="BD68" s="1" t="n">
        <f aca="false">IF($D$12=1,MAX(0,SUM(Model!$K21:BD21)+SUM(Model!$K68:BD68)),0)</f>
        <v>0</v>
      </c>
      <c r="BE68" s="1" t="n">
        <f aca="false">IF($D$12=1,MAX(0,SUM(Model!$K21:BE21)+SUM(Model!$K68:BE68)),0)</f>
        <v>0</v>
      </c>
      <c r="BF68" s="1" t="n">
        <f aca="false">IF($D$12=1,MAX(0,SUM(Model!$K21:BF21)+SUM(Model!$K68:BF68)),0)</f>
        <v>0</v>
      </c>
      <c r="BG68" s="1" t="n">
        <f aca="false">IF($D$12=1,MAX(0,SUM(Model!$K21:BG21)+SUM(Model!$K68:BG68)),0)</f>
        <v>0</v>
      </c>
      <c r="BH68" s="1" t="n">
        <f aca="false">IF($D$12=1,MAX(0,SUM(Model!$K21:BH21)+SUM(Model!$K68:BH68)),0)</f>
        <v>0</v>
      </c>
      <c r="BI68" s="1" t="n">
        <f aca="false">IF($D$12=1,MAX(0,SUM(Model!$K21:BI21)+SUM(Model!$K68:BI68)),0)</f>
        <v>0</v>
      </c>
      <c r="BJ68" s="1" t="n">
        <f aca="false">IF($D$12=1,MAX(0,SUM(Model!$K21:BJ21)+SUM(Model!$K68:BJ68)),0)</f>
        <v>0</v>
      </c>
      <c r="BK68" s="1" t="n">
        <f aca="false">IF($D$12=1,MAX(0,SUM(Model!$K21:BK21)+SUM(Model!$K68:BK68)),0)</f>
        <v>0</v>
      </c>
      <c r="BL68" s="1" t="n">
        <f aca="false">IF($D$12=1,MAX(0,SUM(Model!$K21:BL21)+SUM(Model!$K68:BL68)),0)</f>
        <v>0</v>
      </c>
      <c r="BM68" s="1" t="n">
        <f aca="false">IF($D$12=1,MAX(0,SUM(Model!$K21:BM21)+SUM(Model!$K68:BM68)),0)</f>
        <v>0</v>
      </c>
      <c r="BN68" s="1" t="n">
        <f aca="false">IF($D$12=1,MAX(0,SUM(Model!$K21:BN21)+SUM(Model!$K68:BN68)),0)</f>
        <v>0</v>
      </c>
      <c r="BO68" s="1" t="n">
        <f aca="false">IF($D$12=1,MAX(0,SUM(Model!$K21:BO21)+SUM(Model!$K68:BO68)),0)</f>
        <v>0</v>
      </c>
      <c r="BP68" s="1" t="n">
        <f aca="false">IF($D$12=1,MAX(0,SUM(Model!$K21:BP21)+SUM(Model!$K68:BP68)),0)</f>
        <v>0</v>
      </c>
      <c r="BQ68" s="1" t="n">
        <f aca="false">IF($D$12=1,MAX(0,SUM(Model!$K21:BQ21)+SUM(Model!$K68:BQ68)),0)</f>
        <v>0</v>
      </c>
      <c r="BR68" s="1" t="n">
        <f aca="false">IF($D$12=1,MAX(0,SUM(Model!$K21:BR21)+SUM(Model!$K68:BR68)),0)</f>
        <v>0</v>
      </c>
      <c r="BS68" s="1" t="n">
        <f aca="false">IF($D$12=1,MAX(0,SUM(Model!$K21:BS21)+SUM(Model!$K68:BS68)),0)</f>
        <v>0</v>
      </c>
      <c r="BT68" s="1" t="n">
        <f aca="false">IF($D$12=1,MAX(0,SUM(Model!$K21:BT21)+SUM(Model!$K68:BT68)),0)</f>
        <v>0</v>
      </c>
      <c r="BU68" s="1" t="n">
        <f aca="false">IF($D$12=1,MAX(0,SUM(Model!$K21:BU21)+SUM(Model!$K68:BU68)),0)</f>
        <v>0</v>
      </c>
      <c r="BV68" s="1" t="n">
        <f aca="false">IF($D$12=1,MAX(0,SUM(Model!$K21:BV21)+SUM(Model!$K68:BV68)),0)</f>
        <v>0</v>
      </c>
      <c r="BW68" s="1" t="n">
        <f aca="false">IF($D$12=1,MAX(0,SUM(Model!$K21:BW21)+SUM(Model!$K68:BW68)),0)</f>
        <v>0</v>
      </c>
      <c r="BX68" s="1" t="n">
        <f aca="false">IF($D$12=1,MAX(0,SUM(Model!$K21:BX21)+SUM(Model!$K68:BX68)),0)</f>
        <v>0</v>
      </c>
      <c r="BY68" s="1" t="n">
        <f aca="false">IF($D$12=1,MAX(0,SUM(Model!$K21:BY21)+SUM(Model!$K68:BY68)),0)</f>
        <v>0</v>
      </c>
      <c r="BZ68" s="1" t="n">
        <f aca="false">IF($D$12=1,MAX(0,SUM(Model!$K21:BZ21)+SUM(Model!$K68:BZ68)),0)</f>
        <v>0</v>
      </c>
      <c r="CA68" s="1" t="n">
        <f aca="false">IF($D$12=1,MAX(0,SUM(Model!$K21:CA21)+SUM(Model!$K68:CA68)),0)</f>
        <v>0</v>
      </c>
      <c r="CB68" s="1" t="n">
        <f aca="false">IF($D$12=1,MAX(0,SUM(Model!$K21:CB21)+SUM(Model!$K68:CB68)),0)</f>
        <v>0</v>
      </c>
      <c r="CC68" s="1" t="n">
        <f aca="false">IF($D$12=1,MAX(0,SUM(Model!$K21:CC21)+SUM(Model!$K68:CC68)),0)</f>
        <v>0</v>
      </c>
      <c r="CD68" s="1" t="n">
        <f aca="false">IF($D$12=1,MAX(0,SUM(Model!$K21:CD21)+SUM(Model!$K68:CD68)),0)</f>
        <v>0</v>
      </c>
      <c r="CE68" s="1" t="n">
        <f aca="false">IF($D$12=1,MAX(0,SUM(Model!$K21:CE21)+SUM(Model!$K68:CE68)),0)</f>
        <v>0</v>
      </c>
      <c r="CF68" s="1" t="n">
        <f aca="false">IF($D$12=1,MAX(0,SUM(Model!$K21:CF21)+SUM(Model!$K68:CF68)),0)</f>
        <v>0</v>
      </c>
      <c r="CG68" s="1" t="n">
        <f aca="false">IF($D$12=1,MAX(0,SUM(Model!$K21:CG21)+SUM(Model!$K68:CG68)),0)</f>
        <v>0</v>
      </c>
      <c r="CH68" s="1" t="n">
        <f aca="false">IF($D$12=1,MAX(0,SUM(Model!$K21:CH21)+SUM(Model!$K68:CH68)),0)</f>
        <v>0</v>
      </c>
      <c r="CI68" s="1" t="n">
        <f aca="false">IF($D$12=1,MAX(0,SUM(Model!$K21:CI21)+SUM(Model!$K68:CI68)),0)</f>
        <v>0</v>
      </c>
      <c r="CJ68" s="1" t="n">
        <f aca="false">IF($D$12=1,MAX(0,SUM(Model!$K21:CJ21)+SUM(Model!$K68:CJ68)),0)</f>
        <v>0</v>
      </c>
      <c r="CK68" s="1" t="n">
        <f aca="false">IF($D$12=1,MAX(0,SUM(Model!$K21:CK21)+SUM(Model!$K68:CK68)),0)</f>
        <v>0</v>
      </c>
      <c r="CL68" s="1" t="n">
        <f aca="false">IF($D$12=1,MAX(0,SUM(Model!$K21:CL21)+SUM(Model!$K68:CL68)),0)</f>
        <v>0</v>
      </c>
      <c r="CM68" s="1" t="n">
        <f aca="false">IF($D$12=1,MAX(0,SUM(Model!$K21:CM21)+SUM(Model!$K68:CM68)),0)</f>
        <v>0</v>
      </c>
      <c r="CN68" s="1" t="n">
        <f aca="false">IF($D$12=1,MAX(0,SUM(Model!$K21:CN21)+SUM(Model!$K68:CN68)),0)</f>
        <v>0</v>
      </c>
      <c r="CO68" s="1" t="n">
        <f aca="false">IF($D$12=1,MAX(0,SUM(Model!$K21:CO21)+SUM(Model!$K68:CO68)),0)</f>
        <v>0</v>
      </c>
      <c r="CP68" s="1" t="n">
        <f aca="false">IF($D$12=1,MAX(0,SUM(Model!$K21:CP21)+SUM(Model!$K68:CP68)),0)</f>
        <v>0</v>
      </c>
      <c r="CQ68" s="1" t="n">
        <f aca="false">IF($D$12=1,MAX(0,SUM(Model!$K21:CQ21)+SUM(Model!$K68:CQ68)),0)</f>
        <v>0</v>
      </c>
      <c r="CR68" s="1" t="n">
        <f aca="false">IF($D$12=1,MAX(0,SUM(Model!$K21:CR21)+SUM(Model!$K68:CR68)),0)</f>
        <v>0</v>
      </c>
      <c r="CS68" s="1" t="n">
        <f aca="false">IF($D$12=1,MAX(0,SUM(Model!$K21:CS21)+SUM(Model!$K68:CS68)),0)</f>
        <v>0</v>
      </c>
      <c r="CT68" s="1" t="n">
        <f aca="false">IF($D$12=1,MAX(0,SUM(Model!$K21:CT21)+SUM(Model!$K68:CT68)),0)</f>
        <v>0</v>
      </c>
      <c r="CU68" s="1" t="n">
        <f aca="false">IF($D$12=1,MAX(0,SUM(Model!$K21:CU21)+SUM(Model!$K68:CU68)),0)</f>
        <v>0</v>
      </c>
      <c r="CV68" s="1" t="n">
        <f aca="false">IF($D$12=1,MAX(0,SUM(Model!$K21:CV21)+SUM(Model!$K68:CV68)),0)</f>
        <v>0</v>
      </c>
      <c r="CW68" s="1" t="n">
        <f aca="false">IF($D$12=1,MAX(0,SUM(Model!$K21:CW21)+SUM(Model!$K68:CW68)),0)</f>
        <v>0</v>
      </c>
      <c r="CX68" s="1" t="n">
        <f aca="false">IF($D$12=1,MAX(0,SUM(Model!$K21:CX21)+SUM(Model!$K68:CX68)),0)</f>
        <v>0</v>
      </c>
      <c r="CY68" s="1" t="n">
        <f aca="false">IF($D$12=1,MAX(0,SUM(Model!$K21:CY21)+SUM(Model!$K68:CY68)),0)</f>
        <v>0</v>
      </c>
      <c r="CZ68" s="1" t="n">
        <f aca="false">IF($D$12=1,MAX(0,SUM(Model!$K21:CZ21)+SUM(Model!$K68:CZ68)),0)</f>
        <v>0</v>
      </c>
      <c r="DA68" s="1" t="n">
        <f aca="false">IF($D$12=1,MAX(0,SUM(Model!$K21:DA21)+SUM(Model!$K68:DA68)),0)</f>
        <v>0</v>
      </c>
      <c r="DB68" s="1" t="n">
        <f aca="false">IF($D$12=1,MAX(0,SUM(Model!$K21:DB21)+SUM(Model!$K68:DB68)),0)</f>
        <v>0</v>
      </c>
      <c r="DC68" s="1" t="n">
        <f aca="false">IF($D$12=1,MAX(0,SUM(Model!$K21:DC21)+SUM(Model!$K68:DC68)),0)</f>
        <v>0</v>
      </c>
      <c r="DD68" s="1" t="n">
        <f aca="false">IF($D$12=1,MAX(0,SUM(Model!$K21:DD21)+SUM(Model!$K68:DD68)),0)</f>
        <v>0</v>
      </c>
      <c r="DE68" s="1" t="n">
        <f aca="false">IF($D$12=1,MAX(0,SUM(Model!$K21:DE21)+SUM(Model!$K68:DE68)),0)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v>0</v>
      </c>
      <c r="K69" s="1" t="n">
        <f aca="false">IF($D$13=1,MAX(0,SUM(Model!$K22:K22)+SUM(Model!$K69:K69)),0)</f>
        <v>0</v>
      </c>
      <c r="L69" s="1" t="n">
        <f aca="false">IF($D$13=1,MAX(0,SUM(Model!$K22:L22)+SUM(Model!$K69:L69)),0)</f>
        <v>0</v>
      </c>
      <c r="M69" s="1" t="n">
        <f aca="false">IF($D$13=1,MAX(0,SUM(Model!$K22:M22)+SUM(Model!$K69:M69)),0)</f>
        <v>0</v>
      </c>
      <c r="N69" s="1" t="n">
        <f aca="false">IF($D$13=1,MAX(0,SUM(Model!$K22:N22)+SUM(Model!$K69:N69)),0)</f>
        <v>0</v>
      </c>
      <c r="O69" s="1" t="n">
        <f aca="false">IF($D$13=1,MAX(0,SUM(Model!$K22:O22)+SUM(Model!$K69:O69)),0)</f>
        <v>0</v>
      </c>
      <c r="P69" s="1" t="n">
        <f aca="false">IF($D$13=1,MAX(0,SUM(Model!$K22:P22)+SUM(Model!$K69:P69)),0)</f>
        <v>0</v>
      </c>
      <c r="Q69" s="1" t="n">
        <f aca="false">IF($D$13=1,MAX(0,SUM(Model!$K22:Q22)+SUM(Model!$K69:Q69)),0)</f>
        <v>0</v>
      </c>
      <c r="R69" s="1" t="n">
        <f aca="false">IF($D$13=1,MAX(0,SUM(Model!$K22:R22)+SUM(Model!$K69:R69)),0)</f>
        <v>0</v>
      </c>
      <c r="S69" s="1" t="n">
        <f aca="false">IF($D$13=1,MAX(0,SUM(Model!$K22:S22)+SUM(Model!$K69:S69)),0)</f>
        <v>0</v>
      </c>
      <c r="T69" s="1" t="n">
        <f aca="false">IF($D$13=1,MAX(0,SUM(Model!$K22:T22)+SUM(Model!$K69:T69)),0)</f>
        <v>0</v>
      </c>
      <c r="U69" s="1" t="n">
        <f aca="false">IF($D$13=1,MAX(0,SUM(Model!$K22:U22)+SUM(Model!$K69:U69)),0)</f>
        <v>0</v>
      </c>
      <c r="V69" s="1" t="n">
        <f aca="false">IF($D$13=1,MAX(0,SUM(Model!$K22:V22)+SUM(Model!$K69:V69)),0)</f>
        <v>0</v>
      </c>
      <c r="W69" s="1" t="n">
        <f aca="false">IF($D$13=1,MAX(0,SUM(Model!$K22:W22)+SUM(Model!$K69:W69)),0)</f>
        <v>0</v>
      </c>
      <c r="X69" s="1" t="n">
        <f aca="false">IF($D$13=1,MAX(0,SUM(Model!$K22:X22)+SUM(Model!$K69:X69)),0)</f>
        <v>0</v>
      </c>
      <c r="Y69" s="1" t="n">
        <f aca="false">IF($D$13=1,MAX(0,SUM(Model!$K22:Y22)+SUM(Model!$K69:Y69)),0)</f>
        <v>0</v>
      </c>
      <c r="Z69" s="1" t="n">
        <f aca="false">IF($D$13=1,MAX(0,SUM(Model!$K22:Z22)+SUM(Model!$K69:Z69)),0)</f>
        <v>0</v>
      </c>
      <c r="AA69" s="1" t="n">
        <f aca="false">IF($D$13=1,MAX(0,SUM(Model!$K22:AA22)+SUM(Model!$K69:AA69)),0)</f>
        <v>0</v>
      </c>
      <c r="AB69" s="1" t="n">
        <f aca="false">IF($D$13=1,MAX(0,SUM(Model!$K22:AB22)+SUM(Model!$K69:AB69)),0)</f>
        <v>0</v>
      </c>
      <c r="AC69" s="1" t="n">
        <f aca="false">IF($D$13=1,MAX(0,SUM(Model!$K22:AC22)+SUM(Model!$K69:AC69)),0)</f>
        <v>0</v>
      </c>
      <c r="AD69" s="1" t="n">
        <f aca="false">IF($D$13=1,MAX(0,SUM(Model!$K22:AD22)+SUM(Model!$K69:AD69)),0)</f>
        <v>0</v>
      </c>
      <c r="AE69" s="1" t="n">
        <f aca="false">IF($D$13=1,MAX(0,SUM(Model!$K22:AE22)+SUM(Model!$K69:AE69)),0)</f>
        <v>0</v>
      </c>
      <c r="AF69" s="1" t="n">
        <f aca="false">IF($D$13=1,MAX(0,SUM(Model!$K22:AF22)+SUM(Model!$K69:AF69)),0)</f>
        <v>0</v>
      </c>
      <c r="AG69" s="1" t="n">
        <f aca="false">IF($D$13=1,MAX(0,SUM(Model!$K22:AG22)+SUM(Model!$K69:AG69)),0)</f>
        <v>0</v>
      </c>
      <c r="AH69" s="1" t="n">
        <f aca="false">IF($D$13=1,MAX(0,SUM(Model!$K22:AH22)+SUM(Model!$K69:AH69)),0)</f>
        <v>0</v>
      </c>
      <c r="AI69" s="1" t="n">
        <f aca="false">IF($D$13=1,MAX(0,SUM(Model!$K22:AI22)+SUM(Model!$K69:AI69)),0)</f>
        <v>0</v>
      </c>
      <c r="AJ69" s="1" t="n">
        <f aca="false">IF($D$13=1,MAX(0,SUM(Model!$K22:AJ22)+SUM(Model!$K69:AJ69)),0)</f>
        <v>0</v>
      </c>
      <c r="AK69" s="1" t="n">
        <f aca="false">IF($D$13=1,MAX(0,SUM(Model!$K22:AK22)+SUM(Model!$K69:AK69)),0)</f>
        <v>0</v>
      </c>
      <c r="AL69" s="1" t="n">
        <f aca="false">IF($D$13=1,MAX(0,SUM(Model!$K22:AL22)+SUM(Model!$K69:AL69)),0)</f>
        <v>0</v>
      </c>
      <c r="AM69" s="1" t="n">
        <f aca="false">IF($D$13=1,MAX(0,SUM(Model!$K22:AM22)+SUM(Model!$K69:AM69)),0)</f>
        <v>0</v>
      </c>
      <c r="AN69" s="1" t="n">
        <f aca="false">IF($D$13=1,MAX(0,SUM(Model!$K22:AN22)+SUM(Model!$K69:AN69)),0)</f>
        <v>0</v>
      </c>
      <c r="AO69" s="1" t="n">
        <f aca="false">IF($D$13=1,MAX(0,SUM(Model!$K22:AO22)+SUM(Model!$K69:AO69)),0)</f>
        <v>0</v>
      </c>
      <c r="AP69" s="1" t="n">
        <f aca="false">IF($D$13=1,MAX(0,SUM(Model!$K22:AP22)+SUM(Model!$K69:AP69)),0)</f>
        <v>0</v>
      </c>
      <c r="AQ69" s="1" t="n">
        <f aca="false">IF($D$13=1,MAX(0,SUM(Model!$K22:AQ22)+SUM(Model!$K69:AQ69)),0)</f>
        <v>0</v>
      </c>
      <c r="AR69" s="1" t="n">
        <f aca="false">IF($D$13=1,MAX(0,SUM(Model!$K22:AR22)+SUM(Model!$K69:AR69)),0)</f>
        <v>0</v>
      </c>
      <c r="AS69" s="1" t="n">
        <f aca="false">IF($D$13=1,MAX(0,SUM(Model!$K22:AS22)+SUM(Model!$K69:AS69)),0)</f>
        <v>0</v>
      </c>
      <c r="AT69" s="1" t="n">
        <f aca="false">IF($D$13=1,MAX(0,SUM(Model!$K22:AT22)+SUM(Model!$K69:AT69)),0)</f>
        <v>0</v>
      </c>
      <c r="AU69" s="1" t="n">
        <f aca="false">IF($D$13=1,MAX(0,SUM(Model!$K22:AU22)+SUM(Model!$K69:AU69)),0)</f>
        <v>0</v>
      </c>
      <c r="AV69" s="1" t="n">
        <f aca="false">IF($D$13=1,MAX(0,SUM(Model!$K22:AV22)+SUM(Model!$K69:AV69)),0)</f>
        <v>0</v>
      </c>
      <c r="AW69" s="1" t="n">
        <f aca="false">IF($D$13=1,MAX(0,SUM(Model!$K22:AW22)+SUM(Model!$K69:AW69)),0)</f>
        <v>0</v>
      </c>
      <c r="AX69" s="1" t="n">
        <f aca="false">IF($D$13=1,MAX(0,SUM(Model!$K22:AX22)+SUM(Model!$K69:AX69)),0)</f>
        <v>0</v>
      </c>
      <c r="AY69" s="1" t="n">
        <f aca="false">IF($D$13=1,MAX(0,SUM(Model!$K22:AY22)+SUM(Model!$K69:AY69)),0)</f>
        <v>0</v>
      </c>
      <c r="AZ69" s="1" t="n">
        <f aca="false">IF($D$13=1,MAX(0,SUM(Model!$K22:AZ22)+SUM(Model!$K69:AZ69)),0)</f>
        <v>0</v>
      </c>
      <c r="BA69" s="1" t="n">
        <f aca="false">IF($D$13=1,MAX(0,SUM(Model!$K22:BA22)+SUM(Model!$K69:BA69)),0)</f>
        <v>0</v>
      </c>
      <c r="BB69" s="1" t="n">
        <f aca="false">IF($D$13=1,MAX(0,SUM(Model!$K22:BB22)+SUM(Model!$K69:BB69)),0)</f>
        <v>0</v>
      </c>
      <c r="BC69" s="1" t="n">
        <f aca="false">IF($D$13=1,MAX(0,SUM(Model!$K22:BC22)+SUM(Model!$K69:BC69)),0)</f>
        <v>0</v>
      </c>
      <c r="BD69" s="1" t="n">
        <f aca="false">IF($D$13=1,MAX(0,SUM(Model!$K22:BD22)+SUM(Model!$K69:BD69)),0)</f>
        <v>0</v>
      </c>
      <c r="BE69" s="1" t="n">
        <f aca="false">IF($D$13=1,MAX(0,SUM(Model!$K22:BE22)+SUM(Model!$K69:BE69)),0)</f>
        <v>0</v>
      </c>
      <c r="BF69" s="1" t="n">
        <f aca="false">IF($D$13=1,MAX(0,SUM(Model!$K22:BF22)+SUM(Model!$K69:BF69)),0)</f>
        <v>0</v>
      </c>
      <c r="BG69" s="1" t="n">
        <f aca="false">IF($D$13=1,MAX(0,SUM(Model!$K22:BG22)+SUM(Model!$K69:BG69)),0)</f>
        <v>0</v>
      </c>
      <c r="BH69" s="1" t="n">
        <f aca="false">IF($D$13=1,MAX(0,SUM(Model!$K22:BH22)+SUM(Model!$K69:BH69)),0)</f>
        <v>0</v>
      </c>
      <c r="BI69" s="1" t="n">
        <f aca="false">IF($D$13=1,MAX(0,SUM(Model!$K22:BI22)+SUM(Model!$K69:BI69)),0)</f>
        <v>0</v>
      </c>
      <c r="BJ69" s="1" t="n">
        <f aca="false">IF($D$13=1,MAX(0,SUM(Model!$K22:BJ22)+SUM(Model!$K69:BJ69)),0)</f>
        <v>0</v>
      </c>
      <c r="BK69" s="1" t="n">
        <f aca="false">IF($D$13=1,MAX(0,SUM(Model!$K22:BK22)+SUM(Model!$K69:BK69)),0)</f>
        <v>0</v>
      </c>
      <c r="BL69" s="1" t="n">
        <f aca="false">IF($D$13=1,MAX(0,SUM(Model!$K22:BL22)+SUM(Model!$K69:BL69)),0)</f>
        <v>0</v>
      </c>
      <c r="BM69" s="1" t="n">
        <f aca="false">IF($D$13=1,MAX(0,SUM(Model!$K22:BM22)+SUM(Model!$K69:BM69)),0)</f>
        <v>0</v>
      </c>
      <c r="BN69" s="1" t="n">
        <f aca="false">IF($D$13=1,MAX(0,SUM(Model!$K22:BN22)+SUM(Model!$K69:BN69)),0)</f>
        <v>0</v>
      </c>
      <c r="BO69" s="1" t="n">
        <f aca="false">IF($D$13=1,MAX(0,SUM(Model!$K22:BO22)+SUM(Model!$K69:BO69)),0)</f>
        <v>0</v>
      </c>
      <c r="BP69" s="1" t="n">
        <f aca="false">IF($D$13=1,MAX(0,SUM(Model!$K22:BP22)+SUM(Model!$K69:BP69)),0)</f>
        <v>0</v>
      </c>
      <c r="BQ69" s="1" t="n">
        <f aca="false">IF($D$13=1,MAX(0,SUM(Model!$K22:BQ22)+SUM(Model!$K69:BQ69)),0)</f>
        <v>0</v>
      </c>
      <c r="BR69" s="1" t="n">
        <f aca="false">IF($D$13=1,MAX(0,SUM(Model!$K22:BR22)+SUM(Model!$K69:BR69)),0)</f>
        <v>0</v>
      </c>
      <c r="BS69" s="1" t="n">
        <f aca="false">IF($D$13=1,MAX(0,SUM(Model!$K22:BS22)+SUM(Model!$K69:BS69)),0)</f>
        <v>0</v>
      </c>
      <c r="BT69" s="1" t="n">
        <f aca="false">IF($D$13=1,MAX(0,SUM(Model!$K22:BT22)+SUM(Model!$K69:BT69)),0)</f>
        <v>0</v>
      </c>
      <c r="BU69" s="1" t="n">
        <f aca="false">IF($D$13=1,MAX(0,SUM(Model!$K22:BU22)+SUM(Model!$K69:BU69)),0)</f>
        <v>0</v>
      </c>
      <c r="BV69" s="1" t="n">
        <f aca="false">IF($D$13=1,MAX(0,SUM(Model!$K22:BV22)+SUM(Model!$K69:BV69)),0)</f>
        <v>0</v>
      </c>
      <c r="BW69" s="1" t="n">
        <f aca="false">IF($D$13=1,MAX(0,SUM(Model!$K22:BW22)+SUM(Model!$K69:BW69)),0)</f>
        <v>0</v>
      </c>
      <c r="BX69" s="1" t="n">
        <f aca="false">IF($D$13=1,MAX(0,SUM(Model!$K22:BX22)+SUM(Model!$K69:BX69)),0)</f>
        <v>0</v>
      </c>
      <c r="BY69" s="1" t="n">
        <f aca="false">IF($D$13=1,MAX(0,SUM(Model!$K22:BY22)+SUM(Model!$K69:BY69)),0)</f>
        <v>0</v>
      </c>
      <c r="BZ69" s="1" t="n">
        <f aca="false">IF($D$13=1,MAX(0,SUM(Model!$K22:BZ22)+SUM(Model!$K69:BZ69)),0)</f>
        <v>0</v>
      </c>
      <c r="CA69" s="1" t="n">
        <f aca="false">IF($D$13=1,MAX(0,SUM(Model!$K22:CA22)+SUM(Model!$K69:CA69)),0)</f>
        <v>0</v>
      </c>
      <c r="CB69" s="1" t="n">
        <f aca="false">IF($D$13=1,MAX(0,SUM(Model!$K22:CB22)+SUM(Model!$K69:CB69)),0)</f>
        <v>0</v>
      </c>
      <c r="CC69" s="1" t="n">
        <f aca="false">IF($D$13=1,MAX(0,SUM(Model!$K22:CC22)+SUM(Model!$K69:CC69)),0)</f>
        <v>0</v>
      </c>
      <c r="CD69" s="1" t="n">
        <f aca="false">IF($D$13=1,MAX(0,SUM(Model!$K22:CD22)+SUM(Model!$K69:CD69)),0)</f>
        <v>0</v>
      </c>
      <c r="CE69" s="1" t="n">
        <f aca="false">IF($D$13=1,MAX(0,SUM(Model!$K22:CE22)+SUM(Model!$K69:CE69)),0)</f>
        <v>0</v>
      </c>
      <c r="CF69" s="1" t="n">
        <f aca="false">IF($D$13=1,MAX(0,SUM(Model!$K22:CF22)+SUM(Model!$K69:CF69)),0)</f>
        <v>0</v>
      </c>
      <c r="CG69" s="1" t="n">
        <f aca="false">IF($D$13=1,MAX(0,SUM(Model!$K22:CG22)+SUM(Model!$K69:CG69)),0)</f>
        <v>0</v>
      </c>
      <c r="CH69" s="1" t="n">
        <f aca="false">IF($D$13=1,MAX(0,SUM(Model!$K22:CH22)+SUM(Model!$K69:CH69)),0)</f>
        <v>0</v>
      </c>
      <c r="CI69" s="1" t="n">
        <f aca="false">IF($D$13=1,MAX(0,SUM(Model!$K22:CI22)+SUM(Model!$K69:CI69)),0)</f>
        <v>0</v>
      </c>
      <c r="CJ69" s="1" t="n">
        <f aca="false">IF($D$13=1,MAX(0,SUM(Model!$K22:CJ22)+SUM(Model!$K69:CJ69)),0)</f>
        <v>0</v>
      </c>
      <c r="CK69" s="1" t="n">
        <f aca="false">IF($D$13=1,MAX(0,SUM(Model!$K22:CK22)+SUM(Model!$K69:CK69)),0)</f>
        <v>0</v>
      </c>
      <c r="CL69" s="1" t="n">
        <f aca="false">IF($D$13=1,MAX(0,SUM(Model!$K22:CL22)+SUM(Model!$K69:CL69)),0)</f>
        <v>0</v>
      </c>
      <c r="CM69" s="1" t="n">
        <f aca="false">IF($D$13=1,MAX(0,SUM(Model!$K22:CM22)+SUM(Model!$K69:CM69)),0)</f>
        <v>0</v>
      </c>
      <c r="CN69" s="1" t="n">
        <f aca="false">IF($D$13=1,MAX(0,SUM(Model!$K22:CN22)+SUM(Model!$K69:CN69)),0)</f>
        <v>0</v>
      </c>
      <c r="CO69" s="1" t="n">
        <f aca="false">IF($D$13=1,MAX(0,SUM(Model!$K22:CO22)+SUM(Model!$K69:CO69)),0)</f>
        <v>0</v>
      </c>
      <c r="CP69" s="1" t="n">
        <f aca="false">IF($D$13=1,MAX(0,SUM(Model!$K22:CP22)+SUM(Model!$K69:CP69)),0)</f>
        <v>0</v>
      </c>
      <c r="CQ69" s="1" t="n">
        <f aca="false">IF($D$13=1,MAX(0,SUM(Model!$K22:CQ22)+SUM(Model!$K69:CQ69)),0)</f>
        <v>0</v>
      </c>
      <c r="CR69" s="1" t="n">
        <f aca="false">IF($D$13=1,MAX(0,SUM(Model!$K22:CR22)+SUM(Model!$K69:CR69)),0)</f>
        <v>0</v>
      </c>
      <c r="CS69" s="1" t="n">
        <f aca="false">IF($D$13=1,MAX(0,SUM(Model!$K22:CS22)+SUM(Model!$K69:CS69)),0)</f>
        <v>0</v>
      </c>
      <c r="CT69" s="1" t="n">
        <f aca="false">IF($D$13=1,MAX(0,SUM(Model!$K22:CT22)+SUM(Model!$K69:CT69)),0)</f>
        <v>0</v>
      </c>
      <c r="CU69" s="1" t="n">
        <f aca="false">IF($D$13=1,MAX(0,SUM(Model!$K22:CU22)+SUM(Model!$K69:CU69)),0)</f>
        <v>0</v>
      </c>
      <c r="CV69" s="1" t="n">
        <f aca="false">IF($D$13=1,MAX(0,SUM(Model!$K22:CV22)+SUM(Model!$K69:CV69)),0)</f>
        <v>0</v>
      </c>
      <c r="CW69" s="1" t="n">
        <f aca="false">IF($D$13=1,MAX(0,SUM(Model!$K22:CW22)+SUM(Model!$K69:CW69)),0)</f>
        <v>0</v>
      </c>
      <c r="CX69" s="1" t="n">
        <f aca="false">IF($D$13=1,MAX(0,SUM(Model!$K22:CX22)+SUM(Model!$K69:CX69)),0)</f>
        <v>0</v>
      </c>
      <c r="CY69" s="1" t="n">
        <f aca="false">IF($D$13=1,MAX(0,SUM(Model!$K22:CY22)+SUM(Model!$K69:CY69)),0)</f>
        <v>0</v>
      </c>
      <c r="CZ69" s="1" t="n">
        <f aca="false">IF($D$13=1,MAX(0,SUM(Model!$K22:CZ22)+SUM(Model!$K69:CZ69)),0)</f>
        <v>0</v>
      </c>
      <c r="DA69" s="1" t="n">
        <f aca="false">IF($D$13=1,MAX(0,SUM(Model!$K22:DA22)+SUM(Model!$K69:DA69)),0)</f>
        <v>0</v>
      </c>
      <c r="DB69" s="1" t="n">
        <f aca="false">IF($D$13=1,MAX(0,SUM(Model!$K22:DB22)+SUM(Model!$K69:DB69)),0)</f>
        <v>0</v>
      </c>
      <c r="DC69" s="1" t="n">
        <f aca="false">IF($D$13=1,MAX(0,SUM(Model!$K22:DC22)+SUM(Model!$K69:DC69)),0)</f>
        <v>0</v>
      </c>
      <c r="DD69" s="1" t="n">
        <f aca="false">IF($D$13=1,MAX(0,SUM(Model!$K22:DD22)+SUM(Model!$K69:DD69)),0)</f>
        <v>0</v>
      </c>
      <c r="DE69" s="1" t="n">
        <f aca="false">IF($D$13=1,MAX(0,SUM(Model!$K22:DE22)+SUM(Model!$K69:DE69)),0)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v>0</v>
      </c>
      <c r="K70" s="1" t="n">
        <f aca="false">IF($D$14=1,MAX(0,SUM(Model!$K23:K23)+SUM(Model!$K70:K70)),0)</f>
        <v>0</v>
      </c>
      <c r="L70" s="1" t="n">
        <f aca="false">IF($D$14=1,MAX(0,SUM(Model!$K23:L23)+SUM(Model!$K70:L70)),0)</f>
        <v>0</v>
      </c>
      <c r="M70" s="1" t="n">
        <f aca="false">IF($D$14=1,MAX(0,SUM(Model!$K23:M23)+SUM(Model!$K70:M70)),0)</f>
        <v>0</v>
      </c>
      <c r="N70" s="1" t="n">
        <f aca="false">IF($D$14=1,MAX(0,SUM(Model!$K23:N23)+SUM(Model!$K70:N70)),0)</f>
        <v>0</v>
      </c>
      <c r="O70" s="1" t="n">
        <f aca="false">IF($D$14=1,MAX(0,SUM(Model!$K23:O23)+SUM(Model!$K70:O70)),0)</f>
        <v>0</v>
      </c>
      <c r="P70" s="1" t="n">
        <f aca="false">IF($D$14=1,MAX(0,SUM(Model!$K23:P23)+SUM(Model!$K70:P70)),0)</f>
        <v>0</v>
      </c>
      <c r="Q70" s="1" t="n">
        <f aca="false">IF($D$14=1,MAX(0,SUM(Model!$K23:Q23)+SUM(Model!$K70:Q70)),0)</f>
        <v>0</v>
      </c>
      <c r="R70" s="1" t="n">
        <f aca="false">IF($D$14=1,MAX(0,SUM(Model!$K23:R23)+SUM(Model!$K70:R70)),0)</f>
        <v>0</v>
      </c>
      <c r="S70" s="1" t="n">
        <f aca="false">IF($D$14=1,MAX(0,SUM(Model!$K23:S23)+SUM(Model!$K70:S70)),0)</f>
        <v>0</v>
      </c>
      <c r="T70" s="1" t="n">
        <f aca="false">IF($D$14=1,MAX(0,SUM(Model!$K23:T23)+SUM(Model!$K70:T70)),0)</f>
        <v>0</v>
      </c>
      <c r="U70" s="1" t="n">
        <f aca="false">IF($D$14=1,MAX(0,SUM(Model!$K23:U23)+SUM(Model!$K70:U70)),0)</f>
        <v>0</v>
      </c>
      <c r="V70" s="1" t="n">
        <f aca="false">IF($D$14=1,MAX(0,SUM(Model!$K23:V23)+SUM(Model!$K70:V70)),0)</f>
        <v>0</v>
      </c>
      <c r="W70" s="1" t="n">
        <f aca="false">IF($D$14=1,MAX(0,SUM(Model!$K23:W23)+SUM(Model!$K70:W70)),0)</f>
        <v>0</v>
      </c>
      <c r="X70" s="1" t="n">
        <f aca="false">IF($D$14=1,MAX(0,SUM(Model!$K23:X23)+SUM(Model!$K70:X70)),0)</f>
        <v>0</v>
      </c>
      <c r="Y70" s="1" t="n">
        <f aca="false">IF($D$14=1,MAX(0,SUM(Model!$K23:Y23)+SUM(Model!$K70:Y70)),0)</f>
        <v>0</v>
      </c>
      <c r="Z70" s="1" t="n">
        <f aca="false">IF($D$14=1,MAX(0,SUM(Model!$K23:Z23)+SUM(Model!$K70:Z70)),0)</f>
        <v>0</v>
      </c>
      <c r="AA70" s="1" t="n">
        <f aca="false">IF($D$14=1,MAX(0,SUM(Model!$K23:AA23)+SUM(Model!$K70:AA70)),0)</f>
        <v>0</v>
      </c>
      <c r="AB70" s="1" t="n">
        <f aca="false">IF($D$14=1,MAX(0,SUM(Model!$K23:AB23)+SUM(Model!$K70:AB70)),0)</f>
        <v>0</v>
      </c>
      <c r="AC70" s="1" t="n">
        <f aca="false">IF($D$14=1,MAX(0,SUM(Model!$K23:AC23)+SUM(Model!$K70:AC70)),0)</f>
        <v>0</v>
      </c>
      <c r="AD70" s="1" t="n">
        <f aca="false">IF($D$14=1,MAX(0,SUM(Model!$K23:AD23)+SUM(Model!$K70:AD70)),0)</f>
        <v>0</v>
      </c>
      <c r="AE70" s="1" t="n">
        <f aca="false">IF($D$14=1,MAX(0,SUM(Model!$K23:AE23)+SUM(Model!$K70:AE70)),0)</f>
        <v>0</v>
      </c>
      <c r="AF70" s="1" t="n">
        <f aca="false">IF($D$14=1,MAX(0,SUM(Model!$K23:AF23)+SUM(Model!$K70:AF70)),0)</f>
        <v>0</v>
      </c>
      <c r="AG70" s="1" t="n">
        <f aca="false">IF($D$14=1,MAX(0,SUM(Model!$K23:AG23)+SUM(Model!$K70:AG70)),0)</f>
        <v>0</v>
      </c>
      <c r="AH70" s="1" t="n">
        <f aca="false">IF($D$14=1,MAX(0,SUM(Model!$K23:AH23)+SUM(Model!$K70:AH70)),0)</f>
        <v>0</v>
      </c>
      <c r="AI70" s="1" t="n">
        <f aca="false">IF($D$14=1,MAX(0,SUM(Model!$K23:AI23)+SUM(Model!$K70:AI70)),0)</f>
        <v>0</v>
      </c>
      <c r="AJ70" s="1" t="n">
        <f aca="false">IF($D$14=1,MAX(0,SUM(Model!$K23:AJ23)+SUM(Model!$K70:AJ70)),0)</f>
        <v>0</v>
      </c>
      <c r="AK70" s="1" t="n">
        <f aca="false">IF($D$14=1,MAX(0,SUM(Model!$K23:AK23)+SUM(Model!$K70:AK70)),0)</f>
        <v>0</v>
      </c>
      <c r="AL70" s="1" t="n">
        <f aca="false">IF($D$14=1,MAX(0,SUM(Model!$K23:AL23)+SUM(Model!$K70:AL70)),0)</f>
        <v>0</v>
      </c>
      <c r="AM70" s="1" t="n">
        <f aca="false">IF($D$14=1,MAX(0,SUM(Model!$K23:AM23)+SUM(Model!$K70:AM70)),0)</f>
        <v>0</v>
      </c>
      <c r="AN70" s="1" t="n">
        <f aca="false">IF($D$14=1,MAX(0,SUM(Model!$K23:AN23)+SUM(Model!$K70:AN70)),0)</f>
        <v>0</v>
      </c>
      <c r="AO70" s="1" t="n">
        <f aca="false">IF($D$14=1,MAX(0,SUM(Model!$K23:AO23)+SUM(Model!$K70:AO70)),0)</f>
        <v>0</v>
      </c>
      <c r="AP70" s="1" t="n">
        <f aca="false">IF($D$14=1,MAX(0,SUM(Model!$K23:AP23)+SUM(Model!$K70:AP70)),0)</f>
        <v>0</v>
      </c>
      <c r="AQ70" s="1" t="n">
        <f aca="false">IF($D$14=1,MAX(0,SUM(Model!$K23:AQ23)+SUM(Model!$K70:AQ70)),0)</f>
        <v>0</v>
      </c>
      <c r="AR70" s="1" t="n">
        <f aca="false">IF($D$14=1,MAX(0,SUM(Model!$K23:AR23)+SUM(Model!$K70:AR70)),0)</f>
        <v>0</v>
      </c>
      <c r="AS70" s="1" t="n">
        <f aca="false">IF($D$14=1,MAX(0,SUM(Model!$K23:AS23)+SUM(Model!$K70:AS70)),0)</f>
        <v>0</v>
      </c>
      <c r="AT70" s="1" t="n">
        <f aca="false">IF($D$14=1,MAX(0,SUM(Model!$K23:AT23)+SUM(Model!$K70:AT70)),0)</f>
        <v>0</v>
      </c>
      <c r="AU70" s="1" t="n">
        <f aca="false">IF($D$14=1,MAX(0,SUM(Model!$K23:AU23)+SUM(Model!$K70:AU70)),0)</f>
        <v>0</v>
      </c>
      <c r="AV70" s="1" t="n">
        <f aca="false">IF($D$14=1,MAX(0,SUM(Model!$K23:AV23)+SUM(Model!$K70:AV70)),0)</f>
        <v>0</v>
      </c>
      <c r="AW70" s="1" t="n">
        <f aca="false">IF($D$14=1,MAX(0,SUM(Model!$K23:AW23)+SUM(Model!$K70:AW70)),0)</f>
        <v>0</v>
      </c>
      <c r="AX70" s="1" t="n">
        <f aca="false">IF($D$14=1,MAX(0,SUM(Model!$K23:AX23)+SUM(Model!$K70:AX70)),0)</f>
        <v>0</v>
      </c>
      <c r="AY70" s="1" t="n">
        <f aca="false">IF($D$14=1,MAX(0,SUM(Model!$K23:AY23)+SUM(Model!$K70:AY70)),0)</f>
        <v>0</v>
      </c>
      <c r="AZ70" s="1" t="n">
        <f aca="false">IF($D$14=1,MAX(0,SUM(Model!$K23:AZ23)+SUM(Model!$K70:AZ70)),0)</f>
        <v>0</v>
      </c>
      <c r="BA70" s="1" t="n">
        <f aca="false">IF($D$14=1,MAX(0,SUM(Model!$K23:BA23)+SUM(Model!$K70:BA70)),0)</f>
        <v>0</v>
      </c>
      <c r="BB70" s="1" t="n">
        <f aca="false">IF($D$14=1,MAX(0,SUM(Model!$K23:BB23)+SUM(Model!$K70:BB70)),0)</f>
        <v>0</v>
      </c>
      <c r="BC70" s="1" t="n">
        <f aca="false">IF($D$14=1,MAX(0,SUM(Model!$K23:BC23)+SUM(Model!$K70:BC70)),0)</f>
        <v>0</v>
      </c>
      <c r="BD70" s="1" t="n">
        <f aca="false">IF($D$14=1,MAX(0,SUM(Model!$K23:BD23)+SUM(Model!$K70:BD70)),0)</f>
        <v>0</v>
      </c>
      <c r="BE70" s="1" t="n">
        <f aca="false">IF($D$14=1,MAX(0,SUM(Model!$K23:BE23)+SUM(Model!$K70:BE70)),0)</f>
        <v>0</v>
      </c>
      <c r="BF70" s="1" t="n">
        <f aca="false">IF($D$14=1,MAX(0,SUM(Model!$K23:BF23)+SUM(Model!$K70:BF70)),0)</f>
        <v>0</v>
      </c>
      <c r="BG70" s="1" t="n">
        <f aca="false">IF($D$14=1,MAX(0,SUM(Model!$K23:BG23)+SUM(Model!$K70:BG70)),0)</f>
        <v>0</v>
      </c>
      <c r="BH70" s="1" t="n">
        <f aca="false">IF($D$14=1,MAX(0,SUM(Model!$K23:BH23)+SUM(Model!$K70:BH70)),0)</f>
        <v>0</v>
      </c>
      <c r="BI70" s="1" t="n">
        <f aca="false">IF($D$14=1,MAX(0,SUM(Model!$K23:BI23)+SUM(Model!$K70:BI70)),0)</f>
        <v>0</v>
      </c>
      <c r="BJ70" s="1" t="n">
        <f aca="false">IF($D$14=1,MAX(0,SUM(Model!$K23:BJ23)+SUM(Model!$K70:BJ70)),0)</f>
        <v>0</v>
      </c>
      <c r="BK70" s="1" t="n">
        <f aca="false">IF($D$14=1,MAX(0,SUM(Model!$K23:BK23)+SUM(Model!$K70:BK70)),0)</f>
        <v>0</v>
      </c>
      <c r="BL70" s="1" t="n">
        <f aca="false">IF($D$14=1,MAX(0,SUM(Model!$K23:BL23)+SUM(Model!$K70:BL70)),0)</f>
        <v>0</v>
      </c>
      <c r="BM70" s="1" t="n">
        <f aca="false">IF($D$14=1,MAX(0,SUM(Model!$K23:BM23)+SUM(Model!$K70:BM70)),0)</f>
        <v>0</v>
      </c>
      <c r="BN70" s="1" t="n">
        <f aca="false">IF($D$14=1,MAX(0,SUM(Model!$K23:BN23)+SUM(Model!$K70:BN70)),0)</f>
        <v>0</v>
      </c>
      <c r="BO70" s="1" t="n">
        <f aca="false">IF($D$14=1,MAX(0,SUM(Model!$K23:BO23)+SUM(Model!$K70:BO70)),0)</f>
        <v>0</v>
      </c>
      <c r="BP70" s="1" t="n">
        <f aca="false">IF($D$14=1,MAX(0,SUM(Model!$K23:BP23)+SUM(Model!$K70:BP70)),0)</f>
        <v>0</v>
      </c>
      <c r="BQ70" s="1" t="n">
        <f aca="false">IF($D$14=1,MAX(0,SUM(Model!$K23:BQ23)+SUM(Model!$K70:BQ70)),0)</f>
        <v>0</v>
      </c>
      <c r="BR70" s="1" t="n">
        <f aca="false">IF($D$14=1,MAX(0,SUM(Model!$K23:BR23)+SUM(Model!$K70:BR70)),0)</f>
        <v>0</v>
      </c>
      <c r="BS70" s="1" t="n">
        <f aca="false">IF($D$14=1,MAX(0,SUM(Model!$K23:BS23)+SUM(Model!$K70:BS70)),0)</f>
        <v>0</v>
      </c>
      <c r="BT70" s="1" t="n">
        <f aca="false">IF($D$14=1,MAX(0,SUM(Model!$K23:BT23)+SUM(Model!$K70:BT70)),0)</f>
        <v>0</v>
      </c>
      <c r="BU70" s="1" t="n">
        <f aca="false">IF($D$14=1,MAX(0,SUM(Model!$K23:BU23)+SUM(Model!$K70:BU70)),0)</f>
        <v>0</v>
      </c>
      <c r="BV70" s="1" t="n">
        <f aca="false">IF($D$14=1,MAX(0,SUM(Model!$K23:BV23)+SUM(Model!$K70:BV70)),0)</f>
        <v>0</v>
      </c>
      <c r="BW70" s="1" t="n">
        <f aca="false">IF($D$14=1,MAX(0,SUM(Model!$K23:BW23)+SUM(Model!$K70:BW70)),0)</f>
        <v>0</v>
      </c>
      <c r="BX70" s="1" t="n">
        <f aca="false">IF($D$14=1,MAX(0,SUM(Model!$K23:BX23)+SUM(Model!$K70:BX70)),0)</f>
        <v>0</v>
      </c>
      <c r="BY70" s="1" t="n">
        <f aca="false">IF($D$14=1,MAX(0,SUM(Model!$K23:BY23)+SUM(Model!$K70:BY70)),0)</f>
        <v>0</v>
      </c>
      <c r="BZ70" s="1" t="n">
        <f aca="false">IF($D$14=1,MAX(0,SUM(Model!$K23:BZ23)+SUM(Model!$K70:BZ70)),0)</f>
        <v>0</v>
      </c>
      <c r="CA70" s="1" t="n">
        <f aca="false">IF($D$14=1,MAX(0,SUM(Model!$K23:CA23)+SUM(Model!$K70:CA70)),0)</f>
        <v>0</v>
      </c>
      <c r="CB70" s="1" t="n">
        <f aca="false">IF($D$14=1,MAX(0,SUM(Model!$K23:CB23)+SUM(Model!$K70:CB70)),0)</f>
        <v>0</v>
      </c>
      <c r="CC70" s="1" t="n">
        <f aca="false">IF($D$14=1,MAX(0,SUM(Model!$K23:CC23)+SUM(Model!$K70:CC70)),0)</f>
        <v>0</v>
      </c>
      <c r="CD70" s="1" t="n">
        <f aca="false">IF($D$14=1,MAX(0,SUM(Model!$K23:CD23)+SUM(Model!$K70:CD70)),0)</f>
        <v>0</v>
      </c>
      <c r="CE70" s="1" t="n">
        <f aca="false">IF($D$14=1,MAX(0,SUM(Model!$K23:CE23)+SUM(Model!$K70:CE70)),0)</f>
        <v>0</v>
      </c>
      <c r="CF70" s="1" t="n">
        <f aca="false">IF($D$14=1,MAX(0,SUM(Model!$K23:CF23)+SUM(Model!$K70:CF70)),0)</f>
        <v>0</v>
      </c>
      <c r="CG70" s="1" t="n">
        <f aca="false">IF($D$14=1,MAX(0,SUM(Model!$K23:CG23)+SUM(Model!$K70:CG70)),0)</f>
        <v>0</v>
      </c>
      <c r="CH70" s="1" t="n">
        <f aca="false">IF($D$14=1,MAX(0,SUM(Model!$K23:CH23)+SUM(Model!$K70:CH70)),0)</f>
        <v>0</v>
      </c>
      <c r="CI70" s="1" t="n">
        <f aca="false">IF($D$14=1,MAX(0,SUM(Model!$K23:CI23)+SUM(Model!$K70:CI70)),0)</f>
        <v>0</v>
      </c>
      <c r="CJ70" s="1" t="n">
        <f aca="false">IF($D$14=1,MAX(0,SUM(Model!$K23:CJ23)+SUM(Model!$K70:CJ70)),0)</f>
        <v>0</v>
      </c>
      <c r="CK70" s="1" t="n">
        <f aca="false">IF($D$14=1,MAX(0,SUM(Model!$K23:CK23)+SUM(Model!$K70:CK70)),0)</f>
        <v>0</v>
      </c>
      <c r="CL70" s="1" t="n">
        <f aca="false">IF($D$14=1,MAX(0,SUM(Model!$K23:CL23)+SUM(Model!$K70:CL70)),0)</f>
        <v>0</v>
      </c>
      <c r="CM70" s="1" t="n">
        <f aca="false">IF($D$14=1,MAX(0,SUM(Model!$K23:CM23)+SUM(Model!$K70:CM70)),0)</f>
        <v>0</v>
      </c>
      <c r="CN70" s="1" t="n">
        <f aca="false">IF($D$14=1,MAX(0,SUM(Model!$K23:CN23)+SUM(Model!$K70:CN70)),0)</f>
        <v>0</v>
      </c>
      <c r="CO70" s="1" t="n">
        <f aca="false">IF($D$14=1,MAX(0,SUM(Model!$K23:CO23)+SUM(Model!$K70:CO70)),0)</f>
        <v>0</v>
      </c>
      <c r="CP70" s="1" t="n">
        <f aca="false">IF($D$14=1,MAX(0,SUM(Model!$K23:CP23)+SUM(Model!$K70:CP70)),0)</f>
        <v>0</v>
      </c>
      <c r="CQ70" s="1" t="n">
        <f aca="false">IF($D$14=1,MAX(0,SUM(Model!$K23:CQ23)+SUM(Model!$K70:CQ70)),0)</f>
        <v>0</v>
      </c>
      <c r="CR70" s="1" t="n">
        <f aca="false">IF($D$14=1,MAX(0,SUM(Model!$K23:CR23)+SUM(Model!$K70:CR70)),0)</f>
        <v>0</v>
      </c>
      <c r="CS70" s="1" t="n">
        <f aca="false">IF($D$14=1,MAX(0,SUM(Model!$K23:CS23)+SUM(Model!$K70:CS70)),0)</f>
        <v>0</v>
      </c>
      <c r="CT70" s="1" t="n">
        <f aca="false">IF($D$14=1,MAX(0,SUM(Model!$K23:CT23)+SUM(Model!$K70:CT70)),0)</f>
        <v>0</v>
      </c>
      <c r="CU70" s="1" t="n">
        <f aca="false">IF($D$14=1,MAX(0,SUM(Model!$K23:CU23)+SUM(Model!$K70:CU70)),0)</f>
        <v>0</v>
      </c>
      <c r="CV70" s="1" t="n">
        <f aca="false">IF($D$14=1,MAX(0,SUM(Model!$K23:CV23)+SUM(Model!$K70:CV70)),0)</f>
        <v>0</v>
      </c>
      <c r="CW70" s="1" t="n">
        <f aca="false">IF($D$14=1,MAX(0,SUM(Model!$K23:CW23)+SUM(Model!$K70:CW70)),0)</f>
        <v>0</v>
      </c>
      <c r="CX70" s="1" t="n">
        <f aca="false">IF($D$14=1,MAX(0,SUM(Model!$K23:CX23)+SUM(Model!$K70:CX70)),0)</f>
        <v>0</v>
      </c>
      <c r="CY70" s="1" t="n">
        <f aca="false">IF($D$14=1,MAX(0,SUM(Model!$K23:CY23)+SUM(Model!$K70:CY70)),0)</f>
        <v>0</v>
      </c>
      <c r="CZ70" s="1" t="n">
        <f aca="false">IF($D$14=1,MAX(0,SUM(Model!$K23:CZ23)+SUM(Model!$K70:CZ70)),0)</f>
        <v>0</v>
      </c>
      <c r="DA70" s="1" t="n">
        <f aca="false">IF($D$14=1,MAX(0,SUM(Model!$K23:DA23)+SUM(Model!$K70:DA70)),0)</f>
        <v>0</v>
      </c>
      <c r="DB70" s="1" t="n">
        <f aca="false">IF($D$14=1,MAX(0,SUM(Model!$K23:DB23)+SUM(Model!$K70:DB70)),0)</f>
        <v>0</v>
      </c>
      <c r="DC70" s="1" t="n">
        <f aca="false">IF($D$14=1,MAX(0,SUM(Model!$K23:DC23)+SUM(Model!$K70:DC70)),0)</f>
        <v>0</v>
      </c>
      <c r="DD70" s="1" t="n">
        <f aca="false">IF($D$14=1,MAX(0,SUM(Model!$K23:DD23)+SUM(Model!$K70:DD70)),0)</f>
        <v>0</v>
      </c>
      <c r="DE70" s="1" t="n">
        <f aca="false">IF($D$14=1,MAX(0,SUM(Model!$K23:DE23)+SUM(Model!$K70:DE70)),0)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v>0</v>
      </c>
      <c r="K71" s="1" t="n">
        <f aca="false">IF($D$15=1,MAX(0,SUM(Model!$K24:K24)+SUM(Model!$K71:K71)),0)</f>
        <v>0</v>
      </c>
      <c r="L71" s="1" t="n">
        <f aca="false">IF($D$15=1,MAX(0,SUM(Model!$K24:L24)+SUM(Model!$K71:L71)),0)</f>
        <v>0</v>
      </c>
      <c r="M71" s="1" t="n">
        <f aca="false">IF($D$15=1,MAX(0,SUM(Model!$K24:M24)+SUM(Model!$K71:M71)),0)</f>
        <v>0</v>
      </c>
      <c r="N71" s="1" t="n">
        <f aca="false">IF($D$15=1,MAX(0,SUM(Model!$K24:N24)+SUM(Model!$K71:N71)),0)</f>
        <v>0</v>
      </c>
      <c r="O71" s="1" t="n">
        <f aca="false">IF($D$15=1,MAX(0,SUM(Model!$K24:O24)+SUM(Model!$K71:O71)),0)</f>
        <v>0</v>
      </c>
      <c r="P71" s="1" t="n">
        <f aca="false">IF($D$15=1,MAX(0,SUM(Model!$K24:P24)+SUM(Model!$K71:P71)),0)</f>
        <v>0</v>
      </c>
      <c r="Q71" s="1" t="n">
        <f aca="false">IF($D$15=1,MAX(0,SUM(Model!$K24:Q24)+SUM(Model!$K71:Q71)),0)</f>
        <v>0</v>
      </c>
      <c r="R71" s="1" t="n">
        <f aca="false">IF($D$15=1,MAX(0,SUM(Model!$K24:R24)+SUM(Model!$K71:R71)),0)</f>
        <v>0</v>
      </c>
      <c r="S71" s="1" t="n">
        <f aca="false">IF($D$15=1,MAX(0,SUM(Model!$K24:S24)+SUM(Model!$K71:S71)),0)</f>
        <v>0</v>
      </c>
      <c r="T71" s="1" t="n">
        <f aca="false">IF($D$15=1,MAX(0,SUM(Model!$K24:T24)+SUM(Model!$K71:T71)),0)</f>
        <v>0</v>
      </c>
      <c r="U71" s="1" t="n">
        <f aca="false">IF($D$15=1,MAX(0,SUM(Model!$K24:U24)+SUM(Model!$K71:U71)),0)</f>
        <v>0</v>
      </c>
      <c r="V71" s="1" t="n">
        <f aca="false">IF($D$15=1,MAX(0,SUM(Model!$K24:V24)+SUM(Model!$K71:V71)),0)</f>
        <v>0</v>
      </c>
      <c r="W71" s="1" t="n">
        <f aca="false">IF($D$15=1,MAX(0,SUM(Model!$K24:W24)+SUM(Model!$K71:W71)),0)</f>
        <v>0</v>
      </c>
      <c r="X71" s="1" t="n">
        <f aca="false">IF($D$15=1,MAX(0,SUM(Model!$K24:X24)+SUM(Model!$K71:X71)),0)</f>
        <v>0</v>
      </c>
      <c r="Y71" s="1" t="n">
        <f aca="false">IF($D$15=1,MAX(0,SUM(Model!$K24:Y24)+SUM(Model!$K71:Y71)),0)</f>
        <v>0</v>
      </c>
      <c r="Z71" s="1" t="n">
        <f aca="false">IF($D$15=1,MAX(0,SUM(Model!$K24:Z24)+SUM(Model!$K71:Z71)),0)</f>
        <v>0</v>
      </c>
      <c r="AA71" s="1" t="n">
        <f aca="false">IF($D$15=1,MAX(0,SUM(Model!$K24:AA24)+SUM(Model!$K71:AA71)),0)</f>
        <v>0</v>
      </c>
      <c r="AB71" s="1" t="n">
        <f aca="false">IF($D$15=1,MAX(0,SUM(Model!$K24:AB24)+SUM(Model!$K71:AB71)),0)</f>
        <v>0</v>
      </c>
      <c r="AC71" s="1" t="n">
        <f aca="false">IF($D$15=1,MAX(0,SUM(Model!$K24:AC24)+SUM(Model!$K71:AC71)),0)</f>
        <v>0</v>
      </c>
      <c r="AD71" s="1" t="n">
        <f aca="false">IF($D$15=1,MAX(0,SUM(Model!$K24:AD24)+SUM(Model!$K71:AD71)),0)</f>
        <v>0</v>
      </c>
      <c r="AE71" s="1" t="n">
        <f aca="false">IF($D$15=1,MAX(0,SUM(Model!$K24:AE24)+SUM(Model!$K71:AE71)),0)</f>
        <v>0</v>
      </c>
      <c r="AF71" s="1" t="n">
        <f aca="false">IF($D$15=1,MAX(0,SUM(Model!$K24:AF24)+SUM(Model!$K71:AF71)),0)</f>
        <v>0</v>
      </c>
      <c r="AG71" s="1" t="n">
        <f aca="false">IF($D$15=1,MAX(0,SUM(Model!$K24:AG24)+SUM(Model!$K71:AG71)),0)</f>
        <v>0</v>
      </c>
      <c r="AH71" s="1" t="n">
        <f aca="false">IF($D$15=1,MAX(0,SUM(Model!$K24:AH24)+SUM(Model!$K71:AH71)),0)</f>
        <v>0</v>
      </c>
      <c r="AI71" s="1" t="n">
        <f aca="false">IF($D$15=1,MAX(0,SUM(Model!$K24:AI24)+SUM(Model!$K71:AI71)),0)</f>
        <v>0</v>
      </c>
      <c r="AJ71" s="1" t="n">
        <f aca="false">IF($D$15=1,MAX(0,SUM(Model!$K24:AJ24)+SUM(Model!$K71:AJ71)),0)</f>
        <v>0</v>
      </c>
      <c r="AK71" s="1" t="n">
        <f aca="false">IF($D$15=1,MAX(0,SUM(Model!$K24:AK24)+SUM(Model!$K71:AK71)),0)</f>
        <v>0</v>
      </c>
      <c r="AL71" s="1" t="n">
        <f aca="false">IF($D$15=1,MAX(0,SUM(Model!$K24:AL24)+SUM(Model!$K71:AL71)),0)</f>
        <v>0</v>
      </c>
      <c r="AM71" s="1" t="n">
        <f aca="false">IF($D$15=1,MAX(0,SUM(Model!$K24:AM24)+SUM(Model!$K71:AM71)),0)</f>
        <v>0</v>
      </c>
      <c r="AN71" s="1" t="n">
        <f aca="false">IF($D$15=1,MAX(0,SUM(Model!$K24:AN24)+SUM(Model!$K71:AN71)),0)</f>
        <v>0</v>
      </c>
      <c r="AO71" s="1" t="n">
        <f aca="false">IF($D$15=1,MAX(0,SUM(Model!$K24:AO24)+SUM(Model!$K71:AO71)),0)</f>
        <v>0</v>
      </c>
      <c r="AP71" s="1" t="n">
        <f aca="false">IF($D$15=1,MAX(0,SUM(Model!$K24:AP24)+SUM(Model!$K71:AP71)),0)</f>
        <v>0</v>
      </c>
      <c r="AQ71" s="1" t="n">
        <f aca="false">IF($D$15=1,MAX(0,SUM(Model!$K24:AQ24)+SUM(Model!$K71:AQ71)),0)</f>
        <v>0</v>
      </c>
      <c r="AR71" s="1" t="n">
        <f aca="false">IF($D$15=1,MAX(0,SUM(Model!$K24:AR24)+SUM(Model!$K71:AR71)),0)</f>
        <v>0</v>
      </c>
      <c r="AS71" s="1" t="n">
        <f aca="false">IF($D$15=1,MAX(0,SUM(Model!$K24:AS24)+SUM(Model!$K71:AS71)),0)</f>
        <v>0</v>
      </c>
      <c r="AT71" s="1" t="n">
        <f aca="false">IF($D$15=1,MAX(0,SUM(Model!$K24:AT24)+SUM(Model!$K71:AT71)),0)</f>
        <v>0</v>
      </c>
      <c r="AU71" s="1" t="n">
        <f aca="false">IF($D$15=1,MAX(0,SUM(Model!$K24:AU24)+SUM(Model!$K71:AU71)),0)</f>
        <v>0</v>
      </c>
      <c r="AV71" s="1" t="n">
        <f aca="false">IF($D$15=1,MAX(0,SUM(Model!$K24:AV24)+SUM(Model!$K71:AV71)),0)</f>
        <v>0</v>
      </c>
      <c r="AW71" s="1" t="n">
        <f aca="false">IF($D$15=1,MAX(0,SUM(Model!$K24:AW24)+SUM(Model!$K71:AW71)),0)</f>
        <v>0</v>
      </c>
      <c r="AX71" s="1" t="n">
        <f aca="false">IF($D$15=1,MAX(0,SUM(Model!$K24:AX24)+SUM(Model!$K71:AX71)),0)</f>
        <v>0</v>
      </c>
      <c r="AY71" s="1" t="n">
        <f aca="false">IF($D$15=1,MAX(0,SUM(Model!$K24:AY24)+SUM(Model!$K71:AY71)),0)</f>
        <v>0</v>
      </c>
      <c r="AZ71" s="1" t="n">
        <f aca="false">IF($D$15=1,MAX(0,SUM(Model!$K24:AZ24)+SUM(Model!$K71:AZ71)),0)</f>
        <v>0</v>
      </c>
      <c r="BA71" s="1" t="n">
        <f aca="false">IF($D$15=1,MAX(0,SUM(Model!$K24:BA24)+SUM(Model!$K71:BA71)),0)</f>
        <v>0</v>
      </c>
      <c r="BB71" s="1" t="n">
        <f aca="false">IF($D$15=1,MAX(0,SUM(Model!$K24:BB24)+SUM(Model!$K71:BB71)),0)</f>
        <v>0</v>
      </c>
      <c r="BC71" s="1" t="n">
        <f aca="false">IF($D$15=1,MAX(0,SUM(Model!$K24:BC24)+SUM(Model!$K71:BC71)),0)</f>
        <v>0</v>
      </c>
      <c r="BD71" s="1" t="n">
        <f aca="false">IF($D$15=1,MAX(0,SUM(Model!$K24:BD24)+SUM(Model!$K71:BD71)),0)</f>
        <v>0</v>
      </c>
      <c r="BE71" s="1" t="n">
        <f aca="false">IF($D$15=1,MAX(0,SUM(Model!$K24:BE24)+SUM(Model!$K71:BE71)),0)</f>
        <v>0</v>
      </c>
      <c r="BF71" s="1" t="n">
        <f aca="false">IF($D$15=1,MAX(0,SUM(Model!$K24:BF24)+SUM(Model!$K71:BF71)),0)</f>
        <v>0</v>
      </c>
      <c r="BG71" s="1" t="n">
        <f aca="false">IF($D$15=1,MAX(0,SUM(Model!$K24:BG24)+SUM(Model!$K71:BG71)),0)</f>
        <v>0</v>
      </c>
      <c r="BH71" s="1" t="n">
        <f aca="false">IF($D$15=1,MAX(0,SUM(Model!$K24:BH24)+SUM(Model!$K71:BH71)),0)</f>
        <v>0</v>
      </c>
      <c r="BI71" s="1" t="n">
        <f aca="false">IF($D$15=1,MAX(0,SUM(Model!$K24:BI24)+SUM(Model!$K71:BI71)),0)</f>
        <v>0</v>
      </c>
      <c r="BJ71" s="1" t="n">
        <f aca="false">IF($D$15=1,MAX(0,SUM(Model!$K24:BJ24)+SUM(Model!$K71:BJ71)),0)</f>
        <v>0</v>
      </c>
      <c r="BK71" s="1" t="n">
        <f aca="false">IF($D$15=1,MAX(0,SUM(Model!$K24:BK24)+SUM(Model!$K71:BK71)),0)</f>
        <v>0</v>
      </c>
      <c r="BL71" s="1" t="n">
        <f aca="false">IF($D$15=1,MAX(0,SUM(Model!$K24:BL24)+SUM(Model!$K71:BL71)),0)</f>
        <v>0</v>
      </c>
      <c r="BM71" s="1" t="n">
        <f aca="false">IF($D$15=1,MAX(0,SUM(Model!$K24:BM24)+SUM(Model!$K71:BM71)),0)</f>
        <v>0</v>
      </c>
      <c r="BN71" s="1" t="n">
        <f aca="false">IF($D$15=1,MAX(0,SUM(Model!$K24:BN24)+SUM(Model!$K71:BN71)),0)</f>
        <v>0</v>
      </c>
      <c r="BO71" s="1" t="n">
        <f aca="false">IF($D$15=1,MAX(0,SUM(Model!$K24:BO24)+SUM(Model!$K71:BO71)),0)</f>
        <v>0</v>
      </c>
      <c r="BP71" s="1" t="n">
        <f aca="false">IF($D$15=1,MAX(0,SUM(Model!$K24:BP24)+SUM(Model!$K71:BP71)),0)</f>
        <v>0</v>
      </c>
      <c r="BQ71" s="1" t="n">
        <f aca="false">IF($D$15=1,MAX(0,SUM(Model!$K24:BQ24)+SUM(Model!$K71:BQ71)),0)</f>
        <v>0</v>
      </c>
      <c r="BR71" s="1" t="n">
        <f aca="false">IF($D$15=1,MAX(0,SUM(Model!$K24:BR24)+SUM(Model!$K71:BR71)),0)</f>
        <v>0</v>
      </c>
      <c r="BS71" s="1" t="n">
        <f aca="false">IF($D$15=1,MAX(0,SUM(Model!$K24:BS24)+SUM(Model!$K71:BS71)),0)</f>
        <v>0</v>
      </c>
      <c r="BT71" s="1" t="n">
        <f aca="false">IF($D$15=1,MAX(0,SUM(Model!$K24:BT24)+SUM(Model!$K71:BT71)),0)</f>
        <v>0</v>
      </c>
      <c r="BU71" s="1" t="n">
        <f aca="false">IF($D$15=1,MAX(0,SUM(Model!$K24:BU24)+SUM(Model!$K71:BU71)),0)</f>
        <v>0</v>
      </c>
      <c r="BV71" s="1" t="n">
        <f aca="false">IF($D$15=1,MAX(0,SUM(Model!$K24:BV24)+SUM(Model!$K71:BV71)),0)</f>
        <v>0</v>
      </c>
      <c r="BW71" s="1" t="n">
        <f aca="false">IF($D$15=1,MAX(0,SUM(Model!$K24:BW24)+SUM(Model!$K71:BW71)),0)</f>
        <v>0</v>
      </c>
      <c r="BX71" s="1" t="n">
        <f aca="false">IF($D$15=1,MAX(0,SUM(Model!$K24:BX24)+SUM(Model!$K71:BX71)),0)</f>
        <v>0</v>
      </c>
      <c r="BY71" s="1" t="n">
        <f aca="false">IF($D$15=1,MAX(0,SUM(Model!$K24:BY24)+SUM(Model!$K71:BY71)),0)</f>
        <v>0</v>
      </c>
      <c r="BZ71" s="1" t="n">
        <f aca="false">IF($D$15=1,MAX(0,SUM(Model!$K24:BZ24)+SUM(Model!$K71:BZ71)),0)</f>
        <v>0</v>
      </c>
      <c r="CA71" s="1" t="n">
        <f aca="false">IF($D$15=1,MAX(0,SUM(Model!$K24:CA24)+SUM(Model!$K71:CA71)),0)</f>
        <v>0</v>
      </c>
      <c r="CB71" s="1" t="n">
        <f aca="false">IF($D$15=1,MAX(0,SUM(Model!$K24:CB24)+SUM(Model!$K71:CB71)),0)</f>
        <v>0</v>
      </c>
      <c r="CC71" s="1" t="n">
        <f aca="false">IF($D$15=1,MAX(0,SUM(Model!$K24:CC24)+SUM(Model!$K71:CC71)),0)</f>
        <v>0</v>
      </c>
      <c r="CD71" s="1" t="n">
        <f aca="false">IF($D$15=1,MAX(0,SUM(Model!$K24:CD24)+SUM(Model!$K71:CD71)),0)</f>
        <v>0</v>
      </c>
      <c r="CE71" s="1" t="n">
        <f aca="false">IF($D$15=1,MAX(0,SUM(Model!$K24:CE24)+SUM(Model!$K71:CE71)),0)</f>
        <v>0</v>
      </c>
      <c r="CF71" s="1" t="n">
        <f aca="false">IF($D$15=1,MAX(0,SUM(Model!$K24:CF24)+SUM(Model!$K71:CF71)),0)</f>
        <v>0</v>
      </c>
      <c r="CG71" s="1" t="n">
        <f aca="false">IF($D$15=1,MAX(0,SUM(Model!$K24:CG24)+SUM(Model!$K71:CG71)),0)</f>
        <v>0</v>
      </c>
      <c r="CH71" s="1" t="n">
        <f aca="false">IF($D$15=1,MAX(0,SUM(Model!$K24:CH24)+SUM(Model!$K71:CH71)),0)</f>
        <v>0</v>
      </c>
      <c r="CI71" s="1" t="n">
        <f aca="false">IF($D$15=1,MAX(0,SUM(Model!$K24:CI24)+SUM(Model!$K71:CI71)),0)</f>
        <v>0</v>
      </c>
      <c r="CJ71" s="1" t="n">
        <f aca="false">IF($D$15=1,MAX(0,SUM(Model!$K24:CJ24)+SUM(Model!$K71:CJ71)),0)</f>
        <v>0</v>
      </c>
      <c r="CK71" s="1" t="n">
        <f aca="false">IF($D$15=1,MAX(0,SUM(Model!$K24:CK24)+SUM(Model!$K71:CK71)),0)</f>
        <v>0</v>
      </c>
      <c r="CL71" s="1" t="n">
        <f aca="false">IF($D$15=1,MAX(0,SUM(Model!$K24:CL24)+SUM(Model!$K71:CL71)),0)</f>
        <v>0</v>
      </c>
      <c r="CM71" s="1" t="n">
        <f aca="false">IF($D$15=1,MAX(0,SUM(Model!$K24:CM24)+SUM(Model!$K71:CM71)),0)</f>
        <v>0</v>
      </c>
      <c r="CN71" s="1" t="n">
        <f aca="false">IF($D$15=1,MAX(0,SUM(Model!$K24:CN24)+SUM(Model!$K71:CN71)),0)</f>
        <v>0</v>
      </c>
      <c r="CO71" s="1" t="n">
        <f aca="false">IF($D$15=1,MAX(0,SUM(Model!$K24:CO24)+SUM(Model!$K71:CO71)),0)</f>
        <v>0</v>
      </c>
      <c r="CP71" s="1" t="n">
        <f aca="false">IF($D$15=1,MAX(0,SUM(Model!$K24:CP24)+SUM(Model!$K71:CP71)),0)</f>
        <v>0</v>
      </c>
      <c r="CQ71" s="1" t="n">
        <f aca="false">IF($D$15=1,MAX(0,SUM(Model!$K24:CQ24)+SUM(Model!$K71:CQ71)),0)</f>
        <v>0</v>
      </c>
      <c r="CR71" s="1" t="n">
        <f aca="false">IF($D$15=1,MAX(0,SUM(Model!$K24:CR24)+SUM(Model!$K71:CR71)),0)</f>
        <v>0</v>
      </c>
      <c r="CS71" s="1" t="n">
        <f aca="false">IF($D$15=1,MAX(0,SUM(Model!$K24:CS24)+SUM(Model!$K71:CS71)),0)</f>
        <v>0</v>
      </c>
      <c r="CT71" s="1" t="n">
        <f aca="false">IF($D$15=1,MAX(0,SUM(Model!$K24:CT24)+SUM(Model!$K71:CT71)),0)</f>
        <v>0</v>
      </c>
      <c r="CU71" s="1" t="n">
        <f aca="false">IF($D$15=1,MAX(0,SUM(Model!$K24:CU24)+SUM(Model!$K71:CU71)),0)</f>
        <v>0</v>
      </c>
      <c r="CV71" s="1" t="n">
        <f aca="false">IF($D$15=1,MAX(0,SUM(Model!$K24:CV24)+SUM(Model!$K71:CV71)),0)</f>
        <v>0</v>
      </c>
      <c r="CW71" s="1" t="n">
        <f aca="false">IF($D$15=1,MAX(0,SUM(Model!$K24:CW24)+SUM(Model!$K71:CW71)),0)</f>
        <v>0</v>
      </c>
      <c r="CX71" s="1" t="n">
        <f aca="false">IF($D$15=1,MAX(0,SUM(Model!$K24:CX24)+SUM(Model!$K71:CX71)),0)</f>
        <v>0</v>
      </c>
      <c r="CY71" s="1" t="n">
        <f aca="false">IF($D$15=1,MAX(0,SUM(Model!$K24:CY24)+SUM(Model!$K71:CY71)),0)</f>
        <v>0</v>
      </c>
      <c r="CZ71" s="1" t="n">
        <f aca="false">IF($D$15=1,MAX(0,SUM(Model!$K24:CZ24)+SUM(Model!$K71:CZ71)),0)</f>
        <v>0</v>
      </c>
      <c r="DA71" s="1" t="n">
        <f aca="false">IF($D$15=1,MAX(0,SUM(Model!$K24:DA24)+SUM(Model!$K71:DA71)),0)</f>
        <v>0</v>
      </c>
      <c r="DB71" s="1" t="n">
        <f aca="false">IF($D$15=1,MAX(0,SUM(Model!$K24:DB24)+SUM(Model!$K71:DB71)),0)</f>
        <v>0</v>
      </c>
      <c r="DC71" s="1" t="n">
        <f aca="false">IF($D$15=1,MAX(0,SUM(Model!$K24:DC24)+SUM(Model!$K71:DC71)),0)</f>
        <v>0</v>
      </c>
      <c r="DD71" s="1" t="n">
        <f aca="false">IF($D$15=1,MAX(0,SUM(Model!$K24:DD24)+SUM(Model!$K71:DD71)),0)</f>
        <v>0</v>
      </c>
      <c r="DE71" s="1" t="n">
        <f aca="false">IF($D$15=1,MAX(0,SUM(Model!$K24:DE24)+SUM(Model!$K71:DE71)),0)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v>0</v>
      </c>
      <c r="K72" s="1" t="n">
        <f aca="false">IF($D$16=1,MAX(0,SUM(Model!$K25:K25)+SUM(Model!$K72:K72)),0)</f>
        <v>0</v>
      </c>
      <c r="L72" s="1" t="n">
        <f aca="false">IF($D$16=1,MAX(0,SUM(Model!$K25:L25)+SUM(Model!$K72:L72)),0)</f>
        <v>0</v>
      </c>
      <c r="M72" s="1" t="n">
        <f aca="false">IF($D$16=1,MAX(0,SUM(Model!$K25:M25)+SUM(Model!$K72:M72)),0)</f>
        <v>0</v>
      </c>
      <c r="N72" s="1" t="n">
        <f aca="false">IF($D$16=1,MAX(0,SUM(Model!$K25:N25)+SUM(Model!$K72:N72)),0)</f>
        <v>0</v>
      </c>
      <c r="O72" s="1" t="n">
        <f aca="false">IF($D$16=1,MAX(0,SUM(Model!$K25:O25)+SUM(Model!$K72:O72)),0)</f>
        <v>0</v>
      </c>
      <c r="P72" s="1" t="n">
        <f aca="false">IF($D$16=1,MAX(0,SUM(Model!$K25:P25)+SUM(Model!$K72:P72)),0)</f>
        <v>0</v>
      </c>
      <c r="Q72" s="1" t="n">
        <f aca="false">IF($D$16=1,MAX(0,SUM(Model!$K25:Q25)+SUM(Model!$K72:Q72)),0)</f>
        <v>0</v>
      </c>
      <c r="R72" s="1" t="n">
        <f aca="false">IF($D$16=1,MAX(0,SUM(Model!$K25:R25)+SUM(Model!$K72:R72)),0)</f>
        <v>0</v>
      </c>
      <c r="S72" s="1" t="n">
        <f aca="false">IF($D$16=1,MAX(0,SUM(Model!$K25:S25)+SUM(Model!$K72:S72)),0)</f>
        <v>0</v>
      </c>
      <c r="T72" s="1" t="n">
        <f aca="false">IF($D$16=1,MAX(0,SUM(Model!$K25:T25)+SUM(Model!$K72:T72)),0)</f>
        <v>0</v>
      </c>
      <c r="U72" s="1" t="n">
        <f aca="false">IF($D$16=1,MAX(0,SUM(Model!$K25:U25)+SUM(Model!$K72:U72)),0)</f>
        <v>0</v>
      </c>
      <c r="V72" s="1" t="n">
        <f aca="false">IF($D$16=1,MAX(0,SUM(Model!$K25:V25)+SUM(Model!$K72:V72)),0)</f>
        <v>0</v>
      </c>
      <c r="W72" s="1" t="n">
        <f aca="false">IF($D$16=1,MAX(0,SUM(Model!$K25:W25)+SUM(Model!$K72:W72)),0)</f>
        <v>0</v>
      </c>
      <c r="X72" s="1" t="n">
        <f aca="false">IF($D$16=1,MAX(0,SUM(Model!$K25:X25)+SUM(Model!$K72:X72)),0)</f>
        <v>0</v>
      </c>
      <c r="Y72" s="1" t="n">
        <f aca="false">IF($D$16=1,MAX(0,SUM(Model!$K25:Y25)+SUM(Model!$K72:Y72)),0)</f>
        <v>0</v>
      </c>
      <c r="Z72" s="1" t="n">
        <f aca="false">IF($D$16=1,MAX(0,SUM(Model!$K25:Z25)+SUM(Model!$K72:Z72)),0)</f>
        <v>0</v>
      </c>
      <c r="AA72" s="1" t="n">
        <f aca="false">IF($D$16=1,MAX(0,SUM(Model!$K25:AA25)+SUM(Model!$K72:AA72)),0)</f>
        <v>0</v>
      </c>
      <c r="AB72" s="1" t="n">
        <f aca="false">IF($D$16=1,MAX(0,SUM(Model!$K25:AB25)+SUM(Model!$K72:AB72)),0)</f>
        <v>0</v>
      </c>
      <c r="AC72" s="1" t="n">
        <f aca="false">IF($D$16=1,MAX(0,SUM(Model!$K25:AC25)+SUM(Model!$K72:AC72)),0)</f>
        <v>0</v>
      </c>
      <c r="AD72" s="1" t="n">
        <f aca="false">IF($D$16=1,MAX(0,SUM(Model!$K25:AD25)+SUM(Model!$K72:AD72)),0)</f>
        <v>0</v>
      </c>
      <c r="AE72" s="1" t="n">
        <f aca="false">IF($D$16=1,MAX(0,SUM(Model!$K25:AE25)+SUM(Model!$K72:AE72)),0)</f>
        <v>0</v>
      </c>
      <c r="AF72" s="1" t="n">
        <f aca="false">IF($D$16=1,MAX(0,SUM(Model!$K25:AF25)+SUM(Model!$K72:AF72)),0)</f>
        <v>0</v>
      </c>
      <c r="AG72" s="1" t="n">
        <f aca="false">IF($D$16=1,MAX(0,SUM(Model!$K25:AG25)+SUM(Model!$K72:AG72)),0)</f>
        <v>0</v>
      </c>
      <c r="AH72" s="1" t="n">
        <f aca="false">IF($D$16=1,MAX(0,SUM(Model!$K25:AH25)+SUM(Model!$K72:AH72)),0)</f>
        <v>0</v>
      </c>
      <c r="AI72" s="1" t="n">
        <f aca="false">IF($D$16=1,MAX(0,SUM(Model!$K25:AI25)+SUM(Model!$K72:AI72)),0)</f>
        <v>0</v>
      </c>
      <c r="AJ72" s="1" t="n">
        <f aca="false">IF($D$16=1,MAX(0,SUM(Model!$K25:AJ25)+SUM(Model!$K72:AJ72)),0)</f>
        <v>0</v>
      </c>
      <c r="AK72" s="1" t="n">
        <f aca="false">IF($D$16=1,MAX(0,SUM(Model!$K25:AK25)+SUM(Model!$K72:AK72)),0)</f>
        <v>0</v>
      </c>
      <c r="AL72" s="1" t="n">
        <f aca="false">IF($D$16=1,MAX(0,SUM(Model!$K25:AL25)+SUM(Model!$K72:AL72)),0)</f>
        <v>0</v>
      </c>
      <c r="AM72" s="1" t="n">
        <f aca="false">IF($D$16=1,MAX(0,SUM(Model!$K25:AM25)+SUM(Model!$K72:AM72)),0)</f>
        <v>0</v>
      </c>
      <c r="AN72" s="1" t="n">
        <f aca="false">IF($D$16=1,MAX(0,SUM(Model!$K25:AN25)+SUM(Model!$K72:AN72)),0)</f>
        <v>0</v>
      </c>
      <c r="AO72" s="1" t="n">
        <f aca="false">IF($D$16=1,MAX(0,SUM(Model!$K25:AO25)+SUM(Model!$K72:AO72)),0)</f>
        <v>0</v>
      </c>
      <c r="AP72" s="1" t="n">
        <f aca="false">IF($D$16=1,MAX(0,SUM(Model!$K25:AP25)+SUM(Model!$K72:AP72)),0)</f>
        <v>0</v>
      </c>
      <c r="AQ72" s="1" t="n">
        <f aca="false">IF($D$16=1,MAX(0,SUM(Model!$K25:AQ25)+SUM(Model!$K72:AQ72)),0)</f>
        <v>0</v>
      </c>
      <c r="AR72" s="1" t="n">
        <f aca="false">IF($D$16=1,MAX(0,SUM(Model!$K25:AR25)+SUM(Model!$K72:AR72)),0)</f>
        <v>0</v>
      </c>
      <c r="AS72" s="1" t="n">
        <f aca="false">IF($D$16=1,MAX(0,SUM(Model!$K25:AS25)+SUM(Model!$K72:AS72)),0)</f>
        <v>0</v>
      </c>
      <c r="AT72" s="1" t="n">
        <f aca="false">IF($D$16=1,MAX(0,SUM(Model!$K25:AT25)+SUM(Model!$K72:AT72)),0)</f>
        <v>0</v>
      </c>
      <c r="AU72" s="1" t="n">
        <f aca="false">IF($D$16=1,MAX(0,SUM(Model!$K25:AU25)+SUM(Model!$K72:AU72)),0)</f>
        <v>0</v>
      </c>
      <c r="AV72" s="1" t="n">
        <f aca="false">IF($D$16=1,MAX(0,SUM(Model!$K25:AV25)+SUM(Model!$K72:AV72)),0)</f>
        <v>0</v>
      </c>
      <c r="AW72" s="1" t="n">
        <f aca="false">IF($D$16=1,MAX(0,SUM(Model!$K25:AW25)+SUM(Model!$K72:AW72)),0)</f>
        <v>0</v>
      </c>
      <c r="AX72" s="1" t="n">
        <f aca="false">IF($D$16=1,MAX(0,SUM(Model!$K25:AX25)+SUM(Model!$K72:AX72)),0)</f>
        <v>0</v>
      </c>
      <c r="AY72" s="1" t="n">
        <f aca="false">IF($D$16=1,MAX(0,SUM(Model!$K25:AY25)+SUM(Model!$K72:AY72)),0)</f>
        <v>0</v>
      </c>
      <c r="AZ72" s="1" t="n">
        <f aca="false">IF($D$16=1,MAX(0,SUM(Model!$K25:AZ25)+SUM(Model!$K72:AZ72)),0)</f>
        <v>0</v>
      </c>
      <c r="BA72" s="1" t="n">
        <f aca="false">IF($D$16=1,MAX(0,SUM(Model!$K25:BA25)+SUM(Model!$K72:BA72)),0)</f>
        <v>0</v>
      </c>
      <c r="BB72" s="1" t="n">
        <f aca="false">IF($D$16=1,MAX(0,SUM(Model!$K25:BB25)+SUM(Model!$K72:BB72)),0)</f>
        <v>0</v>
      </c>
      <c r="BC72" s="1" t="n">
        <f aca="false">IF($D$16=1,MAX(0,SUM(Model!$K25:BC25)+SUM(Model!$K72:BC72)),0)</f>
        <v>0</v>
      </c>
      <c r="BD72" s="1" t="n">
        <f aca="false">IF($D$16=1,MAX(0,SUM(Model!$K25:BD25)+SUM(Model!$K72:BD72)),0)</f>
        <v>0</v>
      </c>
      <c r="BE72" s="1" t="n">
        <f aca="false">IF($D$16=1,MAX(0,SUM(Model!$K25:BE25)+SUM(Model!$K72:BE72)),0)</f>
        <v>0</v>
      </c>
      <c r="BF72" s="1" t="n">
        <f aca="false">IF($D$16=1,MAX(0,SUM(Model!$K25:BF25)+SUM(Model!$K72:BF72)),0)</f>
        <v>0</v>
      </c>
      <c r="BG72" s="1" t="n">
        <f aca="false">IF($D$16=1,MAX(0,SUM(Model!$K25:BG25)+SUM(Model!$K72:BG72)),0)</f>
        <v>0</v>
      </c>
      <c r="BH72" s="1" t="n">
        <f aca="false">IF($D$16=1,MAX(0,SUM(Model!$K25:BH25)+SUM(Model!$K72:BH72)),0)</f>
        <v>0</v>
      </c>
      <c r="BI72" s="1" t="n">
        <f aca="false">IF($D$16=1,MAX(0,SUM(Model!$K25:BI25)+SUM(Model!$K72:BI72)),0)</f>
        <v>0</v>
      </c>
      <c r="BJ72" s="1" t="n">
        <f aca="false">IF($D$16=1,MAX(0,SUM(Model!$K25:BJ25)+SUM(Model!$K72:BJ72)),0)</f>
        <v>0</v>
      </c>
      <c r="BK72" s="1" t="n">
        <f aca="false">IF($D$16=1,MAX(0,SUM(Model!$K25:BK25)+SUM(Model!$K72:BK72)),0)</f>
        <v>0</v>
      </c>
      <c r="BL72" s="1" t="n">
        <f aca="false">IF($D$16=1,MAX(0,SUM(Model!$K25:BL25)+SUM(Model!$K72:BL72)),0)</f>
        <v>0</v>
      </c>
      <c r="BM72" s="1" t="n">
        <f aca="false">IF($D$16=1,MAX(0,SUM(Model!$K25:BM25)+SUM(Model!$K72:BM72)),0)</f>
        <v>0</v>
      </c>
      <c r="BN72" s="1" t="n">
        <f aca="false">IF($D$16=1,MAX(0,SUM(Model!$K25:BN25)+SUM(Model!$K72:BN72)),0)</f>
        <v>0</v>
      </c>
      <c r="BO72" s="1" t="n">
        <f aca="false">IF($D$16=1,MAX(0,SUM(Model!$K25:BO25)+SUM(Model!$K72:BO72)),0)</f>
        <v>0</v>
      </c>
      <c r="BP72" s="1" t="n">
        <f aca="false">IF($D$16=1,MAX(0,SUM(Model!$K25:BP25)+SUM(Model!$K72:BP72)),0)</f>
        <v>0</v>
      </c>
      <c r="BQ72" s="1" t="n">
        <f aca="false">IF($D$16=1,MAX(0,SUM(Model!$K25:BQ25)+SUM(Model!$K72:BQ72)),0)</f>
        <v>0</v>
      </c>
      <c r="BR72" s="1" t="n">
        <f aca="false">IF($D$16=1,MAX(0,SUM(Model!$K25:BR25)+SUM(Model!$K72:BR72)),0)</f>
        <v>0</v>
      </c>
      <c r="BS72" s="1" t="n">
        <f aca="false">IF($D$16=1,MAX(0,SUM(Model!$K25:BS25)+SUM(Model!$K72:BS72)),0)</f>
        <v>0</v>
      </c>
      <c r="BT72" s="1" t="n">
        <f aca="false">IF($D$16=1,MAX(0,SUM(Model!$K25:BT25)+SUM(Model!$K72:BT72)),0)</f>
        <v>0</v>
      </c>
      <c r="BU72" s="1" t="n">
        <f aca="false">IF($D$16=1,MAX(0,SUM(Model!$K25:BU25)+SUM(Model!$K72:BU72)),0)</f>
        <v>0</v>
      </c>
      <c r="BV72" s="1" t="n">
        <f aca="false">IF($D$16=1,MAX(0,SUM(Model!$K25:BV25)+SUM(Model!$K72:BV72)),0)</f>
        <v>0</v>
      </c>
      <c r="BW72" s="1" t="n">
        <f aca="false">IF($D$16=1,MAX(0,SUM(Model!$K25:BW25)+SUM(Model!$K72:BW72)),0)</f>
        <v>0</v>
      </c>
      <c r="BX72" s="1" t="n">
        <f aca="false">IF($D$16=1,MAX(0,SUM(Model!$K25:BX25)+SUM(Model!$K72:BX72)),0)</f>
        <v>0</v>
      </c>
      <c r="BY72" s="1" t="n">
        <f aca="false">IF($D$16=1,MAX(0,SUM(Model!$K25:BY25)+SUM(Model!$K72:BY72)),0)</f>
        <v>0</v>
      </c>
      <c r="BZ72" s="1" t="n">
        <f aca="false">IF($D$16=1,MAX(0,SUM(Model!$K25:BZ25)+SUM(Model!$K72:BZ72)),0)</f>
        <v>0</v>
      </c>
      <c r="CA72" s="1" t="n">
        <f aca="false">IF($D$16=1,MAX(0,SUM(Model!$K25:CA25)+SUM(Model!$K72:CA72)),0)</f>
        <v>0</v>
      </c>
      <c r="CB72" s="1" t="n">
        <f aca="false">IF($D$16=1,MAX(0,SUM(Model!$K25:CB25)+SUM(Model!$K72:CB72)),0)</f>
        <v>0</v>
      </c>
      <c r="CC72" s="1" t="n">
        <f aca="false">IF($D$16=1,MAX(0,SUM(Model!$K25:CC25)+SUM(Model!$K72:CC72)),0)</f>
        <v>0</v>
      </c>
      <c r="CD72" s="1" t="n">
        <f aca="false">IF($D$16=1,MAX(0,SUM(Model!$K25:CD25)+SUM(Model!$K72:CD72)),0)</f>
        <v>0</v>
      </c>
      <c r="CE72" s="1" t="n">
        <f aca="false">IF($D$16=1,MAX(0,SUM(Model!$K25:CE25)+SUM(Model!$K72:CE72)),0)</f>
        <v>0</v>
      </c>
      <c r="CF72" s="1" t="n">
        <f aca="false">IF($D$16=1,MAX(0,SUM(Model!$K25:CF25)+SUM(Model!$K72:CF72)),0)</f>
        <v>0</v>
      </c>
      <c r="CG72" s="1" t="n">
        <f aca="false">IF($D$16=1,MAX(0,SUM(Model!$K25:CG25)+SUM(Model!$K72:CG72)),0)</f>
        <v>0</v>
      </c>
      <c r="CH72" s="1" t="n">
        <f aca="false">IF($D$16=1,MAX(0,SUM(Model!$K25:CH25)+SUM(Model!$K72:CH72)),0)</f>
        <v>0</v>
      </c>
      <c r="CI72" s="1" t="n">
        <f aca="false">IF($D$16=1,MAX(0,SUM(Model!$K25:CI25)+SUM(Model!$K72:CI72)),0)</f>
        <v>0</v>
      </c>
      <c r="CJ72" s="1" t="n">
        <f aca="false">IF($D$16=1,MAX(0,SUM(Model!$K25:CJ25)+SUM(Model!$K72:CJ72)),0)</f>
        <v>0</v>
      </c>
      <c r="CK72" s="1" t="n">
        <f aca="false">IF($D$16=1,MAX(0,SUM(Model!$K25:CK25)+SUM(Model!$K72:CK72)),0)</f>
        <v>0</v>
      </c>
      <c r="CL72" s="1" t="n">
        <f aca="false">IF($D$16=1,MAX(0,SUM(Model!$K25:CL25)+SUM(Model!$K72:CL72)),0)</f>
        <v>0</v>
      </c>
      <c r="CM72" s="1" t="n">
        <f aca="false">IF($D$16=1,MAX(0,SUM(Model!$K25:CM25)+SUM(Model!$K72:CM72)),0)</f>
        <v>0</v>
      </c>
      <c r="CN72" s="1" t="n">
        <f aca="false">IF($D$16=1,MAX(0,SUM(Model!$K25:CN25)+SUM(Model!$K72:CN72)),0)</f>
        <v>0</v>
      </c>
      <c r="CO72" s="1" t="n">
        <f aca="false">IF($D$16=1,MAX(0,SUM(Model!$K25:CO25)+SUM(Model!$K72:CO72)),0)</f>
        <v>0</v>
      </c>
      <c r="CP72" s="1" t="n">
        <f aca="false">IF($D$16=1,MAX(0,SUM(Model!$K25:CP25)+SUM(Model!$K72:CP72)),0)</f>
        <v>0</v>
      </c>
      <c r="CQ72" s="1" t="n">
        <f aca="false">IF($D$16=1,MAX(0,SUM(Model!$K25:CQ25)+SUM(Model!$K72:CQ72)),0)</f>
        <v>0</v>
      </c>
      <c r="CR72" s="1" t="n">
        <f aca="false">IF($D$16=1,MAX(0,SUM(Model!$K25:CR25)+SUM(Model!$K72:CR72)),0)</f>
        <v>0</v>
      </c>
      <c r="CS72" s="1" t="n">
        <f aca="false">IF($D$16=1,MAX(0,SUM(Model!$K25:CS25)+SUM(Model!$K72:CS72)),0)</f>
        <v>0</v>
      </c>
      <c r="CT72" s="1" t="n">
        <f aca="false">IF($D$16=1,MAX(0,SUM(Model!$K25:CT25)+SUM(Model!$K72:CT72)),0)</f>
        <v>0</v>
      </c>
      <c r="CU72" s="1" t="n">
        <f aca="false">IF($D$16=1,MAX(0,SUM(Model!$K25:CU25)+SUM(Model!$K72:CU72)),0)</f>
        <v>0</v>
      </c>
      <c r="CV72" s="1" t="n">
        <f aca="false">IF($D$16=1,MAX(0,SUM(Model!$K25:CV25)+SUM(Model!$K72:CV72)),0)</f>
        <v>0</v>
      </c>
      <c r="CW72" s="1" t="n">
        <f aca="false">IF($D$16=1,MAX(0,SUM(Model!$K25:CW25)+SUM(Model!$K72:CW72)),0)</f>
        <v>0</v>
      </c>
      <c r="CX72" s="1" t="n">
        <f aca="false">IF($D$16=1,MAX(0,SUM(Model!$K25:CX25)+SUM(Model!$K72:CX72)),0)</f>
        <v>0</v>
      </c>
      <c r="CY72" s="1" t="n">
        <f aca="false">IF($D$16=1,MAX(0,SUM(Model!$K25:CY25)+SUM(Model!$K72:CY72)),0)</f>
        <v>0</v>
      </c>
      <c r="CZ72" s="1" t="n">
        <f aca="false">IF($D$16=1,MAX(0,SUM(Model!$K25:CZ25)+SUM(Model!$K72:CZ72)),0)</f>
        <v>0</v>
      </c>
      <c r="DA72" s="1" t="n">
        <f aca="false">IF($D$16=1,MAX(0,SUM(Model!$K25:DA25)+SUM(Model!$K72:DA72)),0)</f>
        <v>0</v>
      </c>
      <c r="DB72" s="1" t="n">
        <f aca="false">IF($D$16=1,MAX(0,SUM(Model!$K25:DB25)+SUM(Model!$K72:DB72)),0)</f>
        <v>0</v>
      </c>
      <c r="DC72" s="1" t="n">
        <f aca="false">IF($D$16=1,MAX(0,SUM(Model!$K25:DC25)+SUM(Model!$K72:DC72)),0)</f>
        <v>0</v>
      </c>
      <c r="DD72" s="1" t="n">
        <f aca="false">IF($D$16=1,MAX(0,SUM(Model!$K25:DD25)+SUM(Model!$K72:DD72)),0)</f>
        <v>0</v>
      </c>
      <c r="DE72" s="1" t="n">
        <f aca="false">IF($D$16=1,MAX(0,SUM(Model!$K25:DE25)+SUM(Model!$K72:DE72)),0)</f>
        <v>0</v>
      </c>
    </row>
    <row r="73" customFormat="false" ht="13.5" hidden="false" customHeight="true" outlineLevel="0" collapsed="false">
      <c r="A73" s="1" t="str">
        <f aca="false">$B$17</f>
        <v>Lemp</v>
      </c>
      <c r="B73" s="1" t="n">
        <v>0</v>
      </c>
      <c r="C73" s="1" t="n">
        <v>0</v>
      </c>
      <c r="D73" s="1" t="n">
        <v>0</v>
      </c>
      <c r="E73" s="1" t="n">
        <v>0</v>
      </c>
      <c r="F73" s="1" t="n">
        <v>0</v>
      </c>
      <c r="G73" s="1" t="n">
        <v>0</v>
      </c>
      <c r="H73" s="1" t="n">
        <v>0</v>
      </c>
      <c r="I73" s="1" t="n">
        <v>0</v>
      </c>
      <c r="J73" s="1" t="n">
        <v>0</v>
      </c>
      <c r="K73" s="1" t="n">
        <f aca="false">IF($D$17=1,MAX(0,SUM(Model!$K26:K26)+SUM(Model!$K73:K73)),0)</f>
        <v>0</v>
      </c>
      <c r="L73" s="1" t="n">
        <f aca="false">IF($D$17=1,MAX(0,SUM(Model!$K26:L26)+SUM(Model!$K73:L73)),0)</f>
        <v>0</v>
      </c>
      <c r="M73" s="1" t="n">
        <f aca="false">IF($D$17=1,MAX(0,SUM(Model!$K26:M26)+SUM(Model!$K73:M73)),0)</f>
        <v>0</v>
      </c>
      <c r="N73" s="1" t="n">
        <f aca="false">IF($D$17=1,MAX(0,SUM(Model!$K26:N26)+SUM(Model!$K73:N73)),0)</f>
        <v>0</v>
      </c>
      <c r="O73" s="1" t="n">
        <f aca="false">IF($D$17=1,MAX(0,SUM(Model!$K26:O26)+SUM(Model!$K73:O73)),0)</f>
        <v>0</v>
      </c>
      <c r="P73" s="1" t="n">
        <f aca="false">IF($D$17=1,MAX(0,SUM(Model!$K26:P26)+SUM(Model!$K73:P73)),0)</f>
        <v>0</v>
      </c>
      <c r="Q73" s="1" t="n">
        <f aca="false">IF($D$17=1,MAX(0,SUM(Model!$K26:Q26)+SUM(Model!$K73:Q73)),0)</f>
        <v>0</v>
      </c>
      <c r="R73" s="1" t="n">
        <f aca="false">IF($D$17=1,MAX(0,SUM(Model!$K26:R26)+SUM(Model!$K73:R73)),0)</f>
        <v>0</v>
      </c>
      <c r="S73" s="1" t="n">
        <f aca="false">IF($D$17=1,MAX(0,SUM(Model!$K26:S26)+SUM(Model!$K73:S73)),0)</f>
        <v>0</v>
      </c>
      <c r="T73" s="1" t="n">
        <f aca="false">IF($D$17=1,MAX(0,SUM(Model!$K26:T26)+SUM(Model!$K73:T73)),0)</f>
        <v>0</v>
      </c>
      <c r="U73" s="1" t="n">
        <f aca="false">IF($D$17=1,MAX(0,SUM(Model!$K26:U26)+SUM(Model!$K73:U73)),0)</f>
        <v>0</v>
      </c>
      <c r="V73" s="1" t="n">
        <f aca="false">IF($D$17=1,MAX(0,SUM(Model!$K26:V26)+SUM(Model!$K73:V73)),0)</f>
        <v>0</v>
      </c>
      <c r="W73" s="1" t="n">
        <f aca="false">IF($D$17=1,MAX(0,SUM(Model!$K26:W26)+SUM(Model!$K73:W73)),0)</f>
        <v>0</v>
      </c>
      <c r="X73" s="1" t="n">
        <f aca="false">IF($D$17=1,MAX(0,SUM(Model!$K26:X26)+SUM(Model!$K73:X73)),0)</f>
        <v>0</v>
      </c>
      <c r="Y73" s="1" t="n">
        <f aca="false">IF($D$17=1,MAX(0,SUM(Model!$K26:Y26)+SUM(Model!$K73:Y73)),0)</f>
        <v>0</v>
      </c>
      <c r="Z73" s="1" t="n">
        <f aca="false">IF($D$17=1,MAX(0,SUM(Model!$K26:Z26)+SUM(Model!$K73:Z73)),0)</f>
        <v>0</v>
      </c>
      <c r="AA73" s="1" t="n">
        <f aca="false">IF($D$17=1,MAX(0,SUM(Model!$K26:AA26)+SUM(Model!$K73:AA73)),0)</f>
        <v>0</v>
      </c>
      <c r="AB73" s="1" t="n">
        <f aca="false">IF($D$17=1,MAX(0,SUM(Model!$K26:AB26)+SUM(Model!$K73:AB73)),0)</f>
        <v>0</v>
      </c>
      <c r="AC73" s="1" t="n">
        <f aca="false">IF($D$17=1,MAX(0,SUM(Model!$K26:AC26)+SUM(Model!$K73:AC73)),0)</f>
        <v>0</v>
      </c>
      <c r="AD73" s="1" t="n">
        <f aca="false">IF($D$17=1,MAX(0,SUM(Model!$K26:AD26)+SUM(Model!$K73:AD73)),0)</f>
        <v>0</v>
      </c>
      <c r="AE73" s="1" t="n">
        <f aca="false">IF($D$17=1,MAX(0,SUM(Model!$K26:AE26)+SUM(Model!$K73:AE73)),0)</f>
        <v>0</v>
      </c>
      <c r="AF73" s="1" t="n">
        <f aca="false">IF($D$17=1,MAX(0,SUM(Model!$K26:AF26)+SUM(Model!$K73:AF73)),0)</f>
        <v>0</v>
      </c>
      <c r="AG73" s="1" t="n">
        <f aca="false">IF($D$17=1,MAX(0,SUM(Model!$K26:AG26)+SUM(Model!$K73:AG73)),0)</f>
        <v>0</v>
      </c>
      <c r="AH73" s="1" t="n">
        <f aca="false">IF($D$17=1,MAX(0,SUM(Model!$K26:AH26)+SUM(Model!$K73:AH73)),0)</f>
        <v>0</v>
      </c>
      <c r="AI73" s="1" t="n">
        <f aca="false">IF($D$17=1,MAX(0,SUM(Model!$K26:AI26)+SUM(Model!$K73:AI73)),0)</f>
        <v>0</v>
      </c>
      <c r="AJ73" s="1" t="n">
        <f aca="false">IF($D$17=1,MAX(0,SUM(Model!$K26:AJ26)+SUM(Model!$K73:AJ73)),0)</f>
        <v>0</v>
      </c>
      <c r="AK73" s="1" t="n">
        <f aca="false">IF($D$17=1,MAX(0,SUM(Model!$K26:AK26)+SUM(Model!$K73:AK73)),0)</f>
        <v>0</v>
      </c>
      <c r="AL73" s="1" t="n">
        <f aca="false">IF($D$17=1,MAX(0,SUM(Model!$K26:AL26)+SUM(Model!$K73:AL73)),0)</f>
        <v>0</v>
      </c>
      <c r="AM73" s="1" t="n">
        <f aca="false">IF($D$17=1,MAX(0,SUM(Model!$K26:AM26)+SUM(Model!$K73:AM73)),0)</f>
        <v>0</v>
      </c>
      <c r="AN73" s="1" t="n">
        <f aca="false">IF($D$17=1,MAX(0,SUM(Model!$K26:AN26)+SUM(Model!$K73:AN73)),0)</f>
        <v>0</v>
      </c>
      <c r="AO73" s="1" t="n">
        <f aca="false">IF($D$17=1,MAX(0,SUM(Model!$K26:AO26)+SUM(Model!$K73:AO73)),0)</f>
        <v>0</v>
      </c>
      <c r="AP73" s="1" t="n">
        <f aca="false">IF($D$17=1,MAX(0,SUM(Model!$K26:AP26)+SUM(Model!$K73:AP73)),0)</f>
        <v>0</v>
      </c>
      <c r="AQ73" s="1" t="n">
        <f aca="false">IF($D$17=1,MAX(0,SUM(Model!$K26:AQ26)+SUM(Model!$K73:AQ73)),0)</f>
        <v>0</v>
      </c>
      <c r="AR73" s="1" t="n">
        <f aca="false">IF($D$17=1,MAX(0,SUM(Model!$K26:AR26)+SUM(Model!$K73:AR73)),0)</f>
        <v>0</v>
      </c>
      <c r="AS73" s="1" t="n">
        <f aca="false">IF($D$17=1,MAX(0,SUM(Model!$K26:AS26)+SUM(Model!$K73:AS73)),0)</f>
        <v>0</v>
      </c>
      <c r="AT73" s="1" t="n">
        <f aca="false">IF($D$17=1,MAX(0,SUM(Model!$K26:AT26)+SUM(Model!$K73:AT73)),0)</f>
        <v>0</v>
      </c>
      <c r="AU73" s="1" t="n">
        <f aca="false">IF($D$17=1,MAX(0,SUM(Model!$K26:AU26)+SUM(Model!$K73:AU73)),0)</f>
        <v>0</v>
      </c>
      <c r="AV73" s="1" t="n">
        <f aca="false">IF($D$17=1,MAX(0,SUM(Model!$K26:AV26)+SUM(Model!$K73:AV73)),0)</f>
        <v>0</v>
      </c>
      <c r="AW73" s="1" t="n">
        <f aca="false">IF($D$17=1,MAX(0,SUM(Model!$K26:AW26)+SUM(Model!$K73:AW73)),0)</f>
        <v>0</v>
      </c>
      <c r="AX73" s="1" t="n">
        <f aca="false">IF($D$17=1,MAX(0,SUM(Model!$K26:AX26)+SUM(Model!$K73:AX73)),0)</f>
        <v>0</v>
      </c>
      <c r="AY73" s="1" t="n">
        <f aca="false">IF($D$17=1,MAX(0,SUM(Model!$K26:AY26)+SUM(Model!$K73:AY73)),0)</f>
        <v>0</v>
      </c>
      <c r="AZ73" s="1" t="n">
        <f aca="false">IF($D$17=1,MAX(0,SUM(Model!$K26:AZ26)+SUM(Model!$K73:AZ73)),0)</f>
        <v>0</v>
      </c>
      <c r="BA73" s="1" t="n">
        <f aca="false">IF($D$17=1,MAX(0,SUM(Model!$K26:BA26)+SUM(Model!$K73:BA73)),0)</f>
        <v>0</v>
      </c>
      <c r="BB73" s="1" t="n">
        <f aca="false">IF($D$17=1,MAX(0,SUM(Model!$K26:BB26)+SUM(Model!$K73:BB73)),0)</f>
        <v>0</v>
      </c>
      <c r="BC73" s="1" t="n">
        <f aca="false">IF($D$17=1,MAX(0,SUM(Model!$K26:BC26)+SUM(Model!$K73:BC73)),0)</f>
        <v>0</v>
      </c>
      <c r="BD73" s="1" t="n">
        <f aca="false">IF($D$17=1,MAX(0,SUM(Model!$K26:BD26)+SUM(Model!$K73:BD73)),0)</f>
        <v>0</v>
      </c>
      <c r="BE73" s="1" t="n">
        <f aca="false">IF($D$17=1,MAX(0,SUM(Model!$K26:BE26)+SUM(Model!$K73:BE73)),0)</f>
        <v>0</v>
      </c>
      <c r="BF73" s="1" t="n">
        <f aca="false">IF($D$17=1,MAX(0,SUM(Model!$K26:BF26)+SUM(Model!$K73:BF73)),0)</f>
        <v>0</v>
      </c>
      <c r="BG73" s="1" t="n">
        <f aca="false">IF($D$17=1,MAX(0,SUM(Model!$K26:BG26)+SUM(Model!$K73:BG73)),0)</f>
        <v>0</v>
      </c>
      <c r="BH73" s="1" t="n">
        <f aca="false">IF($D$17=1,MAX(0,SUM(Model!$K26:BH26)+SUM(Model!$K73:BH73)),0)</f>
        <v>0</v>
      </c>
      <c r="BI73" s="1" t="n">
        <f aca="false">IF($D$17=1,MAX(0,SUM(Model!$K26:BI26)+SUM(Model!$K73:BI73)),0)</f>
        <v>0</v>
      </c>
      <c r="BJ73" s="1" t="n">
        <f aca="false">IF($D$17=1,MAX(0,SUM(Model!$K26:BJ26)+SUM(Model!$K73:BJ73)),0)</f>
        <v>0</v>
      </c>
      <c r="BK73" s="1" t="n">
        <f aca="false">IF($D$17=1,MAX(0,SUM(Model!$K26:BK26)+SUM(Model!$K73:BK73)),0)</f>
        <v>0</v>
      </c>
      <c r="BL73" s="1" t="n">
        <f aca="false">IF($D$17=1,MAX(0,SUM(Model!$K26:BL26)+SUM(Model!$K73:BL73)),0)</f>
        <v>0</v>
      </c>
      <c r="BM73" s="1" t="n">
        <f aca="false">IF($D$17=1,MAX(0,SUM(Model!$K26:BM26)+SUM(Model!$K73:BM73)),0)</f>
        <v>0</v>
      </c>
      <c r="BN73" s="1" t="n">
        <f aca="false">IF($D$17=1,MAX(0,SUM(Model!$K26:BN26)+SUM(Model!$K73:BN73)),0)</f>
        <v>0</v>
      </c>
      <c r="BO73" s="1" t="n">
        <f aca="false">IF($D$17=1,MAX(0,SUM(Model!$K26:BO26)+SUM(Model!$K73:BO73)),0)</f>
        <v>0</v>
      </c>
      <c r="BP73" s="1" t="n">
        <f aca="false">IF($D$17=1,MAX(0,SUM(Model!$K26:BP26)+SUM(Model!$K73:BP73)),0)</f>
        <v>0</v>
      </c>
      <c r="BQ73" s="1" t="n">
        <f aca="false">IF($D$17=1,MAX(0,SUM(Model!$K26:BQ26)+SUM(Model!$K73:BQ73)),0)</f>
        <v>0</v>
      </c>
      <c r="BR73" s="1" t="n">
        <f aca="false">IF($D$17=1,MAX(0,SUM(Model!$K26:BR26)+SUM(Model!$K73:BR73)),0)</f>
        <v>0</v>
      </c>
      <c r="BS73" s="1" t="n">
        <f aca="false">IF($D$17=1,MAX(0,SUM(Model!$K26:BS26)+SUM(Model!$K73:BS73)),0)</f>
        <v>0</v>
      </c>
      <c r="BT73" s="1" t="n">
        <f aca="false">IF($D$17=1,MAX(0,SUM(Model!$K26:BT26)+SUM(Model!$K73:BT73)),0)</f>
        <v>0</v>
      </c>
      <c r="BU73" s="1" t="n">
        <f aca="false">IF($D$17=1,MAX(0,SUM(Model!$K26:BU26)+SUM(Model!$K73:BU73)),0)</f>
        <v>0</v>
      </c>
      <c r="BV73" s="1" t="n">
        <f aca="false">IF($D$17=1,MAX(0,SUM(Model!$K26:BV26)+SUM(Model!$K73:BV73)),0)</f>
        <v>0</v>
      </c>
      <c r="BW73" s="1" t="n">
        <f aca="false">IF($D$17=1,MAX(0,SUM(Model!$K26:BW26)+SUM(Model!$K73:BW73)),0)</f>
        <v>0</v>
      </c>
      <c r="BX73" s="1" t="n">
        <f aca="false">IF($D$17=1,MAX(0,SUM(Model!$K26:BX26)+SUM(Model!$K73:BX73)),0)</f>
        <v>0</v>
      </c>
      <c r="BY73" s="1" t="n">
        <f aca="false">IF($D$17=1,MAX(0,SUM(Model!$K26:BY26)+SUM(Model!$K73:BY73)),0)</f>
        <v>0</v>
      </c>
      <c r="BZ73" s="1" t="n">
        <f aca="false">IF($D$17=1,MAX(0,SUM(Model!$K26:BZ26)+SUM(Model!$K73:BZ73)),0)</f>
        <v>0</v>
      </c>
      <c r="CA73" s="1" t="n">
        <f aca="false">IF($D$17=1,MAX(0,SUM(Model!$K26:CA26)+SUM(Model!$K73:CA73)),0)</f>
        <v>0</v>
      </c>
      <c r="CB73" s="1" t="n">
        <f aca="false">IF($D$17=1,MAX(0,SUM(Model!$K26:CB26)+SUM(Model!$K73:CB73)),0)</f>
        <v>0</v>
      </c>
      <c r="CC73" s="1" t="n">
        <f aca="false">IF($D$17=1,MAX(0,SUM(Model!$K26:CC26)+SUM(Model!$K73:CC73)),0)</f>
        <v>0</v>
      </c>
      <c r="CD73" s="1" t="n">
        <f aca="false">IF($D$17=1,MAX(0,SUM(Model!$K26:CD26)+SUM(Model!$K73:CD73)),0)</f>
        <v>0</v>
      </c>
      <c r="CE73" s="1" t="n">
        <f aca="false">IF($D$17=1,MAX(0,SUM(Model!$K26:CE26)+SUM(Model!$K73:CE73)),0)</f>
        <v>0</v>
      </c>
      <c r="CF73" s="1" t="n">
        <f aca="false">IF($D$17=1,MAX(0,SUM(Model!$K26:CF26)+SUM(Model!$K73:CF73)),0)</f>
        <v>0</v>
      </c>
      <c r="CG73" s="1" t="n">
        <f aca="false">IF($D$17=1,MAX(0,SUM(Model!$K26:CG26)+SUM(Model!$K73:CG73)),0)</f>
        <v>0</v>
      </c>
      <c r="CH73" s="1" t="n">
        <f aca="false">IF($D$17=1,MAX(0,SUM(Model!$K26:CH26)+SUM(Model!$K73:CH73)),0)</f>
        <v>0</v>
      </c>
      <c r="CI73" s="1" t="n">
        <f aca="false">IF($D$17=1,MAX(0,SUM(Model!$K26:CI26)+SUM(Model!$K73:CI73)),0)</f>
        <v>0</v>
      </c>
      <c r="CJ73" s="1" t="n">
        <f aca="false">IF($D$17=1,MAX(0,SUM(Model!$K26:CJ26)+SUM(Model!$K73:CJ73)),0)</f>
        <v>0</v>
      </c>
      <c r="CK73" s="1" t="n">
        <f aca="false">IF($D$17=1,MAX(0,SUM(Model!$K26:CK26)+SUM(Model!$K73:CK73)),0)</f>
        <v>0</v>
      </c>
      <c r="CL73" s="1" t="n">
        <f aca="false">IF($D$17=1,MAX(0,SUM(Model!$K26:CL26)+SUM(Model!$K73:CL73)),0)</f>
        <v>0</v>
      </c>
      <c r="CM73" s="1" t="n">
        <f aca="false">IF($D$17=1,MAX(0,SUM(Model!$K26:CM26)+SUM(Model!$K73:CM73)),0)</f>
        <v>0</v>
      </c>
      <c r="CN73" s="1" t="n">
        <f aca="false">IF($D$17=1,MAX(0,SUM(Model!$K26:CN26)+SUM(Model!$K73:CN73)),0)</f>
        <v>0</v>
      </c>
      <c r="CO73" s="1" t="n">
        <f aca="false">IF($D$17=1,MAX(0,SUM(Model!$K26:CO26)+SUM(Model!$K73:CO73)),0)</f>
        <v>0</v>
      </c>
      <c r="CP73" s="1" t="n">
        <f aca="false">IF($D$17=1,MAX(0,SUM(Model!$K26:CP26)+SUM(Model!$K73:CP73)),0)</f>
        <v>0</v>
      </c>
      <c r="CQ73" s="1" t="n">
        <f aca="false">IF($D$17=1,MAX(0,SUM(Model!$K26:CQ26)+SUM(Model!$K73:CQ73)),0)</f>
        <v>0</v>
      </c>
      <c r="CR73" s="1" t="n">
        <f aca="false">IF($D$17=1,MAX(0,SUM(Model!$K26:CR26)+SUM(Model!$K73:CR73)),0)</f>
        <v>0</v>
      </c>
      <c r="CS73" s="1" t="n">
        <f aca="false">IF($D$17=1,MAX(0,SUM(Model!$K26:CS26)+SUM(Model!$K73:CS73)),0)</f>
        <v>0</v>
      </c>
      <c r="CT73" s="1" t="n">
        <f aca="false">IF($D$17=1,MAX(0,SUM(Model!$K26:CT26)+SUM(Model!$K73:CT73)),0)</f>
        <v>0</v>
      </c>
      <c r="CU73" s="1" t="n">
        <f aca="false">IF($D$17=1,MAX(0,SUM(Model!$K26:CU26)+SUM(Model!$K73:CU73)),0)</f>
        <v>0</v>
      </c>
      <c r="CV73" s="1" t="n">
        <f aca="false">IF($D$17=1,MAX(0,SUM(Model!$K26:CV26)+SUM(Model!$K73:CV73)),0)</f>
        <v>0</v>
      </c>
      <c r="CW73" s="1" t="n">
        <f aca="false">IF($D$17=1,MAX(0,SUM(Model!$K26:CW26)+SUM(Model!$K73:CW73)),0)</f>
        <v>0</v>
      </c>
      <c r="CX73" s="1" t="n">
        <f aca="false">IF($D$17=1,MAX(0,SUM(Model!$K26:CX26)+SUM(Model!$K73:CX73)),0)</f>
        <v>0</v>
      </c>
      <c r="CY73" s="1" t="n">
        <f aca="false">IF($D$17=1,MAX(0,SUM(Model!$K26:CY26)+SUM(Model!$K73:CY73)),0)</f>
        <v>0</v>
      </c>
      <c r="CZ73" s="1" t="n">
        <f aca="false">IF($D$17=1,MAX(0,SUM(Model!$K26:CZ26)+SUM(Model!$K73:CZ73)),0)</f>
        <v>0</v>
      </c>
      <c r="DA73" s="1" t="n">
        <f aca="false">IF($D$17=1,MAX(0,SUM(Model!$K26:DA26)+SUM(Model!$K73:DA73)),0)</f>
        <v>0</v>
      </c>
      <c r="DB73" s="1" t="n">
        <f aca="false">IF($D$17=1,MAX(0,SUM(Model!$K26:DB26)+SUM(Model!$K73:DB73)),0)</f>
        <v>0</v>
      </c>
      <c r="DC73" s="1" t="n">
        <f aca="false">IF($D$17=1,MAX(0,SUM(Model!$K26:DC26)+SUM(Model!$K73:DC73)),0)</f>
        <v>0</v>
      </c>
      <c r="DD73" s="1" t="n">
        <f aca="false">IF($D$17=1,MAX(0,SUM(Model!$K26:DD26)+SUM(Model!$K73:DD73)),0)</f>
        <v>0</v>
      </c>
      <c r="DE73" s="1" t="n">
        <f aca="false">IF($D$17=1,MAX(0,SUM(Model!$K26:DE26)+SUM(Model!$K73:DE73)),0)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v>0</v>
      </c>
      <c r="K74" s="1" t="n">
        <f aca="false">IF($D$18=1,MAX(0,SUM(Model!$K27:K27)+SUM(Model!$K74:K74)),0)</f>
        <v>0</v>
      </c>
      <c r="L74" s="1" t="n">
        <f aca="false">IF($D$18=1,MAX(0,SUM(Model!$K27:L27)+SUM(Model!$K74:L74)),0)</f>
        <v>0</v>
      </c>
      <c r="M74" s="1" t="n">
        <f aca="false">IF($D$18=1,MAX(0,SUM(Model!$K27:M27)+SUM(Model!$K74:M74)),0)</f>
        <v>0</v>
      </c>
      <c r="N74" s="1" t="n">
        <f aca="false">IF($D$18=1,MAX(0,SUM(Model!$K27:N27)+SUM(Model!$K74:N74)),0)</f>
        <v>0</v>
      </c>
      <c r="O74" s="1" t="n">
        <f aca="false">IF($D$18=1,MAX(0,SUM(Model!$K27:O27)+SUM(Model!$K74:O74)),0)</f>
        <v>0</v>
      </c>
      <c r="P74" s="1" t="n">
        <f aca="false">IF($D$18=1,MAX(0,SUM(Model!$K27:P27)+SUM(Model!$K74:P74)),0)</f>
        <v>0</v>
      </c>
      <c r="Q74" s="1" t="n">
        <f aca="false">IF($D$18=1,MAX(0,SUM(Model!$K27:Q27)+SUM(Model!$K74:Q74)),0)</f>
        <v>0</v>
      </c>
      <c r="R74" s="1" t="n">
        <f aca="false">IF($D$18=1,MAX(0,SUM(Model!$K27:R27)+SUM(Model!$K74:R74)),0)</f>
        <v>0</v>
      </c>
      <c r="S74" s="1" t="n">
        <f aca="false">IF($D$18=1,MAX(0,SUM(Model!$K27:S27)+SUM(Model!$K74:S74)),0)</f>
        <v>0</v>
      </c>
      <c r="T74" s="1" t="n">
        <f aca="false">IF($D$18=1,MAX(0,SUM(Model!$K27:T27)+SUM(Model!$K74:T74)),0)</f>
        <v>0</v>
      </c>
      <c r="U74" s="1" t="n">
        <f aca="false">IF($D$18=1,MAX(0,SUM(Model!$K27:U27)+SUM(Model!$K74:U74)),0)</f>
        <v>0</v>
      </c>
      <c r="V74" s="1" t="n">
        <f aca="false">IF($D$18=1,MAX(0,SUM(Model!$K27:V27)+SUM(Model!$K74:V74)),0)</f>
        <v>0</v>
      </c>
      <c r="W74" s="1" t="n">
        <f aca="false">IF($D$18=1,MAX(0,SUM(Model!$K27:W27)+SUM(Model!$K74:W74)),0)</f>
        <v>0</v>
      </c>
      <c r="X74" s="1" t="n">
        <f aca="false">IF($D$18=1,MAX(0,SUM(Model!$K27:X27)+SUM(Model!$K74:X74)),0)</f>
        <v>0</v>
      </c>
      <c r="Y74" s="1" t="n">
        <f aca="false">IF($D$18=1,MAX(0,SUM(Model!$K27:Y27)+SUM(Model!$K74:Y74)),0)</f>
        <v>0</v>
      </c>
      <c r="Z74" s="1" t="n">
        <f aca="false">IF($D$18=1,MAX(0,SUM(Model!$K27:Z27)+SUM(Model!$K74:Z74)),0)</f>
        <v>0</v>
      </c>
      <c r="AA74" s="1" t="n">
        <f aca="false">IF($D$18=1,MAX(0,SUM(Model!$K27:AA27)+SUM(Model!$K74:AA74)),0)</f>
        <v>0</v>
      </c>
      <c r="AB74" s="1" t="n">
        <f aca="false">IF($D$18=1,MAX(0,SUM(Model!$K27:AB27)+SUM(Model!$K74:AB74)),0)</f>
        <v>0</v>
      </c>
      <c r="AC74" s="1" t="n">
        <f aca="false">IF($D$18=1,MAX(0,SUM(Model!$K27:AC27)+SUM(Model!$K74:AC74)),0)</f>
        <v>0</v>
      </c>
      <c r="AD74" s="1" t="n">
        <f aca="false">IF($D$18=1,MAX(0,SUM(Model!$K27:AD27)+SUM(Model!$K74:AD74)),0)</f>
        <v>0</v>
      </c>
      <c r="AE74" s="1" t="n">
        <f aca="false">IF($D$18=1,MAX(0,SUM(Model!$K27:AE27)+SUM(Model!$K74:AE74)),0)</f>
        <v>0</v>
      </c>
      <c r="AF74" s="1" t="n">
        <f aca="false">IF($D$18=1,MAX(0,SUM(Model!$K27:AF27)+SUM(Model!$K74:AF74)),0)</f>
        <v>0</v>
      </c>
      <c r="AG74" s="1" t="n">
        <f aca="false">IF($D$18=1,MAX(0,SUM(Model!$K27:AG27)+SUM(Model!$K74:AG74)),0)</f>
        <v>0</v>
      </c>
      <c r="AH74" s="1" t="n">
        <f aca="false">IF($D$18=1,MAX(0,SUM(Model!$K27:AH27)+SUM(Model!$K74:AH74)),0)</f>
        <v>0</v>
      </c>
      <c r="AI74" s="1" t="n">
        <f aca="false">IF($D$18=1,MAX(0,SUM(Model!$K27:AI27)+SUM(Model!$K74:AI74)),0)</f>
        <v>0</v>
      </c>
      <c r="AJ74" s="1" t="n">
        <f aca="false">IF($D$18=1,MAX(0,SUM(Model!$K27:AJ27)+SUM(Model!$K74:AJ74)),0)</f>
        <v>0</v>
      </c>
      <c r="AK74" s="1" t="n">
        <f aca="false">IF($D$18=1,MAX(0,SUM(Model!$K27:AK27)+SUM(Model!$K74:AK74)),0)</f>
        <v>0</v>
      </c>
      <c r="AL74" s="1" t="n">
        <f aca="false">IF($D$18=1,MAX(0,SUM(Model!$K27:AL27)+SUM(Model!$K74:AL74)),0)</f>
        <v>0</v>
      </c>
      <c r="AM74" s="1" t="n">
        <f aca="false">IF($D$18=1,MAX(0,SUM(Model!$K27:AM27)+SUM(Model!$K74:AM74)),0)</f>
        <v>0</v>
      </c>
      <c r="AN74" s="1" t="n">
        <f aca="false">IF($D$18=1,MAX(0,SUM(Model!$K27:AN27)+SUM(Model!$K74:AN74)),0)</f>
        <v>0</v>
      </c>
      <c r="AO74" s="1" t="n">
        <f aca="false">IF($D$18=1,MAX(0,SUM(Model!$K27:AO27)+SUM(Model!$K74:AO74)),0)</f>
        <v>0</v>
      </c>
      <c r="AP74" s="1" t="n">
        <f aca="false">IF($D$18=1,MAX(0,SUM(Model!$K27:AP27)+SUM(Model!$K74:AP74)),0)</f>
        <v>0</v>
      </c>
      <c r="AQ74" s="1" t="n">
        <f aca="false">IF($D$18=1,MAX(0,SUM(Model!$K27:AQ27)+SUM(Model!$K74:AQ74)),0)</f>
        <v>0</v>
      </c>
      <c r="AR74" s="1" t="n">
        <f aca="false">IF($D$18=1,MAX(0,SUM(Model!$K27:AR27)+SUM(Model!$K74:AR74)),0)</f>
        <v>0</v>
      </c>
      <c r="AS74" s="1" t="n">
        <f aca="false">IF($D$18=1,MAX(0,SUM(Model!$K27:AS27)+SUM(Model!$K74:AS74)),0)</f>
        <v>0</v>
      </c>
      <c r="AT74" s="1" t="n">
        <f aca="false">IF($D$18=1,MAX(0,SUM(Model!$K27:AT27)+SUM(Model!$K74:AT74)),0)</f>
        <v>0</v>
      </c>
      <c r="AU74" s="1" t="n">
        <f aca="false">IF($D$18=1,MAX(0,SUM(Model!$K27:AU27)+SUM(Model!$K74:AU74)),0)</f>
        <v>0</v>
      </c>
      <c r="AV74" s="1" t="n">
        <f aca="false">IF($D$18=1,MAX(0,SUM(Model!$K27:AV27)+SUM(Model!$K74:AV74)),0)</f>
        <v>0</v>
      </c>
      <c r="AW74" s="1" t="n">
        <f aca="false">IF($D$18=1,MAX(0,SUM(Model!$K27:AW27)+SUM(Model!$K74:AW74)),0)</f>
        <v>0</v>
      </c>
      <c r="AX74" s="1" t="n">
        <f aca="false">IF($D$18=1,MAX(0,SUM(Model!$K27:AX27)+SUM(Model!$K74:AX74)),0)</f>
        <v>0</v>
      </c>
      <c r="AY74" s="1" t="n">
        <f aca="false">IF($D$18=1,MAX(0,SUM(Model!$K27:AY27)+SUM(Model!$K74:AY74)),0)</f>
        <v>0</v>
      </c>
      <c r="AZ74" s="1" t="n">
        <f aca="false">IF($D$18=1,MAX(0,SUM(Model!$K27:AZ27)+SUM(Model!$K74:AZ74)),0)</f>
        <v>0</v>
      </c>
      <c r="BA74" s="1" t="n">
        <f aca="false">IF($D$18=1,MAX(0,SUM(Model!$K27:BA27)+SUM(Model!$K74:BA74)),0)</f>
        <v>0</v>
      </c>
      <c r="BB74" s="1" t="n">
        <f aca="false">IF($D$18=1,MAX(0,SUM(Model!$K27:BB27)+SUM(Model!$K74:BB74)),0)</f>
        <v>0</v>
      </c>
      <c r="BC74" s="1" t="n">
        <f aca="false">IF($D$18=1,MAX(0,SUM(Model!$K27:BC27)+SUM(Model!$K74:BC74)),0)</f>
        <v>0</v>
      </c>
      <c r="BD74" s="1" t="n">
        <f aca="false">IF($D$18=1,MAX(0,SUM(Model!$K27:BD27)+SUM(Model!$K74:BD74)),0)</f>
        <v>0</v>
      </c>
      <c r="BE74" s="1" t="n">
        <f aca="false">IF($D$18=1,MAX(0,SUM(Model!$K27:BE27)+SUM(Model!$K74:BE74)),0)</f>
        <v>0</v>
      </c>
      <c r="BF74" s="1" t="n">
        <f aca="false">IF($D$18=1,MAX(0,SUM(Model!$K27:BF27)+SUM(Model!$K74:BF74)),0)</f>
        <v>0</v>
      </c>
      <c r="BG74" s="1" t="n">
        <f aca="false">IF($D$18=1,MAX(0,SUM(Model!$K27:BG27)+SUM(Model!$K74:BG74)),0)</f>
        <v>0</v>
      </c>
      <c r="BH74" s="1" t="n">
        <f aca="false">IF($D$18=1,MAX(0,SUM(Model!$K27:BH27)+SUM(Model!$K74:BH74)),0)</f>
        <v>0</v>
      </c>
      <c r="BI74" s="1" t="n">
        <f aca="false">IF($D$18=1,MAX(0,SUM(Model!$K27:BI27)+SUM(Model!$K74:BI74)),0)</f>
        <v>0</v>
      </c>
      <c r="BJ74" s="1" t="n">
        <f aca="false">IF($D$18=1,MAX(0,SUM(Model!$K27:BJ27)+SUM(Model!$K74:BJ74)),0)</f>
        <v>0</v>
      </c>
      <c r="BK74" s="1" t="n">
        <f aca="false">IF($D$18=1,MAX(0,SUM(Model!$K27:BK27)+SUM(Model!$K74:BK74)),0)</f>
        <v>0</v>
      </c>
      <c r="BL74" s="1" t="n">
        <f aca="false">IF($D$18=1,MAX(0,SUM(Model!$K27:BL27)+SUM(Model!$K74:BL74)),0)</f>
        <v>0</v>
      </c>
      <c r="BM74" s="1" t="n">
        <f aca="false">IF($D$18=1,MAX(0,SUM(Model!$K27:BM27)+SUM(Model!$K74:BM74)),0)</f>
        <v>0</v>
      </c>
      <c r="BN74" s="1" t="n">
        <f aca="false">IF($D$18=1,MAX(0,SUM(Model!$K27:BN27)+SUM(Model!$K74:BN74)),0)</f>
        <v>0</v>
      </c>
      <c r="BO74" s="1" t="n">
        <f aca="false">IF($D$18=1,MAX(0,SUM(Model!$K27:BO27)+SUM(Model!$K74:BO74)),0)</f>
        <v>0</v>
      </c>
      <c r="BP74" s="1" t="n">
        <f aca="false">IF($D$18=1,MAX(0,SUM(Model!$K27:BP27)+SUM(Model!$K74:BP74)),0)</f>
        <v>0</v>
      </c>
      <c r="BQ74" s="1" t="n">
        <f aca="false">IF($D$18=1,MAX(0,SUM(Model!$K27:BQ27)+SUM(Model!$K74:BQ74)),0)</f>
        <v>0</v>
      </c>
      <c r="BR74" s="1" t="n">
        <f aca="false">IF($D$18=1,MAX(0,SUM(Model!$K27:BR27)+SUM(Model!$K74:BR74)),0)</f>
        <v>0</v>
      </c>
      <c r="BS74" s="1" t="n">
        <f aca="false">IF($D$18=1,MAX(0,SUM(Model!$K27:BS27)+SUM(Model!$K74:BS74)),0)</f>
        <v>0</v>
      </c>
      <c r="BT74" s="1" t="n">
        <f aca="false">IF($D$18=1,MAX(0,SUM(Model!$K27:BT27)+SUM(Model!$K74:BT74)),0)</f>
        <v>0</v>
      </c>
      <c r="BU74" s="1" t="n">
        <f aca="false">IF($D$18=1,MAX(0,SUM(Model!$K27:BU27)+SUM(Model!$K74:BU74)),0)</f>
        <v>0</v>
      </c>
      <c r="BV74" s="1" t="n">
        <f aca="false">IF($D$18=1,MAX(0,SUM(Model!$K27:BV27)+SUM(Model!$K74:BV74)),0)</f>
        <v>0</v>
      </c>
      <c r="BW74" s="1" t="n">
        <f aca="false">IF($D$18=1,MAX(0,SUM(Model!$K27:BW27)+SUM(Model!$K74:BW74)),0)</f>
        <v>0</v>
      </c>
      <c r="BX74" s="1" t="n">
        <f aca="false">IF($D$18=1,MAX(0,SUM(Model!$K27:BX27)+SUM(Model!$K74:BX74)),0)</f>
        <v>0</v>
      </c>
      <c r="BY74" s="1" t="n">
        <f aca="false">IF($D$18=1,MAX(0,SUM(Model!$K27:BY27)+SUM(Model!$K74:BY74)),0)</f>
        <v>0</v>
      </c>
      <c r="BZ74" s="1" t="n">
        <f aca="false">IF($D$18=1,MAX(0,SUM(Model!$K27:BZ27)+SUM(Model!$K74:BZ74)),0)</f>
        <v>0</v>
      </c>
      <c r="CA74" s="1" t="n">
        <f aca="false">IF($D$18=1,MAX(0,SUM(Model!$K27:CA27)+SUM(Model!$K74:CA74)),0)</f>
        <v>0</v>
      </c>
      <c r="CB74" s="1" t="n">
        <f aca="false">IF($D$18=1,MAX(0,SUM(Model!$K27:CB27)+SUM(Model!$K74:CB74)),0)</f>
        <v>0</v>
      </c>
      <c r="CC74" s="1" t="n">
        <f aca="false">IF($D$18=1,MAX(0,SUM(Model!$K27:CC27)+SUM(Model!$K74:CC74)),0)</f>
        <v>0</v>
      </c>
      <c r="CD74" s="1" t="n">
        <f aca="false">IF($D$18=1,MAX(0,SUM(Model!$K27:CD27)+SUM(Model!$K74:CD74)),0)</f>
        <v>0</v>
      </c>
      <c r="CE74" s="1" t="n">
        <f aca="false">IF($D$18=1,MAX(0,SUM(Model!$K27:CE27)+SUM(Model!$K74:CE74)),0)</f>
        <v>0</v>
      </c>
      <c r="CF74" s="1" t="n">
        <f aca="false">IF($D$18=1,MAX(0,SUM(Model!$K27:CF27)+SUM(Model!$K74:CF74)),0)</f>
        <v>0</v>
      </c>
      <c r="CG74" s="1" t="n">
        <f aca="false">IF($D$18=1,MAX(0,SUM(Model!$K27:CG27)+SUM(Model!$K74:CG74)),0)</f>
        <v>0</v>
      </c>
      <c r="CH74" s="1" t="n">
        <f aca="false">IF($D$18=1,MAX(0,SUM(Model!$K27:CH27)+SUM(Model!$K74:CH74)),0)</f>
        <v>0</v>
      </c>
      <c r="CI74" s="1" t="n">
        <f aca="false">IF($D$18=1,MAX(0,SUM(Model!$K27:CI27)+SUM(Model!$K74:CI74)),0)</f>
        <v>0</v>
      </c>
      <c r="CJ74" s="1" t="n">
        <f aca="false">IF($D$18=1,MAX(0,SUM(Model!$K27:CJ27)+SUM(Model!$K74:CJ74)),0)</f>
        <v>0</v>
      </c>
      <c r="CK74" s="1" t="n">
        <f aca="false">IF($D$18=1,MAX(0,SUM(Model!$K27:CK27)+SUM(Model!$K74:CK74)),0)</f>
        <v>0</v>
      </c>
      <c r="CL74" s="1" t="n">
        <f aca="false">IF($D$18=1,MAX(0,SUM(Model!$K27:CL27)+SUM(Model!$K74:CL74)),0)</f>
        <v>0</v>
      </c>
      <c r="CM74" s="1" t="n">
        <f aca="false">IF($D$18=1,MAX(0,SUM(Model!$K27:CM27)+SUM(Model!$K74:CM74)),0)</f>
        <v>0</v>
      </c>
      <c r="CN74" s="1" t="n">
        <f aca="false">IF($D$18=1,MAX(0,SUM(Model!$K27:CN27)+SUM(Model!$K74:CN74)),0)</f>
        <v>0</v>
      </c>
      <c r="CO74" s="1" t="n">
        <f aca="false">IF($D$18=1,MAX(0,SUM(Model!$K27:CO27)+SUM(Model!$K74:CO74)),0)</f>
        <v>0</v>
      </c>
      <c r="CP74" s="1" t="n">
        <f aca="false">IF($D$18=1,MAX(0,SUM(Model!$K27:CP27)+SUM(Model!$K74:CP74)),0)</f>
        <v>0</v>
      </c>
      <c r="CQ74" s="1" t="n">
        <f aca="false">IF($D$18=1,MAX(0,SUM(Model!$K27:CQ27)+SUM(Model!$K74:CQ74)),0)</f>
        <v>0</v>
      </c>
      <c r="CR74" s="1" t="n">
        <f aca="false">IF($D$18=1,MAX(0,SUM(Model!$K27:CR27)+SUM(Model!$K74:CR74)),0)</f>
        <v>0</v>
      </c>
      <c r="CS74" s="1" t="n">
        <f aca="false">IF($D$18=1,MAX(0,SUM(Model!$K27:CS27)+SUM(Model!$K74:CS74)),0)</f>
        <v>0</v>
      </c>
      <c r="CT74" s="1" t="n">
        <f aca="false">IF($D$18=1,MAX(0,SUM(Model!$K27:CT27)+SUM(Model!$K74:CT74)),0)</f>
        <v>0</v>
      </c>
      <c r="CU74" s="1" t="n">
        <f aca="false">IF($D$18=1,MAX(0,SUM(Model!$K27:CU27)+SUM(Model!$K74:CU74)),0)</f>
        <v>0</v>
      </c>
      <c r="CV74" s="1" t="n">
        <f aca="false">IF($D$18=1,MAX(0,SUM(Model!$K27:CV27)+SUM(Model!$K74:CV74)),0)</f>
        <v>0</v>
      </c>
      <c r="CW74" s="1" t="n">
        <f aca="false">IF($D$18=1,MAX(0,SUM(Model!$K27:CW27)+SUM(Model!$K74:CW74)),0)</f>
        <v>0</v>
      </c>
      <c r="CX74" s="1" t="n">
        <f aca="false">IF($D$18=1,MAX(0,SUM(Model!$K27:CX27)+SUM(Model!$K74:CX74)),0)</f>
        <v>0</v>
      </c>
      <c r="CY74" s="1" t="n">
        <f aca="false">IF($D$18=1,MAX(0,SUM(Model!$K27:CY27)+SUM(Model!$K74:CY74)),0)</f>
        <v>0</v>
      </c>
      <c r="CZ74" s="1" t="n">
        <f aca="false">IF($D$18=1,MAX(0,SUM(Model!$K27:CZ27)+SUM(Model!$K74:CZ74)),0)</f>
        <v>0</v>
      </c>
      <c r="DA74" s="1" t="n">
        <f aca="false">IF($D$18=1,MAX(0,SUM(Model!$K27:DA27)+SUM(Model!$K74:DA74)),0)</f>
        <v>0</v>
      </c>
      <c r="DB74" s="1" t="n">
        <f aca="false">IF($D$18=1,MAX(0,SUM(Model!$K27:DB27)+SUM(Model!$K74:DB74)),0)</f>
        <v>0</v>
      </c>
      <c r="DC74" s="1" t="n">
        <f aca="false">IF($D$18=1,MAX(0,SUM(Model!$K27:DC27)+SUM(Model!$K74:DC74)),0)</f>
        <v>0</v>
      </c>
      <c r="DD74" s="1" t="n">
        <f aca="false">IF($D$18=1,MAX(0,SUM(Model!$K27:DD27)+SUM(Model!$K74:DD74)),0)</f>
        <v>0</v>
      </c>
      <c r="DE74" s="1" t="n">
        <f aca="false">IF($D$18=1,MAX(0,SUM(Model!$K27:DE27)+SUM(Model!$K74:DE74)),0)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v>0</v>
      </c>
      <c r="K75" s="1" t="n">
        <f aca="false">IF($D$19=1,MAX(0,SUM(Model!$K28:K28)+SUM(Model!$K75:K75)),0)</f>
        <v>0</v>
      </c>
      <c r="L75" s="1" t="n">
        <f aca="false">IF($D$19=1,MAX(0,SUM(Model!$K28:L28)+SUM(Model!$K75:L75)),0)</f>
        <v>0</v>
      </c>
      <c r="M75" s="1" t="n">
        <f aca="false">IF($D$19=1,MAX(0,SUM(Model!$K28:M28)+SUM(Model!$K75:M75)),0)</f>
        <v>0</v>
      </c>
      <c r="N75" s="1" t="n">
        <f aca="false">IF($D$19=1,MAX(0,SUM(Model!$K28:N28)+SUM(Model!$K75:N75)),0)</f>
        <v>0</v>
      </c>
      <c r="O75" s="1" t="n">
        <f aca="false">IF($D$19=1,MAX(0,SUM(Model!$K28:O28)+SUM(Model!$K75:O75)),0)</f>
        <v>0</v>
      </c>
      <c r="P75" s="1" t="n">
        <f aca="false">IF($D$19=1,MAX(0,SUM(Model!$K28:P28)+SUM(Model!$K75:P75)),0)</f>
        <v>0</v>
      </c>
      <c r="Q75" s="1" t="n">
        <f aca="false">IF($D$19=1,MAX(0,SUM(Model!$K28:Q28)+SUM(Model!$K75:Q75)),0)</f>
        <v>0</v>
      </c>
      <c r="R75" s="1" t="n">
        <f aca="false">IF($D$19=1,MAX(0,SUM(Model!$K28:R28)+SUM(Model!$K75:R75)),0)</f>
        <v>0</v>
      </c>
      <c r="S75" s="1" t="n">
        <f aca="false">IF($D$19=1,MAX(0,SUM(Model!$K28:S28)+SUM(Model!$K75:S75)),0)</f>
        <v>0</v>
      </c>
      <c r="T75" s="1" t="n">
        <f aca="false">IF($D$19=1,MAX(0,SUM(Model!$K28:T28)+SUM(Model!$K75:T75)),0)</f>
        <v>0</v>
      </c>
      <c r="U75" s="1" t="n">
        <f aca="false">IF($D$19=1,MAX(0,SUM(Model!$K28:U28)+SUM(Model!$K75:U75)),0)</f>
        <v>0</v>
      </c>
      <c r="V75" s="1" t="n">
        <f aca="false">IF($D$19=1,MAX(0,SUM(Model!$K28:V28)+SUM(Model!$K75:V75)),0)</f>
        <v>0</v>
      </c>
      <c r="W75" s="1" t="n">
        <f aca="false">IF($D$19=1,MAX(0,SUM(Model!$K28:W28)+SUM(Model!$K75:W75)),0)</f>
        <v>0</v>
      </c>
      <c r="X75" s="1" t="n">
        <f aca="false">IF($D$19=1,MAX(0,SUM(Model!$K28:X28)+SUM(Model!$K75:X75)),0)</f>
        <v>0</v>
      </c>
      <c r="Y75" s="1" t="n">
        <f aca="false">IF($D$19=1,MAX(0,SUM(Model!$K28:Y28)+SUM(Model!$K75:Y75)),0)</f>
        <v>0</v>
      </c>
      <c r="Z75" s="1" t="n">
        <f aca="false">IF($D$19=1,MAX(0,SUM(Model!$K28:Z28)+SUM(Model!$K75:Z75)),0)</f>
        <v>0</v>
      </c>
      <c r="AA75" s="1" t="n">
        <f aca="false">IF($D$19=1,MAX(0,SUM(Model!$K28:AA28)+SUM(Model!$K75:AA75)),0)</f>
        <v>0</v>
      </c>
      <c r="AB75" s="1" t="n">
        <f aca="false">IF($D$19=1,MAX(0,SUM(Model!$K28:AB28)+SUM(Model!$K75:AB75)),0)</f>
        <v>0</v>
      </c>
      <c r="AC75" s="1" t="n">
        <f aca="false">IF($D$19=1,MAX(0,SUM(Model!$K28:AC28)+SUM(Model!$K75:AC75)),0)</f>
        <v>0</v>
      </c>
      <c r="AD75" s="1" t="n">
        <f aca="false">IF($D$19=1,MAX(0,SUM(Model!$K28:AD28)+SUM(Model!$K75:AD75)),0)</f>
        <v>0</v>
      </c>
      <c r="AE75" s="1" t="n">
        <f aca="false">IF($D$19=1,MAX(0,SUM(Model!$K28:AE28)+SUM(Model!$K75:AE75)),0)</f>
        <v>0</v>
      </c>
      <c r="AF75" s="1" t="n">
        <f aca="false">IF($D$19=1,MAX(0,SUM(Model!$K28:AF28)+SUM(Model!$K75:AF75)),0)</f>
        <v>0</v>
      </c>
      <c r="AG75" s="1" t="n">
        <f aca="false">IF($D$19=1,MAX(0,SUM(Model!$K28:AG28)+SUM(Model!$K75:AG75)),0)</f>
        <v>0</v>
      </c>
      <c r="AH75" s="1" t="n">
        <f aca="false">IF($D$19=1,MAX(0,SUM(Model!$K28:AH28)+SUM(Model!$K75:AH75)),0)</f>
        <v>0</v>
      </c>
      <c r="AI75" s="1" t="n">
        <f aca="false">IF($D$19=1,MAX(0,SUM(Model!$K28:AI28)+SUM(Model!$K75:AI75)),0)</f>
        <v>0</v>
      </c>
      <c r="AJ75" s="1" t="n">
        <f aca="false">IF($D$19=1,MAX(0,SUM(Model!$K28:AJ28)+SUM(Model!$K75:AJ75)),0)</f>
        <v>0</v>
      </c>
      <c r="AK75" s="1" t="n">
        <f aca="false">IF($D$19=1,MAX(0,SUM(Model!$K28:AK28)+SUM(Model!$K75:AK75)),0)</f>
        <v>0</v>
      </c>
      <c r="AL75" s="1" t="n">
        <f aca="false">IF($D$19=1,MAX(0,SUM(Model!$K28:AL28)+SUM(Model!$K75:AL75)),0)</f>
        <v>0</v>
      </c>
      <c r="AM75" s="1" t="n">
        <f aca="false">IF($D$19=1,MAX(0,SUM(Model!$K28:AM28)+SUM(Model!$K75:AM75)),0)</f>
        <v>0</v>
      </c>
      <c r="AN75" s="1" t="n">
        <f aca="false">IF($D$19=1,MAX(0,SUM(Model!$K28:AN28)+SUM(Model!$K75:AN75)),0)</f>
        <v>0</v>
      </c>
      <c r="AO75" s="1" t="n">
        <f aca="false">IF($D$19=1,MAX(0,SUM(Model!$K28:AO28)+SUM(Model!$K75:AO75)),0)</f>
        <v>0</v>
      </c>
      <c r="AP75" s="1" t="n">
        <f aca="false">IF($D$19=1,MAX(0,SUM(Model!$K28:AP28)+SUM(Model!$K75:AP75)),0)</f>
        <v>0</v>
      </c>
      <c r="AQ75" s="1" t="n">
        <f aca="false">IF($D$19=1,MAX(0,SUM(Model!$K28:AQ28)+SUM(Model!$K75:AQ75)),0)</f>
        <v>0</v>
      </c>
      <c r="AR75" s="1" t="n">
        <f aca="false">IF($D$19=1,MAX(0,SUM(Model!$K28:AR28)+SUM(Model!$K75:AR75)),0)</f>
        <v>0</v>
      </c>
      <c r="AS75" s="1" t="n">
        <f aca="false">IF($D$19=1,MAX(0,SUM(Model!$K28:AS28)+SUM(Model!$K75:AS75)),0)</f>
        <v>0</v>
      </c>
      <c r="AT75" s="1" t="n">
        <f aca="false">IF($D$19=1,MAX(0,SUM(Model!$K28:AT28)+SUM(Model!$K75:AT75)),0)</f>
        <v>0</v>
      </c>
      <c r="AU75" s="1" t="n">
        <f aca="false">IF($D$19=1,MAX(0,SUM(Model!$K28:AU28)+SUM(Model!$K75:AU75)),0)</f>
        <v>0</v>
      </c>
      <c r="AV75" s="1" t="n">
        <f aca="false">IF($D$19=1,MAX(0,SUM(Model!$K28:AV28)+SUM(Model!$K75:AV75)),0)</f>
        <v>0</v>
      </c>
      <c r="AW75" s="1" t="n">
        <f aca="false">IF($D$19=1,MAX(0,SUM(Model!$K28:AW28)+SUM(Model!$K75:AW75)),0)</f>
        <v>0</v>
      </c>
      <c r="AX75" s="1" t="n">
        <f aca="false">IF($D$19=1,MAX(0,SUM(Model!$K28:AX28)+SUM(Model!$K75:AX75)),0)</f>
        <v>0</v>
      </c>
      <c r="AY75" s="1" t="n">
        <f aca="false">IF($D$19=1,MAX(0,SUM(Model!$K28:AY28)+SUM(Model!$K75:AY75)),0)</f>
        <v>0</v>
      </c>
      <c r="AZ75" s="1" t="n">
        <f aca="false">IF($D$19=1,MAX(0,SUM(Model!$K28:AZ28)+SUM(Model!$K75:AZ75)),0)</f>
        <v>0</v>
      </c>
      <c r="BA75" s="1" t="n">
        <f aca="false">IF($D$19=1,MAX(0,SUM(Model!$K28:BA28)+SUM(Model!$K75:BA75)),0)</f>
        <v>0</v>
      </c>
      <c r="BB75" s="1" t="n">
        <f aca="false">IF($D$19=1,MAX(0,SUM(Model!$K28:BB28)+SUM(Model!$K75:BB75)),0)</f>
        <v>0</v>
      </c>
      <c r="BC75" s="1" t="n">
        <f aca="false">IF($D$19=1,MAX(0,SUM(Model!$K28:BC28)+SUM(Model!$K75:BC75)),0)</f>
        <v>0</v>
      </c>
      <c r="BD75" s="1" t="n">
        <f aca="false">IF($D$19=1,MAX(0,SUM(Model!$K28:BD28)+SUM(Model!$K75:BD75)),0)</f>
        <v>0</v>
      </c>
      <c r="BE75" s="1" t="n">
        <f aca="false">IF($D$19=1,MAX(0,SUM(Model!$K28:BE28)+SUM(Model!$K75:BE75)),0)</f>
        <v>0</v>
      </c>
      <c r="BF75" s="1" t="n">
        <f aca="false">IF($D$19=1,MAX(0,SUM(Model!$K28:BF28)+SUM(Model!$K75:BF75)),0)</f>
        <v>0</v>
      </c>
      <c r="BG75" s="1" t="n">
        <f aca="false">IF($D$19=1,MAX(0,SUM(Model!$K28:BG28)+SUM(Model!$K75:BG75)),0)</f>
        <v>0</v>
      </c>
      <c r="BH75" s="1" t="n">
        <f aca="false">IF($D$19=1,MAX(0,SUM(Model!$K28:BH28)+SUM(Model!$K75:BH75)),0)</f>
        <v>0</v>
      </c>
      <c r="BI75" s="1" t="n">
        <f aca="false">IF($D$19=1,MAX(0,SUM(Model!$K28:BI28)+SUM(Model!$K75:BI75)),0)</f>
        <v>0</v>
      </c>
      <c r="BJ75" s="1" t="n">
        <f aca="false">IF($D$19=1,MAX(0,SUM(Model!$K28:BJ28)+SUM(Model!$K75:BJ75)),0)</f>
        <v>0</v>
      </c>
      <c r="BK75" s="1" t="n">
        <f aca="false">IF($D$19=1,MAX(0,SUM(Model!$K28:BK28)+SUM(Model!$K75:BK75)),0)</f>
        <v>0</v>
      </c>
      <c r="BL75" s="1" t="n">
        <f aca="false">IF($D$19=1,MAX(0,SUM(Model!$K28:BL28)+SUM(Model!$K75:BL75)),0)</f>
        <v>0</v>
      </c>
      <c r="BM75" s="1" t="n">
        <f aca="false">IF($D$19=1,MAX(0,SUM(Model!$K28:BM28)+SUM(Model!$K75:BM75)),0)</f>
        <v>0</v>
      </c>
      <c r="BN75" s="1" t="n">
        <f aca="false">IF($D$19=1,MAX(0,SUM(Model!$K28:BN28)+SUM(Model!$K75:BN75)),0)</f>
        <v>0</v>
      </c>
      <c r="BO75" s="1" t="n">
        <f aca="false">IF($D$19=1,MAX(0,SUM(Model!$K28:BO28)+SUM(Model!$K75:BO75)),0)</f>
        <v>0</v>
      </c>
      <c r="BP75" s="1" t="n">
        <f aca="false">IF($D$19=1,MAX(0,SUM(Model!$K28:BP28)+SUM(Model!$K75:BP75)),0)</f>
        <v>0</v>
      </c>
      <c r="BQ75" s="1" t="n">
        <f aca="false">IF($D$19=1,MAX(0,SUM(Model!$K28:BQ28)+SUM(Model!$K75:BQ75)),0)</f>
        <v>0</v>
      </c>
      <c r="BR75" s="1" t="n">
        <f aca="false">IF($D$19=1,MAX(0,SUM(Model!$K28:BR28)+SUM(Model!$K75:BR75)),0)</f>
        <v>0</v>
      </c>
      <c r="BS75" s="1" t="n">
        <f aca="false">IF($D$19=1,MAX(0,SUM(Model!$K28:BS28)+SUM(Model!$K75:BS75)),0)</f>
        <v>0</v>
      </c>
      <c r="BT75" s="1" t="n">
        <f aca="false">IF($D$19=1,MAX(0,SUM(Model!$K28:BT28)+SUM(Model!$K75:BT75)),0)</f>
        <v>0</v>
      </c>
      <c r="BU75" s="1" t="n">
        <f aca="false">IF($D$19=1,MAX(0,SUM(Model!$K28:BU28)+SUM(Model!$K75:BU75)),0)</f>
        <v>0</v>
      </c>
      <c r="BV75" s="1" t="n">
        <f aca="false">IF($D$19=1,MAX(0,SUM(Model!$K28:BV28)+SUM(Model!$K75:BV75)),0)</f>
        <v>0</v>
      </c>
      <c r="BW75" s="1" t="n">
        <f aca="false">IF($D$19=1,MAX(0,SUM(Model!$K28:BW28)+SUM(Model!$K75:BW75)),0)</f>
        <v>0</v>
      </c>
      <c r="BX75" s="1" t="n">
        <f aca="false">IF($D$19=1,MAX(0,SUM(Model!$K28:BX28)+SUM(Model!$K75:BX75)),0)</f>
        <v>0</v>
      </c>
      <c r="BY75" s="1" t="n">
        <f aca="false">IF($D$19=1,MAX(0,SUM(Model!$K28:BY28)+SUM(Model!$K75:BY75)),0)</f>
        <v>0</v>
      </c>
      <c r="BZ75" s="1" t="n">
        <f aca="false">IF($D$19=1,MAX(0,SUM(Model!$K28:BZ28)+SUM(Model!$K75:BZ75)),0)</f>
        <v>0</v>
      </c>
      <c r="CA75" s="1" t="n">
        <f aca="false">IF($D$19=1,MAX(0,SUM(Model!$K28:CA28)+SUM(Model!$K75:CA75)),0)</f>
        <v>0</v>
      </c>
      <c r="CB75" s="1" t="n">
        <f aca="false">IF($D$19=1,MAX(0,SUM(Model!$K28:CB28)+SUM(Model!$K75:CB75)),0)</f>
        <v>0</v>
      </c>
      <c r="CC75" s="1" t="n">
        <f aca="false">IF($D$19=1,MAX(0,SUM(Model!$K28:CC28)+SUM(Model!$K75:CC75)),0)</f>
        <v>0</v>
      </c>
      <c r="CD75" s="1" t="n">
        <f aca="false">IF($D$19=1,MAX(0,SUM(Model!$K28:CD28)+SUM(Model!$K75:CD75)),0)</f>
        <v>0</v>
      </c>
      <c r="CE75" s="1" t="n">
        <f aca="false">IF($D$19=1,MAX(0,SUM(Model!$K28:CE28)+SUM(Model!$K75:CE75)),0)</f>
        <v>0</v>
      </c>
      <c r="CF75" s="1" t="n">
        <f aca="false">IF($D$19=1,MAX(0,SUM(Model!$K28:CF28)+SUM(Model!$K75:CF75)),0)</f>
        <v>0</v>
      </c>
      <c r="CG75" s="1" t="n">
        <f aca="false">IF($D$19=1,MAX(0,SUM(Model!$K28:CG28)+SUM(Model!$K75:CG75)),0)</f>
        <v>0</v>
      </c>
      <c r="CH75" s="1" t="n">
        <f aca="false">IF($D$19=1,MAX(0,SUM(Model!$K28:CH28)+SUM(Model!$K75:CH75)),0)</f>
        <v>0</v>
      </c>
      <c r="CI75" s="1" t="n">
        <f aca="false">IF($D$19=1,MAX(0,SUM(Model!$K28:CI28)+SUM(Model!$K75:CI75)),0)</f>
        <v>0</v>
      </c>
      <c r="CJ75" s="1" t="n">
        <f aca="false">IF($D$19=1,MAX(0,SUM(Model!$K28:CJ28)+SUM(Model!$K75:CJ75)),0)</f>
        <v>0</v>
      </c>
      <c r="CK75" s="1" t="n">
        <f aca="false">IF($D$19=1,MAX(0,SUM(Model!$K28:CK28)+SUM(Model!$K75:CK75)),0)</f>
        <v>0</v>
      </c>
      <c r="CL75" s="1" t="n">
        <f aca="false">IF($D$19=1,MAX(0,SUM(Model!$K28:CL28)+SUM(Model!$K75:CL75)),0)</f>
        <v>0</v>
      </c>
      <c r="CM75" s="1" t="n">
        <f aca="false">IF($D$19=1,MAX(0,SUM(Model!$K28:CM28)+SUM(Model!$K75:CM75)),0)</f>
        <v>0</v>
      </c>
      <c r="CN75" s="1" t="n">
        <f aca="false">IF($D$19=1,MAX(0,SUM(Model!$K28:CN28)+SUM(Model!$K75:CN75)),0)</f>
        <v>0</v>
      </c>
      <c r="CO75" s="1" t="n">
        <f aca="false">IF($D$19=1,MAX(0,SUM(Model!$K28:CO28)+SUM(Model!$K75:CO75)),0)</f>
        <v>0</v>
      </c>
      <c r="CP75" s="1" t="n">
        <f aca="false">IF($D$19=1,MAX(0,SUM(Model!$K28:CP28)+SUM(Model!$K75:CP75)),0)</f>
        <v>0</v>
      </c>
      <c r="CQ75" s="1" t="n">
        <f aca="false">IF($D$19=1,MAX(0,SUM(Model!$K28:CQ28)+SUM(Model!$K75:CQ75)),0)</f>
        <v>0</v>
      </c>
      <c r="CR75" s="1" t="n">
        <f aca="false">IF($D$19=1,MAX(0,SUM(Model!$K28:CR28)+SUM(Model!$K75:CR75)),0)</f>
        <v>0</v>
      </c>
      <c r="CS75" s="1" t="n">
        <f aca="false">IF($D$19=1,MAX(0,SUM(Model!$K28:CS28)+SUM(Model!$K75:CS75)),0)</f>
        <v>0</v>
      </c>
      <c r="CT75" s="1" t="n">
        <f aca="false">IF($D$19=1,MAX(0,SUM(Model!$K28:CT28)+SUM(Model!$K75:CT75)),0)</f>
        <v>0</v>
      </c>
      <c r="CU75" s="1" t="n">
        <f aca="false">IF($D$19=1,MAX(0,SUM(Model!$K28:CU28)+SUM(Model!$K75:CU75)),0)</f>
        <v>0</v>
      </c>
      <c r="CV75" s="1" t="n">
        <f aca="false">IF($D$19=1,MAX(0,SUM(Model!$K28:CV28)+SUM(Model!$K75:CV75)),0)</f>
        <v>0</v>
      </c>
      <c r="CW75" s="1" t="n">
        <f aca="false">IF($D$19=1,MAX(0,SUM(Model!$K28:CW28)+SUM(Model!$K75:CW75)),0)</f>
        <v>0</v>
      </c>
      <c r="CX75" s="1" t="n">
        <f aca="false">IF($D$19=1,MAX(0,SUM(Model!$K28:CX28)+SUM(Model!$K75:CX75)),0)</f>
        <v>0</v>
      </c>
      <c r="CY75" s="1" t="n">
        <f aca="false">IF($D$19=1,MAX(0,SUM(Model!$K28:CY28)+SUM(Model!$K75:CY75)),0)</f>
        <v>0</v>
      </c>
      <c r="CZ75" s="1" t="n">
        <f aca="false">IF($D$19=1,MAX(0,SUM(Model!$K28:CZ28)+SUM(Model!$K75:CZ75)),0)</f>
        <v>0</v>
      </c>
      <c r="DA75" s="1" t="n">
        <f aca="false">IF($D$19=1,MAX(0,SUM(Model!$K28:DA28)+SUM(Model!$K75:DA75)),0)</f>
        <v>0</v>
      </c>
      <c r="DB75" s="1" t="n">
        <f aca="false">IF($D$19=1,MAX(0,SUM(Model!$K28:DB28)+SUM(Model!$K75:DB75)),0)</f>
        <v>0</v>
      </c>
      <c r="DC75" s="1" t="n">
        <f aca="false">IF($D$19=1,MAX(0,SUM(Model!$K28:DC28)+SUM(Model!$K75:DC75)),0)</f>
        <v>0</v>
      </c>
      <c r="DD75" s="1" t="n">
        <f aca="false">IF($D$19=1,MAX(0,SUM(Model!$K28:DD28)+SUM(Model!$K75:DD75)),0)</f>
        <v>0</v>
      </c>
      <c r="DE75" s="1" t="n">
        <f aca="false">IF($D$19=1,MAX(0,SUM(Model!$K28:DE28)+SUM(Model!$K75:DE75)),0)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v>0</v>
      </c>
      <c r="K76" s="1" t="n">
        <f aca="false">IF($D$20=1,MAX(0,SUM(Model!$K29:K29)+SUM(Model!$K76:K76)),0)</f>
        <v>0</v>
      </c>
      <c r="L76" s="1" t="n">
        <f aca="false">IF($D$20=1,MAX(0,SUM(Model!$K29:L29)+SUM(Model!$K76:L76)),0)</f>
        <v>0</v>
      </c>
      <c r="M76" s="1" t="n">
        <f aca="false">IF($D$20=1,MAX(0,SUM(Model!$K29:M29)+SUM(Model!$K76:M76)),0)</f>
        <v>0</v>
      </c>
      <c r="N76" s="1" t="n">
        <f aca="false">IF($D$20=1,MAX(0,SUM(Model!$K29:N29)+SUM(Model!$K76:N76)),0)</f>
        <v>0</v>
      </c>
      <c r="O76" s="1" t="n">
        <f aca="false">IF($D$20=1,MAX(0,SUM(Model!$K29:O29)+SUM(Model!$K76:O76)),0)</f>
        <v>0</v>
      </c>
      <c r="P76" s="1" t="n">
        <f aca="false">IF($D$20=1,MAX(0,SUM(Model!$K29:P29)+SUM(Model!$K76:P76)),0)</f>
        <v>0</v>
      </c>
      <c r="Q76" s="1" t="n">
        <f aca="false">IF($D$20=1,MAX(0,SUM(Model!$K29:Q29)+SUM(Model!$K76:Q76)),0)</f>
        <v>0</v>
      </c>
      <c r="R76" s="1" t="n">
        <f aca="false">IF($D$20=1,MAX(0,SUM(Model!$K29:R29)+SUM(Model!$K76:R76)),0)</f>
        <v>0</v>
      </c>
      <c r="S76" s="1" t="n">
        <f aca="false">IF($D$20=1,MAX(0,SUM(Model!$K29:S29)+SUM(Model!$K76:S76)),0)</f>
        <v>0</v>
      </c>
      <c r="T76" s="1" t="n">
        <f aca="false">IF($D$20=1,MAX(0,SUM(Model!$K29:T29)+SUM(Model!$K76:T76)),0)</f>
        <v>0</v>
      </c>
      <c r="U76" s="1" t="n">
        <f aca="false">IF($D$20=1,MAX(0,SUM(Model!$K29:U29)+SUM(Model!$K76:U76)),0)</f>
        <v>0</v>
      </c>
      <c r="V76" s="1" t="n">
        <f aca="false">IF($D$20=1,MAX(0,SUM(Model!$K29:V29)+SUM(Model!$K76:V76)),0)</f>
        <v>0</v>
      </c>
      <c r="W76" s="1" t="n">
        <f aca="false">IF($D$20=1,MAX(0,SUM(Model!$K29:W29)+SUM(Model!$K76:W76)),0)</f>
        <v>0</v>
      </c>
      <c r="X76" s="1" t="n">
        <f aca="false">IF($D$20=1,MAX(0,SUM(Model!$K29:X29)+SUM(Model!$K76:X76)),0)</f>
        <v>0</v>
      </c>
      <c r="Y76" s="1" t="n">
        <f aca="false">IF($D$20=1,MAX(0,SUM(Model!$K29:Y29)+SUM(Model!$K76:Y76)),0)</f>
        <v>0</v>
      </c>
      <c r="Z76" s="1" t="n">
        <f aca="false">IF($D$20=1,MAX(0,SUM(Model!$K29:Z29)+SUM(Model!$K76:Z76)),0)</f>
        <v>0</v>
      </c>
      <c r="AA76" s="1" t="n">
        <f aca="false">IF($D$20=1,MAX(0,SUM(Model!$K29:AA29)+SUM(Model!$K76:AA76)),0)</f>
        <v>0</v>
      </c>
      <c r="AB76" s="1" t="n">
        <f aca="false">IF($D$20=1,MAX(0,SUM(Model!$K29:AB29)+SUM(Model!$K76:AB76)),0)</f>
        <v>0</v>
      </c>
      <c r="AC76" s="1" t="n">
        <f aca="false">IF($D$20=1,MAX(0,SUM(Model!$K29:AC29)+SUM(Model!$K76:AC76)),0)</f>
        <v>0</v>
      </c>
      <c r="AD76" s="1" t="n">
        <f aca="false">IF($D$20=1,MAX(0,SUM(Model!$K29:AD29)+SUM(Model!$K76:AD76)),0)</f>
        <v>0</v>
      </c>
      <c r="AE76" s="1" t="n">
        <f aca="false">IF($D$20=1,MAX(0,SUM(Model!$K29:AE29)+SUM(Model!$K76:AE76)),0)</f>
        <v>0</v>
      </c>
      <c r="AF76" s="1" t="n">
        <f aca="false">IF($D$20=1,MAX(0,SUM(Model!$K29:AF29)+SUM(Model!$K76:AF76)),0)</f>
        <v>0</v>
      </c>
      <c r="AG76" s="1" t="n">
        <f aca="false">IF($D$20=1,MAX(0,SUM(Model!$K29:AG29)+SUM(Model!$K76:AG76)),0)</f>
        <v>0</v>
      </c>
      <c r="AH76" s="1" t="n">
        <f aca="false">IF($D$20=1,MAX(0,SUM(Model!$K29:AH29)+SUM(Model!$K76:AH76)),0)</f>
        <v>0</v>
      </c>
      <c r="AI76" s="1" t="n">
        <f aca="false">IF($D$20=1,MAX(0,SUM(Model!$K29:AI29)+SUM(Model!$K76:AI76)),0)</f>
        <v>0</v>
      </c>
      <c r="AJ76" s="1" t="n">
        <f aca="false">IF($D$20=1,MAX(0,SUM(Model!$K29:AJ29)+SUM(Model!$K76:AJ76)),0)</f>
        <v>0</v>
      </c>
      <c r="AK76" s="1" t="n">
        <f aca="false">IF($D$20=1,MAX(0,SUM(Model!$K29:AK29)+SUM(Model!$K76:AK76)),0)</f>
        <v>0</v>
      </c>
      <c r="AL76" s="1" t="n">
        <f aca="false">IF($D$20=1,MAX(0,SUM(Model!$K29:AL29)+SUM(Model!$K76:AL76)),0)</f>
        <v>0</v>
      </c>
      <c r="AM76" s="1" t="n">
        <f aca="false">IF($D$20=1,MAX(0,SUM(Model!$K29:AM29)+SUM(Model!$K76:AM76)),0)</f>
        <v>0</v>
      </c>
      <c r="AN76" s="1" t="n">
        <f aca="false">IF($D$20=1,MAX(0,SUM(Model!$K29:AN29)+SUM(Model!$K76:AN76)),0)</f>
        <v>0</v>
      </c>
      <c r="AO76" s="1" t="n">
        <f aca="false">IF($D$20=1,MAX(0,SUM(Model!$K29:AO29)+SUM(Model!$K76:AO76)),0)</f>
        <v>0</v>
      </c>
      <c r="AP76" s="1" t="n">
        <f aca="false">IF($D$20=1,MAX(0,SUM(Model!$K29:AP29)+SUM(Model!$K76:AP76)),0)</f>
        <v>0</v>
      </c>
      <c r="AQ76" s="1" t="n">
        <f aca="false">IF($D$20=1,MAX(0,SUM(Model!$K29:AQ29)+SUM(Model!$K76:AQ76)),0)</f>
        <v>0</v>
      </c>
      <c r="AR76" s="1" t="n">
        <f aca="false">IF($D$20=1,MAX(0,SUM(Model!$K29:AR29)+SUM(Model!$K76:AR76)),0)</f>
        <v>0</v>
      </c>
      <c r="AS76" s="1" t="n">
        <f aca="false">IF($D$20=1,MAX(0,SUM(Model!$K29:AS29)+SUM(Model!$K76:AS76)),0)</f>
        <v>0</v>
      </c>
      <c r="AT76" s="1" t="n">
        <f aca="false">IF($D$20=1,MAX(0,SUM(Model!$K29:AT29)+SUM(Model!$K76:AT76)),0)</f>
        <v>0</v>
      </c>
      <c r="AU76" s="1" t="n">
        <f aca="false">IF($D$20=1,MAX(0,SUM(Model!$K29:AU29)+SUM(Model!$K76:AU76)),0)</f>
        <v>0</v>
      </c>
      <c r="AV76" s="1" t="n">
        <f aca="false">IF($D$20=1,MAX(0,SUM(Model!$K29:AV29)+SUM(Model!$K76:AV76)),0)</f>
        <v>0</v>
      </c>
      <c r="AW76" s="1" t="n">
        <f aca="false">IF($D$20=1,MAX(0,SUM(Model!$K29:AW29)+SUM(Model!$K76:AW76)),0)</f>
        <v>0</v>
      </c>
      <c r="AX76" s="1" t="n">
        <f aca="false">IF($D$20=1,MAX(0,SUM(Model!$K29:AX29)+SUM(Model!$K76:AX76)),0)</f>
        <v>0</v>
      </c>
      <c r="AY76" s="1" t="n">
        <f aca="false">IF($D$20=1,MAX(0,SUM(Model!$K29:AY29)+SUM(Model!$K76:AY76)),0)</f>
        <v>0</v>
      </c>
      <c r="AZ76" s="1" t="n">
        <f aca="false">IF($D$20=1,MAX(0,SUM(Model!$K29:AZ29)+SUM(Model!$K76:AZ76)),0)</f>
        <v>0</v>
      </c>
      <c r="BA76" s="1" t="n">
        <f aca="false">IF($D$20=1,MAX(0,SUM(Model!$K29:BA29)+SUM(Model!$K76:BA76)),0)</f>
        <v>0</v>
      </c>
      <c r="BB76" s="1" t="n">
        <f aca="false">IF($D$20=1,MAX(0,SUM(Model!$K29:BB29)+SUM(Model!$K76:BB76)),0)</f>
        <v>0</v>
      </c>
      <c r="BC76" s="1" t="n">
        <f aca="false">IF($D$20=1,MAX(0,SUM(Model!$K29:BC29)+SUM(Model!$K76:BC76)),0)</f>
        <v>0</v>
      </c>
      <c r="BD76" s="1" t="n">
        <f aca="false">IF($D$20=1,MAX(0,SUM(Model!$K29:BD29)+SUM(Model!$K76:BD76)),0)</f>
        <v>0</v>
      </c>
      <c r="BE76" s="1" t="n">
        <f aca="false">IF($D$20=1,MAX(0,SUM(Model!$K29:BE29)+SUM(Model!$K76:BE76)),0)</f>
        <v>0</v>
      </c>
      <c r="BF76" s="1" t="n">
        <f aca="false">IF($D$20=1,MAX(0,SUM(Model!$K29:BF29)+SUM(Model!$K76:BF76)),0)</f>
        <v>0</v>
      </c>
      <c r="BG76" s="1" t="n">
        <f aca="false">IF($D$20=1,MAX(0,SUM(Model!$K29:BG29)+SUM(Model!$K76:BG76)),0)</f>
        <v>0</v>
      </c>
      <c r="BH76" s="1" t="n">
        <f aca="false">IF($D$20=1,MAX(0,SUM(Model!$K29:BH29)+SUM(Model!$K76:BH76)),0)</f>
        <v>0</v>
      </c>
      <c r="BI76" s="1" t="n">
        <f aca="false">IF($D$20=1,MAX(0,SUM(Model!$K29:BI29)+SUM(Model!$K76:BI76)),0)</f>
        <v>0</v>
      </c>
      <c r="BJ76" s="1" t="n">
        <f aca="false">IF($D$20=1,MAX(0,SUM(Model!$K29:BJ29)+SUM(Model!$K76:BJ76)),0)</f>
        <v>0</v>
      </c>
      <c r="BK76" s="1" t="n">
        <f aca="false">IF($D$20=1,MAX(0,SUM(Model!$K29:BK29)+SUM(Model!$K76:BK76)),0)</f>
        <v>0</v>
      </c>
      <c r="BL76" s="1" t="n">
        <f aca="false">IF($D$20=1,MAX(0,SUM(Model!$K29:BL29)+SUM(Model!$K76:BL76)),0)</f>
        <v>0</v>
      </c>
      <c r="BM76" s="1" t="n">
        <f aca="false">IF($D$20=1,MAX(0,SUM(Model!$K29:BM29)+SUM(Model!$K76:BM76)),0)</f>
        <v>0</v>
      </c>
      <c r="BN76" s="1" t="n">
        <f aca="false">IF($D$20=1,MAX(0,SUM(Model!$K29:BN29)+SUM(Model!$K76:BN76)),0)</f>
        <v>0</v>
      </c>
      <c r="BO76" s="1" t="n">
        <f aca="false">IF($D$20=1,MAX(0,SUM(Model!$K29:BO29)+SUM(Model!$K76:BO76)),0)</f>
        <v>0</v>
      </c>
      <c r="BP76" s="1" t="n">
        <f aca="false">IF($D$20=1,MAX(0,SUM(Model!$K29:BP29)+SUM(Model!$K76:BP76)),0)</f>
        <v>0</v>
      </c>
      <c r="BQ76" s="1" t="n">
        <f aca="false">IF($D$20=1,MAX(0,SUM(Model!$K29:BQ29)+SUM(Model!$K76:BQ76)),0)</f>
        <v>0</v>
      </c>
      <c r="BR76" s="1" t="n">
        <f aca="false">IF($D$20=1,MAX(0,SUM(Model!$K29:BR29)+SUM(Model!$K76:BR76)),0)</f>
        <v>0</v>
      </c>
      <c r="BS76" s="1" t="n">
        <f aca="false">IF($D$20=1,MAX(0,SUM(Model!$K29:BS29)+SUM(Model!$K76:BS76)),0)</f>
        <v>0</v>
      </c>
      <c r="BT76" s="1" t="n">
        <f aca="false">IF($D$20=1,MAX(0,SUM(Model!$K29:BT29)+SUM(Model!$K76:BT76)),0)</f>
        <v>0</v>
      </c>
      <c r="BU76" s="1" t="n">
        <f aca="false">IF($D$20=1,MAX(0,SUM(Model!$K29:BU29)+SUM(Model!$K76:BU76)),0)</f>
        <v>0</v>
      </c>
      <c r="BV76" s="1" t="n">
        <f aca="false">IF($D$20=1,MAX(0,SUM(Model!$K29:BV29)+SUM(Model!$K76:BV76)),0)</f>
        <v>0</v>
      </c>
      <c r="BW76" s="1" t="n">
        <f aca="false">IF($D$20=1,MAX(0,SUM(Model!$K29:BW29)+SUM(Model!$K76:BW76)),0)</f>
        <v>0</v>
      </c>
      <c r="BX76" s="1" t="n">
        <f aca="false">IF($D$20=1,MAX(0,SUM(Model!$K29:BX29)+SUM(Model!$K76:BX76)),0)</f>
        <v>0</v>
      </c>
      <c r="BY76" s="1" t="n">
        <f aca="false">IF($D$20=1,MAX(0,SUM(Model!$K29:BY29)+SUM(Model!$K76:BY76)),0)</f>
        <v>0</v>
      </c>
      <c r="BZ76" s="1" t="n">
        <f aca="false">IF($D$20=1,MAX(0,SUM(Model!$K29:BZ29)+SUM(Model!$K76:BZ76)),0)</f>
        <v>0</v>
      </c>
      <c r="CA76" s="1" t="n">
        <f aca="false">IF($D$20=1,MAX(0,SUM(Model!$K29:CA29)+SUM(Model!$K76:CA76)),0)</f>
        <v>0</v>
      </c>
      <c r="CB76" s="1" t="n">
        <f aca="false">IF($D$20=1,MAX(0,SUM(Model!$K29:CB29)+SUM(Model!$K76:CB76)),0)</f>
        <v>0</v>
      </c>
      <c r="CC76" s="1" t="n">
        <f aca="false">IF($D$20=1,MAX(0,SUM(Model!$K29:CC29)+SUM(Model!$K76:CC76)),0)</f>
        <v>0</v>
      </c>
      <c r="CD76" s="1" t="n">
        <f aca="false">IF($D$20=1,MAX(0,SUM(Model!$K29:CD29)+SUM(Model!$K76:CD76)),0)</f>
        <v>0</v>
      </c>
      <c r="CE76" s="1" t="n">
        <f aca="false">IF($D$20=1,MAX(0,SUM(Model!$K29:CE29)+SUM(Model!$K76:CE76)),0)</f>
        <v>0</v>
      </c>
      <c r="CF76" s="1" t="n">
        <f aca="false">IF($D$20=1,MAX(0,SUM(Model!$K29:CF29)+SUM(Model!$K76:CF76)),0)</f>
        <v>0</v>
      </c>
      <c r="CG76" s="1" t="n">
        <f aca="false">IF($D$20=1,MAX(0,SUM(Model!$K29:CG29)+SUM(Model!$K76:CG76)),0)</f>
        <v>0</v>
      </c>
      <c r="CH76" s="1" t="n">
        <f aca="false">IF($D$20=1,MAX(0,SUM(Model!$K29:CH29)+SUM(Model!$K76:CH76)),0)</f>
        <v>0</v>
      </c>
      <c r="CI76" s="1" t="n">
        <f aca="false">IF($D$20=1,MAX(0,SUM(Model!$K29:CI29)+SUM(Model!$K76:CI76)),0)</f>
        <v>0</v>
      </c>
      <c r="CJ76" s="1" t="n">
        <f aca="false">IF($D$20=1,MAX(0,SUM(Model!$K29:CJ29)+SUM(Model!$K76:CJ76)),0)</f>
        <v>0</v>
      </c>
      <c r="CK76" s="1" t="n">
        <f aca="false">IF($D$20=1,MAX(0,SUM(Model!$K29:CK29)+SUM(Model!$K76:CK76)),0)</f>
        <v>0</v>
      </c>
      <c r="CL76" s="1" t="n">
        <f aca="false">IF($D$20=1,MAX(0,SUM(Model!$K29:CL29)+SUM(Model!$K76:CL76)),0)</f>
        <v>0</v>
      </c>
      <c r="CM76" s="1" t="n">
        <f aca="false">IF($D$20=1,MAX(0,SUM(Model!$K29:CM29)+SUM(Model!$K76:CM76)),0)</f>
        <v>0</v>
      </c>
      <c r="CN76" s="1" t="n">
        <f aca="false">IF($D$20=1,MAX(0,SUM(Model!$K29:CN29)+SUM(Model!$K76:CN76)),0)</f>
        <v>0</v>
      </c>
      <c r="CO76" s="1" t="n">
        <f aca="false">IF($D$20=1,MAX(0,SUM(Model!$K29:CO29)+SUM(Model!$K76:CO76)),0)</f>
        <v>0</v>
      </c>
      <c r="CP76" s="1" t="n">
        <f aca="false">IF($D$20=1,MAX(0,SUM(Model!$K29:CP29)+SUM(Model!$K76:CP76)),0)</f>
        <v>0</v>
      </c>
      <c r="CQ76" s="1" t="n">
        <f aca="false">IF($D$20=1,MAX(0,SUM(Model!$K29:CQ29)+SUM(Model!$K76:CQ76)),0)</f>
        <v>0</v>
      </c>
      <c r="CR76" s="1" t="n">
        <f aca="false">IF($D$20=1,MAX(0,SUM(Model!$K29:CR29)+SUM(Model!$K76:CR76)),0)</f>
        <v>0</v>
      </c>
      <c r="CS76" s="1" t="n">
        <f aca="false">IF($D$20=1,MAX(0,SUM(Model!$K29:CS29)+SUM(Model!$K76:CS76)),0)</f>
        <v>0</v>
      </c>
      <c r="CT76" s="1" t="n">
        <f aca="false">IF($D$20=1,MAX(0,SUM(Model!$K29:CT29)+SUM(Model!$K76:CT76)),0)</f>
        <v>0</v>
      </c>
      <c r="CU76" s="1" t="n">
        <f aca="false">IF($D$20=1,MAX(0,SUM(Model!$K29:CU29)+SUM(Model!$K76:CU76)),0)</f>
        <v>0</v>
      </c>
      <c r="CV76" s="1" t="n">
        <f aca="false">IF($D$20=1,MAX(0,SUM(Model!$K29:CV29)+SUM(Model!$K76:CV76)),0)</f>
        <v>0</v>
      </c>
      <c r="CW76" s="1" t="n">
        <f aca="false">IF($D$20=1,MAX(0,SUM(Model!$K29:CW29)+SUM(Model!$K76:CW76)),0)</f>
        <v>0</v>
      </c>
      <c r="CX76" s="1" t="n">
        <f aca="false">IF($D$20=1,MAX(0,SUM(Model!$K29:CX29)+SUM(Model!$K76:CX76)),0)</f>
        <v>0</v>
      </c>
      <c r="CY76" s="1" t="n">
        <f aca="false">IF($D$20=1,MAX(0,SUM(Model!$K29:CY29)+SUM(Model!$K76:CY76)),0)</f>
        <v>0</v>
      </c>
      <c r="CZ76" s="1" t="n">
        <f aca="false">IF($D$20=1,MAX(0,SUM(Model!$K29:CZ29)+SUM(Model!$K76:CZ76)),0)</f>
        <v>0</v>
      </c>
      <c r="DA76" s="1" t="n">
        <f aca="false">IF($D$20=1,MAX(0,SUM(Model!$K29:DA29)+SUM(Model!$K76:DA76)),0)</f>
        <v>0</v>
      </c>
      <c r="DB76" s="1" t="n">
        <f aca="false">IF($D$20=1,MAX(0,SUM(Model!$K29:DB29)+SUM(Model!$K76:DB76)),0)</f>
        <v>0</v>
      </c>
      <c r="DC76" s="1" t="n">
        <f aca="false">IF($D$20=1,MAX(0,SUM(Model!$K29:DC29)+SUM(Model!$K76:DC76)),0)</f>
        <v>0</v>
      </c>
      <c r="DD76" s="1" t="n">
        <f aca="false">IF($D$20=1,MAX(0,SUM(Model!$K29:DD29)+SUM(Model!$K76:DD76)),0)</f>
        <v>0</v>
      </c>
      <c r="DE76" s="1" t="n">
        <f aca="false">IF($D$20=1,MAX(0,SUM(Model!$K29:DE29)+SUM(Model!$K76:DE76)),0)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v>0</v>
      </c>
      <c r="K77" s="1" t="n">
        <f aca="false">IF($D$21=1,MAX(0,SUM(Model!$K30:K30)+SUM(Model!$K77:K77)),0)</f>
        <v>0</v>
      </c>
      <c r="L77" s="1" t="n">
        <f aca="false">IF($D$21=1,MAX(0,SUM(Model!$K30:L30)+SUM(Model!$K77:L77)),0)</f>
        <v>0</v>
      </c>
      <c r="M77" s="1" t="n">
        <f aca="false">IF($D$21=1,MAX(0,SUM(Model!$K30:M30)+SUM(Model!$K77:M77)),0)</f>
        <v>0</v>
      </c>
      <c r="N77" s="1" t="n">
        <f aca="false">IF($D$21=1,MAX(0,SUM(Model!$K30:N30)+SUM(Model!$K77:N77)),0)</f>
        <v>0</v>
      </c>
      <c r="O77" s="1" t="n">
        <f aca="false">IF($D$21=1,MAX(0,SUM(Model!$K30:O30)+SUM(Model!$K77:O77)),0)</f>
        <v>0</v>
      </c>
      <c r="P77" s="1" t="n">
        <f aca="false">IF($D$21=1,MAX(0,SUM(Model!$K30:P30)+SUM(Model!$K77:P77)),0)</f>
        <v>0</v>
      </c>
      <c r="Q77" s="1" t="n">
        <f aca="false">IF($D$21=1,MAX(0,SUM(Model!$K30:Q30)+SUM(Model!$K77:Q77)),0)</f>
        <v>0</v>
      </c>
      <c r="R77" s="1" t="n">
        <f aca="false">IF($D$21=1,MAX(0,SUM(Model!$K30:R30)+SUM(Model!$K77:R77)),0)</f>
        <v>0</v>
      </c>
      <c r="S77" s="1" t="n">
        <f aca="false">IF($D$21=1,MAX(0,SUM(Model!$K30:S30)+SUM(Model!$K77:S77)),0)</f>
        <v>0</v>
      </c>
      <c r="T77" s="1" t="n">
        <f aca="false">IF($D$21=1,MAX(0,SUM(Model!$K30:T30)+SUM(Model!$K77:T77)),0)</f>
        <v>0</v>
      </c>
      <c r="U77" s="1" t="n">
        <f aca="false">IF($D$21=1,MAX(0,SUM(Model!$K30:U30)+SUM(Model!$K77:U77)),0)</f>
        <v>0</v>
      </c>
      <c r="V77" s="1" t="n">
        <f aca="false">IF($D$21=1,MAX(0,SUM(Model!$K30:V30)+SUM(Model!$K77:V77)),0)</f>
        <v>0</v>
      </c>
      <c r="W77" s="1" t="n">
        <f aca="false">IF($D$21=1,MAX(0,SUM(Model!$K30:W30)+SUM(Model!$K77:W77)),0)</f>
        <v>0</v>
      </c>
      <c r="X77" s="1" t="n">
        <f aca="false">IF($D$21=1,MAX(0,SUM(Model!$K30:X30)+SUM(Model!$K77:X77)),0)</f>
        <v>0</v>
      </c>
      <c r="Y77" s="1" t="n">
        <f aca="false">IF($D$21=1,MAX(0,SUM(Model!$K30:Y30)+SUM(Model!$K77:Y77)),0)</f>
        <v>0</v>
      </c>
      <c r="Z77" s="1" t="n">
        <f aca="false">IF($D$21=1,MAX(0,SUM(Model!$K30:Z30)+SUM(Model!$K77:Z77)),0)</f>
        <v>0</v>
      </c>
      <c r="AA77" s="1" t="n">
        <f aca="false">IF($D$21=1,MAX(0,SUM(Model!$K30:AA30)+SUM(Model!$K77:AA77)),0)</f>
        <v>0</v>
      </c>
      <c r="AB77" s="1" t="n">
        <f aca="false">IF($D$21=1,MAX(0,SUM(Model!$K30:AB30)+SUM(Model!$K77:AB77)),0)</f>
        <v>0</v>
      </c>
      <c r="AC77" s="1" t="n">
        <f aca="false">IF($D$21=1,MAX(0,SUM(Model!$K30:AC30)+SUM(Model!$K77:AC77)),0)</f>
        <v>0</v>
      </c>
      <c r="AD77" s="1" t="n">
        <f aca="false">IF($D$21=1,MAX(0,SUM(Model!$K30:AD30)+SUM(Model!$K77:AD77)),0)</f>
        <v>0</v>
      </c>
      <c r="AE77" s="1" t="n">
        <f aca="false">IF($D$21=1,MAX(0,SUM(Model!$K30:AE30)+SUM(Model!$K77:AE77)),0)</f>
        <v>0</v>
      </c>
      <c r="AF77" s="1" t="n">
        <f aca="false">IF($D$21=1,MAX(0,SUM(Model!$K30:AF30)+SUM(Model!$K77:AF77)),0)</f>
        <v>0</v>
      </c>
      <c r="AG77" s="1" t="n">
        <f aca="false">IF($D$21=1,MAX(0,SUM(Model!$K30:AG30)+SUM(Model!$K77:AG77)),0)</f>
        <v>0</v>
      </c>
      <c r="AH77" s="1" t="n">
        <f aca="false">IF($D$21=1,MAX(0,SUM(Model!$K30:AH30)+SUM(Model!$K77:AH77)),0)</f>
        <v>0</v>
      </c>
      <c r="AI77" s="1" t="n">
        <f aca="false">IF($D$21=1,MAX(0,SUM(Model!$K30:AI30)+SUM(Model!$K77:AI77)),0)</f>
        <v>0</v>
      </c>
      <c r="AJ77" s="1" t="n">
        <f aca="false">IF($D$21=1,MAX(0,SUM(Model!$K30:AJ30)+SUM(Model!$K77:AJ77)),0)</f>
        <v>0</v>
      </c>
      <c r="AK77" s="1" t="n">
        <f aca="false">IF($D$21=1,MAX(0,SUM(Model!$K30:AK30)+SUM(Model!$K77:AK77)),0)</f>
        <v>0</v>
      </c>
      <c r="AL77" s="1" t="n">
        <f aca="false">IF($D$21=1,MAX(0,SUM(Model!$K30:AL30)+SUM(Model!$K77:AL77)),0)</f>
        <v>0</v>
      </c>
      <c r="AM77" s="1" t="n">
        <f aca="false">IF($D$21=1,MAX(0,SUM(Model!$K30:AM30)+SUM(Model!$K77:AM77)),0)</f>
        <v>0</v>
      </c>
      <c r="AN77" s="1" t="n">
        <f aca="false">IF($D$21=1,MAX(0,SUM(Model!$K30:AN30)+SUM(Model!$K77:AN77)),0)</f>
        <v>0</v>
      </c>
      <c r="AO77" s="1" t="n">
        <f aca="false">IF($D$21=1,MAX(0,SUM(Model!$K30:AO30)+SUM(Model!$K77:AO77)),0)</f>
        <v>0</v>
      </c>
      <c r="AP77" s="1" t="n">
        <f aca="false">IF($D$21=1,MAX(0,SUM(Model!$K30:AP30)+SUM(Model!$K77:AP77)),0)</f>
        <v>0</v>
      </c>
      <c r="AQ77" s="1" t="n">
        <f aca="false">IF($D$21=1,MAX(0,SUM(Model!$K30:AQ30)+SUM(Model!$K77:AQ77)),0)</f>
        <v>0</v>
      </c>
      <c r="AR77" s="1" t="n">
        <f aca="false">IF($D$21=1,MAX(0,SUM(Model!$K30:AR30)+SUM(Model!$K77:AR77)),0)</f>
        <v>0</v>
      </c>
      <c r="AS77" s="1" t="n">
        <f aca="false">IF($D$21=1,MAX(0,SUM(Model!$K30:AS30)+SUM(Model!$K77:AS77)),0)</f>
        <v>0</v>
      </c>
      <c r="AT77" s="1" t="n">
        <f aca="false">IF($D$21=1,MAX(0,SUM(Model!$K30:AT30)+SUM(Model!$K77:AT77)),0)</f>
        <v>0</v>
      </c>
      <c r="AU77" s="1" t="n">
        <f aca="false">IF($D$21=1,MAX(0,SUM(Model!$K30:AU30)+SUM(Model!$K77:AU77)),0)</f>
        <v>0</v>
      </c>
      <c r="AV77" s="1" t="n">
        <f aca="false">IF($D$21=1,MAX(0,SUM(Model!$K30:AV30)+SUM(Model!$K77:AV77)),0)</f>
        <v>0</v>
      </c>
      <c r="AW77" s="1" t="n">
        <f aca="false">IF($D$21=1,MAX(0,SUM(Model!$K30:AW30)+SUM(Model!$K77:AW77)),0)</f>
        <v>0</v>
      </c>
      <c r="AX77" s="1" t="n">
        <f aca="false">IF($D$21=1,MAX(0,SUM(Model!$K30:AX30)+SUM(Model!$K77:AX77)),0)</f>
        <v>0</v>
      </c>
      <c r="AY77" s="1" t="n">
        <f aca="false">IF($D$21=1,MAX(0,SUM(Model!$K30:AY30)+SUM(Model!$K77:AY77)),0)</f>
        <v>0</v>
      </c>
      <c r="AZ77" s="1" t="n">
        <f aca="false">IF($D$21=1,MAX(0,SUM(Model!$K30:AZ30)+SUM(Model!$K77:AZ77)),0)</f>
        <v>0</v>
      </c>
      <c r="BA77" s="1" t="n">
        <f aca="false">IF($D$21=1,MAX(0,SUM(Model!$K30:BA30)+SUM(Model!$K77:BA77)),0)</f>
        <v>0</v>
      </c>
      <c r="BB77" s="1" t="n">
        <f aca="false">IF($D$21=1,MAX(0,SUM(Model!$K30:BB30)+SUM(Model!$K77:BB77)),0)</f>
        <v>0</v>
      </c>
      <c r="BC77" s="1" t="n">
        <f aca="false">IF($D$21=1,MAX(0,SUM(Model!$K30:BC30)+SUM(Model!$K77:BC77)),0)</f>
        <v>0</v>
      </c>
      <c r="BD77" s="1" t="n">
        <f aca="false">IF($D$21=1,MAX(0,SUM(Model!$K30:BD30)+SUM(Model!$K77:BD77)),0)</f>
        <v>0</v>
      </c>
      <c r="BE77" s="1" t="n">
        <f aca="false">IF($D$21=1,MAX(0,SUM(Model!$K30:BE30)+SUM(Model!$K77:BE77)),0)</f>
        <v>0</v>
      </c>
      <c r="BF77" s="1" t="n">
        <f aca="false">IF($D$21=1,MAX(0,SUM(Model!$K30:BF30)+SUM(Model!$K77:BF77)),0)</f>
        <v>0</v>
      </c>
      <c r="BG77" s="1" t="n">
        <f aca="false">IF($D$21=1,MAX(0,SUM(Model!$K30:BG30)+SUM(Model!$K77:BG77)),0)</f>
        <v>0</v>
      </c>
      <c r="BH77" s="1" t="n">
        <f aca="false">IF($D$21=1,MAX(0,SUM(Model!$K30:BH30)+SUM(Model!$K77:BH77)),0)</f>
        <v>0</v>
      </c>
      <c r="BI77" s="1" t="n">
        <f aca="false">IF($D$21=1,MAX(0,SUM(Model!$K30:BI30)+SUM(Model!$K77:BI77)),0)</f>
        <v>0</v>
      </c>
      <c r="BJ77" s="1" t="n">
        <f aca="false">IF($D$21=1,MAX(0,SUM(Model!$K30:BJ30)+SUM(Model!$K77:BJ77)),0)</f>
        <v>0</v>
      </c>
      <c r="BK77" s="1" t="n">
        <f aca="false">IF($D$21=1,MAX(0,SUM(Model!$K30:BK30)+SUM(Model!$K77:BK77)),0)</f>
        <v>0</v>
      </c>
      <c r="BL77" s="1" t="n">
        <f aca="false">IF($D$21=1,MAX(0,SUM(Model!$K30:BL30)+SUM(Model!$K77:BL77)),0)</f>
        <v>0</v>
      </c>
      <c r="BM77" s="1" t="n">
        <f aca="false">IF($D$21=1,MAX(0,SUM(Model!$K30:BM30)+SUM(Model!$K77:BM77)),0)</f>
        <v>0</v>
      </c>
      <c r="BN77" s="1" t="n">
        <f aca="false">IF($D$21=1,MAX(0,SUM(Model!$K30:BN30)+SUM(Model!$K77:BN77)),0)</f>
        <v>0</v>
      </c>
      <c r="BO77" s="1" t="n">
        <f aca="false">IF($D$21=1,MAX(0,SUM(Model!$K30:BO30)+SUM(Model!$K77:BO77)),0)</f>
        <v>0</v>
      </c>
      <c r="BP77" s="1" t="n">
        <f aca="false">IF($D$21=1,MAX(0,SUM(Model!$K30:BP30)+SUM(Model!$K77:BP77)),0)</f>
        <v>0</v>
      </c>
      <c r="BQ77" s="1" t="n">
        <f aca="false">IF($D$21=1,MAX(0,SUM(Model!$K30:BQ30)+SUM(Model!$K77:BQ77)),0)</f>
        <v>0</v>
      </c>
      <c r="BR77" s="1" t="n">
        <f aca="false">IF($D$21=1,MAX(0,SUM(Model!$K30:BR30)+SUM(Model!$K77:BR77)),0)</f>
        <v>0</v>
      </c>
      <c r="BS77" s="1" t="n">
        <f aca="false">IF($D$21=1,MAX(0,SUM(Model!$K30:BS30)+SUM(Model!$K77:BS77)),0)</f>
        <v>0</v>
      </c>
      <c r="BT77" s="1" t="n">
        <f aca="false">IF($D$21=1,MAX(0,SUM(Model!$K30:BT30)+SUM(Model!$K77:BT77)),0)</f>
        <v>0</v>
      </c>
      <c r="BU77" s="1" t="n">
        <f aca="false">IF($D$21=1,MAX(0,SUM(Model!$K30:BU30)+SUM(Model!$K77:BU77)),0)</f>
        <v>0</v>
      </c>
      <c r="BV77" s="1" t="n">
        <f aca="false">IF($D$21=1,MAX(0,SUM(Model!$K30:BV30)+SUM(Model!$K77:BV77)),0)</f>
        <v>0</v>
      </c>
      <c r="BW77" s="1" t="n">
        <f aca="false">IF($D$21=1,MAX(0,SUM(Model!$K30:BW30)+SUM(Model!$K77:BW77)),0)</f>
        <v>0</v>
      </c>
      <c r="BX77" s="1" t="n">
        <f aca="false">IF($D$21=1,MAX(0,SUM(Model!$K30:BX30)+SUM(Model!$K77:BX77)),0)</f>
        <v>0</v>
      </c>
      <c r="BY77" s="1" t="n">
        <f aca="false">IF($D$21=1,MAX(0,SUM(Model!$K30:BY30)+SUM(Model!$K77:BY77)),0)</f>
        <v>0</v>
      </c>
      <c r="BZ77" s="1" t="n">
        <f aca="false">IF($D$21=1,MAX(0,SUM(Model!$K30:BZ30)+SUM(Model!$K77:BZ77)),0)</f>
        <v>0</v>
      </c>
      <c r="CA77" s="1" t="n">
        <f aca="false">IF($D$21=1,MAX(0,SUM(Model!$K30:CA30)+SUM(Model!$K77:CA77)),0)</f>
        <v>0</v>
      </c>
      <c r="CB77" s="1" t="n">
        <f aca="false">IF($D$21=1,MAX(0,SUM(Model!$K30:CB30)+SUM(Model!$K77:CB77)),0)</f>
        <v>0</v>
      </c>
      <c r="CC77" s="1" t="n">
        <f aca="false">IF($D$21=1,MAX(0,SUM(Model!$K30:CC30)+SUM(Model!$K77:CC77)),0)</f>
        <v>0</v>
      </c>
      <c r="CD77" s="1" t="n">
        <f aca="false">IF($D$21=1,MAX(0,SUM(Model!$K30:CD30)+SUM(Model!$K77:CD77)),0)</f>
        <v>0</v>
      </c>
      <c r="CE77" s="1" t="n">
        <f aca="false">IF($D$21=1,MAX(0,SUM(Model!$K30:CE30)+SUM(Model!$K77:CE77)),0)</f>
        <v>0</v>
      </c>
      <c r="CF77" s="1" t="n">
        <f aca="false">IF($D$21=1,MAX(0,SUM(Model!$K30:CF30)+SUM(Model!$K77:CF77)),0)</f>
        <v>0</v>
      </c>
      <c r="CG77" s="1" t="n">
        <f aca="false">IF($D$21=1,MAX(0,SUM(Model!$K30:CG30)+SUM(Model!$K77:CG77)),0)</f>
        <v>0</v>
      </c>
      <c r="CH77" s="1" t="n">
        <f aca="false">IF($D$21=1,MAX(0,SUM(Model!$K30:CH30)+SUM(Model!$K77:CH77)),0)</f>
        <v>0</v>
      </c>
      <c r="CI77" s="1" t="n">
        <f aca="false">IF($D$21=1,MAX(0,SUM(Model!$K30:CI30)+SUM(Model!$K77:CI77)),0)</f>
        <v>0</v>
      </c>
      <c r="CJ77" s="1" t="n">
        <f aca="false">IF($D$21=1,MAX(0,SUM(Model!$K30:CJ30)+SUM(Model!$K77:CJ77)),0)</f>
        <v>0</v>
      </c>
      <c r="CK77" s="1" t="n">
        <f aca="false">IF($D$21=1,MAX(0,SUM(Model!$K30:CK30)+SUM(Model!$K77:CK77)),0)</f>
        <v>0</v>
      </c>
      <c r="CL77" s="1" t="n">
        <f aca="false">IF($D$21=1,MAX(0,SUM(Model!$K30:CL30)+SUM(Model!$K77:CL77)),0)</f>
        <v>0</v>
      </c>
      <c r="CM77" s="1" t="n">
        <f aca="false">IF($D$21=1,MAX(0,SUM(Model!$K30:CM30)+SUM(Model!$K77:CM77)),0)</f>
        <v>0</v>
      </c>
      <c r="CN77" s="1" t="n">
        <f aca="false">IF($D$21=1,MAX(0,SUM(Model!$K30:CN30)+SUM(Model!$K77:CN77)),0)</f>
        <v>0</v>
      </c>
      <c r="CO77" s="1" t="n">
        <f aca="false">IF($D$21=1,MAX(0,SUM(Model!$K30:CO30)+SUM(Model!$K77:CO77)),0)</f>
        <v>0</v>
      </c>
      <c r="CP77" s="1" t="n">
        <f aca="false">IF($D$21=1,MAX(0,SUM(Model!$K30:CP30)+SUM(Model!$K77:CP77)),0)</f>
        <v>0</v>
      </c>
      <c r="CQ77" s="1" t="n">
        <f aca="false">IF($D$21=1,MAX(0,SUM(Model!$K30:CQ30)+SUM(Model!$K77:CQ77)),0)</f>
        <v>0</v>
      </c>
      <c r="CR77" s="1" t="n">
        <f aca="false">IF($D$21=1,MAX(0,SUM(Model!$K30:CR30)+SUM(Model!$K77:CR77)),0)</f>
        <v>0</v>
      </c>
      <c r="CS77" s="1" t="n">
        <f aca="false">IF($D$21=1,MAX(0,SUM(Model!$K30:CS30)+SUM(Model!$K77:CS77)),0)</f>
        <v>0</v>
      </c>
      <c r="CT77" s="1" t="n">
        <f aca="false">IF($D$21=1,MAX(0,SUM(Model!$K30:CT30)+SUM(Model!$K77:CT77)),0)</f>
        <v>0</v>
      </c>
      <c r="CU77" s="1" t="n">
        <f aca="false">IF($D$21=1,MAX(0,SUM(Model!$K30:CU30)+SUM(Model!$K77:CU77)),0)</f>
        <v>0</v>
      </c>
      <c r="CV77" s="1" t="n">
        <f aca="false">IF($D$21=1,MAX(0,SUM(Model!$K30:CV30)+SUM(Model!$K77:CV77)),0)</f>
        <v>0</v>
      </c>
      <c r="CW77" s="1" t="n">
        <f aca="false">IF($D$21=1,MAX(0,SUM(Model!$K30:CW30)+SUM(Model!$K77:CW77)),0)</f>
        <v>0</v>
      </c>
      <c r="CX77" s="1" t="n">
        <f aca="false">IF($D$21=1,MAX(0,SUM(Model!$K30:CX30)+SUM(Model!$K77:CX77)),0)</f>
        <v>0</v>
      </c>
      <c r="CY77" s="1" t="n">
        <f aca="false">IF($D$21=1,MAX(0,SUM(Model!$K30:CY30)+SUM(Model!$K77:CY77)),0)</f>
        <v>0</v>
      </c>
      <c r="CZ77" s="1" t="n">
        <f aca="false">IF($D$21=1,MAX(0,SUM(Model!$K30:CZ30)+SUM(Model!$K77:CZ77)),0)</f>
        <v>0</v>
      </c>
      <c r="DA77" s="1" t="n">
        <f aca="false">IF($D$21=1,MAX(0,SUM(Model!$K30:DA30)+SUM(Model!$K77:DA77)),0)</f>
        <v>0</v>
      </c>
      <c r="DB77" s="1" t="n">
        <f aca="false">IF($D$21=1,MAX(0,SUM(Model!$K30:DB30)+SUM(Model!$K77:DB77)),0)</f>
        <v>0</v>
      </c>
      <c r="DC77" s="1" t="n">
        <f aca="false">IF($D$21=1,MAX(0,SUM(Model!$K30:DC30)+SUM(Model!$K77:DC77)),0)</f>
        <v>0</v>
      </c>
      <c r="DD77" s="1" t="n">
        <f aca="false">IF($D$21=1,MAX(0,SUM(Model!$K30:DD30)+SUM(Model!$K77:DD77)),0)</f>
        <v>0</v>
      </c>
      <c r="DE77" s="1" t="n">
        <f aca="false">IF($D$21=1,MAX(0,SUM(Model!$K30:DE30)+SUM(Model!$K77:DE77)),0)</f>
        <v>0</v>
      </c>
    </row>
    <row r="78" customFormat="false" ht="13.5" hidden="false" customHeight="true" outlineLevel="0" collapsed="false">
      <c r="A78" s="1" t="str">
        <f aca="false">$B$22</f>
        <v>Kester</v>
      </c>
      <c r="B78" s="1" t="n">
        <v>0</v>
      </c>
      <c r="C78" s="1" t="n">
        <v>0</v>
      </c>
      <c r="D78" s="1" t="n">
        <v>0</v>
      </c>
      <c r="E78" s="1" t="n">
        <v>0</v>
      </c>
      <c r="F78" s="1" t="n">
        <v>0</v>
      </c>
      <c r="G78" s="1" t="n">
        <v>0</v>
      </c>
      <c r="H78" s="1" t="n">
        <v>0</v>
      </c>
      <c r="I78" s="1" t="n">
        <v>0</v>
      </c>
      <c r="J78" s="1" t="n">
        <v>0</v>
      </c>
      <c r="K78" s="1" t="n">
        <f aca="false">IF($D$22=1,MAX(0,SUM(Model!$K31:K31)+SUM(Model!$K78:K78)),0)</f>
        <v>0</v>
      </c>
      <c r="L78" s="1" t="n">
        <f aca="false">IF($D$22=1,MAX(0,SUM(Model!$K31:L31)+SUM(Model!$K78:L78)),0)</f>
        <v>0</v>
      </c>
      <c r="M78" s="1" t="n">
        <f aca="false">IF($D$22=1,MAX(0,SUM(Model!$K31:M31)+SUM(Model!$K78:M78)),0)</f>
        <v>0</v>
      </c>
      <c r="N78" s="1" t="n">
        <f aca="false">IF($D$22=1,MAX(0,SUM(Model!$K31:N31)+SUM(Model!$K78:N78)),0)</f>
        <v>0</v>
      </c>
      <c r="O78" s="1" t="n">
        <f aca="false">IF($D$22=1,MAX(0,SUM(Model!$K31:O31)+SUM(Model!$K78:O78)),0)</f>
        <v>0</v>
      </c>
      <c r="P78" s="1" t="n">
        <f aca="false">IF($D$22=1,MAX(0,SUM(Model!$K31:P31)+SUM(Model!$K78:P78)),0)</f>
        <v>0</v>
      </c>
      <c r="Q78" s="1" t="n">
        <f aca="false">IF($D$22=1,MAX(0,SUM(Model!$K31:Q31)+SUM(Model!$K78:Q78)),0)</f>
        <v>0</v>
      </c>
      <c r="R78" s="1" t="n">
        <f aca="false">IF($D$22=1,MAX(0,SUM(Model!$K31:R31)+SUM(Model!$K78:R78)),0)</f>
        <v>0</v>
      </c>
      <c r="S78" s="1" t="n">
        <f aca="false">IF($D$22=1,MAX(0,SUM(Model!$K31:S31)+SUM(Model!$K78:S78)),0)</f>
        <v>0</v>
      </c>
      <c r="T78" s="1" t="n">
        <f aca="false">IF($D$22=1,MAX(0,SUM(Model!$K31:T31)+SUM(Model!$K78:T78)),0)</f>
        <v>0</v>
      </c>
      <c r="U78" s="1" t="n">
        <f aca="false">IF($D$22=1,MAX(0,SUM(Model!$K31:U31)+SUM(Model!$K78:U78)),0)</f>
        <v>0</v>
      </c>
      <c r="V78" s="1" t="n">
        <f aca="false">IF($D$22=1,MAX(0,SUM(Model!$K31:V31)+SUM(Model!$K78:V78)),0)</f>
        <v>0</v>
      </c>
      <c r="W78" s="1" t="n">
        <f aca="false">IF($D$22=1,MAX(0,SUM(Model!$K31:W31)+SUM(Model!$K78:W78)),0)</f>
        <v>0</v>
      </c>
      <c r="X78" s="1" t="n">
        <f aca="false">IF($D$22=1,MAX(0,SUM(Model!$K31:X31)+SUM(Model!$K78:X78)),0)</f>
        <v>0</v>
      </c>
      <c r="Y78" s="1" t="n">
        <f aca="false">IF($D$22=1,MAX(0,SUM(Model!$K31:Y31)+SUM(Model!$K78:Y78)),0)</f>
        <v>0</v>
      </c>
      <c r="Z78" s="1" t="n">
        <f aca="false">IF($D$22=1,MAX(0,SUM(Model!$K31:Z31)+SUM(Model!$K78:Z78)),0)</f>
        <v>0</v>
      </c>
      <c r="AA78" s="1" t="n">
        <f aca="false">IF($D$22=1,MAX(0,SUM(Model!$K31:AA31)+SUM(Model!$K78:AA78)),0)</f>
        <v>0</v>
      </c>
      <c r="AB78" s="1" t="n">
        <f aca="false">IF($D$22=1,MAX(0,SUM(Model!$K31:AB31)+SUM(Model!$K78:AB78)),0)</f>
        <v>0</v>
      </c>
      <c r="AC78" s="1" t="n">
        <f aca="false">IF($D$22=1,MAX(0,SUM(Model!$K31:AC31)+SUM(Model!$K78:AC78)),0)</f>
        <v>0</v>
      </c>
      <c r="AD78" s="1" t="n">
        <f aca="false">IF($D$22=1,MAX(0,SUM(Model!$K31:AD31)+SUM(Model!$K78:AD78)),0)</f>
        <v>0</v>
      </c>
      <c r="AE78" s="1" t="n">
        <f aca="false">IF($D$22=1,MAX(0,SUM(Model!$K31:AE31)+SUM(Model!$K78:AE78)),0)</f>
        <v>0</v>
      </c>
      <c r="AF78" s="1" t="n">
        <f aca="false">IF($D$22=1,MAX(0,SUM(Model!$K31:AF31)+SUM(Model!$K78:AF78)),0)</f>
        <v>0</v>
      </c>
      <c r="AG78" s="1" t="n">
        <f aca="false">IF($D$22=1,MAX(0,SUM(Model!$K31:AG31)+SUM(Model!$K78:AG78)),0)</f>
        <v>0</v>
      </c>
      <c r="AH78" s="1" t="n">
        <f aca="false">IF($D$22=1,MAX(0,SUM(Model!$K31:AH31)+SUM(Model!$K78:AH78)),0)</f>
        <v>0</v>
      </c>
      <c r="AI78" s="1" t="n">
        <f aca="false">IF($D$22=1,MAX(0,SUM(Model!$K31:AI31)+SUM(Model!$K78:AI78)),0)</f>
        <v>0</v>
      </c>
      <c r="AJ78" s="1" t="n">
        <f aca="false">IF($D$22=1,MAX(0,SUM(Model!$K31:AJ31)+SUM(Model!$K78:AJ78)),0)</f>
        <v>0</v>
      </c>
      <c r="AK78" s="1" t="n">
        <f aca="false">IF($D$22=1,MAX(0,SUM(Model!$K31:AK31)+SUM(Model!$K78:AK78)),0)</f>
        <v>0</v>
      </c>
      <c r="AL78" s="1" t="n">
        <f aca="false">IF($D$22=1,MAX(0,SUM(Model!$K31:AL31)+SUM(Model!$K78:AL78)),0)</f>
        <v>0</v>
      </c>
      <c r="AM78" s="1" t="n">
        <f aca="false">IF($D$22=1,MAX(0,SUM(Model!$K31:AM31)+SUM(Model!$K78:AM78)),0)</f>
        <v>0</v>
      </c>
      <c r="AN78" s="1" t="n">
        <f aca="false">IF($D$22=1,MAX(0,SUM(Model!$K31:AN31)+SUM(Model!$K78:AN78)),0)</f>
        <v>0</v>
      </c>
      <c r="AO78" s="1" t="n">
        <f aca="false">IF($D$22=1,MAX(0,SUM(Model!$K31:AO31)+SUM(Model!$K78:AO78)),0)</f>
        <v>0</v>
      </c>
      <c r="AP78" s="1" t="n">
        <f aca="false">IF($D$22=1,MAX(0,SUM(Model!$K31:AP31)+SUM(Model!$K78:AP78)),0)</f>
        <v>0</v>
      </c>
      <c r="AQ78" s="1" t="n">
        <f aca="false">IF($D$22=1,MAX(0,SUM(Model!$K31:AQ31)+SUM(Model!$K78:AQ78)),0)</f>
        <v>0</v>
      </c>
      <c r="AR78" s="1" t="n">
        <f aca="false">IF($D$22=1,MAX(0,SUM(Model!$K31:AR31)+SUM(Model!$K78:AR78)),0)</f>
        <v>0</v>
      </c>
      <c r="AS78" s="1" t="n">
        <f aca="false">IF($D$22=1,MAX(0,SUM(Model!$K31:AS31)+SUM(Model!$K78:AS78)),0)</f>
        <v>0</v>
      </c>
      <c r="AT78" s="1" t="n">
        <f aca="false">IF($D$22=1,MAX(0,SUM(Model!$K31:AT31)+SUM(Model!$K78:AT78)),0)</f>
        <v>0</v>
      </c>
      <c r="AU78" s="1" t="n">
        <f aca="false">IF($D$22=1,MAX(0,SUM(Model!$K31:AU31)+SUM(Model!$K78:AU78)),0)</f>
        <v>0</v>
      </c>
      <c r="AV78" s="1" t="n">
        <f aca="false">IF($D$22=1,MAX(0,SUM(Model!$K31:AV31)+SUM(Model!$K78:AV78)),0)</f>
        <v>0</v>
      </c>
      <c r="AW78" s="1" t="n">
        <f aca="false">IF($D$22=1,MAX(0,SUM(Model!$K31:AW31)+SUM(Model!$K78:AW78)),0)</f>
        <v>0</v>
      </c>
      <c r="AX78" s="1" t="n">
        <f aca="false">IF($D$22=1,MAX(0,SUM(Model!$K31:AX31)+SUM(Model!$K78:AX78)),0)</f>
        <v>0</v>
      </c>
      <c r="AY78" s="1" t="n">
        <f aca="false">IF($D$22=1,MAX(0,SUM(Model!$K31:AY31)+SUM(Model!$K78:AY78)),0)</f>
        <v>0</v>
      </c>
      <c r="AZ78" s="1" t="n">
        <f aca="false">IF($D$22=1,MAX(0,SUM(Model!$K31:AZ31)+SUM(Model!$K78:AZ78)),0)</f>
        <v>0</v>
      </c>
      <c r="BA78" s="1" t="n">
        <f aca="false">IF($D$22=1,MAX(0,SUM(Model!$K31:BA31)+SUM(Model!$K78:BA78)),0)</f>
        <v>0</v>
      </c>
      <c r="BB78" s="1" t="n">
        <f aca="false">IF($D$22=1,MAX(0,SUM(Model!$K31:BB31)+SUM(Model!$K78:BB78)),0)</f>
        <v>0</v>
      </c>
      <c r="BC78" s="1" t="n">
        <f aca="false">IF($D$22=1,MAX(0,SUM(Model!$K31:BC31)+SUM(Model!$K78:BC78)),0)</f>
        <v>0</v>
      </c>
      <c r="BD78" s="1" t="n">
        <f aca="false">IF($D$22=1,MAX(0,SUM(Model!$K31:BD31)+SUM(Model!$K78:BD78)),0)</f>
        <v>0</v>
      </c>
      <c r="BE78" s="1" t="n">
        <f aca="false">IF($D$22=1,MAX(0,SUM(Model!$K31:BE31)+SUM(Model!$K78:BE78)),0)</f>
        <v>0</v>
      </c>
      <c r="BF78" s="1" t="n">
        <f aca="false">IF($D$22=1,MAX(0,SUM(Model!$K31:BF31)+SUM(Model!$K78:BF78)),0)</f>
        <v>0</v>
      </c>
      <c r="BG78" s="1" t="n">
        <f aca="false">IF($D$22=1,MAX(0,SUM(Model!$K31:BG31)+SUM(Model!$K78:BG78)),0)</f>
        <v>0</v>
      </c>
      <c r="BH78" s="1" t="n">
        <f aca="false">IF($D$22=1,MAX(0,SUM(Model!$K31:BH31)+SUM(Model!$K78:BH78)),0)</f>
        <v>0</v>
      </c>
      <c r="BI78" s="1" t="n">
        <f aca="false">IF($D$22=1,MAX(0,SUM(Model!$K31:BI31)+SUM(Model!$K78:BI78)),0)</f>
        <v>0</v>
      </c>
      <c r="BJ78" s="1" t="n">
        <f aca="false">IF($D$22=1,MAX(0,SUM(Model!$K31:BJ31)+SUM(Model!$K78:BJ78)),0)</f>
        <v>0</v>
      </c>
      <c r="BK78" s="1" t="n">
        <f aca="false">IF($D$22=1,MAX(0,SUM(Model!$K31:BK31)+SUM(Model!$K78:BK78)),0)</f>
        <v>0</v>
      </c>
      <c r="BL78" s="1" t="n">
        <f aca="false">IF($D$22=1,MAX(0,SUM(Model!$K31:BL31)+SUM(Model!$K78:BL78)),0)</f>
        <v>0</v>
      </c>
      <c r="BM78" s="1" t="n">
        <f aca="false">IF($D$22=1,MAX(0,SUM(Model!$K31:BM31)+SUM(Model!$K78:BM78)),0)</f>
        <v>0</v>
      </c>
      <c r="BN78" s="1" t="n">
        <f aca="false">IF($D$22=1,MAX(0,SUM(Model!$K31:BN31)+SUM(Model!$K78:BN78)),0)</f>
        <v>0</v>
      </c>
      <c r="BO78" s="1" t="n">
        <f aca="false">IF($D$22=1,MAX(0,SUM(Model!$K31:BO31)+SUM(Model!$K78:BO78)),0)</f>
        <v>0</v>
      </c>
      <c r="BP78" s="1" t="n">
        <f aca="false">IF($D$22=1,MAX(0,SUM(Model!$K31:BP31)+SUM(Model!$K78:BP78)),0)</f>
        <v>0</v>
      </c>
      <c r="BQ78" s="1" t="n">
        <f aca="false">IF($D$22=1,MAX(0,SUM(Model!$K31:BQ31)+SUM(Model!$K78:BQ78)),0)</f>
        <v>0</v>
      </c>
      <c r="BR78" s="1" t="n">
        <f aca="false">IF($D$22=1,MAX(0,SUM(Model!$K31:BR31)+SUM(Model!$K78:BR78)),0)</f>
        <v>0</v>
      </c>
      <c r="BS78" s="1" t="n">
        <f aca="false">IF($D$22=1,MAX(0,SUM(Model!$K31:BS31)+SUM(Model!$K78:BS78)),0)</f>
        <v>0</v>
      </c>
      <c r="BT78" s="1" t="n">
        <f aca="false">IF($D$22=1,MAX(0,SUM(Model!$K31:BT31)+SUM(Model!$K78:BT78)),0)</f>
        <v>0</v>
      </c>
      <c r="BU78" s="1" t="n">
        <f aca="false">IF($D$22=1,MAX(0,SUM(Model!$K31:BU31)+SUM(Model!$K78:BU78)),0)</f>
        <v>0</v>
      </c>
      <c r="BV78" s="1" t="n">
        <f aca="false">IF($D$22=1,MAX(0,SUM(Model!$K31:BV31)+SUM(Model!$K78:BV78)),0)</f>
        <v>0</v>
      </c>
      <c r="BW78" s="1" t="n">
        <f aca="false">IF($D$22=1,MAX(0,SUM(Model!$K31:BW31)+SUM(Model!$K78:BW78)),0)</f>
        <v>0</v>
      </c>
      <c r="BX78" s="1" t="n">
        <f aca="false">IF($D$22=1,MAX(0,SUM(Model!$K31:BX31)+SUM(Model!$K78:BX78)),0)</f>
        <v>0</v>
      </c>
      <c r="BY78" s="1" t="n">
        <f aca="false">IF($D$22=1,MAX(0,SUM(Model!$K31:BY31)+SUM(Model!$K78:BY78)),0)</f>
        <v>0</v>
      </c>
      <c r="BZ78" s="1" t="n">
        <f aca="false">IF($D$22=1,MAX(0,SUM(Model!$K31:BZ31)+SUM(Model!$K78:BZ78)),0)</f>
        <v>0</v>
      </c>
      <c r="CA78" s="1" t="n">
        <f aca="false">IF($D$22=1,MAX(0,SUM(Model!$K31:CA31)+SUM(Model!$K78:CA78)),0)</f>
        <v>0</v>
      </c>
      <c r="CB78" s="1" t="n">
        <f aca="false">IF($D$22=1,MAX(0,SUM(Model!$K31:CB31)+SUM(Model!$K78:CB78)),0)</f>
        <v>0</v>
      </c>
      <c r="CC78" s="1" t="n">
        <f aca="false">IF($D$22=1,MAX(0,SUM(Model!$K31:CC31)+SUM(Model!$K78:CC78)),0)</f>
        <v>0</v>
      </c>
      <c r="CD78" s="1" t="n">
        <f aca="false">IF($D$22=1,MAX(0,SUM(Model!$K31:CD31)+SUM(Model!$K78:CD78)),0)</f>
        <v>0</v>
      </c>
      <c r="CE78" s="1" t="n">
        <f aca="false">IF($D$22=1,MAX(0,SUM(Model!$K31:CE31)+SUM(Model!$K78:CE78)),0)</f>
        <v>0</v>
      </c>
      <c r="CF78" s="1" t="n">
        <f aca="false">IF($D$22=1,MAX(0,SUM(Model!$K31:CF31)+SUM(Model!$K78:CF78)),0)</f>
        <v>0</v>
      </c>
      <c r="CG78" s="1" t="n">
        <f aca="false">IF($D$22=1,MAX(0,SUM(Model!$K31:CG31)+SUM(Model!$K78:CG78)),0)</f>
        <v>0</v>
      </c>
      <c r="CH78" s="1" t="n">
        <f aca="false">IF($D$22=1,MAX(0,SUM(Model!$K31:CH31)+SUM(Model!$K78:CH78)),0)</f>
        <v>0</v>
      </c>
      <c r="CI78" s="1" t="n">
        <f aca="false">IF($D$22=1,MAX(0,SUM(Model!$K31:CI31)+SUM(Model!$K78:CI78)),0)</f>
        <v>0</v>
      </c>
      <c r="CJ78" s="1" t="n">
        <f aca="false">IF($D$22=1,MAX(0,SUM(Model!$K31:CJ31)+SUM(Model!$K78:CJ78)),0)</f>
        <v>0</v>
      </c>
      <c r="CK78" s="1" t="n">
        <f aca="false">IF($D$22=1,MAX(0,SUM(Model!$K31:CK31)+SUM(Model!$K78:CK78)),0)</f>
        <v>0</v>
      </c>
      <c r="CL78" s="1" t="n">
        <f aca="false">IF($D$22=1,MAX(0,SUM(Model!$K31:CL31)+SUM(Model!$K78:CL78)),0)</f>
        <v>0</v>
      </c>
      <c r="CM78" s="1" t="n">
        <f aca="false">IF($D$22=1,MAX(0,SUM(Model!$K31:CM31)+SUM(Model!$K78:CM78)),0)</f>
        <v>0</v>
      </c>
      <c r="CN78" s="1" t="n">
        <f aca="false">IF($D$22=1,MAX(0,SUM(Model!$K31:CN31)+SUM(Model!$K78:CN78)),0)</f>
        <v>0</v>
      </c>
      <c r="CO78" s="1" t="n">
        <f aca="false">IF($D$22=1,MAX(0,SUM(Model!$K31:CO31)+SUM(Model!$K78:CO78)),0)</f>
        <v>0</v>
      </c>
      <c r="CP78" s="1" t="n">
        <f aca="false">IF($D$22=1,MAX(0,SUM(Model!$K31:CP31)+SUM(Model!$K78:CP78)),0)</f>
        <v>0</v>
      </c>
      <c r="CQ78" s="1" t="n">
        <f aca="false">IF($D$22=1,MAX(0,SUM(Model!$K31:CQ31)+SUM(Model!$K78:CQ78)),0)</f>
        <v>0</v>
      </c>
      <c r="CR78" s="1" t="n">
        <f aca="false">IF($D$22=1,MAX(0,SUM(Model!$K31:CR31)+SUM(Model!$K78:CR78)),0)</f>
        <v>0</v>
      </c>
      <c r="CS78" s="1" t="n">
        <f aca="false">IF($D$22=1,MAX(0,SUM(Model!$K31:CS31)+SUM(Model!$K78:CS78)),0)</f>
        <v>0</v>
      </c>
      <c r="CT78" s="1" t="n">
        <f aca="false">IF($D$22=1,MAX(0,SUM(Model!$K31:CT31)+SUM(Model!$K78:CT78)),0)</f>
        <v>0</v>
      </c>
      <c r="CU78" s="1" t="n">
        <f aca="false">IF($D$22=1,MAX(0,SUM(Model!$K31:CU31)+SUM(Model!$K78:CU78)),0)</f>
        <v>0</v>
      </c>
      <c r="CV78" s="1" t="n">
        <f aca="false">IF($D$22=1,MAX(0,SUM(Model!$K31:CV31)+SUM(Model!$K78:CV78)),0)</f>
        <v>0</v>
      </c>
      <c r="CW78" s="1" t="n">
        <f aca="false">IF($D$22=1,MAX(0,SUM(Model!$K31:CW31)+SUM(Model!$K78:CW78)),0)</f>
        <v>0</v>
      </c>
      <c r="CX78" s="1" t="n">
        <f aca="false">IF($D$22=1,MAX(0,SUM(Model!$K31:CX31)+SUM(Model!$K78:CX78)),0)</f>
        <v>0</v>
      </c>
      <c r="CY78" s="1" t="n">
        <f aca="false">IF($D$22=1,MAX(0,SUM(Model!$K31:CY31)+SUM(Model!$K78:CY78)),0)</f>
        <v>0</v>
      </c>
      <c r="CZ78" s="1" t="n">
        <f aca="false">IF($D$22=1,MAX(0,SUM(Model!$K31:CZ31)+SUM(Model!$K78:CZ78)),0)</f>
        <v>0</v>
      </c>
      <c r="DA78" s="1" t="n">
        <f aca="false">IF($D$22=1,MAX(0,SUM(Model!$K31:DA31)+SUM(Model!$K78:DA78)),0)</f>
        <v>0</v>
      </c>
      <c r="DB78" s="1" t="n">
        <f aca="false">IF($D$22=1,MAX(0,SUM(Model!$K31:DB31)+SUM(Model!$K78:DB78)),0)</f>
        <v>0</v>
      </c>
      <c r="DC78" s="1" t="n">
        <f aca="false">IF($D$22=1,MAX(0,SUM(Model!$K31:DC31)+SUM(Model!$K78:DC78)),0)</f>
        <v>0</v>
      </c>
      <c r="DD78" s="1" t="n">
        <f aca="false">IF($D$22=1,MAX(0,SUM(Model!$K31:DD31)+SUM(Model!$K78:DD78)),0)</f>
        <v>0</v>
      </c>
      <c r="DE78" s="1" t="n">
        <f aca="false">IF($D$22=1,MAX(0,SUM(Model!$K31:DE31)+SUM(Model!$K78:DE78)),0)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v>0</v>
      </c>
      <c r="K79" s="1" t="n">
        <f aca="false">IF($D$23=1,MAX(0,SUM(Model!$K32:K32)+SUM(Model!$K79:K79)),0)</f>
        <v>0</v>
      </c>
      <c r="L79" s="1" t="n">
        <f aca="false">IF($D$23=1,MAX(0,SUM(Model!$K32:L32)+SUM(Model!$K79:L79)),0)</f>
        <v>0</v>
      </c>
      <c r="M79" s="1" t="n">
        <f aca="false">IF($D$23=1,MAX(0,SUM(Model!$K32:M32)+SUM(Model!$K79:M79)),0)</f>
        <v>0</v>
      </c>
      <c r="N79" s="1" t="n">
        <f aca="false">IF($D$23=1,MAX(0,SUM(Model!$K32:N32)+SUM(Model!$K79:N79)),0)</f>
        <v>0</v>
      </c>
      <c r="O79" s="1" t="n">
        <f aca="false">IF($D$23=1,MAX(0,SUM(Model!$K32:O32)+SUM(Model!$K79:O79)),0)</f>
        <v>0</v>
      </c>
      <c r="P79" s="1" t="n">
        <f aca="false">IF($D$23=1,MAX(0,SUM(Model!$K32:P32)+SUM(Model!$K79:P79)),0)</f>
        <v>0</v>
      </c>
      <c r="Q79" s="1" t="n">
        <f aca="false">IF($D$23=1,MAX(0,SUM(Model!$K32:Q32)+SUM(Model!$K79:Q79)),0)</f>
        <v>0</v>
      </c>
      <c r="R79" s="1" t="n">
        <f aca="false">IF($D$23=1,MAX(0,SUM(Model!$K32:R32)+SUM(Model!$K79:R79)),0)</f>
        <v>0</v>
      </c>
      <c r="S79" s="1" t="n">
        <f aca="false">IF($D$23=1,MAX(0,SUM(Model!$K32:S32)+SUM(Model!$K79:S79)),0)</f>
        <v>0</v>
      </c>
      <c r="T79" s="1" t="n">
        <f aca="false">IF($D$23=1,MAX(0,SUM(Model!$K32:T32)+SUM(Model!$K79:T79)),0)</f>
        <v>0</v>
      </c>
      <c r="U79" s="1" t="n">
        <f aca="false">IF($D$23=1,MAX(0,SUM(Model!$K32:U32)+SUM(Model!$K79:U79)),0)</f>
        <v>0</v>
      </c>
      <c r="V79" s="1" t="n">
        <f aca="false">IF($D$23=1,MAX(0,SUM(Model!$K32:V32)+SUM(Model!$K79:V79)),0)</f>
        <v>0</v>
      </c>
      <c r="W79" s="1" t="n">
        <f aca="false">IF($D$23=1,MAX(0,SUM(Model!$K32:W32)+SUM(Model!$K79:W79)),0)</f>
        <v>0</v>
      </c>
      <c r="X79" s="1" t="n">
        <f aca="false">IF($D$23=1,MAX(0,SUM(Model!$K32:X32)+SUM(Model!$K79:X79)),0)</f>
        <v>0</v>
      </c>
      <c r="Y79" s="1" t="n">
        <f aca="false">IF($D$23=1,MAX(0,SUM(Model!$K32:Y32)+SUM(Model!$K79:Y79)),0)</f>
        <v>0</v>
      </c>
      <c r="Z79" s="1" t="n">
        <f aca="false">IF($D$23=1,MAX(0,SUM(Model!$K32:Z32)+SUM(Model!$K79:Z79)),0)</f>
        <v>0</v>
      </c>
      <c r="AA79" s="1" t="n">
        <f aca="false">IF($D$23=1,MAX(0,SUM(Model!$K32:AA32)+SUM(Model!$K79:AA79)),0)</f>
        <v>0</v>
      </c>
      <c r="AB79" s="1" t="n">
        <f aca="false">IF($D$23=1,MAX(0,SUM(Model!$K32:AB32)+SUM(Model!$K79:AB79)),0)</f>
        <v>0</v>
      </c>
      <c r="AC79" s="1" t="n">
        <f aca="false">IF($D$23=1,MAX(0,SUM(Model!$K32:AC32)+SUM(Model!$K79:AC79)),0)</f>
        <v>0</v>
      </c>
      <c r="AD79" s="1" t="n">
        <f aca="false">IF($D$23=1,MAX(0,SUM(Model!$K32:AD32)+SUM(Model!$K79:AD79)),0)</f>
        <v>0</v>
      </c>
      <c r="AE79" s="1" t="n">
        <f aca="false">IF($D$23=1,MAX(0,SUM(Model!$K32:AE32)+SUM(Model!$K79:AE79)),0)</f>
        <v>0</v>
      </c>
      <c r="AF79" s="1" t="n">
        <f aca="false">IF($D$23=1,MAX(0,SUM(Model!$K32:AF32)+SUM(Model!$K79:AF79)),0)</f>
        <v>0</v>
      </c>
      <c r="AG79" s="1" t="n">
        <f aca="false">IF($D$23=1,MAX(0,SUM(Model!$K32:AG32)+SUM(Model!$K79:AG79)),0)</f>
        <v>0</v>
      </c>
      <c r="AH79" s="1" t="n">
        <f aca="false">IF($D$23=1,MAX(0,SUM(Model!$K32:AH32)+SUM(Model!$K79:AH79)),0)</f>
        <v>0</v>
      </c>
      <c r="AI79" s="1" t="n">
        <f aca="false">IF($D$23=1,MAX(0,SUM(Model!$K32:AI32)+SUM(Model!$K79:AI79)),0)</f>
        <v>0</v>
      </c>
      <c r="AJ79" s="1" t="n">
        <f aca="false">IF($D$23=1,MAX(0,SUM(Model!$K32:AJ32)+SUM(Model!$K79:AJ79)),0)</f>
        <v>0</v>
      </c>
      <c r="AK79" s="1" t="n">
        <f aca="false">IF($D$23=1,MAX(0,SUM(Model!$K32:AK32)+SUM(Model!$K79:AK79)),0)</f>
        <v>0</v>
      </c>
      <c r="AL79" s="1" t="n">
        <f aca="false">IF($D$23=1,MAX(0,SUM(Model!$K32:AL32)+SUM(Model!$K79:AL79)),0)</f>
        <v>0</v>
      </c>
      <c r="AM79" s="1" t="n">
        <f aca="false">IF($D$23=1,MAX(0,SUM(Model!$K32:AM32)+SUM(Model!$K79:AM79)),0)</f>
        <v>0</v>
      </c>
      <c r="AN79" s="1" t="n">
        <f aca="false">IF($D$23=1,MAX(0,SUM(Model!$K32:AN32)+SUM(Model!$K79:AN79)),0)</f>
        <v>0</v>
      </c>
      <c r="AO79" s="1" t="n">
        <f aca="false">IF($D$23=1,MAX(0,SUM(Model!$K32:AO32)+SUM(Model!$K79:AO79)),0)</f>
        <v>0</v>
      </c>
      <c r="AP79" s="1" t="n">
        <f aca="false">IF($D$23=1,MAX(0,SUM(Model!$K32:AP32)+SUM(Model!$K79:AP79)),0)</f>
        <v>0</v>
      </c>
      <c r="AQ79" s="1" t="n">
        <f aca="false">IF($D$23=1,MAX(0,SUM(Model!$K32:AQ32)+SUM(Model!$K79:AQ79)),0)</f>
        <v>0</v>
      </c>
      <c r="AR79" s="1" t="n">
        <f aca="false">IF($D$23=1,MAX(0,SUM(Model!$K32:AR32)+SUM(Model!$K79:AR79)),0)</f>
        <v>0</v>
      </c>
      <c r="AS79" s="1" t="n">
        <f aca="false">IF($D$23=1,MAX(0,SUM(Model!$K32:AS32)+SUM(Model!$K79:AS79)),0)</f>
        <v>0</v>
      </c>
      <c r="AT79" s="1" t="n">
        <f aca="false">IF($D$23=1,MAX(0,SUM(Model!$K32:AT32)+SUM(Model!$K79:AT79)),0)</f>
        <v>0</v>
      </c>
      <c r="AU79" s="1" t="n">
        <f aca="false">IF($D$23=1,MAX(0,SUM(Model!$K32:AU32)+SUM(Model!$K79:AU79)),0)</f>
        <v>0</v>
      </c>
      <c r="AV79" s="1" t="n">
        <f aca="false">IF($D$23=1,MAX(0,SUM(Model!$K32:AV32)+SUM(Model!$K79:AV79)),0)</f>
        <v>0</v>
      </c>
      <c r="AW79" s="1" t="n">
        <f aca="false">IF($D$23=1,MAX(0,SUM(Model!$K32:AW32)+SUM(Model!$K79:AW79)),0)</f>
        <v>0</v>
      </c>
      <c r="AX79" s="1" t="n">
        <f aca="false">IF($D$23=1,MAX(0,SUM(Model!$K32:AX32)+SUM(Model!$K79:AX79)),0)</f>
        <v>0</v>
      </c>
      <c r="AY79" s="1" t="n">
        <f aca="false">IF($D$23=1,MAX(0,SUM(Model!$K32:AY32)+SUM(Model!$K79:AY79)),0)</f>
        <v>0</v>
      </c>
      <c r="AZ79" s="1" t="n">
        <f aca="false">IF($D$23=1,MAX(0,SUM(Model!$K32:AZ32)+SUM(Model!$K79:AZ79)),0)</f>
        <v>0</v>
      </c>
      <c r="BA79" s="1" t="n">
        <f aca="false">IF($D$23=1,MAX(0,SUM(Model!$K32:BA32)+SUM(Model!$K79:BA79)),0)</f>
        <v>0</v>
      </c>
      <c r="BB79" s="1" t="n">
        <f aca="false">IF($D$23=1,MAX(0,SUM(Model!$K32:BB32)+SUM(Model!$K79:BB79)),0)</f>
        <v>0</v>
      </c>
      <c r="BC79" s="1" t="n">
        <f aca="false">IF($D$23=1,MAX(0,SUM(Model!$K32:BC32)+SUM(Model!$K79:BC79)),0)</f>
        <v>0</v>
      </c>
      <c r="BD79" s="1" t="n">
        <f aca="false">IF($D$23=1,MAX(0,SUM(Model!$K32:BD32)+SUM(Model!$K79:BD79)),0)</f>
        <v>0</v>
      </c>
      <c r="BE79" s="1" t="n">
        <f aca="false">IF($D$23=1,MAX(0,SUM(Model!$K32:BE32)+SUM(Model!$K79:BE79)),0)</f>
        <v>0</v>
      </c>
      <c r="BF79" s="1" t="n">
        <f aca="false">IF($D$23=1,MAX(0,SUM(Model!$K32:BF32)+SUM(Model!$K79:BF79)),0)</f>
        <v>0</v>
      </c>
      <c r="BG79" s="1" t="n">
        <f aca="false">IF($D$23=1,MAX(0,SUM(Model!$K32:BG32)+SUM(Model!$K79:BG79)),0)</f>
        <v>0</v>
      </c>
      <c r="BH79" s="1" t="n">
        <f aca="false">IF($D$23=1,MAX(0,SUM(Model!$K32:BH32)+SUM(Model!$K79:BH79)),0)</f>
        <v>0</v>
      </c>
      <c r="BI79" s="1" t="n">
        <f aca="false">IF($D$23=1,MAX(0,SUM(Model!$K32:BI32)+SUM(Model!$K79:BI79)),0)</f>
        <v>0</v>
      </c>
      <c r="BJ79" s="1" t="n">
        <f aca="false">IF($D$23=1,MAX(0,SUM(Model!$K32:BJ32)+SUM(Model!$K79:BJ79)),0)</f>
        <v>0</v>
      </c>
      <c r="BK79" s="1" t="n">
        <f aca="false">IF($D$23=1,MAX(0,SUM(Model!$K32:BK32)+SUM(Model!$K79:BK79)),0)</f>
        <v>0</v>
      </c>
      <c r="BL79" s="1" t="n">
        <f aca="false">IF($D$23=1,MAX(0,SUM(Model!$K32:BL32)+SUM(Model!$K79:BL79)),0)</f>
        <v>0</v>
      </c>
      <c r="BM79" s="1" t="n">
        <f aca="false">IF($D$23=1,MAX(0,SUM(Model!$K32:BM32)+SUM(Model!$K79:BM79)),0)</f>
        <v>0</v>
      </c>
      <c r="BN79" s="1" t="n">
        <f aca="false">IF($D$23=1,MAX(0,SUM(Model!$K32:BN32)+SUM(Model!$K79:BN79)),0)</f>
        <v>0</v>
      </c>
      <c r="BO79" s="1" t="n">
        <f aca="false">IF($D$23=1,MAX(0,SUM(Model!$K32:BO32)+SUM(Model!$K79:BO79)),0)</f>
        <v>0</v>
      </c>
      <c r="BP79" s="1" t="n">
        <f aca="false">IF($D$23=1,MAX(0,SUM(Model!$K32:BP32)+SUM(Model!$K79:BP79)),0)</f>
        <v>0</v>
      </c>
      <c r="BQ79" s="1" t="n">
        <f aca="false">IF($D$23=1,MAX(0,SUM(Model!$K32:BQ32)+SUM(Model!$K79:BQ79)),0)</f>
        <v>0</v>
      </c>
      <c r="BR79" s="1" t="n">
        <f aca="false">IF($D$23=1,MAX(0,SUM(Model!$K32:BR32)+SUM(Model!$K79:BR79)),0)</f>
        <v>0</v>
      </c>
      <c r="BS79" s="1" t="n">
        <f aca="false">IF($D$23=1,MAX(0,SUM(Model!$K32:BS32)+SUM(Model!$K79:BS79)),0)</f>
        <v>0</v>
      </c>
      <c r="BT79" s="1" t="n">
        <f aca="false">IF($D$23=1,MAX(0,SUM(Model!$K32:BT32)+SUM(Model!$K79:BT79)),0)</f>
        <v>0</v>
      </c>
      <c r="BU79" s="1" t="n">
        <f aca="false">IF($D$23=1,MAX(0,SUM(Model!$K32:BU32)+SUM(Model!$K79:BU79)),0)</f>
        <v>0</v>
      </c>
      <c r="BV79" s="1" t="n">
        <f aca="false">IF($D$23=1,MAX(0,SUM(Model!$K32:BV32)+SUM(Model!$K79:BV79)),0)</f>
        <v>0</v>
      </c>
      <c r="BW79" s="1" t="n">
        <f aca="false">IF($D$23=1,MAX(0,SUM(Model!$K32:BW32)+SUM(Model!$K79:BW79)),0)</f>
        <v>0</v>
      </c>
      <c r="BX79" s="1" t="n">
        <f aca="false">IF($D$23=1,MAX(0,SUM(Model!$K32:BX32)+SUM(Model!$K79:BX79)),0)</f>
        <v>0</v>
      </c>
      <c r="BY79" s="1" t="n">
        <f aca="false">IF($D$23=1,MAX(0,SUM(Model!$K32:BY32)+SUM(Model!$K79:BY79)),0)</f>
        <v>0</v>
      </c>
      <c r="BZ79" s="1" t="n">
        <f aca="false">IF($D$23=1,MAX(0,SUM(Model!$K32:BZ32)+SUM(Model!$K79:BZ79)),0)</f>
        <v>0</v>
      </c>
      <c r="CA79" s="1" t="n">
        <f aca="false">IF($D$23=1,MAX(0,SUM(Model!$K32:CA32)+SUM(Model!$K79:CA79)),0)</f>
        <v>0</v>
      </c>
      <c r="CB79" s="1" t="n">
        <f aca="false">IF($D$23=1,MAX(0,SUM(Model!$K32:CB32)+SUM(Model!$K79:CB79)),0)</f>
        <v>0</v>
      </c>
      <c r="CC79" s="1" t="n">
        <f aca="false">IF($D$23=1,MAX(0,SUM(Model!$K32:CC32)+SUM(Model!$K79:CC79)),0)</f>
        <v>0</v>
      </c>
      <c r="CD79" s="1" t="n">
        <f aca="false">IF($D$23=1,MAX(0,SUM(Model!$K32:CD32)+SUM(Model!$K79:CD79)),0)</f>
        <v>0</v>
      </c>
      <c r="CE79" s="1" t="n">
        <f aca="false">IF($D$23=1,MAX(0,SUM(Model!$K32:CE32)+SUM(Model!$K79:CE79)),0)</f>
        <v>0</v>
      </c>
      <c r="CF79" s="1" t="n">
        <f aca="false">IF($D$23=1,MAX(0,SUM(Model!$K32:CF32)+SUM(Model!$K79:CF79)),0)</f>
        <v>0</v>
      </c>
      <c r="CG79" s="1" t="n">
        <f aca="false">IF($D$23=1,MAX(0,SUM(Model!$K32:CG32)+SUM(Model!$K79:CG79)),0)</f>
        <v>0</v>
      </c>
      <c r="CH79" s="1" t="n">
        <f aca="false">IF($D$23=1,MAX(0,SUM(Model!$K32:CH32)+SUM(Model!$K79:CH79)),0)</f>
        <v>0</v>
      </c>
      <c r="CI79" s="1" t="n">
        <f aca="false">IF($D$23=1,MAX(0,SUM(Model!$K32:CI32)+SUM(Model!$K79:CI79)),0)</f>
        <v>0</v>
      </c>
      <c r="CJ79" s="1" t="n">
        <f aca="false">IF($D$23=1,MAX(0,SUM(Model!$K32:CJ32)+SUM(Model!$K79:CJ79)),0)</f>
        <v>0</v>
      </c>
      <c r="CK79" s="1" t="n">
        <f aca="false">IF($D$23=1,MAX(0,SUM(Model!$K32:CK32)+SUM(Model!$K79:CK79)),0)</f>
        <v>0</v>
      </c>
      <c r="CL79" s="1" t="n">
        <f aca="false">IF($D$23=1,MAX(0,SUM(Model!$K32:CL32)+SUM(Model!$K79:CL79)),0)</f>
        <v>0</v>
      </c>
      <c r="CM79" s="1" t="n">
        <f aca="false">IF($D$23=1,MAX(0,SUM(Model!$K32:CM32)+SUM(Model!$K79:CM79)),0)</f>
        <v>0</v>
      </c>
      <c r="CN79" s="1" t="n">
        <f aca="false">IF($D$23=1,MAX(0,SUM(Model!$K32:CN32)+SUM(Model!$K79:CN79)),0)</f>
        <v>0</v>
      </c>
      <c r="CO79" s="1" t="n">
        <f aca="false">IF($D$23=1,MAX(0,SUM(Model!$K32:CO32)+SUM(Model!$K79:CO79)),0)</f>
        <v>0</v>
      </c>
      <c r="CP79" s="1" t="n">
        <f aca="false">IF($D$23=1,MAX(0,SUM(Model!$K32:CP32)+SUM(Model!$K79:CP79)),0)</f>
        <v>0</v>
      </c>
      <c r="CQ79" s="1" t="n">
        <f aca="false">IF($D$23=1,MAX(0,SUM(Model!$K32:CQ32)+SUM(Model!$K79:CQ79)),0)</f>
        <v>0</v>
      </c>
      <c r="CR79" s="1" t="n">
        <f aca="false">IF($D$23=1,MAX(0,SUM(Model!$K32:CR32)+SUM(Model!$K79:CR79)),0)</f>
        <v>0</v>
      </c>
      <c r="CS79" s="1" t="n">
        <f aca="false">IF($D$23=1,MAX(0,SUM(Model!$K32:CS32)+SUM(Model!$K79:CS79)),0)</f>
        <v>0</v>
      </c>
      <c r="CT79" s="1" t="n">
        <f aca="false">IF($D$23=1,MAX(0,SUM(Model!$K32:CT32)+SUM(Model!$K79:CT79)),0)</f>
        <v>0</v>
      </c>
      <c r="CU79" s="1" t="n">
        <f aca="false">IF($D$23=1,MAX(0,SUM(Model!$K32:CU32)+SUM(Model!$K79:CU79)),0)</f>
        <v>0</v>
      </c>
      <c r="CV79" s="1" t="n">
        <f aca="false">IF($D$23=1,MAX(0,SUM(Model!$K32:CV32)+SUM(Model!$K79:CV79)),0)</f>
        <v>0</v>
      </c>
      <c r="CW79" s="1" t="n">
        <f aca="false">IF($D$23=1,MAX(0,SUM(Model!$K32:CW32)+SUM(Model!$K79:CW79)),0)</f>
        <v>0</v>
      </c>
      <c r="CX79" s="1" t="n">
        <f aca="false">IF($D$23=1,MAX(0,SUM(Model!$K32:CX32)+SUM(Model!$K79:CX79)),0)</f>
        <v>0</v>
      </c>
      <c r="CY79" s="1" t="n">
        <f aca="false">IF($D$23=1,MAX(0,SUM(Model!$K32:CY32)+SUM(Model!$K79:CY79)),0)</f>
        <v>0</v>
      </c>
      <c r="CZ79" s="1" t="n">
        <f aca="false">IF($D$23=1,MAX(0,SUM(Model!$K32:CZ32)+SUM(Model!$K79:CZ79)),0)</f>
        <v>0</v>
      </c>
      <c r="DA79" s="1" t="n">
        <f aca="false">IF($D$23=1,MAX(0,SUM(Model!$K32:DA32)+SUM(Model!$K79:DA79)),0)</f>
        <v>0</v>
      </c>
      <c r="DB79" s="1" t="n">
        <f aca="false">IF($D$23=1,MAX(0,SUM(Model!$K32:DB32)+SUM(Model!$K79:DB79)),0)</f>
        <v>0</v>
      </c>
      <c r="DC79" s="1" t="n">
        <f aca="false">IF($D$23=1,MAX(0,SUM(Model!$K32:DC32)+SUM(Model!$K79:DC79)),0)</f>
        <v>0</v>
      </c>
      <c r="DD79" s="1" t="n">
        <f aca="false">IF($D$23=1,MAX(0,SUM(Model!$K32:DD32)+SUM(Model!$K79:DD79)),0)</f>
        <v>0</v>
      </c>
      <c r="DE79" s="1" t="n">
        <f aca="false">IF($D$23=1,MAX(0,SUM(Model!$K32:DE32)+SUM(Model!$K79:DE79)),0)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v>0</v>
      </c>
      <c r="K80" s="1" t="n">
        <f aca="false">IF($D$24=1,MAX(0,SUM(Model!$K33:K33)+SUM(Model!$K80:K80)),0)</f>
        <v>0</v>
      </c>
      <c r="L80" s="1" t="n">
        <f aca="false">IF($D$24=1,MAX(0,SUM(Model!$K33:L33)+SUM(Model!$K80:L80)),0)</f>
        <v>0</v>
      </c>
      <c r="M80" s="1" t="n">
        <f aca="false">IF($D$24=1,MAX(0,SUM(Model!$K33:M33)+SUM(Model!$K80:M80)),0)</f>
        <v>0</v>
      </c>
      <c r="N80" s="1" t="n">
        <f aca="false">IF($D$24=1,MAX(0,SUM(Model!$K33:N33)+SUM(Model!$K80:N80)),0)</f>
        <v>0</v>
      </c>
      <c r="O80" s="1" t="n">
        <f aca="false">IF($D$24=1,MAX(0,SUM(Model!$K33:O33)+SUM(Model!$K80:O80)),0)</f>
        <v>0</v>
      </c>
      <c r="P80" s="1" t="n">
        <f aca="false">IF($D$24=1,MAX(0,SUM(Model!$K33:P33)+SUM(Model!$K80:P80)),0)</f>
        <v>0</v>
      </c>
      <c r="Q80" s="1" t="n">
        <f aca="false">IF($D$24=1,MAX(0,SUM(Model!$K33:Q33)+SUM(Model!$K80:Q80)),0)</f>
        <v>0</v>
      </c>
      <c r="R80" s="1" t="n">
        <f aca="false">IF($D$24=1,MAX(0,SUM(Model!$K33:R33)+SUM(Model!$K80:R80)),0)</f>
        <v>0</v>
      </c>
      <c r="S80" s="1" t="n">
        <f aca="false">IF($D$24=1,MAX(0,SUM(Model!$K33:S33)+SUM(Model!$K80:S80)),0)</f>
        <v>0</v>
      </c>
      <c r="T80" s="1" t="n">
        <f aca="false">IF($D$24=1,MAX(0,SUM(Model!$K33:T33)+SUM(Model!$K80:T80)),0)</f>
        <v>0</v>
      </c>
      <c r="U80" s="1" t="n">
        <f aca="false">IF($D$24=1,MAX(0,SUM(Model!$K33:U33)+SUM(Model!$K80:U80)),0)</f>
        <v>0</v>
      </c>
      <c r="V80" s="1" t="n">
        <f aca="false">IF($D$24=1,MAX(0,SUM(Model!$K33:V33)+SUM(Model!$K80:V80)),0)</f>
        <v>0</v>
      </c>
      <c r="W80" s="1" t="n">
        <f aca="false">IF($D$24=1,MAX(0,SUM(Model!$K33:W33)+SUM(Model!$K80:W80)),0)</f>
        <v>0</v>
      </c>
      <c r="X80" s="1" t="n">
        <f aca="false">IF($D$24=1,MAX(0,SUM(Model!$K33:X33)+SUM(Model!$K80:X80)),0)</f>
        <v>0</v>
      </c>
      <c r="Y80" s="1" t="n">
        <f aca="false">IF($D$24=1,MAX(0,SUM(Model!$K33:Y33)+SUM(Model!$K80:Y80)),0)</f>
        <v>0</v>
      </c>
      <c r="Z80" s="1" t="n">
        <f aca="false">IF($D$24=1,MAX(0,SUM(Model!$K33:Z33)+SUM(Model!$K80:Z80)),0)</f>
        <v>0</v>
      </c>
      <c r="AA80" s="1" t="n">
        <f aca="false">IF($D$24=1,MAX(0,SUM(Model!$K33:AA33)+SUM(Model!$K80:AA80)),0)</f>
        <v>0</v>
      </c>
      <c r="AB80" s="1" t="n">
        <f aca="false">IF($D$24=1,MAX(0,SUM(Model!$K33:AB33)+SUM(Model!$K80:AB80)),0)</f>
        <v>0</v>
      </c>
      <c r="AC80" s="1" t="n">
        <f aca="false">IF($D$24=1,MAX(0,SUM(Model!$K33:AC33)+SUM(Model!$K80:AC80)),0)</f>
        <v>0</v>
      </c>
      <c r="AD80" s="1" t="n">
        <f aca="false">IF($D$24=1,MAX(0,SUM(Model!$K33:AD33)+SUM(Model!$K80:AD80)),0)</f>
        <v>0</v>
      </c>
      <c r="AE80" s="1" t="n">
        <f aca="false">IF($D$24=1,MAX(0,SUM(Model!$K33:AE33)+SUM(Model!$K80:AE80)),0)</f>
        <v>0</v>
      </c>
      <c r="AF80" s="1" t="n">
        <f aca="false">IF($D$24=1,MAX(0,SUM(Model!$K33:AF33)+SUM(Model!$K80:AF80)),0)</f>
        <v>0</v>
      </c>
      <c r="AG80" s="1" t="n">
        <f aca="false">IF($D$24=1,MAX(0,SUM(Model!$K33:AG33)+SUM(Model!$K80:AG80)),0)</f>
        <v>0</v>
      </c>
      <c r="AH80" s="1" t="n">
        <f aca="false">IF($D$24=1,MAX(0,SUM(Model!$K33:AH33)+SUM(Model!$K80:AH80)),0)</f>
        <v>0</v>
      </c>
      <c r="AI80" s="1" t="n">
        <f aca="false">IF($D$24=1,MAX(0,SUM(Model!$K33:AI33)+SUM(Model!$K80:AI80)),0)</f>
        <v>0</v>
      </c>
      <c r="AJ80" s="1" t="n">
        <f aca="false">IF($D$24=1,MAX(0,SUM(Model!$K33:AJ33)+SUM(Model!$K80:AJ80)),0)</f>
        <v>0</v>
      </c>
      <c r="AK80" s="1" t="n">
        <f aca="false">IF($D$24=1,MAX(0,SUM(Model!$K33:AK33)+SUM(Model!$K80:AK80)),0)</f>
        <v>0</v>
      </c>
      <c r="AL80" s="1" t="n">
        <f aca="false">IF($D$24=1,MAX(0,SUM(Model!$K33:AL33)+SUM(Model!$K80:AL80)),0)</f>
        <v>0</v>
      </c>
      <c r="AM80" s="1" t="n">
        <f aca="false">IF($D$24=1,MAX(0,SUM(Model!$K33:AM33)+SUM(Model!$K80:AM80)),0)</f>
        <v>0</v>
      </c>
      <c r="AN80" s="1" t="n">
        <f aca="false">IF($D$24=1,MAX(0,SUM(Model!$K33:AN33)+SUM(Model!$K80:AN80)),0)</f>
        <v>0</v>
      </c>
      <c r="AO80" s="1" t="n">
        <f aca="false">IF($D$24=1,MAX(0,SUM(Model!$K33:AO33)+SUM(Model!$K80:AO80)),0)</f>
        <v>0</v>
      </c>
      <c r="AP80" s="1" t="n">
        <f aca="false">IF($D$24=1,MAX(0,SUM(Model!$K33:AP33)+SUM(Model!$K80:AP80)),0)</f>
        <v>0</v>
      </c>
      <c r="AQ80" s="1" t="n">
        <f aca="false">IF($D$24=1,MAX(0,SUM(Model!$K33:AQ33)+SUM(Model!$K80:AQ80)),0)</f>
        <v>0</v>
      </c>
      <c r="AR80" s="1" t="n">
        <f aca="false">IF($D$24=1,MAX(0,SUM(Model!$K33:AR33)+SUM(Model!$K80:AR80)),0)</f>
        <v>0</v>
      </c>
      <c r="AS80" s="1" t="n">
        <f aca="false">IF($D$24=1,MAX(0,SUM(Model!$K33:AS33)+SUM(Model!$K80:AS80)),0)</f>
        <v>0</v>
      </c>
      <c r="AT80" s="1" t="n">
        <f aca="false">IF($D$24=1,MAX(0,SUM(Model!$K33:AT33)+SUM(Model!$K80:AT80)),0)</f>
        <v>0</v>
      </c>
      <c r="AU80" s="1" t="n">
        <f aca="false">IF($D$24=1,MAX(0,SUM(Model!$K33:AU33)+SUM(Model!$K80:AU80)),0)</f>
        <v>0</v>
      </c>
      <c r="AV80" s="1" t="n">
        <f aca="false">IF($D$24=1,MAX(0,SUM(Model!$K33:AV33)+SUM(Model!$K80:AV80)),0)</f>
        <v>0</v>
      </c>
      <c r="AW80" s="1" t="n">
        <f aca="false">IF($D$24=1,MAX(0,SUM(Model!$K33:AW33)+SUM(Model!$K80:AW80)),0)</f>
        <v>0</v>
      </c>
      <c r="AX80" s="1" t="n">
        <f aca="false">IF($D$24=1,MAX(0,SUM(Model!$K33:AX33)+SUM(Model!$K80:AX80)),0)</f>
        <v>0</v>
      </c>
      <c r="AY80" s="1" t="n">
        <f aca="false">IF($D$24=1,MAX(0,SUM(Model!$K33:AY33)+SUM(Model!$K80:AY80)),0)</f>
        <v>0</v>
      </c>
      <c r="AZ80" s="1" t="n">
        <f aca="false">IF($D$24=1,MAX(0,SUM(Model!$K33:AZ33)+SUM(Model!$K80:AZ80)),0)</f>
        <v>0</v>
      </c>
      <c r="BA80" s="1" t="n">
        <f aca="false">IF($D$24=1,MAX(0,SUM(Model!$K33:BA33)+SUM(Model!$K80:BA80)),0)</f>
        <v>0</v>
      </c>
      <c r="BB80" s="1" t="n">
        <f aca="false">IF($D$24=1,MAX(0,SUM(Model!$K33:BB33)+SUM(Model!$K80:BB80)),0)</f>
        <v>0</v>
      </c>
      <c r="BC80" s="1" t="n">
        <f aca="false">IF($D$24=1,MAX(0,SUM(Model!$K33:BC33)+SUM(Model!$K80:BC80)),0)</f>
        <v>0</v>
      </c>
      <c r="BD80" s="1" t="n">
        <f aca="false">IF($D$24=1,MAX(0,SUM(Model!$K33:BD33)+SUM(Model!$K80:BD80)),0)</f>
        <v>0</v>
      </c>
      <c r="BE80" s="1" t="n">
        <f aca="false">IF($D$24=1,MAX(0,SUM(Model!$K33:BE33)+SUM(Model!$K80:BE80)),0)</f>
        <v>0</v>
      </c>
      <c r="BF80" s="1" t="n">
        <f aca="false">IF($D$24=1,MAX(0,SUM(Model!$K33:BF33)+SUM(Model!$K80:BF80)),0)</f>
        <v>0</v>
      </c>
      <c r="BG80" s="1" t="n">
        <f aca="false">IF($D$24=1,MAX(0,SUM(Model!$K33:BG33)+SUM(Model!$K80:BG80)),0)</f>
        <v>0</v>
      </c>
      <c r="BH80" s="1" t="n">
        <f aca="false">IF($D$24=1,MAX(0,SUM(Model!$K33:BH33)+SUM(Model!$K80:BH80)),0)</f>
        <v>0</v>
      </c>
      <c r="BI80" s="1" t="n">
        <f aca="false">IF($D$24=1,MAX(0,SUM(Model!$K33:BI33)+SUM(Model!$K80:BI80)),0)</f>
        <v>0</v>
      </c>
      <c r="BJ80" s="1" t="n">
        <f aca="false">IF($D$24=1,MAX(0,SUM(Model!$K33:BJ33)+SUM(Model!$K80:BJ80)),0)</f>
        <v>0</v>
      </c>
      <c r="BK80" s="1" t="n">
        <f aca="false">IF($D$24=1,MAX(0,SUM(Model!$K33:BK33)+SUM(Model!$K80:BK80)),0)</f>
        <v>0</v>
      </c>
      <c r="BL80" s="1" t="n">
        <f aca="false">IF($D$24=1,MAX(0,SUM(Model!$K33:BL33)+SUM(Model!$K80:BL80)),0)</f>
        <v>0</v>
      </c>
      <c r="BM80" s="1" t="n">
        <f aca="false">IF($D$24=1,MAX(0,SUM(Model!$K33:BM33)+SUM(Model!$K80:BM80)),0)</f>
        <v>0</v>
      </c>
      <c r="BN80" s="1" t="n">
        <f aca="false">IF($D$24=1,MAX(0,SUM(Model!$K33:BN33)+SUM(Model!$K80:BN80)),0)</f>
        <v>0</v>
      </c>
      <c r="BO80" s="1" t="n">
        <f aca="false">IF($D$24=1,MAX(0,SUM(Model!$K33:BO33)+SUM(Model!$K80:BO80)),0)</f>
        <v>0</v>
      </c>
      <c r="BP80" s="1" t="n">
        <f aca="false">IF($D$24=1,MAX(0,SUM(Model!$K33:BP33)+SUM(Model!$K80:BP80)),0)</f>
        <v>0</v>
      </c>
      <c r="BQ80" s="1" t="n">
        <f aca="false">IF($D$24=1,MAX(0,SUM(Model!$K33:BQ33)+SUM(Model!$K80:BQ80)),0)</f>
        <v>0</v>
      </c>
      <c r="BR80" s="1" t="n">
        <f aca="false">IF($D$24=1,MAX(0,SUM(Model!$K33:BR33)+SUM(Model!$K80:BR80)),0)</f>
        <v>0</v>
      </c>
      <c r="BS80" s="1" t="n">
        <f aca="false">IF($D$24=1,MAX(0,SUM(Model!$K33:BS33)+SUM(Model!$K80:BS80)),0)</f>
        <v>0</v>
      </c>
      <c r="BT80" s="1" t="n">
        <f aca="false">IF($D$24=1,MAX(0,SUM(Model!$K33:BT33)+SUM(Model!$K80:BT80)),0)</f>
        <v>0</v>
      </c>
      <c r="BU80" s="1" t="n">
        <f aca="false">IF($D$24=1,MAX(0,SUM(Model!$K33:BU33)+SUM(Model!$K80:BU80)),0)</f>
        <v>0</v>
      </c>
      <c r="BV80" s="1" t="n">
        <f aca="false">IF($D$24=1,MAX(0,SUM(Model!$K33:BV33)+SUM(Model!$K80:BV80)),0)</f>
        <v>0</v>
      </c>
      <c r="BW80" s="1" t="n">
        <f aca="false">IF($D$24=1,MAX(0,SUM(Model!$K33:BW33)+SUM(Model!$K80:BW80)),0)</f>
        <v>0</v>
      </c>
      <c r="BX80" s="1" t="n">
        <f aca="false">IF($D$24=1,MAX(0,SUM(Model!$K33:BX33)+SUM(Model!$K80:BX80)),0)</f>
        <v>0</v>
      </c>
      <c r="BY80" s="1" t="n">
        <f aca="false">IF($D$24=1,MAX(0,SUM(Model!$K33:BY33)+SUM(Model!$K80:BY80)),0)</f>
        <v>0</v>
      </c>
      <c r="BZ80" s="1" t="n">
        <f aca="false">IF($D$24=1,MAX(0,SUM(Model!$K33:BZ33)+SUM(Model!$K80:BZ80)),0)</f>
        <v>0</v>
      </c>
      <c r="CA80" s="1" t="n">
        <f aca="false">IF($D$24=1,MAX(0,SUM(Model!$K33:CA33)+SUM(Model!$K80:CA80)),0)</f>
        <v>0</v>
      </c>
      <c r="CB80" s="1" t="n">
        <f aca="false">IF($D$24=1,MAX(0,SUM(Model!$K33:CB33)+SUM(Model!$K80:CB80)),0)</f>
        <v>0</v>
      </c>
      <c r="CC80" s="1" t="n">
        <f aca="false">IF($D$24=1,MAX(0,SUM(Model!$K33:CC33)+SUM(Model!$K80:CC80)),0)</f>
        <v>0</v>
      </c>
      <c r="CD80" s="1" t="n">
        <f aca="false">IF($D$24=1,MAX(0,SUM(Model!$K33:CD33)+SUM(Model!$K80:CD80)),0)</f>
        <v>0</v>
      </c>
      <c r="CE80" s="1" t="n">
        <f aca="false">IF($D$24=1,MAX(0,SUM(Model!$K33:CE33)+SUM(Model!$K80:CE80)),0)</f>
        <v>0</v>
      </c>
      <c r="CF80" s="1" t="n">
        <f aca="false">IF($D$24=1,MAX(0,SUM(Model!$K33:CF33)+SUM(Model!$K80:CF80)),0)</f>
        <v>0</v>
      </c>
      <c r="CG80" s="1" t="n">
        <f aca="false">IF($D$24=1,MAX(0,SUM(Model!$K33:CG33)+SUM(Model!$K80:CG80)),0)</f>
        <v>0</v>
      </c>
      <c r="CH80" s="1" t="n">
        <f aca="false">IF($D$24=1,MAX(0,SUM(Model!$K33:CH33)+SUM(Model!$K80:CH80)),0)</f>
        <v>0</v>
      </c>
      <c r="CI80" s="1" t="n">
        <f aca="false">IF($D$24=1,MAX(0,SUM(Model!$K33:CI33)+SUM(Model!$K80:CI80)),0)</f>
        <v>0</v>
      </c>
      <c r="CJ80" s="1" t="n">
        <f aca="false">IF($D$24=1,MAX(0,SUM(Model!$K33:CJ33)+SUM(Model!$K80:CJ80)),0)</f>
        <v>0</v>
      </c>
      <c r="CK80" s="1" t="n">
        <f aca="false">IF($D$24=1,MAX(0,SUM(Model!$K33:CK33)+SUM(Model!$K80:CK80)),0)</f>
        <v>0</v>
      </c>
      <c r="CL80" s="1" t="n">
        <f aca="false">IF($D$24=1,MAX(0,SUM(Model!$K33:CL33)+SUM(Model!$K80:CL80)),0)</f>
        <v>0</v>
      </c>
      <c r="CM80" s="1" t="n">
        <f aca="false">IF($D$24=1,MAX(0,SUM(Model!$K33:CM33)+SUM(Model!$K80:CM80)),0)</f>
        <v>0</v>
      </c>
      <c r="CN80" s="1" t="n">
        <f aca="false">IF($D$24=1,MAX(0,SUM(Model!$K33:CN33)+SUM(Model!$K80:CN80)),0)</f>
        <v>0</v>
      </c>
      <c r="CO80" s="1" t="n">
        <f aca="false">IF($D$24=1,MAX(0,SUM(Model!$K33:CO33)+SUM(Model!$K80:CO80)),0)</f>
        <v>0</v>
      </c>
      <c r="CP80" s="1" t="n">
        <f aca="false">IF($D$24=1,MAX(0,SUM(Model!$K33:CP33)+SUM(Model!$K80:CP80)),0)</f>
        <v>0</v>
      </c>
      <c r="CQ80" s="1" t="n">
        <f aca="false">IF($D$24=1,MAX(0,SUM(Model!$K33:CQ33)+SUM(Model!$K80:CQ80)),0)</f>
        <v>0</v>
      </c>
      <c r="CR80" s="1" t="n">
        <f aca="false">IF($D$24=1,MAX(0,SUM(Model!$K33:CR33)+SUM(Model!$K80:CR80)),0)</f>
        <v>0</v>
      </c>
      <c r="CS80" s="1" t="n">
        <f aca="false">IF($D$24=1,MAX(0,SUM(Model!$K33:CS33)+SUM(Model!$K80:CS80)),0)</f>
        <v>0</v>
      </c>
      <c r="CT80" s="1" t="n">
        <f aca="false">IF($D$24=1,MAX(0,SUM(Model!$K33:CT33)+SUM(Model!$K80:CT80)),0)</f>
        <v>0</v>
      </c>
      <c r="CU80" s="1" t="n">
        <f aca="false">IF($D$24=1,MAX(0,SUM(Model!$K33:CU33)+SUM(Model!$K80:CU80)),0)</f>
        <v>0</v>
      </c>
      <c r="CV80" s="1" t="n">
        <f aca="false">IF($D$24=1,MAX(0,SUM(Model!$K33:CV33)+SUM(Model!$K80:CV80)),0)</f>
        <v>0</v>
      </c>
      <c r="CW80" s="1" t="n">
        <f aca="false">IF($D$24=1,MAX(0,SUM(Model!$K33:CW33)+SUM(Model!$K80:CW80)),0)</f>
        <v>0</v>
      </c>
      <c r="CX80" s="1" t="n">
        <f aca="false">IF($D$24=1,MAX(0,SUM(Model!$K33:CX33)+SUM(Model!$K80:CX80)),0)</f>
        <v>0</v>
      </c>
      <c r="CY80" s="1" t="n">
        <f aca="false">IF($D$24=1,MAX(0,SUM(Model!$K33:CY33)+SUM(Model!$K80:CY80)),0)</f>
        <v>0</v>
      </c>
      <c r="CZ80" s="1" t="n">
        <f aca="false">IF($D$24=1,MAX(0,SUM(Model!$K33:CZ33)+SUM(Model!$K80:CZ80)),0)</f>
        <v>0</v>
      </c>
      <c r="DA80" s="1" t="n">
        <f aca="false">IF($D$24=1,MAX(0,SUM(Model!$K33:DA33)+SUM(Model!$K80:DA80)),0)</f>
        <v>0</v>
      </c>
      <c r="DB80" s="1" t="n">
        <f aca="false">IF($D$24=1,MAX(0,SUM(Model!$K33:DB33)+SUM(Model!$K80:DB80)),0)</f>
        <v>0</v>
      </c>
      <c r="DC80" s="1" t="n">
        <f aca="false">IF($D$24=1,MAX(0,SUM(Model!$K33:DC33)+SUM(Model!$K80:DC80)),0)</f>
        <v>0</v>
      </c>
      <c r="DD80" s="1" t="n">
        <f aca="false">IF($D$24=1,MAX(0,SUM(Model!$K33:DD33)+SUM(Model!$K80:DD80)),0)</f>
        <v>0</v>
      </c>
      <c r="DE80" s="1" t="n">
        <f aca="false">IF($D$24=1,MAX(0,SUM(Model!$K33:DE33)+SUM(Model!$K80:DE80)),0)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v>0</v>
      </c>
      <c r="K81" s="1" t="n">
        <f aca="false">IF($D$25=1,MAX(0,SUM(Model!$K34:K34)+SUM(Model!$K81:K81)),0)</f>
        <v>0</v>
      </c>
      <c r="L81" s="1" t="n">
        <f aca="false">IF($D$25=1,MAX(0,SUM(Model!$K34:L34)+SUM(Model!$K81:L81)),0)</f>
        <v>0</v>
      </c>
      <c r="M81" s="1" t="n">
        <f aca="false">IF($D$25=1,MAX(0,SUM(Model!$K34:M34)+SUM(Model!$K81:M81)),0)</f>
        <v>0</v>
      </c>
      <c r="N81" s="1" t="n">
        <f aca="false">IF($D$25=1,MAX(0,SUM(Model!$K34:N34)+SUM(Model!$K81:N81)),0)</f>
        <v>0</v>
      </c>
      <c r="O81" s="1" t="n">
        <f aca="false">IF($D$25=1,MAX(0,SUM(Model!$K34:O34)+SUM(Model!$K81:O81)),0)</f>
        <v>0</v>
      </c>
      <c r="P81" s="1" t="n">
        <f aca="false">IF($D$25=1,MAX(0,SUM(Model!$K34:P34)+SUM(Model!$K81:P81)),0)</f>
        <v>0</v>
      </c>
      <c r="Q81" s="1" t="n">
        <f aca="false">IF($D$25=1,MAX(0,SUM(Model!$K34:Q34)+SUM(Model!$K81:Q81)),0)</f>
        <v>0</v>
      </c>
      <c r="R81" s="1" t="n">
        <f aca="false">IF($D$25=1,MAX(0,SUM(Model!$K34:R34)+SUM(Model!$K81:R81)),0)</f>
        <v>0</v>
      </c>
      <c r="S81" s="1" t="n">
        <f aca="false">IF($D$25=1,MAX(0,SUM(Model!$K34:S34)+SUM(Model!$K81:S81)),0)</f>
        <v>0</v>
      </c>
      <c r="T81" s="1" t="n">
        <f aca="false">IF($D$25=1,MAX(0,SUM(Model!$K34:T34)+SUM(Model!$K81:T81)),0)</f>
        <v>0</v>
      </c>
      <c r="U81" s="1" t="n">
        <f aca="false">IF($D$25=1,MAX(0,SUM(Model!$K34:U34)+SUM(Model!$K81:U81)),0)</f>
        <v>0</v>
      </c>
      <c r="V81" s="1" t="n">
        <f aca="false">IF($D$25=1,MAX(0,SUM(Model!$K34:V34)+SUM(Model!$K81:V81)),0)</f>
        <v>0</v>
      </c>
      <c r="W81" s="1" t="n">
        <f aca="false">IF($D$25=1,MAX(0,SUM(Model!$K34:W34)+SUM(Model!$K81:W81)),0)</f>
        <v>0</v>
      </c>
      <c r="X81" s="1" t="n">
        <f aca="false">IF($D$25=1,MAX(0,SUM(Model!$K34:X34)+SUM(Model!$K81:X81)),0)</f>
        <v>0</v>
      </c>
      <c r="Y81" s="1" t="n">
        <f aca="false">IF($D$25=1,MAX(0,SUM(Model!$K34:Y34)+SUM(Model!$K81:Y81)),0)</f>
        <v>0</v>
      </c>
      <c r="Z81" s="1" t="n">
        <f aca="false">IF($D$25=1,MAX(0,SUM(Model!$K34:Z34)+SUM(Model!$K81:Z81)),0)</f>
        <v>0</v>
      </c>
      <c r="AA81" s="1" t="n">
        <f aca="false">IF($D$25=1,MAX(0,SUM(Model!$K34:AA34)+SUM(Model!$K81:AA81)),0)</f>
        <v>0</v>
      </c>
      <c r="AB81" s="1" t="n">
        <f aca="false">IF($D$25=1,MAX(0,SUM(Model!$K34:AB34)+SUM(Model!$K81:AB81)),0)</f>
        <v>0</v>
      </c>
      <c r="AC81" s="1" t="n">
        <f aca="false">IF($D$25=1,MAX(0,SUM(Model!$K34:AC34)+SUM(Model!$K81:AC81)),0)</f>
        <v>0</v>
      </c>
      <c r="AD81" s="1" t="n">
        <f aca="false">IF($D$25=1,MAX(0,SUM(Model!$K34:AD34)+SUM(Model!$K81:AD81)),0)</f>
        <v>0</v>
      </c>
      <c r="AE81" s="1" t="n">
        <f aca="false">IF($D$25=1,MAX(0,SUM(Model!$K34:AE34)+SUM(Model!$K81:AE81)),0)</f>
        <v>0</v>
      </c>
      <c r="AF81" s="1" t="n">
        <f aca="false">IF($D$25=1,MAX(0,SUM(Model!$K34:AF34)+SUM(Model!$K81:AF81)),0)</f>
        <v>0</v>
      </c>
      <c r="AG81" s="1" t="n">
        <f aca="false">IF($D$25=1,MAX(0,SUM(Model!$K34:AG34)+SUM(Model!$K81:AG81)),0)</f>
        <v>0</v>
      </c>
      <c r="AH81" s="1" t="n">
        <f aca="false">IF($D$25=1,MAX(0,SUM(Model!$K34:AH34)+SUM(Model!$K81:AH81)),0)</f>
        <v>0</v>
      </c>
      <c r="AI81" s="1" t="n">
        <f aca="false">IF($D$25=1,MAX(0,SUM(Model!$K34:AI34)+SUM(Model!$K81:AI81)),0)</f>
        <v>0</v>
      </c>
      <c r="AJ81" s="1" t="n">
        <f aca="false">IF($D$25=1,MAX(0,SUM(Model!$K34:AJ34)+SUM(Model!$K81:AJ81)),0)</f>
        <v>0</v>
      </c>
      <c r="AK81" s="1" t="n">
        <f aca="false">IF($D$25=1,MAX(0,SUM(Model!$K34:AK34)+SUM(Model!$K81:AK81)),0)</f>
        <v>0</v>
      </c>
      <c r="AL81" s="1" t="n">
        <f aca="false">IF($D$25=1,MAX(0,SUM(Model!$K34:AL34)+SUM(Model!$K81:AL81)),0)</f>
        <v>0</v>
      </c>
      <c r="AM81" s="1" t="n">
        <f aca="false">IF($D$25=1,MAX(0,SUM(Model!$K34:AM34)+SUM(Model!$K81:AM81)),0)</f>
        <v>0</v>
      </c>
      <c r="AN81" s="1" t="n">
        <f aca="false">IF($D$25=1,MAX(0,SUM(Model!$K34:AN34)+SUM(Model!$K81:AN81)),0)</f>
        <v>0</v>
      </c>
      <c r="AO81" s="1" t="n">
        <f aca="false">IF($D$25=1,MAX(0,SUM(Model!$K34:AO34)+SUM(Model!$K81:AO81)),0)</f>
        <v>0</v>
      </c>
      <c r="AP81" s="1" t="n">
        <f aca="false">IF($D$25=1,MAX(0,SUM(Model!$K34:AP34)+SUM(Model!$K81:AP81)),0)</f>
        <v>0</v>
      </c>
      <c r="AQ81" s="1" t="n">
        <f aca="false">IF($D$25=1,MAX(0,SUM(Model!$K34:AQ34)+SUM(Model!$K81:AQ81)),0)</f>
        <v>0</v>
      </c>
      <c r="AR81" s="1" t="n">
        <f aca="false">IF($D$25=1,MAX(0,SUM(Model!$K34:AR34)+SUM(Model!$K81:AR81)),0)</f>
        <v>0</v>
      </c>
      <c r="AS81" s="1" t="n">
        <f aca="false">IF($D$25=1,MAX(0,SUM(Model!$K34:AS34)+SUM(Model!$K81:AS81)),0)</f>
        <v>0</v>
      </c>
      <c r="AT81" s="1" t="n">
        <f aca="false">IF($D$25=1,MAX(0,SUM(Model!$K34:AT34)+SUM(Model!$K81:AT81)),0)</f>
        <v>0</v>
      </c>
      <c r="AU81" s="1" t="n">
        <f aca="false">IF($D$25=1,MAX(0,SUM(Model!$K34:AU34)+SUM(Model!$K81:AU81)),0)</f>
        <v>0</v>
      </c>
      <c r="AV81" s="1" t="n">
        <f aca="false">IF($D$25=1,MAX(0,SUM(Model!$K34:AV34)+SUM(Model!$K81:AV81)),0)</f>
        <v>0</v>
      </c>
      <c r="AW81" s="1" t="n">
        <f aca="false">IF($D$25=1,MAX(0,SUM(Model!$K34:AW34)+SUM(Model!$K81:AW81)),0)</f>
        <v>0</v>
      </c>
      <c r="AX81" s="1" t="n">
        <f aca="false">IF($D$25=1,MAX(0,SUM(Model!$K34:AX34)+SUM(Model!$K81:AX81)),0)</f>
        <v>0</v>
      </c>
      <c r="AY81" s="1" t="n">
        <f aca="false">IF($D$25=1,MAX(0,SUM(Model!$K34:AY34)+SUM(Model!$K81:AY81)),0)</f>
        <v>0</v>
      </c>
      <c r="AZ81" s="1" t="n">
        <f aca="false">IF($D$25=1,MAX(0,SUM(Model!$K34:AZ34)+SUM(Model!$K81:AZ81)),0)</f>
        <v>0</v>
      </c>
      <c r="BA81" s="1" t="n">
        <f aca="false">IF($D$25=1,MAX(0,SUM(Model!$K34:BA34)+SUM(Model!$K81:BA81)),0)</f>
        <v>0</v>
      </c>
      <c r="BB81" s="1" t="n">
        <f aca="false">IF($D$25=1,MAX(0,SUM(Model!$K34:BB34)+SUM(Model!$K81:BB81)),0)</f>
        <v>0</v>
      </c>
      <c r="BC81" s="1" t="n">
        <f aca="false">IF($D$25=1,MAX(0,SUM(Model!$K34:BC34)+SUM(Model!$K81:BC81)),0)</f>
        <v>0</v>
      </c>
      <c r="BD81" s="1" t="n">
        <f aca="false">IF($D$25=1,MAX(0,SUM(Model!$K34:BD34)+SUM(Model!$K81:BD81)),0)</f>
        <v>0</v>
      </c>
      <c r="BE81" s="1" t="n">
        <f aca="false">IF($D$25=1,MAX(0,SUM(Model!$K34:BE34)+SUM(Model!$K81:BE81)),0)</f>
        <v>0</v>
      </c>
      <c r="BF81" s="1" t="n">
        <f aca="false">IF($D$25=1,MAX(0,SUM(Model!$K34:BF34)+SUM(Model!$K81:BF81)),0)</f>
        <v>0</v>
      </c>
      <c r="BG81" s="1" t="n">
        <f aca="false">IF($D$25=1,MAX(0,SUM(Model!$K34:BG34)+SUM(Model!$K81:BG81)),0)</f>
        <v>0</v>
      </c>
      <c r="BH81" s="1" t="n">
        <f aca="false">IF($D$25=1,MAX(0,SUM(Model!$K34:BH34)+SUM(Model!$K81:BH81)),0)</f>
        <v>0</v>
      </c>
      <c r="BI81" s="1" t="n">
        <f aca="false">IF($D$25=1,MAX(0,SUM(Model!$K34:BI34)+SUM(Model!$K81:BI81)),0)</f>
        <v>0</v>
      </c>
      <c r="BJ81" s="1" t="n">
        <f aca="false">IF($D$25=1,MAX(0,SUM(Model!$K34:BJ34)+SUM(Model!$K81:BJ81)),0)</f>
        <v>0</v>
      </c>
      <c r="BK81" s="1" t="n">
        <f aca="false">IF($D$25=1,MAX(0,SUM(Model!$K34:BK34)+SUM(Model!$K81:BK81)),0)</f>
        <v>0</v>
      </c>
      <c r="BL81" s="1" t="n">
        <f aca="false">IF($D$25=1,MAX(0,SUM(Model!$K34:BL34)+SUM(Model!$K81:BL81)),0)</f>
        <v>0</v>
      </c>
      <c r="BM81" s="1" t="n">
        <f aca="false">IF($D$25=1,MAX(0,SUM(Model!$K34:BM34)+SUM(Model!$K81:BM81)),0)</f>
        <v>0</v>
      </c>
      <c r="BN81" s="1" t="n">
        <f aca="false">IF($D$25=1,MAX(0,SUM(Model!$K34:BN34)+SUM(Model!$K81:BN81)),0)</f>
        <v>0</v>
      </c>
      <c r="BO81" s="1" t="n">
        <f aca="false">IF($D$25=1,MAX(0,SUM(Model!$K34:BO34)+SUM(Model!$K81:BO81)),0)</f>
        <v>0</v>
      </c>
      <c r="BP81" s="1" t="n">
        <f aca="false">IF($D$25=1,MAX(0,SUM(Model!$K34:BP34)+SUM(Model!$K81:BP81)),0)</f>
        <v>0</v>
      </c>
      <c r="BQ81" s="1" t="n">
        <f aca="false">IF($D$25=1,MAX(0,SUM(Model!$K34:BQ34)+SUM(Model!$K81:BQ81)),0)</f>
        <v>0</v>
      </c>
      <c r="BR81" s="1" t="n">
        <f aca="false">IF($D$25=1,MAX(0,SUM(Model!$K34:BR34)+SUM(Model!$K81:BR81)),0)</f>
        <v>0</v>
      </c>
      <c r="BS81" s="1" t="n">
        <f aca="false">IF($D$25=1,MAX(0,SUM(Model!$K34:BS34)+SUM(Model!$K81:BS81)),0)</f>
        <v>0</v>
      </c>
      <c r="BT81" s="1" t="n">
        <f aca="false">IF($D$25=1,MAX(0,SUM(Model!$K34:BT34)+SUM(Model!$K81:BT81)),0)</f>
        <v>0</v>
      </c>
      <c r="BU81" s="1" t="n">
        <f aca="false">IF($D$25=1,MAX(0,SUM(Model!$K34:BU34)+SUM(Model!$K81:BU81)),0)</f>
        <v>0</v>
      </c>
      <c r="BV81" s="1" t="n">
        <f aca="false">IF($D$25=1,MAX(0,SUM(Model!$K34:BV34)+SUM(Model!$K81:BV81)),0)</f>
        <v>0</v>
      </c>
      <c r="BW81" s="1" t="n">
        <f aca="false">IF($D$25=1,MAX(0,SUM(Model!$K34:BW34)+SUM(Model!$K81:BW81)),0)</f>
        <v>0</v>
      </c>
      <c r="BX81" s="1" t="n">
        <f aca="false">IF($D$25=1,MAX(0,SUM(Model!$K34:BX34)+SUM(Model!$K81:BX81)),0)</f>
        <v>0</v>
      </c>
      <c r="BY81" s="1" t="n">
        <f aca="false">IF($D$25=1,MAX(0,SUM(Model!$K34:BY34)+SUM(Model!$K81:BY81)),0)</f>
        <v>0</v>
      </c>
      <c r="BZ81" s="1" t="n">
        <f aca="false">IF($D$25=1,MAX(0,SUM(Model!$K34:BZ34)+SUM(Model!$K81:BZ81)),0)</f>
        <v>0</v>
      </c>
      <c r="CA81" s="1" t="n">
        <f aca="false">IF($D$25=1,MAX(0,SUM(Model!$K34:CA34)+SUM(Model!$K81:CA81)),0)</f>
        <v>0</v>
      </c>
      <c r="CB81" s="1" t="n">
        <f aca="false">IF($D$25=1,MAX(0,SUM(Model!$K34:CB34)+SUM(Model!$K81:CB81)),0)</f>
        <v>0</v>
      </c>
      <c r="CC81" s="1" t="n">
        <f aca="false">IF($D$25=1,MAX(0,SUM(Model!$K34:CC34)+SUM(Model!$K81:CC81)),0)</f>
        <v>0</v>
      </c>
      <c r="CD81" s="1" t="n">
        <f aca="false">IF($D$25=1,MAX(0,SUM(Model!$K34:CD34)+SUM(Model!$K81:CD81)),0)</f>
        <v>0</v>
      </c>
      <c r="CE81" s="1" t="n">
        <f aca="false">IF($D$25=1,MAX(0,SUM(Model!$K34:CE34)+SUM(Model!$K81:CE81)),0)</f>
        <v>0</v>
      </c>
      <c r="CF81" s="1" t="n">
        <f aca="false">IF($D$25=1,MAX(0,SUM(Model!$K34:CF34)+SUM(Model!$K81:CF81)),0)</f>
        <v>0</v>
      </c>
      <c r="CG81" s="1" t="n">
        <f aca="false">IF($D$25=1,MAX(0,SUM(Model!$K34:CG34)+SUM(Model!$K81:CG81)),0)</f>
        <v>0</v>
      </c>
      <c r="CH81" s="1" t="n">
        <f aca="false">IF($D$25=1,MAX(0,SUM(Model!$K34:CH34)+SUM(Model!$K81:CH81)),0)</f>
        <v>0</v>
      </c>
      <c r="CI81" s="1" t="n">
        <f aca="false">IF($D$25=1,MAX(0,SUM(Model!$K34:CI34)+SUM(Model!$K81:CI81)),0)</f>
        <v>0</v>
      </c>
      <c r="CJ81" s="1" t="n">
        <f aca="false">IF($D$25=1,MAX(0,SUM(Model!$K34:CJ34)+SUM(Model!$K81:CJ81)),0)</f>
        <v>0</v>
      </c>
      <c r="CK81" s="1" t="n">
        <f aca="false">IF($D$25=1,MAX(0,SUM(Model!$K34:CK34)+SUM(Model!$K81:CK81)),0)</f>
        <v>0</v>
      </c>
      <c r="CL81" s="1" t="n">
        <f aca="false">IF($D$25=1,MAX(0,SUM(Model!$K34:CL34)+SUM(Model!$K81:CL81)),0)</f>
        <v>0</v>
      </c>
      <c r="CM81" s="1" t="n">
        <f aca="false">IF($D$25=1,MAX(0,SUM(Model!$K34:CM34)+SUM(Model!$K81:CM81)),0)</f>
        <v>0</v>
      </c>
      <c r="CN81" s="1" t="n">
        <f aca="false">IF($D$25=1,MAX(0,SUM(Model!$K34:CN34)+SUM(Model!$K81:CN81)),0)</f>
        <v>0</v>
      </c>
      <c r="CO81" s="1" t="n">
        <f aca="false">IF($D$25=1,MAX(0,SUM(Model!$K34:CO34)+SUM(Model!$K81:CO81)),0)</f>
        <v>0</v>
      </c>
      <c r="CP81" s="1" t="n">
        <f aca="false">IF($D$25=1,MAX(0,SUM(Model!$K34:CP34)+SUM(Model!$K81:CP81)),0)</f>
        <v>0</v>
      </c>
      <c r="CQ81" s="1" t="n">
        <f aca="false">IF($D$25=1,MAX(0,SUM(Model!$K34:CQ34)+SUM(Model!$K81:CQ81)),0)</f>
        <v>0</v>
      </c>
      <c r="CR81" s="1" t="n">
        <f aca="false">IF($D$25=1,MAX(0,SUM(Model!$K34:CR34)+SUM(Model!$K81:CR81)),0)</f>
        <v>0</v>
      </c>
      <c r="CS81" s="1" t="n">
        <f aca="false">IF($D$25=1,MAX(0,SUM(Model!$K34:CS34)+SUM(Model!$K81:CS81)),0)</f>
        <v>0</v>
      </c>
      <c r="CT81" s="1" t="n">
        <f aca="false">IF($D$25=1,MAX(0,SUM(Model!$K34:CT34)+SUM(Model!$K81:CT81)),0)</f>
        <v>0</v>
      </c>
      <c r="CU81" s="1" t="n">
        <f aca="false">IF($D$25=1,MAX(0,SUM(Model!$K34:CU34)+SUM(Model!$K81:CU81)),0)</f>
        <v>0</v>
      </c>
      <c r="CV81" s="1" t="n">
        <f aca="false">IF($D$25=1,MAX(0,SUM(Model!$K34:CV34)+SUM(Model!$K81:CV81)),0)</f>
        <v>0</v>
      </c>
      <c r="CW81" s="1" t="n">
        <f aca="false">IF($D$25=1,MAX(0,SUM(Model!$K34:CW34)+SUM(Model!$K81:CW81)),0)</f>
        <v>0</v>
      </c>
      <c r="CX81" s="1" t="n">
        <f aca="false">IF($D$25=1,MAX(0,SUM(Model!$K34:CX34)+SUM(Model!$K81:CX81)),0)</f>
        <v>0</v>
      </c>
      <c r="CY81" s="1" t="n">
        <f aca="false">IF($D$25=1,MAX(0,SUM(Model!$K34:CY34)+SUM(Model!$K81:CY81)),0)</f>
        <v>0</v>
      </c>
      <c r="CZ81" s="1" t="n">
        <f aca="false">IF($D$25=1,MAX(0,SUM(Model!$K34:CZ34)+SUM(Model!$K81:CZ81)),0)</f>
        <v>0</v>
      </c>
      <c r="DA81" s="1" t="n">
        <f aca="false">IF($D$25=1,MAX(0,SUM(Model!$K34:DA34)+SUM(Model!$K81:DA81)),0)</f>
        <v>0</v>
      </c>
      <c r="DB81" s="1" t="n">
        <f aca="false">IF($D$25=1,MAX(0,SUM(Model!$K34:DB34)+SUM(Model!$K81:DB81)),0)</f>
        <v>0</v>
      </c>
      <c r="DC81" s="1" t="n">
        <f aca="false">IF($D$25=1,MAX(0,SUM(Model!$K34:DC34)+SUM(Model!$K81:DC81)),0)</f>
        <v>0</v>
      </c>
      <c r="DD81" s="1" t="n">
        <f aca="false">IF($D$25=1,MAX(0,SUM(Model!$K34:DD34)+SUM(Model!$K81:DD81)),0)</f>
        <v>0</v>
      </c>
      <c r="DE81" s="1" t="n">
        <f aca="false">IF($D$25=1,MAX(0,SUM(Model!$K34:DE34)+SUM(Model!$K81:DE81)),0)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v>0</v>
      </c>
      <c r="K82" s="1" t="n">
        <f aca="false">IF($D$26=1,MAX(0,SUM(Model!$K35:K35)+SUM(Model!$K82:K82)),0)</f>
        <v>0</v>
      </c>
      <c r="L82" s="1" t="n">
        <f aca="false">IF($D$26=1,MAX(0,SUM(Model!$K35:L35)+SUM(Model!$K82:L82)),0)</f>
        <v>0</v>
      </c>
      <c r="M82" s="1" t="n">
        <f aca="false">IF($D$26=1,MAX(0,SUM(Model!$K35:M35)+SUM(Model!$K82:M82)),0)</f>
        <v>0</v>
      </c>
      <c r="N82" s="1" t="n">
        <f aca="false">IF($D$26=1,MAX(0,SUM(Model!$K35:N35)+SUM(Model!$K82:N82)),0)</f>
        <v>0</v>
      </c>
      <c r="O82" s="1" t="n">
        <f aca="false">IF($D$26=1,MAX(0,SUM(Model!$K35:O35)+SUM(Model!$K82:O82)),0)</f>
        <v>0</v>
      </c>
      <c r="P82" s="1" t="n">
        <f aca="false">IF($D$26=1,MAX(0,SUM(Model!$K35:P35)+SUM(Model!$K82:P82)),0)</f>
        <v>0</v>
      </c>
      <c r="Q82" s="1" t="n">
        <f aca="false">IF($D$26=1,MAX(0,SUM(Model!$K35:Q35)+SUM(Model!$K82:Q82)),0)</f>
        <v>0</v>
      </c>
      <c r="R82" s="1" t="n">
        <f aca="false">IF($D$26=1,MAX(0,SUM(Model!$K35:R35)+SUM(Model!$K82:R82)),0)</f>
        <v>0</v>
      </c>
      <c r="S82" s="1" t="n">
        <f aca="false">IF($D$26=1,MAX(0,SUM(Model!$K35:S35)+SUM(Model!$K82:S82)),0)</f>
        <v>0</v>
      </c>
      <c r="T82" s="1" t="n">
        <f aca="false">IF($D$26=1,MAX(0,SUM(Model!$K35:T35)+SUM(Model!$K82:T82)),0)</f>
        <v>0</v>
      </c>
      <c r="U82" s="1" t="n">
        <f aca="false">IF($D$26=1,MAX(0,SUM(Model!$K35:U35)+SUM(Model!$K82:U82)),0)</f>
        <v>0</v>
      </c>
      <c r="V82" s="1" t="n">
        <f aca="false">IF($D$26=1,MAX(0,SUM(Model!$K35:V35)+SUM(Model!$K82:V82)),0)</f>
        <v>0</v>
      </c>
      <c r="W82" s="1" t="n">
        <f aca="false">IF($D$26=1,MAX(0,SUM(Model!$K35:W35)+SUM(Model!$K82:W82)),0)</f>
        <v>0</v>
      </c>
      <c r="X82" s="1" t="n">
        <f aca="false">IF($D$26=1,MAX(0,SUM(Model!$K35:X35)+SUM(Model!$K82:X82)),0)</f>
        <v>0</v>
      </c>
      <c r="Y82" s="1" t="n">
        <f aca="false">IF($D$26=1,MAX(0,SUM(Model!$K35:Y35)+SUM(Model!$K82:Y82)),0)</f>
        <v>0</v>
      </c>
      <c r="Z82" s="1" t="n">
        <f aca="false">IF($D$26=1,MAX(0,SUM(Model!$K35:Z35)+SUM(Model!$K82:Z82)),0)</f>
        <v>0</v>
      </c>
      <c r="AA82" s="1" t="n">
        <f aca="false">IF($D$26=1,MAX(0,SUM(Model!$K35:AA35)+SUM(Model!$K82:AA82)),0)</f>
        <v>0</v>
      </c>
      <c r="AB82" s="1" t="n">
        <f aca="false">IF($D$26=1,MAX(0,SUM(Model!$K35:AB35)+SUM(Model!$K82:AB82)),0)</f>
        <v>0</v>
      </c>
      <c r="AC82" s="1" t="n">
        <f aca="false">IF($D$26=1,MAX(0,SUM(Model!$K35:AC35)+SUM(Model!$K82:AC82)),0)</f>
        <v>0</v>
      </c>
      <c r="AD82" s="1" t="n">
        <f aca="false">IF($D$26=1,MAX(0,SUM(Model!$K35:AD35)+SUM(Model!$K82:AD82)),0)</f>
        <v>0</v>
      </c>
      <c r="AE82" s="1" t="n">
        <f aca="false">IF($D$26=1,MAX(0,SUM(Model!$K35:AE35)+SUM(Model!$K82:AE82)),0)</f>
        <v>0</v>
      </c>
      <c r="AF82" s="1" t="n">
        <f aca="false">IF($D$26=1,MAX(0,SUM(Model!$K35:AF35)+SUM(Model!$K82:AF82)),0)</f>
        <v>0</v>
      </c>
      <c r="AG82" s="1" t="n">
        <f aca="false">IF($D$26=1,MAX(0,SUM(Model!$K35:AG35)+SUM(Model!$K82:AG82)),0)</f>
        <v>0</v>
      </c>
      <c r="AH82" s="1" t="n">
        <f aca="false">IF($D$26=1,MAX(0,SUM(Model!$K35:AH35)+SUM(Model!$K82:AH82)),0)</f>
        <v>0</v>
      </c>
      <c r="AI82" s="1" t="n">
        <f aca="false">IF($D$26=1,MAX(0,SUM(Model!$K35:AI35)+SUM(Model!$K82:AI82)),0)</f>
        <v>0</v>
      </c>
      <c r="AJ82" s="1" t="n">
        <f aca="false">IF($D$26=1,MAX(0,SUM(Model!$K35:AJ35)+SUM(Model!$K82:AJ82)),0)</f>
        <v>0</v>
      </c>
      <c r="AK82" s="1" t="n">
        <f aca="false">IF($D$26=1,MAX(0,SUM(Model!$K35:AK35)+SUM(Model!$K82:AK82)),0)</f>
        <v>0</v>
      </c>
      <c r="AL82" s="1" t="n">
        <f aca="false">IF($D$26=1,MAX(0,SUM(Model!$K35:AL35)+SUM(Model!$K82:AL82)),0)</f>
        <v>0</v>
      </c>
      <c r="AM82" s="1" t="n">
        <f aca="false">IF($D$26=1,MAX(0,SUM(Model!$K35:AM35)+SUM(Model!$K82:AM82)),0)</f>
        <v>0</v>
      </c>
      <c r="AN82" s="1" t="n">
        <f aca="false">IF($D$26=1,MAX(0,SUM(Model!$K35:AN35)+SUM(Model!$K82:AN82)),0)</f>
        <v>0</v>
      </c>
      <c r="AO82" s="1" t="n">
        <f aca="false">IF($D$26=1,MAX(0,SUM(Model!$K35:AO35)+SUM(Model!$K82:AO82)),0)</f>
        <v>0</v>
      </c>
      <c r="AP82" s="1" t="n">
        <f aca="false">IF($D$26=1,MAX(0,SUM(Model!$K35:AP35)+SUM(Model!$K82:AP82)),0)</f>
        <v>0</v>
      </c>
      <c r="AQ82" s="1" t="n">
        <f aca="false">IF($D$26=1,MAX(0,SUM(Model!$K35:AQ35)+SUM(Model!$K82:AQ82)),0)</f>
        <v>0</v>
      </c>
      <c r="AR82" s="1" t="n">
        <f aca="false">IF($D$26=1,MAX(0,SUM(Model!$K35:AR35)+SUM(Model!$K82:AR82)),0)</f>
        <v>0</v>
      </c>
      <c r="AS82" s="1" t="n">
        <f aca="false">IF($D$26=1,MAX(0,SUM(Model!$K35:AS35)+SUM(Model!$K82:AS82)),0)</f>
        <v>0</v>
      </c>
      <c r="AT82" s="1" t="n">
        <f aca="false">IF($D$26=1,MAX(0,SUM(Model!$K35:AT35)+SUM(Model!$K82:AT82)),0)</f>
        <v>0</v>
      </c>
      <c r="AU82" s="1" t="n">
        <f aca="false">IF($D$26=1,MAX(0,SUM(Model!$K35:AU35)+SUM(Model!$K82:AU82)),0)</f>
        <v>0</v>
      </c>
      <c r="AV82" s="1" t="n">
        <f aca="false">IF($D$26=1,MAX(0,SUM(Model!$K35:AV35)+SUM(Model!$K82:AV82)),0)</f>
        <v>0</v>
      </c>
      <c r="AW82" s="1" t="n">
        <f aca="false">IF($D$26=1,MAX(0,SUM(Model!$K35:AW35)+SUM(Model!$K82:AW82)),0)</f>
        <v>0</v>
      </c>
      <c r="AX82" s="1" t="n">
        <f aca="false">IF($D$26=1,MAX(0,SUM(Model!$K35:AX35)+SUM(Model!$K82:AX82)),0)</f>
        <v>0</v>
      </c>
      <c r="AY82" s="1" t="n">
        <f aca="false">IF($D$26=1,MAX(0,SUM(Model!$K35:AY35)+SUM(Model!$K82:AY82)),0)</f>
        <v>0</v>
      </c>
      <c r="AZ82" s="1" t="n">
        <f aca="false">IF($D$26=1,MAX(0,SUM(Model!$K35:AZ35)+SUM(Model!$K82:AZ82)),0)</f>
        <v>0</v>
      </c>
      <c r="BA82" s="1" t="n">
        <f aca="false">IF($D$26=1,MAX(0,SUM(Model!$K35:BA35)+SUM(Model!$K82:BA82)),0)</f>
        <v>0</v>
      </c>
      <c r="BB82" s="1" t="n">
        <f aca="false">IF($D$26=1,MAX(0,SUM(Model!$K35:BB35)+SUM(Model!$K82:BB82)),0)</f>
        <v>0</v>
      </c>
      <c r="BC82" s="1" t="n">
        <f aca="false">IF($D$26=1,MAX(0,SUM(Model!$K35:BC35)+SUM(Model!$K82:BC82)),0)</f>
        <v>0</v>
      </c>
      <c r="BD82" s="1" t="n">
        <f aca="false">IF($D$26=1,MAX(0,SUM(Model!$K35:BD35)+SUM(Model!$K82:BD82)),0)</f>
        <v>0</v>
      </c>
      <c r="BE82" s="1" t="n">
        <f aca="false">IF($D$26=1,MAX(0,SUM(Model!$K35:BE35)+SUM(Model!$K82:BE82)),0)</f>
        <v>0</v>
      </c>
      <c r="BF82" s="1" t="n">
        <f aca="false">IF($D$26=1,MAX(0,SUM(Model!$K35:BF35)+SUM(Model!$K82:BF82)),0)</f>
        <v>0</v>
      </c>
      <c r="BG82" s="1" t="n">
        <f aca="false">IF($D$26=1,MAX(0,SUM(Model!$K35:BG35)+SUM(Model!$K82:BG82)),0)</f>
        <v>0</v>
      </c>
      <c r="BH82" s="1" t="n">
        <f aca="false">IF($D$26=1,MAX(0,SUM(Model!$K35:BH35)+SUM(Model!$K82:BH82)),0)</f>
        <v>0</v>
      </c>
      <c r="BI82" s="1" t="n">
        <f aca="false">IF($D$26=1,MAX(0,SUM(Model!$K35:BI35)+SUM(Model!$K82:BI82)),0)</f>
        <v>0</v>
      </c>
      <c r="BJ82" s="1" t="n">
        <f aca="false">IF($D$26=1,MAX(0,SUM(Model!$K35:BJ35)+SUM(Model!$K82:BJ82)),0)</f>
        <v>0</v>
      </c>
      <c r="BK82" s="1" t="n">
        <f aca="false">IF($D$26=1,MAX(0,SUM(Model!$K35:BK35)+SUM(Model!$K82:BK82)),0)</f>
        <v>0</v>
      </c>
      <c r="BL82" s="1" t="n">
        <f aca="false">IF($D$26=1,MAX(0,SUM(Model!$K35:BL35)+SUM(Model!$K82:BL82)),0)</f>
        <v>0</v>
      </c>
      <c r="BM82" s="1" t="n">
        <f aca="false">IF($D$26=1,MAX(0,SUM(Model!$K35:BM35)+SUM(Model!$K82:BM82)),0)</f>
        <v>0</v>
      </c>
      <c r="BN82" s="1" t="n">
        <f aca="false">IF($D$26=1,MAX(0,SUM(Model!$K35:BN35)+SUM(Model!$K82:BN82)),0)</f>
        <v>0</v>
      </c>
      <c r="BO82" s="1" t="n">
        <f aca="false">IF($D$26=1,MAX(0,SUM(Model!$K35:BO35)+SUM(Model!$K82:BO82)),0)</f>
        <v>0</v>
      </c>
      <c r="BP82" s="1" t="n">
        <f aca="false">IF($D$26=1,MAX(0,SUM(Model!$K35:BP35)+SUM(Model!$K82:BP82)),0)</f>
        <v>0</v>
      </c>
      <c r="BQ82" s="1" t="n">
        <f aca="false">IF($D$26=1,MAX(0,SUM(Model!$K35:BQ35)+SUM(Model!$K82:BQ82)),0)</f>
        <v>0</v>
      </c>
      <c r="BR82" s="1" t="n">
        <f aca="false">IF($D$26=1,MAX(0,SUM(Model!$K35:BR35)+SUM(Model!$K82:BR82)),0)</f>
        <v>0</v>
      </c>
      <c r="BS82" s="1" t="n">
        <f aca="false">IF($D$26=1,MAX(0,SUM(Model!$K35:BS35)+SUM(Model!$K82:BS82)),0)</f>
        <v>0</v>
      </c>
      <c r="BT82" s="1" t="n">
        <f aca="false">IF($D$26=1,MAX(0,SUM(Model!$K35:BT35)+SUM(Model!$K82:BT82)),0)</f>
        <v>0</v>
      </c>
      <c r="BU82" s="1" t="n">
        <f aca="false">IF($D$26=1,MAX(0,SUM(Model!$K35:BU35)+SUM(Model!$K82:BU82)),0)</f>
        <v>0</v>
      </c>
      <c r="BV82" s="1" t="n">
        <f aca="false">IF($D$26=1,MAX(0,SUM(Model!$K35:BV35)+SUM(Model!$K82:BV82)),0)</f>
        <v>0</v>
      </c>
      <c r="BW82" s="1" t="n">
        <f aca="false">IF($D$26=1,MAX(0,SUM(Model!$K35:BW35)+SUM(Model!$K82:BW82)),0)</f>
        <v>0</v>
      </c>
      <c r="BX82" s="1" t="n">
        <f aca="false">IF($D$26=1,MAX(0,SUM(Model!$K35:BX35)+SUM(Model!$K82:BX82)),0)</f>
        <v>0</v>
      </c>
      <c r="BY82" s="1" t="n">
        <f aca="false">IF($D$26=1,MAX(0,SUM(Model!$K35:BY35)+SUM(Model!$K82:BY82)),0)</f>
        <v>0</v>
      </c>
      <c r="BZ82" s="1" t="n">
        <f aca="false">IF($D$26=1,MAX(0,SUM(Model!$K35:BZ35)+SUM(Model!$K82:BZ82)),0)</f>
        <v>0</v>
      </c>
      <c r="CA82" s="1" t="n">
        <f aca="false">IF($D$26=1,MAX(0,SUM(Model!$K35:CA35)+SUM(Model!$K82:CA82)),0)</f>
        <v>0</v>
      </c>
      <c r="CB82" s="1" t="n">
        <f aca="false">IF($D$26=1,MAX(0,SUM(Model!$K35:CB35)+SUM(Model!$K82:CB82)),0)</f>
        <v>0</v>
      </c>
      <c r="CC82" s="1" t="n">
        <f aca="false">IF($D$26=1,MAX(0,SUM(Model!$K35:CC35)+SUM(Model!$K82:CC82)),0)</f>
        <v>0</v>
      </c>
      <c r="CD82" s="1" t="n">
        <f aca="false">IF($D$26=1,MAX(0,SUM(Model!$K35:CD35)+SUM(Model!$K82:CD82)),0)</f>
        <v>0</v>
      </c>
      <c r="CE82" s="1" t="n">
        <f aca="false">IF($D$26=1,MAX(0,SUM(Model!$K35:CE35)+SUM(Model!$K82:CE82)),0)</f>
        <v>0</v>
      </c>
      <c r="CF82" s="1" t="n">
        <f aca="false">IF($D$26=1,MAX(0,SUM(Model!$K35:CF35)+SUM(Model!$K82:CF82)),0)</f>
        <v>0</v>
      </c>
      <c r="CG82" s="1" t="n">
        <f aca="false">IF($D$26=1,MAX(0,SUM(Model!$K35:CG35)+SUM(Model!$K82:CG82)),0)</f>
        <v>0</v>
      </c>
      <c r="CH82" s="1" t="n">
        <f aca="false">IF($D$26=1,MAX(0,SUM(Model!$K35:CH35)+SUM(Model!$K82:CH82)),0)</f>
        <v>0</v>
      </c>
      <c r="CI82" s="1" t="n">
        <f aca="false">IF($D$26=1,MAX(0,SUM(Model!$K35:CI35)+SUM(Model!$K82:CI82)),0)</f>
        <v>0</v>
      </c>
      <c r="CJ82" s="1" t="n">
        <f aca="false">IF($D$26=1,MAX(0,SUM(Model!$K35:CJ35)+SUM(Model!$K82:CJ82)),0)</f>
        <v>0</v>
      </c>
      <c r="CK82" s="1" t="n">
        <f aca="false">IF($D$26=1,MAX(0,SUM(Model!$K35:CK35)+SUM(Model!$K82:CK82)),0)</f>
        <v>0</v>
      </c>
      <c r="CL82" s="1" t="n">
        <f aca="false">IF($D$26=1,MAX(0,SUM(Model!$K35:CL35)+SUM(Model!$K82:CL82)),0)</f>
        <v>0</v>
      </c>
      <c r="CM82" s="1" t="n">
        <f aca="false">IF($D$26=1,MAX(0,SUM(Model!$K35:CM35)+SUM(Model!$K82:CM82)),0)</f>
        <v>0</v>
      </c>
      <c r="CN82" s="1" t="n">
        <f aca="false">IF($D$26=1,MAX(0,SUM(Model!$K35:CN35)+SUM(Model!$K82:CN82)),0)</f>
        <v>0</v>
      </c>
      <c r="CO82" s="1" t="n">
        <f aca="false">IF($D$26=1,MAX(0,SUM(Model!$K35:CO35)+SUM(Model!$K82:CO82)),0)</f>
        <v>0</v>
      </c>
      <c r="CP82" s="1" t="n">
        <f aca="false">IF($D$26=1,MAX(0,SUM(Model!$K35:CP35)+SUM(Model!$K82:CP82)),0)</f>
        <v>0</v>
      </c>
      <c r="CQ82" s="1" t="n">
        <f aca="false">IF($D$26=1,MAX(0,SUM(Model!$K35:CQ35)+SUM(Model!$K82:CQ82)),0)</f>
        <v>0</v>
      </c>
      <c r="CR82" s="1" t="n">
        <f aca="false">IF($D$26=1,MAX(0,SUM(Model!$K35:CR35)+SUM(Model!$K82:CR82)),0)</f>
        <v>0</v>
      </c>
      <c r="CS82" s="1" t="n">
        <f aca="false">IF($D$26=1,MAX(0,SUM(Model!$K35:CS35)+SUM(Model!$K82:CS82)),0)</f>
        <v>0</v>
      </c>
      <c r="CT82" s="1" t="n">
        <f aca="false">IF($D$26=1,MAX(0,SUM(Model!$K35:CT35)+SUM(Model!$K82:CT82)),0)</f>
        <v>0</v>
      </c>
      <c r="CU82" s="1" t="n">
        <f aca="false">IF($D$26=1,MAX(0,SUM(Model!$K35:CU35)+SUM(Model!$K82:CU82)),0)</f>
        <v>0</v>
      </c>
      <c r="CV82" s="1" t="n">
        <f aca="false">IF($D$26=1,MAX(0,SUM(Model!$K35:CV35)+SUM(Model!$K82:CV82)),0)</f>
        <v>0</v>
      </c>
      <c r="CW82" s="1" t="n">
        <f aca="false">IF($D$26=1,MAX(0,SUM(Model!$K35:CW35)+SUM(Model!$K82:CW82)),0)</f>
        <v>0</v>
      </c>
      <c r="CX82" s="1" t="n">
        <f aca="false">IF($D$26=1,MAX(0,SUM(Model!$K35:CX35)+SUM(Model!$K82:CX82)),0)</f>
        <v>0</v>
      </c>
      <c r="CY82" s="1" t="n">
        <f aca="false">IF($D$26=1,MAX(0,SUM(Model!$K35:CY35)+SUM(Model!$K82:CY82)),0)</f>
        <v>0</v>
      </c>
      <c r="CZ82" s="1" t="n">
        <f aca="false">IF($D$26=1,MAX(0,SUM(Model!$K35:CZ35)+SUM(Model!$K82:CZ82)),0)</f>
        <v>0</v>
      </c>
      <c r="DA82" s="1" t="n">
        <f aca="false">IF($D$26=1,MAX(0,SUM(Model!$K35:DA35)+SUM(Model!$K82:DA82)),0)</f>
        <v>0</v>
      </c>
      <c r="DB82" s="1" t="n">
        <f aca="false">IF($D$26=1,MAX(0,SUM(Model!$K35:DB35)+SUM(Model!$K82:DB82)),0)</f>
        <v>0</v>
      </c>
      <c r="DC82" s="1" t="n">
        <f aca="false">IF($D$26=1,MAX(0,SUM(Model!$K35:DC35)+SUM(Model!$K82:DC82)),0)</f>
        <v>0</v>
      </c>
      <c r="DD82" s="1" t="n">
        <f aca="false">IF($D$26=1,MAX(0,SUM(Model!$K35:DD35)+SUM(Model!$K82:DD82)),0)</f>
        <v>0</v>
      </c>
      <c r="DE82" s="1" t="n">
        <f aca="false">IF($D$26=1,MAX(0,SUM(Model!$K35:DE35)+SUM(Model!$K82:DE82)),0)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v>0</v>
      </c>
      <c r="K83" s="1" t="n">
        <f aca="false">IF($D$27=1,MAX(0,SUM(Model!$K36:K36)+SUM(Model!$K83:K83)),0)</f>
        <v>0</v>
      </c>
      <c r="L83" s="1" t="n">
        <f aca="false">IF($D$27=1,MAX(0,SUM(Model!$K36:L36)+SUM(Model!$K83:L83)),0)</f>
        <v>0</v>
      </c>
      <c r="M83" s="1" t="n">
        <f aca="false">IF($D$27=1,MAX(0,SUM(Model!$K36:M36)+SUM(Model!$K83:M83)),0)</f>
        <v>0</v>
      </c>
      <c r="N83" s="1" t="n">
        <f aca="false">IF($D$27=1,MAX(0,SUM(Model!$K36:N36)+SUM(Model!$K83:N83)),0)</f>
        <v>0</v>
      </c>
      <c r="O83" s="1" t="n">
        <f aca="false">IF($D$27=1,MAX(0,SUM(Model!$K36:O36)+SUM(Model!$K83:O83)),0)</f>
        <v>0</v>
      </c>
      <c r="P83" s="1" t="n">
        <f aca="false">IF($D$27=1,MAX(0,SUM(Model!$K36:P36)+SUM(Model!$K83:P83)),0)</f>
        <v>0</v>
      </c>
      <c r="Q83" s="1" t="n">
        <f aca="false">IF($D$27=1,MAX(0,SUM(Model!$K36:Q36)+SUM(Model!$K83:Q83)),0)</f>
        <v>0</v>
      </c>
      <c r="R83" s="1" t="n">
        <f aca="false">IF($D$27=1,MAX(0,SUM(Model!$K36:R36)+SUM(Model!$K83:R83)),0)</f>
        <v>0</v>
      </c>
      <c r="S83" s="1" t="n">
        <f aca="false">IF($D$27=1,MAX(0,SUM(Model!$K36:S36)+SUM(Model!$K83:S83)),0)</f>
        <v>0</v>
      </c>
      <c r="T83" s="1" t="n">
        <f aca="false">IF($D$27=1,MAX(0,SUM(Model!$K36:T36)+SUM(Model!$K83:T83)),0)</f>
        <v>0</v>
      </c>
      <c r="U83" s="1" t="n">
        <f aca="false">IF($D$27=1,MAX(0,SUM(Model!$K36:U36)+SUM(Model!$K83:U83)),0)</f>
        <v>0</v>
      </c>
      <c r="V83" s="1" t="n">
        <f aca="false">IF($D$27=1,MAX(0,SUM(Model!$K36:V36)+SUM(Model!$K83:V83)),0)</f>
        <v>0</v>
      </c>
      <c r="W83" s="1" t="n">
        <f aca="false">IF($D$27=1,MAX(0,SUM(Model!$K36:W36)+SUM(Model!$K83:W83)),0)</f>
        <v>0</v>
      </c>
      <c r="X83" s="1" t="n">
        <f aca="false">IF($D$27=1,MAX(0,SUM(Model!$K36:X36)+SUM(Model!$K83:X83)),0)</f>
        <v>0</v>
      </c>
      <c r="Y83" s="1" t="n">
        <f aca="false">IF($D$27=1,MAX(0,SUM(Model!$K36:Y36)+SUM(Model!$K83:Y83)),0)</f>
        <v>0</v>
      </c>
      <c r="Z83" s="1" t="n">
        <f aca="false">IF($D$27=1,MAX(0,SUM(Model!$K36:Z36)+SUM(Model!$K83:Z83)),0)</f>
        <v>0</v>
      </c>
      <c r="AA83" s="1" t="n">
        <f aca="false">IF($D$27=1,MAX(0,SUM(Model!$K36:AA36)+SUM(Model!$K83:AA83)),0)</f>
        <v>0</v>
      </c>
      <c r="AB83" s="1" t="n">
        <f aca="false">IF($D$27=1,MAX(0,SUM(Model!$K36:AB36)+SUM(Model!$K83:AB83)),0)</f>
        <v>0</v>
      </c>
      <c r="AC83" s="1" t="n">
        <f aca="false">IF($D$27=1,MAX(0,SUM(Model!$K36:AC36)+SUM(Model!$K83:AC83)),0)</f>
        <v>0</v>
      </c>
      <c r="AD83" s="1" t="n">
        <f aca="false">IF($D$27=1,MAX(0,SUM(Model!$K36:AD36)+SUM(Model!$K83:AD83)),0)</f>
        <v>0</v>
      </c>
      <c r="AE83" s="1" t="n">
        <f aca="false">IF($D$27=1,MAX(0,SUM(Model!$K36:AE36)+SUM(Model!$K83:AE83)),0)</f>
        <v>0</v>
      </c>
      <c r="AF83" s="1" t="n">
        <f aca="false">IF($D$27=1,MAX(0,SUM(Model!$K36:AF36)+SUM(Model!$K83:AF83)),0)</f>
        <v>0</v>
      </c>
      <c r="AG83" s="1" t="n">
        <f aca="false">IF($D$27=1,MAX(0,SUM(Model!$K36:AG36)+SUM(Model!$K83:AG83)),0)</f>
        <v>0</v>
      </c>
      <c r="AH83" s="1" t="n">
        <f aca="false">IF($D$27=1,MAX(0,SUM(Model!$K36:AH36)+SUM(Model!$K83:AH83)),0)</f>
        <v>0</v>
      </c>
      <c r="AI83" s="1" t="n">
        <f aca="false">IF($D$27=1,MAX(0,SUM(Model!$K36:AI36)+SUM(Model!$K83:AI83)),0)</f>
        <v>0</v>
      </c>
      <c r="AJ83" s="1" t="n">
        <f aca="false">IF($D$27=1,MAX(0,SUM(Model!$K36:AJ36)+SUM(Model!$K83:AJ83)),0)</f>
        <v>0</v>
      </c>
      <c r="AK83" s="1" t="n">
        <f aca="false">IF($D$27=1,MAX(0,SUM(Model!$K36:AK36)+SUM(Model!$K83:AK83)),0)</f>
        <v>0</v>
      </c>
      <c r="AL83" s="1" t="n">
        <f aca="false">IF($D$27=1,MAX(0,SUM(Model!$K36:AL36)+SUM(Model!$K83:AL83)),0)</f>
        <v>0</v>
      </c>
      <c r="AM83" s="1" t="n">
        <f aca="false">IF($D$27=1,MAX(0,SUM(Model!$K36:AM36)+SUM(Model!$K83:AM83)),0)</f>
        <v>0</v>
      </c>
      <c r="AN83" s="1" t="n">
        <f aca="false">IF($D$27=1,MAX(0,SUM(Model!$K36:AN36)+SUM(Model!$K83:AN83)),0)</f>
        <v>0</v>
      </c>
      <c r="AO83" s="1" t="n">
        <f aca="false">IF($D$27=1,MAX(0,SUM(Model!$K36:AO36)+SUM(Model!$K83:AO83)),0)</f>
        <v>0</v>
      </c>
      <c r="AP83" s="1" t="n">
        <f aca="false">IF($D$27=1,MAX(0,SUM(Model!$K36:AP36)+SUM(Model!$K83:AP83)),0)</f>
        <v>0</v>
      </c>
      <c r="AQ83" s="1" t="n">
        <f aca="false">IF($D$27=1,MAX(0,SUM(Model!$K36:AQ36)+SUM(Model!$K83:AQ83)),0)</f>
        <v>0</v>
      </c>
      <c r="AR83" s="1" t="n">
        <f aca="false">IF($D$27=1,MAX(0,SUM(Model!$K36:AR36)+SUM(Model!$K83:AR83)),0)</f>
        <v>0</v>
      </c>
      <c r="AS83" s="1" t="n">
        <f aca="false">IF($D$27=1,MAX(0,SUM(Model!$K36:AS36)+SUM(Model!$K83:AS83)),0)</f>
        <v>0</v>
      </c>
      <c r="AT83" s="1" t="n">
        <f aca="false">IF($D$27=1,MAX(0,SUM(Model!$K36:AT36)+SUM(Model!$K83:AT83)),0)</f>
        <v>0</v>
      </c>
      <c r="AU83" s="1" t="n">
        <f aca="false">IF($D$27=1,MAX(0,SUM(Model!$K36:AU36)+SUM(Model!$K83:AU83)),0)</f>
        <v>0</v>
      </c>
      <c r="AV83" s="1" t="n">
        <f aca="false">IF($D$27=1,MAX(0,SUM(Model!$K36:AV36)+SUM(Model!$K83:AV83)),0)</f>
        <v>0</v>
      </c>
      <c r="AW83" s="1" t="n">
        <f aca="false">IF($D$27=1,MAX(0,SUM(Model!$K36:AW36)+SUM(Model!$K83:AW83)),0)</f>
        <v>0</v>
      </c>
      <c r="AX83" s="1" t="n">
        <f aca="false">IF($D$27=1,MAX(0,SUM(Model!$K36:AX36)+SUM(Model!$K83:AX83)),0)</f>
        <v>0</v>
      </c>
      <c r="AY83" s="1" t="n">
        <f aca="false">IF($D$27=1,MAX(0,SUM(Model!$K36:AY36)+SUM(Model!$K83:AY83)),0)</f>
        <v>0</v>
      </c>
      <c r="AZ83" s="1" t="n">
        <f aca="false">IF($D$27=1,MAX(0,SUM(Model!$K36:AZ36)+SUM(Model!$K83:AZ83)),0)</f>
        <v>0</v>
      </c>
      <c r="BA83" s="1" t="n">
        <f aca="false">IF($D$27=1,MAX(0,SUM(Model!$K36:BA36)+SUM(Model!$K83:BA83)),0)</f>
        <v>0</v>
      </c>
      <c r="BB83" s="1" t="n">
        <f aca="false">IF($D$27=1,MAX(0,SUM(Model!$K36:BB36)+SUM(Model!$K83:BB83)),0)</f>
        <v>0</v>
      </c>
      <c r="BC83" s="1" t="n">
        <f aca="false">IF($D$27=1,MAX(0,SUM(Model!$K36:BC36)+SUM(Model!$K83:BC83)),0)</f>
        <v>0</v>
      </c>
      <c r="BD83" s="1" t="n">
        <f aca="false">IF($D$27=1,MAX(0,SUM(Model!$K36:BD36)+SUM(Model!$K83:BD83)),0)</f>
        <v>0</v>
      </c>
      <c r="BE83" s="1" t="n">
        <f aca="false">IF($D$27=1,MAX(0,SUM(Model!$K36:BE36)+SUM(Model!$K83:BE83)),0)</f>
        <v>0</v>
      </c>
      <c r="BF83" s="1" t="n">
        <f aca="false">IF($D$27=1,MAX(0,SUM(Model!$K36:BF36)+SUM(Model!$K83:BF83)),0)</f>
        <v>0</v>
      </c>
      <c r="BG83" s="1" t="n">
        <f aca="false">IF($D$27=1,MAX(0,SUM(Model!$K36:BG36)+SUM(Model!$K83:BG83)),0)</f>
        <v>0</v>
      </c>
      <c r="BH83" s="1" t="n">
        <f aca="false">IF($D$27=1,MAX(0,SUM(Model!$K36:BH36)+SUM(Model!$K83:BH83)),0)</f>
        <v>0</v>
      </c>
      <c r="BI83" s="1" t="n">
        <f aca="false">IF($D$27=1,MAX(0,SUM(Model!$K36:BI36)+SUM(Model!$K83:BI83)),0)</f>
        <v>0</v>
      </c>
      <c r="BJ83" s="1" t="n">
        <f aca="false">IF($D$27=1,MAX(0,SUM(Model!$K36:BJ36)+SUM(Model!$K83:BJ83)),0)</f>
        <v>0</v>
      </c>
      <c r="BK83" s="1" t="n">
        <f aca="false">IF($D$27=1,MAX(0,SUM(Model!$K36:BK36)+SUM(Model!$K83:BK83)),0)</f>
        <v>0</v>
      </c>
      <c r="BL83" s="1" t="n">
        <f aca="false">IF($D$27=1,MAX(0,SUM(Model!$K36:BL36)+SUM(Model!$K83:BL83)),0)</f>
        <v>0</v>
      </c>
      <c r="BM83" s="1" t="n">
        <f aca="false">IF($D$27=1,MAX(0,SUM(Model!$K36:BM36)+SUM(Model!$K83:BM83)),0)</f>
        <v>0</v>
      </c>
      <c r="BN83" s="1" t="n">
        <f aca="false">IF($D$27=1,MAX(0,SUM(Model!$K36:BN36)+SUM(Model!$K83:BN83)),0)</f>
        <v>0</v>
      </c>
      <c r="BO83" s="1" t="n">
        <f aca="false">IF($D$27=1,MAX(0,SUM(Model!$K36:BO36)+SUM(Model!$K83:BO83)),0)</f>
        <v>0</v>
      </c>
      <c r="BP83" s="1" t="n">
        <f aca="false">IF($D$27=1,MAX(0,SUM(Model!$K36:BP36)+SUM(Model!$K83:BP83)),0)</f>
        <v>0</v>
      </c>
      <c r="BQ83" s="1" t="n">
        <f aca="false">IF($D$27=1,MAX(0,SUM(Model!$K36:BQ36)+SUM(Model!$K83:BQ83)),0)</f>
        <v>0</v>
      </c>
      <c r="BR83" s="1" t="n">
        <f aca="false">IF($D$27=1,MAX(0,SUM(Model!$K36:BR36)+SUM(Model!$K83:BR83)),0)</f>
        <v>0</v>
      </c>
      <c r="BS83" s="1" t="n">
        <f aca="false">IF($D$27=1,MAX(0,SUM(Model!$K36:BS36)+SUM(Model!$K83:BS83)),0)</f>
        <v>0</v>
      </c>
      <c r="BT83" s="1" t="n">
        <f aca="false">IF($D$27=1,MAX(0,SUM(Model!$K36:BT36)+SUM(Model!$K83:BT83)),0)</f>
        <v>0</v>
      </c>
      <c r="BU83" s="1" t="n">
        <f aca="false">IF($D$27=1,MAX(0,SUM(Model!$K36:BU36)+SUM(Model!$K83:BU83)),0)</f>
        <v>0</v>
      </c>
      <c r="BV83" s="1" t="n">
        <f aca="false">IF($D$27=1,MAX(0,SUM(Model!$K36:BV36)+SUM(Model!$K83:BV83)),0)</f>
        <v>0</v>
      </c>
      <c r="BW83" s="1" t="n">
        <f aca="false">IF($D$27=1,MAX(0,SUM(Model!$K36:BW36)+SUM(Model!$K83:BW83)),0)</f>
        <v>0</v>
      </c>
      <c r="BX83" s="1" t="n">
        <f aca="false">IF($D$27=1,MAX(0,SUM(Model!$K36:BX36)+SUM(Model!$K83:BX83)),0)</f>
        <v>0</v>
      </c>
      <c r="BY83" s="1" t="n">
        <f aca="false">IF($D$27=1,MAX(0,SUM(Model!$K36:BY36)+SUM(Model!$K83:BY83)),0)</f>
        <v>0</v>
      </c>
      <c r="BZ83" s="1" t="n">
        <f aca="false">IF($D$27=1,MAX(0,SUM(Model!$K36:BZ36)+SUM(Model!$K83:BZ83)),0)</f>
        <v>0</v>
      </c>
      <c r="CA83" s="1" t="n">
        <f aca="false">IF($D$27=1,MAX(0,SUM(Model!$K36:CA36)+SUM(Model!$K83:CA83)),0)</f>
        <v>0</v>
      </c>
      <c r="CB83" s="1" t="n">
        <f aca="false">IF($D$27=1,MAX(0,SUM(Model!$K36:CB36)+SUM(Model!$K83:CB83)),0)</f>
        <v>0</v>
      </c>
      <c r="CC83" s="1" t="n">
        <f aca="false">IF($D$27=1,MAX(0,SUM(Model!$K36:CC36)+SUM(Model!$K83:CC83)),0)</f>
        <v>0</v>
      </c>
      <c r="CD83" s="1" t="n">
        <f aca="false">IF($D$27=1,MAX(0,SUM(Model!$K36:CD36)+SUM(Model!$K83:CD83)),0)</f>
        <v>0</v>
      </c>
      <c r="CE83" s="1" t="n">
        <f aca="false">IF($D$27=1,MAX(0,SUM(Model!$K36:CE36)+SUM(Model!$K83:CE83)),0)</f>
        <v>0</v>
      </c>
      <c r="CF83" s="1" t="n">
        <f aca="false">IF($D$27=1,MAX(0,SUM(Model!$K36:CF36)+SUM(Model!$K83:CF83)),0)</f>
        <v>0</v>
      </c>
      <c r="CG83" s="1" t="n">
        <f aca="false">IF($D$27=1,MAX(0,SUM(Model!$K36:CG36)+SUM(Model!$K83:CG83)),0)</f>
        <v>0</v>
      </c>
      <c r="CH83" s="1" t="n">
        <f aca="false">IF($D$27=1,MAX(0,SUM(Model!$K36:CH36)+SUM(Model!$K83:CH83)),0)</f>
        <v>0</v>
      </c>
      <c r="CI83" s="1" t="n">
        <f aca="false">IF($D$27=1,MAX(0,SUM(Model!$K36:CI36)+SUM(Model!$K83:CI83)),0)</f>
        <v>0</v>
      </c>
      <c r="CJ83" s="1" t="n">
        <f aca="false">IF($D$27=1,MAX(0,SUM(Model!$K36:CJ36)+SUM(Model!$K83:CJ83)),0)</f>
        <v>0</v>
      </c>
      <c r="CK83" s="1" t="n">
        <f aca="false">IF($D$27=1,MAX(0,SUM(Model!$K36:CK36)+SUM(Model!$K83:CK83)),0)</f>
        <v>0</v>
      </c>
      <c r="CL83" s="1" t="n">
        <f aca="false">IF($D$27=1,MAX(0,SUM(Model!$K36:CL36)+SUM(Model!$K83:CL83)),0)</f>
        <v>0</v>
      </c>
      <c r="CM83" s="1" t="n">
        <f aca="false">IF($D$27=1,MAX(0,SUM(Model!$K36:CM36)+SUM(Model!$K83:CM83)),0)</f>
        <v>0</v>
      </c>
      <c r="CN83" s="1" t="n">
        <f aca="false">IF($D$27=1,MAX(0,SUM(Model!$K36:CN36)+SUM(Model!$K83:CN83)),0)</f>
        <v>0</v>
      </c>
      <c r="CO83" s="1" t="n">
        <f aca="false">IF($D$27=1,MAX(0,SUM(Model!$K36:CO36)+SUM(Model!$K83:CO83)),0)</f>
        <v>0</v>
      </c>
      <c r="CP83" s="1" t="n">
        <f aca="false">IF($D$27=1,MAX(0,SUM(Model!$K36:CP36)+SUM(Model!$K83:CP83)),0)</f>
        <v>0</v>
      </c>
      <c r="CQ83" s="1" t="n">
        <f aca="false">IF($D$27=1,MAX(0,SUM(Model!$K36:CQ36)+SUM(Model!$K83:CQ83)),0)</f>
        <v>0</v>
      </c>
      <c r="CR83" s="1" t="n">
        <f aca="false">IF($D$27=1,MAX(0,SUM(Model!$K36:CR36)+SUM(Model!$K83:CR83)),0)</f>
        <v>0</v>
      </c>
      <c r="CS83" s="1" t="n">
        <f aca="false">IF($D$27=1,MAX(0,SUM(Model!$K36:CS36)+SUM(Model!$K83:CS83)),0)</f>
        <v>0</v>
      </c>
      <c r="CT83" s="1" t="n">
        <f aca="false">IF($D$27=1,MAX(0,SUM(Model!$K36:CT36)+SUM(Model!$K83:CT83)),0)</f>
        <v>0</v>
      </c>
      <c r="CU83" s="1" t="n">
        <f aca="false">IF($D$27=1,MAX(0,SUM(Model!$K36:CU36)+SUM(Model!$K83:CU83)),0)</f>
        <v>0</v>
      </c>
      <c r="CV83" s="1" t="n">
        <f aca="false">IF($D$27=1,MAX(0,SUM(Model!$K36:CV36)+SUM(Model!$K83:CV83)),0)</f>
        <v>0</v>
      </c>
      <c r="CW83" s="1" t="n">
        <f aca="false">IF($D$27=1,MAX(0,SUM(Model!$K36:CW36)+SUM(Model!$K83:CW83)),0)</f>
        <v>0</v>
      </c>
      <c r="CX83" s="1" t="n">
        <f aca="false">IF($D$27=1,MAX(0,SUM(Model!$K36:CX36)+SUM(Model!$K83:CX83)),0)</f>
        <v>0</v>
      </c>
      <c r="CY83" s="1" t="n">
        <f aca="false">IF($D$27=1,MAX(0,SUM(Model!$K36:CY36)+SUM(Model!$K83:CY83)),0)</f>
        <v>0</v>
      </c>
      <c r="CZ83" s="1" t="n">
        <f aca="false">IF($D$27=1,MAX(0,SUM(Model!$K36:CZ36)+SUM(Model!$K83:CZ83)),0)</f>
        <v>0</v>
      </c>
      <c r="DA83" s="1" t="n">
        <f aca="false">IF($D$27=1,MAX(0,SUM(Model!$K36:DA36)+SUM(Model!$K83:DA83)),0)</f>
        <v>0</v>
      </c>
      <c r="DB83" s="1" t="n">
        <f aca="false">IF($D$27=1,MAX(0,SUM(Model!$K36:DB36)+SUM(Model!$K83:DB83)),0)</f>
        <v>0</v>
      </c>
      <c r="DC83" s="1" t="n">
        <f aca="false">IF($D$27=1,MAX(0,SUM(Model!$K36:DC36)+SUM(Model!$K83:DC83)),0)</f>
        <v>0</v>
      </c>
      <c r="DD83" s="1" t="n">
        <f aca="false">IF($D$27=1,MAX(0,SUM(Model!$K36:DD36)+SUM(Model!$K83:DD83)),0)</f>
        <v>0</v>
      </c>
      <c r="DE83" s="1" t="n">
        <f aca="false">IF($D$27=1,MAX(0,SUM(Model!$K36:DE36)+SUM(Model!$K83:DE83)),0)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v>0</v>
      </c>
      <c r="K84" s="1" t="n">
        <f aca="false">IF($D$28=1,MAX(0,SUM(Model!$K37:K37)+SUM(Model!$K84:K84)),0)</f>
        <v>0</v>
      </c>
      <c r="L84" s="1" t="n">
        <f aca="false">IF($D$28=1,MAX(0,SUM(Model!$K37:L37)+SUM(Model!$K84:L84)),0)</f>
        <v>0</v>
      </c>
      <c r="M84" s="1" t="n">
        <f aca="false">IF($D$28=1,MAX(0,SUM(Model!$K37:M37)+SUM(Model!$K84:M84)),0)</f>
        <v>0</v>
      </c>
      <c r="N84" s="1" t="n">
        <f aca="false">IF($D$28=1,MAX(0,SUM(Model!$K37:N37)+SUM(Model!$K84:N84)),0)</f>
        <v>0</v>
      </c>
      <c r="O84" s="1" t="n">
        <f aca="false">IF($D$28=1,MAX(0,SUM(Model!$K37:O37)+SUM(Model!$K84:O84)),0)</f>
        <v>0</v>
      </c>
      <c r="P84" s="1" t="n">
        <f aca="false">IF($D$28=1,MAX(0,SUM(Model!$K37:P37)+SUM(Model!$K84:P84)),0)</f>
        <v>0</v>
      </c>
      <c r="Q84" s="1" t="n">
        <f aca="false">IF($D$28=1,MAX(0,SUM(Model!$K37:Q37)+SUM(Model!$K84:Q84)),0)</f>
        <v>0</v>
      </c>
      <c r="R84" s="1" t="n">
        <f aca="false">IF($D$28=1,MAX(0,SUM(Model!$K37:R37)+SUM(Model!$K84:R84)),0)</f>
        <v>0</v>
      </c>
      <c r="S84" s="1" t="n">
        <f aca="false">IF($D$28=1,MAX(0,SUM(Model!$K37:S37)+SUM(Model!$K84:S84)),0)</f>
        <v>0</v>
      </c>
      <c r="T84" s="1" t="n">
        <f aca="false">IF($D$28=1,MAX(0,SUM(Model!$K37:T37)+SUM(Model!$K84:T84)),0)</f>
        <v>0</v>
      </c>
      <c r="U84" s="1" t="n">
        <f aca="false">IF($D$28=1,MAX(0,SUM(Model!$K37:U37)+SUM(Model!$K84:U84)),0)</f>
        <v>0</v>
      </c>
      <c r="V84" s="1" t="n">
        <f aca="false">IF($D$28=1,MAX(0,SUM(Model!$K37:V37)+SUM(Model!$K84:V84)),0)</f>
        <v>0</v>
      </c>
      <c r="W84" s="1" t="n">
        <f aca="false">IF($D$28=1,MAX(0,SUM(Model!$K37:W37)+SUM(Model!$K84:W84)),0)</f>
        <v>0</v>
      </c>
      <c r="X84" s="1" t="n">
        <f aca="false">IF($D$28=1,MAX(0,SUM(Model!$K37:X37)+SUM(Model!$K84:X84)),0)</f>
        <v>0</v>
      </c>
      <c r="Y84" s="1" t="n">
        <f aca="false">IF($D$28=1,MAX(0,SUM(Model!$K37:Y37)+SUM(Model!$K84:Y84)),0)</f>
        <v>0</v>
      </c>
      <c r="Z84" s="1" t="n">
        <f aca="false">IF($D$28=1,MAX(0,SUM(Model!$K37:Z37)+SUM(Model!$K84:Z84)),0)</f>
        <v>0</v>
      </c>
      <c r="AA84" s="1" t="n">
        <f aca="false">IF($D$28=1,MAX(0,SUM(Model!$K37:AA37)+SUM(Model!$K84:AA84)),0)</f>
        <v>0</v>
      </c>
      <c r="AB84" s="1" t="n">
        <f aca="false">IF($D$28=1,MAX(0,SUM(Model!$K37:AB37)+SUM(Model!$K84:AB84)),0)</f>
        <v>0</v>
      </c>
      <c r="AC84" s="1" t="n">
        <f aca="false">IF($D$28=1,MAX(0,SUM(Model!$K37:AC37)+SUM(Model!$K84:AC84)),0)</f>
        <v>0</v>
      </c>
      <c r="AD84" s="1" t="n">
        <f aca="false">IF($D$28=1,MAX(0,SUM(Model!$K37:AD37)+SUM(Model!$K84:AD84)),0)</f>
        <v>0</v>
      </c>
      <c r="AE84" s="1" t="n">
        <f aca="false">IF($D$28=1,MAX(0,SUM(Model!$K37:AE37)+SUM(Model!$K84:AE84)),0)</f>
        <v>0</v>
      </c>
      <c r="AF84" s="1" t="n">
        <f aca="false">IF($D$28=1,MAX(0,SUM(Model!$K37:AF37)+SUM(Model!$K84:AF84)),0)</f>
        <v>0</v>
      </c>
      <c r="AG84" s="1" t="n">
        <f aca="false">IF($D$28=1,MAX(0,SUM(Model!$K37:AG37)+SUM(Model!$K84:AG84)),0)</f>
        <v>0</v>
      </c>
      <c r="AH84" s="1" t="n">
        <f aca="false">IF($D$28=1,MAX(0,SUM(Model!$K37:AH37)+SUM(Model!$K84:AH84)),0)</f>
        <v>0</v>
      </c>
      <c r="AI84" s="1" t="n">
        <f aca="false">IF($D$28=1,MAX(0,SUM(Model!$K37:AI37)+SUM(Model!$K84:AI84)),0)</f>
        <v>0</v>
      </c>
      <c r="AJ84" s="1" t="n">
        <f aca="false">IF($D$28=1,MAX(0,SUM(Model!$K37:AJ37)+SUM(Model!$K84:AJ84)),0)</f>
        <v>0</v>
      </c>
      <c r="AK84" s="1" t="n">
        <f aca="false">IF($D$28=1,MAX(0,SUM(Model!$K37:AK37)+SUM(Model!$K84:AK84)),0)</f>
        <v>0</v>
      </c>
      <c r="AL84" s="1" t="n">
        <f aca="false">IF($D$28=1,MAX(0,SUM(Model!$K37:AL37)+SUM(Model!$K84:AL84)),0)</f>
        <v>0</v>
      </c>
      <c r="AM84" s="1" t="n">
        <f aca="false">IF($D$28=1,MAX(0,SUM(Model!$K37:AM37)+SUM(Model!$K84:AM84)),0)</f>
        <v>0</v>
      </c>
      <c r="AN84" s="1" t="n">
        <f aca="false">IF($D$28=1,MAX(0,SUM(Model!$K37:AN37)+SUM(Model!$K84:AN84)),0)</f>
        <v>0</v>
      </c>
      <c r="AO84" s="1" t="n">
        <f aca="false">IF($D$28=1,MAX(0,SUM(Model!$K37:AO37)+SUM(Model!$K84:AO84)),0)</f>
        <v>0</v>
      </c>
      <c r="AP84" s="1" t="n">
        <f aca="false">IF($D$28=1,MAX(0,SUM(Model!$K37:AP37)+SUM(Model!$K84:AP84)),0)</f>
        <v>0</v>
      </c>
      <c r="AQ84" s="1" t="n">
        <f aca="false">IF($D$28=1,MAX(0,SUM(Model!$K37:AQ37)+SUM(Model!$K84:AQ84)),0)</f>
        <v>0</v>
      </c>
      <c r="AR84" s="1" t="n">
        <f aca="false">IF($D$28=1,MAX(0,SUM(Model!$K37:AR37)+SUM(Model!$K84:AR84)),0)</f>
        <v>0</v>
      </c>
      <c r="AS84" s="1" t="n">
        <f aca="false">IF($D$28=1,MAX(0,SUM(Model!$K37:AS37)+SUM(Model!$K84:AS84)),0)</f>
        <v>0</v>
      </c>
      <c r="AT84" s="1" t="n">
        <f aca="false">IF($D$28=1,MAX(0,SUM(Model!$K37:AT37)+SUM(Model!$K84:AT84)),0)</f>
        <v>0</v>
      </c>
      <c r="AU84" s="1" t="n">
        <f aca="false">IF($D$28=1,MAX(0,SUM(Model!$K37:AU37)+SUM(Model!$K84:AU84)),0)</f>
        <v>0</v>
      </c>
      <c r="AV84" s="1" t="n">
        <f aca="false">IF($D$28=1,MAX(0,SUM(Model!$K37:AV37)+SUM(Model!$K84:AV84)),0)</f>
        <v>0</v>
      </c>
      <c r="AW84" s="1" t="n">
        <f aca="false">IF($D$28=1,MAX(0,SUM(Model!$K37:AW37)+SUM(Model!$K84:AW84)),0)</f>
        <v>0</v>
      </c>
      <c r="AX84" s="1" t="n">
        <f aca="false">IF($D$28=1,MAX(0,SUM(Model!$K37:AX37)+SUM(Model!$K84:AX84)),0)</f>
        <v>0</v>
      </c>
      <c r="AY84" s="1" t="n">
        <f aca="false">IF($D$28=1,MAX(0,SUM(Model!$K37:AY37)+SUM(Model!$K84:AY84)),0)</f>
        <v>0</v>
      </c>
      <c r="AZ84" s="1" t="n">
        <f aca="false">IF($D$28=1,MAX(0,SUM(Model!$K37:AZ37)+SUM(Model!$K84:AZ84)),0)</f>
        <v>0</v>
      </c>
      <c r="BA84" s="1" t="n">
        <f aca="false">IF($D$28=1,MAX(0,SUM(Model!$K37:BA37)+SUM(Model!$K84:BA84)),0)</f>
        <v>0</v>
      </c>
      <c r="BB84" s="1" t="n">
        <f aca="false">IF($D$28=1,MAX(0,SUM(Model!$K37:BB37)+SUM(Model!$K84:BB84)),0)</f>
        <v>0</v>
      </c>
      <c r="BC84" s="1" t="n">
        <f aca="false">IF($D$28=1,MAX(0,SUM(Model!$K37:BC37)+SUM(Model!$K84:BC84)),0)</f>
        <v>0</v>
      </c>
      <c r="BD84" s="1" t="n">
        <f aca="false">IF($D$28=1,MAX(0,SUM(Model!$K37:BD37)+SUM(Model!$K84:BD84)),0)</f>
        <v>0</v>
      </c>
      <c r="BE84" s="1" t="n">
        <f aca="false">IF($D$28=1,MAX(0,SUM(Model!$K37:BE37)+SUM(Model!$K84:BE84)),0)</f>
        <v>0</v>
      </c>
      <c r="BF84" s="1" t="n">
        <f aca="false">IF($D$28=1,MAX(0,SUM(Model!$K37:BF37)+SUM(Model!$K84:BF84)),0)</f>
        <v>0</v>
      </c>
      <c r="BG84" s="1" t="n">
        <f aca="false">IF($D$28=1,MAX(0,SUM(Model!$K37:BG37)+SUM(Model!$K84:BG84)),0)</f>
        <v>0</v>
      </c>
      <c r="BH84" s="1" t="n">
        <f aca="false">IF($D$28=1,MAX(0,SUM(Model!$K37:BH37)+SUM(Model!$K84:BH84)),0)</f>
        <v>0</v>
      </c>
      <c r="BI84" s="1" t="n">
        <f aca="false">IF($D$28=1,MAX(0,SUM(Model!$K37:BI37)+SUM(Model!$K84:BI84)),0)</f>
        <v>0</v>
      </c>
      <c r="BJ84" s="1" t="n">
        <f aca="false">IF($D$28=1,MAX(0,SUM(Model!$K37:BJ37)+SUM(Model!$K84:BJ84)),0)</f>
        <v>0</v>
      </c>
      <c r="BK84" s="1" t="n">
        <f aca="false">IF($D$28=1,MAX(0,SUM(Model!$K37:BK37)+SUM(Model!$K84:BK84)),0)</f>
        <v>0</v>
      </c>
      <c r="BL84" s="1" t="n">
        <f aca="false">IF($D$28=1,MAX(0,SUM(Model!$K37:BL37)+SUM(Model!$K84:BL84)),0)</f>
        <v>0</v>
      </c>
      <c r="BM84" s="1" t="n">
        <f aca="false">IF($D$28=1,MAX(0,SUM(Model!$K37:BM37)+SUM(Model!$K84:BM84)),0)</f>
        <v>0</v>
      </c>
      <c r="BN84" s="1" t="n">
        <f aca="false">IF($D$28=1,MAX(0,SUM(Model!$K37:BN37)+SUM(Model!$K84:BN84)),0)</f>
        <v>0</v>
      </c>
      <c r="BO84" s="1" t="n">
        <f aca="false">IF($D$28=1,MAX(0,SUM(Model!$K37:BO37)+SUM(Model!$K84:BO84)),0)</f>
        <v>0</v>
      </c>
      <c r="BP84" s="1" t="n">
        <f aca="false">IF($D$28=1,MAX(0,SUM(Model!$K37:BP37)+SUM(Model!$K84:BP84)),0)</f>
        <v>0</v>
      </c>
      <c r="BQ84" s="1" t="n">
        <f aca="false">IF($D$28=1,MAX(0,SUM(Model!$K37:BQ37)+SUM(Model!$K84:BQ84)),0)</f>
        <v>0</v>
      </c>
      <c r="BR84" s="1" t="n">
        <f aca="false">IF($D$28=1,MAX(0,SUM(Model!$K37:BR37)+SUM(Model!$K84:BR84)),0)</f>
        <v>0</v>
      </c>
      <c r="BS84" s="1" t="n">
        <f aca="false">IF($D$28=1,MAX(0,SUM(Model!$K37:BS37)+SUM(Model!$K84:BS84)),0)</f>
        <v>0</v>
      </c>
      <c r="BT84" s="1" t="n">
        <f aca="false">IF($D$28=1,MAX(0,SUM(Model!$K37:BT37)+SUM(Model!$K84:BT84)),0)</f>
        <v>0</v>
      </c>
      <c r="BU84" s="1" t="n">
        <f aca="false">IF($D$28=1,MAX(0,SUM(Model!$K37:BU37)+SUM(Model!$K84:BU84)),0)</f>
        <v>0</v>
      </c>
      <c r="BV84" s="1" t="n">
        <f aca="false">IF($D$28=1,MAX(0,SUM(Model!$K37:BV37)+SUM(Model!$K84:BV84)),0)</f>
        <v>0</v>
      </c>
      <c r="BW84" s="1" t="n">
        <f aca="false">IF($D$28=1,MAX(0,SUM(Model!$K37:BW37)+SUM(Model!$K84:BW84)),0)</f>
        <v>0</v>
      </c>
      <c r="BX84" s="1" t="n">
        <f aca="false">IF($D$28=1,MAX(0,SUM(Model!$K37:BX37)+SUM(Model!$K84:BX84)),0)</f>
        <v>0</v>
      </c>
      <c r="BY84" s="1" t="n">
        <f aca="false">IF($D$28=1,MAX(0,SUM(Model!$K37:BY37)+SUM(Model!$K84:BY84)),0)</f>
        <v>0</v>
      </c>
      <c r="BZ84" s="1" t="n">
        <f aca="false">IF($D$28=1,MAX(0,SUM(Model!$K37:BZ37)+SUM(Model!$K84:BZ84)),0)</f>
        <v>0</v>
      </c>
      <c r="CA84" s="1" t="n">
        <f aca="false">IF($D$28=1,MAX(0,SUM(Model!$K37:CA37)+SUM(Model!$K84:CA84)),0)</f>
        <v>0</v>
      </c>
      <c r="CB84" s="1" t="n">
        <f aca="false">IF($D$28=1,MAX(0,SUM(Model!$K37:CB37)+SUM(Model!$K84:CB84)),0)</f>
        <v>0</v>
      </c>
      <c r="CC84" s="1" t="n">
        <f aca="false">IF($D$28=1,MAX(0,SUM(Model!$K37:CC37)+SUM(Model!$K84:CC84)),0)</f>
        <v>0</v>
      </c>
      <c r="CD84" s="1" t="n">
        <f aca="false">IF($D$28=1,MAX(0,SUM(Model!$K37:CD37)+SUM(Model!$K84:CD84)),0)</f>
        <v>0</v>
      </c>
      <c r="CE84" s="1" t="n">
        <f aca="false">IF($D$28=1,MAX(0,SUM(Model!$K37:CE37)+SUM(Model!$K84:CE84)),0)</f>
        <v>0</v>
      </c>
      <c r="CF84" s="1" t="n">
        <f aca="false">IF($D$28=1,MAX(0,SUM(Model!$K37:CF37)+SUM(Model!$K84:CF84)),0)</f>
        <v>0</v>
      </c>
      <c r="CG84" s="1" t="n">
        <f aca="false">IF($D$28=1,MAX(0,SUM(Model!$K37:CG37)+SUM(Model!$K84:CG84)),0)</f>
        <v>0</v>
      </c>
      <c r="CH84" s="1" t="n">
        <f aca="false">IF($D$28=1,MAX(0,SUM(Model!$K37:CH37)+SUM(Model!$K84:CH84)),0)</f>
        <v>0</v>
      </c>
      <c r="CI84" s="1" t="n">
        <f aca="false">IF($D$28=1,MAX(0,SUM(Model!$K37:CI37)+SUM(Model!$K84:CI84)),0)</f>
        <v>0</v>
      </c>
      <c r="CJ84" s="1" t="n">
        <f aca="false">IF($D$28=1,MAX(0,SUM(Model!$K37:CJ37)+SUM(Model!$K84:CJ84)),0)</f>
        <v>0</v>
      </c>
      <c r="CK84" s="1" t="n">
        <f aca="false">IF($D$28=1,MAX(0,SUM(Model!$K37:CK37)+SUM(Model!$K84:CK84)),0)</f>
        <v>0</v>
      </c>
      <c r="CL84" s="1" t="n">
        <f aca="false">IF($D$28=1,MAX(0,SUM(Model!$K37:CL37)+SUM(Model!$K84:CL84)),0)</f>
        <v>0</v>
      </c>
      <c r="CM84" s="1" t="n">
        <f aca="false">IF($D$28=1,MAX(0,SUM(Model!$K37:CM37)+SUM(Model!$K84:CM84)),0)</f>
        <v>0</v>
      </c>
      <c r="CN84" s="1" t="n">
        <f aca="false">IF($D$28=1,MAX(0,SUM(Model!$K37:CN37)+SUM(Model!$K84:CN84)),0)</f>
        <v>0</v>
      </c>
      <c r="CO84" s="1" t="n">
        <f aca="false">IF($D$28=1,MAX(0,SUM(Model!$K37:CO37)+SUM(Model!$K84:CO84)),0)</f>
        <v>0</v>
      </c>
      <c r="CP84" s="1" t="n">
        <f aca="false">IF($D$28=1,MAX(0,SUM(Model!$K37:CP37)+SUM(Model!$K84:CP84)),0)</f>
        <v>0</v>
      </c>
      <c r="CQ84" s="1" t="n">
        <f aca="false">IF($D$28=1,MAX(0,SUM(Model!$K37:CQ37)+SUM(Model!$K84:CQ84)),0)</f>
        <v>0</v>
      </c>
      <c r="CR84" s="1" t="n">
        <f aca="false">IF($D$28=1,MAX(0,SUM(Model!$K37:CR37)+SUM(Model!$K84:CR84)),0)</f>
        <v>0</v>
      </c>
      <c r="CS84" s="1" t="n">
        <f aca="false">IF($D$28=1,MAX(0,SUM(Model!$K37:CS37)+SUM(Model!$K84:CS84)),0)</f>
        <v>0</v>
      </c>
      <c r="CT84" s="1" t="n">
        <f aca="false">IF($D$28=1,MAX(0,SUM(Model!$K37:CT37)+SUM(Model!$K84:CT84)),0)</f>
        <v>0</v>
      </c>
      <c r="CU84" s="1" t="n">
        <f aca="false">IF($D$28=1,MAX(0,SUM(Model!$K37:CU37)+SUM(Model!$K84:CU84)),0)</f>
        <v>0</v>
      </c>
      <c r="CV84" s="1" t="n">
        <f aca="false">IF($D$28=1,MAX(0,SUM(Model!$K37:CV37)+SUM(Model!$K84:CV84)),0)</f>
        <v>0</v>
      </c>
      <c r="CW84" s="1" t="n">
        <f aca="false">IF($D$28=1,MAX(0,SUM(Model!$K37:CW37)+SUM(Model!$K84:CW84)),0)</f>
        <v>0</v>
      </c>
      <c r="CX84" s="1" t="n">
        <f aca="false">IF($D$28=1,MAX(0,SUM(Model!$K37:CX37)+SUM(Model!$K84:CX84)),0)</f>
        <v>0</v>
      </c>
      <c r="CY84" s="1" t="n">
        <f aca="false">IF($D$28=1,MAX(0,SUM(Model!$K37:CY37)+SUM(Model!$K84:CY84)),0)</f>
        <v>0</v>
      </c>
      <c r="CZ84" s="1" t="n">
        <f aca="false">IF($D$28=1,MAX(0,SUM(Model!$K37:CZ37)+SUM(Model!$K84:CZ84)),0)</f>
        <v>0</v>
      </c>
      <c r="DA84" s="1" t="n">
        <f aca="false">IF($D$28=1,MAX(0,SUM(Model!$K37:DA37)+SUM(Model!$K84:DA84)),0)</f>
        <v>0</v>
      </c>
      <c r="DB84" s="1" t="n">
        <f aca="false">IF($D$28=1,MAX(0,SUM(Model!$K37:DB37)+SUM(Model!$K84:DB84)),0)</f>
        <v>0</v>
      </c>
      <c r="DC84" s="1" t="n">
        <f aca="false">IF($D$28=1,MAX(0,SUM(Model!$K37:DC37)+SUM(Model!$K84:DC84)),0)</f>
        <v>0</v>
      </c>
      <c r="DD84" s="1" t="n">
        <f aca="false">IF($D$28=1,MAX(0,SUM(Model!$K37:DD37)+SUM(Model!$K84:DD84)),0)</f>
        <v>0</v>
      </c>
      <c r="DE84" s="1" t="n">
        <f aca="false">IF($D$28=1,MAX(0,SUM(Model!$K37:DE37)+SUM(Model!$K84:DE84)),0)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v>0</v>
      </c>
      <c r="K85" s="1" t="n">
        <f aca="false">IF($D$29=1,MAX(0,SUM(Model!$K38:K38)+SUM(Model!$K85:K85)),0)</f>
        <v>0</v>
      </c>
      <c r="L85" s="1" t="n">
        <f aca="false">IF($D$29=1,MAX(0,SUM(Model!$K38:L38)+SUM(Model!$K85:L85)),0)</f>
        <v>0</v>
      </c>
      <c r="M85" s="1" t="n">
        <f aca="false">IF($D$29=1,MAX(0,SUM(Model!$K38:M38)+SUM(Model!$K85:M85)),0)</f>
        <v>0</v>
      </c>
      <c r="N85" s="1" t="n">
        <f aca="false">IF($D$29=1,MAX(0,SUM(Model!$K38:N38)+SUM(Model!$K85:N85)),0)</f>
        <v>0</v>
      </c>
      <c r="O85" s="1" t="n">
        <f aca="false">IF($D$29=1,MAX(0,SUM(Model!$K38:O38)+SUM(Model!$K85:O85)),0)</f>
        <v>0</v>
      </c>
      <c r="P85" s="1" t="n">
        <f aca="false">IF($D$29=1,MAX(0,SUM(Model!$K38:P38)+SUM(Model!$K85:P85)),0)</f>
        <v>0</v>
      </c>
      <c r="Q85" s="1" t="n">
        <f aca="false">IF($D$29=1,MAX(0,SUM(Model!$K38:Q38)+SUM(Model!$K85:Q85)),0)</f>
        <v>0</v>
      </c>
      <c r="R85" s="1" t="n">
        <f aca="false">IF($D$29=1,MAX(0,SUM(Model!$K38:R38)+SUM(Model!$K85:R85)),0)</f>
        <v>0</v>
      </c>
      <c r="S85" s="1" t="n">
        <f aca="false">IF($D$29=1,MAX(0,SUM(Model!$K38:S38)+SUM(Model!$K85:S85)),0)</f>
        <v>0</v>
      </c>
      <c r="T85" s="1" t="n">
        <f aca="false">IF($D$29=1,MAX(0,SUM(Model!$K38:T38)+SUM(Model!$K85:T85)),0)</f>
        <v>0</v>
      </c>
      <c r="U85" s="1" t="n">
        <f aca="false">IF($D$29=1,MAX(0,SUM(Model!$K38:U38)+SUM(Model!$K85:U85)),0)</f>
        <v>0</v>
      </c>
      <c r="V85" s="1" t="n">
        <f aca="false">IF($D$29=1,MAX(0,SUM(Model!$K38:V38)+SUM(Model!$K85:V85)),0)</f>
        <v>0</v>
      </c>
      <c r="W85" s="1" t="n">
        <f aca="false">IF($D$29=1,MAX(0,SUM(Model!$K38:W38)+SUM(Model!$K85:W85)),0)</f>
        <v>0</v>
      </c>
      <c r="X85" s="1" t="n">
        <f aca="false">IF($D$29=1,MAX(0,SUM(Model!$K38:X38)+SUM(Model!$K85:X85)),0)</f>
        <v>0</v>
      </c>
      <c r="Y85" s="1" t="n">
        <f aca="false">IF($D$29=1,MAX(0,SUM(Model!$K38:Y38)+SUM(Model!$K85:Y85)),0)</f>
        <v>0</v>
      </c>
      <c r="Z85" s="1" t="n">
        <f aca="false">IF($D$29=1,MAX(0,SUM(Model!$K38:Z38)+SUM(Model!$K85:Z85)),0)</f>
        <v>0</v>
      </c>
      <c r="AA85" s="1" t="n">
        <f aca="false">IF($D$29=1,MAX(0,SUM(Model!$K38:AA38)+SUM(Model!$K85:AA85)),0)</f>
        <v>0</v>
      </c>
      <c r="AB85" s="1" t="n">
        <f aca="false">IF($D$29=1,MAX(0,SUM(Model!$K38:AB38)+SUM(Model!$K85:AB85)),0)</f>
        <v>0</v>
      </c>
      <c r="AC85" s="1" t="n">
        <f aca="false">IF($D$29=1,MAX(0,SUM(Model!$K38:AC38)+SUM(Model!$K85:AC85)),0)</f>
        <v>0</v>
      </c>
      <c r="AD85" s="1" t="n">
        <f aca="false">IF($D$29=1,MAX(0,SUM(Model!$K38:AD38)+SUM(Model!$K85:AD85)),0)</f>
        <v>0</v>
      </c>
      <c r="AE85" s="1" t="n">
        <f aca="false">IF($D$29=1,MAX(0,SUM(Model!$K38:AE38)+SUM(Model!$K85:AE85)),0)</f>
        <v>0</v>
      </c>
      <c r="AF85" s="1" t="n">
        <f aca="false">IF($D$29=1,MAX(0,SUM(Model!$K38:AF38)+SUM(Model!$K85:AF85)),0)</f>
        <v>0</v>
      </c>
      <c r="AG85" s="1" t="n">
        <f aca="false">IF($D$29=1,MAX(0,SUM(Model!$K38:AG38)+SUM(Model!$K85:AG85)),0)</f>
        <v>0</v>
      </c>
      <c r="AH85" s="1" t="n">
        <f aca="false">IF($D$29=1,MAX(0,SUM(Model!$K38:AH38)+SUM(Model!$K85:AH85)),0)</f>
        <v>0</v>
      </c>
      <c r="AI85" s="1" t="n">
        <f aca="false">IF($D$29=1,MAX(0,SUM(Model!$K38:AI38)+SUM(Model!$K85:AI85)),0)</f>
        <v>0</v>
      </c>
      <c r="AJ85" s="1" t="n">
        <f aca="false">IF($D$29=1,MAX(0,SUM(Model!$K38:AJ38)+SUM(Model!$K85:AJ85)),0)</f>
        <v>0</v>
      </c>
      <c r="AK85" s="1" t="n">
        <f aca="false">IF($D$29=1,MAX(0,SUM(Model!$K38:AK38)+SUM(Model!$K85:AK85)),0)</f>
        <v>0</v>
      </c>
      <c r="AL85" s="1" t="n">
        <f aca="false">IF($D$29=1,MAX(0,SUM(Model!$K38:AL38)+SUM(Model!$K85:AL85)),0)</f>
        <v>0</v>
      </c>
      <c r="AM85" s="1" t="n">
        <f aca="false">IF($D$29=1,MAX(0,SUM(Model!$K38:AM38)+SUM(Model!$K85:AM85)),0)</f>
        <v>0</v>
      </c>
      <c r="AN85" s="1" t="n">
        <f aca="false">IF($D$29=1,MAX(0,SUM(Model!$K38:AN38)+SUM(Model!$K85:AN85)),0)</f>
        <v>0</v>
      </c>
      <c r="AO85" s="1" t="n">
        <f aca="false">IF($D$29=1,MAX(0,SUM(Model!$K38:AO38)+SUM(Model!$K85:AO85)),0)</f>
        <v>0</v>
      </c>
      <c r="AP85" s="1" t="n">
        <f aca="false">IF($D$29=1,MAX(0,SUM(Model!$K38:AP38)+SUM(Model!$K85:AP85)),0)</f>
        <v>0</v>
      </c>
      <c r="AQ85" s="1" t="n">
        <f aca="false">IF($D$29=1,MAX(0,SUM(Model!$K38:AQ38)+SUM(Model!$K85:AQ85)),0)</f>
        <v>0</v>
      </c>
      <c r="AR85" s="1" t="n">
        <f aca="false">IF($D$29=1,MAX(0,SUM(Model!$K38:AR38)+SUM(Model!$K85:AR85)),0)</f>
        <v>0</v>
      </c>
      <c r="AS85" s="1" t="n">
        <f aca="false">IF($D$29=1,MAX(0,SUM(Model!$K38:AS38)+SUM(Model!$K85:AS85)),0)</f>
        <v>0</v>
      </c>
      <c r="AT85" s="1" t="n">
        <f aca="false">IF($D$29=1,MAX(0,SUM(Model!$K38:AT38)+SUM(Model!$K85:AT85)),0)</f>
        <v>0</v>
      </c>
      <c r="AU85" s="1" t="n">
        <f aca="false">IF($D$29=1,MAX(0,SUM(Model!$K38:AU38)+SUM(Model!$K85:AU85)),0)</f>
        <v>0</v>
      </c>
      <c r="AV85" s="1" t="n">
        <f aca="false">IF($D$29=1,MAX(0,SUM(Model!$K38:AV38)+SUM(Model!$K85:AV85)),0)</f>
        <v>0</v>
      </c>
      <c r="AW85" s="1" t="n">
        <f aca="false">IF($D$29=1,MAX(0,SUM(Model!$K38:AW38)+SUM(Model!$K85:AW85)),0)</f>
        <v>0</v>
      </c>
      <c r="AX85" s="1" t="n">
        <f aca="false">IF($D$29=1,MAX(0,SUM(Model!$K38:AX38)+SUM(Model!$K85:AX85)),0)</f>
        <v>0</v>
      </c>
      <c r="AY85" s="1" t="n">
        <f aca="false">IF($D$29=1,MAX(0,SUM(Model!$K38:AY38)+SUM(Model!$K85:AY85)),0)</f>
        <v>0</v>
      </c>
      <c r="AZ85" s="1" t="n">
        <f aca="false">IF($D$29=1,MAX(0,SUM(Model!$K38:AZ38)+SUM(Model!$K85:AZ85)),0)</f>
        <v>0</v>
      </c>
      <c r="BA85" s="1" t="n">
        <f aca="false">IF($D$29=1,MAX(0,SUM(Model!$K38:BA38)+SUM(Model!$K85:BA85)),0)</f>
        <v>0</v>
      </c>
      <c r="BB85" s="1" t="n">
        <f aca="false">IF($D$29=1,MAX(0,SUM(Model!$K38:BB38)+SUM(Model!$K85:BB85)),0)</f>
        <v>0</v>
      </c>
      <c r="BC85" s="1" t="n">
        <f aca="false">IF($D$29=1,MAX(0,SUM(Model!$K38:BC38)+SUM(Model!$K85:BC85)),0)</f>
        <v>0</v>
      </c>
      <c r="BD85" s="1" t="n">
        <f aca="false">IF($D$29=1,MAX(0,SUM(Model!$K38:BD38)+SUM(Model!$K85:BD85)),0)</f>
        <v>0</v>
      </c>
      <c r="BE85" s="1" t="n">
        <f aca="false">IF($D$29=1,MAX(0,SUM(Model!$K38:BE38)+SUM(Model!$K85:BE85)),0)</f>
        <v>0</v>
      </c>
      <c r="BF85" s="1" t="n">
        <f aca="false">IF($D$29=1,MAX(0,SUM(Model!$K38:BF38)+SUM(Model!$K85:BF85)),0)</f>
        <v>0</v>
      </c>
      <c r="BG85" s="1" t="n">
        <f aca="false">IF($D$29=1,MAX(0,SUM(Model!$K38:BG38)+SUM(Model!$K85:BG85)),0)</f>
        <v>0</v>
      </c>
      <c r="BH85" s="1" t="n">
        <f aca="false">IF($D$29=1,MAX(0,SUM(Model!$K38:BH38)+SUM(Model!$K85:BH85)),0)</f>
        <v>0</v>
      </c>
      <c r="BI85" s="1" t="n">
        <f aca="false">IF($D$29=1,MAX(0,SUM(Model!$K38:BI38)+SUM(Model!$K85:BI85)),0)</f>
        <v>0</v>
      </c>
      <c r="BJ85" s="1" t="n">
        <f aca="false">IF($D$29=1,MAX(0,SUM(Model!$K38:BJ38)+SUM(Model!$K85:BJ85)),0)</f>
        <v>0</v>
      </c>
      <c r="BK85" s="1" t="n">
        <f aca="false">IF($D$29=1,MAX(0,SUM(Model!$K38:BK38)+SUM(Model!$K85:BK85)),0)</f>
        <v>0</v>
      </c>
      <c r="BL85" s="1" t="n">
        <f aca="false">IF($D$29=1,MAX(0,SUM(Model!$K38:BL38)+SUM(Model!$K85:BL85)),0)</f>
        <v>0</v>
      </c>
      <c r="BM85" s="1" t="n">
        <f aca="false">IF($D$29=1,MAX(0,SUM(Model!$K38:BM38)+SUM(Model!$K85:BM85)),0)</f>
        <v>0</v>
      </c>
      <c r="BN85" s="1" t="n">
        <f aca="false">IF($D$29=1,MAX(0,SUM(Model!$K38:BN38)+SUM(Model!$K85:BN85)),0)</f>
        <v>0</v>
      </c>
      <c r="BO85" s="1" t="n">
        <f aca="false">IF($D$29=1,MAX(0,SUM(Model!$K38:BO38)+SUM(Model!$K85:BO85)),0)</f>
        <v>0</v>
      </c>
      <c r="BP85" s="1" t="n">
        <f aca="false">IF($D$29=1,MAX(0,SUM(Model!$K38:BP38)+SUM(Model!$K85:BP85)),0)</f>
        <v>0</v>
      </c>
      <c r="BQ85" s="1" t="n">
        <f aca="false">IF($D$29=1,MAX(0,SUM(Model!$K38:BQ38)+SUM(Model!$K85:BQ85)),0)</f>
        <v>0</v>
      </c>
      <c r="BR85" s="1" t="n">
        <f aca="false">IF($D$29=1,MAX(0,SUM(Model!$K38:BR38)+SUM(Model!$K85:BR85)),0)</f>
        <v>0</v>
      </c>
      <c r="BS85" s="1" t="n">
        <f aca="false">IF($D$29=1,MAX(0,SUM(Model!$K38:BS38)+SUM(Model!$K85:BS85)),0)</f>
        <v>0</v>
      </c>
      <c r="BT85" s="1" t="n">
        <f aca="false">IF($D$29=1,MAX(0,SUM(Model!$K38:BT38)+SUM(Model!$K85:BT85)),0)</f>
        <v>0</v>
      </c>
      <c r="BU85" s="1" t="n">
        <f aca="false">IF($D$29=1,MAX(0,SUM(Model!$K38:BU38)+SUM(Model!$K85:BU85)),0)</f>
        <v>0</v>
      </c>
      <c r="BV85" s="1" t="n">
        <f aca="false">IF($D$29=1,MAX(0,SUM(Model!$K38:BV38)+SUM(Model!$K85:BV85)),0)</f>
        <v>0</v>
      </c>
      <c r="BW85" s="1" t="n">
        <f aca="false">IF($D$29=1,MAX(0,SUM(Model!$K38:BW38)+SUM(Model!$K85:BW85)),0)</f>
        <v>0</v>
      </c>
      <c r="BX85" s="1" t="n">
        <f aca="false">IF($D$29=1,MAX(0,SUM(Model!$K38:BX38)+SUM(Model!$K85:BX85)),0)</f>
        <v>0</v>
      </c>
      <c r="BY85" s="1" t="n">
        <f aca="false">IF($D$29=1,MAX(0,SUM(Model!$K38:BY38)+SUM(Model!$K85:BY85)),0)</f>
        <v>0</v>
      </c>
      <c r="BZ85" s="1" t="n">
        <f aca="false">IF($D$29=1,MAX(0,SUM(Model!$K38:BZ38)+SUM(Model!$K85:BZ85)),0)</f>
        <v>0</v>
      </c>
      <c r="CA85" s="1" t="n">
        <f aca="false">IF($D$29=1,MAX(0,SUM(Model!$K38:CA38)+SUM(Model!$K85:CA85)),0)</f>
        <v>0</v>
      </c>
      <c r="CB85" s="1" t="n">
        <f aca="false">IF($D$29=1,MAX(0,SUM(Model!$K38:CB38)+SUM(Model!$K85:CB85)),0)</f>
        <v>0</v>
      </c>
      <c r="CC85" s="1" t="n">
        <f aca="false">IF($D$29=1,MAX(0,SUM(Model!$K38:CC38)+SUM(Model!$K85:CC85)),0)</f>
        <v>0</v>
      </c>
      <c r="CD85" s="1" t="n">
        <f aca="false">IF($D$29=1,MAX(0,SUM(Model!$K38:CD38)+SUM(Model!$K85:CD85)),0)</f>
        <v>0</v>
      </c>
      <c r="CE85" s="1" t="n">
        <f aca="false">IF($D$29=1,MAX(0,SUM(Model!$K38:CE38)+SUM(Model!$K85:CE85)),0)</f>
        <v>0</v>
      </c>
      <c r="CF85" s="1" t="n">
        <f aca="false">IF($D$29=1,MAX(0,SUM(Model!$K38:CF38)+SUM(Model!$K85:CF85)),0)</f>
        <v>0</v>
      </c>
      <c r="CG85" s="1" t="n">
        <f aca="false">IF($D$29=1,MAX(0,SUM(Model!$K38:CG38)+SUM(Model!$K85:CG85)),0)</f>
        <v>0</v>
      </c>
      <c r="CH85" s="1" t="n">
        <f aca="false">IF($D$29=1,MAX(0,SUM(Model!$K38:CH38)+SUM(Model!$K85:CH85)),0)</f>
        <v>0</v>
      </c>
      <c r="CI85" s="1" t="n">
        <f aca="false">IF($D$29=1,MAX(0,SUM(Model!$K38:CI38)+SUM(Model!$K85:CI85)),0)</f>
        <v>0</v>
      </c>
      <c r="CJ85" s="1" t="n">
        <f aca="false">IF($D$29=1,MAX(0,SUM(Model!$K38:CJ38)+SUM(Model!$K85:CJ85)),0)</f>
        <v>0</v>
      </c>
      <c r="CK85" s="1" t="n">
        <f aca="false">IF($D$29=1,MAX(0,SUM(Model!$K38:CK38)+SUM(Model!$K85:CK85)),0)</f>
        <v>0</v>
      </c>
      <c r="CL85" s="1" t="n">
        <f aca="false">IF($D$29=1,MAX(0,SUM(Model!$K38:CL38)+SUM(Model!$K85:CL85)),0)</f>
        <v>0</v>
      </c>
      <c r="CM85" s="1" t="n">
        <f aca="false">IF($D$29=1,MAX(0,SUM(Model!$K38:CM38)+SUM(Model!$K85:CM85)),0)</f>
        <v>0</v>
      </c>
      <c r="CN85" s="1" t="n">
        <f aca="false">IF($D$29=1,MAX(0,SUM(Model!$K38:CN38)+SUM(Model!$K85:CN85)),0)</f>
        <v>0</v>
      </c>
      <c r="CO85" s="1" t="n">
        <f aca="false">IF($D$29=1,MAX(0,SUM(Model!$K38:CO38)+SUM(Model!$K85:CO85)),0)</f>
        <v>0</v>
      </c>
      <c r="CP85" s="1" t="n">
        <f aca="false">IF($D$29=1,MAX(0,SUM(Model!$K38:CP38)+SUM(Model!$K85:CP85)),0)</f>
        <v>0</v>
      </c>
      <c r="CQ85" s="1" t="n">
        <f aca="false">IF($D$29=1,MAX(0,SUM(Model!$K38:CQ38)+SUM(Model!$K85:CQ85)),0)</f>
        <v>0</v>
      </c>
      <c r="CR85" s="1" t="n">
        <f aca="false">IF($D$29=1,MAX(0,SUM(Model!$K38:CR38)+SUM(Model!$K85:CR85)),0)</f>
        <v>0</v>
      </c>
      <c r="CS85" s="1" t="n">
        <f aca="false">IF($D$29=1,MAX(0,SUM(Model!$K38:CS38)+SUM(Model!$K85:CS85)),0)</f>
        <v>0</v>
      </c>
      <c r="CT85" s="1" t="n">
        <f aca="false">IF($D$29=1,MAX(0,SUM(Model!$K38:CT38)+SUM(Model!$K85:CT85)),0)</f>
        <v>0</v>
      </c>
      <c r="CU85" s="1" t="n">
        <f aca="false">IF($D$29=1,MAX(0,SUM(Model!$K38:CU38)+SUM(Model!$K85:CU85)),0)</f>
        <v>0</v>
      </c>
      <c r="CV85" s="1" t="n">
        <f aca="false">IF($D$29=1,MAX(0,SUM(Model!$K38:CV38)+SUM(Model!$K85:CV85)),0)</f>
        <v>0</v>
      </c>
      <c r="CW85" s="1" t="n">
        <f aca="false">IF($D$29=1,MAX(0,SUM(Model!$K38:CW38)+SUM(Model!$K85:CW85)),0)</f>
        <v>0</v>
      </c>
      <c r="CX85" s="1" t="n">
        <f aca="false">IF($D$29=1,MAX(0,SUM(Model!$K38:CX38)+SUM(Model!$K85:CX85)),0)</f>
        <v>0</v>
      </c>
      <c r="CY85" s="1" t="n">
        <f aca="false">IF($D$29=1,MAX(0,SUM(Model!$K38:CY38)+SUM(Model!$K85:CY85)),0)</f>
        <v>0</v>
      </c>
      <c r="CZ85" s="1" t="n">
        <f aca="false">IF($D$29=1,MAX(0,SUM(Model!$K38:CZ38)+SUM(Model!$K85:CZ85)),0)</f>
        <v>0</v>
      </c>
      <c r="DA85" s="1" t="n">
        <f aca="false">IF($D$29=1,MAX(0,SUM(Model!$K38:DA38)+SUM(Model!$K85:DA85)),0)</f>
        <v>0</v>
      </c>
      <c r="DB85" s="1" t="n">
        <f aca="false">IF($D$29=1,MAX(0,SUM(Model!$K38:DB38)+SUM(Model!$K85:DB85)),0)</f>
        <v>0</v>
      </c>
      <c r="DC85" s="1" t="n">
        <f aca="false">IF($D$29=1,MAX(0,SUM(Model!$K38:DC38)+SUM(Model!$K85:DC85)),0)</f>
        <v>0</v>
      </c>
      <c r="DD85" s="1" t="n">
        <f aca="false">IF($D$29=1,MAX(0,SUM(Model!$K38:DD38)+SUM(Model!$K85:DD85)),0)</f>
        <v>0</v>
      </c>
      <c r="DE85" s="1" t="n">
        <f aca="false">IF($D$29=1,MAX(0,SUM(Model!$K38:DE38)+SUM(Model!$K85:DE85)),0)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v>0</v>
      </c>
      <c r="K86" s="1" t="n">
        <f aca="false">IF($D$30=1,MAX(0,SUM(Model!$K39:K39)+SUM(Model!$K86:K86)),0)</f>
        <v>0</v>
      </c>
      <c r="L86" s="1" t="n">
        <f aca="false">IF($D$30=1,MAX(0,SUM(Model!$K39:L39)+SUM(Model!$K86:L86)),0)</f>
        <v>0</v>
      </c>
      <c r="M86" s="1" t="n">
        <f aca="false">IF($D$30=1,MAX(0,SUM(Model!$K39:M39)+SUM(Model!$K86:M86)),0)</f>
        <v>0</v>
      </c>
      <c r="N86" s="1" t="n">
        <f aca="false">IF($D$30=1,MAX(0,SUM(Model!$K39:N39)+SUM(Model!$K86:N86)),0)</f>
        <v>0</v>
      </c>
      <c r="O86" s="1" t="n">
        <f aca="false">IF($D$30=1,MAX(0,SUM(Model!$K39:O39)+SUM(Model!$K86:O86)),0)</f>
        <v>0</v>
      </c>
      <c r="P86" s="1" t="n">
        <f aca="false">IF($D$30=1,MAX(0,SUM(Model!$K39:P39)+SUM(Model!$K86:P86)),0)</f>
        <v>0</v>
      </c>
      <c r="Q86" s="1" t="n">
        <f aca="false">IF($D$30=1,MAX(0,SUM(Model!$K39:Q39)+SUM(Model!$K86:Q86)),0)</f>
        <v>0</v>
      </c>
      <c r="R86" s="1" t="n">
        <f aca="false">IF($D$30=1,MAX(0,SUM(Model!$K39:R39)+SUM(Model!$K86:R86)),0)</f>
        <v>0</v>
      </c>
      <c r="S86" s="1" t="n">
        <f aca="false">IF($D$30=1,MAX(0,SUM(Model!$K39:S39)+SUM(Model!$K86:S86)),0)</f>
        <v>0</v>
      </c>
      <c r="T86" s="1" t="n">
        <f aca="false">IF($D$30=1,MAX(0,SUM(Model!$K39:T39)+SUM(Model!$K86:T86)),0)</f>
        <v>0</v>
      </c>
      <c r="U86" s="1" t="n">
        <f aca="false">IF($D$30=1,MAX(0,SUM(Model!$K39:U39)+SUM(Model!$K86:U86)),0)</f>
        <v>0</v>
      </c>
      <c r="V86" s="1" t="n">
        <f aca="false">IF($D$30=1,MAX(0,SUM(Model!$K39:V39)+SUM(Model!$K86:V86)),0)</f>
        <v>0</v>
      </c>
      <c r="W86" s="1" t="n">
        <f aca="false">IF($D$30=1,MAX(0,SUM(Model!$K39:W39)+SUM(Model!$K86:W86)),0)</f>
        <v>0</v>
      </c>
      <c r="X86" s="1" t="n">
        <f aca="false">IF($D$30=1,MAX(0,SUM(Model!$K39:X39)+SUM(Model!$K86:X86)),0)</f>
        <v>0</v>
      </c>
      <c r="Y86" s="1" t="n">
        <f aca="false">IF($D$30=1,MAX(0,SUM(Model!$K39:Y39)+SUM(Model!$K86:Y86)),0)</f>
        <v>0</v>
      </c>
      <c r="Z86" s="1" t="n">
        <f aca="false">IF($D$30=1,MAX(0,SUM(Model!$K39:Z39)+SUM(Model!$K86:Z86)),0)</f>
        <v>0</v>
      </c>
      <c r="AA86" s="1" t="n">
        <f aca="false">IF($D$30=1,MAX(0,SUM(Model!$K39:AA39)+SUM(Model!$K86:AA86)),0)</f>
        <v>0</v>
      </c>
      <c r="AB86" s="1" t="n">
        <f aca="false">IF($D$30=1,MAX(0,SUM(Model!$K39:AB39)+SUM(Model!$K86:AB86)),0)</f>
        <v>0</v>
      </c>
      <c r="AC86" s="1" t="n">
        <f aca="false">IF($D$30=1,MAX(0,SUM(Model!$K39:AC39)+SUM(Model!$K86:AC86)),0)</f>
        <v>0</v>
      </c>
      <c r="AD86" s="1" t="n">
        <f aca="false">IF($D$30=1,MAX(0,SUM(Model!$K39:AD39)+SUM(Model!$K86:AD86)),0)</f>
        <v>0</v>
      </c>
      <c r="AE86" s="1" t="n">
        <f aca="false">IF($D$30=1,MAX(0,SUM(Model!$K39:AE39)+SUM(Model!$K86:AE86)),0)</f>
        <v>0</v>
      </c>
      <c r="AF86" s="1" t="n">
        <f aca="false">IF($D$30=1,MAX(0,SUM(Model!$K39:AF39)+SUM(Model!$K86:AF86)),0)</f>
        <v>0</v>
      </c>
      <c r="AG86" s="1" t="n">
        <f aca="false">IF($D$30=1,MAX(0,SUM(Model!$K39:AG39)+SUM(Model!$K86:AG86)),0)</f>
        <v>0</v>
      </c>
      <c r="AH86" s="1" t="n">
        <f aca="false">IF($D$30=1,MAX(0,SUM(Model!$K39:AH39)+SUM(Model!$K86:AH86)),0)</f>
        <v>0</v>
      </c>
      <c r="AI86" s="1" t="n">
        <f aca="false">IF($D$30=1,MAX(0,SUM(Model!$K39:AI39)+SUM(Model!$K86:AI86)),0)</f>
        <v>0</v>
      </c>
      <c r="AJ86" s="1" t="n">
        <f aca="false">IF($D$30=1,MAX(0,SUM(Model!$K39:AJ39)+SUM(Model!$K86:AJ86)),0)</f>
        <v>0</v>
      </c>
      <c r="AK86" s="1" t="n">
        <f aca="false">IF($D$30=1,MAX(0,SUM(Model!$K39:AK39)+SUM(Model!$K86:AK86)),0)</f>
        <v>0</v>
      </c>
      <c r="AL86" s="1" t="n">
        <f aca="false">IF($D$30=1,MAX(0,SUM(Model!$K39:AL39)+SUM(Model!$K86:AL86)),0)</f>
        <v>0</v>
      </c>
      <c r="AM86" s="1" t="n">
        <f aca="false">IF($D$30=1,MAX(0,SUM(Model!$K39:AM39)+SUM(Model!$K86:AM86)),0)</f>
        <v>0</v>
      </c>
      <c r="AN86" s="1" t="n">
        <f aca="false">IF($D$30=1,MAX(0,SUM(Model!$K39:AN39)+SUM(Model!$K86:AN86)),0)</f>
        <v>0</v>
      </c>
      <c r="AO86" s="1" t="n">
        <f aca="false">IF($D$30=1,MAX(0,SUM(Model!$K39:AO39)+SUM(Model!$K86:AO86)),0)</f>
        <v>0</v>
      </c>
      <c r="AP86" s="1" t="n">
        <f aca="false">IF($D$30=1,MAX(0,SUM(Model!$K39:AP39)+SUM(Model!$K86:AP86)),0)</f>
        <v>0</v>
      </c>
      <c r="AQ86" s="1" t="n">
        <f aca="false">IF($D$30=1,MAX(0,SUM(Model!$K39:AQ39)+SUM(Model!$K86:AQ86)),0)</f>
        <v>0</v>
      </c>
      <c r="AR86" s="1" t="n">
        <f aca="false">IF($D$30=1,MAX(0,SUM(Model!$K39:AR39)+SUM(Model!$K86:AR86)),0)</f>
        <v>0</v>
      </c>
      <c r="AS86" s="1" t="n">
        <f aca="false">IF($D$30=1,MAX(0,SUM(Model!$K39:AS39)+SUM(Model!$K86:AS86)),0)</f>
        <v>0</v>
      </c>
      <c r="AT86" s="1" t="n">
        <f aca="false">IF($D$30=1,MAX(0,SUM(Model!$K39:AT39)+SUM(Model!$K86:AT86)),0)</f>
        <v>0</v>
      </c>
      <c r="AU86" s="1" t="n">
        <f aca="false">IF($D$30=1,MAX(0,SUM(Model!$K39:AU39)+SUM(Model!$K86:AU86)),0)</f>
        <v>0</v>
      </c>
      <c r="AV86" s="1" t="n">
        <f aca="false">IF($D$30=1,MAX(0,SUM(Model!$K39:AV39)+SUM(Model!$K86:AV86)),0)</f>
        <v>0</v>
      </c>
      <c r="AW86" s="1" t="n">
        <f aca="false">IF($D$30=1,MAX(0,SUM(Model!$K39:AW39)+SUM(Model!$K86:AW86)),0)</f>
        <v>0</v>
      </c>
      <c r="AX86" s="1" t="n">
        <f aca="false">IF($D$30=1,MAX(0,SUM(Model!$K39:AX39)+SUM(Model!$K86:AX86)),0)</f>
        <v>0</v>
      </c>
      <c r="AY86" s="1" t="n">
        <f aca="false">IF($D$30=1,MAX(0,SUM(Model!$K39:AY39)+SUM(Model!$K86:AY86)),0)</f>
        <v>0</v>
      </c>
      <c r="AZ86" s="1" t="n">
        <f aca="false">IF($D$30=1,MAX(0,SUM(Model!$K39:AZ39)+SUM(Model!$K86:AZ86)),0)</f>
        <v>0</v>
      </c>
      <c r="BA86" s="1" t="n">
        <f aca="false">IF($D$30=1,MAX(0,SUM(Model!$K39:BA39)+SUM(Model!$K86:BA86)),0)</f>
        <v>0</v>
      </c>
      <c r="BB86" s="1" t="n">
        <f aca="false">IF($D$30=1,MAX(0,SUM(Model!$K39:BB39)+SUM(Model!$K86:BB86)),0)</f>
        <v>0</v>
      </c>
      <c r="BC86" s="1" t="n">
        <f aca="false">IF($D$30=1,MAX(0,SUM(Model!$K39:BC39)+SUM(Model!$K86:BC86)),0)</f>
        <v>0</v>
      </c>
      <c r="BD86" s="1" t="n">
        <f aca="false">IF($D$30=1,MAX(0,SUM(Model!$K39:BD39)+SUM(Model!$K86:BD86)),0)</f>
        <v>0</v>
      </c>
      <c r="BE86" s="1" t="n">
        <f aca="false">IF($D$30=1,MAX(0,SUM(Model!$K39:BE39)+SUM(Model!$K86:BE86)),0)</f>
        <v>0</v>
      </c>
      <c r="BF86" s="1" t="n">
        <f aca="false">IF($D$30=1,MAX(0,SUM(Model!$K39:BF39)+SUM(Model!$K86:BF86)),0)</f>
        <v>0</v>
      </c>
      <c r="BG86" s="1" t="n">
        <f aca="false">IF($D$30=1,MAX(0,SUM(Model!$K39:BG39)+SUM(Model!$K86:BG86)),0)</f>
        <v>0</v>
      </c>
      <c r="BH86" s="1" t="n">
        <f aca="false">IF($D$30=1,MAX(0,SUM(Model!$K39:BH39)+SUM(Model!$K86:BH86)),0)</f>
        <v>0</v>
      </c>
      <c r="BI86" s="1" t="n">
        <f aca="false">IF($D$30=1,MAX(0,SUM(Model!$K39:BI39)+SUM(Model!$K86:BI86)),0)</f>
        <v>0</v>
      </c>
      <c r="BJ86" s="1" t="n">
        <f aca="false">IF($D$30=1,MAX(0,SUM(Model!$K39:BJ39)+SUM(Model!$K86:BJ86)),0)</f>
        <v>0</v>
      </c>
      <c r="BK86" s="1" t="n">
        <f aca="false">IF($D$30=1,MAX(0,SUM(Model!$K39:BK39)+SUM(Model!$K86:BK86)),0)</f>
        <v>0</v>
      </c>
      <c r="BL86" s="1" t="n">
        <f aca="false">IF($D$30=1,MAX(0,SUM(Model!$K39:BL39)+SUM(Model!$K86:BL86)),0)</f>
        <v>0</v>
      </c>
      <c r="BM86" s="1" t="n">
        <f aca="false">IF($D$30=1,MAX(0,SUM(Model!$K39:BM39)+SUM(Model!$K86:BM86)),0)</f>
        <v>0</v>
      </c>
      <c r="BN86" s="1" t="n">
        <f aca="false">IF($D$30=1,MAX(0,SUM(Model!$K39:BN39)+SUM(Model!$K86:BN86)),0)</f>
        <v>0</v>
      </c>
      <c r="BO86" s="1" t="n">
        <f aca="false">IF($D$30=1,MAX(0,SUM(Model!$K39:BO39)+SUM(Model!$K86:BO86)),0)</f>
        <v>0</v>
      </c>
      <c r="BP86" s="1" t="n">
        <f aca="false">IF($D$30=1,MAX(0,SUM(Model!$K39:BP39)+SUM(Model!$K86:BP86)),0)</f>
        <v>0</v>
      </c>
      <c r="BQ86" s="1" t="n">
        <f aca="false">IF($D$30=1,MAX(0,SUM(Model!$K39:BQ39)+SUM(Model!$K86:BQ86)),0)</f>
        <v>0</v>
      </c>
      <c r="BR86" s="1" t="n">
        <f aca="false">IF($D$30=1,MAX(0,SUM(Model!$K39:BR39)+SUM(Model!$K86:BR86)),0)</f>
        <v>0</v>
      </c>
      <c r="BS86" s="1" t="n">
        <f aca="false">IF($D$30=1,MAX(0,SUM(Model!$K39:BS39)+SUM(Model!$K86:BS86)),0)</f>
        <v>0</v>
      </c>
      <c r="BT86" s="1" t="n">
        <f aca="false">IF($D$30=1,MAX(0,SUM(Model!$K39:BT39)+SUM(Model!$K86:BT86)),0)</f>
        <v>0</v>
      </c>
      <c r="BU86" s="1" t="n">
        <f aca="false">IF($D$30=1,MAX(0,SUM(Model!$K39:BU39)+SUM(Model!$K86:BU86)),0)</f>
        <v>0</v>
      </c>
      <c r="BV86" s="1" t="n">
        <f aca="false">IF($D$30=1,MAX(0,SUM(Model!$K39:BV39)+SUM(Model!$K86:BV86)),0)</f>
        <v>0</v>
      </c>
      <c r="BW86" s="1" t="n">
        <f aca="false">IF($D$30=1,MAX(0,SUM(Model!$K39:BW39)+SUM(Model!$K86:BW86)),0)</f>
        <v>0</v>
      </c>
      <c r="BX86" s="1" t="n">
        <f aca="false">IF($D$30=1,MAX(0,SUM(Model!$K39:BX39)+SUM(Model!$K86:BX86)),0)</f>
        <v>0</v>
      </c>
      <c r="BY86" s="1" t="n">
        <f aca="false">IF($D$30=1,MAX(0,SUM(Model!$K39:BY39)+SUM(Model!$K86:BY86)),0)</f>
        <v>0</v>
      </c>
      <c r="BZ86" s="1" t="n">
        <f aca="false">IF($D$30=1,MAX(0,SUM(Model!$K39:BZ39)+SUM(Model!$K86:BZ86)),0)</f>
        <v>0</v>
      </c>
      <c r="CA86" s="1" t="n">
        <f aca="false">IF($D$30=1,MAX(0,SUM(Model!$K39:CA39)+SUM(Model!$K86:CA86)),0)</f>
        <v>0</v>
      </c>
      <c r="CB86" s="1" t="n">
        <f aca="false">IF($D$30=1,MAX(0,SUM(Model!$K39:CB39)+SUM(Model!$K86:CB86)),0)</f>
        <v>0</v>
      </c>
      <c r="CC86" s="1" t="n">
        <f aca="false">IF($D$30=1,MAX(0,SUM(Model!$K39:CC39)+SUM(Model!$K86:CC86)),0)</f>
        <v>0</v>
      </c>
      <c r="CD86" s="1" t="n">
        <f aca="false">IF($D$30=1,MAX(0,SUM(Model!$K39:CD39)+SUM(Model!$K86:CD86)),0)</f>
        <v>0</v>
      </c>
      <c r="CE86" s="1" t="n">
        <f aca="false">IF($D$30=1,MAX(0,SUM(Model!$K39:CE39)+SUM(Model!$K86:CE86)),0)</f>
        <v>0</v>
      </c>
      <c r="CF86" s="1" t="n">
        <f aca="false">IF($D$30=1,MAX(0,SUM(Model!$K39:CF39)+SUM(Model!$K86:CF86)),0)</f>
        <v>0</v>
      </c>
      <c r="CG86" s="1" t="n">
        <f aca="false">IF($D$30=1,MAX(0,SUM(Model!$K39:CG39)+SUM(Model!$K86:CG86)),0)</f>
        <v>0</v>
      </c>
      <c r="CH86" s="1" t="n">
        <f aca="false">IF($D$30=1,MAX(0,SUM(Model!$K39:CH39)+SUM(Model!$K86:CH86)),0)</f>
        <v>0</v>
      </c>
      <c r="CI86" s="1" t="n">
        <f aca="false">IF($D$30=1,MAX(0,SUM(Model!$K39:CI39)+SUM(Model!$K86:CI86)),0)</f>
        <v>0</v>
      </c>
      <c r="CJ86" s="1" t="n">
        <f aca="false">IF($D$30=1,MAX(0,SUM(Model!$K39:CJ39)+SUM(Model!$K86:CJ86)),0)</f>
        <v>0</v>
      </c>
      <c r="CK86" s="1" t="n">
        <f aca="false">IF($D$30=1,MAX(0,SUM(Model!$K39:CK39)+SUM(Model!$K86:CK86)),0)</f>
        <v>0</v>
      </c>
      <c r="CL86" s="1" t="n">
        <f aca="false">IF($D$30=1,MAX(0,SUM(Model!$K39:CL39)+SUM(Model!$K86:CL86)),0)</f>
        <v>0</v>
      </c>
      <c r="CM86" s="1" t="n">
        <f aca="false">IF($D$30=1,MAX(0,SUM(Model!$K39:CM39)+SUM(Model!$K86:CM86)),0)</f>
        <v>0</v>
      </c>
      <c r="CN86" s="1" t="n">
        <f aca="false">IF($D$30=1,MAX(0,SUM(Model!$K39:CN39)+SUM(Model!$K86:CN86)),0)</f>
        <v>0</v>
      </c>
      <c r="CO86" s="1" t="n">
        <f aca="false">IF($D$30=1,MAX(0,SUM(Model!$K39:CO39)+SUM(Model!$K86:CO86)),0)</f>
        <v>0</v>
      </c>
      <c r="CP86" s="1" t="n">
        <f aca="false">IF($D$30=1,MAX(0,SUM(Model!$K39:CP39)+SUM(Model!$K86:CP86)),0)</f>
        <v>0</v>
      </c>
      <c r="CQ86" s="1" t="n">
        <f aca="false">IF($D$30=1,MAX(0,SUM(Model!$K39:CQ39)+SUM(Model!$K86:CQ86)),0)</f>
        <v>0</v>
      </c>
      <c r="CR86" s="1" t="n">
        <f aca="false">IF($D$30=1,MAX(0,SUM(Model!$K39:CR39)+SUM(Model!$K86:CR86)),0)</f>
        <v>0</v>
      </c>
      <c r="CS86" s="1" t="n">
        <f aca="false">IF($D$30=1,MAX(0,SUM(Model!$K39:CS39)+SUM(Model!$K86:CS86)),0)</f>
        <v>0</v>
      </c>
      <c r="CT86" s="1" t="n">
        <f aca="false">IF($D$30=1,MAX(0,SUM(Model!$K39:CT39)+SUM(Model!$K86:CT86)),0)</f>
        <v>0</v>
      </c>
      <c r="CU86" s="1" t="n">
        <f aca="false">IF($D$30=1,MAX(0,SUM(Model!$K39:CU39)+SUM(Model!$K86:CU86)),0)</f>
        <v>0</v>
      </c>
      <c r="CV86" s="1" t="n">
        <f aca="false">IF($D$30=1,MAX(0,SUM(Model!$K39:CV39)+SUM(Model!$K86:CV86)),0)</f>
        <v>0</v>
      </c>
      <c r="CW86" s="1" t="n">
        <f aca="false">IF($D$30=1,MAX(0,SUM(Model!$K39:CW39)+SUM(Model!$K86:CW86)),0)</f>
        <v>0</v>
      </c>
      <c r="CX86" s="1" t="n">
        <f aca="false">IF($D$30=1,MAX(0,SUM(Model!$K39:CX39)+SUM(Model!$K86:CX86)),0)</f>
        <v>0</v>
      </c>
      <c r="CY86" s="1" t="n">
        <f aca="false">IF($D$30=1,MAX(0,SUM(Model!$K39:CY39)+SUM(Model!$K86:CY86)),0)</f>
        <v>0</v>
      </c>
      <c r="CZ86" s="1" t="n">
        <f aca="false">IF($D$30=1,MAX(0,SUM(Model!$K39:CZ39)+SUM(Model!$K86:CZ86)),0)</f>
        <v>0</v>
      </c>
      <c r="DA86" s="1" t="n">
        <f aca="false">IF($D$30=1,MAX(0,SUM(Model!$K39:DA39)+SUM(Model!$K86:DA86)),0)</f>
        <v>0</v>
      </c>
      <c r="DB86" s="1" t="n">
        <f aca="false">IF($D$30=1,MAX(0,SUM(Model!$K39:DB39)+SUM(Model!$K86:DB86)),0)</f>
        <v>0</v>
      </c>
      <c r="DC86" s="1" t="n">
        <f aca="false">IF($D$30=1,MAX(0,SUM(Model!$K39:DC39)+SUM(Model!$K86:DC86)),0)</f>
        <v>0</v>
      </c>
      <c r="DD86" s="1" t="n">
        <f aca="false">IF($D$30=1,MAX(0,SUM(Model!$K39:DD39)+SUM(Model!$K86:DD86)),0)</f>
        <v>0</v>
      </c>
      <c r="DE86" s="1" t="n">
        <f aca="false">IF($D$30=1,MAX(0,SUM(Model!$K39:DE39)+SUM(Model!$K86:DE86)),0)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v>0</v>
      </c>
      <c r="K87" s="1" t="n">
        <f aca="false">IF($D$31=1,MAX(0,SUM(Model!$K40:K40)+SUM(Model!$K87:K87)),0)</f>
        <v>0</v>
      </c>
      <c r="L87" s="1" t="n">
        <f aca="false">IF($D$31=1,MAX(0,SUM(Model!$K40:L40)+SUM(Model!$K87:L87)),0)</f>
        <v>0</v>
      </c>
      <c r="M87" s="1" t="n">
        <f aca="false">IF($D$31=1,MAX(0,SUM(Model!$K40:M40)+SUM(Model!$K87:M87)),0)</f>
        <v>0</v>
      </c>
      <c r="N87" s="1" t="n">
        <f aca="false">IF($D$31=1,MAX(0,SUM(Model!$K40:N40)+SUM(Model!$K87:N87)),0)</f>
        <v>0</v>
      </c>
      <c r="O87" s="1" t="n">
        <f aca="false">IF($D$31=1,MAX(0,SUM(Model!$K40:O40)+SUM(Model!$K87:O87)),0)</f>
        <v>0</v>
      </c>
      <c r="P87" s="1" t="n">
        <f aca="false">IF($D$31=1,MAX(0,SUM(Model!$K40:P40)+SUM(Model!$K87:P87)),0)</f>
        <v>0</v>
      </c>
      <c r="Q87" s="1" t="n">
        <f aca="false">IF($D$31=1,MAX(0,SUM(Model!$K40:Q40)+SUM(Model!$K87:Q87)),0)</f>
        <v>0</v>
      </c>
      <c r="R87" s="1" t="n">
        <f aca="false">IF($D$31=1,MAX(0,SUM(Model!$K40:R40)+SUM(Model!$K87:R87)),0)</f>
        <v>0</v>
      </c>
      <c r="S87" s="1" t="n">
        <f aca="false">IF($D$31=1,MAX(0,SUM(Model!$K40:S40)+SUM(Model!$K87:S87)),0)</f>
        <v>0</v>
      </c>
      <c r="T87" s="1" t="n">
        <f aca="false">IF($D$31=1,MAX(0,SUM(Model!$K40:T40)+SUM(Model!$K87:T87)),0)</f>
        <v>0</v>
      </c>
      <c r="U87" s="1" t="n">
        <f aca="false">IF($D$31=1,MAX(0,SUM(Model!$K40:U40)+SUM(Model!$K87:U87)),0)</f>
        <v>0</v>
      </c>
      <c r="V87" s="1" t="n">
        <f aca="false">IF($D$31=1,MAX(0,SUM(Model!$K40:V40)+SUM(Model!$K87:V87)),0)</f>
        <v>0</v>
      </c>
      <c r="W87" s="1" t="n">
        <f aca="false">IF($D$31=1,MAX(0,SUM(Model!$K40:W40)+SUM(Model!$K87:W87)),0)</f>
        <v>0</v>
      </c>
      <c r="X87" s="1" t="n">
        <f aca="false">IF($D$31=1,MAX(0,SUM(Model!$K40:X40)+SUM(Model!$K87:X87)),0)</f>
        <v>0</v>
      </c>
      <c r="Y87" s="1" t="n">
        <f aca="false">IF($D$31=1,MAX(0,SUM(Model!$K40:Y40)+SUM(Model!$K87:Y87)),0)</f>
        <v>0</v>
      </c>
      <c r="Z87" s="1" t="n">
        <f aca="false">IF($D$31=1,MAX(0,SUM(Model!$K40:Z40)+SUM(Model!$K87:Z87)),0)</f>
        <v>0</v>
      </c>
      <c r="AA87" s="1" t="n">
        <f aca="false">IF($D$31=1,MAX(0,SUM(Model!$K40:AA40)+SUM(Model!$K87:AA87)),0)</f>
        <v>0</v>
      </c>
      <c r="AB87" s="1" t="n">
        <f aca="false">IF($D$31=1,MAX(0,SUM(Model!$K40:AB40)+SUM(Model!$K87:AB87)),0)</f>
        <v>0</v>
      </c>
      <c r="AC87" s="1" t="n">
        <f aca="false">IF($D$31=1,MAX(0,SUM(Model!$K40:AC40)+SUM(Model!$K87:AC87)),0)</f>
        <v>0</v>
      </c>
      <c r="AD87" s="1" t="n">
        <f aca="false">IF($D$31=1,MAX(0,SUM(Model!$K40:AD40)+SUM(Model!$K87:AD87)),0)</f>
        <v>0</v>
      </c>
      <c r="AE87" s="1" t="n">
        <f aca="false">IF($D$31=1,MAX(0,SUM(Model!$K40:AE40)+SUM(Model!$K87:AE87)),0)</f>
        <v>0</v>
      </c>
      <c r="AF87" s="1" t="n">
        <f aca="false">IF($D$31=1,MAX(0,SUM(Model!$K40:AF40)+SUM(Model!$K87:AF87)),0)</f>
        <v>0</v>
      </c>
      <c r="AG87" s="1" t="n">
        <f aca="false">IF($D$31=1,MAX(0,SUM(Model!$K40:AG40)+SUM(Model!$K87:AG87)),0)</f>
        <v>0</v>
      </c>
      <c r="AH87" s="1" t="n">
        <f aca="false">IF($D$31=1,MAX(0,SUM(Model!$K40:AH40)+SUM(Model!$K87:AH87)),0)</f>
        <v>0</v>
      </c>
      <c r="AI87" s="1" t="n">
        <f aca="false">IF($D$31=1,MAX(0,SUM(Model!$K40:AI40)+SUM(Model!$K87:AI87)),0)</f>
        <v>0</v>
      </c>
      <c r="AJ87" s="1" t="n">
        <f aca="false">IF($D$31=1,MAX(0,SUM(Model!$K40:AJ40)+SUM(Model!$K87:AJ87)),0)</f>
        <v>0</v>
      </c>
      <c r="AK87" s="1" t="n">
        <f aca="false">IF($D$31=1,MAX(0,SUM(Model!$K40:AK40)+SUM(Model!$K87:AK87)),0)</f>
        <v>0</v>
      </c>
      <c r="AL87" s="1" t="n">
        <f aca="false">IF($D$31=1,MAX(0,SUM(Model!$K40:AL40)+SUM(Model!$K87:AL87)),0)</f>
        <v>0</v>
      </c>
      <c r="AM87" s="1" t="n">
        <f aca="false">IF($D$31=1,MAX(0,SUM(Model!$K40:AM40)+SUM(Model!$K87:AM87)),0)</f>
        <v>0</v>
      </c>
      <c r="AN87" s="1" t="n">
        <f aca="false">IF($D$31=1,MAX(0,SUM(Model!$K40:AN40)+SUM(Model!$K87:AN87)),0)</f>
        <v>0</v>
      </c>
      <c r="AO87" s="1" t="n">
        <f aca="false">IF($D$31=1,MAX(0,SUM(Model!$K40:AO40)+SUM(Model!$K87:AO87)),0)</f>
        <v>0</v>
      </c>
      <c r="AP87" s="1" t="n">
        <f aca="false">IF($D$31=1,MAX(0,SUM(Model!$K40:AP40)+SUM(Model!$K87:AP87)),0)</f>
        <v>0</v>
      </c>
      <c r="AQ87" s="1" t="n">
        <f aca="false">IF($D$31=1,MAX(0,SUM(Model!$K40:AQ40)+SUM(Model!$K87:AQ87)),0)</f>
        <v>0</v>
      </c>
      <c r="AR87" s="1" t="n">
        <f aca="false">IF($D$31=1,MAX(0,SUM(Model!$K40:AR40)+SUM(Model!$K87:AR87)),0)</f>
        <v>0</v>
      </c>
      <c r="AS87" s="1" t="n">
        <f aca="false">IF($D$31=1,MAX(0,SUM(Model!$K40:AS40)+SUM(Model!$K87:AS87)),0)</f>
        <v>0</v>
      </c>
      <c r="AT87" s="1" t="n">
        <f aca="false">IF($D$31=1,MAX(0,SUM(Model!$K40:AT40)+SUM(Model!$K87:AT87)),0)</f>
        <v>0</v>
      </c>
      <c r="AU87" s="1" t="n">
        <f aca="false">IF($D$31=1,MAX(0,SUM(Model!$K40:AU40)+SUM(Model!$K87:AU87)),0)</f>
        <v>0</v>
      </c>
      <c r="AV87" s="1" t="n">
        <f aca="false">IF($D$31=1,MAX(0,SUM(Model!$K40:AV40)+SUM(Model!$K87:AV87)),0)</f>
        <v>0</v>
      </c>
      <c r="AW87" s="1" t="n">
        <f aca="false">IF($D$31=1,MAX(0,SUM(Model!$K40:AW40)+SUM(Model!$K87:AW87)),0)</f>
        <v>0</v>
      </c>
      <c r="AX87" s="1" t="n">
        <f aca="false">IF($D$31=1,MAX(0,SUM(Model!$K40:AX40)+SUM(Model!$K87:AX87)),0)</f>
        <v>0</v>
      </c>
      <c r="AY87" s="1" t="n">
        <f aca="false">IF($D$31=1,MAX(0,SUM(Model!$K40:AY40)+SUM(Model!$K87:AY87)),0)</f>
        <v>0</v>
      </c>
      <c r="AZ87" s="1" t="n">
        <f aca="false">IF($D$31=1,MAX(0,SUM(Model!$K40:AZ40)+SUM(Model!$K87:AZ87)),0)</f>
        <v>0</v>
      </c>
      <c r="BA87" s="1" t="n">
        <f aca="false">IF($D$31=1,MAX(0,SUM(Model!$K40:BA40)+SUM(Model!$K87:BA87)),0)</f>
        <v>0</v>
      </c>
      <c r="BB87" s="1" t="n">
        <f aca="false">IF($D$31=1,MAX(0,SUM(Model!$K40:BB40)+SUM(Model!$K87:BB87)),0)</f>
        <v>0</v>
      </c>
      <c r="BC87" s="1" t="n">
        <f aca="false">IF($D$31=1,MAX(0,SUM(Model!$K40:BC40)+SUM(Model!$K87:BC87)),0)</f>
        <v>0</v>
      </c>
      <c r="BD87" s="1" t="n">
        <f aca="false">IF($D$31=1,MAX(0,SUM(Model!$K40:BD40)+SUM(Model!$K87:BD87)),0)</f>
        <v>0</v>
      </c>
      <c r="BE87" s="1" t="n">
        <f aca="false">IF($D$31=1,MAX(0,SUM(Model!$K40:BE40)+SUM(Model!$K87:BE87)),0)</f>
        <v>0</v>
      </c>
      <c r="BF87" s="1" t="n">
        <f aca="false">IF($D$31=1,MAX(0,SUM(Model!$K40:BF40)+SUM(Model!$K87:BF87)),0)</f>
        <v>0</v>
      </c>
      <c r="BG87" s="1" t="n">
        <f aca="false">IF($D$31=1,MAX(0,SUM(Model!$K40:BG40)+SUM(Model!$K87:BG87)),0)</f>
        <v>0</v>
      </c>
      <c r="BH87" s="1" t="n">
        <f aca="false">IF($D$31=1,MAX(0,SUM(Model!$K40:BH40)+SUM(Model!$K87:BH87)),0)</f>
        <v>0</v>
      </c>
      <c r="BI87" s="1" t="n">
        <f aca="false">IF($D$31=1,MAX(0,SUM(Model!$K40:BI40)+SUM(Model!$K87:BI87)),0)</f>
        <v>0</v>
      </c>
      <c r="BJ87" s="1" t="n">
        <f aca="false">IF($D$31=1,MAX(0,SUM(Model!$K40:BJ40)+SUM(Model!$K87:BJ87)),0)</f>
        <v>0</v>
      </c>
      <c r="BK87" s="1" t="n">
        <f aca="false">IF($D$31=1,MAX(0,SUM(Model!$K40:BK40)+SUM(Model!$K87:BK87)),0)</f>
        <v>0</v>
      </c>
      <c r="BL87" s="1" t="n">
        <f aca="false">IF($D$31=1,MAX(0,SUM(Model!$K40:BL40)+SUM(Model!$K87:BL87)),0)</f>
        <v>0</v>
      </c>
      <c r="BM87" s="1" t="n">
        <f aca="false">IF($D$31=1,MAX(0,SUM(Model!$K40:BM40)+SUM(Model!$K87:BM87)),0)</f>
        <v>0</v>
      </c>
      <c r="BN87" s="1" t="n">
        <f aca="false">IF($D$31=1,MAX(0,SUM(Model!$K40:BN40)+SUM(Model!$K87:BN87)),0)</f>
        <v>0</v>
      </c>
      <c r="BO87" s="1" t="n">
        <f aca="false">IF($D$31=1,MAX(0,SUM(Model!$K40:BO40)+SUM(Model!$K87:BO87)),0)</f>
        <v>0</v>
      </c>
      <c r="BP87" s="1" t="n">
        <f aca="false">IF($D$31=1,MAX(0,SUM(Model!$K40:BP40)+SUM(Model!$K87:BP87)),0)</f>
        <v>0</v>
      </c>
      <c r="BQ87" s="1" t="n">
        <f aca="false">IF($D$31=1,MAX(0,SUM(Model!$K40:BQ40)+SUM(Model!$K87:BQ87)),0)</f>
        <v>0</v>
      </c>
      <c r="BR87" s="1" t="n">
        <f aca="false">IF($D$31=1,MAX(0,SUM(Model!$K40:BR40)+SUM(Model!$K87:BR87)),0)</f>
        <v>0</v>
      </c>
      <c r="BS87" s="1" t="n">
        <f aca="false">IF($D$31=1,MAX(0,SUM(Model!$K40:BS40)+SUM(Model!$K87:BS87)),0)</f>
        <v>0</v>
      </c>
      <c r="BT87" s="1" t="n">
        <f aca="false">IF($D$31=1,MAX(0,SUM(Model!$K40:BT40)+SUM(Model!$K87:BT87)),0)</f>
        <v>0</v>
      </c>
      <c r="BU87" s="1" t="n">
        <f aca="false">IF($D$31=1,MAX(0,SUM(Model!$K40:BU40)+SUM(Model!$K87:BU87)),0)</f>
        <v>0</v>
      </c>
      <c r="BV87" s="1" t="n">
        <f aca="false">IF($D$31=1,MAX(0,SUM(Model!$K40:BV40)+SUM(Model!$K87:BV87)),0)</f>
        <v>0</v>
      </c>
      <c r="BW87" s="1" t="n">
        <f aca="false">IF($D$31=1,MAX(0,SUM(Model!$K40:BW40)+SUM(Model!$K87:BW87)),0)</f>
        <v>0</v>
      </c>
      <c r="BX87" s="1" t="n">
        <f aca="false">IF($D$31=1,MAX(0,SUM(Model!$K40:BX40)+SUM(Model!$K87:BX87)),0)</f>
        <v>0</v>
      </c>
      <c r="BY87" s="1" t="n">
        <f aca="false">IF($D$31=1,MAX(0,SUM(Model!$K40:BY40)+SUM(Model!$K87:BY87)),0)</f>
        <v>0</v>
      </c>
      <c r="BZ87" s="1" t="n">
        <f aca="false">IF($D$31=1,MAX(0,SUM(Model!$K40:BZ40)+SUM(Model!$K87:BZ87)),0)</f>
        <v>0</v>
      </c>
      <c r="CA87" s="1" t="n">
        <f aca="false">IF($D$31=1,MAX(0,SUM(Model!$K40:CA40)+SUM(Model!$K87:CA87)),0)</f>
        <v>0</v>
      </c>
      <c r="CB87" s="1" t="n">
        <f aca="false">IF($D$31=1,MAX(0,SUM(Model!$K40:CB40)+SUM(Model!$K87:CB87)),0)</f>
        <v>0</v>
      </c>
      <c r="CC87" s="1" t="n">
        <f aca="false">IF($D$31=1,MAX(0,SUM(Model!$K40:CC40)+SUM(Model!$K87:CC87)),0)</f>
        <v>0</v>
      </c>
      <c r="CD87" s="1" t="n">
        <f aca="false">IF($D$31=1,MAX(0,SUM(Model!$K40:CD40)+SUM(Model!$K87:CD87)),0)</f>
        <v>0</v>
      </c>
      <c r="CE87" s="1" t="n">
        <f aca="false">IF($D$31=1,MAX(0,SUM(Model!$K40:CE40)+SUM(Model!$K87:CE87)),0)</f>
        <v>0</v>
      </c>
      <c r="CF87" s="1" t="n">
        <f aca="false">IF($D$31=1,MAX(0,SUM(Model!$K40:CF40)+SUM(Model!$K87:CF87)),0)</f>
        <v>0</v>
      </c>
      <c r="CG87" s="1" t="n">
        <f aca="false">IF($D$31=1,MAX(0,SUM(Model!$K40:CG40)+SUM(Model!$K87:CG87)),0)</f>
        <v>0</v>
      </c>
      <c r="CH87" s="1" t="n">
        <f aca="false">IF($D$31=1,MAX(0,SUM(Model!$K40:CH40)+SUM(Model!$K87:CH87)),0)</f>
        <v>0</v>
      </c>
      <c r="CI87" s="1" t="n">
        <f aca="false">IF($D$31=1,MAX(0,SUM(Model!$K40:CI40)+SUM(Model!$K87:CI87)),0)</f>
        <v>0</v>
      </c>
      <c r="CJ87" s="1" t="n">
        <f aca="false">IF($D$31=1,MAX(0,SUM(Model!$K40:CJ40)+SUM(Model!$K87:CJ87)),0)</f>
        <v>0</v>
      </c>
      <c r="CK87" s="1" t="n">
        <f aca="false">IF($D$31=1,MAX(0,SUM(Model!$K40:CK40)+SUM(Model!$K87:CK87)),0)</f>
        <v>0</v>
      </c>
      <c r="CL87" s="1" t="n">
        <f aca="false">IF($D$31=1,MAX(0,SUM(Model!$K40:CL40)+SUM(Model!$K87:CL87)),0)</f>
        <v>0</v>
      </c>
      <c r="CM87" s="1" t="n">
        <f aca="false">IF($D$31=1,MAX(0,SUM(Model!$K40:CM40)+SUM(Model!$K87:CM87)),0)</f>
        <v>0</v>
      </c>
      <c r="CN87" s="1" t="n">
        <f aca="false">IF($D$31=1,MAX(0,SUM(Model!$K40:CN40)+SUM(Model!$K87:CN87)),0)</f>
        <v>0</v>
      </c>
      <c r="CO87" s="1" t="n">
        <f aca="false">IF($D$31=1,MAX(0,SUM(Model!$K40:CO40)+SUM(Model!$K87:CO87)),0)</f>
        <v>0</v>
      </c>
      <c r="CP87" s="1" t="n">
        <f aca="false">IF($D$31=1,MAX(0,SUM(Model!$K40:CP40)+SUM(Model!$K87:CP87)),0)</f>
        <v>0</v>
      </c>
      <c r="CQ87" s="1" t="n">
        <f aca="false">IF($D$31=1,MAX(0,SUM(Model!$K40:CQ40)+SUM(Model!$K87:CQ87)),0)</f>
        <v>0</v>
      </c>
      <c r="CR87" s="1" t="n">
        <f aca="false">IF($D$31=1,MAX(0,SUM(Model!$K40:CR40)+SUM(Model!$K87:CR87)),0)</f>
        <v>0</v>
      </c>
      <c r="CS87" s="1" t="n">
        <f aca="false">IF($D$31=1,MAX(0,SUM(Model!$K40:CS40)+SUM(Model!$K87:CS87)),0)</f>
        <v>0</v>
      </c>
      <c r="CT87" s="1" t="n">
        <f aca="false">IF($D$31=1,MAX(0,SUM(Model!$K40:CT40)+SUM(Model!$K87:CT87)),0)</f>
        <v>0</v>
      </c>
      <c r="CU87" s="1" t="n">
        <f aca="false">IF($D$31=1,MAX(0,SUM(Model!$K40:CU40)+SUM(Model!$K87:CU87)),0)</f>
        <v>0</v>
      </c>
      <c r="CV87" s="1" t="n">
        <f aca="false">IF($D$31=1,MAX(0,SUM(Model!$K40:CV40)+SUM(Model!$K87:CV87)),0)</f>
        <v>0</v>
      </c>
      <c r="CW87" s="1" t="n">
        <f aca="false">IF($D$31=1,MAX(0,SUM(Model!$K40:CW40)+SUM(Model!$K87:CW87)),0)</f>
        <v>0</v>
      </c>
      <c r="CX87" s="1" t="n">
        <f aca="false">IF($D$31=1,MAX(0,SUM(Model!$K40:CX40)+SUM(Model!$K87:CX87)),0)</f>
        <v>0</v>
      </c>
      <c r="CY87" s="1" t="n">
        <f aca="false">IF($D$31=1,MAX(0,SUM(Model!$K40:CY40)+SUM(Model!$K87:CY87)),0)</f>
        <v>0</v>
      </c>
      <c r="CZ87" s="1" t="n">
        <f aca="false">IF($D$31=1,MAX(0,SUM(Model!$K40:CZ40)+SUM(Model!$K87:CZ87)),0)</f>
        <v>0</v>
      </c>
      <c r="DA87" s="1" t="n">
        <f aca="false">IF($D$31=1,MAX(0,SUM(Model!$K40:DA40)+SUM(Model!$K87:DA87)),0)</f>
        <v>0</v>
      </c>
      <c r="DB87" s="1" t="n">
        <f aca="false">IF($D$31=1,MAX(0,SUM(Model!$K40:DB40)+SUM(Model!$K87:DB87)),0)</f>
        <v>0</v>
      </c>
      <c r="DC87" s="1" t="n">
        <f aca="false">IF($D$31=1,MAX(0,SUM(Model!$K40:DC40)+SUM(Model!$K87:DC87)),0)</f>
        <v>0</v>
      </c>
      <c r="DD87" s="1" t="n">
        <f aca="false">IF($D$31=1,MAX(0,SUM(Model!$K40:DD40)+SUM(Model!$K87:DD87)),0)</f>
        <v>0</v>
      </c>
      <c r="DE87" s="1" t="n">
        <f aca="false">IF($D$31=1,MAX(0,SUM(Model!$K40:DE40)+SUM(Model!$K87:DE87)),0)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v>0</v>
      </c>
      <c r="K88" s="1" t="n">
        <f aca="false">IF($D$32=1,MAX(0,SUM(Model!$K41:K41)+SUM(Model!$K88:K88)),0)</f>
        <v>0</v>
      </c>
      <c r="L88" s="1" t="n">
        <f aca="false">IF($D$32=1,MAX(0,SUM(Model!$K41:L41)+SUM(Model!$K88:L88)),0)</f>
        <v>0</v>
      </c>
      <c r="M88" s="1" t="n">
        <f aca="false">IF($D$32=1,MAX(0,SUM(Model!$K41:M41)+SUM(Model!$K88:M88)),0)</f>
        <v>0</v>
      </c>
      <c r="N88" s="1" t="n">
        <f aca="false">IF($D$32=1,MAX(0,SUM(Model!$K41:N41)+SUM(Model!$K88:N88)),0)</f>
        <v>0</v>
      </c>
      <c r="O88" s="1" t="n">
        <f aca="false">IF($D$32=1,MAX(0,SUM(Model!$K41:O41)+SUM(Model!$K88:O88)),0)</f>
        <v>0</v>
      </c>
      <c r="P88" s="1" t="n">
        <f aca="false">IF($D$32=1,MAX(0,SUM(Model!$K41:P41)+SUM(Model!$K88:P88)),0)</f>
        <v>0</v>
      </c>
      <c r="Q88" s="1" t="n">
        <f aca="false">IF($D$32=1,MAX(0,SUM(Model!$K41:Q41)+SUM(Model!$K88:Q88)),0)</f>
        <v>0</v>
      </c>
      <c r="R88" s="1" t="n">
        <f aca="false">IF($D$32=1,MAX(0,SUM(Model!$K41:R41)+SUM(Model!$K88:R88)),0)</f>
        <v>0</v>
      </c>
      <c r="S88" s="1" t="n">
        <f aca="false">IF($D$32=1,MAX(0,SUM(Model!$K41:S41)+SUM(Model!$K88:S88)),0)</f>
        <v>0</v>
      </c>
      <c r="T88" s="1" t="n">
        <f aca="false">IF($D$32=1,MAX(0,SUM(Model!$K41:T41)+SUM(Model!$K88:T88)),0)</f>
        <v>0</v>
      </c>
      <c r="U88" s="1" t="n">
        <f aca="false">IF($D$32=1,MAX(0,SUM(Model!$K41:U41)+SUM(Model!$K88:U88)),0)</f>
        <v>0</v>
      </c>
      <c r="V88" s="1" t="n">
        <f aca="false">IF($D$32=1,MAX(0,SUM(Model!$K41:V41)+SUM(Model!$K88:V88)),0)</f>
        <v>0</v>
      </c>
      <c r="W88" s="1" t="n">
        <f aca="false">IF($D$32=1,MAX(0,SUM(Model!$K41:W41)+SUM(Model!$K88:W88)),0)</f>
        <v>0</v>
      </c>
      <c r="X88" s="1" t="n">
        <f aca="false">IF($D$32=1,MAX(0,SUM(Model!$K41:X41)+SUM(Model!$K88:X88)),0)</f>
        <v>0</v>
      </c>
      <c r="Y88" s="1" t="n">
        <f aca="false">IF($D$32=1,MAX(0,SUM(Model!$K41:Y41)+SUM(Model!$K88:Y88)),0)</f>
        <v>0</v>
      </c>
      <c r="Z88" s="1" t="n">
        <f aca="false">IF($D$32=1,MAX(0,SUM(Model!$K41:Z41)+SUM(Model!$K88:Z88)),0)</f>
        <v>0</v>
      </c>
      <c r="AA88" s="1" t="n">
        <f aca="false">IF($D$32=1,MAX(0,SUM(Model!$K41:AA41)+SUM(Model!$K88:AA88)),0)</f>
        <v>0</v>
      </c>
      <c r="AB88" s="1" t="n">
        <f aca="false">IF($D$32=1,MAX(0,SUM(Model!$K41:AB41)+SUM(Model!$K88:AB88)),0)</f>
        <v>0</v>
      </c>
      <c r="AC88" s="1" t="n">
        <f aca="false">IF($D$32=1,MAX(0,SUM(Model!$K41:AC41)+SUM(Model!$K88:AC88)),0)</f>
        <v>0</v>
      </c>
      <c r="AD88" s="1" t="n">
        <f aca="false">IF($D$32=1,MAX(0,SUM(Model!$K41:AD41)+SUM(Model!$K88:AD88)),0)</f>
        <v>0</v>
      </c>
      <c r="AE88" s="1" t="n">
        <f aca="false">IF($D$32=1,MAX(0,SUM(Model!$K41:AE41)+SUM(Model!$K88:AE88)),0)</f>
        <v>0</v>
      </c>
      <c r="AF88" s="1" t="n">
        <f aca="false">IF($D$32=1,MAX(0,SUM(Model!$K41:AF41)+SUM(Model!$K88:AF88)),0)</f>
        <v>0</v>
      </c>
      <c r="AG88" s="1" t="n">
        <f aca="false">IF($D$32=1,MAX(0,SUM(Model!$K41:AG41)+SUM(Model!$K88:AG88)),0)</f>
        <v>0</v>
      </c>
      <c r="AH88" s="1" t="n">
        <f aca="false">IF($D$32=1,MAX(0,SUM(Model!$K41:AH41)+SUM(Model!$K88:AH88)),0)</f>
        <v>0</v>
      </c>
      <c r="AI88" s="1" t="n">
        <f aca="false">IF($D$32=1,MAX(0,SUM(Model!$K41:AI41)+SUM(Model!$K88:AI88)),0)</f>
        <v>0</v>
      </c>
      <c r="AJ88" s="1" t="n">
        <f aca="false">IF($D$32=1,MAX(0,SUM(Model!$K41:AJ41)+SUM(Model!$K88:AJ88)),0)</f>
        <v>0</v>
      </c>
      <c r="AK88" s="1" t="n">
        <f aca="false">IF($D$32=1,MAX(0,SUM(Model!$K41:AK41)+SUM(Model!$K88:AK88)),0)</f>
        <v>0</v>
      </c>
      <c r="AL88" s="1" t="n">
        <f aca="false">IF($D$32=1,MAX(0,SUM(Model!$K41:AL41)+SUM(Model!$K88:AL88)),0)</f>
        <v>0</v>
      </c>
      <c r="AM88" s="1" t="n">
        <f aca="false">IF($D$32=1,MAX(0,SUM(Model!$K41:AM41)+SUM(Model!$K88:AM88)),0)</f>
        <v>0</v>
      </c>
      <c r="AN88" s="1" t="n">
        <f aca="false">IF($D$32=1,MAX(0,SUM(Model!$K41:AN41)+SUM(Model!$K88:AN88)),0)</f>
        <v>0</v>
      </c>
      <c r="AO88" s="1" t="n">
        <f aca="false">IF($D$32=1,MAX(0,SUM(Model!$K41:AO41)+SUM(Model!$K88:AO88)),0)</f>
        <v>0</v>
      </c>
      <c r="AP88" s="1" t="n">
        <f aca="false">IF($D$32=1,MAX(0,SUM(Model!$K41:AP41)+SUM(Model!$K88:AP88)),0)</f>
        <v>0</v>
      </c>
      <c r="AQ88" s="1" t="n">
        <f aca="false">IF($D$32=1,MAX(0,SUM(Model!$K41:AQ41)+SUM(Model!$K88:AQ88)),0)</f>
        <v>0</v>
      </c>
      <c r="AR88" s="1" t="n">
        <f aca="false">IF($D$32=1,MAX(0,SUM(Model!$K41:AR41)+SUM(Model!$K88:AR88)),0)</f>
        <v>0</v>
      </c>
      <c r="AS88" s="1" t="n">
        <f aca="false">IF($D$32=1,MAX(0,SUM(Model!$K41:AS41)+SUM(Model!$K88:AS88)),0)</f>
        <v>0</v>
      </c>
      <c r="AT88" s="1" t="n">
        <f aca="false">IF($D$32=1,MAX(0,SUM(Model!$K41:AT41)+SUM(Model!$K88:AT88)),0)</f>
        <v>0</v>
      </c>
      <c r="AU88" s="1" t="n">
        <f aca="false">IF($D$32=1,MAX(0,SUM(Model!$K41:AU41)+SUM(Model!$K88:AU88)),0)</f>
        <v>0</v>
      </c>
      <c r="AV88" s="1" t="n">
        <f aca="false">IF($D$32=1,MAX(0,SUM(Model!$K41:AV41)+SUM(Model!$K88:AV88)),0)</f>
        <v>0</v>
      </c>
      <c r="AW88" s="1" t="n">
        <f aca="false">IF($D$32=1,MAX(0,SUM(Model!$K41:AW41)+SUM(Model!$K88:AW88)),0)</f>
        <v>0</v>
      </c>
      <c r="AX88" s="1" t="n">
        <f aca="false">IF($D$32=1,MAX(0,SUM(Model!$K41:AX41)+SUM(Model!$K88:AX88)),0)</f>
        <v>0</v>
      </c>
      <c r="AY88" s="1" t="n">
        <f aca="false">IF($D$32=1,MAX(0,SUM(Model!$K41:AY41)+SUM(Model!$K88:AY88)),0)</f>
        <v>0</v>
      </c>
      <c r="AZ88" s="1" t="n">
        <f aca="false">IF($D$32=1,MAX(0,SUM(Model!$K41:AZ41)+SUM(Model!$K88:AZ88)),0)</f>
        <v>0</v>
      </c>
      <c r="BA88" s="1" t="n">
        <f aca="false">IF($D$32=1,MAX(0,SUM(Model!$K41:BA41)+SUM(Model!$K88:BA88)),0)</f>
        <v>0</v>
      </c>
      <c r="BB88" s="1" t="n">
        <f aca="false">IF($D$32=1,MAX(0,SUM(Model!$K41:BB41)+SUM(Model!$K88:BB88)),0)</f>
        <v>0</v>
      </c>
      <c r="BC88" s="1" t="n">
        <f aca="false">IF($D$32=1,MAX(0,SUM(Model!$K41:BC41)+SUM(Model!$K88:BC88)),0)</f>
        <v>0</v>
      </c>
      <c r="BD88" s="1" t="n">
        <f aca="false">IF($D$32=1,MAX(0,SUM(Model!$K41:BD41)+SUM(Model!$K88:BD88)),0)</f>
        <v>0</v>
      </c>
      <c r="BE88" s="1" t="n">
        <f aca="false">IF($D$32=1,MAX(0,SUM(Model!$K41:BE41)+SUM(Model!$K88:BE88)),0)</f>
        <v>0</v>
      </c>
      <c r="BF88" s="1" t="n">
        <f aca="false">IF($D$32=1,MAX(0,SUM(Model!$K41:BF41)+SUM(Model!$K88:BF88)),0)</f>
        <v>0</v>
      </c>
      <c r="BG88" s="1" t="n">
        <f aca="false">IF($D$32=1,MAX(0,SUM(Model!$K41:BG41)+SUM(Model!$K88:BG88)),0)</f>
        <v>0</v>
      </c>
      <c r="BH88" s="1" t="n">
        <f aca="false">IF($D$32=1,MAX(0,SUM(Model!$K41:BH41)+SUM(Model!$K88:BH88)),0)</f>
        <v>0</v>
      </c>
      <c r="BI88" s="1" t="n">
        <f aca="false">IF($D$32=1,MAX(0,SUM(Model!$K41:BI41)+SUM(Model!$K88:BI88)),0)</f>
        <v>0</v>
      </c>
      <c r="BJ88" s="1" t="n">
        <f aca="false">IF($D$32=1,MAX(0,SUM(Model!$K41:BJ41)+SUM(Model!$K88:BJ88)),0)</f>
        <v>0</v>
      </c>
      <c r="BK88" s="1" t="n">
        <f aca="false">IF($D$32=1,MAX(0,SUM(Model!$K41:BK41)+SUM(Model!$K88:BK88)),0)</f>
        <v>0</v>
      </c>
      <c r="BL88" s="1" t="n">
        <f aca="false">IF($D$32=1,MAX(0,SUM(Model!$K41:BL41)+SUM(Model!$K88:BL88)),0)</f>
        <v>0</v>
      </c>
      <c r="BM88" s="1" t="n">
        <f aca="false">IF($D$32=1,MAX(0,SUM(Model!$K41:BM41)+SUM(Model!$K88:BM88)),0)</f>
        <v>0</v>
      </c>
      <c r="BN88" s="1" t="n">
        <f aca="false">IF($D$32=1,MAX(0,SUM(Model!$K41:BN41)+SUM(Model!$K88:BN88)),0)</f>
        <v>0</v>
      </c>
      <c r="BO88" s="1" t="n">
        <f aca="false">IF($D$32=1,MAX(0,SUM(Model!$K41:BO41)+SUM(Model!$K88:BO88)),0)</f>
        <v>0</v>
      </c>
      <c r="BP88" s="1" t="n">
        <f aca="false">IF($D$32=1,MAX(0,SUM(Model!$K41:BP41)+SUM(Model!$K88:BP88)),0)</f>
        <v>0</v>
      </c>
      <c r="BQ88" s="1" t="n">
        <f aca="false">IF($D$32=1,MAX(0,SUM(Model!$K41:BQ41)+SUM(Model!$K88:BQ88)),0)</f>
        <v>0</v>
      </c>
      <c r="BR88" s="1" t="n">
        <f aca="false">IF($D$32=1,MAX(0,SUM(Model!$K41:BR41)+SUM(Model!$K88:BR88)),0)</f>
        <v>0</v>
      </c>
      <c r="BS88" s="1" t="n">
        <f aca="false">IF($D$32=1,MAX(0,SUM(Model!$K41:BS41)+SUM(Model!$K88:BS88)),0)</f>
        <v>0</v>
      </c>
      <c r="BT88" s="1" t="n">
        <f aca="false">IF($D$32=1,MAX(0,SUM(Model!$K41:BT41)+SUM(Model!$K88:BT88)),0)</f>
        <v>0</v>
      </c>
      <c r="BU88" s="1" t="n">
        <f aca="false">IF($D$32=1,MAX(0,SUM(Model!$K41:BU41)+SUM(Model!$K88:BU88)),0)</f>
        <v>0</v>
      </c>
      <c r="BV88" s="1" t="n">
        <f aca="false">IF($D$32=1,MAX(0,SUM(Model!$K41:BV41)+SUM(Model!$K88:BV88)),0)</f>
        <v>0</v>
      </c>
      <c r="BW88" s="1" t="n">
        <f aca="false">IF($D$32=1,MAX(0,SUM(Model!$K41:BW41)+SUM(Model!$K88:BW88)),0)</f>
        <v>0</v>
      </c>
      <c r="BX88" s="1" t="n">
        <f aca="false">IF($D$32=1,MAX(0,SUM(Model!$K41:BX41)+SUM(Model!$K88:BX88)),0)</f>
        <v>0</v>
      </c>
      <c r="BY88" s="1" t="n">
        <f aca="false">IF($D$32=1,MAX(0,SUM(Model!$K41:BY41)+SUM(Model!$K88:BY88)),0)</f>
        <v>0</v>
      </c>
      <c r="BZ88" s="1" t="n">
        <f aca="false">IF($D$32=1,MAX(0,SUM(Model!$K41:BZ41)+SUM(Model!$K88:BZ88)),0)</f>
        <v>0</v>
      </c>
      <c r="CA88" s="1" t="n">
        <f aca="false">IF($D$32=1,MAX(0,SUM(Model!$K41:CA41)+SUM(Model!$K88:CA88)),0)</f>
        <v>0</v>
      </c>
      <c r="CB88" s="1" t="n">
        <f aca="false">IF($D$32=1,MAX(0,SUM(Model!$K41:CB41)+SUM(Model!$K88:CB88)),0)</f>
        <v>0</v>
      </c>
      <c r="CC88" s="1" t="n">
        <f aca="false">IF($D$32=1,MAX(0,SUM(Model!$K41:CC41)+SUM(Model!$K88:CC88)),0)</f>
        <v>0</v>
      </c>
      <c r="CD88" s="1" t="n">
        <f aca="false">IF($D$32=1,MAX(0,SUM(Model!$K41:CD41)+SUM(Model!$K88:CD88)),0)</f>
        <v>0</v>
      </c>
      <c r="CE88" s="1" t="n">
        <f aca="false">IF($D$32=1,MAX(0,SUM(Model!$K41:CE41)+SUM(Model!$K88:CE88)),0)</f>
        <v>0</v>
      </c>
      <c r="CF88" s="1" t="n">
        <f aca="false">IF($D$32=1,MAX(0,SUM(Model!$K41:CF41)+SUM(Model!$K88:CF88)),0)</f>
        <v>0</v>
      </c>
      <c r="CG88" s="1" t="n">
        <f aca="false">IF($D$32=1,MAX(0,SUM(Model!$K41:CG41)+SUM(Model!$K88:CG88)),0)</f>
        <v>0</v>
      </c>
      <c r="CH88" s="1" t="n">
        <f aca="false">IF($D$32=1,MAX(0,SUM(Model!$K41:CH41)+SUM(Model!$K88:CH88)),0)</f>
        <v>0</v>
      </c>
      <c r="CI88" s="1" t="n">
        <f aca="false">IF($D$32=1,MAX(0,SUM(Model!$K41:CI41)+SUM(Model!$K88:CI88)),0)</f>
        <v>0</v>
      </c>
      <c r="CJ88" s="1" t="n">
        <f aca="false">IF($D$32=1,MAX(0,SUM(Model!$K41:CJ41)+SUM(Model!$K88:CJ88)),0)</f>
        <v>0</v>
      </c>
      <c r="CK88" s="1" t="n">
        <f aca="false">IF($D$32=1,MAX(0,SUM(Model!$K41:CK41)+SUM(Model!$K88:CK88)),0)</f>
        <v>0</v>
      </c>
      <c r="CL88" s="1" t="n">
        <f aca="false">IF($D$32=1,MAX(0,SUM(Model!$K41:CL41)+SUM(Model!$K88:CL88)),0)</f>
        <v>0</v>
      </c>
      <c r="CM88" s="1" t="n">
        <f aca="false">IF($D$32=1,MAX(0,SUM(Model!$K41:CM41)+SUM(Model!$K88:CM88)),0)</f>
        <v>0</v>
      </c>
      <c r="CN88" s="1" t="n">
        <f aca="false">IF($D$32=1,MAX(0,SUM(Model!$K41:CN41)+SUM(Model!$K88:CN88)),0)</f>
        <v>0</v>
      </c>
      <c r="CO88" s="1" t="n">
        <f aca="false">IF($D$32=1,MAX(0,SUM(Model!$K41:CO41)+SUM(Model!$K88:CO88)),0)</f>
        <v>0</v>
      </c>
      <c r="CP88" s="1" t="n">
        <f aca="false">IF($D$32=1,MAX(0,SUM(Model!$K41:CP41)+SUM(Model!$K88:CP88)),0)</f>
        <v>0</v>
      </c>
      <c r="CQ88" s="1" t="n">
        <f aca="false">IF($D$32=1,MAX(0,SUM(Model!$K41:CQ41)+SUM(Model!$K88:CQ88)),0)</f>
        <v>0</v>
      </c>
      <c r="CR88" s="1" t="n">
        <f aca="false">IF($D$32=1,MAX(0,SUM(Model!$K41:CR41)+SUM(Model!$K88:CR88)),0)</f>
        <v>0</v>
      </c>
      <c r="CS88" s="1" t="n">
        <f aca="false">IF($D$32=1,MAX(0,SUM(Model!$K41:CS41)+SUM(Model!$K88:CS88)),0)</f>
        <v>0</v>
      </c>
      <c r="CT88" s="1" t="n">
        <f aca="false">IF($D$32=1,MAX(0,SUM(Model!$K41:CT41)+SUM(Model!$K88:CT88)),0)</f>
        <v>0</v>
      </c>
      <c r="CU88" s="1" t="n">
        <f aca="false">IF($D$32=1,MAX(0,SUM(Model!$K41:CU41)+SUM(Model!$K88:CU88)),0)</f>
        <v>0</v>
      </c>
      <c r="CV88" s="1" t="n">
        <f aca="false">IF($D$32=1,MAX(0,SUM(Model!$K41:CV41)+SUM(Model!$K88:CV88)),0)</f>
        <v>0</v>
      </c>
      <c r="CW88" s="1" t="n">
        <f aca="false">IF($D$32=1,MAX(0,SUM(Model!$K41:CW41)+SUM(Model!$K88:CW88)),0)</f>
        <v>0</v>
      </c>
      <c r="CX88" s="1" t="n">
        <f aca="false">IF($D$32=1,MAX(0,SUM(Model!$K41:CX41)+SUM(Model!$K88:CX88)),0)</f>
        <v>0</v>
      </c>
      <c r="CY88" s="1" t="n">
        <f aca="false">IF($D$32=1,MAX(0,SUM(Model!$K41:CY41)+SUM(Model!$K88:CY88)),0)</f>
        <v>0</v>
      </c>
      <c r="CZ88" s="1" t="n">
        <f aca="false">IF($D$32=1,MAX(0,SUM(Model!$K41:CZ41)+SUM(Model!$K88:CZ88)),0)</f>
        <v>0</v>
      </c>
      <c r="DA88" s="1" t="n">
        <f aca="false">IF($D$32=1,MAX(0,SUM(Model!$K41:DA41)+SUM(Model!$K88:DA88)),0)</f>
        <v>0</v>
      </c>
      <c r="DB88" s="1" t="n">
        <f aca="false">IF($D$32=1,MAX(0,SUM(Model!$K41:DB41)+SUM(Model!$K88:DB88)),0)</f>
        <v>0</v>
      </c>
      <c r="DC88" s="1" t="n">
        <f aca="false">IF($D$32=1,MAX(0,SUM(Model!$K41:DC41)+SUM(Model!$K88:DC88)),0)</f>
        <v>0</v>
      </c>
      <c r="DD88" s="1" t="n">
        <f aca="false">IF($D$32=1,MAX(0,SUM(Model!$K41:DD41)+SUM(Model!$K88:DD88)),0)</f>
        <v>0</v>
      </c>
      <c r="DE88" s="1" t="n">
        <f aca="false">IF($D$32=1,MAX(0,SUM(Model!$K41:DE41)+SUM(Model!$K88:DE88)),0)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v>0</v>
      </c>
      <c r="K89" s="1" t="n">
        <f aca="false">IF($D$33=1,MAX(0,SUM(Model!$K42:K42)+SUM(Model!$K89:K89)),0)</f>
        <v>0</v>
      </c>
      <c r="L89" s="1" t="n">
        <f aca="false">IF($D$33=1,MAX(0,SUM(Model!$K42:L42)+SUM(Model!$K89:L89)),0)</f>
        <v>0</v>
      </c>
      <c r="M89" s="1" t="n">
        <f aca="false">IF($D$33=1,MAX(0,SUM(Model!$K42:M42)+SUM(Model!$K89:M89)),0)</f>
        <v>0</v>
      </c>
      <c r="N89" s="1" t="n">
        <f aca="false">IF($D$33=1,MAX(0,SUM(Model!$K42:N42)+SUM(Model!$K89:N89)),0)</f>
        <v>0</v>
      </c>
      <c r="O89" s="1" t="n">
        <f aca="false">IF($D$33=1,MAX(0,SUM(Model!$K42:O42)+SUM(Model!$K89:O89)),0)</f>
        <v>0</v>
      </c>
      <c r="P89" s="1" t="n">
        <f aca="false">IF($D$33=1,MAX(0,SUM(Model!$K42:P42)+SUM(Model!$K89:P89)),0)</f>
        <v>0</v>
      </c>
      <c r="Q89" s="1" t="n">
        <f aca="false">IF($D$33=1,MAX(0,SUM(Model!$K42:Q42)+SUM(Model!$K89:Q89)),0)</f>
        <v>0</v>
      </c>
      <c r="R89" s="1" t="n">
        <f aca="false">IF($D$33=1,MAX(0,SUM(Model!$K42:R42)+SUM(Model!$K89:R89)),0)</f>
        <v>0</v>
      </c>
      <c r="S89" s="1" t="n">
        <f aca="false">IF($D$33=1,MAX(0,SUM(Model!$K42:S42)+SUM(Model!$K89:S89)),0)</f>
        <v>0</v>
      </c>
      <c r="T89" s="1" t="n">
        <f aca="false">IF($D$33=1,MAX(0,SUM(Model!$K42:T42)+SUM(Model!$K89:T89)),0)</f>
        <v>0</v>
      </c>
      <c r="U89" s="1" t="n">
        <f aca="false">IF($D$33=1,MAX(0,SUM(Model!$K42:U42)+SUM(Model!$K89:U89)),0)</f>
        <v>0</v>
      </c>
      <c r="V89" s="1" t="n">
        <f aca="false">IF($D$33=1,MAX(0,SUM(Model!$K42:V42)+SUM(Model!$K89:V89)),0)</f>
        <v>0</v>
      </c>
      <c r="W89" s="1" t="n">
        <f aca="false">IF($D$33=1,MAX(0,SUM(Model!$K42:W42)+SUM(Model!$K89:W89)),0)</f>
        <v>0</v>
      </c>
      <c r="X89" s="1" t="n">
        <f aca="false">IF($D$33=1,MAX(0,SUM(Model!$K42:X42)+SUM(Model!$K89:X89)),0)</f>
        <v>0</v>
      </c>
      <c r="Y89" s="1" t="n">
        <f aca="false">IF($D$33=1,MAX(0,SUM(Model!$K42:Y42)+SUM(Model!$K89:Y89)),0)</f>
        <v>0</v>
      </c>
      <c r="Z89" s="1" t="n">
        <f aca="false">IF($D$33=1,MAX(0,SUM(Model!$K42:Z42)+SUM(Model!$K89:Z89)),0)</f>
        <v>0</v>
      </c>
      <c r="AA89" s="1" t="n">
        <f aca="false">IF($D$33=1,MAX(0,SUM(Model!$K42:AA42)+SUM(Model!$K89:AA89)),0)</f>
        <v>0</v>
      </c>
      <c r="AB89" s="1" t="n">
        <f aca="false">IF($D$33=1,MAX(0,SUM(Model!$K42:AB42)+SUM(Model!$K89:AB89)),0)</f>
        <v>0</v>
      </c>
      <c r="AC89" s="1" t="n">
        <f aca="false">IF($D$33=1,MAX(0,SUM(Model!$K42:AC42)+SUM(Model!$K89:AC89)),0)</f>
        <v>0</v>
      </c>
      <c r="AD89" s="1" t="n">
        <f aca="false">IF($D$33=1,MAX(0,SUM(Model!$K42:AD42)+SUM(Model!$K89:AD89)),0)</f>
        <v>0</v>
      </c>
      <c r="AE89" s="1" t="n">
        <f aca="false">IF($D$33=1,MAX(0,SUM(Model!$K42:AE42)+SUM(Model!$K89:AE89)),0)</f>
        <v>0</v>
      </c>
      <c r="AF89" s="1" t="n">
        <f aca="false">IF($D$33=1,MAX(0,SUM(Model!$K42:AF42)+SUM(Model!$K89:AF89)),0)</f>
        <v>0</v>
      </c>
      <c r="AG89" s="1" t="n">
        <f aca="false">IF($D$33=1,MAX(0,SUM(Model!$K42:AG42)+SUM(Model!$K89:AG89)),0)</f>
        <v>0</v>
      </c>
      <c r="AH89" s="1" t="n">
        <f aca="false">IF($D$33=1,MAX(0,SUM(Model!$K42:AH42)+SUM(Model!$K89:AH89)),0)</f>
        <v>0</v>
      </c>
      <c r="AI89" s="1" t="n">
        <f aca="false">IF($D$33=1,MAX(0,SUM(Model!$K42:AI42)+SUM(Model!$K89:AI89)),0)</f>
        <v>0</v>
      </c>
      <c r="AJ89" s="1" t="n">
        <f aca="false">IF($D$33=1,MAX(0,SUM(Model!$K42:AJ42)+SUM(Model!$K89:AJ89)),0)</f>
        <v>0</v>
      </c>
      <c r="AK89" s="1" t="n">
        <f aca="false">IF($D$33=1,MAX(0,SUM(Model!$K42:AK42)+SUM(Model!$K89:AK89)),0)</f>
        <v>0</v>
      </c>
      <c r="AL89" s="1" t="n">
        <f aca="false">IF($D$33=1,MAX(0,SUM(Model!$K42:AL42)+SUM(Model!$K89:AL89)),0)</f>
        <v>0</v>
      </c>
      <c r="AM89" s="1" t="n">
        <f aca="false">IF($D$33=1,MAX(0,SUM(Model!$K42:AM42)+SUM(Model!$K89:AM89)),0)</f>
        <v>0</v>
      </c>
      <c r="AN89" s="1" t="n">
        <f aca="false">IF($D$33=1,MAX(0,SUM(Model!$K42:AN42)+SUM(Model!$K89:AN89)),0)</f>
        <v>0</v>
      </c>
      <c r="AO89" s="1" t="n">
        <f aca="false">IF($D$33=1,MAX(0,SUM(Model!$K42:AO42)+SUM(Model!$K89:AO89)),0)</f>
        <v>0</v>
      </c>
      <c r="AP89" s="1" t="n">
        <f aca="false">IF($D$33=1,MAX(0,SUM(Model!$K42:AP42)+SUM(Model!$K89:AP89)),0)</f>
        <v>0</v>
      </c>
      <c r="AQ89" s="1" t="n">
        <f aca="false">IF($D$33=1,MAX(0,SUM(Model!$K42:AQ42)+SUM(Model!$K89:AQ89)),0)</f>
        <v>0</v>
      </c>
      <c r="AR89" s="1" t="n">
        <f aca="false">IF($D$33=1,MAX(0,SUM(Model!$K42:AR42)+SUM(Model!$K89:AR89)),0)</f>
        <v>0</v>
      </c>
      <c r="AS89" s="1" t="n">
        <f aca="false">IF($D$33=1,MAX(0,SUM(Model!$K42:AS42)+SUM(Model!$K89:AS89)),0)</f>
        <v>0</v>
      </c>
      <c r="AT89" s="1" t="n">
        <f aca="false">IF($D$33=1,MAX(0,SUM(Model!$K42:AT42)+SUM(Model!$K89:AT89)),0)</f>
        <v>0</v>
      </c>
      <c r="AU89" s="1" t="n">
        <f aca="false">IF($D$33=1,MAX(0,SUM(Model!$K42:AU42)+SUM(Model!$K89:AU89)),0)</f>
        <v>0</v>
      </c>
      <c r="AV89" s="1" t="n">
        <f aca="false">IF($D$33=1,MAX(0,SUM(Model!$K42:AV42)+SUM(Model!$K89:AV89)),0)</f>
        <v>0</v>
      </c>
      <c r="AW89" s="1" t="n">
        <f aca="false">IF($D$33=1,MAX(0,SUM(Model!$K42:AW42)+SUM(Model!$K89:AW89)),0)</f>
        <v>0</v>
      </c>
      <c r="AX89" s="1" t="n">
        <f aca="false">IF($D$33=1,MAX(0,SUM(Model!$K42:AX42)+SUM(Model!$K89:AX89)),0)</f>
        <v>0</v>
      </c>
      <c r="AY89" s="1" t="n">
        <f aca="false">IF($D$33=1,MAX(0,SUM(Model!$K42:AY42)+SUM(Model!$K89:AY89)),0)</f>
        <v>0</v>
      </c>
      <c r="AZ89" s="1" t="n">
        <f aca="false">IF($D$33=1,MAX(0,SUM(Model!$K42:AZ42)+SUM(Model!$K89:AZ89)),0)</f>
        <v>0</v>
      </c>
      <c r="BA89" s="1" t="n">
        <f aca="false">IF($D$33=1,MAX(0,SUM(Model!$K42:BA42)+SUM(Model!$K89:BA89)),0)</f>
        <v>0</v>
      </c>
      <c r="BB89" s="1" t="n">
        <f aca="false">IF($D$33=1,MAX(0,SUM(Model!$K42:BB42)+SUM(Model!$K89:BB89)),0)</f>
        <v>0</v>
      </c>
      <c r="BC89" s="1" t="n">
        <f aca="false">IF($D$33=1,MAX(0,SUM(Model!$K42:BC42)+SUM(Model!$K89:BC89)),0)</f>
        <v>0</v>
      </c>
      <c r="BD89" s="1" t="n">
        <f aca="false">IF($D$33=1,MAX(0,SUM(Model!$K42:BD42)+SUM(Model!$K89:BD89)),0)</f>
        <v>0</v>
      </c>
      <c r="BE89" s="1" t="n">
        <f aca="false">IF($D$33=1,MAX(0,SUM(Model!$K42:BE42)+SUM(Model!$K89:BE89)),0)</f>
        <v>0</v>
      </c>
      <c r="BF89" s="1" t="n">
        <f aca="false">IF($D$33=1,MAX(0,SUM(Model!$K42:BF42)+SUM(Model!$K89:BF89)),0)</f>
        <v>0</v>
      </c>
      <c r="BG89" s="1" t="n">
        <f aca="false">IF($D$33=1,MAX(0,SUM(Model!$K42:BG42)+SUM(Model!$K89:BG89)),0)</f>
        <v>0</v>
      </c>
      <c r="BH89" s="1" t="n">
        <f aca="false">IF($D$33=1,MAX(0,SUM(Model!$K42:BH42)+SUM(Model!$K89:BH89)),0)</f>
        <v>0</v>
      </c>
      <c r="BI89" s="1" t="n">
        <f aca="false">IF($D$33=1,MAX(0,SUM(Model!$K42:BI42)+SUM(Model!$K89:BI89)),0)</f>
        <v>0</v>
      </c>
      <c r="BJ89" s="1" t="n">
        <f aca="false">IF($D$33=1,MAX(0,SUM(Model!$K42:BJ42)+SUM(Model!$K89:BJ89)),0)</f>
        <v>0</v>
      </c>
      <c r="BK89" s="1" t="n">
        <f aca="false">IF($D$33=1,MAX(0,SUM(Model!$K42:BK42)+SUM(Model!$K89:BK89)),0)</f>
        <v>0</v>
      </c>
      <c r="BL89" s="1" t="n">
        <f aca="false">IF($D$33=1,MAX(0,SUM(Model!$K42:BL42)+SUM(Model!$K89:BL89)),0)</f>
        <v>0</v>
      </c>
      <c r="BM89" s="1" t="n">
        <f aca="false">IF($D$33=1,MAX(0,SUM(Model!$K42:BM42)+SUM(Model!$K89:BM89)),0)</f>
        <v>0</v>
      </c>
      <c r="BN89" s="1" t="n">
        <f aca="false">IF($D$33=1,MAX(0,SUM(Model!$K42:BN42)+SUM(Model!$K89:BN89)),0)</f>
        <v>0</v>
      </c>
      <c r="BO89" s="1" t="n">
        <f aca="false">IF($D$33=1,MAX(0,SUM(Model!$K42:BO42)+SUM(Model!$K89:BO89)),0)</f>
        <v>0</v>
      </c>
      <c r="BP89" s="1" t="n">
        <f aca="false">IF($D$33=1,MAX(0,SUM(Model!$K42:BP42)+SUM(Model!$K89:BP89)),0)</f>
        <v>0</v>
      </c>
      <c r="BQ89" s="1" t="n">
        <f aca="false">IF($D$33=1,MAX(0,SUM(Model!$K42:BQ42)+SUM(Model!$K89:BQ89)),0)</f>
        <v>0</v>
      </c>
      <c r="BR89" s="1" t="n">
        <f aca="false">IF($D$33=1,MAX(0,SUM(Model!$K42:BR42)+SUM(Model!$K89:BR89)),0)</f>
        <v>0</v>
      </c>
      <c r="BS89" s="1" t="n">
        <f aca="false">IF($D$33=1,MAX(0,SUM(Model!$K42:BS42)+SUM(Model!$K89:BS89)),0)</f>
        <v>0</v>
      </c>
      <c r="BT89" s="1" t="n">
        <f aca="false">IF($D$33=1,MAX(0,SUM(Model!$K42:BT42)+SUM(Model!$K89:BT89)),0)</f>
        <v>0</v>
      </c>
      <c r="BU89" s="1" t="n">
        <f aca="false">IF($D$33=1,MAX(0,SUM(Model!$K42:BU42)+SUM(Model!$K89:BU89)),0)</f>
        <v>0</v>
      </c>
      <c r="BV89" s="1" t="n">
        <f aca="false">IF($D$33=1,MAX(0,SUM(Model!$K42:BV42)+SUM(Model!$K89:BV89)),0)</f>
        <v>0</v>
      </c>
      <c r="BW89" s="1" t="n">
        <f aca="false">IF($D$33=1,MAX(0,SUM(Model!$K42:BW42)+SUM(Model!$K89:BW89)),0)</f>
        <v>0</v>
      </c>
      <c r="BX89" s="1" t="n">
        <f aca="false">IF($D$33=1,MAX(0,SUM(Model!$K42:BX42)+SUM(Model!$K89:BX89)),0)</f>
        <v>0</v>
      </c>
      <c r="BY89" s="1" t="n">
        <f aca="false">IF($D$33=1,MAX(0,SUM(Model!$K42:BY42)+SUM(Model!$K89:BY89)),0)</f>
        <v>0</v>
      </c>
      <c r="BZ89" s="1" t="n">
        <f aca="false">IF($D$33=1,MAX(0,SUM(Model!$K42:BZ42)+SUM(Model!$K89:BZ89)),0)</f>
        <v>0</v>
      </c>
      <c r="CA89" s="1" t="n">
        <f aca="false">IF($D$33=1,MAX(0,SUM(Model!$K42:CA42)+SUM(Model!$K89:CA89)),0)</f>
        <v>0</v>
      </c>
      <c r="CB89" s="1" t="n">
        <f aca="false">IF($D$33=1,MAX(0,SUM(Model!$K42:CB42)+SUM(Model!$K89:CB89)),0)</f>
        <v>0</v>
      </c>
      <c r="CC89" s="1" t="n">
        <f aca="false">IF($D$33=1,MAX(0,SUM(Model!$K42:CC42)+SUM(Model!$K89:CC89)),0)</f>
        <v>0</v>
      </c>
      <c r="CD89" s="1" t="n">
        <f aca="false">IF($D$33=1,MAX(0,SUM(Model!$K42:CD42)+SUM(Model!$K89:CD89)),0)</f>
        <v>0</v>
      </c>
      <c r="CE89" s="1" t="n">
        <f aca="false">IF($D$33=1,MAX(0,SUM(Model!$K42:CE42)+SUM(Model!$K89:CE89)),0)</f>
        <v>0</v>
      </c>
      <c r="CF89" s="1" t="n">
        <f aca="false">IF($D$33=1,MAX(0,SUM(Model!$K42:CF42)+SUM(Model!$K89:CF89)),0)</f>
        <v>0</v>
      </c>
      <c r="CG89" s="1" t="n">
        <f aca="false">IF($D$33=1,MAX(0,SUM(Model!$K42:CG42)+SUM(Model!$K89:CG89)),0)</f>
        <v>0</v>
      </c>
      <c r="CH89" s="1" t="n">
        <f aca="false">IF($D$33=1,MAX(0,SUM(Model!$K42:CH42)+SUM(Model!$K89:CH89)),0)</f>
        <v>0</v>
      </c>
      <c r="CI89" s="1" t="n">
        <f aca="false">IF($D$33=1,MAX(0,SUM(Model!$K42:CI42)+SUM(Model!$K89:CI89)),0)</f>
        <v>0</v>
      </c>
      <c r="CJ89" s="1" t="n">
        <f aca="false">IF($D$33=1,MAX(0,SUM(Model!$K42:CJ42)+SUM(Model!$K89:CJ89)),0)</f>
        <v>0</v>
      </c>
      <c r="CK89" s="1" t="n">
        <f aca="false">IF($D$33=1,MAX(0,SUM(Model!$K42:CK42)+SUM(Model!$K89:CK89)),0)</f>
        <v>0</v>
      </c>
      <c r="CL89" s="1" t="n">
        <f aca="false">IF($D$33=1,MAX(0,SUM(Model!$K42:CL42)+SUM(Model!$K89:CL89)),0)</f>
        <v>0</v>
      </c>
      <c r="CM89" s="1" t="n">
        <f aca="false">IF($D$33=1,MAX(0,SUM(Model!$K42:CM42)+SUM(Model!$K89:CM89)),0)</f>
        <v>0</v>
      </c>
      <c r="CN89" s="1" t="n">
        <f aca="false">IF($D$33=1,MAX(0,SUM(Model!$K42:CN42)+SUM(Model!$K89:CN89)),0)</f>
        <v>0</v>
      </c>
      <c r="CO89" s="1" t="n">
        <f aca="false">IF($D$33=1,MAX(0,SUM(Model!$K42:CO42)+SUM(Model!$K89:CO89)),0)</f>
        <v>0</v>
      </c>
      <c r="CP89" s="1" t="n">
        <f aca="false">IF($D$33=1,MAX(0,SUM(Model!$K42:CP42)+SUM(Model!$K89:CP89)),0)</f>
        <v>0</v>
      </c>
      <c r="CQ89" s="1" t="n">
        <f aca="false">IF($D$33=1,MAX(0,SUM(Model!$K42:CQ42)+SUM(Model!$K89:CQ89)),0)</f>
        <v>0</v>
      </c>
      <c r="CR89" s="1" t="n">
        <f aca="false">IF($D$33=1,MAX(0,SUM(Model!$K42:CR42)+SUM(Model!$K89:CR89)),0)</f>
        <v>0</v>
      </c>
      <c r="CS89" s="1" t="n">
        <f aca="false">IF($D$33=1,MAX(0,SUM(Model!$K42:CS42)+SUM(Model!$K89:CS89)),0)</f>
        <v>0</v>
      </c>
      <c r="CT89" s="1" t="n">
        <f aca="false">IF($D$33=1,MAX(0,SUM(Model!$K42:CT42)+SUM(Model!$K89:CT89)),0)</f>
        <v>0</v>
      </c>
      <c r="CU89" s="1" t="n">
        <f aca="false">IF($D$33=1,MAX(0,SUM(Model!$K42:CU42)+SUM(Model!$K89:CU89)),0)</f>
        <v>0</v>
      </c>
      <c r="CV89" s="1" t="n">
        <f aca="false">IF($D$33=1,MAX(0,SUM(Model!$K42:CV42)+SUM(Model!$K89:CV89)),0)</f>
        <v>0</v>
      </c>
      <c r="CW89" s="1" t="n">
        <f aca="false">IF($D$33=1,MAX(0,SUM(Model!$K42:CW42)+SUM(Model!$K89:CW89)),0)</f>
        <v>0</v>
      </c>
      <c r="CX89" s="1" t="n">
        <f aca="false">IF($D$33=1,MAX(0,SUM(Model!$K42:CX42)+SUM(Model!$K89:CX89)),0)</f>
        <v>0</v>
      </c>
      <c r="CY89" s="1" t="n">
        <f aca="false">IF($D$33=1,MAX(0,SUM(Model!$K42:CY42)+SUM(Model!$K89:CY89)),0)</f>
        <v>0</v>
      </c>
      <c r="CZ89" s="1" t="n">
        <f aca="false">IF($D$33=1,MAX(0,SUM(Model!$K42:CZ42)+SUM(Model!$K89:CZ89)),0)</f>
        <v>0</v>
      </c>
      <c r="DA89" s="1" t="n">
        <f aca="false">IF($D$33=1,MAX(0,SUM(Model!$K42:DA42)+SUM(Model!$K89:DA89)),0)</f>
        <v>0</v>
      </c>
      <c r="DB89" s="1" t="n">
        <f aca="false">IF($D$33=1,MAX(0,SUM(Model!$K42:DB42)+SUM(Model!$K89:DB89)),0)</f>
        <v>0</v>
      </c>
      <c r="DC89" s="1" t="n">
        <f aca="false">IF($D$33=1,MAX(0,SUM(Model!$K42:DC42)+SUM(Model!$K89:DC89)),0)</f>
        <v>0</v>
      </c>
      <c r="DD89" s="1" t="n">
        <f aca="false">IF($D$33=1,MAX(0,SUM(Model!$K42:DD42)+SUM(Model!$K89:DD89)),0)</f>
        <v>0</v>
      </c>
      <c r="DE89" s="1" t="n">
        <f aca="false">IF($D$33=1,MAX(0,SUM(Model!$K42:DE42)+SUM(Model!$K89:DE89)),0)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v>0</v>
      </c>
      <c r="K90" s="1" t="n">
        <f aca="false">IF($D$34=1,MAX(0,SUM(Model!$K43:K43)+SUM(Model!$K90:K90)),0)</f>
        <v>0</v>
      </c>
      <c r="L90" s="1" t="n">
        <f aca="false">IF($D$34=1,MAX(0,SUM(Model!$K43:L43)+SUM(Model!$K90:L90)),0)</f>
        <v>0</v>
      </c>
      <c r="M90" s="1" t="n">
        <f aca="false">IF($D$34=1,MAX(0,SUM(Model!$K43:M43)+SUM(Model!$K90:M90)),0)</f>
        <v>0</v>
      </c>
      <c r="N90" s="1" t="n">
        <f aca="false">IF($D$34=1,MAX(0,SUM(Model!$K43:N43)+SUM(Model!$K90:N90)),0)</f>
        <v>0</v>
      </c>
      <c r="O90" s="1" t="n">
        <f aca="false">IF($D$34=1,MAX(0,SUM(Model!$K43:O43)+SUM(Model!$K90:O90)),0)</f>
        <v>0</v>
      </c>
      <c r="P90" s="1" t="n">
        <f aca="false">IF($D$34=1,MAX(0,SUM(Model!$K43:P43)+SUM(Model!$K90:P90)),0)</f>
        <v>0</v>
      </c>
      <c r="Q90" s="1" t="n">
        <f aca="false">IF($D$34=1,MAX(0,SUM(Model!$K43:Q43)+SUM(Model!$K90:Q90)),0)</f>
        <v>0</v>
      </c>
      <c r="R90" s="1" t="n">
        <f aca="false">IF($D$34=1,MAX(0,SUM(Model!$K43:R43)+SUM(Model!$K90:R90)),0)</f>
        <v>0</v>
      </c>
      <c r="S90" s="1" t="n">
        <f aca="false">IF($D$34=1,MAX(0,SUM(Model!$K43:S43)+SUM(Model!$K90:S90)),0)</f>
        <v>0</v>
      </c>
      <c r="T90" s="1" t="n">
        <f aca="false">IF($D$34=1,MAX(0,SUM(Model!$K43:T43)+SUM(Model!$K90:T90)),0)</f>
        <v>0</v>
      </c>
      <c r="U90" s="1" t="n">
        <f aca="false">IF($D$34=1,MAX(0,SUM(Model!$K43:U43)+SUM(Model!$K90:U90)),0)</f>
        <v>0</v>
      </c>
      <c r="V90" s="1" t="n">
        <f aca="false">IF($D$34=1,MAX(0,SUM(Model!$K43:V43)+SUM(Model!$K90:V90)),0)</f>
        <v>0</v>
      </c>
      <c r="W90" s="1" t="n">
        <f aca="false">IF($D$34=1,MAX(0,SUM(Model!$K43:W43)+SUM(Model!$K90:W90)),0)</f>
        <v>0</v>
      </c>
      <c r="X90" s="1" t="n">
        <f aca="false">IF($D$34=1,MAX(0,SUM(Model!$K43:X43)+SUM(Model!$K90:X90)),0)</f>
        <v>0</v>
      </c>
      <c r="Y90" s="1" t="n">
        <f aca="false">IF($D$34=1,MAX(0,SUM(Model!$K43:Y43)+SUM(Model!$K90:Y90)),0)</f>
        <v>0</v>
      </c>
      <c r="Z90" s="1" t="n">
        <f aca="false">IF($D$34=1,MAX(0,SUM(Model!$K43:Z43)+SUM(Model!$K90:Z90)),0)</f>
        <v>0</v>
      </c>
      <c r="AA90" s="1" t="n">
        <f aca="false">IF($D$34=1,MAX(0,SUM(Model!$K43:AA43)+SUM(Model!$K90:AA90)),0)</f>
        <v>0</v>
      </c>
      <c r="AB90" s="1" t="n">
        <f aca="false">IF($D$34=1,MAX(0,SUM(Model!$K43:AB43)+SUM(Model!$K90:AB90)),0)</f>
        <v>0</v>
      </c>
      <c r="AC90" s="1" t="n">
        <f aca="false">IF($D$34=1,MAX(0,SUM(Model!$K43:AC43)+SUM(Model!$K90:AC90)),0)</f>
        <v>0</v>
      </c>
      <c r="AD90" s="1" t="n">
        <f aca="false">IF($D$34=1,MAX(0,SUM(Model!$K43:AD43)+SUM(Model!$K90:AD90)),0)</f>
        <v>0</v>
      </c>
      <c r="AE90" s="1" t="n">
        <f aca="false">IF($D$34=1,MAX(0,SUM(Model!$K43:AE43)+SUM(Model!$K90:AE90)),0)</f>
        <v>0</v>
      </c>
      <c r="AF90" s="1" t="n">
        <f aca="false">IF($D$34=1,MAX(0,SUM(Model!$K43:AF43)+SUM(Model!$K90:AF90)),0)</f>
        <v>0</v>
      </c>
      <c r="AG90" s="1" t="n">
        <f aca="false">IF($D$34=1,MAX(0,SUM(Model!$K43:AG43)+SUM(Model!$K90:AG90)),0)</f>
        <v>0</v>
      </c>
      <c r="AH90" s="1" t="n">
        <f aca="false">IF($D$34=1,MAX(0,SUM(Model!$K43:AH43)+SUM(Model!$K90:AH90)),0)</f>
        <v>0</v>
      </c>
      <c r="AI90" s="1" t="n">
        <f aca="false">IF($D$34=1,MAX(0,SUM(Model!$K43:AI43)+SUM(Model!$K90:AI90)),0)</f>
        <v>0</v>
      </c>
      <c r="AJ90" s="1" t="n">
        <f aca="false">IF($D$34=1,MAX(0,SUM(Model!$K43:AJ43)+SUM(Model!$K90:AJ90)),0)</f>
        <v>0</v>
      </c>
      <c r="AK90" s="1" t="n">
        <f aca="false">IF($D$34=1,MAX(0,SUM(Model!$K43:AK43)+SUM(Model!$K90:AK90)),0)</f>
        <v>0</v>
      </c>
      <c r="AL90" s="1" t="n">
        <f aca="false">IF($D$34=1,MAX(0,SUM(Model!$K43:AL43)+SUM(Model!$K90:AL90)),0)</f>
        <v>0</v>
      </c>
      <c r="AM90" s="1" t="n">
        <f aca="false">IF($D$34=1,MAX(0,SUM(Model!$K43:AM43)+SUM(Model!$K90:AM90)),0)</f>
        <v>0</v>
      </c>
      <c r="AN90" s="1" t="n">
        <f aca="false">IF($D$34=1,MAX(0,SUM(Model!$K43:AN43)+SUM(Model!$K90:AN90)),0)</f>
        <v>0</v>
      </c>
      <c r="AO90" s="1" t="n">
        <f aca="false">IF($D$34=1,MAX(0,SUM(Model!$K43:AO43)+SUM(Model!$K90:AO90)),0)</f>
        <v>0</v>
      </c>
      <c r="AP90" s="1" t="n">
        <f aca="false">IF($D$34=1,MAX(0,SUM(Model!$K43:AP43)+SUM(Model!$K90:AP90)),0)</f>
        <v>0</v>
      </c>
      <c r="AQ90" s="1" t="n">
        <f aca="false">IF($D$34=1,MAX(0,SUM(Model!$K43:AQ43)+SUM(Model!$K90:AQ90)),0)</f>
        <v>0</v>
      </c>
      <c r="AR90" s="1" t="n">
        <f aca="false">IF($D$34=1,MAX(0,SUM(Model!$K43:AR43)+SUM(Model!$K90:AR90)),0)</f>
        <v>0</v>
      </c>
      <c r="AS90" s="1" t="n">
        <f aca="false">IF($D$34=1,MAX(0,SUM(Model!$K43:AS43)+SUM(Model!$K90:AS90)),0)</f>
        <v>0</v>
      </c>
      <c r="AT90" s="1" t="n">
        <f aca="false">IF($D$34=1,MAX(0,SUM(Model!$K43:AT43)+SUM(Model!$K90:AT90)),0)</f>
        <v>0</v>
      </c>
      <c r="AU90" s="1" t="n">
        <f aca="false">IF($D$34=1,MAX(0,SUM(Model!$K43:AU43)+SUM(Model!$K90:AU90)),0)</f>
        <v>0</v>
      </c>
      <c r="AV90" s="1" t="n">
        <f aca="false">IF($D$34=1,MAX(0,SUM(Model!$K43:AV43)+SUM(Model!$K90:AV90)),0)</f>
        <v>0</v>
      </c>
      <c r="AW90" s="1" t="n">
        <f aca="false">IF($D$34=1,MAX(0,SUM(Model!$K43:AW43)+SUM(Model!$K90:AW90)),0)</f>
        <v>0</v>
      </c>
      <c r="AX90" s="1" t="n">
        <f aca="false">IF($D$34=1,MAX(0,SUM(Model!$K43:AX43)+SUM(Model!$K90:AX90)),0)</f>
        <v>0</v>
      </c>
      <c r="AY90" s="1" t="n">
        <f aca="false">IF($D$34=1,MAX(0,SUM(Model!$K43:AY43)+SUM(Model!$K90:AY90)),0)</f>
        <v>0</v>
      </c>
      <c r="AZ90" s="1" t="n">
        <f aca="false">IF($D$34=1,MAX(0,SUM(Model!$K43:AZ43)+SUM(Model!$K90:AZ90)),0)</f>
        <v>0</v>
      </c>
      <c r="BA90" s="1" t="n">
        <f aca="false">IF($D$34=1,MAX(0,SUM(Model!$K43:BA43)+SUM(Model!$K90:BA90)),0)</f>
        <v>0</v>
      </c>
      <c r="BB90" s="1" t="n">
        <f aca="false">IF($D$34=1,MAX(0,SUM(Model!$K43:BB43)+SUM(Model!$K90:BB90)),0)</f>
        <v>0</v>
      </c>
      <c r="BC90" s="1" t="n">
        <f aca="false">IF($D$34=1,MAX(0,SUM(Model!$K43:BC43)+SUM(Model!$K90:BC90)),0)</f>
        <v>0</v>
      </c>
      <c r="BD90" s="1" t="n">
        <f aca="false">IF($D$34=1,MAX(0,SUM(Model!$K43:BD43)+SUM(Model!$K90:BD90)),0)</f>
        <v>0</v>
      </c>
      <c r="BE90" s="1" t="n">
        <f aca="false">IF($D$34=1,MAX(0,SUM(Model!$K43:BE43)+SUM(Model!$K90:BE90)),0)</f>
        <v>0</v>
      </c>
      <c r="BF90" s="1" t="n">
        <f aca="false">IF($D$34=1,MAX(0,SUM(Model!$K43:BF43)+SUM(Model!$K90:BF90)),0)</f>
        <v>0</v>
      </c>
      <c r="BG90" s="1" t="n">
        <f aca="false">IF($D$34=1,MAX(0,SUM(Model!$K43:BG43)+SUM(Model!$K90:BG90)),0)</f>
        <v>0</v>
      </c>
      <c r="BH90" s="1" t="n">
        <f aca="false">IF($D$34=1,MAX(0,SUM(Model!$K43:BH43)+SUM(Model!$K90:BH90)),0)</f>
        <v>0</v>
      </c>
      <c r="BI90" s="1" t="n">
        <f aca="false">IF($D$34=1,MAX(0,SUM(Model!$K43:BI43)+SUM(Model!$K90:BI90)),0)</f>
        <v>0</v>
      </c>
      <c r="BJ90" s="1" t="n">
        <f aca="false">IF($D$34=1,MAX(0,SUM(Model!$K43:BJ43)+SUM(Model!$K90:BJ90)),0)</f>
        <v>0</v>
      </c>
      <c r="BK90" s="1" t="n">
        <f aca="false">IF($D$34=1,MAX(0,SUM(Model!$K43:BK43)+SUM(Model!$K90:BK90)),0)</f>
        <v>0</v>
      </c>
      <c r="BL90" s="1" t="n">
        <f aca="false">IF($D$34=1,MAX(0,SUM(Model!$K43:BL43)+SUM(Model!$K90:BL90)),0)</f>
        <v>0</v>
      </c>
      <c r="BM90" s="1" t="n">
        <f aca="false">IF($D$34=1,MAX(0,SUM(Model!$K43:BM43)+SUM(Model!$K90:BM90)),0)</f>
        <v>0</v>
      </c>
      <c r="BN90" s="1" t="n">
        <f aca="false">IF($D$34=1,MAX(0,SUM(Model!$K43:BN43)+SUM(Model!$K90:BN90)),0)</f>
        <v>0</v>
      </c>
      <c r="BO90" s="1" t="n">
        <f aca="false">IF($D$34=1,MAX(0,SUM(Model!$K43:BO43)+SUM(Model!$K90:BO90)),0)</f>
        <v>0</v>
      </c>
      <c r="BP90" s="1" t="n">
        <f aca="false">IF($D$34=1,MAX(0,SUM(Model!$K43:BP43)+SUM(Model!$K90:BP90)),0)</f>
        <v>0</v>
      </c>
      <c r="BQ90" s="1" t="n">
        <f aca="false">IF($D$34=1,MAX(0,SUM(Model!$K43:BQ43)+SUM(Model!$K90:BQ90)),0)</f>
        <v>0</v>
      </c>
      <c r="BR90" s="1" t="n">
        <f aca="false">IF($D$34=1,MAX(0,SUM(Model!$K43:BR43)+SUM(Model!$K90:BR90)),0)</f>
        <v>0</v>
      </c>
      <c r="BS90" s="1" t="n">
        <f aca="false">IF($D$34=1,MAX(0,SUM(Model!$K43:BS43)+SUM(Model!$K90:BS90)),0)</f>
        <v>0</v>
      </c>
      <c r="BT90" s="1" t="n">
        <f aca="false">IF($D$34=1,MAX(0,SUM(Model!$K43:BT43)+SUM(Model!$K90:BT90)),0)</f>
        <v>0</v>
      </c>
      <c r="BU90" s="1" t="n">
        <f aca="false">IF($D$34=1,MAX(0,SUM(Model!$K43:BU43)+SUM(Model!$K90:BU90)),0)</f>
        <v>0</v>
      </c>
      <c r="BV90" s="1" t="n">
        <f aca="false">IF($D$34=1,MAX(0,SUM(Model!$K43:BV43)+SUM(Model!$K90:BV90)),0)</f>
        <v>0</v>
      </c>
      <c r="BW90" s="1" t="n">
        <f aca="false">IF($D$34=1,MAX(0,SUM(Model!$K43:BW43)+SUM(Model!$K90:BW90)),0)</f>
        <v>0</v>
      </c>
      <c r="BX90" s="1" t="n">
        <f aca="false">IF($D$34=1,MAX(0,SUM(Model!$K43:BX43)+SUM(Model!$K90:BX90)),0)</f>
        <v>0</v>
      </c>
      <c r="BY90" s="1" t="n">
        <f aca="false">IF($D$34=1,MAX(0,SUM(Model!$K43:BY43)+SUM(Model!$K90:BY90)),0)</f>
        <v>0</v>
      </c>
      <c r="BZ90" s="1" t="n">
        <f aca="false">IF($D$34=1,MAX(0,SUM(Model!$K43:BZ43)+SUM(Model!$K90:BZ90)),0)</f>
        <v>0</v>
      </c>
      <c r="CA90" s="1" t="n">
        <f aca="false">IF($D$34=1,MAX(0,SUM(Model!$K43:CA43)+SUM(Model!$K90:CA90)),0)</f>
        <v>0</v>
      </c>
      <c r="CB90" s="1" t="n">
        <f aca="false">IF($D$34=1,MAX(0,SUM(Model!$K43:CB43)+SUM(Model!$K90:CB90)),0)</f>
        <v>0</v>
      </c>
      <c r="CC90" s="1" t="n">
        <f aca="false">IF($D$34=1,MAX(0,SUM(Model!$K43:CC43)+SUM(Model!$K90:CC90)),0)</f>
        <v>0</v>
      </c>
      <c r="CD90" s="1" t="n">
        <f aca="false">IF($D$34=1,MAX(0,SUM(Model!$K43:CD43)+SUM(Model!$K90:CD90)),0)</f>
        <v>0</v>
      </c>
      <c r="CE90" s="1" t="n">
        <f aca="false">IF($D$34=1,MAX(0,SUM(Model!$K43:CE43)+SUM(Model!$K90:CE90)),0)</f>
        <v>0</v>
      </c>
      <c r="CF90" s="1" t="n">
        <f aca="false">IF($D$34=1,MAX(0,SUM(Model!$K43:CF43)+SUM(Model!$K90:CF90)),0)</f>
        <v>0</v>
      </c>
      <c r="CG90" s="1" t="n">
        <f aca="false">IF($D$34=1,MAX(0,SUM(Model!$K43:CG43)+SUM(Model!$K90:CG90)),0)</f>
        <v>0</v>
      </c>
      <c r="CH90" s="1" t="n">
        <f aca="false">IF($D$34=1,MAX(0,SUM(Model!$K43:CH43)+SUM(Model!$K90:CH90)),0)</f>
        <v>0</v>
      </c>
      <c r="CI90" s="1" t="n">
        <f aca="false">IF($D$34=1,MAX(0,SUM(Model!$K43:CI43)+SUM(Model!$K90:CI90)),0)</f>
        <v>0</v>
      </c>
      <c r="CJ90" s="1" t="n">
        <f aca="false">IF($D$34=1,MAX(0,SUM(Model!$K43:CJ43)+SUM(Model!$K90:CJ90)),0)</f>
        <v>0</v>
      </c>
      <c r="CK90" s="1" t="n">
        <f aca="false">IF($D$34=1,MAX(0,SUM(Model!$K43:CK43)+SUM(Model!$K90:CK90)),0)</f>
        <v>0</v>
      </c>
      <c r="CL90" s="1" t="n">
        <f aca="false">IF($D$34=1,MAX(0,SUM(Model!$K43:CL43)+SUM(Model!$K90:CL90)),0)</f>
        <v>0</v>
      </c>
      <c r="CM90" s="1" t="n">
        <f aca="false">IF($D$34=1,MAX(0,SUM(Model!$K43:CM43)+SUM(Model!$K90:CM90)),0)</f>
        <v>0</v>
      </c>
      <c r="CN90" s="1" t="n">
        <f aca="false">IF($D$34=1,MAX(0,SUM(Model!$K43:CN43)+SUM(Model!$K90:CN90)),0)</f>
        <v>0</v>
      </c>
      <c r="CO90" s="1" t="n">
        <f aca="false">IF($D$34=1,MAX(0,SUM(Model!$K43:CO43)+SUM(Model!$K90:CO90)),0)</f>
        <v>0</v>
      </c>
      <c r="CP90" s="1" t="n">
        <f aca="false">IF($D$34=1,MAX(0,SUM(Model!$K43:CP43)+SUM(Model!$K90:CP90)),0)</f>
        <v>0</v>
      </c>
      <c r="CQ90" s="1" t="n">
        <f aca="false">IF($D$34=1,MAX(0,SUM(Model!$K43:CQ43)+SUM(Model!$K90:CQ90)),0)</f>
        <v>0</v>
      </c>
      <c r="CR90" s="1" t="n">
        <f aca="false">IF($D$34=1,MAX(0,SUM(Model!$K43:CR43)+SUM(Model!$K90:CR90)),0)</f>
        <v>0</v>
      </c>
      <c r="CS90" s="1" t="n">
        <f aca="false">IF($D$34=1,MAX(0,SUM(Model!$K43:CS43)+SUM(Model!$K90:CS90)),0)</f>
        <v>0</v>
      </c>
      <c r="CT90" s="1" t="n">
        <f aca="false">IF($D$34=1,MAX(0,SUM(Model!$K43:CT43)+SUM(Model!$K90:CT90)),0)</f>
        <v>0</v>
      </c>
      <c r="CU90" s="1" t="n">
        <f aca="false">IF($D$34=1,MAX(0,SUM(Model!$K43:CU43)+SUM(Model!$K90:CU90)),0)</f>
        <v>0</v>
      </c>
      <c r="CV90" s="1" t="n">
        <f aca="false">IF($D$34=1,MAX(0,SUM(Model!$K43:CV43)+SUM(Model!$K90:CV90)),0)</f>
        <v>0</v>
      </c>
      <c r="CW90" s="1" t="n">
        <f aca="false">IF($D$34=1,MAX(0,SUM(Model!$K43:CW43)+SUM(Model!$K90:CW90)),0)</f>
        <v>0</v>
      </c>
      <c r="CX90" s="1" t="n">
        <f aca="false">IF($D$34=1,MAX(0,SUM(Model!$K43:CX43)+SUM(Model!$K90:CX90)),0)</f>
        <v>0</v>
      </c>
      <c r="CY90" s="1" t="n">
        <f aca="false">IF($D$34=1,MAX(0,SUM(Model!$K43:CY43)+SUM(Model!$K90:CY90)),0)</f>
        <v>0</v>
      </c>
      <c r="CZ90" s="1" t="n">
        <f aca="false">IF($D$34=1,MAX(0,SUM(Model!$K43:CZ43)+SUM(Model!$K90:CZ90)),0)</f>
        <v>0</v>
      </c>
      <c r="DA90" s="1" t="n">
        <f aca="false">IF($D$34=1,MAX(0,SUM(Model!$K43:DA43)+SUM(Model!$K90:DA90)),0)</f>
        <v>0</v>
      </c>
      <c r="DB90" s="1" t="n">
        <f aca="false">IF($D$34=1,MAX(0,SUM(Model!$K43:DB43)+SUM(Model!$K90:DB90)),0)</f>
        <v>0</v>
      </c>
      <c r="DC90" s="1" t="n">
        <f aca="false">IF($D$34=1,MAX(0,SUM(Model!$K43:DC43)+SUM(Model!$K90:DC90)),0)</f>
        <v>0</v>
      </c>
      <c r="DD90" s="1" t="n">
        <f aca="false">IF($D$34=1,MAX(0,SUM(Model!$K43:DD43)+SUM(Model!$K90:DD90)),0)</f>
        <v>0</v>
      </c>
      <c r="DE90" s="1" t="n">
        <f aca="false">IF($D$34=1,MAX(0,SUM(Model!$K43:DE43)+SUM(Model!$K90:DE90)),0)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v>0</v>
      </c>
      <c r="K91" s="1" t="n">
        <f aca="false">IF($D$35=1,MAX(0,SUM(Model!$K44:K44)+SUM(Model!$K91:K91)),0)</f>
        <v>0</v>
      </c>
      <c r="L91" s="1" t="n">
        <f aca="false">IF($D$35=1,MAX(0,SUM(Model!$K44:L44)+SUM(Model!$K91:L91)),0)</f>
        <v>0</v>
      </c>
      <c r="M91" s="1" t="n">
        <f aca="false">IF($D$35=1,MAX(0,SUM(Model!$K44:M44)+SUM(Model!$K91:M91)),0)</f>
        <v>0</v>
      </c>
      <c r="N91" s="1" t="n">
        <f aca="false">IF($D$35=1,MAX(0,SUM(Model!$K44:N44)+SUM(Model!$K91:N91)),0)</f>
        <v>0</v>
      </c>
      <c r="O91" s="1" t="n">
        <f aca="false">IF($D$35=1,MAX(0,SUM(Model!$K44:O44)+SUM(Model!$K91:O91)),0)</f>
        <v>0</v>
      </c>
      <c r="P91" s="1" t="n">
        <f aca="false">IF($D$35=1,MAX(0,SUM(Model!$K44:P44)+SUM(Model!$K91:P91)),0)</f>
        <v>0</v>
      </c>
      <c r="Q91" s="1" t="n">
        <f aca="false">IF($D$35=1,MAX(0,SUM(Model!$K44:Q44)+SUM(Model!$K91:Q91)),0)</f>
        <v>0</v>
      </c>
      <c r="R91" s="1" t="n">
        <f aca="false">IF($D$35=1,MAX(0,SUM(Model!$K44:R44)+SUM(Model!$K91:R91)),0)</f>
        <v>0</v>
      </c>
      <c r="S91" s="1" t="n">
        <f aca="false">IF($D$35=1,MAX(0,SUM(Model!$K44:S44)+SUM(Model!$K91:S91)),0)</f>
        <v>0</v>
      </c>
      <c r="T91" s="1" t="n">
        <f aca="false">IF($D$35=1,MAX(0,SUM(Model!$K44:T44)+SUM(Model!$K91:T91)),0)</f>
        <v>0</v>
      </c>
      <c r="U91" s="1" t="n">
        <f aca="false">IF($D$35=1,MAX(0,SUM(Model!$K44:U44)+SUM(Model!$K91:U91)),0)</f>
        <v>0</v>
      </c>
      <c r="V91" s="1" t="n">
        <f aca="false">IF($D$35=1,MAX(0,SUM(Model!$K44:V44)+SUM(Model!$K91:V91)),0)</f>
        <v>0</v>
      </c>
      <c r="W91" s="1" t="n">
        <f aca="false">IF($D$35=1,MAX(0,SUM(Model!$K44:W44)+SUM(Model!$K91:W91)),0)</f>
        <v>0</v>
      </c>
      <c r="X91" s="1" t="n">
        <f aca="false">IF($D$35=1,MAX(0,SUM(Model!$K44:X44)+SUM(Model!$K91:X91)),0)</f>
        <v>0</v>
      </c>
      <c r="Y91" s="1" t="n">
        <f aca="false">IF($D$35=1,MAX(0,SUM(Model!$K44:Y44)+SUM(Model!$K91:Y91)),0)</f>
        <v>0</v>
      </c>
      <c r="Z91" s="1" t="n">
        <f aca="false">IF($D$35=1,MAX(0,SUM(Model!$K44:Z44)+SUM(Model!$K91:Z91)),0)</f>
        <v>0</v>
      </c>
      <c r="AA91" s="1" t="n">
        <f aca="false">IF($D$35=1,MAX(0,SUM(Model!$K44:AA44)+SUM(Model!$K91:AA91)),0)</f>
        <v>0</v>
      </c>
      <c r="AB91" s="1" t="n">
        <f aca="false">IF($D$35=1,MAX(0,SUM(Model!$K44:AB44)+SUM(Model!$K91:AB91)),0)</f>
        <v>0</v>
      </c>
      <c r="AC91" s="1" t="n">
        <f aca="false">IF($D$35=1,MAX(0,SUM(Model!$K44:AC44)+SUM(Model!$K91:AC91)),0)</f>
        <v>0</v>
      </c>
      <c r="AD91" s="1" t="n">
        <f aca="false">IF($D$35=1,MAX(0,SUM(Model!$K44:AD44)+SUM(Model!$K91:AD91)),0)</f>
        <v>0</v>
      </c>
      <c r="AE91" s="1" t="n">
        <f aca="false">IF($D$35=1,MAX(0,SUM(Model!$K44:AE44)+SUM(Model!$K91:AE91)),0)</f>
        <v>0</v>
      </c>
      <c r="AF91" s="1" t="n">
        <f aca="false">IF($D$35=1,MAX(0,SUM(Model!$K44:AF44)+SUM(Model!$K91:AF91)),0)</f>
        <v>0</v>
      </c>
      <c r="AG91" s="1" t="n">
        <f aca="false">IF($D$35=1,MAX(0,SUM(Model!$K44:AG44)+SUM(Model!$K91:AG91)),0)</f>
        <v>0</v>
      </c>
      <c r="AH91" s="1" t="n">
        <f aca="false">IF($D$35=1,MAX(0,SUM(Model!$K44:AH44)+SUM(Model!$K91:AH91)),0)</f>
        <v>0</v>
      </c>
      <c r="AI91" s="1" t="n">
        <f aca="false">IF($D$35=1,MAX(0,SUM(Model!$K44:AI44)+SUM(Model!$K91:AI91)),0)</f>
        <v>0</v>
      </c>
      <c r="AJ91" s="1" t="n">
        <f aca="false">IF($D$35=1,MAX(0,SUM(Model!$K44:AJ44)+SUM(Model!$K91:AJ91)),0)</f>
        <v>0</v>
      </c>
      <c r="AK91" s="1" t="n">
        <f aca="false">IF($D$35=1,MAX(0,SUM(Model!$K44:AK44)+SUM(Model!$K91:AK91)),0)</f>
        <v>0</v>
      </c>
      <c r="AL91" s="1" t="n">
        <f aca="false">IF($D$35=1,MAX(0,SUM(Model!$K44:AL44)+SUM(Model!$K91:AL91)),0)</f>
        <v>0</v>
      </c>
      <c r="AM91" s="1" t="n">
        <f aca="false">IF($D$35=1,MAX(0,SUM(Model!$K44:AM44)+SUM(Model!$K91:AM91)),0)</f>
        <v>0</v>
      </c>
      <c r="AN91" s="1" t="n">
        <f aca="false">IF($D$35=1,MAX(0,SUM(Model!$K44:AN44)+SUM(Model!$K91:AN91)),0)</f>
        <v>0</v>
      </c>
      <c r="AO91" s="1" t="n">
        <f aca="false">IF($D$35=1,MAX(0,SUM(Model!$K44:AO44)+SUM(Model!$K91:AO91)),0)</f>
        <v>0</v>
      </c>
      <c r="AP91" s="1" t="n">
        <f aca="false">IF($D$35=1,MAX(0,SUM(Model!$K44:AP44)+SUM(Model!$K91:AP91)),0)</f>
        <v>0</v>
      </c>
      <c r="AQ91" s="1" t="n">
        <f aca="false">IF($D$35=1,MAX(0,SUM(Model!$K44:AQ44)+SUM(Model!$K91:AQ91)),0)</f>
        <v>0</v>
      </c>
      <c r="AR91" s="1" t="n">
        <f aca="false">IF($D$35=1,MAX(0,SUM(Model!$K44:AR44)+SUM(Model!$K91:AR91)),0)</f>
        <v>0</v>
      </c>
      <c r="AS91" s="1" t="n">
        <f aca="false">IF($D$35=1,MAX(0,SUM(Model!$K44:AS44)+SUM(Model!$K91:AS91)),0)</f>
        <v>0</v>
      </c>
      <c r="AT91" s="1" t="n">
        <f aca="false">IF($D$35=1,MAX(0,SUM(Model!$K44:AT44)+SUM(Model!$K91:AT91)),0)</f>
        <v>0</v>
      </c>
      <c r="AU91" s="1" t="n">
        <f aca="false">IF($D$35=1,MAX(0,SUM(Model!$K44:AU44)+SUM(Model!$K91:AU91)),0)</f>
        <v>0</v>
      </c>
      <c r="AV91" s="1" t="n">
        <f aca="false">IF($D$35=1,MAX(0,SUM(Model!$K44:AV44)+SUM(Model!$K91:AV91)),0)</f>
        <v>0</v>
      </c>
      <c r="AW91" s="1" t="n">
        <f aca="false">IF($D$35=1,MAX(0,SUM(Model!$K44:AW44)+SUM(Model!$K91:AW91)),0)</f>
        <v>0</v>
      </c>
      <c r="AX91" s="1" t="n">
        <f aca="false">IF($D$35=1,MAX(0,SUM(Model!$K44:AX44)+SUM(Model!$K91:AX91)),0)</f>
        <v>0</v>
      </c>
      <c r="AY91" s="1" t="n">
        <f aca="false">IF($D$35=1,MAX(0,SUM(Model!$K44:AY44)+SUM(Model!$K91:AY91)),0)</f>
        <v>0</v>
      </c>
      <c r="AZ91" s="1" t="n">
        <f aca="false">IF($D$35=1,MAX(0,SUM(Model!$K44:AZ44)+SUM(Model!$K91:AZ91)),0)</f>
        <v>0</v>
      </c>
      <c r="BA91" s="1" t="n">
        <f aca="false">IF($D$35=1,MAX(0,SUM(Model!$K44:BA44)+SUM(Model!$K91:BA91)),0)</f>
        <v>0</v>
      </c>
      <c r="BB91" s="1" t="n">
        <f aca="false">IF($D$35=1,MAX(0,SUM(Model!$K44:BB44)+SUM(Model!$K91:BB91)),0)</f>
        <v>0</v>
      </c>
      <c r="BC91" s="1" t="n">
        <f aca="false">IF($D$35=1,MAX(0,SUM(Model!$K44:BC44)+SUM(Model!$K91:BC91)),0)</f>
        <v>0</v>
      </c>
      <c r="BD91" s="1" t="n">
        <f aca="false">IF($D$35=1,MAX(0,SUM(Model!$K44:BD44)+SUM(Model!$K91:BD91)),0)</f>
        <v>0</v>
      </c>
      <c r="BE91" s="1" t="n">
        <f aca="false">IF($D$35=1,MAX(0,SUM(Model!$K44:BE44)+SUM(Model!$K91:BE91)),0)</f>
        <v>0</v>
      </c>
      <c r="BF91" s="1" t="n">
        <f aca="false">IF($D$35=1,MAX(0,SUM(Model!$K44:BF44)+SUM(Model!$K91:BF91)),0)</f>
        <v>0</v>
      </c>
      <c r="BG91" s="1" t="n">
        <f aca="false">IF($D$35=1,MAX(0,SUM(Model!$K44:BG44)+SUM(Model!$K91:BG91)),0)</f>
        <v>0</v>
      </c>
      <c r="BH91" s="1" t="n">
        <f aca="false">IF($D$35=1,MAX(0,SUM(Model!$K44:BH44)+SUM(Model!$K91:BH91)),0)</f>
        <v>0</v>
      </c>
      <c r="BI91" s="1" t="n">
        <f aca="false">IF($D$35=1,MAX(0,SUM(Model!$K44:BI44)+SUM(Model!$K91:BI91)),0)</f>
        <v>0</v>
      </c>
      <c r="BJ91" s="1" t="n">
        <f aca="false">IF($D$35=1,MAX(0,SUM(Model!$K44:BJ44)+SUM(Model!$K91:BJ91)),0)</f>
        <v>0</v>
      </c>
      <c r="BK91" s="1" t="n">
        <f aca="false">IF($D$35=1,MAX(0,SUM(Model!$K44:BK44)+SUM(Model!$K91:BK91)),0)</f>
        <v>0</v>
      </c>
      <c r="BL91" s="1" t="n">
        <f aca="false">IF($D$35=1,MAX(0,SUM(Model!$K44:BL44)+SUM(Model!$K91:BL91)),0)</f>
        <v>0</v>
      </c>
      <c r="BM91" s="1" t="n">
        <f aca="false">IF($D$35=1,MAX(0,SUM(Model!$K44:BM44)+SUM(Model!$K91:BM91)),0)</f>
        <v>0</v>
      </c>
      <c r="BN91" s="1" t="n">
        <f aca="false">IF($D$35=1,MAX(0,SUM(Model!$K44:BN44)+SUM(Model!$K91:BN91)),0)</f>
        <v>0</v>
      </c>
      <c r="BO91" s="1" t="n">
        <f aca="false">IF($D$35=1,MAX(0,SUM(Model!$K44:BO44)+SUM(Model!$K91:BO91)),0)</f>
        <v>0</v>
      </c>
      <c r="BP91" s="1" t="n">
        <f aca="false">IF($D$35=1,MAX(0,SUM(Model!$K44:BP44)+SUM(Model!$K91:BP91)),0)</f>
        <v>0</v>
      </c>
      <c r="BQ91" s="1" t="n">
        <f aca="false">IF($D$35=1,MAX(0,SUM(Model!$K44:BQ44)+SUM(Model!$K91:BQ91)),0)</f>
        <v>0</v>
      </c>
      <c r="BR91" s="1" t="n">
        <f aca="false">IF($D$35=1,MAX(0,SUM(Model!$K44:BR44)+SUM(Model!$K91:BR91)),0)</f>
        <v>0</v>
      </c>
      <c r="BS91" s="1" t="n">
        <f aca="false">IF($D$35=1,MAX(0,SUM(Model!$K44:BS44)+SUM(Model!$K91:BS91)),0)</f>
        <v>0</v>
      </c>
      <c r="BT91" s="1" t="n">
        <f aca="false">IF($D$35=1,MAX(0,SUM(Model!$K44:BT44)+SUM(Model!$K91:BT91)),0)</f>
        <v>0</v>
      </c>
      <c r="BU91" s="1" t="n">
        <f aca="false">IF($D$35=1,MAX(0,SUM(Model!$K44:BU44)+SUM(Model!$K91:BU91)),0)</f>
        <v>0</v>
      </c>
      <c r="BV91" s="1" t="n">
        <f aca="false">IF($D$35=1,MAX(0,SUM(Model!$K44:BV44)+SUM(Model!$K91:BV91)),0)</f>
        <v>0</v>
      </c>
      <c r="BW91" s="1" t="n">
        <f aca="false">IF($D$35=1,MAX(0,SUM(Model!$K44:BW44)+SUM(Model!$K91:BW91)),0)</f>
        <v>0</v>
      </c>
      <c r="BX91" s="1" t="n">
        <f aca="false">IF($D$35=1,MAX(0,SUM(Model!$K44:BX44)+SUM(Model!$K91:BX91)),0)</f>
        <v>0</v>
      </c>
      <c r="BY91" s="1" t="n">
        <f aca="false">IF($D$35=1,MAX(0,SUM(Model!$K44:BY44)+SUM(Model!$K91:BY91)),0)</f>
        <v>0</v>
      </c>
      <c r="BZ91" s="1" t="n">
        <f aca="false">IF($D$35=1,MAX(0,SUM(Model!$K44:BZ44)+SUM(Model!$K91:BZ91)),0)</f>
        <v>0</v>
      </c>
      <c r="CA91" s="1" t="n">
        <f aca="false">IF($D$35=1,MAX(0,SUM(Model!$K44:CA44)+SUM(Model!$K91:CA91)),0)</f>
        <v>0</v>
      </c>
      <c r="CB91" s="1" t="n">
        <f aca="false">IF($D$35=1,MAX(0,SUM(Model!$K44:CB44)+SUM(Model!$K91:CB91)),0)</f>
        <v>0</v>
      </c>
      <c r="CC91" s="1" t="n">
        <f aca="false">IF($D$35=1,MAX(0,SUM(Model!$K44:CC44)+SUM(Model!$K91:CC91)),0)</f>
        <v>0</v>
      </c>
      <c r="CD91" s="1" t="n">
        <f aca="false">IF($D$35=1,MAX(0,SUM(Model!$K44:CD44)+SUM(Model!$K91:CD91)),0)</f>
        <v>0</v>
      </c>
      <c r="CE91" s="1" t="n">
        <f aca="false">IF($D$35=1,MAX(0,SUM(Model!$K44:CE44)+SUM(Model!$K91:CE91)),0)</f>
        <v>0</v>
      </c>
      <c r="CF91" s="1" t="n">
        <f aca="false">IF($D$35=1,MAX(0,SUM(Model!$K44:CF44)+SUM(Model!$K91:CF91)),0)</f>
        <v>0</v>
      </c>
      <c r="CG91" s="1" t="n">
        <f aca="false">IF($D$35=1,MAX(0,SUM(Model!$K44:CG44)+SUM(Model!$K91:CG91)),0)</f>
        <v>0</v>
      </c>
      <c r="CH91" s="1" t="n">
        <f aca="false">IF($D$35=1,MAX(0,SUM(Model!$K44:CH44)+SUM(Model!$K91:CH91)),0)</f>
        <v>0</v>
      </c>
      <c r="CI91" s="1" t="n">
        <f aca="false">IF($D$35=1,MAX(0,SUM(Model!$K44:CI44)+SUM(Model!$K91:CI91)),0)</f>
        <v>0</v>
      </c>
      <c r="CJ91" s="1" t="n">
        <f aca="false">IF($D$35=1,MAX(0,SUM(Model!$K44:CJ44)+SUM(Model!$K91:CJ91)),0)</f>
        <v>0</v>
      </c>
      <c r="CK91" s="1" t="n">
        <f aca="false">IF($D$35=1,MAX(0,SUM(Model!$K44:CK44)+SUM(Model!$K91:CK91)),0)</f>
        <v>0</v>
      </c>
      <c r="CL91" s="1" t="n">
        <f aca="false">IF($D$35=1,MAX(0,SUM(Model!$K44:CL44)+SUM(Model!$K91:CL91)),0)</f>
        <v>0</v>
      </c>
      <c r="CM91" s="1" t="n">
        <f aca="false">IF($D$35=1,MAX(0,SUM(Model!$K44:CM44)+SUM(Model!$K91:CM91)),0)</f>
        <v>0</v>
      </c>
      <c r="CN91" s="1" t="n">
        <f aca="false">IF($D$35=1,MAX(0,SUM(Model!$K44:CN44)+SUM(Model!$K91:CN91)),0)</f>
        <v>0</v>
      </c>
      <c r="CO91" s="1" t="n">
        <f aca="false">IF($D$35=1,MAX(0,SUM(Model!$K44:CO44)+SUM(Model!$K91:CO91)),0)</f>
        <v>0</v>
      </c>
      <c r="CP91" s="1" t="n">
        <f aca="false">IF($D$35=1,MAX(0,SUM(Model!$K44:CP44)+SUM(Model!$K91:CP91)),0)</f>
        <v>0</v>
      </c>
      <c r="CQ91" s="1" t="n">
        <f aca="false">IF($D$35=1,MAX(0,SUM(Model!$K44:CQ44)+SUM(Model!$K91:CQ91)),0)</f>
        <v>0</v>
      </c>
      <c r="CR91" s="1" t="n">
        <f aca="false">IF($D$35=1,MAX(0,SUM(Model!$K44:CR44)+SUM(Model!$K91:CR91)),0)</f>
        <v>0</v>
      </c>
      <c r="CS91" s="1" t="n">
        <f aca="false">IF($D$35=1,MAX(0,SUM(Model!$K44:CS44)+SUM(Model!$K91:CS91)),0)</f>
        <v>0</v>
      </c>
      <c r="CT91" s="1" t="n">
        <f aca="false">IF($D$35=1,MAX(0,SUM(Model!$K44:CT44)+SUM(Model!$K91:CT91)),0)</f>
        <v>0</v>
      </c>
      <c r="CU91" s="1" t="n">
        <f aca="false">IF($D$35=1,MAX(0,SUM(Model!$K44:CU44)+SUM(Model!$K91:CU91)),0)</f>
        <v>0</v>
      </c>
      <c r="CV91" s="1" t="n">
        <f aca="false">IF($D$35=1,MAX(0,SUM(Model!$K44:CV44)+SUM(Model!$K91:CV91)),0)</f>
        <v>0</v>
      </c>
      <c r="CW91" s="1" t="n">
        <f aca="false">IF($D$35=1,MAX(0,SUM(Model!$K44:CW44)+SUM(Model!$K91:CW91)),0)</f>
        <v>0</v>
      </c>
      <c r="CX91" s="1" t="n">
        <f aca="false">IF($D$35=1,MAX(0,SUM(Model!$K44:CX44)+SUM(Model!$K91:CX91)),0)</f>
        <v>0</v>
      </c>
      <c r="CY91" s="1" t="n">
        <f aca="false">IF($D$35=1,MAX(0,SUM(Model!$K44:CY44)+SUM(Model!$K91:CY91)),0)</f>
        <v>0</v>
      </c>
      <c r="CZ91" s="1" t="n">
        <f aca="false">IF($D$35=1,MAX(0,SUM(Model!$K44:CZ44)+SUM(Model!$K91:CZ91)),0)</f>
        <v>0</v>
      </c>
      <c r="DA91" s="1" t="n">
        <f aca="false">IF($D$35=1,MAX(0,SUM(Model!$K44:DA44)+SUM(Model!$K91:DA91)),0)</f>
        <v>0</v>
      </c>
      <c r="DB91" s="1" t="n">
        <f aca="false">IF($D$35=1,MAX(0,SUM(Model!$K44:DB44)+SUM(Model!$K91:DB91)),0)</f>
        <v>0</v>
      </c>
      <c r="DC91" s="1" t="n">
        <f aca="false">IF($D$35=1,MAX(0,SUM(Model!$K44:DC44)+SUM(Model!$K91:DC91)),0)</f>
        <v>0</v>
      </c>
      <c r="DD91" s="1" t="n">
        <f aca="false">IF($D$35=1,MAX(0,SUM(Model!$K44:DD44)+SUM(Model!$K91:DD91)),0)</f>
        <v>0</v>
      </c>
      <c r="DE91" s="1" t="n">
        <f aca="false">IF($D$35=1,MAX(0,SUM(Model!$K44:DE44)+SUM(Model!$K91:DE91)),0)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v>0</v>
      </c>
      <c r="K92" s="1" t="n">
        <f aca="false">IF($D$36=1,MAX(0,SUM(Model!$K45:K45)+SUM(Model!$K92:K92)),0)</f>
        <v>0</v>
      </c>
      <c r="L92" s="1" t="n">
        <f aca="false">IF($D$36=1,MAX(0,SUM(Model!$K45:L45)+SUM(Model!$K92:L92)),0)</f>
        <v>0</v>
      </c>
      <c r="M92" s="1" t="n">
        <f aca="false">IF($D$36=1,MAX(0,SUM(Model!$K45:M45)+SUM(Model!$K92:M92)),0)</f>
        <v>0</v>
      </c>
      <c r="N92" s="1" t="n">
        <f aca="false">IF($D$36=1,MAX(0,SUM(Model!$K45:N45)+SUM(Model!$K92:N92)),0)</f>
        <v>0</v>
      </c>
      <c r="O92" s="1" t="n">
        <f aca="false">IF($D$36=1,MAX(0,SUM(Model!$K45:O45)+SUM(Model!$K92:O92)),0)</f>
        <v>0</v>
      </c>
      <c r="P92" s="1" t="n">
        <f aca="false">IF($D$36=1,MAX(0,SUM(Model!$K45:P45)+SUM(Model!$K92:P92)),0)</f>
        <v>0</v>
      </c>
      <c r="Q92" s="1" t="n">
        <f aca="false">IF($D$36=1,MAX(0,SUM(Model!$K45:Q45)+SUM(Model!$K92:Q92)),0)</f>
        <v>0</v>
      </c>
      <c r="R92" s="1" t="n">
        <f aca="false">IF($D$36=1,MAX(0,SUM(Model!$K45:R45)+SUM(Model!$K92:R92)),0)</f>
        <v>0</v>
      </c>
      <c r="S92" s="1" t="n">
        <f aca="false">IF($D$36=1,MAX(0,SUM(Model!$K45:S45)+SUM(Model!$K92:S92)),0)</f>
        <v>0</v>
      </c>
      <c r="T92" s="1" t="n">
        <f aca="false">IF($D$36=1,MAX(0,SUM(Model!$K45:T45)+SUM(Model!$K92:T92)),0)</f>
        <v>0</v>
      </c>
      <c r="U92" s="1" t="n">
        <f aca="false">IF($D$36=1,MAX(0,SUM(Model!$K45:U45)+SUM(Model!$K92:U92)),0)</f>
        <v>0</v>
      </c>
      <c r="V92" s="1" t="n">
        <f aca="false">IF($D$36=1,MAX(0,SUM(Model!$K45:V45)+SUM(Model!$K92:V92)),0)</f>
        <v>0</v>
      </c>
      <c r="W92" s="1" t="n">
        <f aca="false">IF($D$36=1,MAX(0,SUM(Model!$K45:W45)+SUM(Model!$K92:W92)),0)</f>
        <v>0</v>
      </c>
      <c r="X92" s="1" t="n">
        <f aca="false">IF($D$36=1,MAX(0,SUM(Model!$K45:X45)+SUM(Model!$K92:X92)),0)</f>
        <v>0</v>
      </c>
      <c r="Y92" s="1" t="n">
        <f aca="false">IF($D$36=1,MAX(0,SUM(Model!$K45:Y45)+SUM(Model!$K92:Y92)),0)</f>
        <v>0</v>
      </c>
      <c r="Z92" s="1" t="n">
        <f aca="false">IF($D$36=1,MAX(0,SUM(Model!$K45:Z45)+SUM(Model!$K92:Z92)),0)</f>
        <v>0</v>
      </c>
      <c r="AA92" s="1" t="n">
        <f aca="false">IF($D$36=1,MAX(0,SUM(Model!$K45:AA45)+SUM(Model!$K92:AA92)),0)</f>
        <v>0</v>
      </c>
      <c r="AB92" s="1" t="n">
        <f aca="false">IF($D$36=1,MAX(0,SUM(Model!$K45:AB45)+SUM(Model!$K92:AB92)),0)</f>
        <v>0</v>
      </c>
      <c r="AC92" s="1" t="n">
        <f aca="false">IF($D$36=1,MAX(0,SUM(Model!$K45:AC45)+SUM(Model!$K92:AC92)),0)</f>
        <v>0</v>
      </c>
      <c r="AD92" s="1" t="n">
        <f aca="false">IF($D$36=1,MAX(0,SUM(Model!$K45:AD45)+SUM(Model!$K92:AD92)),0)</f>
        <v>0</v>
      </c>
      <c r="AE92" s="1" t="n">
        <f aca="false">IF($D$36=1,MAX(0,SUM(Model!$K45:AE45)+SUM(Model!$K92:AE92)),0)</f>
        <v>0</v>
      </c>
      <c r="AF92" s="1" t="n">
        <f aca="false">IF($D$36=1,MAX(0,SUM(Model!$K45:AF45)+SUM(Model!$K92:AF92)),0)</f>
        <v>0</v>
      </c>
      <c r="AG92" s="1" t="n">
        <f aca="false">IF($D$36=1,MAX(0,SUM(Model!$K45:AG45)+SUM(Model!$K92:AG92)),0)</f>
        <v>0</v>
      </c>
      <c r="AH92" s="1" t="n">
        <f aca="false">IF($D$36=1,MAX(0,SUM(Model!$K45:AH45)+SUM(Model!$K92:AH92)),0)</f>
        <v>0</v>
      </c>
      <c r="AI92" s="1" t="n">
        <f aca="false">IF($D$36=1,MAX(0,SUM(Model!$K45:AI45)+SUM(Model!$K92:AI92)),0)</f>
        <v>0</v>
      </c>
      <c r="AJ92" s="1" t="n">
        <f aca="false">IF($D$36=1,MAX(0,SUM(Model!$K45:AJ45)+SUM(Model!$K92:AJ92)),0)</f>
        <v>0</v>
      </c>
      <c r="AK92" s="1" t="n">
        <f aca="false">IF($D$36=1,MAX(0,SUM(Model!$K45:AK45)+SUM(Model!$K92:AK92)),0)</f>
        <v>0</v>
      </c>
      <c r="AL92" s="1" t="n">
        <f aca="false">IF($D$36=1,MAX(0,SUM(Model!$K45:AL45)+SUM(Model!$K92:AL92)),0)</f>
        <v>0</v>
      </c>
      <c r="AM92" s="1" t="n">
        <f aca="false">IF($D$36=1,MAX(0,SUM(Model!$K45:AM45)+SUM(Model!$K92:AM92)),0)</f>
        <v>0</v>
      </c>
      <c r="AN92" s="1" t="n">
        <f aca="false">IF($D$36=1,MAX(0,SUM(Model!$K45:AN45)+SUM(Model!$K92:AN92)),0)</f>
        <v>0</v>
      </c>
      <c r="AO92" s="1" t="n">
        <f aca="false">IF($D$36=1,MAX(0,SUM(Model!$K45:AO45)+SUM(Model!$K92:AO92)),0)</f>
        <v>0</v>
      </c>
      <c r="AP92" s="1" t="n">
        <f aca="false">IF($D$36=1,MAX(0,SUM(Model!$K45:AP45)+SUM(Model!$K92:AP92)),0)</f>
        <v>0</v>
      </c>
      <c r="AQ92" s="1" t="n">
        <f aca="false">IF($D$36=1,MAX(0,SUM(Model!$K45:AQ45)+SUM(Model!$K92:AQ92)),0)</f>
        <v>0</v>
      </c>
      <c r="AR92" s="1" t="n">
        <f aca="false">IF($D$36=1,MAX(0,SUM(Model!$K45:AR45)+SUM(Model!$K92:AR92)),0)</f>
        <v>0</v>
      </c>
      <c r="AS92" s="1" t="n">
        <f aca="false">IF($D$36=1,MAX(0,SUM(Model!$K45:AS45)+SUM(Model!$K92:AS92)),0)</f>
        <v>0</v>
      </c>
      <c r="AT92" s="1" t="n">
        <f aca="false">IF($D$36=1,MAX(0,SUM(Model!$K45:AT45)+SUM(Model!$K92:AT92)),0)</f>
        <v>0</v>
      </c>
      <c r="AU92" s="1" t="n">
        <f aca="false">IF($D$36=1,MAX(0,SUM(Model!$K45:AU45)+SUM(Model!$K92:AU92)),0)</f>
        <v>0</v>
      </c>
      <c r="AV92" s="1" t="n">
        <f aca="false">IF($D$36=1,MAX(0,SUM(Model!$K45:AV45)+SUM(Model!$K92:AV92)),0)</f>
        <v>0</v>
      </c>
      <c r="AW92" s="1" t="n">
        <f aca="false">IF($D$36=1,MAX(0,SUM(Model!$K45:AW45)+SUM(Model!$K92:AW92)),0)</f>
        <v>0</v>
      </c>
      <c r="AX92" s="1" t="n">
        <f aca="false">IF($D$36=1,MAX(0,SUM(Model!$K45:AX45)+SUM(Model!$K92:AX92)),0)</f>
        <v>0</v>
      </c>
      <c r="AY92" s="1" t="n">
        <f aca="false">IF($D$36=1,MAX(0,SUM(Model!$K45:AY45)+SUM(Model!$K92:AY92)),0)</f>
        <v>0</v>
      </c>
      <c r="AZ92" s="1" t="n">
        <f aca="false">IF($D$36=1,MAX(0,SUM(Model!$K45:AZ45)+SUM(Model!$K92:AZ92)),0)</f>
        <v>0</v>
      </c>
      <c r="BA92" s="1" t="n">
        <f aca="false">IF($D$36=1,MAX(0,SUM(Model!$K45:BA45)+SUM(Model!$K92:BA92)),0)</f>
        <v>0</v>
      </c>
      <c r="BB92" s="1" t="n">
        <f aca="false">IF($D$36=1,MAX(0,SUM(Model!$K45:BB45)+SUM(Model!$K92:BB92)),0)</f>
        <v>0</v>
      </c>
      <c r="BC92" s="1" t="n">
        <f aca="false">IF($D$36=1,MAX(0,SUM(Model!$K45:BC45)+SUM(Model!$K92:BC92)),0)</f>
        <v>0</v>
      </c>
      <c r="BD92" s="1" t="n">
        <f aca="false">IF($D$36=1,MAX(0,SUM(Model!$K45:BD45)+SUM(Model!$K92:BD92)),0)</f>
        <v>0</v>
      </c>
      <c r="BE92" s="1" t="n">
        <f aca="false">IF($D$36=1,MAX(0,SUM(Model!$K45:BE45)+SUM(Model!$K92:BE92)),0)</f>
        <v>0</v>
      </c>
      <c r="BF92" s="1" t="n">
        <f aca="false">IF($D$36=1,MAX(0,SUM(Model!$K45:BF45)+SUM(Model!$K92:BF92)),0)</f>
        <v>0</v>
      </c>
      <c r="BG92" s="1" t="n">
        <f aca="false">IF($D$36=1,MAX(0,SUM(Model!$K45:BG45)+SUM(Model!$K92:BG92)),0)</f>
        <v>0</v>
      </c>
      <c r="BH92" s="1" t="n">
        <f aca="false">IF($D$36=1,MAX(0,SUM(Model!$K45:BH45)+SUM(Model!$K92:BH92)),0)</f>
        <v>0</v>
      </c>
      <c r="BI92" s="1" t="n">
        <f aca="false">IF($D$36=1,MAX(0,SUM(Model!$K45:BI45)+SUM(Model!$K92:BI92)),0)</f>
        <v>0</v>
      </c>
      <c r="BJ92" s="1" t="n">
        <f aca="false">IF($D$36=1,MAX(0,SUM(Model!$K45:BJ45)+SUM(Model!$K92:BJ92)),0)</f>
        <v>0</v>
      </c>
      <c r="BK92" s="1" t="n">
        <f aca="false">IF($D$36=1,MAX(0,SUM(Model!$K45:BK45)+SUM(Model!$K92:BK92)),0)</f>
        <v>0</v>
      </c>
      <c r="BL92" s="1" t="n">
        <f aca="false">IF($D$36=1,MAX(0,SUM(Model!$K45:BL45)+SUM(Model!$K92:BL92)),0)</f>
        <v>0</v>
      </c>
      <c r="BM92" s="1" t="n">
        <f aca="false">IF($D$36=1,MAX(0,SUM(Model!$K45:BM45)+SUM(Model!$K92:BM92)),0)</f>
        <v>0</v>
      </c>
      <c r="BN92" s="1" t="n">
        <f aca="false">IF($D$36=1,MAX(0,SUM(Model!$K45:BN45)+SUM(Model!$K92:BN92)),0)</f>
        <v>0</v>
      </c>
      <c r="BO92" s="1" t="n">
        <f aca="false">IF($D$36=1,MAX(0,SUM(Model!$K45:BO45)+SUM(Model!$K92:BO92)),0)</f>
        <v>0</v>
      </c>
      <c r="BP92" s="1" t="n">
        <f aca="false">IF($D$36=1,MAX(0,SUM(Model!$K45:BP45)+SUM(Model!$K92:BP92)),0)</f>
        <v>0</v>
      </c>
      <c r="BQ92" s="1" t="n">
        <f aca="false">IF($D$36=1,MAX(0,SUM(Model!$K45:BQ45)+SUM(Model!$K92:BQ92)),0)</f>
        <v>0</v>
      </c>
      <c r="BR92" s="1" t="n">
        <f aca="false">IF($D$36=1,MAX(0,SUM(Model!$K45:BR45)+SUM(Model!$K92:BR92)),0)</f>
        <v>0</v>
      </c>
      <c r="BS92" s="1" t="n">
        <f aca="false">IF($D$36=1,MAX(0,SUM(Model!$K45:BS45)+SUM(Model!$K92:BS92)),0)</f>
        <v>0</v>
      </c>
      <c r="BT92" s="1" t="n">
        <f aca="false">IF($D$36=1,MAX(0,SUM(Model!$K45:BT45)+SUM(Model!$K92:BT92)),0)</f>
        <v>0</v>
      </c>
      <c r="BU92" s="1" t="n">
        <f aca="false">IF($D$36=1,MAX(0,SUM(Model!$K45:BU45)+SUM(Model!$K92:BU92)),0)</f>
        <v>0</v>
      </c>
      <c r="BV92" s="1" t="n">
        <f aca="false">IF($D$36=1,MAX(0,SUM(Model!$K45:BV45)+SUM(Model!$K92:BV92)),0)</f>
        <v>0</v>
      </c>
      <c r="BW92" s="1" t="n">
        <f aca="false">IF($D$36=1,MAX(0,SUM(Model!$K45:BW45)+SUM(Model!$K92:BW92)),0)</f>
        <v>0</v>
      </c>
      <c r="BX92" s="1" t="n">
        <f aca="false">IF($D$36=1,MAX(0,SUM(Model!$K45:BX45)+SUM(Model!$K92:BX92)),0)</f>
        <v>0</v>
      </c>
      <c r="BY92" s="1" t="n">
        <f aca="false">IF($D$36=1,MAX(0,SUM(Model!$K45:BY45)+SUM(Model!$K92:BY92)),0)</f>
        <v>0</v>
      </c>
      <c r="BZ92" s="1" t="n">
        <f aca="false">IF($D$36=1,MAX(0,SUM(Model!$K45:BZ45)+SUM(Model!$K92:BZ92)),0)</f>
        <v>0</v>
      </c>
      <c r="CA92" s="1" t="n">
        <f aca="false">IF($D$36=1,MAX(0,SUM(Model!$K45:CA45)+SUM(Model!$K92:CA92)),0)</f>
        <v>0</v>
      </c>
      <c r="CB92" s="1" t="n">
        <f aca="false">IF($D$36=1,MAX(0,SUM(Model!$K45:CB45)+SUM(Model!$K92:CB92)),0)</f>
        <v>0</v>
      </c>
      <c r="CC92" s="1" t="n">
        <f aca="false">IF($D$36=1,MAX(0,SUM(Model!$K45:CC45)+SUM(Model!$K92:CC92)),0)</f>
        <v>0</v>
      </c>
      <c r="CD92" s="1" t="n">
        <f aca="false">IF($D$36=1,MAX(0,SUM(Model!$K45:CD45)+SUM(Model!$K92:CD92)),0)</f>
        <v>0</v>
      </c>
      <c r="CE92" s="1" t="n">
        <f aca="false">IF($D$36=1,MAX(0,SUM(Model!$K45:CE45)+SUM(Model!$K92:CE92)),0)</f>
        <v>0</v>
      </c>
      <c r="CF92" s="1" t="n">
        <f aca="false">IF($D$36=1,MAX(0,SUM(Model!$K45:CF45)+SUM(Model!$K92:CF92)),0)</f>
        <v>0</v>
      </c>
      <c r="CG92" s="1" t="n">
        <f aca="false">IF($D$36=1,MAX(0,SUM(Model!$K45:CG45)+SUM(Model!$K92:CG92)),0)</f>
        <v>0</v>
      </c>
      <c r="CH92" s="1" t="n">
        <f aca="false">IF($D$36=1,MAX(0,SUM(Model!$K45:CH45)+SUM(Model!$K92:CH92)),0)</f>
        <v>0</v>
      </c>
      <c r="CI92" s="1" t="n">
        <f aca="false">IF($D$36=1,MAX(0,SUM(Model!$K45:CI45)+SUM(Model!$K92:CI92)),0)</f>
        <v>0</v>
      </c>
      <c r="CJ92" s="1" t="n">
        <f aca="false">IF($D$36=1,MAX(0,SUM(Model!$K45:CJ45)+SUM(Model!$K92:CJ92)),0)</f>
        <v>0</v>
      </c>
      <c r="CK92" s="1" t="n">
        <f aca="false">IF($D$36=1,MAX(0,SUM(Model!$K45:CK45)+SUM(Model!$K92:CK92)),0)</f>
        <v>0</v>
      </c>
      <c r="CL92" s="1" t="n">
        <f aca="false">IF($D$36=1,MAX(0,SUM(Model!$K45:CL45)+SUM(Model!$K92:CL92)),0)</f>
        <v>0</v>
      </c>
      <c r="CM92" s="1" t="n">
        <f aca="false">IF($D$36=1,MAX(0,SUM(Model!$K45:CM45)+SUM(Model!$K92:CM92)),0)</f>
        <v>0</v>
      </c>
      <c r="CN92" s="1" t="n">
        <f aca="false">IF($D$36=1,MAX(0,SUM(Model!$K45:CN45)+SUM(Model!$K92:CN92)),0)</f>
        <v>0</v>
      </c>
      <c r="CO92" s="1" t="n">
        <f aca="false">IF($D$36=1,MAX(0,SUM(Model!$K45:CO45)+SUM(Model!$K92:CO92)),0)</f>
        <v>0</v>
      </c>
      <c r="CP92" s="1" t="n">
        <f aca="false">IF($D$36=1,MAX(0,SUM(Model!$K45:CP45)+SUM(Model!$K92:CP92)),0)</f>
        <v>0</v>
      </c>
      <c r="CQ92" s="1" t="n">
        <f aca="false">IF($D$36=1,MAX(0,SUM(Model!$K45:CQ45)+SUM(Model!$K92:CQ92)),0)</f>
        <v>0</v>
      </c>
      <c r="CR92" s="1" t="n">
        <f aca="false">IF($D$36=1,MAX(0,SUM(Model!$K45:CR45)+SUM(Model!$K92:CR92)),0)</f>
        <v>0</v>
      </c>
      <c r="CS92" s="1" t="n">
        <f aca="false">IF($D$36=1,MAX(0,SUM(Model!$K45:CS45)+SUM(Model!$K92:CS92)),0)</f>
        <v>0</v>
      </c>
      <c r="CT92" s="1" t="n">
        <f aca="false">IF($D$36=1,MAX(0,SUM(Model!$K45:CT45)+SUM(Model!$K92:CT92)),0)</f>
        <v>0</v>
      </c>
      <c r="CU92" s="1" t="n">
        <f aca="false">IF($D$36=1,MAX(0,SUM(Model!$K45:CU45)+SUM(Model!$K92:CU92)),0)</f>
        <v>0</v>
      </c>
      <c r="CV92" s="1" t="n">
        <f aca="false">IF($D$36=1,MAX(0,SUM(Model!$K45:CV45)+SUM(Model!$K92:CV92)),0)</f>
        <v>0</v>
      </c>
      <c r="CW92" s="1" t="n">
        <f aca="false">IF($D$36=1,MAX(0,SUM(Model!$K45:CW45)+SUM(Model!$K92:CW92)),0)</f>
        <v>0</v>
      </c>
      <c r="CX92" s="1" t="n">
        <f aca="false">IF($D$36=1,MAX(0,SUM(Model!$K45:CX45)+SUM(Model!$K92:CX92)),0)</f>
        <v>0</v>
      </c>
      <c r="CY92" s="1" t="n">
        <f aca="false">IF($D$36=1,MAX(0,SUM(Model!$K45:CY45)+SUM(Model!$K92:CY92)),0)</f>
        <v>0</v>
      </c>
      <c r="CZ92" s="1" t="n">
        <f aca="false">IF($D$36=1,MAX(0,SUM(Model!$K45:CZ45)+SUM(Model!$K92:CZ92)),0)</f>
        <v>0</v>
      </c>
      <c r="DA92" s="1" t="n">
        <f aca="false">IF($D$36=1,MAX(0,SUM(Model!$K45:DA45)+SUM(Model!$K92:DA92)),0)</f>
        <v>0</v>
      </c>
      <c r="DB92" s="1" t="n">
        <f aca="false">IF($D$36=1,MAX(0,SUM(Model!$K45:DB45)+SUM(Model!$K92:DB92)),0)</f>
        <v>0</v>
      </c>
      <c r="DC92" s="1" t="n">
        <f aca="false">IF($D$36=1,MAX(0,SUM(Model!$K45:DC45)+SUM(Model!$K92:DC92)),0)</f>
        <v>0</v>
      </c>
      <c r="DD92" s="1" t="n">
        <f aca="false">IF($D$36=1,MAX(0,SUM(Model!$K45:DD45)+SUM(Model!$K92:DD92)),0)</f>
        <v>0</v>
      </c>
      <c r="DE92" s="1" t="n">
        <f aca="false">IF($D$36=1,MAX(0,SUM(Model!$K45:DE45)+SUM(Model!$K92:DE92)),0)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v>0</v>
      </c>
      <c r="K93" s="1" t="n">
        <f aca="false">IF($D$37=1,MAX(0,SUM(Model!$K46:K46)+SUM(Model!$K93:K93)),0)</f>
        <v>0</v>
      </c>
      <c r="L93" s="1" t="n">
        <f aca="false">IF($D$37=1,MAX(0,SUM(Model!$K46:L46)+SUM(Model!$K93:L93)),0)</f>
        <v>0</v>
      </c>
      <c r="M93" s="1" t="n">
        <f aca="false">IF($D$37=1,MAX(0,SUM(Model!$K46:M46)+SUM(Model!$K93:M93)),0)</f>
        <v>0</v>
      </c>
      <c r="N93" s="1" t="n">
        <f aca="false">IF($D$37=1,MAX(0,SUM(Model!$K46:N46)+SUM(Model!$K93:N93)),0)</f>
        <v>0</v>
      </c>
      <c r="O93" s="1" t="n">
        <f aca="false">IF($D$37=1,MAX(0,SUM(Model!$K46:O46)+SUM(Model!$K93:O93)),0)</f>
        <v>0</v>
      </c>
      <c r="P93" s="1" t="n">
        <f aca="false">IF($D$37=1,MAX(0,SUM(Model!$K46:P46)+SUM(Model!$K93:P93)),0)</f>
        <v>0</v>
      </c>
      <c r="Q93" s="1" t="n">
        <f aca="false">IF($D$37=1,MAX(0,SUM(Model!$K46:Q46)+SUM(Model!$K93:Q93)),0)</f>
        <v>0</v>
      </c>
      <c r="R93" s="1" t="n">
        <f aca="false">IF($D$37=1,MAX(0,SUM(Model!$K46:R46)+SUM(Model!$K93:R93)),0)</f>
        <v>0</v>
      </c>
      <c r="S93" s="1" t="n">
        <f aca="false">IF($D$37=1,MAX(0,SUM(Model!$K46:S46)+SUM(Model!$K93:S93)),0)</f>
        <v>0</v>
      </c>
      <c r="T93" s="1" t="n">
        <f aca="false">IF($D$37=1,MAX(0,SUM(Model!$K46:T46)+SUM(Model!$K93:T93)),0)</f>
        <v>0</v>
      </c>
      <c r="U93" s="1" t="n">
        <f aca="false">IF($D$37=1,MAX(0,SUM(Model!$K46:U46)+SUM(Model!$K93:U93)),0)</f>
        <v>0</v>
      </c>
      <c r="V93" s="1" t="n">
        <f aca="false">IF($D$37=1,MAX(0,SUM(Model!$K46:V46)+SUM(Model!$K93:V93)),0)</f>
        <v>0</v>
      </c>
      <c r="W93" s="1" t="n">
        <f aca="false">IF($D$37=1,MAX(0,SUM(Model!$K46:W46)+SUM(Model!$K93:W93)),0)</f>
        <v>0</v>
      </c>
      <c r="X93" s="1" t="n">
        <f aca="false">IF($D$37=1,MAX(0,SUM(Model!$K46:X46)+SUM(Model!$K93:X93)),0)</f>
        <v>0</v>
      </c>
      <c r="Y93" s="1" t="n">
        <f aca="false">IF($D$37=1,MAX(0,SUM(Model!$K46:Y46)+SUM(Model!$K93:Y93)),0)</f>
        <v>0</v>
      </c>
      <c r="Z93" s="1" t="n">
        <f aca="false">IF($D$37=1,MAX(0,SUM(Model!$K46:Z46)+SUM(Model!$K93:Z93)),0)</f>
        <v>0</v>
      </c>
      <c r="AA93" s="1" t="n">
        <f aca="false">IF($D$37=1,MAX(0,SUM(Model!$K46:AA46)+SUM(Model!$K93:AA93)),0)</f>
        <v>0</v>
      </c>
      <c r="AB93" s="1" t="n">
        <f aca="false">IF($D$37=1,MAX(0,SUM(Model!$K46:AB46)+SUM(Model!$K93:AB93)),0)</f>
        <v>0</v>
      </c>
      <c r="AC93" s="1" t="n">
        <f aca="false">IF($D$37=1,MAX(0,SUM(Model!$K46:AC46)+SUM(Model!$K93:AC93)),0)</f>
        <v>0</v>
      </c>
      <c r="AD93" s="1" t="n">
        <f aca="false">IF($D$37=1,MAX(0,SUM(Model!$K46:AD46)+SUM(Model!$K93:AD93)),0)</f>
        <v>0</v>
      </c>
      <c r="AE93" s="1" t="n">
        <f aca="false">IF($D$37=1,MAX(0,SUM(Model!$K46:AE46)+SUM(Model!$K93:AE93)),0)</f>
        <v>0</v>
      </c>
      <c r="AF93" s="1" t="n">
        <f aca="false">IF($D$37=1,MAX(0,SUM(Model!$K46:AF46)+SUM(Model!$K93:AF93)),0)</f>
        <v>0</v>
      </c>
      <c r="AG93" s="1" t="n">
        <f aca="false">IF($D$37=1,MAX(0,SUM(Model!$K46:AG46)+SUM(Model!$K93:AG93)),0)</f>
        <v>0</v>
      </c>
      <c r="AH93" s="1" t="n">
        <f aca="false">IF($D$37=1,MAX(0,SUM(Model!$K46:AH46)+SUM(Model!$K93:AH93)),0)</f>
        <v>0</v>
      </c>
      <c r="AI93" s="1" t="n">
        <f aca="false">IF($D$37=1,MAX(0,SUM(Model!$K46:AI46)+SUM(Model!$K93:AI93)),0)</f>
        <v>0</v>
      </c>
      <c r="AJ93" s="1" t="n">
        <f aca="false">IF($D$37=1,MAX(0,SUM(Model!$K46:AJ46)+SUM(Model!$K93:AJ93)),0)</f>
        <v>0</v>
      </c>
      <c r="AK93" s="1" t="n">
        <f aca="false">IF($D$37=1,MAX(0,SUM(Model!$K46:AK46)+SUM(Model!$K93:AK93)),0)</f>
        <v>0</v>
      </c>
      <c r="AL93" s="1" t="n">
        <f aca="false">IF($D$37=1,MAX(0,SUM(Model!$K46:AL46)+SUM(Model!$K93:AL93)),0)</f>
        <v>0</v>
      </c>
      <c r="AM93" s="1" t="n">
        <f aca="false">IF($D$37=1,MAX(0,SUM(Model!$K46:AM46)+SUM(Model!$K93:AM93)),0)</f>
        <v>0</v>
      </c>
      <c r="AN93" s="1" t="n">
        <f aca="false">IF($D$37=1,MAX(0,SUM(Model!$K46:AN46)+SUM(Model!$K93:AN93)),0)</f>
        <v>0</v>
      </c>
      <c r="AO93" s="1" t="n">
        <f aca="false">IF($D$37=1,MAX(0,SUM(Model!$K46:AO46)+SUM(Model!$K93:AO93)),0)</f>
        <v>0</v>
      </c>
      <c r="AP93" s="1" t="n">
        <f aca="false">IF($D$37=1,MAX(0,SUM(Model!$K46:AP46)+SUM(Model!$K93:AP93)),0)</f>
        <v>0</v>
      </c>
      <c r="AQ93" s="1" t="n">
        <f aca="false">IF($D$37=1,MAX(0,SUM(Model!$K46:AQ46)+SUM(Model!$K93:AQ93)),0)</f>
        <v>0</v>
      </c>
      <c r="AR93" s="1" t="n">
        <f aca="false">IF($D$37=1,MAX(0,SUM(Model!$K46:AR46)+SUM(Model!$K93:AR93)),0)</f>
        <v>0</v>
      </c>
      <c r="AS93" s="1" t="n">
        <f aca="false">IF($D$37=1,MAX(0,SUM(Model!$K46:AS46)+SUM(Model!$K93:AS93)),0)</f>
        <v>0</v>
      </c>
      <c r="AT93" s="1" t="n">
        <f aca="false">IF($D$37=1,MAX(0,SUM(Model!$K46:AT46)+SUM(Model!$K93:AT93)),0)</f>
        <v>0</v>
      </c>
      <c r="AU93" s="1" t="n">
        <f aca="false">IF($D$37=1,MAX(0,SUM(Model!$K46:AU46)+SUM(Model!$K93:AU93)),0)</f>
        <v>0</v>
      </c>
      <c r="AV93" s="1" t="n">
        <f aca="false">IF($D$37=1,MAX(0,SUM(Model!$K46:AV46)+SUM(Model!$K93:AV93)),0)</f>
        <v>0</v>
      </c>
      <c r="AW93" s="1" t="n">
        <f aca="false">IF($D$37=1,MAX(0,SUM(Model!$K46:AW46)+SUM(Model!$K93:AW93)),0)</f>
        <v>0</v>
      </c>
      <c r="AX93" s="1" t="n">
        <f aca="false">IF($D$37=1,MAX(0,SUM(Model!$K46:AX46)+SUM(Model!$K93:AX93)),0)</f>
        <v>0</v>
      </c>
      <c r="AY93" s="1" t="n">
        <f aca="false">IF($D$37=1,MAX(0,SUM(Model!$K46:AY46)+SUM(Model!$K93:AY93)),0)</f>
        <v>0</v>
      </c>
      <c r="AZ93" s="1" t="n">
        <f aca="false">IF($D$37=1,MAX(0,SUM(Model!$K46:AZ46)+SUM(Model!$K93:AZ93)),0)</f>
        <v>0</v>
      </c>
      <c r="BA93" s="1" t="n">
        <f aca="false">IF($D$37=1,MAX(0,SUM(Model!$K46:BA46)+SUM(Model!$K93:BA93)),0)</f>
        <v>0</v>
      </c>
      <c r="BB93" s="1" t="n">
        <f aca="false">IF($D$37=1,MAX(0,SUM(Model!$K46:BB46)+SUM(Model!$K93:BB93)),0)</f>
        <v>0</v>
      </c>
      <c r="BC93" s="1" t="n">
        <f aca="false">IF($D$37=1,MAX(0,SUM(Model!$K46:BC46)+SUM(Model!$K93:BC93)),0)</f>
        <v>0</v>
      </c>
      <c r="BD93" s="1" t="n">
        <f aca="false">IF($D$37=1,MAX(0,SUM(Model!$K46:BD46)+SUM(Model!$K93:BD93)),0)</f>
        <v>0</v>
      </c>
      <c r="BE93" s="1" t="n">
        <f aca="false">IF($D$37=1,MAX(0,SUM(Model!$K46:BE46)+SUM(Model!$K93:BE93)),0)</f>
        <v>0</v>
      </c>
      <c r="BF93" s="1" t="n">
        <f aca="false">IF($D$37=1,MAX(0,SUM(Model!$K46:BF46)+SUM(Model!$K93:BF93)),0)</f>
        <v>0</v>
      </c>
      <c r="BG93" s="1" t="n">
        <f aca="false">IF($D$37=1,MAX(0,SUM(Model!$K46:BG46)+SUM(Model!$K93:BG93)),0)</f>
        <v>0</v>
      </c>
      <c r="BH93" s="1" t="n">
        <f aca="false">IF($D$37=1,MAX(0,SUM(Model!$K46:BH46)+SUM(Model!$K93:BH93)),0)</f>
        <v>0</v>
      </c>
      <c r="BI93" s="1" t="n">
        <f aca="false">IF($D$37=1,MAX(0,SUM(Model!$K46:BI46)+SUM(Model!$K93:BI93)),0)</f>
        <v>0</v>
      </c>
      <c r="BJ93" s="1" t="n">
        <f aca="false">IF($D$37=1,MAX(0,SUM(Model!$K46:BJ46)+SUM(Model!$K93:BJ93)),0)</f>
        <v>0</v>
      </c>
      <c r="BK93" s="1" t="n">
        <f aca="false">IF($D$37=1,MAX(0,SUM(Model!$K46:BK46)+SUM(Model!$K93:BK93)),0)</f>
        <v>0</v>
      </c>
      <c r="BL93" s="1" t="n">
        <f aca="false">IF($D$37=1,MAX(0,SUM(Model!$K46:BL46)+SUM(Model!$K93:BL93)),0)</f>
        <v>0</v>
      </c>
      <c r="BM93" s="1" t="n">
        <f aca="false">IF($D$37=1,MAX(0,SUM(Model!$K46:BM46)+SUM(Model!$K93:BM93)),0)</f>
        <v>0</v>
      </c>
      <c r="BN93" s="1" t="n">
        <f aca="false">IF($D$37=1,MAX(0,SUM(Model!$K46:BN46)+SUM(Model!$K93:BN93)),0)</f>
        <v>0</v>
      </c>
      <c r="BO93" s="1" t="n">
        <f aca="false">IF($D$37=1,MAX(0,SUM(Model!$K46:BO46)+SUM(Model!$K93:BO93)),0)</f>
        <v>0</v>
      </c>
      <c r="BP93" s="1" t="n">
        <f aca="false">IF($D$37=1,MAX(0,SUM(Model!$K46:BP46)+SUM(Model!$K93:BP93)),0)</f>
        <v>0</v>
      </c>
      <c r="BQ93" s="1" t="n">
        <f aca="false">IF($D$37=1,MAX(0,SUM(Model!$K46:BQ46)+SUM(Model!$K93:BQ93)),0)</f>
        <v>0</v>
      </c>
      <c r="BR93" s="1" t="n">
        <f aca="false">IF($D$37=1,MAX(0,SUM(Model!$K46:BR46)+SUM(Model!$K93:BR93)),0)</f>
        <v>0</v>
      </c>
      <c r="BS93" s="1" t="n">
        <f aca="false">IF($D$37=1,MAX(0,SUM(Model!$K46:BS46)+SUM(Model!$K93:BS93)),0)</f>
        <v>0</v>
      </c>
      <c r="BT93" s="1" t="n">
        <f aca="false">IF($D$37=1,MAX(0,SUM(Model!$K46:BT46)+SUM(Model!$K93:BT93)),0)</f>
        <v>0</v>
      </c>
      <c r="BU93" s="1" t="n">
        <f aca="false">IF($D$37=1,MAX(0,SUM(Model!$K46:BU46)+SUM(Model!$K93:BU93)),0)</f>
        <v>0</v>
      </c>
      <c r="BV93" s="1" t="n">
        <f aca="false">IF($D$37=1,MAX(0,SUM(Model!$K46:BV46)+SUM(Model!$K93:BV93)),0)</f>
        <v>0</v>
      </c>
      <c r="BW93" s="1" t="n">
        <f aca="false">IF($D$37=1,MAX(0,SUM(Model!$K46:BW46)+SUM(Model!$K93:BW93)),0)</f>
        <v>0</v>
      </c>
      <c r="BX93" s="1" t="n">
        <f aca="false">IF($D$37=1,MAX(0,SUM(Model!$K46:BX46)+SUM(Model!$K93:BX93)),0)</f>
        <v>0</v>
      </c>
      <c r="BY93" s="1" t="n">
        <f aca="false">IF($D$37=1,MAX(0,SUM(Model!$K46:BY46)+SUM(Model!$K93:BY93)),0)</f>
        <v>0</v>
      </c>
      <c r="BZ93" s="1" t="n">
        <f aca="false">IF($D$37=1,MAX(0,SUM(Model!$K46:BZ46)+SUM(Model!$K93:BZ93)),0)</f>
        <v>0</v>
      </c>
      <c r="CA93" s="1" t="n">
        <f aca="false">IF($D$37=1,MAX(0,SUM(Model!$K46:CA46)+SUM(Model!$K93:CA93)),0)</f>
        <v>0</v>
      </c>
      <c r="CB93" s="1" t="n">
        <f aca="false">IF($D$37=1,MAX(0,SUM(Model!$K46:CB46)+SUM(Model!$K93:CB93)),0)</f>
        <v>0</v>
      </c>
      <c r="CC93" s="1" t="n">
        <f aca="false">IF($D$37=1,MAX(0,SUM(Model!$K46:CC46)+SUM(Model!$K93:CC93)),0)</f>
        <v>0</v>
      </c>
      <c r="CD93" s="1" t="n">
        <f aca="false">IF($D$37=1,MAX(0,SUM(Model!$K46:CD46)+SUM(Model!$K93:CD93)),0)</f>
        <v>0</v>
      </c>
      <c r="CE93" s="1" t="n">
        <f aca="false">IF($D$37=1,MAX(0,SUM(Model!$K46:CE46)+SUM(Model!$K93:CE93)),0)</f>
        <v>0</v>
      </c>
      <c r="CF93" s="1" t="n">
        <f aca="false">IF($D$37=1,MAX(0,SUM(Model!$K46:CF46)+SUM(Model!$K93:CF93)),0)</f>
        <v>0</v>
      </c>
      <c r="CG93" s="1" t="n">
        <f aca="false">IF($D$37=1,MAX(0,SUM(Model!$K46:CG46)+SUM(Model!$K93:CG93)),0)</f>
        <v>0</v>
      </c>
      <c r="CH93" s="1" t="n">
        <f aca="false">IF($D$37=1,MAX(0,SUM(Model!$K46:CH46)+SUM(Model!$K93:CH93)),0)</f>
        <v>0</v>
      </c>
      <c r="CI93" s="1" t="n">
        <f aca="false">IF($D$37=1,MAX(0,SUM(Model!$K46:CI46)+SUM(Model!$K93:CI93)),0)</f>
        <v>0</v>
      </c>
      <c r="CJ93" s="1" t="n">
        <f aca="false">IF($D$37=1,MAX(0,SUM(Model!$K46:CJ46)+SUM(Model!$K93:CJ93)),0)</f>
        <v>0</v>
      </c>
      <c r="CK93" s="1" t="n">
        <f aca="false">IF($D$37=1,MAX(0,SUM(Model!$K46:CK46)+SUM(Model!$K93:CK93)),0)</f>
        <v>0</v>
      </c>
      <c r="CL93" s="1" t="n">
        <f aca="false">IF($D$37=1,MAX(0,SUM(Model!$K46:CL46)+SUM(Model!$K93:CL93)),0)</f>
        <v>0</v>
      </c>
      <c r="CM93" s="1" t="n">
        <f aca="false">IF($D$37=1,MAX(0,SUM(Model!$K46:CM46)+SUM(Model!$K93:CM93)),0)</f>
        <v>0</v>
      </c>
      <c r="CN93" s="1" t="n">
        <f aca="false">IF($D$37=1,MAX(0,SUM(Model!$K46:CN46)+SUM(Model!$K93:CN93)),0)</f>
        <v>0</v>
      </c>
      <c r="CO93" s="1" t="n">
        <f aca="false">IF($D$37=1,MAX(0,SUM(Model!$K46:CO46)+SUM(Model!$K93:CO93)),0)</f>
        <v>0</v>
      </c>
      <c r="CP93" s="1" t="n">
        <f aca="false">IF($D$37=1,MAX(0,SUM(Model!$K46:CP46)+SUM(Model!$K93:CP93)),0)</f>
        <v>0</v>
      </c>
      <c r="CQ93" s="1" t="n">
        <f aca="false">IF($D$37=1,MAX(0,SUM(Model!$K46:CQ46)+SUM(Model!$K93:CQ93)),0)</f>
        <v>0</v>
      </c>
      <c r="CR93" s="1" t="n">
        <f aca="false">IF($D$37=1,MAX(0,SUM(Model!$K46:CR46)+SUM(Model!$K93:CR93)),0)</f>
        <v>0</v>
      </c>
      <c r="CS93" s="1" t="n">
        <f aca="false">IF($D$37=1,MAX(0,SUM(Model!$K46:CS46)+SUM(Model!$K93:CS93)),0)</f>
        <v>0</v>
      </c>
      <c r="CT93" s="1" t="n">
        <f aca="false">IF($D$37=1,MAX(0,SUM(Model!$K46:CT46)+SUM(Model!$K93:CT93)),0)</f>
        <v>0</v>
      </c>
      <c r="CU93" s="1" t="n">
        <f aca="false">IF($D$37=1,MAX(0,SUM(Model!$K46:CU46)+SUM(Model!$K93:CU93)),0)</f>
        <v>0</v>
      </c>
      <c r="CV93" s="1" t="n">
        <f aca="false">IF($D$37=1,MAX(0,SUM(Model!$K46:CV46)+SUM(Model!$K93:CV93)),0)</f>
        <v>0</v>
      </c>
      <c r="CW93" s="1" t="n">
        <f aca="false">IF($D$37=1,MAX(0,SUM(Model!$K46:CW46)+SUM(Model!$K93:CW93)),0)</f>
        <v>0</v>
      </c>
      <c r="CX93" s="1" t="n">
        <f aca="false">IF($D$37=1,MAX(0,SUM(Model!$K46:CX46)+SUM(Model!$K93:CX93)),0)</f>
        <v>0</v>
      </c>
      <c r="CY93" s="1" t="n">
        <f aca="false">IF($D$37=1,MAX(0,SUM(Model!$K46:CY46)+SUM(Model!$K93:CY93)),0)</f>
        <v>0</v>
      </c>
      <c r="CZ93" s="1" t="n">
        <f aca="false">IF($D$37=1,MAX(0,SUM(Model!$K46:CZ46)+SUM(Model!$K93:CZ93)),0)</f>
        <v>0</v>
      </c>
      <c r="DA93" s="1" t="n">
        <f aca="false">IF($D$37=1,MAX(0,SUM(Model!$K46:DA46)+SUM(Model!$K93:DA93)),0)</f>
        <v>0</v>
      </c>
      <c r="DB93" s="1" t="n">
        <f aca="false">IF($D$37=1,MAX(0,SUM(Model!$K46:DB46)+SUM(Model!$K93:DB93)),0)</f>
        <v>0</v>
      </c>
      <c r="DC93" s="1" t="n">
        <f aca="false">IF($D$37=1,MAX(0,SUM(Model!$K46:DC46)+SUM(Model!$K93:DC93)),0)</f>
        <v>0</v>
      </c>
      <c r="DD93" s="1" t="n">
        <f aca="false">IF($D$37=1,MAX(0,SUM(Model!$K46:DD46)+SUM(Model!$K93:DD93)),0)</f>
        <v>0</v>
      </c>
      <c r="DE93" s="1" t="n">
        <f aca="false">IF($D$37=1,MAX(0,SUM(Model!$K46:DE46)+SUM(Model!$K93:DE93)),0)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v>0</v>
      </c>
      <c r="K94" s="1" t="n">
        <f aca="false">IF($D$38=1,MAX(0,SUM(Model!$K47:K47)+SUM(Model!$K94:K94)),0)</f>
        <v>0</v>
      </c>
      <c r="L94" s="1" t="n">
        <f aca="false">IF($D$38=1,MAX(0,SUM(Model!$K47:L47)+SUM(Model!$K94:L94)),0)</f>
        <v>0</v>
      </c>
      <c r="M94" s="1" t="n">
        <f aca="false">IF($D$38=1,MAX(0,SUM(Model!$K47:M47)+SUM(Model!$K94:M94)),0)</f>
        <v>0</v>
      </c>
      <c r="N94" s="1" t="n">
        <f aca="false">IF($D$38=1,MAX(0,SUM(Model!$K47:N47)+SUM(Model!$K94:N94)),0)</f>
        <v>0</v>
      </c>
      <c r="O94" s="1" t="n">
        <f aca="false">IF($D$38=1,MAX(0,SUM(Model!$K47:O47)+SUM(Model!$K94:O94)),0)</f>
        <v>0</v>
      </c>
      <c r="P94" s="1" t="n">
        <f aca="false">IF($D$38=1,MAX(0,SUM(Model!$K47:P47)+SUM(Model!$K94:P94)),0)</f>
        <v>0</v>
      </c>
      <c r="Q94" s="1" t="n">
        <f aca="false">IF($D$38=1,MAX(0,SUM(Model!$K47:Q47)+SUM(Model!$K94:Q94)),0)</f>
        <v>0</v>
      </c>
      <c r="R94" s="1" t="n">
        <f aca="false">IF($D$38=1,MAX(0,SUM(Model!$K47:R47)+SUM(Model!$K94:R94)),0)</f>
        <v>0</v>
      </c>
      <c r="S94" s="1" t="n">
        <f aca="false">IF($D$38=1,MAX(0,SUM(Model!$K47:S47)+SUM(Model!$K94:S94)),0)</f>
        <v>0</v>
      </c>
      <c r="T94" s="1" t="n">
        <f aca="false">IF($D$38=1,MAX(0,SUM(Model!$K47:T47)+SUM(Model!$K94:T94)),0)</f>
        <v>0</v>
      </c>
      <c r="U94" s="1" t="n">
        <f aca="false">IF($D$38=1,MAX(0,SUM(Model!$K47:U47)+SUM(Model!$K94:U94)),0)</f>
        <v>0</v>
      </c>
      <c r="V94" s="1" t="n">
        <f aca="false">IF($D$38=1,MAX(0,SUM(Model!$K47:V47)+SUM(Model!$K94:V94)),0)</f>
        <v>0</v>
      </c>
      <c r="W94" s="1" t="n">
        <f aca="false">IF($D$38=1,MAX(0,SUM(Model!$K47:W47)+SUM(Model!$K94:W94)),0)</f>
        <v>0</v>
      </c>
      <c r="X94" s="1" t="n">
        <f aca="false">IF($D$38=1,MAX(0,SUM(Model!$K47:X47)+SUM(Model!$K94:X94)),0)</f>
        <v>0</v>
      </c>
      <c r="Y94" s="1" t="n">
        <f aca="false">IF($D$38=1,MAX(0,SUM(Model!$K47:Y47)+SUM(Model!$K94:Y94)),0)</f>
        <v>0</v>
      </c>
      <c r="Z94" s="1" t="n">
        <f aca="false">IF($D$38=1,MAX(0,SUM(Model!$K47:Z47)+SUM(Model!$K94:Z94)),0)</f>
        <v>0</v>
      </c>
      <c r="AA94" s="1" t="n">
        <f aca="false">IF($D$38=1,MAX(0,SUM(Model!$K47:AA47)+SUM(Model!$K94:AA94)),0)</f>
        <v>0</v>
      </c>
      <c r="AB94" s="1" t="n">
        <f aca="false">IF($D$38=1,MAX(0,SUM(Model!$K47:AB47)+SUM(Model!$K94:AB94)),0)</f>
        <v>0</v>
      </c>
      <c r="AC94" s="1" t="n">
        <f aca="false">IF($D$38=1,MAX(0,SUM(Model!$K47:AC47)+SUM(Model!$K94:AC94)),0)</f>
        <v>0</v>
      </c>
      <c r="AD94" s="1" t="n">
        <f aca="false">IF($D$38=1,MAX(0,SUM(Model!$K47:AD47)+SUM(Model!$K94:AD94)),0)</f>
        <v>0</v>
      </c>
      <c r="AE94" s="1" t="n">
        <f aca="false">IF($D$38=1,MAX(0,SUM(Model!$K47:AE47)+SUM(Model!$K94:AE94)),0)</f>
        <v>0</v>
      </c>
      <c r="AF94" s="1" t="n">
        <f aca="false">IF($D$38=1,MAX(0,SUM(Model!$K47:AF47)+SUM(Model!$K94:AF94)),0)</f>
        <v>0</v>
      </c>
      <c r="AG94" s="1" t="n">
        <f aca="false">IF($D$38=1,MAX(0,SUM(Model!$K47:AG47)+SUM(Model!$K94:AG94)),0)</f>
        <v>0</v>
      </c>
      <c r="AH94" s="1" t="n">
        <f aca="false">IF($D$38=1,MAX(0,SUM(Model!$K47:AH47)+SUM(Model!$K94:AH94)),0)</f>
        <v>0</v>
      </c>
      <c r="AI94" s="1" t="n">
        <f aca="false">IF($D$38=1,MAX(0,SUM(Model!$K47:AI47)+SUM(Model!$K94:AI94)),0)</f>
        <v>0</v>
      </c>
      <c r="AJ94" s="1" t="n">
        <f aca="false">IF($D$38=1,MAX(0,SUM(Model!$K47:AJ47)+SUM(Model!$K94:AJ94)),0)</f>
        <v>0</v>
      </c>
      <c r="AK94" s="1" t="n">
        <f aca="false">IF($D$38=1,MAX(0,SUM(Model!$K47:AK47)+SUM(Model!$K94:AK94)),0)</f>
        <v>0</v>
      </c>
      <c r="AL94" s="1" t="n">
        <f aca="false">IF($D$38=1,MAX(0,SUM(Model!$K47:AL47)+SUM(Model!$K94:AL94)),0)</f>
        <v>0</v>
      </c>
      <c r="AM94" s="1" t="n">
        <f aca="false">IF($D$38=1,MAX(0,SUM(Model!$K47:AM47)+SUM(Model!$K94:AM94)),0)</f>
        <v>0</v>
      </c>
      <c r="AN94" s="1" t="n">
        <f aca="false">IF($D$38=1,MAX(0,SUM(Model!$K47:AN47)+SUM(Model!$K94:AN94)),0)</f>
        <v>0</v>
      </c>
      <c r="AO94" s="1" t="n">
        <f aca="false">IF($D$38=1,MAX(0,SUM(Model!$K47:AO47)+SUM(Model!$K94:AO94)),0)</f>
        <v>0</v>
      </c>
      <c r="AP94" s="1" t="n">
        <f aca="false">IF($D$38=1,MAX(0,SUM(Model!$K47:AP47)+SUM(Model!$K94:AP94)),0)</f>
        <v>0</v>
      </c>
      <c r="AQ94" s="1" t="n">
        <f aca="false">IF($D$38=1,MAX(0,SUM(Model!$K47:AQ47)+SUM(Model!$K94:AQ94)),0)</f>
        <v>0</v>
      </c>
      <c r="AR94" s="1" t="n">
        <f aca="false">IF($D$38=1,MAX(0,SUM(Model!$K47:AR47)+SUM(Model!$K94:AR94)),0)</f>
        <v>0</v>
      </c>
      <c r="AS94" s="1" t="n">
        <f aca="false">IF($D$38=1,MAX(0,SUM(Model!$K47:AS47)+SUM(Model!$K94:AS94)),0)</f>
        <v>0</v>
      </c>
      <c r="AT94" s="1" t="n">
        <f aca="false">IF($D$38=1,MAX(0,SUM(Model!$K47:AT47)+SUM(Model!$K94:AT94)),0)</f>
        <v>0</v>
      </c>
      <c r="AU94" s="1" t="n">
        <f aca="false">IF($D$38=1,MAX(0,SUM(Model!$K47:AU47)+SUM(Model!$K94:AU94)),0)</f>
        <v>0</v>
      </c>
      <c r="AV94" s="1" t="n">
        <f aca="false">IF($D$38=1,MAX(0,SUM(Model!$K47:AV47)+SUM(Model!$K94:AV94)),0)</f>
        <v>0</v>
      </c>
      <c r="AW94" s="1" t="n">
        <f aca="false">IF($D$38=1,MAX(0,SUM(Model!$K47:AW47)+SUM(Model!$K94:AW94)),0)</f>
        <v>0</v>
      </c>
      <c r="AX94" s="1" t="n">
        <f aca="false">IF($D$38=1,MAX(0,SUM(Model!$K47:AX47)+SUM(Model!$K94:AX94)),0)</f>
        <v>0</v>
      </c>
      <c r="AY94" s="1" t="n">
        <f aca="false">IF($D$38=1,MAX(0,SUM(Model!$K47:AY47)+SUM(Model!$K94:AY94)),0)</f>
        <v>0</v>
      </c>
      <c r="AZ94" s="1" t="n">
        <f aca="false">IF($D$38=1,MAX(0,SUM(Model!$K47:AZ47)+SUM(Model!$K94:AZ94)),0)</f>
        <v>0</v>
      </c>
      <c r="BA94" s="1" t="n">
        <f aca="false">IF($D$38=1,MAX(0,SUM(Model!$K47:BA47)+SUM(Model!$K94:BA94)),0)</f>
        <v>0</v>
      </c>
      <c r="BB94" s="1" t="n">
        <f aca="false">IF($D$38=1,MAX(0,SUM(Model!$K47:BB47)+SUM(Model!$K94:BB94)),0)</f>
        <v>0</v>
      </c>
      <c r="BC94" s="1" t="n">
        <f aca="false">IF($D$38=1,MAX(0,SUM(Model!$K47:BC47)+SUM(Model!$K94:BC94)),0)</f>
        <v>0</v>
      </c>
      <c r="BD94" s="1" t="n">
        <f aca="false">IF($D$38=1,MAX(0,SUM(Model!$K47:BD47)+SUM(Model!$K94:BD94)),0)</f>
        <v>0</v>
      </c>
      <c r="BE94" s="1" t="n">
        <f aca="false">IF($D$38=1,MAX(0,SUM(Model!$K47:BE47)+SUM(Model!$K94:BE94)),0)</f>
        <v>0</v>
      </c>
      <c r="BF94" s="1" t="n">
        <f aca="false">IF($D$38=1,MAX(0,SUM(Model!$K47:BF47)+SUM(Model!$K94:BF94)),0)</f>
        <v>0</v>
      </c>
      <c r="BG94" s="1" t="n">
        <f aca="false">IF($D$38=1,MAX(0,SUM(Model!$K47:BG47)+SUM(Model!$K94:BG94)),0)</f>
        <v>0</v>
      </c>
      <c r="BH94" s="1" t="n">
        <f aca="false">IF($D$38=1,MAX(0,SUM(Model!$K47:BH47)+SUM(Model!$K94:BH94)),0)</f>
        <v>0</v>
      </c>
      <c r="BI94" s="1" t="n">
        <f aca="false">IF($D$38=1,MAX(0,SUM(Model!$K47:BI47)+SUM(Model!$K94:BI94)),0)</f>
        <v>0</v>
      </c>
      <c r="BJ94" s="1" t="n">
        <f aca="false">IF($D$38=1,MAX(0,SUM(Model!$K47:BJ47)+SUM(Model!$K94:BJ94)),0)</f>
        <v>0</v>
      </c>
      <c r="BK94" s="1" t="n">
        <f aca="false">IF($D$38=1,MAX(0,SUM(Model!$K47:BK47)+SUM(Model!$K94:BK94)),0)</f>
        <v>0</v>
      </c>
      <c r="BL94" s="1" t="n">
        <f aca="false">IF($D$38=1,MAX(0,SUM(Model!$K47:BL47)+SUM(Model!$K94:BL94)),0)</f>
        <v>0</v>
      </c>
      <c r="BM94" s="1" t="n">
        <f aca="false">IF($D$38=1,MAX(0,SUM(Model!$K47:BM47)+SUM(Model!$K94:BM94)),0)</f>
        <v>0</v>
      </c>
      <c r="BN94" s="1" t="n">
        <f aca="false">IF($D$38=1,MAX(0,SUM(Model!$K47:BN47)+SUM(Model!$K94:BN94)),0)</f>
        <v>0</v>
      </c>
      <c r="BO94" s="1" t="n">
        <f aca="false">IF($D$38=1,MAX(0,SUM(Model!$K47:BO47)+SUM(Model!$K94:BO94)),0)</f>
        <v>0</v>
      </c>
      <c r="BP94" s="1" t="n">
        <f aca="false">IF($D$38=1,MAX(0,SUM(Model!$K47:BP47)+SUM(Model!$K94:BP94)),0)</f>
        <v>0</v>
      </c>
      <c r="BQ94" s="1" t="n">
        <f aca="false">IF($D$38=1,MAX(0,SUM(Model!$K47:BQ47)+SUM(Model!$K94:BQ94)),0)</f>
        <v>0</v>
      </c>
      <c r="BR94" s="1" t="n">
        <f aca="false">IF($D$38=1,MAX(0,SUM(Model!$K47:BR47)+SUM(Model!$K94:BR94)),0)</f>
        <v>0</v>
      </c>
      <c r="BS94" s="1" t="n">
        <f aca="false">IF($D$38=1,MAX(0,SUM(Model!$K47:BS47)+SUM(Model!$K94:BS94)),0)</f>
        <v>0</v>
      </c>
      <c r="BT94" s="1" t="n">
        <f aca="false">IF($D$38=1,MAX(0,SUM(Model!$K47:BT47)+SUM(Model!$K94:BT94)),0)</f>
        <v>0</v>
      </c>
      <c r="BU94" s="1" t="n">
        <f aca="false">IF($D$38=1,MAX(0,SUM(Model!$K47:BU47)+SUM(Model!$K94:BU94)),0)</f>
        <v>0</v>
      </c>
      <c r="BV94" s="1" t="n">
        <f aca="false">IF($D$38=1,MAX(0,SUM(Model!$K47:BV47)+SUM(Model!$K94:BV94)),0)</f>
        <v>0</v>
      </c>
      <c r="BW94" s="1" t="n">
        <f aca="false">IF($D$38=1,MAX(0,SUM(Model!$K47:BW47)+SUM(Model!$K94:BW94)),0)</f>
        <v>0</v>
      </c>
      <c r="BX94" s="1" t="n">
        <f aca="false">IF($D$38=1,MAX(0,SUM(Model!$K47:BX47)+SUM(Model!$K94:BX94)),0)</f>
        <v>0</v>
      </c>
      <c r="BY94" s="1" t="n">
        <f aca="false">IF($D$38=1,MAX(0,SUM(Model!$K47:BY47)+SUM(Model!$K94:BY94)),0)</f>
        <v>0</v>
      </c>
      <c r="BZ94" s="1" t="n">
        <f aca="false">IF($D$38=1,MAX(0,SUM(Model!$K47:BZ47)+SUM(Model!$K94:BZ94)),0)</f>
        <v>0</v>
      </c>
      <c r="CA94" s="1" t="n">
        <f aca="false">IF($D$38=1,MAX(0,SUM(Model!$K47:CA47)+SUM(Model!$K94:CA94)),0)</f>
        <v>0</v>
      </c>
      <c r="CB94" s="1" t="n">
        <f aca="false">IF($D$38=1,MAX(0,SUM(Model!$K47:CB47)+SUM(Model!$K94:CB94)),0)</f>
        <v>0</v>
      </c>
      <c r="CC94" s="1" t="n">
        <f aca="false">IF($D$38=1,MAX(0,SUM(Model!$K47:CC47)+SUM(Model!$K94:CC94)),0)</f>
        <v>0</v>
      </c>
      <c r="CD94" s="1" t="n">
        <f aca="false">IF($D$38=1,MAX(0,SUM(Model!$K47:CD47)+SUM(Model!$K94:CD94)),0)</f>
        <v>0</v>
      </c>
      <c r="CE94" s="1" t="n">
        <f aca="false">IF($D$38=1,MAX(0,SUM(Model!$K47:CE47)+SUM(Model!$K94:CE94)),0)</f>
        <v>0</v>
      </c>
      <c r="CF94" s="1" t="n">
        <f aca="false">IF($D$38=1,MAX(0,SUM(Model!$K47:CF47)+SUM(Model!$K94:CF94)),0)</f>
        <v>0</v>
      </c>
      <c r="CG94" s="1" t="n">
        <f aca="false">IF($D$38=1,MAX(0,SUM(Model!$K47:CG47)+SUM(Model!$K94:CG94)),0)</f>
        <v>0</v>
      </c>
      <c r="CH94" s="1" t="n">
        <f aca="false">IF($D$38=1,MAX(0,SUM(Model!$K47:CH47)+SUM(Model!$K94:CH94)),0)</f>
        <v>0</v>
      </c>
      <c r="CI94" s="1" t="n">
        <f aca="false">IF($D$38=1,MAX(0,SUM(Model!$K47:CI47)+SUM(Model!$K94:CI94)),0)</f>
        <v>0</v>
      </c>
      <c r="CJ94" s="1" t="n">
        <f aca="false">IF($D$38=1,MAX(0,SUM(Model!$K47:CJ47)+SUM(Model!$K94:CJ94)),0)</f>
        <v>0</v>
      </c>
      <c r="CK94" s="1" t="n">
        <f aca="false">IF($D$38=1,MAX(0,SUM(Model!$K47:CK47)+SUM(Model!$K94:CK94)),0)</f>
        <v>0</v>
      </c>
      <c r="CL94" s="1" t="n">
        <f aca="false">IF($D$38=1,MAX(0,SUM(Model!$K47:CL47)+SUM(Model!$K94:CL94)),0)</f>
        <v>0</v>
      </c>
      <c r="CM94" s="1" t="n">
        <f aca="false">IF($D$38=1,MAX(0,SUM(Model!$K47:CM47)+SUM(Model!$K94:CM94)),0)</f>
        <v>0</v>
      </c>
      <c r="CN94" s="1" t="n">
        <f aca="false">IF($D$38=1,MAX(0,SUM(Model!$K47:CN47)+SUM(Model!$K94:CN94)),0)</f>
        <v>0</v>
      </c>
      <c r="CO94" s="1" t="n">
        <f aca="false">IF($D$38=1,MAX(0,SUM(Model!$K47:CO47)+SUM(Model!$K94:CO94)),0)</f>
        <v>0</v>
      </c>
      <c r="CP94" s="1" t="n">
        <f aca="false">IF($D$38=1,MAX(0,SUM(Model!$K47:CP47)+SUM(Model!$K94:CP94)),0)</f>
        <v>0</v>
      </c>
      <c r="CQ94" s="1" t="n">
        <f aca="false">IF($D$38=1,MAX(0,SUM(Model!$K47:CQ47)+SUM(Model!$K94:CQ94)),0)</f>
        <v>0</v>
      </c>
      <c r="CR94" s="1" t="n">
        <f aca="false">IF($D$38=1,MAX(0,SUM(Model!$K47:CR47)+SUM(Model!$K94:CR94)),0)</f>
        <v>0</v>
      </c>
      <c r="CS94" s="1" t="n">
        <f aca="false">IF($D$38=1,MAX(0,SUM(Model!$K47:CS47)+SUM(Model!$K94:CS94)),0)</f>
        <v>0</v>
      </c>
      <c r="CT94" s="1" t="n">
        <f aca="false">IF($D$38=1,MAX(0,SUM(Model!$K47:CT47)+SUM(Model!$K94:CT94)),0)</f>
        <v>0</v>
      </c>
      <c r="CU94" s="1" t="n">
        <f aca="false">IF($D$38=1,MAX(0,SUM(Model!$K47:CU47)+SUM(Model!$K94:CU94)),0)</f>
        <v>0</v>
      </c>
      <c r="CV94" s="1" t="n">
        <f aca="false">IF($D$38=1,MAX(0,SUM(Model!$K47:CV47)+SUM(Model!$K94:CV94)),0)</f>
        <v>0</v>
      </c>
      <c r="CW94" s="1" t="n">
        <f aca="false">IF($D$38=1,MAX(0,SUM(Model!$K47:CW47)+SUM(Model!$K94:CW94)),0)</f>
        <v>0</v>
      </c>
      <c r="CX94" s="1" t="n">
        <f aca="false">IF($D$38=1,MAX(0,SUM(Model!$K47:CX47)+SUM(Model!$K94:CX94)),0)</f>
        <v>0</v>
      </c>
      <c r="CY94" s="1" t="n">
        <f aca="false">IF($D$38=1,MAX(0,SUM(Model!$K47:CY47)+SUM(Model!$K94:CY94)),0)</f>
        <v>0</v>
      </c>
      <c r="CZ94" s="1" t="n">
        <f aca="false">IF($D$38=1,MAX(0,SUM(Model!$K47:CZ47)+SUM(Model!$K94:CZ94)),0)</f>
        <v>0</v>
      </c>
      <c r="DA94" s="1" t="n">
        <f aca="false">IF($D$38=1,MAX(0,SUM(Model!$K47:DA47)+SUM(Model!$K94:DA94)),0)</f>
        <v>0</v>
      </c>
      <c r="DB94" s="1" t="n">
        <f aca="false">IF($D$38=1,MAX(0,SUM(Model!$K47:DB47)+SUM(Model!$K94:DB94)),0)</f>
        <v>0</v>
      </c>
      <c r="DC94" s="1" t="n">
        <f aca="false">IF($D$38=1,MAX(0,SUM(Model!$K47:DC47)+SUM(Model!$K94:DC94)),0)</f>
        <v>0</v>
      </c>
      <c r="DD94" s="1" t="n">
        <f aca="false">IF($D$38=1,MAX(0,SUM(Model!$K47:DD47)+SUM(Model!$K94:DD94)),0)</f>
        <v>0</v>
      </c>
      <c r="DE94" s="1" t="n">
        <f aca="false">IF($D$38=1,MAX(0,SUM(Model!$K47:DE47)+SUM(Model!$K94:DE94)),0)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v>0</v>
      </c>
      <c r="K95" s="1" t="n">
        <f aca="false">IF($D$39=1,MAX(0,SUM(Model!$K48:K48)+SUM(Model!$K95:K95)),0)</f>
        <v>0</v>
      </c>
      <c r="L95" s="1" t="n">
        <f aca="false">IF($D$39=1,MAX(0,SUM(Model!$K48:L48)+SUM(Model!$K95:L95)),0)</f>
        <v>0</v>
      </c>
      <c r="M95" s="1" t="n">
        <f aca="false">IF($D$39=1,MAX(0,SUM(Model!$K48:M48)+SUM(Model!$K95:M95)),0)</f>
        <v>0</v>
      </c>
      <c r="N95" s="1" t="n">
        <f aca="false">IF($D$39=1,MAX(0,SUM(Model!$K48:N48)+SUM(Model!$K95:N95)),0)</f>
        <v>0</v>
      </c>
      <c r="O95" s="1" t="n">
        <f aca="false">IF($D$39=1,MAX(0,SUM(Model!$K48:O48)+SUM(Model!$K95:O95)),0)</f>
        <v>0</v>
      </c>
      <c r="P95" s="1" t="n">
        <f aca="false">IF($D$39=1,MAX(0,SUM(Model!$K48:P48)+SUM(Model!$K95:P95)),0)</f>
        <v>0</v>
      </c>
      <c r="Q95" s="1" t="n">
        <f aca="false">IF($D$39=1,MAX(0,SUM(Model!$K48:Q48)+SUM(Model!$K95:Q95)),0)</f>
        <v>0</v>
      </c>
      <c r="R95" s="1" t="n">
        <f aca="false">IF($D$39=1,MAX(0,SUM(Model!$K48:R48)+SUM(Model!$K95:R95)),0)</f>
        <v>0</v>
      </c>
      <c r="S95" s="1" t="n">
        <f aca="false">IF($D$39=1,MAX(0,SUM(Model!$K48:S48)+SUM(Model!$K95:S95)),0)</f>
        <v>0</v>
      </c>
      <c r="T95" s="1" t="n">
        <f aca="false">IF($D$39=1,MAX(0,SUM(Model!$K48:T48)+SUM(Model!$K95:T95)),0)</f>
        <v>0</v>
      </c>
      <c r="U95" s="1" t="n">
        <f aca="false">IF($D$39=1,MAX(0,SUM(Model!$K48:U48)+SUM(Model!$K95:U95)),0)</f>
        <v>0</v>
      </c>
      <c r="V95" s="1" t="n">
        <f aca="false">IF($D$39=1,MAX(0,SUM(Model!$K48:V48)+SUM(Model!$K95:V95)),0)</f>
        <v>0</v>
      </c>
      <c r="W95" s="1" t="n">
        <f aca="false">IF($D$39=1,MAX(0,SUM(Model!$K48:W48)+SUM(Model!$K95:W95)),0)</f>
        <v>0</v>
      </c>
      <c r="X95" s="1" t="n">
        <f aca="false">IF($D$39=1,MAX(0,SUM(Model!$K48:X48)+SUM(Model!$K95:X95)),0)</f>
        <v>0</v>
      </c>
      <c r="Y95" s="1" t="n">
        <f aca="false">IF($D$39=1,MAX(0,SUM(Model!$K48:Y48)+SUM(Model!$K95:Y95)),0)</f>
        <v>0</v>
      </c>
      <c r="Z95" s="1" t="n">
        <f aca="false">IF($D$39=1,MAX(0,SUM(Model!$K48:Z48)+SUM(Model!$K95:Z95)),0)</f>
        <v>0</v>
      </c>
      <c r="AA95" s="1" t="n">
        <f aca="false">IF($D$39=1,MAX(0,SUM(Model!$K48:AA48)+SUM(Model!$K95:AA95)),0)</f>
        <v>0</v>
      </c>
      <c r="AB95" s="1" t="n">
        <f aca="false">IF($D$39=1,MAX(0,SUM(Model!$K48:AB48)+SUM(Model!$K95:AB95)),0)</f>
        <v>0</v>
      </c>
      <c r="AC95" s="1" t="n">
        <f aca="false">IF($D$39=1,MAX(0,SUM(Model!$K48:AC48)+SUM(Model!$K95:AC95)),0)</f>
        <v>0</v>
      </c>
      <c r="AD95" s="1" t="n">
        <f aca="false">IF($D$39=1,MAX(0,SUM(Model!$K48:AD48)+SUM(Model!$K95:AD95)),0)</f>
        <v>0</v>
      </c>
      <c r="AE95" s="1" t="n">
        <f aca="false">IF($D$39=1,MAX(0,SUM(Model!$K48:AE48)+SUM(Model!$K95:AE95)),0)</f>
        <v>0</v>
      </c>
      <c r="AF95" s="1" t="n">
        <f aca="false">IF($D$39=1,MAX(0,SUM(Model!$K48:AF48)+SUM(Model!$K95:AF95)),0)</f>
        <v>0</v>
      </c>
      <c r="AG95" s="1" t="n">
        <f aca="false">IF($D$39=1,MAX(0,SUM(Model!$K48:AG48)+SUM(Model!$K95:AG95)),0)</f>
        <v>0</v>
      </c>
      <c r="AH95" s="1" t="n">
        <f aca="false">IF($D$39=1,MAX(0,SUM(Model!$K48:AH48)+SUM(Model!$K95:AH95)),0)</f>
        <v>0</v>
      </c>
      <c r="AI95" s="1" t="n">
        <f aca="false">IF($D$39=1,MAX(0,SUM(Model!$K48:AI48)+SUM(Model!$K95:AI95)),0)</f>
        <v>0</v>
      </c>
      <c r="AJ95" s="1" t="n">
        <f aca="false">IF($D$39=1,MAX(0,SUM(Model!$K48:AJ48)+SUM(Model!$K95:AJ95)),0)</f>
        <v>0</v>
      </c>
      <c r="AK95" s="1" t="n">
        <f aca="false">IF($D$39=1,MAX(0,SUM(Model!$K48:AK48)+SUM(Model!$K95:AK95)),0)</f>
        <v>0</v>
      </c>
      <c r="AL95" s="1" t="n">
        <f aca="false">IF($D$39=1,MAX(0,SUM(Model!$K48:AL48)+SUM(Model!$K95:AL95)),0)</f>
        <v>0</v>
      </c>
      <c r="AM95" s="1" t="n">
        <f aca="false">IF($D$39=1,MAX(0,SUM(Model!$K48:AM48)+SUM(Model!$K95:AM95)),0)</f>
        <v>0</v>
      </c>
      <c r="AN95" s="1" t="n">
        <f aca="false">IF($D$39=1,MAX(0,SUM(Model!$K48:AN48)+SUM(Model!$K95:AN95)),0)</f>
        <v>0</v>
      </c>
      <c r="AO95" s="1" t="n">
        <f aca="false">IF($D$39=1,MAX(0,SUM(Model!$K48:AO48)+SUM(Model!$K95:AO95)),0)</f>
        <v>0</v>
      </c>
      <c r="AP95" s="1" t="n">
        <f aca="false">IF($D$39=1,MAX(0,SUM(Model!$K48:AP48)+SUM(Model!$K95:AP95)),0)</f>
        <v>0</v>
      </c>
      <c r="AQ95" s="1" t="n">
        <f aca="false">IF($D$39=1,MAX(0,SUM(Model!$K48:AQ48)+SUM(Model!$K95:AQ95)),0)</f>
        <v>0</v>
      </c>
      <c r="AR95" s="1" t="n">
        <f aca="false">IF($D$39=1,MAX(0,SUM(Model!$K48:AR48)+SUM(Model!$K95:AR95)),0)</f>
        <v>0</v>
      </c>
      <c r="AS95" s="1" t="n">
        <f aca="false">IF($D$39=1,MAX(0,SUM(Model!$K48:AS48)+SUM(Model!$K95:AS95)),0)</f>
        <v>0</v>
      </c>
      <c r="AT95" s="1" t="n">
        <f aca="false">IF($D$39=1,MAX(0,SUM(Model!$K48:AT48)+SUM(Model!$K95:AT95)),0)</f>
        <v>0</v>
      </c>
      <c r="AU95" s="1" t="n">
        <f aca="false">IF($D$39=1,MAX(0,SUM(Model!$K48:AU48)+SUM(Model!$K95:AU95)),0)</f>
        <v>0</v>
      </c>
      <c r="AV95" s="1" t="n">
        <f aca="false">IF($D$39=1,MAX(0,SUM(Model!$K48:AV48)+SUM(Model!$K95:AV95)),0)</f>
        <v>0</v>
      </c>
      <c r="AW95" s="1" t="n">
        <f aca="false">IF($D$39=1,MAX(0,SUM(Model!$K48:AW48)+SUM(Model!$K95:AW95)),0)</f>
        <v>0</v>
      </c>
      <c r="AX95" s="1" t="n">
        <f aca="false">IF($D$39=1,MAX(0,SUM(Model!$K48:AX48)+SUM(Model!$K95:AX95)),0)</f>
        <v>0</v>
      </c>
      <c r="AY95" s="1" t="n">
        <f aca="false">IF($D$39=1,MAX(0,SUM(Model!$K48:AY48)+SUM(Model!$K95:AY95)),0)</f>
        <v>0</v>
      </c>
      <c r="AZ95" s="1" t="n">
        <f aca="false">IF($D$39=1,MAX(0,SUM(Model!$K48:AZ48)+SUM(Model!$K95:AZ95)),0)</f>
        <v>0</v>
      </c>
      <c r="BA95" s="1" t="n">
        <f aca="false">IF($D$39=1,MAX(0,SUM(Model!$K48:BA48)+SUM(Model!$K95:BA95)),0)</f>
        <v>0</v>
      </c>
      <c r="BB95" s="1" t="n">
        <f aca="false">IF($D$39=1,MAX(0,SUM(Model!$K48:BB48)+SUM(Model!$K95:BB95)),0)</f>
        <v>0</v>
      </c>
      <c r="BC95" s="1" t="n">
        <f aca="false">IF($D$39=1,MAX(0,SUM(Model!$K48:BC48)+SUM(Model!$K95:BC95)),0)</f>
        <v>0</v>
      </c>
      <c r="BD95" s="1" t="n">
        <f aca="false">IF($D$39=1,MAX(0,SUM(Model!$K48:BD48)+SUM(Model!$K95:BD95)),0)</f>
        <v>0</v>
      </c>
      <c r="BE95" s="1" t="n">
        <f aca="false">IF($D$39=1,MAX(0,SUM(Model!$K48:BE48)+SUM(Model!$K95:BE95)),0)</f>
        <v>0</v>
      </c>
      <c r="BF95" s="1" t="n">
        <f aca="false">IF($D$39=1,MAX(0,SUM(Model!$K48:BF48)+SUM(Model!$K95:BF95)),0)</f>
        <v>0</v>
      </c>
      <c r="BG95" s="1" t="n">
        <f aca="false">IF($D$39=1,MAX(0,SUM(Model!$K48:BG48)+SUM(Model!$K95:BG95)),0)</f>
        <v>0</v>
      </c>
      <c r="BH95" s="1" t="n">
        <f aca="false">IF($D$39=1,MAX(0,SUM(Model!$K48:BH48)+SUM(Model!$K95:BH95)),0)</f>
        <v>0</v>
      </c>
      <c r="BI95" s="1" t="n">
        <f aca="false">IF($D$39=1,MAX(0,SUM(Model!$K48:BI48)+SUM(Model!$K95:BI95)),0)</f>
        <v>0</v>
      </c>
      <c r="BJ95" s="1" t="n">
        <f aca="false">IF($D$39=1,MAX(0,SUM(Model!$K48:BJ48)+SUM(Model!$K95:BJ95)),0)</f>
        <v>0</v>
      </c>
      <c r="BK95" s="1" t="n">
        <f aca="false">IF($D$39=1,MAX(0,SUM(Model!$K48:BK48)+SUM(Model!$K95:BK95)),0)</f>
        <v>0</v>
      </c>
      <c r="BL95" s="1" t="n">
        <f aca="false">IF($D$39=1,MAX(0,SUM(Model!$K48:BL48)+SUM(Model!$K95:BL95)),0)</f>
        <v>0</v>
      </c>
      <c r="BM95" s="1" t="n">
        <f aca="false">IF($D$39=1,MAX(0,SUM(Model!$K48:BM48)+SUM(Model!$K95:BM95)),0)</f>
        <v>0</v>
      </c>
      <c r="BN95" s="1" t="n">
        <f aca="false">IF($D$39=1,MAX(0,SUM(Model!$K48:BN48)+SUM(Model!$K95:BN95)),0)</f>
        <v>0</v>
      </c>
      <c r="BO95" s="1" t="n">
        <f aca="false">IF($D$39=1,MAX(0,SUM(Model!$K48:BO48)+SUM(Model!$K95:BO95)),0)</f>
        <v>0</v>
      </c>
      <c r="BP95" s="1" t="n">
        <f aca="false">IF($D$39=1,MAX(0,SUM(Model!$K48:BP48)+SUM(Model!$K95:BP95)),0)</f>
        <v>0</v>
      </c>
      <c r="BQ95" s="1" t="n">
        <f aca="false">IF($D$39=1,MAX(0,SUM(Model!$K48:BQ48)+SUM(Model!$K95:BQ95)),0)</f>
        <v>0</v>
      </c>
      <c r="BR95" s="1" t="n">
        <f aca="false">IF($D$39=1,MAX(0,SUM(Model!$K48:BR48)+SUM(Model!$K95:BR95)),0)</f>
        <v>0</v>
      </c>
      <c r="BS95" s="1" t="n">
        <f aca="false">IF($D$39=1,MAX(0,SUM(Model!$K48:BS48)+SUM(Model!$K95:BS95)),0)</f>
        <v>0</v>
      </c>
      <c r="BT95" s="1" t="n">
        <f aca="false">IF($D$39=1,MAX(0,SUM(Model!$K48:BT48)+SUM(Model!$K95:BT95)),0)</f>
        <v>0</v>
      </c>
      <c r="BU95" s="1" t="n">
        <f aca="false">IF($D$39=1,MAX(0,SUM(Model!$K48:BU48)+SUM(Model!$K95:BU95)),0)</f>
        <v>0</v>
      </c>
      <c r="BV95" s="1" t="n">
        <f aca="false">IF($D$39=1,MAX(0,SUM(Model!$K48:BV48)+SUM(Model!$K95:BV95)),0)</f>
        <v>0</v>
      </c>
      <c r="BW95" s="1" t="n">
        <f aca="false">IF($D$39=1,MAX(0,SUM(Model!$K48:BW48)+SUM(Model!$K95:BW95)),0)</f>
        <v>0</v>
      </c>
      <c r="BX95" s="1" t="n">
        <f aca="false">IF($D$39=1,MAX(0,SUM(Model!$K48:BX48)+SUM(Model!$K95:BX95)),0)</f>
        <v>0</v>
      </c>
      <c r="BY95" s="1" t="n">
        <f aca="false">IF($D$39=1,MAX(0,SUM(Model!$K48:BY48)+SUM(Model!$K95:BY95)),0)</f>
        <v>0</v>
      </c>
      <c r="BZ95" s="1" t="n">
        <f aca="false">IF($D$39=1,MAX(0,SUM(Model!$K48:BZ48)+SUM(Model!$K95:BZ95)),0)</f>
        <v>0</v>
      </c>
      <c r="CA95" s="1" t="n">
        <f aca="false">IF($D$39=1,MAX(0,SUM(Model!$K48:CA48)+SUM(Model!$K95:CA95)),0)</f>
        <v>0</v>
      </c>
      <c r="CB95" s="1" t="n">
        <f aca="false">IF($D$39=1,MAX(0,SUM(Model!$K48:CB48)+SUM(Model!$K95:CB95)),0)</f>
        <v>0</v>
      </c>
      <c r="CC95" s="1" t="n">
        <f aca="false">IF($D$39=1,MAX(0,SUM(Model!$K48:CC48)+SUM(Model!$K95:CC95)),0)</f>
        <v>0</v>
      </c>
      <c r="CD95" s="1" t="n">
        <f aca="false">IF($D$39=1,MAX(0,SUM(Model!$K48:CD48)+SUM(Model!$K95:CD95)),0)</f>
        <v>0</v>
      </c>
      <c r="CE95" s="1" t="n">
        <f aca="false">IF($D$39=1,MAX(0,SUM(Model!$K48:CE48)+SUM(Model!$K95:CE95)),0)</f>
        <v>0</v>
      </c>
      <c r="CF95" s="1" t="n">
        <f aca="false">IF($D$39=1,MAX(0,SUM(Model!$K48:CF48)+SUM(Model!$K95:CF95)),0)</f>
        <v>0</v>
      </c>
      <c r="CG95" s="1" t="n">
        <f aca="false">IF($D$39=1,MAX(0,SUM(Model!$K48:CG48)+SUM(Model!$K95:CG95)),0)</f>
        <v>0</v>
      </c>
      <c r="CH95" s="1" t="n">
        <f aca="false">IF($D$39=1,MAX(0,SUM(Model!$K48:CH48)+SUM(Model!$K95:CH95)),0)</f>
        <v>0</v>
      </c>
      <c r="CI95" s="1" t="n">
        <f aca="false">IF($D$39=1,MAX(0,SUM(Model!$K48:CI48)+SUM(Model!$K95:CI95)),0)</f>
        <v>0</v>
      </c>
      <c r="CJ95" s="1" t="n">
        <f aca="false">IF($D$39=1,MAX(0,SUM(Model!$K48:CJ48)+SUM(Model!$K95:CJ95)),0)</f>
        <v>0</v>
      </c>
      <c r="CK95" s="1" t="n">
        <f aca="false">IF($D$39=1,MAX(0,SUM(Model!$K48:CK48)+SUM(Model!$K95:CK95)),0)</f>
        <v>0</v>
      </c>
      <c r="CL95" s="1" t="n">
        <f aca="false">IF($D$39=1,MAX(0,SUM(Model!$K48:CL48)+SUM(Model!$K95:CL95)),0)</f>
        <v>0</v>
      </c>
      <c r="CM95" s="1" t="n">
        <f aca="false">IF($D$39=1,MAX(0,SUM(Model!$K48:CM48)+SUM(Model!$K95:CM95)),0)</f>
        <v>0</v>
      </c>
      <c r="CN95" s="1" t="n">
        <f aca="false">IF($D$39=1,MAX(0,SUM(Model!$K48:CN48)+SUM(Model!$K95:CN95)),0)</f>
        <v>0</v>
      </c>
      <c r="CO95" s="1" t="n">
        <f aca="false">IF($D$39=1,MAX(0,SUM(Model!$K48:CO48)+SUM(Model!$K95:CO95)),0)</f>
        <v>0</v>
      </c>
      <c r="CP95" s="1" t="n">
        <f aca="false">IF($D$39=1,MAX(0,SUM(Model!$K48:CP48)+SUM(Model!$K95:CP95)),0)</f>
        <v>0</v>
      </c>
      <c r="CQ95" s="1" t="n">
        <f aca="false">IF($D$39=1,MAX(0,SUM(Model!$K48:CQ48)+SUM(Model!$K95:CQ95)),0)</f>
        <v>0</v>
      </c>
      <c r="CR95" s="1" t="n">
        <f aca="false">IF($D$39=1,MAX(0,SUM(Model!$K48:CR48)+SUM(Model!$K95:CR95)),0)</f>
        <v>0</v>
      </c>
      <c r="CS95" s="1" t="n">
        <f aca="false">IF($D$39=1,MAX(0,SUM(Model!$K48:CS48)+SUM(Model!$K95:CS95)),0)</f>
        <v>0</v>
      </c>
      <c r="CT95" s="1" t="n">
        <f aca="false">IF($D$39=1,MAX(0,SUM(Model!$K48:CT48)+SUM(Model!$K95:CT95)),0)</f>
        <v>0</v>
      </c>
      <c r="CU95" s="1" t="n">
        <f aca="false">IF($D$39=1,MAX(0,SUM(Model!$K48:CU48)+SUM(Model!$K95:CU95)),0)</f>
        <v>0</v>
      </c>
      <c r="CV95" s="1" t="n">
        <f aca="false">IF($D$39=1,MAX(0,SUM(Model!$K48:CV48)+SUM(Model!$K95:CV95)),0)</f>
        <v>0</v>
      </c>
      <c r="CW95" s="1" t="n">
        <f aca="false">IF($D$39=1,MAX(0,SUM(Model!$K48:CW48)+SUM(Model!$K95:CW95)),0)</f>
        <v>0</v>
      </c>
      <c r="CX95" s="1" t="n">
        <f aca="false">IF($D$39=1,MAX(0,SUM(Model!$K48:CX48)+SUM(Model!$K95:CX95)),0)</f>
        <v>0</v>
      </c>
      <c r="CY95" s="1" t="n">
        <f aca="false">IF($D$39=1,MAX(0,SUM(Model!$K48:CY48)+SUM(Model!$K95:CY95)),0)</f>
        <v>0</v>
      </c>
      <c r="CZ95" s="1" t="n">
        <f aca="false">IF($D$39=1,MAX(0,SUM(Model!$K48:CZ48)+SUM(Model!$K95:CZ95)),0)</f>
        <v>0</v>
      </c>
      <c r="DA95" s="1" t="n">
        <f aca="false">IF($D$39=1,MAX(0,SUM(Model!$K48:DA48)+SUM(Model!$K95:DA95)),0)</f>
        <v>0</v>
      </c>
      <c r="DB95" s="1" t="n">
        <f aca="false">IF($D$39=1,MAX(0,SUM(Model!$K48:DB48)+SUM(Model!$K95:DB95)),0)</f>
        <v>0</v>
      </c>
      <c r="DC95" s="1" t="n">
        <f aca="false">IF($D$39=1,MAX(0,SUM(Model!$K48:DC48)+SUM(Model!$K95:DC95)),0)</f>
        <v>0</v>
      </c>
      <c r="DD95" s="1" t="n">
        <f aca="false">IF($D$39=1,MAX(0,SUM(Model!$K48:DD48)+SUM(Model!$K95:DD95)),0)</f>
        <v>0</v>
      </c>
      <c r="DE95" s="1" t="n">
        <f aca="false">IF($D$39=1,MAX(0,SUM(Model!$K48:DE48)+SUM(Model!$K95:DE95)),0)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v>0</v>
      </c>
      <c r="K96" s="1" t="n">
        <f aca="false">IF($D$40=1,MAX(0,SUM(Model!$K49:K49)+SUM(Model!$K96:K96)),0)</f>
        <v>0</v>
      </c>
      <c r="L96" s="1" t="n">
        <f aca="false">IF($D$40=1,MAX(0,SUM(Model!$K49:L49)+SUM(Model!$K96:L96)),0)</f>
        <v>0</v>
      </c>
      <c r="M96" s="1" t="n">
        <f aca="false">IF($D$40=1,MAX(0,SUM(Model!$K49:M49)+SUM(Model!$K96:M96)),0)</f>
        <v>0</v>
      </c>
      <c r="N96" s="1" t="n">
        <f aca="false">IF($D$40=1,MAX(0,SUM(Model!$K49:N49)+SUM(Model!$K96:N96)),0)</f>
        <v>0</v>
      </c>
      <c r="O96" s="1" t="n">
        <f aca="false">IF($D$40=1,MAX(0,SUM(Model!$K49:O49)+SUM(Model!$K96:O96)),0)</f>
        <v>0</v>
      </c>
      <c r="P96" s="1" t="n">
        <f aca="false">IF($D$40=1,MAX(0,SUM(Model!$K49:P49)+SUM(Model!$K96:P96)),0)</f>
        <v>0</v>
      </c>
      <c r="Q96" s="1" t="n">
        <f aca="false">IF($D$40=1,MAX(0,SUM(Model!$K49:Q49)+SUM(Model!$K96:Q96)),0)</f>
        <v>0</v>
      </c>
      <c r="R96" s="1" t="n">
        <f aca="false">IF($D$40=1,MAX(0,SUM(Model!$K49:R49)+SUM(Model!$K96:R96)),0)</f>
        <v>0</v>
      </c>
      <c r="S96" s="1" t="n">
        <f aca="false">IF($D$40=1,MAX(0,SUM(Model!$K49:S49)+SUM(Model!$K96:S96)),0)</f>
        <v>0</v>
      </c>
      <c r="T96" s="1" t="n">
        <f aca="false">IF($D$40=1,MAX(0,SUM(Model!$K49:T49)+SUM(Model!$K96:T96)),0)</f>
        <v>0</v>
      </c>
      <c r="U96" s="1" t="n">
        <f aca="false">IF($D$40=1,MAX(0,SUM(Model!$K49:U49)+SUM(Model!$K96:U96)),0)</f>
        <v>0</v>
      </c>
      <c r="V96" s="1" t="n">
        <f aca="false">IF($D$40=1,MAX(0,SUM(Model!$K49:V49)+SUM(Model!$K96:V96)),0)</f>
        <v>0</v>
      </c>
      <c r="W96" s="1" t="n">
        <f aca="false">IF($D$40=1,MAX(0,SUM(Model!$K49:W49)+SUM(Model!$K96:W96)),0)</f>
        <v>0</v>
      </c>
      <c r="X96" s="1" t="n">
        <f aca="false">IF($D$40=1,MAX(0,SUM(Model!$K49:X49)+SUM(Model!$K96:X96)),0)</f>
        <v>0</v>
      </c>
      <c r="Y96" s="1" t="n">
        <f aca="false">IF($D$40=1,MAX(0,SUM(Model!$K49:Y49)+SUM(Model!$K96:Y96)),0)</f>
        <v>0</v>
      </c>
      <c r="Z96" s="1" t="n">
        <f aca="false">IF($D$40=1,MAX(0,SUM(Model!$K49:Z49)+SUM(Model!$K96:Z96)),0)</f>
        <v>0</v>
      </c>
      <c r="AA96" s="1" t="n">
        <f aca="false">IF($D$40=1,MAX(0,SUM(Model!$K49:AA49)+SUM(Model!$K96:AA96)),0)</f>
        <v>0</v>
      </c>
      <c r="AB96" s="1" t="n">
        <f aca="false">IF($D$40=1,MAX(0,SUM(Model!$K49:AB49)+SUM(Model!$K96:AB96)),0)</f>
        <v>0</v>
      </c>
      <c r="AC96" s="1" t="n">
        <f aca="false">IF($D$40=1,MAX(0,SUM(Model!$K49:AC49)+SUM(Model!$K96:AC96)),0)</f>
        <v>0</v>
      </c>
      <c r="AD96" s="1" t="n">
        <f aca="false">IF($D$40=1,MAX(0,SUM(Model!$K49:AD49)+SUM(Model!$K96:AD96)),0)</f>
        <v>0</v>
      </c>
      <c r="AE96" s="1" t="n">
        <f aca="false">IF($D$40=1,MAX(0,SUM(Model!$K49:AE49)+SUM(Model!$K96:AE96)),0)</f>
        <v>0</v>
      </c>
      <c r="AF96" s="1" t="n">
        <f aca="false">IF($D$40=1,MAX(0,SUM(Model!$K49:AF49)+SUM(Model!$K96:AF96)),0)</f>
        <v>0</v>
      </c>
      <c r="AG96" s="1" t="n">
        <f aca="false">IF($D$40=1,MAX(0,SUM(Model!$K49:AG49)+SUM(Model!$K96:AG96)),0)</f>
        <v>0</v>
      </c>
      <c r="AH96" s="1" t="n">
        <f aca="false">IF($D$40=1,MAX(0,SUM(Model!$K49:AH49)+SUM(Model!$K96:AH96)),0)</f>
        <v>0</v>
      </c>
      <c r="AI96" s="1" t="n">
        <f aca="false">IF($D$40=1,MAX(0,SUM(Model!$K49:AI49)+SUM(Model!$K96:AI96)),0)</f>
        <v>0</v>
      </c>
      <c r="AJ96" s="1" t="n">
        <f aca="false">IF($D$40=1,MAX(0,SUM(Model!$K49:AJ49)+SUM(Model!$K96:AJ96)),0)</f>
        <v>0</v>
      </c>
      <c r="AK96" s="1" t="n">
        <f aca="false">IF($D$40=1,MAX(0,SUM(Model!$K49:AK49)+SUM(Model!$K96:AK96)),0)</f>
        <v>0</v>
      </c>
      <c r="AL96" s="1" t="n">
        <f aca="false">IF($D$40=1,MAX(0,SUM(Model!$K49:AL49)+SUM(Model!$K96:AL96)),0)</f>
        <v>0</v>
      </c>
      <c r="AM96" s="1" t="n">
        <f aca="false">IF($D$40=1,MAX(0,SUM(Model!$K49:AM49)+SUM(Model!$K96:AM96)),0)</f>
        <v>0</v>
      </c>
      <c r="AN96" s="1" t="n">
        <f aca="false">IF($D$40=1,MAX(0,SUM(Model!$K49:AN49)+SUM(Model!$K96:AN96)),0)</f>
        <v>0</v>
      </c>
      <c r="AO96" s="1" t="n">
        <f aca="false">IF($D$40=1,MAX(0,SUM(Model!$K49:AO49)+SUM(Model!$K96:AO96)),0)</f>
        <v>0</v>
      </c>
      <c r="AP96" s="1" t="n">
        <f aca="false">IF($D$40=1,MAX(0,SUM(Model!$K49:AP49)+SUM(Model!$K96:AP96)),0)</f>
        <v>0</v>
      </c>
      <c r="AQ96" s="1" t="n">
        <f aca="false">IF($D$40=1,MAX(0,SUM(Model!$K49:AQ49)+SUM(Model!$K96:AQ96)),0)</f>
        <v>0</v>
      </c>
      <c r="AR96" s="1" t="n">
        <f aca="false">IF($D$40=1,MAX(0,SUM(Model!$K49:AR49)+SUM(Model!$K96:AR96)),0)</f>
        <v>0</v>
      </c>
      <c r="AS96" s="1" t="n">
        <f aca="false">IF($D$40=1,MAX(0,SUM(Model!$K49:AS49)+SUM(Model!$K96:AS96)),0)</f>
        <v>0</v>
      </c>
      <c r="AT96" s="1" t="n">
        <f aca="false">IF($D$40=1,MAX(0,SUM(Model!$K49:AT49)+SUM(Model!$K96:AT96)),0)</f>
        <v>0</v>
      </c>
      <c r="AU96" s="1" t="n">
        <f aca="false">IF($D$40=1,MAX(0,SUM(Model!$K49:AU49)+SUM(Model!$K96:AU96)),0)</f>
        <v>0</v>
      </c>
      <c r="AV96" s="1" t="n">
        <f aca="false">IF($D$40=1,MAX(0,SUM(Model!$K49:AV49)+SUM(Model!$K96:AV96)),0)</f>
        <v>0</v>
      </c>
      <c r="AW96" s="1" t="n">
        <f aca="false">IF($D$40=1,MAX(0,SUM(Model!$K49:AW49)+SUM(Model!$K96:AW96)),0)</f>
        <v>0</v>
      </c>
      <c r="AX96" s="1" t="n">
        <f aca="false">IF($D$40=1,MAX(0,SUM(Model!$K49:AX49)+SUM(Model!$K96:AX96)),0)</f>
        <v>0</v>
      </c>
      <c r="AY96" s="1" t="n">
        <f aca="false">IF($D$40=1,MAX(0,SUM(Model!$K49:AY49)+SUM(Model!$K96:AY96)),0)</f>
        <v>0</v>
      </c>
      <c r="AZ96" s="1" t="n">
        <f aca="false">IF($D$40=1,MAX(0,SUM(Model!$K49:AZ49)+SUM(Model!$K96:AZ96)),0)</f>
        <v>0</v>
      </c>
      <c r="BA96" s="1" t="n">
        <f aca="false">IF($D$40=1,MAX(0,SUM(Model!$K49:BA49)+SUM(Model!$K96:BA96)),0)</f>
        <v>0</v>
      </c>
      <c r="BB96" s="1" t="n">
        <f aca="false">IF($D$40=1,MAX(0,SUM(Model!$K49:BB49)+SUM(Model!$K96:BB96)),0)</f>
        <v>0</v>
      </c>
      <c r="BC96" s="1" t="n">
        <f aca="false">IF($D$40=1,MAX(0,SUM(Model!$K49:BC49)+SUM(Model!$K96:BC96)),0)</f>
        <v>0</v>
      </c>
      <c r="BD96" s="1" t="n">
        <f aca="false">IF($D$40=1,MAX(0,SUM(Model!$K49:BD49)+SUM(Model!$K96:BD96)),0)</f>
        <v>0</v>
      </c>
      <c r="BE96" s="1" t="n">
        <f aca="false">IF($D$40=1,MAX(0,SUM(Model!$K49:BE49)+SUM(Model!$K96:BE96)),0)</f>
        <v>0</v>
      </c>
      <c r="BF96" s="1" t="n">
        <f aca="false">IF($D$40=1,MAX(0,SUM(Model!$K49:BF49)+SUM(Model!$K96:BF96)),0)</f>
        <v>0</v>
      </c>
      <c r="BG96" s="1" t="n">
        <f aca="false">IF($D$40=1,MAX(0,SUM(Model!$K49:BG49)+SUM(Model!$K96:BG96)),0)</f>
        <v>0</v>
      </c>
      <c r="BH96" s="1" t="n">
        <f aca="false">IF($D$40=1,MAX(0,SUM(Model!$K49:BH49)+SUM(Model!$K96:BH96)),0)</f>
        <v>0</v>
      </c>
      <c r="BI96" s="1" t="n">
        <f aca="false">IF($D$40=1,MAX(0,SUM(Model!$K49:BI49)+SUM(Model!$K96:BI96)),0)</f>
        <v>0</v>
      </c>
      <c r="BJ96" s="1" t="n">
        <f aca="false">IF($D$40=1,MAX(0,SUM(Model!$K49:BJ49)+SUM(Model!$K96:BJ96)),0)</f>
        <v>0</v>
      </c>
      <c r="BK96" s="1" t="n">
        <f aca="false">IF($D$40=1,MAX(0,SUM(Model!$K49:BK49)+SUM(Model!$K96:BK96)),0)</f>
        <v>0</v>
      </c>
      <c r="BL96" s="1" t="n">
        <f aca="false">IF($D$40=1,MAX(0,SUM(Model!$K49:BL49)+SUM(Model!$K96:BL96)),0)</f>
        <v>0</v>
      </c>
      <c r="BM96" s="1" t="n">
        <f aca="false">IF($D$40=1,MAX(0,SUM(Model!$K49:BM49)+SUM(Model!$K96:BM96)),0)</f>
        <v>0</v>
      </c>
      <c r="BN96" s="1" t="n">
        <f aca="false">IF($D$40=1,MAX(0,SUM(Model!$K49:BN49)+SUM(Model!$K96:BN96)),0)</f>
        <v>0</v>
      </c>
      <c r="BO96" s="1" t="n">
        <f aca="false">IF($D$40=1,MAX(0,SUM(Model!$K49:BO49)+SUM(Model!$K96:BO96)),0)</f>
        <v>0</v>
      </c>
      <c r="BP96" s="1" t="n">
        <f aca="false">IF($D$40=1,MAX(0,SUM(Model!$K49:BP49)+SUM(Model!$K96:BP96)),0)</f>
        <v>0</v>
      </c>
      <c r="BQ96" s="1" t="n">
        <f aca="false">IF($D$40=1,MAX(0,SUM(Model!$K49:BQ49)+SUM(Model!$K96:BQ96)),0)</f>
        <v>0</v>
      </c>
      <c r="BR96" s="1" t="n">
        <f aca="false">IF($D$40=1,MAX(0,SUM(Model!$K49:BR49)+SUM(Model!$K96:BR96)),0)</f>
        <v>0</v>
      </c>
      <c r="BS96" s="1" t="n">
        <f aca="false">IF($D$40=1,MAX(0,SUM(Model!$K49:BS49)+SUM(Model!$K96:BS96)),0)</f>
        <v>0</v>
      </c>
      <c r="BT96" s="1" t="n">
        <f aca="false">IF($D$40=1,MAX(0,SUM(Model!$K49:BT49)+SUM(Model!$K96:BT96)),0)</f>
        <v>0</v>
      </c>
      <c r="BU96" s="1" t="n">
        <f aca="false">IF($D$40=1,MAX(0,SUM(Model!$K49:BU49)+SUM(Model!$K96:BU96)),0)</f>
        <v>0</v>
      </c>
      <c r="BV96" s="1" t="n">
        <f aca="false">IF($D$40=1,MAX(0,SUM(Model!$K49:BV49)+SUM(Model!$K96:BV96)),0)</f>
        <v>0</v>
      </c>
      <c r="BW96" s="1" t="n">
        <f aca="false">IF($D$40=1,MAX(0,SUM(Model!$K49:BW49)+SUM(Model!$K96:BW96)),0)</f>
        <v>0</v>
      </c>
      <c r="BX96" s="1" t="n">
        <f aca="false">IF($D$40=1,MAX(0,SUM(Model!$K49:BX49)+SUM(Model!$K96:BX96)),0)</f>
        <v>0</v>
      </c>
      <c r="BY96" s="1" t="n">
        <f aca="false">IF($D$40=1,MAX(0,SUM(Model!$K49:BY49)+SUM(Model!$K96:BY96)),0)</f>
        <v>0</v>
      </c>
      <c r="BZ96" s="1" t="n">
        <f aca="false">IF($D$40=1,MAX(0,SUM(Model!$K49:BZ49)+SUM(Model!$K96:BZ96)),0)</f>
        <v>0</v>
      </c>
      <c r="CA96" s="1" t="n">
        <f aca="false">IF($D$40=1,MAX(0,SUM(Model!$K49:CA49)+SUM(Model!$K96:CA96)),0)</f>
        <v>0</v>
      </c>
      <c r="CB96" s="1" t="n">
        <f aca="false">IF($D$40=1,MAX(0,SUM(Model!$K49:CB49)+SUM(Model!$K96:CB96)),0)</f>
        <v>0</v>
      </c>
      <c r="CC96" s="1" t="n">
        <f aca="false">IF($D$40=1,MAX(0,SUM(Model!$K49:CC49)+SUM(Model!$K96:CC96)),0)</f>
        <v>0</v>
      </c>
      <c r="CD96" s="1" t="n">
        <f aca="false">IF($D$40=1,MAX(0,SUM(Model!$K49:CD49)+SUM(Model!$K96:CD96)),0)</f>
        <v>0</v>
      </c>
      <c r="CE96" s="1" t="n">
        <f aca="false">IF($D$40=1,MAX(0,SUM(Model!$K49:CE49)+SUM(Model!$K96:CE96)),0)</f>
        <v>0</v>
      </c>
      <c r="CF96" s="1" t="n">
        <f aca="false">IF($D$40=1,MAX(0,SUM(Model!$K49:CF49)+SUM(Model!$K96:CF96)),0)</f>
        <v>0</v>
      </c>
      <c r="CG96" s="1" t="n">
        <f aca="false">IF($D$40=1,MAX(0,SUM(Model!$K49:CG49)+SUM(Model!$K96:CG96)),0)</f>
        <v>0</v>
      </c>
      <c r="CH96" s="1" t="n">
        <f aca="false">IF($D$40=1,MAX(0,SUM(Model!$K49:CH49)+SUM(Model!$K96:CH96)),0)</f>
        <v>0</v>
      </c>
      <c r="CI96" s="1" t="n">
        <f aca="false">IF($D$40=1,MAX(0,SUM(Model!$K49:CI49)+SUM(Model!$K96:CI96)),0)</f>
        <v>0</v>
      </c>
      <c r="CJ96" s="1" t="n">
        <f aca="false">IF($D$40=1,MAX(0,SUM(Model!$K49:CJ49)+SUM(Model!$K96:CJ96)),0)</f>
        <v>0</v>
      </c>
      <c r="CK96" s="1" t="n">
        <f aca="false">IF($D$40=1,MAX(0,SUM(Model!$K49:CK49)+SUM(Model!$K96:CK96)),0)</f>
        <v>0</v>
      </c>
      <c r="CL96" s="1" t="n">
        <f aca="false">IF($D$40=1,MAX(0,SUM(Model!$K49:CL49)+SUM(Model!$K96:CL96)),0)</f>
        <v>0</v>
      </c>
      <c r="CM96" s="1" t="n">
        <f aca="false">IF($D$40=1,MAX(0,SUM(Model!$K49:CM49)+SUM(Model!$K96:CM96)),0)</f>
        <v>0</v>
      </c>
      <c r="CN96" s="1" t="n">
        <f aca="false">IF($D$40=1,MAX(0,SUM(Model!$K49:CN49)+SUM(Model!$K96:CN96)),0)</f>
        <v>0</v>
      </c>
      <c r="CO96" s="1" t="n">
        <f aca="false">IF($D$40=1,MAX(0,SUM(Model!$K49:CO49)+SUM(Model!$K96:CO96)),0)</f>
        <v>0</v>
      </c>
      <c r="CP96" s="1" t="n">
        <f aca="false">IF($D$40=1,MAX(0,SUM(Model!$K49:CP49)+SUM(Model!$K96:CP96)),0)</f>
        <v>0</v>
      </c>
      <c r="CQ96" s="1" t="n">
        <f aca="false">IF($D$40=1,MAX(0,SUM(Model!$K49:CQ49)+SUM(Model!$K96:CQ96)),0)</f>
        <v>0</v>
      </c>
      <c r="CR96" s="1" t="n">
        <f aca="false">IF($D$40=1,MAX(0,SUM(Model!$K49:CR49)+SUM(Model!$K96:CR96)),0)</f>
        <v>0</v>
      </c>
      <c r="CS96" s="1" t="n">
        <f aca="false">IF($D$40=1,MAX(0,SUM(Model!$K49:CS49)+SUM(Model!$K96:CS96)),0)</f>
        <v>0</v>
      </c>
      <c r="CT96" s="1" t="n">
        <f aca="false">IF($D$40=1,MAX(0,SUM(Model!$K49:CT49)+SUM(Model!$K96:CT96)),0)</f>
        <v>0</v>
      </c>
      <c r="CU96" s="1" t="n">
        <f aca="false">IF($D$40=1,MAX(0,SUM(Model!$K49:CU49)+SUM(Model!$K96:CU96)),0)</f>
        <v>0</v>
      </c>
      <c r="CV96" s="1" t="n">
        <f aca="false">IF($D$40=1,MAX(0,SUM(Model!$K49:CV49)+SUM(Model!$K96:CV96)),0)</f>
        <v>0</v>
      </c>
      <c r="CW96" s="1" t="n">
        <f aca="false">IF($D$40=1,MAX(0,SUM(Model!$K49:CW49)+SUM(Model!$K96:CW96)),0)</f>
        <v>0</v>
      </c>
      <c r="CX96" s="1" t="n">
        <f aca="false">IF($D$40=1,MAX(0,SUM(Model!$K49:CX49)+SUM(Model!$K96:CX96)),0)</f>
        <v>0</v>
      </c>
      <c r="CY96" s="1" t="n">
        <f aca="false">IF($D$40=1,MAX(0,SUM(Model!$K49:CY49)+SUM(Model!$K96:CY96)),0)</f>
        <v>0</v>
      </c>
      <c r="CZ96" s="1" t="n">
        <f aca="false">IF($D$40=1,MAX(0,SUM(Model!$K49:CZ49)+SUM(Model!$K96:CZ96)),0)</f>
        <v>0</v>
      </c>
      <c r="DA96" s="1" t="n">
        <f aca="false">IF($D$40=1,MAX(0,SUM(Model!$K49:DA49)+SUM(Model!$K96:DA96)),0)</f>
        <v>0</v>
      </c>
      <c r="DB96" s="1" t="n">
        <f aca="false">IF($D$40=1,MAX(0,SUM(Model!$K49:DB49)+SUM(Model!$K96:DB96)),0)</f>
        <v>0</v>
      </c>
      <c r="DC96" s="1" t="n">
        <f aca="false">IF($D$40=1,MAX(0,SUM(Model!$K49:DC49)+SUM(Model!$K96:DC96)),0)</f>
        <v>0</v>
      </c>
      <c r="DD96" s="1" t="n">
        <f aca="false">IF($D$40=1,MAX(0,SUM(Model!$K49:DD49)+SUM(Model!$K96:DD96)),0)</f>
        <v>0</v>
      </c>
      <c r="DE96" s="1" t="n">
        <f aca="false">IF($D$40=1,MAX(0,SUM(Model!$K49:DE49)+SUM(Model!$K96:DE96)),0)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v>0</v>
      </c>
      <c r="K97" s="1" t="n">
        <f aca="false">IF($D$41=1,MAX(0,SUM(Model!$K50:K50)+SUM(Model!$K97:K97)),0)</f>
        <v>0</v>
      </c>
      <c r="L97" s="1" t="n">
        <f aca="false">IF($D$41=1,MAX(0,SUM(Model!$K50:L50)+SUM(Model!$K97:L97)),0)</f>
        <v>0</v>
      </c>
      <c r="M97" s="1" t="n">
        <f aca="false">IF($D$41=1,MAX(0,SUM(Model!$K50:M50)+SUM(Model!$K97:M97)),0)</f>
        <v>0</v>
      </c>
      <c r="N97" s="1" t="n">
        <f aca="false">IF($D$41=1,MAX(0,SUM(Model!$K50:N50)+SUM(Model!$K97:N97)),0)</f>
        <v>0</v>
      </c>
      <c r="O97" s="1" t="n">
        <f aca="false">IF($D$41=1,MAX(0,SUM(Model!$K50:O50)+SUM(Model!$K97:O97)),0)</f>
        <v>0</v>
      </c>
      <c r="P97" s="1" t="n">
        <f aca="false">IF($D$41=1,MAX(0,SUM(Model!$K50:P50)+SUM(Model!$K97:P97)),0)</f>
        <v>0</v>
      </c>
      <c r="Q97" s="1" t="n">
        <f aca="false">IF($D$41=1,MAX(0,SUM(Model!$K50:Q50)+SUM(Model!$K97:Q97)),0)</f>
        <v>0</v>
      </c>
      <c r="R97" s="1" t="n">
        <f aca="false">IF($D$41=1,MAX(0,SUM(Model!$K50:R50)+SUM(Model!$K97:R97)),0)</f>
        <v>0</v>
      </c>
      <c r="S97" s="1" t="n">
        <f aca="false">IF($D$41=1,MAX(0,SUM(Model!$K50:S50)+SUM(Model!$K97:S97)),0)</f>
        <v>0</v>
      </c>
      <c r="T97" s="1" t="n">
        <f aca="false">IF($D$41=1,MAX(0,SUM(Model!$K50:T50)+SUM(Model!$K97:T97)),0)</f>
        <v>0</v>
      </c>
      <c r="U97" s="1" t="n">
        <f aca="false">IF($D$41=1,MAX(0,SUM(Model!$K50:U50)+SUM(Model!$K97:U97)),0)</f>
        <v>0</v>
      </c>
      <c r="V97" s="1" t="n">
        <f aca="false">IF($D$41=1,MAX(0,SUM(Model!$K50:V50)+SUM(Model!$K97:V97)),0)</f>
        <v>0</v>
      </c>
      <c r="W97" s="1" t="n">
        <f aca="false">IF($D$41=1,MAX(0,SUM(Model!$K50:W50)+SUM(Model!$K97:W97)),0)</f>
        <v>0</v>
      </c>
      <c r="X97" s="1" t="n">
        <f aca="false">IF($D$41=1,MAX(0,SUM(Model!$K50:X50)+SUM(Model!$K97:X97)),0)</f>
        <v>0</v>
      </c>
      <c r="Y97" s="1" t="n">
        <f aca="false">IF($D$41=1,MAX(0,SUM(Model!$K50:Y50)+SUM(Model!$K97:Y97)),0)</f>
        <v>0</v>
      </c>
      <c r="Z97" s="1" t="n">
        <f aca="false">IF($D$41=1,MAX(0,SUM(Model!$K50:Z50)+SUM(Model!$K97:Z97)),0)</f>
        <v>0</v>
      </c>
      <c r="AA97" s="1" t="n">
        <f aca="false">IF($D$41=1,MAX(0,SUM(Model!$K50:AA50)+SUM(Model!$K97:AA97)),0)</f>
        <v>0</v>
      </c>
      <c r="AB97" s="1" t="n">
        <f aca="false">IF($D$41=1,MAX(0,SUM(Model!$K50:AB50)+SUM(Model!$K97:AB97)),0)</f>
        <v>0</v>
      </c>
      <c r="AC97" s="1" t="n">
        <f aca="false">IF($D$41=1,MAX(0,SUM(Model!$K50:AC50)+SUM(Model!$K97:AC97)),0)</f>
        <v>0</v>
      </c>
      <c r="AD97" s="1" t="n">
        <f aca="false">IF($D$41=1,MAX(0,SUM(Model!$K50:AD50)+SUM(Model!$K97:AD97)),0)</f>
        <v>0</v>
      </c>
      <c r="AE97" s="1" t="n">
        <f aca="false">IF($D$41=1,MAX(0,SUM(Model!$K50:AE50)+SUM(Model!$K97:AE97)),0)</f>
        <v>0</v>
      </c>
      <c r="AF97" s="1" t="n">
        <f aca="false">IF($D$41=1,MAX(0,SUM(Model!$K50:AF50)+SUM(Model!$K97:AF97)),0)</f>
        <v>0</v>
      </c>
      <c r="AG97" s="1" t="n">
        <f aca="false">IF($D$41=1,MAX(0,SUM(Model!$K50:AG50)+SUM(Model!$K97:AG97)),0)</f>
        <v>0</v>
      </c>
      <c r="AH97" s="1" t="n">
        <f aca="false">IF($D$41=1,MAX(0,SUM(Model!$K50:AH50)+SUM(Model!$K97:AH97)),0)</f>
        <v>0</v>
      </c>
      <c r="AI97" s="1" t="n">
        <f aca="false">IF($D$41=1,MAX(0,SUM(Model!$K50:AI50)+SUM(Model!$K97:AI97)),0)</f>
        <v>0</v>
      </c>
      <c r="AJ97" s="1" t="n">
        <f aca="false">IF($D$41=1,MAX(0,SUM(Model!$K50:AJ50)+SUM(Model!$K97:AJ97)),0)</f>
        <v>0</v>
      </c>
      <c r="AK97" s="1" t="n">
        <f aca="false">IF($D$41=1,MAX(0,SUM(Model!$K50:AK50)+SUM(Model!$K97:AK97)),0)</f>
        <v>0</v>
      </c>
      <c r="AL97" s="1" t="n">
        <f aca="false">IF($D$41=1,MAX(0,SUM(Model!$K50:AL50)+SUM(Model!$K97:AL97)),0)</f>
        <v>0</v>
      </c>
      <c r="AM97" s="1" t="n">
        <f aca="false">IF($D$41=1,MAX(0,SUM(Model!$K50:AM50)+SUM(Model!$K97:AM97)),0)</f>
        <v>0</v>
      </c>
      <c r="AN97" s="1" t="n">
        <f aca="false">IF($D$41=1,MAX(0,SUM(Model!$K50:AN50)+SUM(Model!$K97:AN97)),0)</f>
        <v>0</v>
      </c>
      <c r="AO97" s="1" t="n">
        <f aca="false">IF($D$41=1,MAX(0,SUM(Model!$K50:AO50)+SUM(Model!$K97:AO97)),0)</f>
        <v>0</v>
      </c>
      <c r="AP97" s="1" t="n">
        <f aca="false">IF($D$41=1,MAX(0,SUM(Model!$K50:AP50)+SUM(Model!$K97:AP97)),0)</f>
        <v>0</v>
      </c>
      <c r="AQ97" s="1" t="n">
        <f aca="false">IF($D$41=1,MAX(0,SUM(Model!$K50:AQ50)+SUM(Model!$K97:AQ97)),0)</f>
        <v>0</v>
      </c>
      <c r="AR97" s="1" t="n">
        <f aca="false">IF($D$41=1,MAX(0,SUM(Model!$K50:AR50)+SUM(Model!$K97:AR97)),0)</f>
        <v>0</v>
      </c>
      <c r="AS97" s="1" t="n">
        <f aca="false">IF($D$41=1,MAX(0,SUM(Model!$K50:AS50)+SUM(Model!$K97:AS97)),0)</f>
        <v>0</v>
      </c>
      <c r="AT97" s="1" t="n">
        <f aca="false">IF($D$41=1,MAX(0,SUM(Model!$K50:AT50)+SUM(Model!$K97:AT97)),0)</f>
        <v>0</v>
      </c>
      <c r="AU97" s="1" t="n">
        <f aca="false">IF($D$41=1,MAX(0,SUM(Model!$K50:AU50)+SUM(Model!$K97:AU97)),0)</f>
        <v>0</v>
      </c>
      <c r="AV97" s="1" t="n">
        <f aca="false">IF($D$41=1,MAX(0,SUM(Model!$K50:AV50)+SUM(Model!$K97:AV97)),0)</f>
        <v>0</v>
      </c>
      <c r="AW97" s="1" t="n">
        <f aca="false">IF($D$41=1,MAX(0,SUM(Model!$K50:AW50)+SUM(Model!$K97:AW97)),0)</f>
        <v>0</v>
      </c>
      <c r="AX97" s="1" t="n">
        <f aca="false">IF($D$41=1,MAX(0,SUM(Model!$K50:AX50)+SUM(Model!$K97:AX97)),0)</f>
        <v>0</v>
      </c>
      <c r="AY97" s="1" t="n">
        <f aca="false">IF($D$41=1,MAX(0,SUM(Model!$K50:AY50)+SUM(Model!$K97:AY97)),0)</f>
        <v>0</v>
      </c>
      <c r="AZ97" s="1" t="n">
        <f aca="false">IF($D$41=1,MAX(0,SUM(Model!$K50:AZ50)+SUM(Model!$K97:AZ97)),0)</f>
        <v>0</v>
      </c>
      <c r="BA97" s="1" t="n">
        <f aca="false">IF($D$41=1,MAX(0,SUM(Model!$K50:BA50)+SUM(Model!$K97:BA97)),0)</f>
        <v>0</v>
      </c>
      <c r="BB97" s="1" t="n">
        <f aca="false">IF($D$41=1,MAX(0,SUM(Model!$K50:BB50)+SUM(Model!$K97:BB97)),0)</f>
        <v>0</v>
      </c>
      <c r="BC97" s="1" t="n">
        <f aca="false">IF($D$41=1,MAX(0,SUM(Model!$K50:BC50)+SUM(Model!$K97:BC97)),0)</f>
        <v>0</v>
      </c>
      <c r="BD97" s="1" t="n">
        <f aca="false">IF($D$41=1,MAX(0,SUM(Model!$K50:BD50)+SUM(Model!$K97:BD97)),0)</f>
        <v>0</v>
      </c>
      <c r="BE97" s="1" t="n">
        <f aca="false">IF($D$41=1,MAX(0,SUM(Model!$K50:BE50)+SUM(Model!$K97:BE97)),0)</f>
        <v>0</v>
      </c>
      <c r="BF97" s="1" t="n">
        <f aca="false">IF($D$41=1,MAX(0,SUM(Model!$K50:BF50)+SUM(Model!$K97:BF97)),0)</f>
        <v>0</v>
      </c>
      <c r="BG97" s="1" t="n">
        <f aca="false">IF($D$41=1,MAX(0,SUM(Model!$K50:BG50)+SUM(Model!$K97:BG97)),0)</f>
        <v>0</v>
      </c>
      <c r="BH97" s="1" t="n">
        <f aca="false">IF($D$41=1,MAX(0,SUM(Model!$K50:BH50)+SUM(Model!$K97:BH97)),0)</f>
        <v>0</v>
      </c>
      <c r="BI97" s="1" t="n">
        <f aca="false">IF($D$41=1,MAX(0,SUM(Model!$K50:BI50)+SUM(Model!$K97:BI97)),0)</f>
        <v>0</v>
      </c>
      <c r="BJ97" s="1" t="n">
        <f aca="false">IF($D$41=1,MAX(0,SUM(Model!$K50:BJ50)+SUM(Model!$K97:BJ97)),0)</f>
        <v>0</v>
      </c>
      <c r="BK97" s="1" t="n">
        <f aca="false">IF($D$41=1,MAX(0,SUM(Model!$K50:BK50)+SUM(Model!$K97:BK97)),0)</f>
        <v>0</v>
      </c>
      <c r="BL97" s="1" t="n">
        <f aca="false">IF($D$41=1,MAX(0,SUM(Model!$K50:BL50)+SUM(Model!$K97:BL97)),0)</f>
        <v>0</v>
      </c>
      <c r="BM97" s="1" t="n">
        <f aca="false">IF($D$41=1,MAX(0,SUM(Model!$K50:BM50)+SUM(Model!$K97:BM97)),0)</f>
        <v>0</v>
      </c>
      <c r="BN97" s="1" t="n">
        <f aca="false">IF($D$41=1,MAX(0,SUM(Model!$K50:BN50)+SUM(Model!$K97:BN97)),0)</f>
        <v>0</v>
      </c>
      <c r="BO97" s="1" t="n">
        <f aca="false">IF($D$41=1,MAX(0,SUM(Model!$K50:BO50)+SUM(Model!$K97:BO97)),0)</f>
        <v>0</v>
      </c>
      <c r="BP97" s="1" t="n">
        <f aca="false">IF($D$41=1,MAX(0,SUM(Model!$K50:BP50)+SUM(Model!$K97:BP97)),0)</f>
        <v>0</v>
      </c>
      <c r="BQ97" s="1" t="n">
        <f aca="false">IF($D$41=1,MAX(0,SUM(Model!$K50:BQ50)+SUM(Model!$K97:BQ97)),0)</f>
        <v>0</v>
      </c>
      <c r="BR97" s="1" t="n">
        <f aca="false">IF($D$41=1,MAX(0,SUM(Model!$K50:BR50)+SUM(Model!$K97:BR97)),0)</f>
        <v>0</v>
      </c>
      <c r="BS97" s="1" t="n">
        <f aca="false">IF($D$41=1,MAX(0,SUM(Model!$K50:BS50)+SUM(Model!$K97:BS97)),0)</f>
        <v>0</v>
      </c>
      <c r="BT97" s="1" t="n">
        <f aca="false">IF($D$41=1,MAX(0,SUM(Model!$K50:BT50)+SUM(Model!$K97:BT97)),0)</f>
        <v>0</v>
      </c>
      <c r="BU97" s="1" t="n">
        <f aca="false">IF($D$41=1,MAX(0,SUM(Model!$K50:BU50)+SUM(Model!$K97:BU97)),0)</f>
        <v>0</v>
      </c>
      <c r="BV97" s="1" t="n">
        <f aca="false">IF($D$41=1,MAX(0,SUM(Model!$K50:BV50)+SUM(Model!$K97:BV97)),0)</f>
        <v>0</v>
      </c>
      <c r="BW97" s="1" t="n">
        <f aca="false">IF($D$41=1,MAX(0,SUM(Model!$K50:BW50)+SUM(Model!$K97:BW97)),0)</f>
        <v>0</v>
      </c>
      <c r="BX97" s="1" t="n">
        <f aca="false">IF($D$41=1,MAX(0,SUM(Model!$K50:BX50)+SUM(Model!$K97:BX97)),0)</f>
        <v>0</v>
      </c>
      <c r="BY97" s="1" t="n">
        <f aca="false">IF($D$41=1,MAX(0,SUM(Model!$K50:BY50)+SUM(Model!$K97:BY97)),0)</f>
        <v>0</v>
      </c>
      <c r="BZ97" s="1" t="n">
        <f aca="false">IF($D$41=1,MAX(0,SUM(Model!$K50:BZ50)+SUM(Model!$K97:BZ97)),0)</f>
        <v>0</v>
      </c>
      <c r="CA97" s="1" t="n">
        <f aca="false">IF($D$41=1,MAX(0,SUM(Model!$K50:CA50)+SUM(Model!$K97:CA97)),0)</f>
        <v>0</v>
      </c>
      <c r="CB97" s="1" t="n">
        <f aca="false">IF($D$41=1,MAX(0,SUM(Model!$K50:CB50)+SUM(Model!$K97:CB97)),0)</f>
        <v>0</v>
      </c>
      <c r="CC97" s="1" t="n">
        <f aca="false">IF($D$41=1,MAX(0,SUM(Model!$K50:CC50)+SUM(Model!$K97:CC97)),0)</f>
        <v>0</v>
      </c>
      <c r="CD97" s="1" t="n">
        <f aca="false">IF($D$41=1,MAX(0,SUM(Model!$K50:CD50)+SUM(Model!$K97:CD97)),0)</f>
        <v>0</v>
      </c>
      <c r="CE97" s="1" t="n">
        <f aca="false">IF($D$41=1,MAX(0,SUM(Model!$K50:CE50)+SUM(Model!$K97:CE97)),0)</f>
        <v>0</v>
      </c>
      <c r="CF97" s="1" t="n">
        <f aca="false">IF($D$41=1,MAX(0,SUM(Model!$K50:CF50)+SUM(Model!$K97:CF97)),0)</f>
        <v>0</v>
      </c>
      <c r="CG97" s="1" t="n">
        <f aca="false">IF($D$41=1,MAX(0,SUM(Model!$K50:CG50)+SUM(Model!$K97:CG97)),0)</f>
        <v>0</v>
      </c>
      <c r="CH97" s="1" t="n">
        <f aca="false">IF($D$41=1,MAX(0,SUM(Model!$K50:CH50)+SUM(Model!$K97:CH97)),0)</f>
        <v>0</v>
      </c>
      <c r="CI97" s="1" t="n">
        <f aca="false">IF($D$41=1,MAX(0,SUM(Model!$K50:CI50)+SUM(Model!$K97:CI97)),0)</f>
        <v>0</v>
      </c>
      <c r="CJ97" s="1" t="n">
        <f aca="false">IF($D$41=1,MAX(0,SUM(Model!$K50:CJ50)+SUM(Model!$K97:CJ97)),0)</f>
        <v>0</v>
      </c>
      <c r="CK97" s="1" t="n">
        <f aca="false">IF($D$41=1,MAX(0,SUM(Model!$K50:CK50)+SUM(Model!$K97:CK97)),0)</f>
        <v>0</v>
      </c>
      <c r="CL97" s="1" t="n">
        <f aca="false">IF($D$41=1,MAX(0,SUM(Model!$K50:CL50)+SUM(Model!$K97:CL97)),0)</f>
        <v>0</v>
      </c>
      <c r="CM97" s="1" t="n">
        <f aca="false">IF($D$41=1,MAX(0,SUM(Model!$K50:CM50)+SUM(Model!$K97:CM97)),0)</f>
        <v>0</v>
      </c>
      <c r="CN97" s="1" t="n">
        <f aca="false">IF($D$41=1,MAX(0,SUM(Model!$K50:CN50)+SUM(Model!$K97:CN97)),0)</f>
        <v>0</v>
      </c>
      <c r="CO97" s="1" t="n">
        <f aca="false">IF($D$41=1,MAX(0,SUM(Model!$K50:CO50)+SUM(Model!$K97:CO97)),0)</f>
        <v>0</v>
      </c>
      <c r="CP97" s="1" t="n">
        <f aca="false">IF($D$41=1,MAX(0,SUM(Model!$K50:CP50)+SUM(Model!$K97:CP97)),0)</f>
        <v>0</v>
      </c>
      <c r="CQ97" s="1" t="n">
        <f aca="false">IF($D$41=1,MAX(0,SUM(Model!$K50:CQ50)+SUM(Model!$K97:CQ97)),0)</f>
        <v>0</v>
      </c>
      <c r="CR97" s="1" t="n">
        <f aca="false">IF($D$41=1,MAX(0,SUM(Model!$K50:CR50)+SUM(Model!$K97:CR97)),0)</f>
        <v>0</v>
      </c>
      <c r="CS97" s="1" t="n">
        <f aca="false">IF($D$41=1,MAX(0,SUM(Model!$K50:CS50)+SUM(Model!$K97:CS97)),0)</f>
        <v>0</v>
      </c>
      <c r="CT97" s="1" t="n">
        <f aca="false">IF($D$41=1,MAX(0,SUM(Model!$K50:CT50)+SUM(Model!$K97:CT97)),0)</f>
        <v>0</v>
      </c>
      <c r="CU97" s="1" t="n">
        <f aca="false">IF($D$41=1,MAX(0,SUM(Model!$K50:CU50)+SUM(Model!$K97:CU97)),0)</f>
        <v>0</v>
      </c>
      <c r="CV97" s="1" t="n">
        <f aca="false">IF($D$41=1,MAX(0,SUM(Model!$K50:CV50)+SUM(Model!$K97:CV97)),0)</f>
        <v>0</v>
      </c>
      <c r="CW97" s="1" t="n">
        <f aca="false">IF($D$41=1,MAX(0,SUM(Model!$K50:CW50)+SUM(Model!$K97:CW97)),0)</f>
        <v>0</v>
      </c>
      <c r="CX97" s="1" t="n">
        <f aca="false">IF($D$41=1,MAX(0,SUM(Model!$K50:CX50)+SUM(Model!$K97:CX97)),0)</f>
        <v>0</v>
      </c>
      <c r="CY97" s="1" t="n">
        <f aca="false">IF($D$41=1,MAX(0,SUM(Model!$K50:CY50)+SUM(Model!$K97:CY97)),0)</f>
        <v>0</v>
      </c>
      <c r="CZ97" s="1" t="n">
        <f aca="false">IF($D$41=1,MAX(0,SUM(Model!$K50:CZ50)+SUM(Model!$K97:CZ97)),0)</f>
        <v>0</v>
      </c>
      <c r="DA97" s="1" t="n">
        <f aca="false">IF($D$41=1,MAX(0,SUM(Model!$K50:DA50)+SUM(Model!$K97:DA97)),0)</f>
        <v>0</v>
      </c>
      <c r="DB97" s="1" t="n">
        <f aca="false">IF($D$41=1,MAX(0,SUM(Model!$K50:DB50)+SUM(Model!$K97:DB97)),0)</f>
        <v>0</v>
      </c>
      <c r="DC97" s="1" t="n">
        <f aca="false">IF($D$41=1,MAX(0,SUM(Model!$K50:DC50)+SUM(Model!$K97:DC97)),0)</f>
        <v>0</v>
      </c>
      <c r="DD97" s="1" t="n">
        <f aca="false">IF($D$41=1,MAX(0,SUM(Model!$K50:DD50)+SUM(Model!$K97:DD97)),0)</f>
        <v>0</v>
      </c>
      <c r="DE97" s="1" t="n">
        <f aca="false">IF($D$41=1,MAX(0,SUM(Model!$K50:DE50)+SUM(Model!$K97:DE97)),0)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v>0</v>
      </c>
      <c r="K98" s="1" t="n">
        <f aca="false">IF($D$42=1,MAX(0,SUM(Model!$K51:K51)+SUM(Model!$K98:K98)),0)</f>
        <v>0</v>
      </c>
      <c r="L98" s="1" t="n">
        <f aca="false">IF($D$42=1,MAX(0,SUM(Model!$K51:L51)+SUM(Model!$K98:L98)),0)</f>
        <v>0</v>
      </c>
      <c r="M98" s="1" t="n">
        <f aca="false">IF($D$42=1,MAX(0,SUM(Model!$K51:M51)+SUM(Model!$K98:M98)),0)</f>
        <v>0</v>
      </c>
      <c r="N98" s="1" t="n">
        <f aca="false">IF($D$42=1,MAX(0,SUM(Model!$K51:N51)+SUM(Model!$K98:N98)),0)</f>
        <v>0</v>
      </c>
      <c r="O98" s="1" t="n">
        <f aca="false">IF($D$42=1,MAX(0,SUM(Model!$K51:O51)+SUM(Model!$K98:O98)),0)</f>
        <v>0</v>
      </c>
      <c r="P98" s="1" t="n">
        <f aca="false">IF($D$42=1,MAX(0,SUM(Model!$K51:P51)+SUM(Model!$K98:P98)),0)</f>
        <v>0</v>
      </c>
      <c r="Q98" s="1" t="n">
        <f aca="false">IF($D$42=1,MAX(0,SUM(Model!$K51:Q51)+SUM(Model!$K98:Q98)),0)</f>
        <v>0</v>
      </c>
      <c r="R98" s="1" t="n">
        <f aca="false">IF($D$42=1,MAX(0,SUM(Model!$K51:R51)+SUM(Model!$K98:R98)),0)</f>
        <v>0</v>
      </c>
      <c r="S98" s="1" t="n">
        <f aca="false">IF($D$42=1,MAX(0,SUM(Model!$K51:S51)+SUM(Model!$K98:S98)),0)</f>
        <v>0</v>
      </c>
      <c r="T98" s="1" t="n">
        <f aca="false">IF($D$42=1,MAX(0,SUM(Model!$K51:T51)+SUM(Model!$K98:T98)),0)</f>
        <v>0</v>
      </c>
      <c r="U98" s="1" t="n">
        <f aca="false">IF($D$42=1,MAX(0,SUM(Model!$K51:U51)+SUM(Model!$K98:U98)),0)</f>
        <v>0</v>
      </c>
      <c r="V98" s="1" t="n">
        <f aca="false">IF($D$42=1,MAX(0,SUM(Model!$K51:V51)+SUM(Model!$K98:V98)),0)</f>
        <v>0</v>
      </c>
      <c r="W98" s="1" t="n">
        <f aca="false">IF($D$42=1,MAX(0,SUM(Model!$K51:W51)+SUM(Model!$K98:W98)),0)</f>
        <v>0</v>
      </c>
      <c r="X98" s="1" t="n">
        <f aca="false">IF($D$42=1,MAX(0,SUM(Model!$K51:X51)+SUM(Model!$K98:X98)),0)</f>
        <v>0</v>
      </c>
      <c r="Y98" s="1" t="n">
        <f aca="false">IF($D$42=1,MAX(0,SUM(Model!$K51:Y51)+SUM(Model!$K98:Y98)),0)</f>
        <v>0</v>
      </c>
      <c r="Z98" s="1" t="n">
        <f aca="false">IF($D$42=1,MAX(0,SUM(Model!$K51:Z51)+SUM(Model!$K98:Z98)),0)</f>
        <v>0</v>
      </c>
      <c r="AA98" s="1" t="n">
        <f aca="false">IF($D$42=1,MAX(0,SUM(Model!$K51:AA51)+SUM(Model!$K98:AA98)),0)</f>
        <v>0</v>
      </c>
      <c r="AB98" s="1" t="n">
        <f aca="false">IF($D$42=1,MAX(0,SUM(Model!$K51:AB51)+SUM(Model!$K98:AB98)),0)</f>
        <v>0</v>
      </c>
      <c r="AC98" s="1" t="n">
        <f aca="false">IF($D$42=1,MAX(0,SUM(Model!$K51:AC51)+SUM(Model!$K98:AC98)),0)</f>
        <v>0</v>
      </c>
      <c r="AD98" s="1" t="n">
        <f aca="false">IF($D$42=1,MAX(0,SUM(Model!$K51:AD51)+SUM(Model!$K98:AD98)),0)</f>
        <v>0</v>
      </c>
      <c r="AE98" s="1" t="n">
        <f aca="false">IF($D$42=1,MAX(0,SUM(Model!$K51:AE51)+SUM(Model!$K98:AE98)),0)</f>
        <v>0</v>
      </c>
      <c r="AF98" s="1" t="n">
        <f aca="false">IF($D$42=1,MAX(0,SUM(Model!$K51:AF51)+SUM(Model!$K98:AF98)),0)</f>
        <v>0</v>
      </c>
      <c r="AG98" s="1" t="n">
        <f aca="false">IF($D$42=1,MAX(0,SUM(Model!$K51:AG51)+SUM(Model!$K98:AG98)),0)</f>
        <v>0</v>
      </c>
      <c r="AH98" s="1" t="n">
        <f aca="false">IF($D$42=1,MAX(0,SUM(Model!$K51:AH51)+SUM(Model!$K98:AH98)),0)</f>
        <v>0</v>
      </c>
      <c r="AI98" s="1" t="n">
        <f aca="false">IF($D$42=1,MAX(0,SUM(Model!$K51:AI51)+SUM(Model!$K98:AI98)),0)</f>
        <v>0</v>
      </c>
      <c r="AJ98" s="1" t="n">
        <f aca="false">IF($D$42=1,MAX(0,SUM(Model!$K51:AJ51)+SUM(Model!$K98:AJ98)),0)</f>
        <v>0</v>
      </c>
      <c r="AK98" s="1" t="n">
        <f aca="false">IF($D$42=1,MAX(0,SUM(Model!$K51:AK51)+SUM(Model!$K98:AK98)),0)</f>
        <v>0</v>
      </c>
      <c r="AL98" s="1" t="n">
        <f aca="false">IF($D$42=1,MAX(0,SUM(Model!$K51:AL51)+SUM(Model!$K98:AL98)),0)</f>
        <v>0</v>
      </c>
      <c r="AM98" s="1" t="n">
        <f aca="false">IF($D$42=1,MAX(0,SUM(Model!$K51:AM51)+SUM(Model!$K98:AM98)),0)</f>
        <v>0</v>
      </c>
      <c r="AN98" s="1" t="n">
        <f aca="false">IF($D$42=1,MAX(0,SUM(Model!$K51:AN51)+SUM(Model!$K98:AN98)),0)</f>
        <v>0</v>
      </c>
      <c r="AO98" s="1" t="n">
        <f aca="false">IF($D$42=1,MAX(0,SUM(Model!$K51:AO51)+SUM(Model!$K98:AO98)),0)</f>
        <v>0</v>
      </c>
      <c r="AP98" s="1" t="n">
        <f aca="false">IF($D$42=1,MAX(0,SUM(Model!$K51:AP51)+SUM(Model!$K98:AP98)),0)</f>
        <v>0</v>
      </c>
      <c r="AQ98" s="1" t="n">
        <f aca="false">IF($D$42=1,MAX(0,SUM(Model!$K51:AQ51)+SUM(Model!$K98:AQ98)),0)</f>
        <v>0</v>
      </c>
      <c r="AR98" s="1" t="n">
        <f aca="false">IF($D$42=1,MAX(0,SUM(Model!$K51:AR51)+SUM(Model!$K98:AR98)),0)</f>
        <v>0</v>
      </c>
      <c r="AS98" s="1" t="n">
        <f aca="false">IF($D$42=1,MAX(0,SUM(Model!$K51:AS51)+SUM(Model!$K98:AS98)),0)</f>
        <v>0</v>
      </c>
      <c r="AT98" s="1" t="n">
        <f aca="false">IF($D$42=1,MAX(0,SUM(Model!$K51:AT51)+SUM(Model!$K98:AT98)),0)</f>
        <v>0</v>
      </c>
      <c r="AU98" s="1" t="n">
        <f aca="false">IF($D$42=1,MAX(0,SUM(Model!$K51:AU51)+SUM(Model!$K98:AU98)),0)</f>
        <v>0</v>
      </c>
      <c r="AV98" s="1" t="n">
        <f aca="false">IF($D$42=1,MAX(0,SUM(Model!$K51:AV51)+SUM(Model!$K98:AV98)),0)</f>
        <v>0</v>
      </c>
      <c r="AW98" s="1" t="n">
        <f aca="false">IF($D$42=1,MAX(0,SUM(Model!$K51:AW51)+SUM(Model!$K98:AW98)),0)</f>
        <v>0</v>
      </c>
      <c r="AX98" s="1" t="n">
        <f aca="false">IF($D$42=1,MAX(0,SUM(Model!$K51:AX51)+SUM(Model!$K98:AX98)),0)</f>
        <v>0</v>
      </c>
      <c r="AY98" s="1" t="n">
        <f aca="false">IF($D$42=1,MAX(0,SUM(Model!$K51:AY51)+SUM(Model!$K98:AY98)),0)</f>
        <v>0</v>
      </c>
      <c r="AZ98" s="1" t="n">
        <f aca="false">IF($D$42=1,MAX(0,SUM(Model!$K51:AZ51)+SUM(Model!$K98:AZ98)),0)</f>
        <v>0</v>
      </c>
      <c r="BA98" s="1" t="n">
        <f aca="false">IF($D$42=1,MAX(0,SUM(Model!$K51:BA51)+SUM(Model!$K98:BA98)),0)</f>
        <v>0</v>
      </c>
      <c r="BB98" s="1" t="n">
        <f aca="false">IF($D$42=1,MAX(0,SUM(Model!$K51:BB51)+SUM(Model!$K98:BB98)),0)</f>
        <v>0</v>
      </c>
      <c r="BC98" s="1" t="n">
        <f aca="false">IF($D$42=1,MAX(0,SUM(Model!$K51:BC51)+SUM(Model!$K98:BC98)),0)</f>
        <v>0</v>
      </c>
      <c r="BD98" s="1" t="n">
        <f aca="false">IF($D$42=1,MAX(0,SUM(Model!$K51:BD51)+SUM(Model!$K98:BD98)),0)</f>
        <v>0</v>
      </c>
      <c r="BE98" s="1" t="n">
        <f aca="false">IF($D$42=1,MAX(0,SUM(Model!$K51:BE51)+SUM(Model!$K98:BE98)),0)</f>
        <v>0</v>
      </c>
      <c r="BF98" s="1" t="n">
        <f aca="false">IF($D$42=1,MAX(0,SUM(Model!$K51:BF51)+SUM(Model!$K98:BF98)),0)</f>
        <v>0</v>
      </c>
      <c r="BG98" s="1" t="n">
        <f aca="false">IF($D$42=1,MAX(0,SUM(Model!$K51:BG51)+SUM(Model!$K98:BG98)),0)</f>
        <v>0</v>
      </c>
      <c r="BH98" s="1" t="n">
        <f aca="false">IF($D$42=1,MAX(0,SUM(Model!$K51:BH51)+SUM(Model!$K98:BH98)),0)</f>
        <v>0</v>
      </c>
      <c r="BI98" s="1" t="n">
        <f aca="false">IF($D$42=1,MAX(0,SUM(Model!$K51:BI51)+SUM(Model!$K98:BI98)),0)</f>
        <v>0</v>
      </c>
      <c r="BJ98" s="1" t="n">
        <f aca="false">IF($D$42=1,MAX(0,SUM(Model!$K51:BJ51)+SUM(Model!$K98:BJ98)),0)</f>
        <v>0</v>
      </c>
      <c r="BK98" s="1" t="n">
        <f aca="false">IF($D$42=1,MAX(0,SUM(Model!$K51:BK51)+SUM(Model!$K98:BK98)),0)</f>
        <v>0</v>
      </c>
      <c r="BL98" s="1" t="n">
        <f aca="false">IF($D$42=1,MAX(0,SUM(Model!$K51:BL51)+SUM(Model!$K98:BL98)),0)</f>
        <v>0</v>
      </c>
      <c r="BM98" s="1" t="n">
        <f aca="false">IF($D$42=1,MAX(0,SUM(Model!$K51:BM51)+SUM(Model!$K98:BM98)),0)</f>
        <v>0</v>
      </c>
      <c r="BN98" s="1" t="n">
        <f aca="false">IF($D$42=1,MAX(0,SUM(Model!$K51:BN51)+SUM(Model!$K98:BN98)),0)</f>
        <v>0</v>
      </c>
      <c r="BO98" s="1" t="n">
        <f aca="false">IF($D$42=1,MAX(0,SUM(Model!$K51:BO51)+SUM(Model!$K98:BO98)),0)</f>
        <v>0</v>
      </c>
      <c r="BP98" s="1" t="n">
        <f aca="false">IF($D$42=1,MAX(0,SUM(Model!$K51:BP51)+SUM(Model!$K98:BP98)),0)</f>
        <v>0</v>
      </c>
      <c r="BQ98" s="1" t="n">
        <f aca="false">IF($D$42=1,MAX(0,SUM(Model!$K51:BQ51)+SUM(Model!$K98:BQ98)),0)</f>
        <v>0</v>
      </c>
      <c r="BR98" s="1" t="n">
        <f aca="false">IF($D$42=1,MAX(0,SUM(Model!$K51:BR51)+SUM(Model!$K98:BR98)),0)</f>
        <v>0</v>
      </c>
      <c r="BS98" s="1" t="n">
        <f aca="false">IF($D$42=1,MAX(0,SUM(Model!$K51:BS51)+SUM(Model!$K98:BS98)),0)</f>
        <v>0</v>
      </c>
      <c r="BT98" s="1" t="n">
        <f aca="false">IF($D$42=1,MAX(0,SUM(Model!$K51:BT51)+SUM(Model!$K98:BT98)),0)</f>
        <v>0</v>
      </c>
      <c r="BU98" s="1" t="n">
        <f aca="false">IF($D$42=1,MAX(0,SUM(Model!$K51:BU51)+SUM(Model!$K98:BU98)),0)</f>
        <v>0</v>
      </c>
      <c r="BV98" s="1" t="n">
        <f aca="false">IF($D$42=1,MAX(0,SUM(Model!$K51:BV51)+SUM(Model!$K98:BV98)),0)</f>
        <v>0</v>
      </c>
      <c r="BW98" s="1" t="n">
        <f aca="false">IF($D$42=1,MAX(0,SUM(Model!$K51:BW51)+SUM(Model!$K98:BW98)),0)</f>
        <v>0</v>
      </c>
      <c r="BX98" s="1" t="n">
        <f aca="false">IF($D$42=1,MAX(0,SUM(Model!$K51:BX51)+SUM(Model!$K98:BX98)),0)</f>
        <v>0</v>
      </c>
      <c r="BY98" s="1" t="n">
        <f aca="false">IF($D$42=1,MAX(0,SUM(Model!$K51:BY51)+SUM(Model!$K98:BY98)),0)</f>
        <v>0</v>
      </c>
      <c r="BZ98" s="1" t="n">
        <f aca="false">IF($D$42=1,MAX(0,SUM(Model!$K51:BZ51)+SUM(Model!$K98:BZ98)),0)</f>
        <v>0</v>
      </c>
      <c r="CA98" s="1" t="n">
        <f aca="false">IF($D$42=1,MAX(0,SUM(Model!$K51:CA51)+SUM(Model!$K98:CA98)),0)</f>
        <v>0</v>
      </c>
      <c r="CB98" s="1" t="n">
        <f aca="false">IF($D$42=1,MAX(0,SUM(Model!$K51:CB51)+SUM(Model!$K98:CB98)),0)</f>
        <v>0</v>
      </c>
      <c r="CC98" s="1" t="n">
        <f aca="false">IF($D$42=1,MAX(0,SUM(Model!$K51:CC51)+SUM(Model!$K98:CC98)),0)</f>
        <v>0</v>
      </c>
      <c r="CD98" s="1" t="n">
        <f aca="false">IF($D$42=1,MAX(0,SUM(Model!$K51:CD51)+SUM(Model!$K98:CD98)),0)</f>
        <v>0</v>
      </c>
      <c r="CE98" s="1" t="n">
        <f aca="false">IF($D$42=1,MAX(0,SUM(Model!$K51:CE51)+SUM(Model!$K98:CE98)),0)</f>
        <v>0</v>
      </c>
      <c r="CF98" s="1" t="n">
        <f aca="false">IF($D$42=1,MAX(0,SUM(Model!$K51:CF51)+SUM(Model!$K98:CF98)),0)</f>
        <v>0</v>
      </c>
      <c r="CG98" s="1" t="n">
        <f aca="false">IF($D$42=1,MAX(0,SUM(Model!$K51:CG51)+SUM(Model!$K98:CG98)),0)</f>
        <v>0</v>
      </c>
      <c r="CH98" s="1" t="n">
        <f aca="false">IF($D$42=1,MAX(0,SUM(Model!$K51:CH51)+SUM(Model!$K98:CH98)),0)</f>
        <v>0</v>
      </c>
      <c r="CI98" s="1" t="n">
        <f aca="false">IF($D$42=1,MAX(0,SUM(Model!$K51:CI51)+SUM(Model!$K98:CI98)),0)</f>
        <v>0</v>
      </c>
      <c r="CJ98" s="1" t="n">
        <f aca="false">IF($D$42=1,MAX(0,SUM(Model!$K51:CJ51)+SUM(Model!$K98:CJ98)),0)</f>
        <v>0</v>
      </c>
      <c r="CK98" s="1" t="n">
        <f aca="false">IF($D$42=1,MAX(0,SUM(Model!$K51:CK51)+SUM(Model!$K98:CK98)),0)</f>
        <v>0</v>
      </c>
      <c r="CL98" s="1" t="n">
        <f aca="false">IF($D$42=1,MAX(0,SUM(Model!$K51:CL51)+SUM(Model!$K98:CL98)),0)</f>
        <v>0</v>
      </c>
      <c r="CM98" s="1" t="n">
        <f aca="false">IF($D$42=1,MAX(0,SUM(Model!$K51:CM51)+SUM(Model!$K98:CM98)),0)</f>
        <v>0</v>
      </c>
      <c r="CN98" s="1" t="n">
        <f aca="false">IF($D$42=1,MAX(0,SUM(Model!$K51:CN51)+SUM(Model!$K98:CN98)),0)</f>
        <v>0</v>
      </c>
      <c r="CO98" s="1" t="n">
        <f aca="false">IF($D$42=1,MAX(0,SUM(Model!$K51:CO51)+SUM(Model!$K98:CO98)),0)</f>
        <v>0</v>
      </c>
      <c r="CP98" s="1" t="n">
        <f aca="false">IF($D$42=1,MAX(0,SUM(Model!$K51:CP51)+SUM(Model!$K98:CP98)),0)</f>
        <v>0</v>
      </c>
      <c r="CQ98" s="1" t="n">
        <f aca="false">IF($D$42=1,MAX(0,SUM(Model!$K51:CQ51)+SUM(Model!$K98:CQ98)),0)</f>
        <v>0</v>
      </c>
      <c r="CR98" s="1" t="n">
        <f aca="false">IF($D$42=1,MAX(0,SUM(Model!$K51:CR51)+SUM(Model!$K98:CR98)),0)</f>
        <v>0</v>
      </c>
      <c r="CS98" s="1" t="n">
        <f aca="false">IF($D$42=1,MAX(0,SUM(Model!$K51:CS51)+SUM(Model!$K98:CS98)),0)</f>
        <v>0</v>
      </c>
      <c r="CT98" s="1" t="n">
        <f aca="false">IF($D$42=1,MAX(0,SUM(Model!$K51:CT51)+SUM(Model!$K98:CT98)),0)</f>
        <v>0</v>
      </c>
      <c r="CU98" s="1" t="n">
        <f aca="false">IF($D$42=1,MAX(0,SUM(Model!$K51:CU51)+SUM(Model!$K98:CU98)),0)</f>
        <v>0</v>
      </c>
      <c r="CV98" s="1" t="n">
        <f aca="false">IF($D$42=1,MAX(0,SUM(Model!$K51:CV51)+SUM(Model!$K98:CV98)),0)</f>
        <v>0</v>
      </c>
      <c r="CW98" s="1" t="n">
        <f aca="false">IF($D$42=1,MAX(0,SUM(Model!$K51:CW51)+SUM(Model!$K98:CW98)),0)</f>
        <v>0</v>
      </c>
      <c r="CX98" s="1" t="n">
        <f aca="false">IF($D$42=1,MAX(0,SUM(Model!$K51:CX51)+SUM(Model!$K98:CX98)),0)</f>
        <v>0</v>
      </c>
      <c r="CY98" s="1" t="n">
        <f aca="false">IF($D$42=1,MAX(0,SUM(Model!$K51:CY51)+SUM(Model!$K98:CY98)),0)</f>
        <v>0</v>
      </c>
      <c r="CZ98" s="1" t="n">
        <f aca="false">IF($D$42=1,MAX(0,SUM(Model!$K51:CZ51)+SUM(Model!$K98:CZ98)),0)</f>
        <v>0</v>
      </c>
      <c r="DA98" s="1" t="n">
        <f aca="false">IF($D$42=1,MAX(0,SUM(Model!$K51:DA51)+SUM(Model!$K98:DA98)),0)</f>
        <v>0</v>
      </c>
      <c r="DB98" s="1" t="n">
        <f aca="false">IF($D$42=1,MAX(0,SUM(Model!$K51:DB51)+SUM(Model!$K98:DB98)),0)</f>
        <v>0</v>
      </c>
      <c r="DC98" s="1" t="n">
        <f aca="false">IF($D$42=1,MAX(0,SUM(Model!$K51:DC51)+SUM(Model!$K98:DC98)),0)</f>
        <v>0</v>
      </c>
      <c r="DD98" s="1" t="n">
        <f aca="false">IF($D$42=1,MAX(0,SUM(Model!$K51:DD51)+SUM(Model!$K98:DD98)),0)</f>
        <v>0</v>
      </c>
      <c r="DE98" s="1" t="n">
        <f aca="false">IF($D$42=1,MAX(0,SUM(Model!$K51:DE51)+SUM(Model!$K98:DE98)),0)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v>0</v>
      </c>
      <c r="K99" s="1" t="n">
        <f aca="false">IF($D$43=1,MAX(0,SUM(Model!$K52:K52)+SUM(Model!$K99:K99)),0)</f>
        <v>0</v>
      </c>
      <c r="L99" s="1" t="n">
        <f aca="false">IF($D$43=1,MAX(0,SUM(Model!$K52:L52)+SUM(Model!$K99:L99)),0)</f>
        <v>0</v>
      </c>
      <c r="M99" s="1" t="n">
        <f aca="false">IF($D$43=1,MAX(0,SUM(Model!$K52:M52)+SUM(Model!$K99:M99)),0)</f>
        <v>0</v>
      </c>
      <c r="N99" s="1" t="n">
        <f aca="false">IF($D$43=1,MAX(0,SUM(Model!$K52:N52)+SUM(Model!$K99:N99)),0)</f>
        <v>0</v>
      </c>
      <c r="O99" s="1" t="n">
        <f aca="false">IF($D$43=1,MAX(0,SUM(Model!$K52:O52)+SUM(Model!$K99:O99)),0)</f>
        <v>0</v>
      </c>
      <c r="P99" s="1" t="n">
        <f aca="false">IF($D$43=1,MAX(0,SUM(Model!$K52:P52)+SUM(Model!$K99:P99)),0)</f>
        <v>0</v>
      </c>
      <c r="Q99" s="1" t="n">
        <f aca="false">IF($D$43=1,MAX(0,SUM(Model!$K52:Q52)+SUM(Model!$K99:Q99)),0)</f>
        <v>0</v>
      </c>
      <c r="R99" s="1" t="n">
        <f aca="false">IF($D$43=1,MAX(0,SUM(Model!$K52:R52)+SUM(Model!$K99:R99)),0)</f>
        <v>0</v>
      </c>
      <c r="S99" s="1" t="n">
        <f aca="false">IF($D$43=1,MAX(0,SUM(Model!$K52:S52)+SUM(Model!$K99:S99)),0)</f>
        <v>0</v>
      </c>
      <c r="T99" s="1" t="n">
        <f aca="false">IF($D$43=1,MAX(0,SUM(Model!$K52:T52)+SUM(Model!$K99:T99)),0)</f>
        <v>0</v>
      </c>
      <c r="U99" s="1" t="n">
        <f aca="false">IF($D$43=1,MAX(0,SUM(Model!$K52:U52)+SUM(Model!$K99:U99)),0)</f>
        <v>0</v>
      </c>
      <c r="V99" s="1" t="n">
        <f aca="false">IF($D$43=1,MAX(0,SUM(Model!$K52:V52)+SUM(Model!$K99:V99)),0)</f>
        <v>0</v>
      </c>
      <c r="W99" s="1" t="n">
        <f aca="false">IF($D$43=1,MAX(0,SUM(Model!$K52:W52)+SUM(Model!$K99:W99)),0)</f>
        <v>0</v>
      </c>
      <c r="X99" s="1" t="n">
        <f aca="false">IF($D$43=1,MAX(0,SUM(Model!$K52:X52)+SUM(Model!$K99:X99)),0)</f>
        <v>0</v>
      </c>
      <c r="Y99" s="1" t="n">
        <f aca="false">IF($D$43=1,MAX(0,SUM(Model!$K52:Y52)+SUM(Model!$K99:Y99)),0)</f>
        <v>0</v>
      </c>
      <c r="Z99" s="1" t="n">
        <f aca="false">IF($D$43=1,MAX(0,SUM(Model!$K52:Z52)+SUM(Model!$K99:Z99)),0)</f>
        <v>0</v>
      </c>
      <c r="AA99" s="1" t="n">
        <f aca="false">IF($D$43=1,MAX(0,SUM(Model!$K52:AA52)+SUM(Model!$K99:AA99)),0)</f>
        <v>0</v>
      </c>
      <c r="AB99" s="1" t="n">
        <f aca="false">IF($D$43=1,MAX(0,SUM(Model!$K52:AB52)+SUM(Model!$K99:AB99)),0)</f>
        <v>0</v>
      </c>
      <c r="AC99" s="1" t="n">
        <f aca="false">IF($D$43=1,MAX(0,SUM(Model!$K52:AC52)+SUM(Model!$K99:AC99)),0)</f>
        <v>0</v>
      </c>
      <c r="AD99" s="1" t="n">
        <f aca="false">IF($D$43=1,MAX(0,SUM(Model!$K52:AD52)+SUM(Model!$K99:AD99)),0)</f>
        <v>0</v>
      </c>
      <c r="AE99" s="1" t="n">
        <f aca="false">IF($D$43=1,MAX(0,SUM(Model!$K52:AE52)+SUM(Model!$K99:AE99)),0)</f>
        <v>0</v>
      </c>
      <c r="AF99" s="1" t="n">
        <f aca="false">IF($D$43=1,MAX(0,SUM(Model!$K52:AF52)+SUM(Model!$K99:AF99)),0)</f>
        <v>0</v>
      </c>
      <c r="AG99" s="1" t="n">
        <f aca="false">IF($D$43=1,MAX(0,SUM(Model!$K52:AG52)+SUM(Model!$K99:AG99)),0)</f>
        <v>0</v>
      </c>
      <c r="AH99" s="1" t="n">
        <f aca="false">IF($D$43=1,MAX(0,SUM(Model!$K52:AH52)+SUM(Model!$K99:AH99)),0)</f>
        <v>0</v>
      </c>
      <c r="AI99" s="1" t="n">
        <f aca="false">IF($D$43=1,MAX(0,SUM(Model!$K52:AI52)+SUM(Model!$K99:AI99)),0)</f>
        <v>0</v>
      </c>
      <c r="AJ99" s="1" t="n">
        <f aca="false">IF($D$43=1,MAX(0,SUM(Model!$K52:AJ52)+SUM(Model!$K99:AJ99)),0)</f>
        <v>0</v>
      </c>
      <c r="AK99" s="1" t="n">
        <f aca="false">IF($D$43=1,MAX(0,SUM(Model!$K52:AK52)+SUM(Model!$K99:AK99)),0)</f>
        <v>0</v>
      </c>
      <c r="AL99" s="1" t="n">
        <f aca="false">IF($D$43=1,MAX(0,SUM(Model!$K52:AL52)+SUM(Model!$K99:AL99)),0)</f>
        <v>0</v>
      </c>
      <c r="AM99" s="1" t="n">
        <f aca="false">IF($D$43=1,MAX(0,SUM(Model!$K52:AM52)+SUM(Model!$K99:AM99)),0)</f>
        <v>0</v>
      </c>
      <c r="AN99" s="1" t="n">
        <f aca="false">IF($D$43=1,MAX(0,SUM(Model!$K52:AN52)+SUM(Model!$K99:AN99)),0)</f>
        <v>0</v>
      </c>
      <c r="AO99" s="1" t="n">
        <f aca="false">IF($D$43=1,MAX(0,SUM(Model!$K52:AO52)+SUM(Model!$K99:AO99)),0)</f>
        <v>0</v>
      </c>
      <c r="AP99" s="1" t="n">
        <f aca="false">IF($D$43=1,MAX(0,SUM(Model!$K52:AP52)+SUM(Model!$K99:AP99)),0)</f>
        <v>0</v>
      </c>
      <c r="AQ99" s="1" t="n">
        <f aca="false">IF($D$43=1,MAX(0,SUM(Model!$K52:AQ52)+SUM(Model!$K99:AQ99)),0)</f>
        <v>0</v>
      </c>
      <c r="AR99" s="1" t="n">
        <f aca="false">IF($D$43=1,MAX(0,SUM(Model!$K52:AR52)+SUM(Model!$K99:AR99)),0)</f>
        <v>0</v>
      </c>
      <c r="AS99" s="1" t="n">
        <f aca="false">IF($D$43=1,MAX(0,SUM(Model!$K52:AS52)+SUM(Model!$K99:AS99)),0)</f>
        <v>0</v>
      </c>
      <c r="AT99" s="1" t="n">
        <f aca="false">IF($D$43=1,MAX(0,SUM(Model!$K52:AT52)+SUM(Model!$K99:AT99)),0)</f>
        <v>0</v>
      </c>
      <c r="AU99" s="1" t="n">
        <f aca="false">IF($D$43=1,MAX(0,SUM(Model!$K52:AU52)+SUM(Model!$K99:AU99)),0)</f>
        <v>0</v>
      </c>
      <c r="AV99" s="1" t="n">
        <f aca="false">IF($D$43=1,MAX(0,SUM(Model!$K52:AV52)+SUM(Model!$K99:AV99)),0)</f>
        <v>0</v>
      </c>
      <c r="AW99" s="1" t="n">
        <f aca="false">IF($D$43=1,MAX(0,SUM(Model!$K52:AW52)+SUM(Model!$K99:AW99)),0)</f>
        <v>0</v>
      </c>
      <c r="AX99" s="1" t="n">
        <f aca="false">IF($D$43=1,MAX(0,SUM(Model!$K52:AX52)+SUM(Model!$K99:AX99)),0)</f>
        <v>0</v>
      </c>
      <c r="AY99" s="1" t="n">
        <f aca="false">IF($D$43=1,MAX(0,SUM(Model!$K52:AY52)+SUM(Model!$K99:AY99)),0)</f>
        <v>0</v>
      </c>
      <c r="AZ99" s="1" t="n">
        <f aca="false">IF($D$43=1,MAX(0,SUM(Model!$K52:AZ52)+SUM(Model!$K99:AZ99)),0)</f>
        <v>0</v>
      </c>
      <c r="BA99" s="1" t="n">
        <f aca="false">IF($D$43=1,MAX(0,SUM(Model!$K52:BA52)+SUM(Model!$K99:BA99)),0)</f>
        <v>0</v>
      </c>
      <c r="BB99" s="1" t="n">
        <f aca="false">IF($D$43=1,MAX(0,SUM(Model!$K52:BB52)+SUM(Model!$K99:BB99)),0)</f>
        <v>0</v>
      </c>
      <c r="BC99" s="1" t="n">
        <f aca="false">IF($D$43=1,MAX(0,SUM(Model!$K52:BC52)+SUM(Model!$K99:BC99)),0)</f>
        <v>0</v>
      </c>
      <c r="BD99" s="1" t="n">
        <f aca="false">IF($D$43=1,MAX(0,SUM(Model!$K52:BD52)+SUM(Model!$K99:BD99)),0)</f>
        <v>0</v>
      </c>
      <c r="BE99" s="1" t="n">
        <f aca="false">IF($D$43=1,MAX(0,SUM(Model!$K52:BE52)+SUM(Model!$K99:BE99)),0)</f>
        <v>0</v>
      </c>
      <c r="BF99" s="1" t="n">
        <f aca="false">IF($D$43=1,MAX(0,SUM(Model!$K52:BF52)+SUM(Model!$K99:BF99)),0)</f>
        <v>0</v>
      </c>
      <c r="BG99" s="1" t="n">
        <f aca="false">IF($D$43=1,MAX(0,SUM(Model!$K52:BG52)+SUM(Model!$K99:BG99)),0)</f>
        <v>0</v>
      </c>
      <c r="BH99" s="1" t="n">
        <f aca="false">IF($D$43=1,MAX(0,SUM(Model!$K52:BH52)+SUM(Model!$K99:BH99)),0)</f>
        <v>0</v>
      </c>
      <c r="BI99" s="1" t="n">
        <f aca="false">IF($D$43=1,MAX(0,SUM(Model!$K52:BI52)+SUM(Model!$K99:BI99)),0)</f>
        <v>0</v>
      </c>
      <c r="BJ99" s="1" t="n">
        <f aca="false">IF($D$43=1,MAX(0,SUM(Model!$K52:BJ52)+SUM(Model!$K99:BJ99)),0)</f>
        <v>0</v>
      </c>
      <c r="BK99" s="1" t="n">
        <f aca="false">IF($D$43=1,MAX(0,SUM(Model!$K52:BK52)+SUM(Model!$K99:BK99)),0)</f>
        <v>0</v>
      </c>
      <c r="BL99" s="1" t="n">
        <f aca="false">IF($D$43=1,MAX(0,SUM(Model!$K52:BL52)+SUM(Model!$K99:BL99)),0)</f>
        <v>0</v>
      </c>
      <c r="BM99" s="1" t="n">
        <f aca="false">IF($D$43=1,MAX(0,SUM(Model!$K52:BM52)+SUM(Model!$K99:BM99)),0)</f>
        <v>0</v>
      </c>
      <c r="BN99" s="1" t="n">
        <f aca="false">IF($D$43=1,MAX(0,SUM(Model!$K52:BN52)+SUM(Model!$K99:BN99)),0)</f>
        <v>0</v>
      </c>
      <c r="BO99" s="1" t="n">
        <f aca="false">IF($D$43=1,MAX(0,SUM(Model!$K52:BO52)+SUM(Model!$K99:BO99)),0)</f>
        <v>0</v>
      </c>
      <c r="BP99" s="1" t="n">
        <f aca="false">IF($D$43=1,MAX(0,SUM(Model!$K52:BP52)+SUM(Model!$K99:BP99)),0)</f>
        <v>0</v>
      </c>
      <c r="BQ99" s="1" t="n">
        <f aca="false">IF($D$43=1,MAX(0,SUM(Model!$K52:BQ52)+SUM(Model!$K99:BQ99)),0)</f>
        <v>0</v>
      </c>
      <c r="BR99" s="1" t="n">
        <f aca="false">IF($D$43=1,MAX(0,SUM(Model!$K52:BR52)+SUM(Model!$K99:BR99)),0)</f>
        <v>0</v>
      </c>
      <c r="BS99" s="1" t="n">
        <f aca="false">IF($D$43=1,MAX(0,SUM(Model!$K52:BS52)+SUM(Model!$K99:BS99)),0)</f>
        <v>0</v>
      </c>
      <c r="BT99" s="1" t="n">
        <f aca="false">IF($D$43=1,MAX(0,SUM(Model!$K52:BT52)+SUM(Model!$K99:BT99)),0)</f>
        <v>0</v>
      </c>
      <c r="BU99" s="1" t="n">
        <f aca="false">IF($D$43=1,MAX(0,SUM(Model!$K52:BU52)+SUM(Model!$K99:BU99)),0)</f>
        <v>0</v>
      </c>
      <c r="BV99" s="1" t="n">
        <f aca="false">IF($D$43=1,MAX(0,SUM(Model!$K52:BV52)+SUM(Model!$K99:BV99)),0)</f>
        <v>0</v>
      </c>
      <c r="BW99" s="1" t="n">
        <f aca="false">IF($D$43=1,MAX(0,SUM(Model!$K52:BW52)+SUM(Model!$K99:BW99)),0)</f>
        <v>0</v>
      </c>
      <c r="BX99" s="1" t="n">
        <f aca="false">IF($D$43=1,MAX(0,SUM(Model!$K52:BX52)+SUM(Model!$K99:BX99)),0)</f>
        <v>0</v>
      </c>
      <c r="BY99" s="1" t="n">
        <f aca="false">IF($D$43=1,MAX(0,SUM(Model!$K52:BY52)+SUM(Model!$K99:BY99)),0)</f>
        <v>0</v>
      </c>
      <c r="BZ99" s="1" t="n">
        <f aca="false">IF($D$43=1,MAX(0,SUM(Model!$K52:BZ52)+SUM(Model!$K99:BZ99)),0)</f>
        <v>0</v>
      </c>
      <c r="CA99" s="1" t="n">
        <f aca="false">IF($D$43=1,MAX(0,SUM(Model!$K52:CA52)+SUM(Model!$K99:CA99)),0)</f>
        <v>0</v>
      </c>
      <c r="CB99" s="1" t="n">
        <f aca="false">IF($D$43=1,MAX(0,SUM(Model!$K52:CB52)+SUM(Model!$K99:CB99)),0)</f>
        <v>0</v>
      </c>
      <c r="CC99" s="1" t="n">
        <f aca="false">IF($D$43=1,MAX(0,SUM(Model!$K52:CC52)+SUM(Model!$K99:CC99)),0)</f>
        <v>0</v>
      </c>
      <c r="CD99" s="1" t="n">
        <f aca="false">IF($D$43=1,MAX(0,SUM(Model!$K52:CD52)+SUM(Model!$K99:CD99)),0)</f>
        <v>0</v>
      </c>
      <c r="CE99" s="1" t="n">
        <f aca="false">IF($D$43=1,MAX(0,SUM(Model!$K52:CE52)+SUM(Model!$K99:CE99)),0)</f>
        <v>0</v>
      </c>
      <c r="CF99" s="1" t="n">
        <f aca="false">IF($D$43=1,MAX(0,SUM(Model!$K52:CF52)+SUM(Model!$K99:CF99)),0)</f>
        <v>0</v>
      </c>
      <c r="CG99" s="1" t="n">
        <f aca="false">IF($D$43=1,MAX(0,SUM(Model!$K52:CG52)+SUM(Model!$K99:CG99)),0)</f>
        <v>0</v>
      </c>
      <c r="CH99" s="1" t="n">
        <f aca="false">IF($D$43=1,MAX(0,SUM(Model!$K52:CH52)+SUM(Model!$K99:CH99)),0)</f>
        <v>0</v>
      </c>
      <c r="CI99" s="1" t="n">
        <f aca="false">IF($D$43=1,MAX(0,SUM(Model!$K52:CI52)+SUM(Model!$K99:CI99)),0)</f>
        <v>0</v>
      </c>
      <c r="CJ99" s="1" t="n">
        <f aca="false">IF($D$43=1,MAX(0,SUM(Model!$K52:CJ52)+SUM(Model!$K99:CJ99)),0)</f>
        <v>0</v>
      </c>
      <c r="CK99" s="1" t="n">
        <f aca="false">IF($D$43=1,MAX(0,SUM(Model!$K52:CK52)+SUM(Model!$K99:CK99)),0)</f>
        <v>0</v>
      </c>
      <c r="CL99" s="1" t="n">
        <f aca="false">IF($D$43=1,MAX(0,SUM(Model!$K52:CL52)+SUM(Model!$K99:CL99)),0)</f>
        <v>0</v>
      </c>
      <c r="CM99" s="1" t="n">
        <f aca="false">IF($D$43=1,MAX(0,SUM(Model!$K52:CM52)+SUM(Model!$K99:CM99)),0)</f>
        <v>0</v>
      </c>
      <c r="CN99" s="1" t="n">
        <f aca="false">IF($D$43=1,MAX(0,SUM(Model!$K52:CN52)+SUM(Model!$K99:CN99)),0)</f>
        <v>0</v>
      </c>
      <c r="CO99" s="1" t="n">
        <f aca="false">IF($D$43=1,MAX(0,SUM(Model!$K52:CO52)+SUM(Model!$K99:CO99)),0)</f>
        <v>0</v>
      </c>
      <c r="CP99" s="1" t="n">
        <f aca="false">IF($D$43=1,MAX(0,SUM(Model!$K52:CP52)+SUM(Model!$K99:CP99)),0)</f>
        <v>0</v>
      </c>
      <c r="CQ99" s="1" t="n">
        <f aca="false">IF($D$43=1,MAX(0,SUM(Model!$K52:CQ52)+SUM(Model!$K99:CQ99)),0)</f>
        <v>0</v>
      </c>
      <c r="CR99" s="1" t="n">
        <f aca="false">IF($D$43=1,MAX(0,SUM(Model!$K52:CR52)+SUM(Model!$K99:CR99)),0)</f>
        <v>0</v>
      </c>
      <c r="CS99" s="1" t="n">
        <f aca="false">IF($D$43=1,MAX(0,SUM(Model!$K52:CS52)+SUM(Model!$K99:CS99)),0)</f>
        <v>0</v>
      </c>
      <c r="CT99" s="1" t="n">
        <f aca="false">IF($D$43=1,MAX(0,SUM(Model!$K52:CT52)+SUM(Model!$K99:CT99)),0)</f>
        <v>0</v>
      </c>
      <c r="CU99" s="1" t="n">
        <f aca="false">IF($D$43=1,MAX(0,SUM(Model!$K52:CU52)+SUM(Model!$K99:CU99)),0)</f>
        <v>0</v>
      </c>
      <c r="CV99" s="1" t="n">
        <f aca="false">IF($D$43=1,MAX(0,SUM(Model!$K52:CV52)+SUM(Model!$K99:CV99)),0)</f>
        <v>0</v>
      </c>
      <c r="CW99" s="1" t="n">
        <f aca="false">IF($D$43=1,MAX(0,SUM(Model!$K52:CW52)+SUM(Model!$K99:CW99)),0)</f>
        <v>0</v>
      </c>
      <c r="CX99" s="1" t="n">
        <f aca="false">IF($D$43=1,MAX(0,SUM(Model!$K52:CX52)+SUM(Model!$K99:CX99)),0)</f>
        <v>0</v>
      </c>
      <c r="CY99" s="1" t="n">
        <f aca="false">IF($D$43=1,MAX(0,SUM(Model!$K52:CY52)+SUM(Model!$K99:CY99)),0)</f>
        <v>0</v>
      </c>
      <c r="CZ99" s="1" t="n">
        <f aca="false">IF($D$43=1,MAX(0,SUM(Model!$K52:CZ52)+SUM(Model!$K99:CZ99)),0)</f>
        <v>0</v>
      </c>
      <c r="DA99" s="1" t="n">
        <f aca="false">IF($D$43=1,MAX(0,SUM(Model!$K52:DA52)+SUM(Model!$K99:DA99)),0)</f>
        <v>0</v>
      </c>
      <c r="DB99" s="1" t="n">
        <f aca="false">IF($D$43=1,MAX(0,SUM(Model!$K52:DB52)+SUM(Model!$K99:DB99)),0)</f>
        <v>0</v>
      </c>
      <c r="DC99" s="1" t="n">
        <f aca="false">IF($D$43=1,MAX(0,SUM(Model!$K52:DC52)+SUM(Model!$K99:DC99)),0)</f>
        <v>0</v>
      </c>
      <c r="DD99" s="1" t="n">
        <f aca="false">IF($D$43=1,MAX(0,SUM(Model!$K52:DD52)+SUM(Model!$K99:DD99)),0)</f>
        <v>0</v>
      </c>
      <c r="DE99" s="1" t="n">
        <f aca="false">IF($D$43=1,MAX(0,SUM(Model!$K52:DE52)+SUM(Model!$K99:DE99)),0)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v>0</v>
      </c>
      <c r="K100" s="1" t="n">
        <f aca="false">IF($D$44=1,MAX(0,SUM(Model!$K53:K53)+SUM(Model!$K100:K100)),0)</f>
        <v>0</v>
      </c>
      <c r="L100" s="1" t="n">
        <f aca="false">IF($D$44=1,MAX(0,SUM(Model!$K53:L53)+SUM(Model!$K100:L100)),0)</f>
        <v>0</v>
      </c>
      <c r="M100" s="1" t="n">
        <f aca="false">IF($D$44=1,MAX(0,SUM(Model!$K53:M53)+SUM(Model!$K100:M100)),0)</f>
        <v>0</v>
      </c>
      <c r="N100" s="1" t="n">
        <f aca="false">IF($D$44=1,MAX(0,SUM(Model!$K53:N53)+SUM(Model!$K100:N100)),0)</f>
        <v>0</v>
      </c>
      <c r="O100" s="1" t="n">
        <f aca="false">IF($D$44=1,MAX(0,SUM(Model!$K53:O53)+SUM(Model!$K100:O100)),0)</f>
        <v>0</v>
      </c>
      <c r="P100" s="1" t="n">
        <f aca="false">IF($D$44=1,MAX(0,SUM(Model!$K53:P53)+SUM(Model!$K100:P100)),0)</f>
        <v>0</v>
      </c>
      <c r="Q100" s="1" t="n">
        <f aca="false">IF($D$44=1,MAX(0,SUM(Model!$K53:Q53)+SUM(Model!$K100:Q100)),0)</f>
        <v>0</v>
      </c>
      <c r="R100" s="1" t="n">
        <f aca="false">IF($D$44=1,MAX(0,SUM(Model!$K53:R53)+SUM(Model!$K100:R100)),0)</f>
        <v>0</v>
      </c>
      <c r="S100" s="1" t="n">
        <f aca="false">IF($D$44=1,MAX(0,SUM(Model!$K53:S53)+SUM(Model!$K100:S100)),0)</f>
        <v>0</v>
      </c>
      <c r="T100" s="1" t="n">
        <f aca="false">IF($D$44=1,MAX(0,SUM(Model!$K53:T53)+SUM(Model!$K100:T100)),0)</f>
        <v>0</v>
      </c>
      <c r="U100" s="1" t="n">
        <f aca="false">IF($D$44=1,MAX(0,SUM(Model!$K53:U53)+SUM(Model!$K100:U100)),0)</f>
        <v>0</v>
      </c>
      <c r="V100" s="1" t="n">
        <f aca="false">IF($D$44=1,MAX(0,SUM(Model!$K53:V53)+SUM(Model!$K100:V100)),0)</f>
        <v>0</v>
      </c>
      <c r="W100" s="1" t="n">
        <f aca="false">IF($D$44=1,MAX(0,SUM(Model!$K53:W53)+SUM(Model!$K100:W100)),0)</f>
        <v>0</v>
      </c>
      <c r="X100" s="1" t="n">
        <f aca="false">IF($D$44=1,MAX(0,SUM(Model!$K53:X53)+SUM(Model!$K100:X100)),0)</f>
        <v>0</v>
      </c>
      <c r="Y100" s="1" t="n">
        <f aca="false">IF($D$44=1,MAX(0,SUM(Model!$K53:Y53)+SUM(Model!$K100:Y100)),0)</f>
        <v>0</v>
      </c>
      <c r="Z100" s="1" t="n">
        <f aca="false">IF($D$44=1,MAX(0,SUM(Model!$K53:Z53)+SUM(Model!$K100:Z100)),0)</f>
        <v>0</v>
      </c>
      <c r="AA100" s="1" t="n">
        <f aca="false">IF($D$44=1,MAX(0,SUM(Model!$K53:AA53)+SUM(Model!$K100:AA100)),0)</f>
        <v>0</v>
      </c>
      <c r="AB100" s="1" t="n">
        <f aca="false">IF($D$44=1,MAX(0,SUM(Model!$K53:AB53)+SUM(Model!$K100:AB100)),0)</f>
        <v>0</v>
      </c>
      <c r="AC100" s="1" t="n">
        <f aca="false">IF($D$44=1,MAX(0,SUM(Model!$K53:AC53)+SUM(Model!$K100:AC100)),0)</f>
        <v>0</v>
      </c>
      <c r="AD100" s="1" t="n">
        <f aca="false">IF($D$44=1,MAX(0,SUM(Model!$K53:AD53)+SUM(Model!$K100:AD100)),0)</f>
        <v>0</v>
      </c>
      <c r="AE100" s="1" t="n">
        <f aca="false">IF($D$44=1,MAX(0,SUM(Model!$K53:AE53)+SUM(Model!$K100:AE100)),0)</f>
        <v>0</v>
      </c>
      <c r="AF100" s="1" t="n">
        <f aca="false">IF($D$44=1,MAX(0,SUM(Model!$K53:AF53)+SUM(Model!$K100:AF100)),0)</f>
        <v>0</v>
      </c>
      <c r="AG100" s="1" t="n">
        <f aca="false">IF($D$44=1,MAX(0,SUM(Model!$K53:AG53)+SUM(Model!$K100:AG100)),0)</f>
        <v>0</v>
      </c>
      <c r="AH100" s="1" t="n">
        <f aca="false">IF($D$44=1,MAX(0,SUM(Model!$K53:AH53)+SUM(Model!$K100:AH100)),0)</f>
        <v>0</v>
      </c>
      <c r="AI100" s="1" t="n">
        <f aca="false">IF($D$44=1,MAX(0,SUM(Model!$K53:AI53)+SUM(Model!$K100:AI100)),0)</f>
        <v>0</v>
      </c>
      <c r="AJ100" s="1" t="n">
        <f aca="false">IF($D$44=1,MAX(0,SUM(Model!$K53:AJ53)+SUM(Model!$K100:AJ100)),0)</f>
        <v>0</v>
      </c>
      <c r="AK100" s="1" t="n">
        <f aca="false">IF($D$44=1,MAX(0,SUM(Model!$K53:AK53)+SUM(Model!$K100:AK100)),0)</f>
        <v>0</v>
      </c>
      <c r="AL100" s="1" t="n">
        <f aca="false">IF($D$44=1,MAX(0,SUM(Model!$K53:AL53)+SUM(Model!$K100:AL100)),0)</f>
        <v>0</v>
      </c>
      <c r="AM100" s="1" t="n">
        <f aca="false">IF($D$44=1,MAX(0,SUM(Model!$K53:AM53)+SUM(Model!$K100:AM100)),0)</f>
        <v>0</v>
      </c>
      <c r="AN100" s="1" t="n">
        <f aca="false">IF($D$44=1,MAX(0,SUM(Model!$K53:AN53)+SUM(Model!$K100:AN100)),0)</f>
        <v>0</v>
      </c>
      <c r="AO100" s="1" t="n">
        <f aca="false">IF($D$44=1,MAX(0,SUM(Model!$K53:AO53)+SUM(Model!$K100:AO100)),0)</f>
        <v>0</v>
      </c>
      <c r="AP100" s="1" t="n">
        <f aca="false">IF($D$44=1,MAX(0,SUM(Model!$K53:AP53)+SUM(Model!$K100:AP100)),0)</f>
        <v>0</v>
      </c>
      <c r="AQ100" s="1" t="n">
        <f aca="false">IF($D$44=1,MAX(0,SUM(Model!$K53:AQ53)+SUM(Model!$K100:AQ100)),0)</f>
        <v>0</v>
      </c>
      <c r="AR100" s="1" t="n">
        <f aca="false">IF($D$44=1,MAX(0,SUM(Model!$K53:AR53)+SUM(Model!$K100:AR100)),0)</f>
        <v>0</v>
      </c>
      <c r="AS100" s="1" t="n">
        <f aca="false">IF($D$44=1,MAX(0,SUM(Model!$K53:AS53)+SUM(Model!$K100:AS100)),0)</f>
        <v>0</v>
      </c>
      <c r="AT100" s="1" t="n">
        <f aca="false">IF($D$44=1,MAX(0,SUM(Model!$K53:AT53)+SUM(Model!$K100:AT100)),0)</f>
        <v>0</v>
      </c>
      <c r="AU100" s="1" t="n">
        <f aca="false">IF($D$44=1,MAX(0,SUM(Model!$K53:AU53)+SUM(Model!$K100:AU100)),0)</f>
        <v>0</v>
      </c>
      <c r="AV100" s="1" t="n">
        <f aca="false">IF($D$44=1,MAX(0,SUM(Model!$K53:AV53)+SUM(Model!$K100:AV100)),0)</f>
        <v>0</v>
      </c>
      <c r="AW100" s="1" t="n">
        <f aca="false">IF($D$44=1,MAX(0,SUM(Model!$K53:AW53)+SUM(Model!$K100:AW100)),0)</f>
        <v>0</v>
      </c>
      <c r="AX100" s="1" t="n">
        <f aca="false">IF($D$44=1,MAX(0,SUM(Model!$K53:AX53)+SUM(Model!$K100:AX100)),0)</f>
        <v>0</v>
      </c>
      <c r="AY100" s="1" t="n">
        <f aca="false">IF($D$44=1,MAX(0,SUM(Model!$K53:AY53)+SUM(Model!$K100:AY100)),0)</f>
        <v>0</v>
      </c>
      <c r="AZ100" s="1" t="n">
        <f aca="false">IF($D$44=1,MAX(0,SUM(Model!$K53:AZ53)+SUM(Model!$K100:AZ100)),0)</f>
        <v>0</v>
      </c>
      <c r="BA100" s="1" t="n">
        <f aca="false">IF($D$44=1,MAX(0,SUM(Model!$K53:BA53)+SUM(Model!$K100:BA100)),0)</f>
        <v>0</v>
      </c>
      <c r="BB100" s="1" t="n">
        <f aca="false">IF($D$44=1,MAX(0,SUM(Model!$K53:BB53)+SUM(Model!$K100:BB100)),0)</f>
        <v>0</v>
      </c>
      <c r="BC100" s="1" t="n">
        <f aca="false">IF($D$44=1,MAX(0,SUM(Model!$K53:BC53)+SUM(Model!$K100:BC100)),0)</f>
        <v>0</v>
      </c>
      <c r="BD100" s="1" t="n">
        <f aca="false">IF($D$44=1,MAX(0,SUM(Model!$K53:BD53)+SUM(Model!$K100:BD100)),0)</f>
        <v>0</v>
      </c>
      <c r="BE100" s="1" t="n">
        <f aca="false">IF($D$44=1,MAX(0,SUM(Model!$K53:BE53)+SUM(Model!$K100:BE100)),0)</f>
        <v>0</v>
      </c>
      <c r="BF100" s="1" t="n">
        <f aca="false">IF($D$44=1,MAX(0,SUM(Model!$K53:BF53)+SUM(Model!$K100:BF100)),0)</f>
        <v>0</v>
      </c>
      <c r="BG100" s="1" t="n">
        <f aca="false">IF($D$44=1,MAX(0,SUM(Model!$K53:BG53)+SUM(Model!$K100:BG100)),0)</f>
        <v>0</v>
      </c>
      <c r="BH100" s="1" t="n">
        <f aca="false">IF($D$44=1,MAX(0,SUM(Model!$K53:BH53)+SUM(Model!$K100:BH100)),0)</f>
        <v>0</v>
      </c>
      <c r="BI100" s="1" t="n">
        <f aca="false">IF($D$44=1,MAX(0,SUM(Model!$K53:BI53)+SUM(Model!$K100:BI100)),0)</f>
        <v>0</v>
      </c>
      <c r="BJ100" s="1" t="n">
        <f aca="false">IF($D$44=1,MAX(0,SUM(Model!$K53:BJ53)+SUM(Model!$K100:BJ100)),0)</f>
        <v>0</v>
      </c>
      <c r="BK100" s="1" t="n">
        <f aca="false">IF($D$44=1,MAX(0,SUM(Model!$K53:BK53)+SUM(Model!$K100:BK100)),0)</f>
        <v>0</v>
      </c>
      <c r="BL100" s="1" t="n">
        <f aca="false">IF($D$44=1,MAX(0,SUM(Model!$K53:BL53)+SUM(Model!$K100:BL100)),0)</f>
        <v>0</v>
      </c>
      <c r="BM100" s="1" t="n">
        <f aca="false">IF($D$44=1,MAX(0,SUM(Model!$K53:BM53)+SUM(Model!$K100:BM100)),0)</f>
        <v>0</v>
      </c>
      <c r="BN100" s="1" t="n">
        <f aca="false">IF($D$44=1,MAX(0,SUM(Model!$K53:BN53)+SUM(Model!$K100:BN100)),0)</f>
        <v>0</v>
      </c>
      <c r="BO100" s="1" t="n">
        <f aca="false">IF($D$44=1,MAX(0,SUM(Model!$K53:BO53)+SUM(Model!$K100:BO100)),0)</f>
        <v>0</v>
      </c>
      <c r="BP100" s="1" t="n">
        <f aca="false">IF($D$44=1,MAX(0,SUM(Model!$K53:BP53)+SUM(Model!$K100:BP100)),0)</f>
        <v>0</v>
      </c>
      <c r="BQ100" s="1" t="n">
        <f aca="false">IF($D$44=1,MAX(0,SUM(Model!$K53:BQ53)+SUM(Model!$K100:BQ100)),0)</f>
        <v>0</v>
      </c>
      <c r="BR100" s="1" t="n">
        <f aca="false">IF($D$44=1,MAX(0,SUM(Model!$K53:BR53)+SUM(Model!$K100:BR100)),0)</f>
        <v>0</v>
      </c>
      <c r="BS100" s="1" t="n">
        <f aca="false">IF($D$44=1,MAX(0,SUM(Model!$K53:BS53)+SUM(Model!$K100:BS100)),0)</f>
        <v>0</v>
      </c>
      <c r="BT100" s="1" t="n">
        <f aca="false">IF($D$44=1,MAX(0,SUM(Model!$K53:BT53)+SUM(Model!$K100:BT100)),0)</f>
        <v>0</v>
      </c>
      <c r="BU100" s="1" t="n">
        <f aca="false">IF($D$44=1,MAX(0,SUM(Model!$K53:BU53)+SUM(Model!$K100:BU100)),0)</f>
        <v>0</v>
      </c>
      <c r="BV100" s="1" t="n">
        <f aca="false">IF($D$44=1,MAX(0,SUM(Model!$K53:BV53)+SUM(Model!$K100:BV100)),0)</f>
        <v>0</v>
      </c>
      <c r="BW100" s="1" t="n">
        <f aca="false">IF($D$44=1,MAX(0,SUM(Model!$K53:BW53)+SUM(Model!$K100:BW100)),0)</f>
        <v>0</v>
      </c>
      <c r="BX100" s="1" t="n">
        <f aca="false">IF($D$44=1,MAX(0,SUM(Model!$K53:BX53)+SUM(Model!$K100:BX100)),0)</f>
        <v>0</v>
      </c>
      <c r="BY100" s="1" t="n">
        <f aca="false">IF($D$44=1,MAX(0,SUM(Model!$K53:BY53)+SUM(Model!$K100:BY100)),0)</f>
        <v>0</v>
      </c>
      <c r="BZ100" s="1" t="n">
        <f aca="false">IF($D$44=1,MAX(0,SUM(Model!$K53:BZ53)+SUM(Model!$K100:BZ100)),0)</f>
        <v>0</v>
      </c>
      <c r="CA100" s="1" t="n">
        <f aca="false">IF($D$44=1,MAX(0,SUM(Model!$K53:CA53)+SUM(Model!$K100:CA100)),0)</f>
        <v>0</v>
      </c>
      <c r="CB100" s="1" t="n">
        <f aca="false">IF($D$44=1,MAX(0,SUM(Model!$K53:CB53)+SUM(Model!$K100:CB100)),0)</f>
        <v>0</v>
      </c>
      <c r="CC100" s="1" t="n">
        <f aca="false">IF($D$44=1,MAX(0,SUM(Model!$K53:CC53)+SUM(Model!$K100:CC100)),0)</f>
        <v>0</v>
      </c>
      <c r="CD100" s="1" t="n">
        <f aca="false">IF($D$44=1,MAX(0,SUM(Model!$K53:CD53)+SUM(Model!$K100:CD100)),0)</f>
        <v>0</v>
      </c>
      <c r="CE100" s="1" t="n">
        <f aca="false">IF($D$44=1,MAX(0,SUM(Model!$K53:CE53)+SUM(Model!$K100:CE100)),0)</f>
        <v>0</v>
      </c>
      <c r="CF100" s="1" t="n">
        <f aca="false">IF($D$44=1,MAX(0,SUM(Model!$K53:CF53)+SUM(Model!$K100:CF100)),0)</f>
        <v>0</v>
      </c>
      <c r="CG100" s="1" t="n">
        <f aca="false">IF($D$44=1,MAX(0,SUM(Model!$K53:CG53)+SUM(Model!$K100:CG100)),0)</f>
        <v>0</v>
      </c>
      <c r="CH100" s="1" t="n">
        <f aca="false">IF($D$44=1,MAX(0,SUM(Model!$K53:CH53)+SUM(Model!$K100:CH100)),0)</f>
        <v>0</v>
      </c>
      <c r="CI100" s="1" t="n">
        <f aca="false">IF($D$44=1,MAX(0,SUM(Model!$K53:CI53)+SUM(Model!$K100:CI100)),0)</f>
        <v>0</v>
      </c>
      <c r="CJ100" s="1" t="n">
        <f aca="false">IF($D$44=1,MAX(0,SUM(Model!$K53:CJ53)+SUM(Model!$K100:CJ100)),0)</f>
        <v>0</v>
      </c>
      <c r="CK100" s="1" t="n">
        <f aca="false">IF($D$44=1,MAX(0,SUM(Model!$K53:CK53)+SUM(Model!$K100:CK100)),0)</f>
        <v>0</v>
      </c>
      <c r="CL100" s="1" t="n">
        <f aca="false">IF($D$44=1,MAX(0,SUM(Model!$K53:CL53)+SUM(Model!$K100:CL100)),0)</f>
        <v>0</v>
      </c>
      <c r="CM100" s="1" t="n">
        <f aca="false">IF($D$44=1,MAX(0,SUM(Model!$K53:CM53)+SUM(Model!$K100:CM100)),0)</f>
        <v>0</v>
      </c>
      <c r="CN100" s="1" t="n">
        <f aca="false">IF($D$44=1,MAX(0,SUM(Model!$K53:CN53)+SUM(Model!$K100:CN100)),0)</f>
        <v>0</v>
      </c>
      <c r="CO100" s="1" t="n">
        <f aca="false">IF($D$44=1,MAX(0,SUM(Model!$K53:CO53)+SUM(Model!$K100:CO100)),0)</f>
        <v>0</v>
      </c>
      <c r="CP100" s="1" t="n">
        <f aca="false">IF($D$44=1,MAX(0,SUM(Model!$K53:CP53)+SUM(Model!$K100:CP100)),0)</f>
        <v>0</v>
      </c>
      <c r="CQ100" s="1" t="n">
        <f aca="false">IF($D$44=1,MAX(0,SUM(Model!$K53:CQ53)+SUM(Model!$K100:CQ100)),0)</f>
        <v>0</v>
      </c>
      <c r="CR100" s="1" t="n">
        <f aca="false">IF($D$44=1,MAX(0,SUM(Model!$K53:CR53)+SUM(Model!$K100:CR100)),0)</f>
        <v>0</v>
      </c>
      <c r="CS100" s="1" t="n">
        <f aca="false">IF($D$44=1,MAX(0,SUM(Model!$K53:CS53)+SUM(Model!$K100:CS100)),0)</f>
        <v>0</v>
      </c>
      <c r="CT100" s="1" t="n">
        <f aca="false">IF($D$44=1,MAX(0,SUM(Model!$K53:CT53)+SUM(Model!$K100:CT100)),0)</f>
        <v>0</v>
      </c>
      <c r="CU100" s="1" t="n">
        <f aca="false">IF($D$44=1,MAX(0,SUM(Model!$K53:CU53)+SUM(Model!$K100:CU100)),0)</f>
        <v>0</v>
      </c>
      <c r="CV100" s="1" t="n">
        <f aca="false">IF($D$44=1,MAX(0,SUM(Model!$K53:CV53)+SUM(Model!$K100:CV100)),0)</f>
        <v>0</v>
      </c>
      <c r="CW100" s="1" t="n">
        <f aca="false">IF($D$44=1,MAX(0,SUM(Model!$K53:CW53)+SUM(Model!$K100:CW100)),0)</f>
        <v>0</v>
      </c>
      <c r="CX100" s="1" t="n">
        <f aca="false">IF($D$44=1,MAX(0,SUM(Model!$K53:CX53)+SUM(Model!$K100:CX100)),0)</f>
        <v>0</v>
      </c>
      <c r="CY100" s="1" t="n">
        <f aca="false">IF($D$44=1,MAX(0,SUM(Model!$K53:CY53)+SUM(Model!$K100:CY100)),0)</f>
        <v>0</v>
      </c>
      <c r="CZ100" s="1" t="n">
        <f aca="false">IF($D$44=1,MAX(0,SUM(Model!$K53:CZ53)+SUM(Model!$K100:CZ100)),0)</f>
        <v>0</v>
      </c>
      <c r="DA100" s="1" t="n">
        <f aca="false">IF($D$44=1,MAX(0,SUM(Model!$K53:DA53)+SUM(Model!$K100:DA100)),0)</f>
        <v>0</v>
      </c>
      <c r="DB100" s="1" t="n">
        <f aca="false">IF($D$44=1,MAX(0,SUM(Model!$K53:DB53)+SUM(Model!$K100:DB100)),0)</f>
        <v>0</v>
      </c>
      <c r="DC100" s="1" t="n">
        <f aca="false">IF($D$44=1,MAX(0,SUM(Model!$K53:DC53)+SUM(Model!$K100:DC100)),0)</f>
        <v>0</v>
      </c>
      <c r="DD100" s="1" t="n">
        <f aca="false">IF($D$44=1,MAX(0,SUM(Model!$K53:DD53)+SUM(Model!$K100:DD100)),0)</f>
        <v>0</v>
      </c>
      <c r="DE100" s="1" t="n">
        <f aca="false">IF($D$44=1,MAX(0,SUM(Model!$K53:DE53)+SUM(Model!$K100:DE100)),0)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v>0</v>
      </c>
      <c r="K101" s="1" t="n">
        <f aca="false">IF($D$45=1,MAX(0,SUM(Model!$K54:K54)+SUM(Model!$K101:K101)),0)</f>
        <v>0</v>
      </c>
      <c r="L101" s="1" t="n">
        <f aca="false">IF($D$45=1,MAX(0,SUM(Model!$K54:L54)+SUM(Model!$K101:L101)),0)</f>
        <v>0</v>
      </c>
      <c r="M101" s="1" t="n">
        <f aca="false">IF($D$45=1,MAX(0,SUM(Model!$K54:M54)+SUM(Model!$K101:M101)),0)</f>
        <v>0</v>
      </c>
      <c r="N101" s="1" t="n">
        <f aca="false">IF($D$45=1,MAX(0,SUM(Model!$K54:N54)+SUM(Model!$K101:N101)),0)</f>
        <v>0</v>
      </c>
      <c r="O101" s="1" t="n">
        <f aca="false">IF($D$45=1,MAX(0,SUM(Model!$K54:O54)+SUM(Model!$K101:O101)),0)</f>
        <v>0</v>
      </c>
      <c r="P101" s="1" t="n">
        <f aca="false">IF($D$45=1,MAX(0,SUM(Model!$K54:P54)+SUM(Model!$K101:P101)),0)</f>
        <v>0</v>
      </c>
      <c r="Q101" s="1" t="n">
        <f aca="false">IF($D$45=1,MAX(0,SUM(Model!$K54:Q54)+SUM(Model!$K101:Q101)),0)</f>
        <v>0</v>
      </c>
      <c r="R101" s="1" t="n">
        <f aca="false">IF($D$45=1,MAX(0,SUM(Model!$K54:R54)+SUM(Model!$K101:R101)),0)</f>
        <v>0</v>
      </c>
      <c r="S101" s="1" t="n">
        <f aca="false">IF($D$45=1,MAX(0,SUM(Model!$K54:S54)+SUM(Model!$K101:S101)),0)</f>
        <v>0</v>
      </c>
      <c r="T101" s="1" t="n">
        <f aca="false">IF($D$45=1,MAX(0,SUM(Model!$K54:T54)+SUM(Model!$K101:T101)),0)</f>
        <v>0</v>
      </c>
      <c r="U101" s="1" t="n">
        <f aca="false">IF($D$45=1,MAX(0,SUM(Model!$K54:U54)+SUM(Model!$K101:U101)),0)</f>
        <v>0</v>
      </c>
      <c r="V101" s="1" t="n">
        <f aca="false">IF($D$45=1,MAX(0,SUM(Model!$K54:V54)+SUM(Model!$K101:V101)),0)</f>
        <v>0</v>
      </c>
      <c r="W101" s="1" t="n">
        <f aca="false">IF($D$45=1,MAX(0,SUM(Model!$K54:W54)+SUM(Model!$K101:W101)),0)</f>
        <v>0</v>
      </c>
      <c r="X101" s="1" t="n">
        <f aca="false">IF($D$45=1,MAX(0,SUM(Model!$K54:X54)+SUM(Model!$K101:X101)),0)</f>
        <v>0</v>
      </c>
      <c r="Y101" s="1" t="n">
        <f aca="false">IF($D$45=1,MAX(0,SUM(Model!$K54:Y54)+SUM(Model!$K101:Y101)),0)</f>
        <v>0</v>
      </c>
      <c r="Z101" s="1" t="n">
        <f aca="false">IF($D$45=1,MAX(0,SUM(Model!$K54:Z54)+SUM(Model!$K101:Z101)),0)</f>
        <v>0</v>
      </c>
      <c r="AA101" s="1" t="n">
        <f aca="false">IF($D$45=1,MAX(0,SUM(Model!$K54:AA54)+SUM(Model!$K101:AA101)),0)</f>
        <v>0</v>
      </c>
      <c r="AB101" s="1" t="n">
        <f aca="false">IF($D$45=1,MAX(0,SUM(Model!$K54:AB54)+SUM(Model!$K101:AB101)),0)</f>
        <v>0</v>
      </c>
      <c r="AC101" s="1" t="n">
        <f aca="false">IF($D$45=1,MAX(0,SUM(Model!$K54:AC54)+SUM(Model!$K101:AC101)),0)</f>
        <v>0</v>
      </c>
      <c r="AD101" s="1" t="n">
        <f aca="false">IF($D$45=1,MAX(0,SUM(Model!$K54:AD54)+SUM(Model!$K101:AD101)),0)</f>
        <v>0</v>
      </c>
      <c r="AE101" s="1" t="n">
        <f aca="false">IF($D$45=1,MAX(0,SUM(Model!$K54:AE54)+SUM(Model!$K101:AE101)),0)</f>
        <v>0</v>
      </c>
      <c r="AF101" s="1" t="n">
        <f aca="false">IF($D$45=1,MAX(0,SUM(Model!$K54:AF54)+SUM(Model!$K101:AF101)),0)</f>
        <v>0</v>
      </c>
      <c r="AG101" s="1" t="n">
        <f aca="false">IF($D$45=1,MAX(0,SUM(Model!$K54:AG54)+SUM(Model!$K101:AG101)),0)</f>
        <v>0</v>
      </c>
      <c r="AH101" s="1" t="n">
        <f aca="false">IF($D$45=1,MAX(0,SUM(Model!$K54:AH54)+SUM(Model!$K101:AH101)),0)</f>
        <v>0</v>
      </c>
      <c r="AI101" s="1" t="n">
        <f aca="false">IF($D$45=1,MAX(0,SUM(Model!$K54:AI54)+SUM(Model!$K101:AI101)),0)</f>
        <v>0</v>
      </c>
      <c r="AJ101" s="1" t="n">
        <f aca="false">IF($D$45=1,MAX(0,SUM(Model!$K54:AJ54)+SUM(Model!$K101:AJ101)),0)</f>
        <v>0</v>
      </c>
      <c r="AK101" s="1" t="n">
        <f aca="false">IF($D$45=1,MAX(0,SUM(Model!$K54:AK54)+SUM(Model!$K101:AK101)),0)</f>
        <v>0</v>
      </c>
      <c r="AL101" s="1" t="n">
        <f aca="false">IF($D$45=1,MAX(0,SUM(Model!$K54:AL54)+SUM(Model!$K101:AL101)),0)</f>
        <v>0</v>
      </c>
      <c r="AM101" s="1" t="n">
        <f aca="false">IF($D$45=1,MAX(0,SUM(Model!$K54:AM54)+SUM(Model!$K101:AM101)),0)</f>
        <v>0</v>
      </c>
      <c r="AN101" s="1" t="n">
        <f aca="false">IF($D$45=1,MAX(0,SUM(Model!$K54:AN54)+SUM(Model!$K101:AN101)),0)</f>
        <v>0</v>
      </c>
      <c r="AO101" s="1" t="n">
        <f aca="false">IF($D$45=1,MAX(0,SUM(Model!$K54:AO54)+SUM(Model!$K101:AO101)),0)</f>
        <v>0</v>
      </c>
      <c r="AP101" s="1" t="n">
        <f aca="false">IF($D$45=1,MAX(0,SUM(Model!$K54:AP54)+SUM(Model!$K101:AP101)),0)</f>
        <v>0</v>
      </c>
      <c r="AQ101" s="1" t="n">
        <f aca="false">IF($D$45=1,MAX(0,SUM(Model!$K54:AQ54)+SUM(Model!$K101:AQ101)),0)</f>
        <v>0</v>
      </c>
      <c r="AR101" s="1" t="n">
        <f aca="false">IF($D$45=1,MAX(0,SUM(Model!$K54:AR54)+SUM(Model!$K101:AR101)),0)</f>
        <v>0</v>
      </c>
      <c r="AS101" s="1" t="n">
        <f aca="false">IF($D$45=1,MAX(0,SUM(Model!$K54:AS54)+SUM(Model!$K101:AS101)),0)</f>
        <v>0</v>
      </c>
      <c r="AT101" s="1" t="n">
        <f aca="false">IF($D$45=1,MAX(0,SUM(Model!$K54:AT54)+SUM(Model!$K101:AT101)),0)</f>
        <v>0</v>
      </c>
      <c r="AU101" s="1" t="n">
        <f aca="false">IF($D$45=1,MAX(0,SUM(Model!$K54:AU54)+SUM(Model!$K101:AU101)),0)</f>
        <v>0</v>
      </c>
      <c r="AV101" s="1" t="n">
        <f aca="false">IF($D$45=1,MAX(0,SUM(Model!$K54:AV54)+SUM(Model!$K101:AV101)),0)</f>
        <v>0</v>
      </c>
      <c r="AW101" s="1" t="n">
        <f aca="false">IF($D$45=1,MAX(0,SUM(Model!$K54:AW54)+SUM(Model!$K101:AW101)),0)</f>
        <v>0</v>
      </c>
      <c r="AX101" s="1" t="n">
        <f aca="false">IF($D$45=1,MAX(0,SUM(Model!$K54:AX54)+SUM(Model!$K101:AX101)),0)</f>
        <v>0</v>
      </c>
      <c r="AY101" s="1" t="n">
        <f aca="false">IF($D$45=1,MAX(0,SUM(Model!$K54:AY54)+SUM(Model!$K101:AY101)),0)</f>
        <v>0</v>
      </c>
      <c r="AZ101" s="1" t="n">
        <f aca="false">IF($D$45=1,MAX(0,SUM(Model!$K54:AZ54)+SUM(Model!$K101:AZ101)),0)</f>
        <v>0</v>
      </c>
      <c r="BA101" s="1" t="n">
        <f aca="false">IF($D$45=1,MAX(0,SUM(Model!$K54:BA54)+SUM(Model!$K101:BA101)),0)</f>
        <v>0</v>
      </c>
      <c r="BB101" s="1" t="n">
        <f aca="false">IF($D$45=1,MAX(0,SUM(Model!$K54:BB54)+SUM(Model!$K101:BB101)),0)</f>
        <v>0</v>
      </c>
      <c r="BC101" s="1" t="n">
        <f aca="false">IF($D$45=1,MAX(0,SUM(Model!$K54:BC54)+SUM(Model!$K101:BC101)),0)</f>
        <v>0</v>
      </c>
      <c r="BD101" s="1" t="n">
        <f aca="false">IF($D$45=1,MAX(0,SUM(Model!$K54:BD54)+SUM(Model!$K101:BD101)),0)</f>
        <v>0</v>
      </c>
      <c r="BE101" s="1" t="n">
        <f aca="false">IF($D$45=1,MAX(0,SUM(Model!$K54:BE54)+SUM(Model!$K101:BE101)),0)</f>
        <v>0</v>
      </c>
      <c r="BF101" s="1" t="n">
        <f aca="false">IF($D$45=1,MAX(0,SUM(Model!$K54:BF54)+SUM(Model!$K101:BF101)),0)</f>
        <v>0</v>
      </c>
      <c r="BG101" s="1" t="n">
        <f aca="false">IF($D$45=1,MAX(0,SUM(Model!$K54:BG54)+SUM(Model!$K101:BG101)),0)</f>
        <v>0</v>
      </c>
      <c r="BH101" s="1" t="n">
        <f aca="false">IF($D$45=1,MAX(0,SUM(Model!$K54:BH54)+SUM(Model!$K101:BH101)),0)</f>
        <v>0</v>
      </c>
      <c r="BI101" s="1" t="n">
        <f aca="false">IF($D$45=1,MAX(0,SUM(Model!$K54:BI54)+SUM(Model!$K101:BI101)),0)</f>
        <v>0</v>
      </c>
      <c r="BJ101" s="1" t="n">
        <f aca="false">IF($D$45=1,MAX(0,SUM(Model!$K54:BJ54)+SUM(Model!$K101:BJ101)),0)</f>
        <v>0</v>
      </c>
      <c r="BK101" s="1" t="n">
        <f aca="false">IF($D$45=1,MAX(0,SUM(Model!$K54:BK54)+SUM(Model!$K101:BK101)),0)</f>
        <v>0</v>
      </c>
      <c r="BL101" s="1" t="n">
        <f aca="false">IF($D$45=1,MAX(0,SUM(Model!$K54:BL54)+SUM(Model!$K101:BL101)),0)</f>
        <v>0</v>
      </c>
      <c r="BM101" s="1" t="n">
        <f aca="false">IF($D$45=1,MAX(0,SUM(Model!$K54:BM54)+SUM(Model!$K101:BM101)),0)</f>
        <v>0</v>
      </c>
      <c r="BN101" s="1" t="n">
        <f aca="false">IF($D$45=1,MAX(0,SUM(Model!$K54:BN54)+SUM(Model!$K101:BN101)),0)</f>
        <v>0</v>
      </c>
      <c r="BO101" s="1" t="n">
        <f aca="false">IF($D$45=1,MAX(0,SUM(Model!$K54:BO54)+SUM(Model!$K101:BO101)),0)</f>
        <v>0</v>
      </c>
      <c r="BP101" s="1" t="n">
        <f aca="false">IF($D$45=1,MAX(0,SUM(Model!$K54:BP54)+SUM(Model!$K101:BP101)),0)</f>
        <v>0</v>
      </c>
      <c r="BQ101" s="1" t="n">
        <f aca="false">IF($D$45=1,MAX(0,SUM(Model!$K54:BQ54)+SUM(Model!$K101:BQ101)),0)</f>
        <v>0</v>
      </c>
      <c r="BR101" s="1" t="n">
        <f aca="false">IF($D$45=1,MAX(0,SUM(Model!$K54:BR54)+SUM(Model!$K101:BR101)),0)</f>
        <v>0</v>
      </c>
      <c r="BS101" s="1" t="n">
        <f aca="false">IF($D$45=1,MAX(0,SUM(Model!$K54:BS54)+SUM(Model!$K101:BS101)),0)</f>
        <v>0</v>
      </c>
      <c r="BT101" s="1" t="n">
        <f aca="false">IF($D$45=1,MAX(0,SUM(Model!$K54:BT54)+SUM(Model!$K101:BT101)),0)</f>
        <v>0</v>
      </c>
      <c r="BU101" s="1" t="n">
        <f aca="false">IF($D$45=1,MAX(0,SUM(Model!$K54:BU54)+SUM(Model!$K101:BU101)),0)</f>
        <v>0</v>
      </c>
      <c r="BV101" s="1" t="n">
        <f aca="false">IF($D$45=1,MAX(0,SUM(Model!$K54:BV54)+SUM(Model!$K101:BV101)),0)</f>
        <v>0</v>
      </c>
      <c r="BW101" s="1" t="n">
        <f aca="false">IF($D$45=1,MAX(0,SUM(Model!$K54:BW54)+SUM(Model!$K101:BW101)),0)</f>
        <v>0</v>
      </c>
      <c r="BX101" s="1" t="n">
        <f aca="false">IF($D$45=1,MAX(0,SUM(Model!$K54:BX54)+SUM(Model!$K101:BX101)),0)</f>
        <v>0</v>
      </c>
      <c r="BY101" s="1" t="n">
        <f aca="false">IF($D$45=1,MAX(0,SUM(Model!$K54:BY54)+SUM(Model!$K101:BY101)),0)</f>
        <v>0</v>
      </c>
      <c r="BZ101" s="1" t="n">
        <f aca="false">IF($D$45=1,MAX(0,SUM(Model!$K54:BZ54)+SUM(Model!$K101:BZ101)),0)</f>
        <v>0</v>
      </c>
      <c r="CA101" s="1" t="n">
        <f aca="false">IF($D$45=1,MAX(0,SUM(Model!$K54:CA54)+SUM(Model!$K101:CA101)),0)</f>
        <v>0</v>
      </c>
      <c r="CB101" s="1" t="n">
        <f aca="false">IF($D$45=1,MAX(0,SUM(Model!$K54:CB54)+SUM(Model!$K101:CB101)),0)</f>
        <v>0</v>
      </c>
      <c r="CC101" s="1" t="n">
        <f aca="false">IF($D$45=1,MAX(0,SUM(Model!$K54:CC54)+SUM(Model!$K101:CC101)),0)</f>
        <v>0</v>
      </c>
      <c r="CD101" s="1" t="n">
        <f aca="false">IF($D$45=1,MAX(0,SUM(Model!$K54:CD54)+SUM(Model!$K101:CD101)),0)</f>
        <v>0</v>
      </c>
      <c r="CE101" s="1" t="n">
        <f aca="false">IF($D$45=1,MAX(0,SUM(Model!$K54:CE54)+SUM(Model!$K101:CE101)),0)</f>
        <v>0</v>
      </c>
      <c r="CF101" s="1" t="n">
        <f aca="false">IF($D$45=1,MAX(0,SUM(Model!$K54:CF54)+SUM(Model!$K101:CF101)),0)</f>
        <v>0</v>
      </c>
      <c r="CG101" s="1" t="n">
        <f aca="false">IF($D$45=1,MAX(0,SUM(Model!$K54:CG54)+SUM(Model!$K101:CG101)),0)</f>
        <v>0</v>
      </c>
      <c r="CH101" s="1" t="n">
        <f aca="false">IF($D$45=1,MAX(0,SUM(Model!$K54:CH54)+SUM(Model!$K101:CH101)),0)</f>
        <v>0</v>
      </c>
      <c r="CI101" s="1" t="n">
        <f aca="false">IF($D$45=1,MAX(0,SUM(Model!$K54:CI54)+SUM(Model!$K101:CI101)),0)</f>
        <v>0</v>
      </c>
      <c r="CJ101" s="1" t="n">
        <f aca="false">IF($D$45=1,MAX(0,SUM(Model!$K54:CJ54)+SUM(Model!$K101:CJ101)),0)</f>
        <v>0</v>
      </c>
      <c r="CK101" s="1" t="n">
        <f aca="false">IF($D$45=1,MAX(0,SUM(Model!$K54:CK54)+SUM(Model!$K101:CK101)),0)</f>
        <v>0</v>
      </c>
      <c r="CL101" s="1" t="n">
        <f aca="false">IF($D$45=1,MAX(0,SUM(Model!$K54:CL54)+SUM(Model!$K101:CL101)),0)</f>
        <v>0</v>
      </c>
      <c r="CM101" s="1" t="n">
        <f aca="false">IF($D$45=1,MAX(0,SUM(Model!$K54:CM54)+SUM(Model!$K101:CM101)),0)</f>
        <v>0</v>
      </c>
      <c r="CN101" s="1" t="n">
        <f aca="false">IF($D$45=1,MAX(0,SUM(Model!$K54:CN54)+SUM(Model!$K101:CN101)),0)</f>
        <v>0</v>
      </c>
      <c r="CO101" s="1" t="n">
        <f aca="false">IF($D$45=1,MAX(0,SUM(Model!$K54:CO54)+SUM(Model!$K101:CO101)),0)</f>
        <v>0</v>
      </c>
      <c r="CP101" s="1" t="n">
        <f aca="false">IF($D$45=1,MAX(0,SUM(Model!$K54:CP54)+SUM(Model!$K101:CP101)),0)</f>
        <v>0</v>
      </c>
      <c r="CQ101" s="1" t="n">
        <f aca="false">IF($D$45=1,MAX(0,SUM(Model!$K54:CQ54)+SUM(Model!$K101:CQ101)),0)</f>
        <v>0</v>
      </c>
      <c r="CR101" s="1" t="n">
        <f aca="false">IF($D$45=1,MAX(0,SUM(Model!$K54:CR54)+SUM(Model!$K101:CR101)),0)</f>
        <v>0</v>
      </c>
      <c r="CS101" s="1" t="n">
        <f aca="false">IF($D$45=1,MAX(0,SUM(Model!$K54:CS54)+SUM(Model!$K101:CS101)),0)</f>
        <v>0</v>
      </c>
      <c r="CT101" s="1" t="n">
        <f aca="false">IF($D$45=1,MAX(0,SUM(Model!$K54:CT54)+SUM(Model!$K101:CT101)),0)</f>
        <v>0</v>
      </c>
      <c r="CU101" s="1" t="n">
        <f aca="false">IF($D$45=1,MAX(0,SUM(Model!$K54:CU54)+SUM(Model!$K101:CU101)),0)</f>
        <v>0</v>
      </c>
      <c r="CV101" s="1" t="n">
        <f aca="false">IF($D$45=1,MAX(0,SUM(Model!$K54:CV54)+SUM(Model!$K101:CV101)),0)</f>
        <v>0</v>
      </c>
      <c r="CW101" s="1" t="n">
        <f aca="false">IF($D$45=1,MAX(0,SUM(Model!$K54:CW54)+SUM(Model!$K101:CW101)),0)</f>
        <v>0</v>
      </c>
      <c r="CX101" s="1" t="n">
        <f aca="false">IF($D$45=1,MAX(0,SUM(Model!$K54:CX54)+SUM(Model!$K101:CX101)),0)</f>
        <v>0</v>
      </c>
      <c r="CY101" s="1" t="n">
        <f aca="false">IF($D$45=1,MAX(0,SUM(Model!$K54:CY54)+SUM(Model!$K101:CY101)),0)</f>
        <v>0</v>
      </c>
      <c r="CZ101" s="1" t="n">
        <f aca="false">IF($D$45=1,MAX(0,SUM(Model!$K54:CZ54)+SUM(Model!$K101:CZ101)),0)</f>
        <v>0</v>
      </c>
      <c r="DA101" s="1" t="n">
        <f aca="false">IF($D$45=1,MAX(0,SUM(Model!$K54:DA54)+SUM(Model!$K101:DA101)),0)</f>
        <v>0</v>
      </c>
      <c r="DB101" s="1" t="n">
        <f aca="false">IF($D$45=1,MAX(0,SUM(Model!$K54:DB54)+SUM(Model!$K101:DB101)),0)</f>
        <v>0</v>
      </c>
      <c r="DC101" s="1" t="n">
        <f aca="false">IF($D$45=1,MAX(0,SUM(Model!$K54:DC54)+SUM(Model!$K101:DC101)),0)</f>
        <v>0</v>
      </c>
      <c r="DD101" s="1" t="n">
        <f aca="false">IF($D$45=1,MAX(0,SUM(Model!$K54:DD54)+SUM(Model!$K101:DD101)),0)</f>
        <v>0</v>
      </c>
      <c r="DE101" s="1" t="n">
        <f aca="false">IF($D$45=1,MAX(0,SUM(Model!$K54:DE54)+SUM(Model!$K101:DE101)),0)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v>0</v>
      </c>
      <c r="K102" s="1" t="n">
        <f aca="false">IF($D$46=1,MAX(0,SUM(Model!$K55:K55)+SUM(Model!$K102:K102)),0)</f>
        <v>0</v>
      </c>
      <c r="L102" s="1" t="n">
        <f aca="false">IF($D$46=1,MAX(0,SUM(Model!$K55:L55)+SUM(Model!$K102:L102)),0)</f>
        <v>0</v>
      </c>
      <c r="M102" s="1" t="n">
        <f aca="false">IF($D$46=1,MAX(0,SUM(Model!$K55:M55)+SUM(Model!$K102:M102)),0)</f>
        <v>0</v>
      </c>
      <c r="N102" s="1" t="n">
        <f aca="false">IF($D$46=1,MAX(0,SUM(Model!$K55:N55)+SUM(Model!$K102:N102)),0)</f>
        <v>0</v>
      </c>
      <c r="O102" s="1" t="n">
        <f aca="false">IF($D$46=1,MAX(0,SUM(Model!$K55:O55)+SUM(Model!$K102:O102)),0)</f>
        <v>0</v>
      </c>
      <c r="P102" s="1" t="n">
        <f aca="false">IF($D$46=1,MAX(0,SUM(Model!$K55:P55)+SUM(Model!$K102:P102)),0)</f>
        <v>0</v>
      </c>
      <c r="Q102" s="1" t="n">
        <f aca="false">IF($D$46=1,MAX(0,SUM(Model!$K55:Q55)+SUM(Model!$K102:Q102)),0)</f>
        <v>0</v>
      </c>
      <c r="R102" s="1" t="n">
        <f aca="false">IF($D$46=1,MAX(0,SUM(Model!$K55:R55)+SUM(Model!$K102:R102)),0)</f>
        <v>0</v>
      </c>
      <c r="S102" s="1" t="n">
        <f aca="false">IF($D$46=1,MAX(0,SUM(Model!$K55:S55)+SUM(Model!$K102:S102)),0)</f>
        <v>0</v>
      </c>
      <c r="T102" s="1" t="n">
        <f aca="false">IF($D$46=1,MAX(0,SUM(Model!$K55:T55)+SUM(Model!$K102:T102)),0)</f>
        <v>0</v>
      </c>
      <c r="U102" s="1" t="n">
        <f aca="false">IF($D$46=1,MAX(0,SUM(Model!$K55:U55)+SUM(Model!$K102:U102)),0)</f>
        <v>0</v>
      </c>
      <c r="V102" s="1" t="n">
        <f aca="false">IF($D$46=1,MAX(0,SUM(Model!$K55:V55)+SUM(Model!$K102:V102)),0)</f>
        <v>0</v>
      </c>
      <c r="W102" s="1" t="n">
        <f aca="false">IF($D$46=1,MAX(0,SUM(Model!$K55:W55)+SUM(Model!$K102:W102)),0)</f>
        <v>0</v>
      </c>
      <c r="X102" s="1" t="n">
        <f aca="false">IF($D$46=1,MAX(0,SUM(Model!$K55:X55)+SUM(Model!$K102:X102)),0)</f>
        <v>0</v>
      </c>
      <c r="Y102" s="1" t="n">
        <f aca="false">IF($D$46=1,MAX(0,SUM(Model!$K55:Y55)+SUM(Model!$K102:Y102)),0)</f>
        <v>0</v>
      </c>
      <c r="Z102" s="1" t="n">
        <f aca="false">IF($D$46=1,MAX(0,SUM(Model!$K55:Z55)+SUM(Model!$K102:Z102)),0)</f>
        <v>0</v>
      </c>
      <c r="AA102" s="1" t="n">
        <f aca="false">IF($D$46=1,MAX(0,SUM(Model!$K55:AA55)+SUM(Model!$K102:AA102)),0)</f>
        <v>0</v>
      </c>
      <c r="AB102" s="1" t="n">
        <f aca="false">IF($D$46=1,MAX(0,SUM(Model!$K55:AB55)+SUM(Model!$K102:AB102)),0)</f>
        <v>0</v>
      </c>
      <c r="AC102" s="1" t="n">
        <f aca="false">IF($D$46=1,MAX(0,SUM(Model!$K55:AC55)+SUM(Model!$K102:AC102)),0)</f>
        <v>0</v>
      </c>
      <c r="AD102" s="1" t="n">
        <f aca="false">IF($D$46=1,MAX(0,SUM(Model!$K55:AD55)+SUM(Model!$K102:AD102)),0)</f>
        <v>0</v>
      </c>
      <c r="AE102" s="1" t="n">
        <f aca="false">IF($D$46=1,MAX(0,SUM(Model!$K55:AE55)+SUM(Model!$K102:AE102)),0)</f>
        <v>0</v>
      </c>
      <c r="AF102" s="1" t="n">
        <f aca="false">IF($D$46=1,MAX(0,SUM(Model!$K55:AF55)+SUM(Model!$K102:AF102)),0)</f>
        <v>0</v>
      </c>
      <c r="AG102" s="1" t="n">
        <f aca="false">IF($D$46=1,MAX(0,SUM(Model!$K55:AG55)+SUM(Model!$K102:AG102)),0)</f>
        <v>0</v>
      </c>
      <c r="AH102" s="1" t="n">
        <f aca="false">IF($D$46=1,MAX(0,SUM(Model!$K55:AH55)+SUM(Model!$K102:AH102)),0)</f>
        <v>0</v>
      </c>
      <c r="AI102" s="1" t="n">
        <f aca="false">IF($D$46=1,MAX(0,SUM(Model!$K55:AI55)+SUM(Model!$K102:AI102)),0)</f>
        <v>0</v>
      </c>
      <c r="AJ102" s="1" t="n">
        <f aca="false">IF($D$46=1,MAX(0,SUM(Model!$K55:AJ55)+SUM(Model!$K102:AJ102)),0)</f>
        <v>0</v>
      </c>
      <c r="AK102" s="1" t="n">
        <f aca="false">IF($D$46=1,MAX(0,SUM(Model!$K55:AK55)+SUM(Model!$K102:AK102)),0)</f>
        <v>0</v>
      </c>
      <c r="AL102" s="1" t="n">
        <f aca="false">IF($D$46=1,MAX(0,SUM(Model!$K55:AL55)+SUM(Model!$K102:AL102)),0)</f>
        <v>0</v>
      </c>
      <c r="AM102" s="1" t="n">
        <f aca="false">IF($D$46=1,MAX(0,SUM(Model!$K55:AM55)+SUM(Model!$K102:AM102)),0)</f>
        <v>0</v>
      </c>
      <c r="AN102" s="1" t="n">
        <f aca="false">IF($D$46=1,MAX(0,SUM(Model!$K55:AN55)+SUM(Model!$K102:AN102)),0)</f>
        <v>0</v>
      </c>
      <c r="AO102" s="1" t="n">
        <f aca="false">IF($D$46=1,MAX(0,SUM(Model!$K55:AO55)+SUM(Model!$K102:AO102)),0)</f>
        <v>0</v>
      </c>
      <c r="AP102" s="1" t="n">
        <f aca="false">IF($D$46=1,MAX(0,SUM(Model!$K55:AP55)+SUM(Model!$K102:AP102)),0)</f>
        <v>0</v>
      </c>
      <c r="AQ102" s="1" t="n">
        <f aca="false">IF($D$46=1,MAX(0,SUM(Model!$K55:AQ55)+SUM(Model!$K102:AQ102)),0)</f>
        <v>0</v>
      </c>
      <c r="AR102" s="1" t="n">
        <f aca="false">IF($D$46=1,MAX(0,SUM(Model!$K55:AR55)+SUM(Model!$K102:AR102)),0)</f>
        <v>0</v>
      </c>
      <c r="AS102" s="1" t="n">
        <f aca="false">IF($D$46=1,MAX(0,SUM(Model!$K55:AS55)+SUM(Model!$K102:AS102)),0)</f>
        <v>0</v>
      </c>
      <c r="AT102" s="1" t="n">
        <f aca="false">IF($D$46=1,MAX(0,SUM(Model!$K55:AT55)+SUM(Model!$K102:AT102)),0)</f>
        <v>0</v>
      </c>
      <c r="AU102" s="1" t="n">
        <f aca="false">IF($D$46=1,MAX(0,SUM(Model!$K55:AU55)+SUM(Model!$K102:AU102)),0)</f>
        <v>0</v>
      </c>
      <c r="AV102" s="1" t="n">
        <f aca="false">IF($D$46=1,MAX(0,SUM(Model!$K55:AV55)+SUM(Model!$K102:AV102)),0)</f>
        <v>0</v>
      </c>
      <c r="AW102" s="1" t="n">
        <f aca="false">IF($D$46=1,MAX(0,SUM(Model!$K55:AW55)+SUM(Model!$K102:AW102)),0)</f>
        <v>0</v>
      </c>
      <c r="AX102" s="1" t="n">
        <f aca="false">IF($D$46=1,MAX(0,SUM(Model!$K55:AX55)+SUM(Model!$K102:AX102)),0)</f>
        <v>0</v>
      </c>
      <c r="AY102" s="1" t="n">
        <f aca="false">IF($D$46=1,MAX(0,SUM(Model!$K55:AY55)+SUM(Model!$K102:AY102)),0)</f>
        <v>0</v>
      </c>
      <c r="AZ102" s="1" t="n">
        <f aca="false">IF($D$46=1,MAX(0,SUM(Model!$K55:AZ55)+SUM(Model!$K102:AZ102)),0)</f>
        <v>0</v>
      </c>
      <c r="BA102" s="1" t="n">
        <f aca="false">IF($D$46=1,MAX(0,SUM(Model!$K55:BA55)+SUM(Model!$K102:BA102)),0)</f>
        <v>0</v>
      </c>
      <c r="BB102" s="1" t="n">
        <f aca="false">IF($D$46=1,MAX(0,SUM(Model!$K55:BB55)+SUM(Model!$K102:BB102)),0)</f>
        <v>0</v>
      </c>
      <c r="BC102" s="1" t="n">
        <f aca="false">IF($D$46=1,MAX(0,SUM(Model!$K55:BC55)+SUM(Model!$K102:BC102)),0)</f>
        <v>0</v>
      </c>
      <c r="BD102" s="1" t="n">
        <f aca="false">IF($D$46=1,MAX(0,SUM(Model!$K55:BD55)+SUM(Model!$K102:BD102)),0)</f>
        <v>0</v>
      </c>
      <c r="BE102" s="1" t="n">
        <f aca="false">IF($D$46=1,MAX(0,SUM(Model!$K55:BE55)+SUM(Model!$K102:BE102)),0)</f>
        <v>0</v>
      </c>
      <c r="BF102" s="1" t="n">
        <f aca="false">IF($D$46=1,MAX(0,SUM(Model!$K55:BF55)+SUM(Model!$K102:BF102)),0)</f>
        <v>0</v>
      </c>
      <c r="BG102" s="1" t="n">
        <f aca="false">IF($D$46=1,MAX(0,SUM(Model!$K55:BG55)+SUM(Model!$K102:BG102)),0)</f>
        <v>0</v>
      </c>
      <c r="BH102" s="1" t="n">
        <f aca="false">IF($D$46=1,MAX(0,SUM(Model!$K55:BH55)+SUM(Model!$K102:BH102)),0)</f>
        <v>0</v>
      </c>
      <c r="BI102" s="1" t="n">
        <f aca="false">IF($D$46=1,MAX(0,SUM(Model!$K55:BI55)+SUM(Model!$K102:BI102)),0)</f>
        <v>0</v>
      </c>
      <c r="BJ102" s="1" t="n">
        <f aca="false">IF($D$46=1,MAX(0,SUM(Model!$K55:BJ55)+SUM(Model!$K102:BJ102)),0)</f>
        <v>0</v>
      </c>
      <c r="BK102" s="1" t="n">
        <f aca="false">IF($D$46=1,MAX(0,SUM(Model!$K55:BK55)+SUM(Model!$K102:BK102)),0)</f>
        <v>0</v>
      </c>
      <c r="BL102" s="1" t="n">
        <f aca="false">IF($D$46=1,MAX(0,SUM(Model!$K55:BL55)+SUM(Model!$K102:BL102)),0)</f>
        <v>0</v>
      </c>
      <c r="BM102" s="1" t="n">
        <f aca="false">IF($D$46=1,MAX(0,SUM(Model!$K55:BM55)+SUM(Model!$K102:BM102)),0)</f>
        <v>0</v>
      </c>
      <c r="BN102" s="1" t="n">
        <f aca="false">IF($D$46=1,MAX(0,SUM(Model!$K55:BN55)+SUM(Model!$K102:BN102)),0)</f>
        <v>0</v>
      </c>
      <c r="BO102" s="1" t="n">
        <f aca="false">IF($D$46=1,MAX(0,SUM(Model!$K55:BO55)+SUM(Model!$K102:BO102)),0)</f>
        <v>0</v>
      </c>
      <c r="BP102" s="1" t="n">
        <f aca="false">IF($D$46=1,MAX(0,SUM(Model!$K55:BP55)+SUM(Model!$K102:BP102)),0)</f>
        <v>0</v>
      </c>
      <c r="BQ102" s="1" t="n">
        <f aca="false">IF($D$46=1,MAX(0,SUM(Model!$K55:BQ55)+SUM(Model!$K102:BQ102)),0)</f>
        <v>0</v>
      </c>
      <c r="BR102" s="1" t="n">
        <f aca="false">IF($D$46=1,MAX(0,SUM(Model!$K55:BR55)+SUM(Model!$K102:BR102)),0)</f>
        <v>0</v>
      </c>
      <c r="BS102" s="1" t="n">
        <f aca="false">IF($D$46=1,MAX(0,SUM(Model!$K55:BS55)+SUM(Model!$K102:BS102)),0)</f>
        <v>0</v>
      </c>
      <c r="BT102" s="1" t="n">
        <f aca="false">IF($D$46=1,MAX(0,SUM(Model!$K55:BT55)+SUM(Model!$K102:BT102)),0)</f>
        <v>0</v>
      </c>
      <c r="BU102" s="1" t="n">
        <f aca="false">IF($D$46=1,MAX(0,SUM(Model!$K55:BU55)+SUM(Model!$K102:BU102)),0)</f>
        <v>0</v>
      </c>
      <c r="BV102" s="1" t="n">
        <f aca="false">IF($D$46=1,MAX(0,SUM(Model!$K55:BV55)+SUM(Model!$K102:BV102)),0)</f>
        <v>0</v>
      </c>
      <c r="BW102" s="1" t="n">
        <f aca="false">IF($D$46=1,MAX(0,SUM(Model!$K55:BW55)+SUM(Model!$K102:BW102)),0)</f>
        <v>0</v>
      </c>
      <c r="BX102" s="1" t="n">
        <f aca="false">IF($D$46=1,MAX(0,SUM(Model!$K55:BX55)+SUM(Model!$K102:BX102)),0)</f>
        <v>0</v>
      </c>
      <c r="BY102" s="1" t="n">
        <f aca="false">IF($D$46=1,MAX(0,SUM(Model!$K55:BY55)+SUM(Model!$K102:BY102)),0)</f>
        <v>0</v>
      </c>
      <c r="BZ102" s="1" t="n">
        <f aca="false">IF($D$46=1,MAX(0,SUM(Model!$K55:BZ55)+SUM(Model!$K102:BZ102)),0)</f>
        <v>0</v>
      </c>
      <c r="CA102" s="1" t="n">
        <f aca="false">IF($D$46=1,MAX(0,SUM(Model!$K55:CA55)+SUM(Model!$K102:CA102)),0)</f>
        <v>0</v>
      </c>
      <c r="CB102" s="1" t="n">
        <f aca="false">IF($D$46=1,MAX(0,SUM(Model!$K55:CB55)+SUM(Model!$K102:CB102)),0)</f>
        <v>0</v>
      </c>
      <c r="CC102" s="1" t="n">
        <f aca="false">IF($D$46=1,MAX(0,SUM(Model!$K55:CC55)+SUM(Model!$K102:CC102)),0)</f>
        <v>0</v>
      </c>
      <c r="CD102" s="1" t="n">
        <f aca="false">IF($D$46=1,MAX(0,SUM(Model!$K55:CD55)+SUM(Model!$K102:CD102)),0)</f>
        <v>0</v>
      </c>
      <c r="CE102" s="1" t="n">
        <f aca="false">IF($D$46=1,MAX(0,SUM(Model!$K55:CE55)+SUM(Model!$K102:CE102)),0)</f>
        <v>0</v>
      </c>
      <c r="CF102" s="1" t="n">
        <f aca="false">IF($D$46=1,MAX(0,SUM(Model!$K55:CF55)+SUM(Model!$K102:CF102)),0)</f>
        <v>0</v>
      </c>
      <c r="CG102" s="1" t="n">
        <f aca="false">IF($D$46=1,MAX(0,SUM(Model!$K55:CG55)+SUM(Model!$K102:CG102)),0)</f>
        <v>0</v>
      </c>
      <c r="CH102" s="1" t="n">
        <f aca="false">IF($D$46=1,MAX(0,SUM(Model!$K55:CH55)+SUM(Model!$K102:CH102)),0)</f>
        <v>0</v>
      </c>
      <c r="CI102" s="1" t="n">
        <f aca="false">IF($D$46=1,MAX(0,SUM(Model!$K55:CI55)+SUM(Model!$K102:CI102)),0)</f>
        <v>0</v>
      </c>
      <c r="CJ102" s="1" t="n">
        <f aca="false">IF($D$46=1,MAX(0,SUM(Model!$K55:CJ55)+SUM(Model!$K102:CJ102)),0)</f>
        <v>0</v>
      </c>
      <c r="CK102" s="1" t="n">
        <f aca="false">IF($D$46=1,MAX(0,SUM(Model!$K55:CK55)+SUM(Model!$K102:CK102)),0)</f>
        <v>0</v>
      </c>
      <c r="CL102" s="1" t="n">
        <f aca="false">IF($D$46=1,MAX(0,SUM(Model!$K55:CL55)+SUM(Model!$K102:CL102)),0)</f>
        <v>0</v>
      </c>
      <c r="CM102" s="1" t="n">
        <f aca="false">IF($D$46=1,MAX(0,SUM(Model!$K55:CM55)+SUM(Model!$K102:CM102)),0)</f>
        <v>0</v>
      </c>
      <c r="CN102" s="1" t="n">
        <f aca="false">IF($D$46=1,MAX(0,SUM(Model!$K55:CN55)+SUM(Model!$K102:CN102)),0)</f>
        <v>0</v>
      </c>
      <c r="CO102" s="1" t="n">
        <f aca="false">IF($D$46=1,MAX(0,SUM(Model!$K55:CO55)+SUM(Model!$K102:CO102)),0)</f>
        <v>0</v>
      </c>
      <c r="CP102" s="1" t="n">
        <f aca="false">IF($D$46=1,MAX(0,SUM(Model!$K55:CP55)+SUM(Model!$K102:CP102)),0)</f>
        <v>0</v>
      </c>
      <c r="CQ102" s="1" t="n">
        <f aca="false">IF($D$46=1,MAX(0,SUM(Model!$K55:CQ55)+SUM(Model!$K102:CQ102)),0)</f>
        <v>0</v>
      </c>
      <c r="CR102" s="1" t="n">
        <f aca="false">IF($D$46=1,MAX(0,SUM(Model!$K55:CR55)+SUM(Model!$K102:CR102)),0)</f>
        <v>0</v>
      </c>
      <c r="CS102" s="1" t="n">
        <f aca="false">IF($D$46=1,MAX(0,SUM(Model!$K55:CS55)+SUM(Model!$K102:CS102)),0)</f>
        <v>0</v>
      </c>
      <c r="CT102" s="1" t="n">
        <f aca="false">IF($D$46=1,MAX(0,SUM(Model!$K55:CT55)+SUM(Model!$K102:CT102)),0)</f>
        <v>0</v>
      </c>
      <c r="CU102" s="1" t="n">
        <f aca="false">IF($D$46=1,MAX(0,SUM(Model!$K55:CU55)+SUM(Model!$K102:CU102)),0)</f>
        <v>0</v>
      </c>
      <c r="CV102" s="1" t="n">
        <f aca="false">IF($D$46=1,MAX(0,SUM(Model!$K55:CV55)+SUM(Model!$K102:CV102)),0)</f>
        <v>0</v>
      </c>
      <c r="CW102" s="1" t="n">
        <f aca="false">IF($D$46=1,MAX(0,SUM(Model!$K55:CW55)+SUM(Model!$K102:CW102)),0)</f>
        <v>0</v>
      </c>
      <c r="CX102" s="1" t="n">
        <f aca="false">IF($D$46=1,MAX(0,SUM(Model!$K55:CX55)+SUM(Model!$K102:CX102)),0)</f>
        <v>0</v>
      </c>
      <c r="CY102" s="1" t="n">
        <f aca="false">IF($D$46=1,MAX(0,SUM(Model!$K55:CY55)+SUM(Model!$K102:CY102)),0)</f>
        <v>0</v>
      </c>
      <c r="CZ102" s="1" t="n">
        <f aca="false">IF($D$46=1,MAX(0,SUM(Model!$K55:CZ55)+SUM(Model!$K102:CZ102)),0)</f>
        <v>0</v>
      </c>
      <c r="DA102" s="1" t="n">
        <f aca="false">IF($D$46=1,MAX(0,SUM(Model!$K55:DA55)+SUM(Model!$K102:DA102)),0)</f>
        <v>0</v>
      </c>
      <c r="DB102" s="1" t="n">
        <f aca="false">IF($D$46=1,MAX(0,SUM(Model!$K55:DB55)+SUM(Model!$K102:DB102)),0)</f>
        <v>0</v>
      </c>
      <c r="DC102" s="1" t="n">
        <f aca="false">IF($D$46=1,MAX(0,SUM(Model!$K55:DC55)+SUM(Model!$K102:DC102)),0)</f>
        <v>0</v>
      </c>
      <c r="DD102" s="1" t="n">
        <f aca="false">IF($D$46=1,MAX(0,SUM(Model!$K55:DD55)+SUM(Model!$K102:DD102)),0)</f>
        <v>0</v>
      </c>
      <c r="DE102" s="1" t="n">
        <f aca="false">IF($D$46=1,MAX(0,SUM(Model!$K55:DE55)+SUM(Model!$K102:DE102)),0)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v>0</v>
      </c>
      <c r="K103" s="1" t="n">
        <f aca="false">IF($D$47=1,MAX(0,SUM(Model!$K56:K56)+SUM(Model!$K103:K103)),0)</f>
        <v>0</v>
      </c>
      <c r="L103" s="1" t="n">
        <f aca="false">IF($D$47=1,MAX(0,SUM(Model!$K56:L56)+SUM(Model!$K103:L103)),0)</f>
        <v>0</v>
      </c>
      <c r="M103" s="1" t="n">
        <f aca="false">IF($D$47=1,MAX(0,SUM(Model!$K56:M56)+SUM(Model!$K103:M103)),0)</f>
        <v>0</v>
      </c>
      <c r="N103" s="1" t="n">
        <f aca="false">IF($D$47=1,MAX(0,SUM(Model!$K56:N56)+SUM(Model!$K103:N103)),0)</f>
        <v>0</v>
      </c>
      <c r="O103" s="1" t="n">
        <f aca="false">IF($D$47=1,MAX(0,SUM(Model!$K56:O56)+SUM(Model!$K103:O103)),0)</f>
        <v>0</v>
      </c>
      <c r="P103" s="1" t="n">
        <f aca="false">IF($D$47=1,MAX(0,SUM(Model!$K56:P56)+SUM(Model!$K103:P103)),0)</f>
        <v>0</v>
      </c>
      <c r="Q103" s="1" t="n">
        <f aca="false">IF($D$47=1,MAX(0,SUM(Model!$K56:Q56)+SUM(Model!$K103:Q103)),0)</f>
        <v>0</v>
      </c>
      <c r="R103" s="1" t="n">
        <f aca="false">IF($D$47=1,MAX(0,SUM(Model!$K56:R56)+SUM(Model!$K103:R103)),0)</f>
        <v>0</v>
      </c>
      <c r="S103" s="1" t="n">
        <f aca="false">IF($D$47=1,MAX(0,SUM(Model!$K56:S56)+SUM(Model!$K103:S103)),0)</f>
        <v>0</v>
      </c>
      <c r="T103" s="1" t="n">
        <f aca="false">IF($D$47=1,MAX(0,SUM(Model!$K56:T56)+SUM(Model!$K103:T103)),0)</f>
        <v>0</v>
      </c>
      <c r="U103" s="1" t="n">
        <f aca="false">IF($D$47=1,MAX(0,SUM(Model!$K56:U56)+SUM(Model!$K103:U103)),0)</f>
        <v>0</v>
      </c>
      <c r="V103" s="1" t="n">
        <f aca="false">IF($D$47=1,MAX(0,SUM(Model!$K56:V56)+SUM(Model!$K103:V103)),0)</f>
        <v>0</v>
      </c>
      <c r="W103" s="1" t="n">
        <f aca="false">IF($D$47=1,MAX(0,SUM(Model!$K56:W56)+SUM(Model!$K103:W103)),0)</f>
        <v>0</v>
      </c>
      <c r="X103" s="1" t="n">
        <f aca="false">IF($D$47=1,MAX(0,SUM(Model!$K56:X56)+SUM(Model!$K103:X103)),0)</f>
        <v>0</v>
      </c>
      <c r="Y103" s="1" t="n">
        <f aca="false">IF($D$47=1,MAX(0,SUM(Model!$K56:Y56)+SUM(Model!$K103:Y103)),0)</f>
        <v>0</v>
      </c>
      <c r="Z103" s="1" t="n">
        <f aca="false">IF($D$47=1,MAX(0,SUM(Model!$K56:Z56)+SUM(Model!$K103:Z103)),0)</f>
        <v>0</v>
      </c>
      <c r="AA103" s="1" t="n">
        <f aca="false">IF($D$47=1,MAX(0,SUM(Model!$K56:AA56)+SUM(Model!$K103:AA103)),0)</f>
        <v>0</v>
      </c>
      <c r="AB103" s="1" t="n">
        <f aca="false">IF($D$47=1,MAX(0,SUM(Model!$K56:AB56)+SUM(Model!$K103:AB103)),0)</f>
        <v>0</v>
      </c>
      <c r="AC103" s="1" t="n">
        <f aca="false">IF($D$47=1,MAX(0,SUM(Model!$K56:AC56)+SUM(Model!$K103:AC103)),0)</f>
        <v>0</v>
      </c>
      <c r="AD103" s="1" t="n">
        <f aca="false">IF($D$47=1,MAX(0,SUM(Model!$K56:AD56)+SUM(Model!$K103:AD103)),0)</f>
        <v>0</v>
      </c>
      <c r="AE103" s="1" t="n">
        <f aca="false">IF($D$47=1,MAX(0,SUM(Model!$K56:AE56)+SUM(Model!$K103:AE103)),0)</f>
        <v>0</v>
      </c>
      <c r="AF103" s="1" t="n">
        <f aca="false">IF($D$47=1,MAX(0,SUM(Model!$K56:AF56)+SUM(Model!$K103:AF103)),0)</f>
        <v>0</v>
      </c>
      <c r="AG103" s="1" t="n">
        <f aca="false">IF($D$47=1,MAX(0,SUM(Model!$K56:AG56)+SUM(Model!$K103:AG103)),0)</f>
        <v>0</v>
      </c>
      <c r="AH103" s="1" t="n">
        <f aca="false">IF($D$47=1,MAX(0,SUM(Model!$K56:AH56)+SUM(Model!$K103:AH103)),0)</f>
        <v>0</v>
      </c>
      <c r="AI103" s="1" t="n">
        <f aca="false">IF($D$47=1,MAX(0,SUM(Model!$K56:AI56)+SUM(Model!$K103:AI103)),0)</f>
        <v>0</v>
      </c>
      <c r="AJ103" s="1" t="n">
        <f aca="false">IF($D$47=1,MAX(0,SUM(Model!$K56:AJ56)+SUM(Model!$K103:AJ103)),0)</f>
        <v>0</v>
      </c>
      <c r="AK103" s="1" t="n">
        <f aca="false">IF($D$47=1,MAX(0,SUM(Model!$K56:AK56)+SUM(Model!$K103:AK103)),0)</f>
        <v>0</v>
      </c>
      <c r="AL103" s="1" t="n">
        <f aca="false">IF($D$47=1,MAX(0,SUM(Model!$K56:AL56)+SUM(Model!$K103:AL103)),0)</f>
        <v>0</v>
      </c>
      <c r="AM103" s="1" t="n">
        <f aca="false">IF($D$47=1,MAX(0,SUM(Model!$K56:AM56)+SUM(Model!$K103:AM103)),0)</f>
        <v>0</v>
      </c>
      <c r="AN103" s="1" t="n">
        <f aca="false">IF($D$47=1,MAX(0,SUM(Model!$K56:AN56)+SUM(Model!$K103:AN103)),0)</f>
        <v>0</v>
      </c>
      <c r="AO103" s="1" t="n">
        <f aca="false">IF($D$47=1,MAX(0,SUM(Model!$K56:AO56)+SUM(Model!$K103:AO103)),0)</f>
        <v>0</v>
      </c>
      <c r="AP103" s="1" t="n">
        <f aca="false">IF($D$47=1,MAX(0,SUM(Model!$K56:AP56)+SUM(Model!$K103:AP103)),0)</f>
        <v>0</v>
      </c>
      <c r="AQ103" s="1" t="n">
        <f aca="false">IF($D$47=1,MAX(0,SUM(Model!$K56:AQ56)+SUM(Model!$K103:AQ103)),0)</f>
        <v>0</v>
      </c>
      <c r="AR103" s="1" t="n">
        <f aca="false">IF($D$47=1,MAX(0,SUM(Model!$K56:AR56)+SUM(Model!$K103:AR103)),0)</f>
        <v>0</v>
      </c>
      <c r="AS103" s="1" t="n">
        <f aca="false">IF($D$47=1,MAX(0,SUM(Model!$K56:AS56)+SUM(Model!$K103:AS103)),0)</f>
        <v>0</v>
      </c>
      <c r="AT103" s="1" t="n">
        <f aca="false">IF($D$47=1,MAX(0,SUM(Model!$K56:AT56)+SUM(Model!$K103:AT103)),0)</f>
        <v>0</v>
      </c>
      <c r="AU103" s="1" t="n">
        <f aca="false">IF($D$47=1,MAX(0,SUM(Model!$K56:AU56)+SUM(Model!$K103:AU103)),0)</f>
        <v>0</v>
      </c>
      <c r="AV103" s="1" t="n">
        <f aca="false">IF($D$47=1,MAX(0,SUM(Model!$K56:AV56)+SUM(Model!$K103:AV103)),0)</f>
        <v>0</v>
      </c>
      <c r="AW103" s="1" t="n">
        <f aca="false">IF($D$47=1,MAX(0,SUM(Model!$K56:AW56)+SUM(Model!$K103:AW103)),0)</f>
        <v>0</v>
      </c>
      <c r="AX103" s="1" t="n">
        <f aca="false">IF($D$47=1,MAX(0,SUM(Model!$K56:AX56)+SUM(Model!$K103:AX103)),0)</f>
        <v>0</v>
      </c>
      <c r="AY103" s="1" t="n">
        <f aca="false">IF($D$47=1,MAX(0,SUM(Model!$K56:AY56)+SUM(Model!$K103:AY103)),0)</f>
        <v>0</v>
      </c>
      <c r="AZ103" s="1" t="n">
        <f aca="false">IF($D$47=1,MAX(0,SUM(Model!$K56:AZ56)+SUM(Model!$K103:AZ103)),0)</f>
        <v>0</v>
      </c>
      <c r="BA103" s="1" t="n">
        <f aca="false">IF($D$47=1,MAX(0,SUM(Model!$K56:BA56)+SUM(Model!$K103:BA103)),0)</f>
        <v>0</v>
      </c>
      <c r="BB103" s="1" t="n">
        <f aca="false">IF($D$47=1,MAX(0,SUM(Model!$K56:BB56)+SUM(Model!$K103:BB103)),0)</f>
        <v>0</v>
      </c>
      <c r="BC103" s="1" t="n">
        <f aca="false">IF($D$47=1,MAX(0,SUM(Model!$K56:BC56)+SUM(Model!$K103:BC103)),0)</f>
        <v>0</v>
      </c>
      <c r="BD103" s="1" t="n">
        <f aca="false">IF($D$47=1,MAX(0,SUM(Model!$K56:BD56)+SUM(Model!$K103:BD103)),0)</f>
        <v>0</v>
      </c>
      <c r="BE103" s="1" t="n">
        <f aca="false">IF($D$47=1,MAX(0,SUM(Model!$K56:BE56)+SUM(Model!$K103:BE103)),0)</f>
        <v>0</v>
      </c>
      <c r="BF103" s="1" t="n">
        <f aca="false">IF($D$47=1,MAX(0,SUM(Model!$K56:BF56)+SUM(Model!$K103:BF103)),0)</f>
        <v>0</v>
      </c>
      <c r="BG103" s="1" t="n">
        <f aca="false">IF($D$47=1,MAX(0,SUM(Model!$K56:BG56)+SUM(Model!$K103:BG103)),0)</f>
        <v>0</v>
      </c>
      <c r="BH103" s="1" t="n">
        <f aca="false">IF($D$47=1,MAX(0,SUM(Model!$K56:BH56)+SUM(Model!$K103:BH103)),0)</f>
        <v>0</v>
      </c>
      <c r="BI103" s="1" t="n">
        <f aca="false">IF($D$47=1,MAX(0,SUM(Model!$K56:BI56)+SUM(Model!$K103:BI103)),0)</f>
        <v>0</v>
      </c>
      <c r="BJ103" s="1" t="n">
        <f aca="false">IF($D$47=1,MAX(0,SUM(Model!$K56:BJ56)+SUM(Model!$K103:BJ103)),0)</f>
        <v>0</v>
      </c>
      <c r="BK103" s="1" t="n">
        <f aca="false">IF($D$47=1,MAX(0,SUM(Model!$K56:BK56)+SUM(Model!$K103:BK103)),0)</f>
        <v>0</v>
      </c>
      <c r="BL103" s="1" t="n">
        <f aca="false">IF($D$47=1,MAX(0,SUM(Model!$K56:BL56)+SUM(Model!$K103:BL103)),0)</f>
        <v>0</v>
      </c>
      <c r="BM103" s="1" t="n">
        <f aca="false">IF($D$47=1,MAX(0,SUM(Model!$K56:BM56)+SUM(Model!$K103:BM103)),0)</f>
        <v>0</v>
      </c>
      <c r="BN103" s="1" t="n">
        <f aca="false">IF($D$47=1,MAX(0,SUM(Model!$K56:BN56)+SUM(Model!$K103:BN103)),0)</f>
        <v>0</v>
      </c>
      <c r="BO103" s="1" t="n">
        <f aca="false">IF($D$47=1,MAX(0,SUM(Model!$K56:BO56)+SUM(Model!$K103:BO103)),0)</f>
        <v>0</v>
      </c>
      <c r="BP103" s="1" t="n">
        <f aca="false">IF($D$47=1,MAX(0,SUM(Model!$K56:BP56)+SUM(Model!$K103:BP103)),0)</f>
        <v>0</v>
      </c>
      <c r="BQ103" s="1" t="n">
        <f aca="false">IF($D$47=1,MAX(0,SUM(Model!$K56:BQ56)+SUM(Model!$K103:BQ103)),0)</f>
        <v>0</v>
      </c>
      <c r="BR103" s="1" t="n">
        <f aca="false">IF($D$47=1,MAX(0,SUM(Model!$K56:BR56)+SUM(Model!$K103:BR103)),0)</f>
        <v>0</v>
      </c>
      <c r="BS103" s="1" t="n">
        <f aca="false">IF($D$47=1,MAX(0,SUM(Model!$K56:BS56)+SUM(Model!$K103:BS103)),0)</f>
        <v>0</v>
      </c>
      <c r="BT103" s="1" t="n">
        <f aca="false">IF($D$47=1,MAX(0,SUM(Model!$K56:BT56)+SUM(Model!$K103:BT103)),0)</f>
        <v>0</v>
      </c>
      <c r="BU103" s="1" t="n">
        <f aca="false">IF($D$47=1,MAX(0,SUM(Model!$K56:BU56)+SUM(Model!$K103:BU103)),0)</f>
        <v>0</v>
      </c>
      <c r="BV103" s="1" t="n">
        <f aca="false">IF($D$47=1,MAX(0,SUM(Model!$K56:BV56)+SUM(Model!$K103:BV103)),0)</f>
        <v>0</v>
      </c>
      <c r="BW103" s="1" t="n">
        <f aca="false">IF($D$47=1,MAX(0,SUM(Model!$K56:BW56)+SUM(Model!$K103:BW103)),0)</f>
        <v>0</v>
      </c>
      <c r="BX103" s="1" t="n">
        <f aca="false">IF($D$47=1,MAX(0,SUM(Model!$K56:BX56)+SUM(Model!$K103:BX103)),0)</f>
        <v>0</v>
      </c>
      <c r="BY103" s="1" t="n">
        <f aca="false">IF($D$47=1,MAX(0,SUM(Model!$K56:BY56)+SUM(Model!$K103:BY103)),0)</f>
        <v>0</v>
      </c>
      <c r="BZ103" s="1" t="n">
        <f aca="false">IF($D$47=1,MAX(0,SUM(Model!$K56:BZ56)+SUM(Model!$K103:BZ103)),0)</f>
        <v>0</v>
      </c>
      <c r="CA103" s="1" t="n">
        <f aca="false">IF($D$47=1,MAX(0,SUM(Model!$K56:CA56)+SUM(Model!$K103:CA103)),0)</f>
        <v>0</v>
      </c>
      <c r="CB103" s="1" t="n">
        <f aca="false">IF($D$47=1,MAX(0,SUM(Model!$K56:CB56)+SUM(Model!$K103:CB103)),0)</f>
        <v>0</v>
      </c>
      <c r="CC103" s="1" t="n">
        <f aca="false">IF($D$47=1,MAX(0,SUM(Model!$K56:CC56)+SUM(Model!$K103:CC103)),0)</f>
        <v>0</v>
      </c>
      <c r="CD103" s="1" t="n">
        <f aca="false">IF($D$47=1,MAX(0,SUM(Model!$K56:CD56)+SUM(Model!$K103:CD103)),0)</f>
        <v>0</v>
      </c>
      <c r="CE103" s="1" t="n">
        <f aca="false">IF($D$47=1,MAX(0,SUM(Model!$K56:CE56)+SUM(Model!$K103:CE103)),0)</f>
        <v>0</v>
      </c>
      <c r="CF103" s="1" t="n">
        <f aca="false">IF($D$47=1,MAX(0,SUM(Model!$K56:CF56)+SUM(Model!$K103:CF103)),0)</f>
        <v>0</v>
      </c>
      <c r="CG103" s="1" t="n">
        <f aca="false">IF($D$47=1,MAX(0,SUM(Model!$K56:CG56)+SUM(Model!$K103:CG103)),0)</f>
        <v>0</v>
      </c>
      <c r="CH103" s="1" t="n">
        <f aca="false">IF($D$47=1,MAX(0,SUM(Model!$K56:CH56)+SUM(Model!$K103:CH103)),0)</f>
        <v>0</v>
      </c>
      <c r="CI103" s="1" t="n">
        <f aca="false">IF($D$47=1,MAX(0,SUM(Model!$K56:CI56)+SUM(Model!$K103:CI103)),0)</f>
        <v>0</v>
      </c>
      <c r="CJ103" s="1" t="n">
        <f aca="false">IF($D$47=1,MAX(0,SUM(Model!$K56:CJ56)+SUM(Model!$K103:CJ103)),0)</f>
        <v>0</v>
      </c>
      <c r="CK103" s="1" t="n">
        <f aca="false">IF($D$47=1,MAX(0,SUM(Model!$K56:CK56)+SUM(Model!$K103:CK103)),0)</f>
        <v>0</v>
      </c>
      <c r="CL103" s="1" t="n">
        <f aca="false">IF($D$47=1,MAX(0,SUM(Model!$K56:CL56)+SUM(Model!$K103:CL103)),0)</f>
        <v>0</v>
      </c>
      <c r="CM103" s="1" t="n">
        <f aca="false">IF($D$47=1,MAX(0,SUM(Model!$K56:CM56)+SUM(Model!$K103:CM103)),0)</f>
        <v>0</v>
      </c>
      <c r="CN103" s="1" t="n">
        <f aca="false">IF($D$47=1,MAX(0,SUM(Model!$K56:CN56)+SUM(Model!$K103:CN103)),0)</f>
        <v>0</v>
      </c>
      <c r="CO103" s="1" t="n">
        <f aca="false">IF($D$47=1,MAX(0,SUM(Model!$K56:CO56)+SUM(Model!$K103:CO103)),0)</f>
        <v>0</v>
      </c>
      <c r="CP103" s="1" t="n">
        <f aca="false">IF($D$47=1,MAX(0,SUM(Model!$K56:CP56)+SUM(Model!$K103:CP103)),0)</f>
        <v>0</v>
      </c>
      <c r="CQ103" s="1" t="n">
        <f aca="false">IF($D$47=1,MAX(0,SUM(Model!$K56:CQ56)+SUM(Model!$K103:CQ103)),0)</f>
        <v>0</v>
      </c>
      <c r="CR103" s="1" t="n">
        <f aca="false">IF($D$47=1,MAX(0,SUM(Model!$K56:CR56)+SUM(Model!$K103:CR103)),0)</f>
        <v>0</v>
      </c>
      <c r="CS103" s="1" t="n">
        <f aca="false">IF($D$47=1,MAX(0,SUM(Model!$K56:CS56)+SUM(Model!$K103:CS103)),0)</f>
        <v>0</v>
      </c>
      <c r="CT103" s="1" t="n">
        <f aca="false">IF($D$47=1,MAX(0,SUM(Model!$K56:CT56)+SUM(Model!$K103:CT103)),0)</f>
        <v>0</v>
      </c>
      <c r="CU103" s="1" t="n">
        <f aca="false">IF($D$47=1,MAX(0,SUM(Model!$K56:CU56)+SUM(Model!$K103:CU103)),0)</f>
        <v>0</v>
      </c>
      <c r="CV103" s="1" t="n">
        <f aca="false">IF($D$47=1,MAX(0,SUM(Model!$K56:CV56)+SUM(Model!$K103:CV103)),0)</f>
        <v>0</v>
      </c>
      <c r="CW103" s="1" t="n">
        <f aca="false">IF($D$47=1,MAX(0,SUM(Model!$K56:CW56)+SUM(Model!$K103:CW103)),0)</f>
        <v>0</v>
      </c>
      <c r="CX103" s="1" t="n">
        <f aca="false">IF($D$47=1,MAX(0,SUM(Model!$K56:CX56)+SUM(Model!$K103:CX103)),0)</f>
        <v>0</v>
      </c>
      <c r="CY103" s="1" t="n">
        <f aca="false">IF($D$47=1,MAX(0,SUM(Model!$K56:CY56)+SUM(Model!$K103:CY103)),0)</f>
        <v>0</v>
      </c>
      <c r="CZ103" s="1" t="n">
        <f aca="false">IF($D$47=1,MAX(0,SUM(Model!$K56:CZ56)+SUM(Model!$K103:CZ103)),0)</f>
        <v>0</v>
      </c>
      <c r="DA103" s="1" t="n">
        <f aca="false">IF($D$47=1,MAX(0,SUM(Model!$K56:DA56)+SUM(Model!$K103:DA103)),0)</f>
        <v>0</v>
      </c>
      <c r="DB103" s="1" t="n">
        <f aca="false">IF($D$47=1,MAX(0,SUM(Model!$K56:DB56)+SUM(Model!$K103:DB103)),0)</f>
        <v>0</v>
      </c>
      <c r="DC103" s="1" t="n">
        <f aca="false">IF($D$47=1,MAX(0,SUM(Model!$K56:DC56)+SUM(Model!$K103:DC103)),0)</f>
        <v>0</v>
      </c>
      <c r="DD103" s="1" t="n">
        <f aca="false">IF($D$47=1,MAX(0,SUM(Model!$K56:DD56)+SUM(Model!$K103:DD103)),0)</f>
        <v>0</v>
      </c>
      <c r="DE103" s="1" t="n">
        <f aca="false">IF($D$47=1,MAX(0,SUM(Model!$K56:DE56)+SUM(Model!$K103:DE103)),0)</f>
        <v>0</v>
      </c>
    </row>
    <row r="104" customFormat="false" ht="13.5" hidden="false" customHeight="true" outlineLevel="0" collapsed="false">
      <c r="A104" s="362" t="s">
        <v>489</v>
      </c>
      <c r="B104" s="362" t="n">
        <f aca="false">SUM(B60:B103)</f>
        <v>0</v>
      </c>
      <c r="C104" s="362" t="n">
        <f aca="false">SUM(C60:C103)</f>
        <v>0</v>
      </c>
      <c r="D104" s="362" t="n">
        <f aca="false">SUM(D60:D103)</f>
        <v>0</v>
      </c>
      <c r="E104" s="362" t="n">
        <f aca="false">SUM(E60:E103)</f>
        <v>0</v>
      </c>
      <c r="F104" s="362" t="n">
        <f aca="false">SUM(F60:F103)</f>
        <v>0</v>
      </c>
      <c r="G104" s="362" t="n">
        <f aca="false">SUM(G60:G103)</f>
        <v>0</v>
      </c>
      <c r="H104" s="362" t="n">
        <f aca="false">SUM(H60:H103)</f>
        <v>0</v>
      </c>
      <c r="I104" s="362" t="n">
        <f aca="false">SUM(I60:I103)</f>
        <v>0</v>
      </c>
      <c r="J104" s="362" t="n">
        <f aca="false">SUM(J60:J103)</f>
        <v>0</v>
      </c>
      <c r="K104" s="362" t="n">
        <f aca="false">SUM(K60:K103)</f>
        <v>477.759999999835</v>
      </c>
      <c r="L104" s="362" t="n">
        <f aca="false">SUM(L60:L103)</f>
        <v>877.089999999618</v>
      </c>
      <c r="M104" s="362" t="n">
        <f aca="false">SUM(M60:M103)</f>
        <v>1257.46999999927</v>
      </c>
      <c r="N104" s="362" t="n">
        <f aca="false">SUM(N60:N103)</f>
        <v>1711.50999999978</v>
      </c>
      <c r="O104" s="362" t="n">
        <f aca="false">SUM(O60:O103)</f>
        <v>2154.5699999989</v>
      </c>
      <c r="P104" s="362" t="n">
        <f aca="false">SUM(P60:P103)</f>
        <v>2651.90999999922</v>
      </c>
      <c r="Q104" s="362" t="n">
        <f aca="false">SUM(Q60:Q103)</f>
        <v>3132.95999999903</v>
      </c>
      <c r="R104" s="362" t="n">
        <f aca="false">SUM(R60:R103)</f>
        <v>3657.06000000145</v>
      </c>
      <c r="S104" s="362" t="n">
        <f aca="false">SUM(S60:S103)</f>
        <v>4165.95000000019</v>
      </c>
      <c r="T104" s="362" t="n">
        <f aca="false">SUM(T60:T103)</f>
        <v>4813.35000000056</v>
      </c>
      <c r="U104" s="362" t="n">
        <f aca="false">SUM(U60:U103)</f>
        <v>5319.16000000015</v>
      </c>
      <c r="V104" s="362" t="n">
        <f aca="false">SUM(V60:V103)</f>
        <v>6229.06000000145</v>
      </c>
      <c r="W104" s="362" t="n">
        <f aca="false">SUM(W60:W103)</f>
        <v>6870.95000000298</v>
      </c>
      <c r="X104" s="362" t="n">
        <f aca="false">SUM(X60:X103)</f>
        <v>7910.41000000015</v>
      </c>
      <c r="Y104" s="362" t="n">
        <f aca="false">SUM(Y60:Y103)</f>
        <v>8560.58999999985</v>
      </c>
      <c r="Z104" s="362" t="n">
        <f aca="false">SUM(Z60:Z103)</f>
        <v>9455.80999999866</v>
      </c>
      <c r="AA104" s="362" t="n">
        <f aca="false">SUM(AA60:AA103)</f>
        <v>10169.8400000017</v>
      </c>
      <c r="AB104" s="362" t="n">
        <f aca="false">SUM(AB60:AB103)</f>
        <v>10612.8900000025</v>
      </c>
      <c r="AC104" s="362" t="n">
        <f aca="false">SUM(AC60:AC103)</f>
        <v>10886.9000000004</v>
      </c>
      <c r="AD104" s="362" t="n">
        <f aca="false">SUM(AD60:AD103)</f>
        <v>11211.3800000008</v>
      </c>
      <c r="AE104" s="362" t="n">
        <f aca="false">SUM(AE60:AE103)</f>
        <v>11515.9200000037</v>
      </c>
      <c r="AF104" s="362" t="n">
        <f aca="false">SUM(AF60:AF103)</f>
        <v>11892.5200000014</v>
      </c>
      <c r="AG104" s="362" t="n">
        <f aca="false">SUM(AG60:AG103)</f>
        <v>12546.5200000014</v>
      </c>
      <c r="AH104" s="362" t="n">
        <f aca="false">SUM(AH60:AH103)</f>
        <v>13153.4800000023</v>
      </c>
      <c r="AI104" s="362" t="n">
        <f aca="false">SUM(AI60:AI103)</f>
        <v>13746.8799999971</v>
      </c>
      <c r="AJ104" s="362" t="n">
        <f aca="false">SUM(AJ60:AJ103)</f>
        <v>14070.6300000008</v>
      </c>
      <c r="AK104" s="362" t="n">
        <f aca="false">SUM(AK60:AK103)</f>
        <v>14339.3800000008</v>
      </c>
      <c r="AL104" s="362" t="n">
        <f aca="false">SUM(AL60:AL103)</f>
        <v>14639.5999999996</v>
      </c>
      <c r="AM104" s="362" t="n">
        <f aca="false">SUM(AM60:AM103)</f>
        <v>14965.9500000011</v>
      </c>
      <c r="AN104" s="362" t="n">
        <f aca="false">SUM(AN60:AN103)</f>
        <v>15053.7600000035</v>
      </c>
      <c r="AO104" s="362" t="n">
        <f aca="false">SUM(AO60:AO103)</f>
        <v>15053.7600000035</v>
      </c>
      <c r="AP104" s="362" t="n">
        <f aca="false">SUM(AP60:AP103)</f>
        <v>15053.7600000035</v>
      </c>
      <c r="AQ104" s="362" t="n">
        <f aca="false">SUM(AQ60:AQ103)</f>
        <v>15053.7600000035</v>
      </c>
      <c r="AR104" s="362" t="n">
        <f aca="false">SUM(AR60:AR103)</f>
        <v>15053.7600000035</v>
      </c>
      <c r="AS104" s="362" t="n">
        <f aca="false">SUM(AS60:AS103)</f>
        <v>15053.7600000035</v>
      </c>
      <c r="AT104" s="362" t="n">
        <f aca="false">SUM(AT60:AT103)</f>
        <v>15053.7600000035</v>
      </c>
      <c r="AU104" s="362" t="n">
        <f aca="false">SUM(AU60:AU103)</f>
        <v>15053.7600000035</v>
      </c>
      <c r="AV104" s="362" t="n">
        <f aca="false">SUM(AV60:AV103)</f>
        <v>15053.7600000035</v>
      </c>
      <c r="AW104" s="362" t="n">
        <f aca="false">SUM(AW60:AW103)</f>
        <v>15053.7600000035</v>
      </c>
      <c r="AX104" s="362" t="n">
        <f aca="false">SUM(AX60:AX103)</f>
        <v>15053.7600000035</v>
      </c>
      <c r="AY104" s="362" t="n">
        <f aca="false">SUM(AY60:AY103)</f>
        <v>15053.7600000035</v>
      </c>
      <c r="AZ104" s="362" t="n">
        <f aca="false">SUM(AZ60:AZ103)</f>
        <v>15053.7600000035</v>
      </c>
      <c r="BA104" s="362" t="n">
        <f aca="false">SUM(BA60:BA103)</f>
        <v>15053.7600000035</v>
      </c>
      <c r="BB104" s="362" t="n">
        <f aca="false">SUM(BB60:BB103)</f>
        <v>15053.7600000035</v>
      </c>
      <c r="BC104" s="362" t="n">
        <f aca="false">SUM(BC60:BC103)</f>
        <v>15053.7600000035</v>
      </c>
      <c r="BD104" s="362" t="n">
        <f aca="false">SUM(BD60:BD103)</f>
        <v>15053.7600000035</v>
      </c>
      <c r="BE104" s="362" t="n">
        <f aca="false">SUM(BE60:BE103)</f>
        <v>15053.7600000035</v>
      </c>
      <c r="BF104" s="362" t="n">
        <f aca="false">SUM(BF60:BF103)</f>
        <v>15053.7600000035</v>
      </c>
      <c r="BG104" s="362" t="n">
        <f aca="false">SUM(BG60:BG103)</f>
        <v>15053.7600000035</v>
      </c>
      <c r="BH104" s="362" t="n">
        <f aca="false">SUM(BH60:BH103)</f>
        <v>15053.7600000035</v>
      </c>
      <c r="BI104" s="362" t="n">
        <f aca="false">SUM(BI60:BI103)</f>
        <v>15053.7600000035</v>
      </c>
      <c r="BJ104" s="362" t="n">
        <f aca="false">SUM(BJ60:BJ103)</f>
        <v>15053.7600000035</v>
      </c>
      <c r="BK104" s="362" t="n">
        <f aca="false">SUM(BK60:BK103)</f>
        <v>15053.7600000035</v>
      </c>
      <c r="BL104" s="362" t="n">
        <f aca="false">SUM(BL60:BL103)</f>
        <v>15053.7600000035</v>
      </c>
      <c r="BM104" s="362" t="n">
        <f aca="false">SUM(BM60:BM103)</f>
        <v>15053.7600000035</v>
      </c>
      <c r="BN104" s="362" t="n">
        <f aca="false">SUM(BN60:BN103)</f>
        <v>15053.7600000035</v>
      </c>
      <c r="BO104" s="362" t="n">
        <f aca="false">SUM(BO60:BO103)</f>
        <v>15053.7600000035</v>
      </c>
      <c r="BP104" s="362" t="n">
        <f aca="false">SUM(BP60:BP103)</f>
        <v>15053.7600000035</v>
      </c>
      <c r="BQ104" s="362" t="n">
        <f aca="false">SUM(BQ60:BQ103)</f>
        <v>15053.7600000035</v>
      </c>
      <c r="BR104" s="362" t="n">
        <f aca="false">SUM(BR60:BR103)</f>
        <v>15053.7600000035</v>
      </c>
      <c r="BS104" s="362" t="n">
        <f aca="false">SUM(BS60:BS103)</f>
        <v>15053.7600000035</v>
      </c>
      <c r="BT104" s="362" t="n">
        <f aca="false">SUM(BT60:BT103)</f>
        <v>15053.7600000035</v>
      </c>
      <c r="BU104" s="362" t="n">
        <f aca="false">SUM(BU60:BU103)</f>
        <v>15053.7600000035</v>
      </c>
      <c r="BV104" s="362" t="n">
        <f aca="false">SUM(BV60:BV103)</f>
        <v>15053.7600000035</v>
      </c>
      <c r="BW104" s="362" t="n">
        <f aca="false">SUM(BW60:BW103)</f>
        <v>15053.7600000035</v>
      </c>
      <c r="BX104" s="362" t="n">
        <f aca="false">SUM(BX60:BX103)</f>
        <v>15053.7600000035</v>
      </c>
      <c r="BY104" s="362" t="n">
        <f aca="false">SUM(BY60:BY103)</f>
        <v>15053.7600000035</v>
      </c>
      <c r="BZ104" s="362" t="n">
        <f aca="false">SUM(BZ60:BZ103)</f>
        <v>15053.7600000035</v>
      </c>
      <c r="CA104" s="362" t="n">
        <f aca="false">SUM(CA60:CA103)</f>
        <v>15053.7600000035</v>
      </c>
      <c r="CB104" s="362" t="n">
        <f aca="false">SUM(CB60:CB103)</f>
        <v>15053.7600000035</v>
      </c>
      <c r="CC104" s="362" t="n">
        <f aca="false">SUM(CC60:CC103)</f>
        <v>15053.7600000035</v>
      </c>
      <c r="CD104" s="362" t="n">
        <f aca="false">SUM(CD60:CD103)</f>
        <v>15053.7600000035</v>
      </c>
      <c r="CE104" s="362" t="n">
        <f aca="false">SUM(CE60:CE103)</f>
        <v>15053.7600000035</v>
      </c>
      <c r="CF104" s="362" t="n">
        <f aca="false">SUM(CF60:CF103)</f>
        <v>15053.7600000035</v>
      </c>
      <c r="CG104" s="362" t="n">
        <f aca="false">SUM(CG60:CG103)</f>
        <v>15053.7600000035</v>
      </c>
      <c r="CH104" s="362" t="n">
        <f aca="false">SUM(CH60:CH103)</f>
        <v>15053.7600000035</v>
      </c>
      <c r="CI104" s="362" t="n">
        <f aca="false">SUM(CI60:CI103)</f>
        <v>15053.7600000035</v>
      </c>
      <c r="CJ104" s="362" t="n">
        <f aca="false">SUM(CJ60:CJ103)</f>
        <v>15053.7600000035</v>
      </c>
      <c r="CK104" s="362" t="n">
        <f aca="false">SUM(CK60:CK103)</f>
        <v>15053.7600000035</v>
      </c>
      <c r="CL104" s="362" t="n">
        <f aca="false">SUM(CL60:CL103)</f>
        <v>15053.7600000035</v>
      </c>
      <c r="CM104" s="362" t="n">
        <f aca="false">SUM(CM60:CM103)</f>
        <v>15053.7600000035</v>
      </c>
      <c r="CN104" s="362" t="n">
        <f aca="false">SUM(CN60:CN103)</f>
        <v>15053.7600000035</v>
      </c>
      <c r="CO104" s="362" t="n">
        <f aca="false">SUM(CO60:CO103)</f>
        <v>15053.7600000035</v>
      </c>
      <c r="CP104" s="362" t="n">
        <f aca="false">SUM(CP60:CP103)</f>
        <v>15053.7600000035</v>
      </c>
      <c r="CQ104" s="362" t="n">
        <f aca="false">SUM(CQ60:CQ103)</f>
        <v>15053.7600000035</v>
      </c>
      <c r="CR104" s="362" t="n">
        <f aca="false">SUM(CR60:CR103)</f>
        <v>15053.7600000035</v>
      </c>
      <c r="CS104" s="362" t="n">
        <f aca="false">SUM(CS60:CS103)</f>
        <v>15053.7600000035</v>
      </c>
      <c r="CT104" s="362" t="n">
        <f aca="false">SUM(CT60:CT103)</f>
        <v>15053.7600000035</v>
      </c>
      <c r="CU104" s="362" t="n">
        <f aca="false">SUM(CU60:CU103)</f>
        <v>15053.7600000035</v>
      </c>
      <c r="CV104" s="362" t="n">
        <f aca="false">SUM(CV60:CV103)</f>
        <v>15053.7600000035</v>
      </c>
      <c r="CW104" s="362" t="n">
        <f aca="false">SUM(CW60:CW103)</f>
        <v>15053.7600000035</v>
      </c>
      <c r="CX104" s="362" t="n">
        <f aca="false">SUM(CX60:CX103)</f>
        <v>15053.7600000035</v>
      </c>
      <c r="CY104" s="362" t="n">
        <f aca="false">SUM(CY60:CY103)</f>
        <v>15053.7600000035</v>
      </c>
      <c r="CZ104" s="362" t="n">
        <f aca="false">SUM(CZ60:CZ103)</f>
        <v>15053.7600000035</v>
      </c>
      <c r="DA104" s="362" t="n">
        <f aca="false">SUM(DA60:DA103)</f>
        <v>15053.7600000035</v>
      </c>
      <c r="DB104" s="362" t="n">
        <f aca="false">SUM(DB60:DB103)</f>
        <v>15053.7600000035</v>
      </c>
      <c r="DC104" s="362" t="n">
        <f aca="false">SUM(DC60:DC103)</f>
        <v>15053.7600000035</v>
      </c>
      <c r="DD104" s="362" t="n">
        <f aca="false">SUM(DD60:DD103)</f>
        <v>15053.7600000035</v>
      </c>
      <c r="DE104" s="362" t="n">
        <f aca="false">SUM(DE60:DE103)</f>
        <v>15053.7600000035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609375" defaultRowHeight="13.5" customHeight="false"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18" t="s">
        <v>1178</v>
      </c>
    </row>
    <row r="2" customFormat="false" ht="13.5" hidden="false" customHeight="true" outlineLevel="0" collapsed="false">
      <c r="A2" s="219" t="s">
        <v>1179</v>
      </c>
    </row>
    <row r="4" customFormat="false" ht="13.5" hidden="false" customHeight="true" outlineLevel="0" collapsed="false">
      <c r="A4" s="223" t="s">
        <v>1180</v>
      </c>
      <c r="B4" s="224"/>
      <c r="C4" s="224"/>
      <c r="D4" s="224"/>
      <c r="E4" s="224"/>
      <c r="F4" s="224"/>
    </row>
    <row r="5" customFormat="false" ht="13.5" hidden="false" customHeight="true" outlineLevel="0" collapsed="false">
      <c r="A5" s="109" t="s">
        <v>1181</v>
      </c>
      <c r="B5" s="363" t="n">
        <v>0.875</v>
      </c>
    </row>
    <row r="6" customFormat="false" ht="13.5" hidden="false" customHeight="true" outlineLevel="0" collapsed="false">
      <c r="A6" s="109" t="s">
        <v>1182</v>
      </c>
      <c r="B6" s="363" t="n">
        <v>0.5</v>
      </c>
    </row>
    <row r="7" customFormat="false" ht="13.5" hidden="false" customHeight="true" outlineLevel="0" collapsed="false">
      <c r="A7" s="109" t="s">
        <v>1183</v>
      </c>
      <c r="B7" s="363" t="n">
        <v>0.25</v>
      </c>
    </row>
    <row r="8" customFormat="false" ht="13.5" hidden="false" customHeight="true" outlineLevel="0" collapsed="false">
      <c r="A8" s="109" t="s">
        <v>1184</v>
      </c>
      <c r="B8" s="363" t="n">
        <v>0.165</v>
      </c>
    </row>
    <row r="9" customFormat="false" ht="13.5" hidden="false" customHeight="true" outlineLevel="0" collapsed="false">
      <c r="A9" s="109" t="s">
        <v>1185</v>
      </c>
      <c r="B9" s="363" t="n">
        <v>0.5</v>
      </c>
    </row>
    <row r="10" customFormat="false" ht="13.5" hidden="false" customHeight="true" outlineLevel="0" collapsed="false">
      <c r="A10" s="109" t="s">
        <v>1186</v>
      </c>
      <c r="B10" s="363" t="n">
        <v>0.2</v>
      </c>
    </row>
    <row r="11" customFormat="false" ht="13.5" hidden="false" customHeight="true" outlineLevel="0" collapsed="false">
      <c r="A11" s="109" t="s">
        <v>1187</v>
      </c>
      <c r="B11" s="363" t="n">
        <v>0.5</v>
      </c>
    </row>
    <row r="12" customFormat="false" ht="13.5" hidden="false" customHeight="true" outlineLevel="0" collapsed="false">
      <c r="A12" s="109" t="s">
        <v>1188</v>
      </c>
      <c r="B12" s="364" t="n">
        <v>25000000</v>
      </c>
    </row>
    <row r="13" customFormat="false" ht="13.5" hidden="false" customHeight="true" outlineLevel="0" collapsed="false">
      <c r="A13" s="109" t="s">
        <v>1189</v>
      </c>
      <c r="B13" s="364" t="n">
        <v>10000000</v>
      </c>
    </row>
    <row r="14" customFormat="false" ht="13.5" hidden="false" customHeight="true" outlineLevel="0" collapsed="false">
      <c r="A14" s="109" t="s">
        <v>1190</v>
      </c>
      <c r="B14" s="363" t="n">
        <v>0</v>
      </c>
      <c r="C14" s="222" t="s">
        <v>1191</v>
      </c>
    </row>
    <row r="15" customFormat="false" ht="13.5" hidden="false" customHeight="true" outlineLevel="0" collapsed="false">
      <c r="A15" s="109" t="s">
        <v>1192</v>
      </c>
      <c r="B15" s="363" t="n">
        <v>0</v>
      </c>
    </row>
    <row r="16" customFormat="false" ht="13.5" hidden="false" customHeight="true" outlineLevel="0" collapsed="false">
      <c r="A16" s="109" t="s">
        <v>1193</v>
      </c>
      <c r="B16" s="363" t="n">
        <v>0</v>
      </c>
    </row>
    <row r="17" customFormat="false" ht="13.5" hidden="false" customHeight="true" outlineLevel="0" collapsed="false">
      <c r="A17" s="109" t="s">
        <v>1194</v>
      </c>
      <c r="B17" s="363" t="n">
        <v>1</v>
      </c>
    </row>
    <row r="18" customFormat="false" ht="13.5" hidden="false" customHeight="true" outlineLevel="0" collapsed="false">
      <c r="A18" s="109" t="s">
        <v>1195</v>
      </c>
      <c r="B18" s="363" t="n">
        <v>0.75</v>
      </c>
    </row>
    <row r="19" customFormat="false" ht="13.5" hidden="false" customHeight="true" outlineLevel="0" collapsed="false">
      <c r="A19" s="109" t="s">
        <v>1196</v>
      </c>
      <c r="B19" s="363" t="n">
        <v>6</v>
      </c>
      <c r="C19" s="222" t="s">
        <v>1197</v>
      </c>
    </row>
    <row r="20" customFormat="false" ht="13.5" hidden="false" customHeight="true" outlineLevel="0" collapsed="false">
      <c r="A20" s="109" t="s">
        <v>1198</v>
      </c>
      <c r="B20" s="363" t="n">
        <v>4</v>
      </c>
    </row>
    <row r="21" customFormat="false" ht="13.5" hidden="false" customHeight="true" outlineLevel="0" collapsed="false">
      <c r="A21" s="109" t="s">
        <v>1199</v>
      </c>
      <c r="B21" s="365" t="n">
        <v>0.075</v>
      </c>
    </row>
    <row r="22" customFormat="false" ht="13.5" hidden="false" customHeight="true" outlineLevel="0" collapsed="false">
      <c r="A22" s="109" t="s">
        <v>1200</v>
      </c>
      <c r="B22" s="363" t="n">
        <v>99</v>
      </c>
    </row>
    <row r="23" customFormat="false" ht="13.5" hidden="false" customHeight="true" outlineLevel="0" collapsed="false">
      <c r="A23" s="109" t="s">
        <v>1201</v>
      </c>
      <c r="B23" s="363" t="n">
        <v>99</v>
      </c>
    </row>
    <row r="25" customFormat="false" ht="13.5" hidden="false" customHeight="true" outlineLevel="0" collapsed="false">
      <c r="A25" s="223" t="s">
        <v>1202</v>
      </c>
      <c r="B25" s="224"/>
      <c r="C25" s="224"/>
      <c r="D25" s="224"/>
      <c r="E25" s="224"/>
      <c r="F25" s="224"/>
    </row>
    <row r="26" customFormat="false" ht="13.5" hidden="false" customHeight="true" outlineLevel="0" collapsed="false">
      <c r="A26" s="109" t="s">
        <v>746</v>
      </c>
      <c r="B26" s="364" t="n">
        <v>160000</v>
      </c>
    </row>
    <row r="27" customFormat="false" ht="13.5" hidden="false" customHeight="true" outlineLevel="0" collapsed="false">
      <c r="A27" s="109" t="s">
        <v>1203</v>
      </c>
      <c r="B27" s="364" t="n">
        <v>125000</v>
      </c>
    </row>
    <row r="28" customFormat="false" ht="13.5" hidden="false" customHeight="true" outlineLevel="0" collapsed="false">
      <c r="A28" s="109" t="s">
        <v>742</v>
      </c>
      <c r="B28" s="364" t="n">
        <v>130000</v>
      </c>
    </row>
    <row r="29" customFormat="false" ht="13.5" hidden="false" customHeight="true" outlineLevel="0" collapsed="false">
      <c r="A29" s="109" t="s">
        <v>688</v>
      </c>
      <c r="B29" s="364" t="n">
        <v>180000</v>
      </c>
    </row>
    <row r="30" customFormat="false" ht="13.5" hidden="false" customHeight="true" outlineLevel="0" collapsed="false">
      <c r="A30" s="109" t="s">
        <v>1204</v>
      </c>
      <c r="B30" s="364" t="n">
        <v>80000</v>
      </c>
    </row>
    <row r="32" customFormat="false" ht="13.5" hidden="false" customHeight="true" outlineLevel="0" collapsed="false">
      <c r="A32" s="223" t="s">
        <v>1205</v>
      </c>
      <c r="B32" s="224"/>
      <c r="C32" s="224"/>
      <c r="D32" s="224"/>
      <c r="E32" s="224"/>
      <c r="F32" s="224"/>
    </row>
    <row r="33" customFormat="false" ht="13.5" hidden="false" customHeight="true" outlineLevel="0" collapsed="false">
      <c r="E33" s="366" t="n">
        <f aca="false">Model!E2</f>
        <v>46113</v>
      </c>
      <c r="F33" s="366" t="n">
        <f aca="false">Model!F2</f>
        <v>46143</v>
      </c>
      <c r="G33" s="366" t="n">
        <f aca="false">Model!G2</f>
        <v>46174</v>
      </c>
      <c r="H33" s="366" t="n">
        <f aca="false">Model!H2</f>
        <v>46204</v>
      </c>
      <c r="I33" s="366" t="n">
        <f aca="false">Model!I2</f>
        <v>46235</v>
      </c>
      <c r="J33" s="366" t="n">
        <f aca="false">Model!J2</f>
        <v>46266</v>
      </c>
      <c r="K33" s="366" t="n">
        <f aca="false">Model!K2</f>
        <v>46296</v>
      </c>
      <c r="L33" s="366" t="n">
        <f aca="false">Model!L2</f>
        <v>46327</v>
      </c>
      <c r="M33" s="366" t="n">
        <f aca="false">Model!M2</f>
        <v>46357</v>
      </c>
      <c r="N33" s="366" t="n">
        <f aca="false">Model!N2</f>
        <v>46388</v>
      </c>
      <c r="O33" s="366" t="n">
        <f aca="false">Model!O2</f>
        <v>46419</v>
      </c>
      <c r="P33" s="366" t="n">
        <f aca="false">Model!P2</f>
        <v>46447</v>
      </c>
      <c r="Q33" s="366" t="n">
        <f aca="false">Model!Q2</f>
        <v>46478</v>
      </c>
      <c r="R33" s="366" t="n">
        <f aca="false">Model!R2</f>
        <v>46508</v>
      </c>
      <c r="S33" s="366" t="n">
        <f aca="false">Model!S2</f>
        <v>46539</v>
      </c>
      <c r="T33" s="366" t="n">
        <f aca="false">Model!T2</f>
        <v>46569</v>
      </c>
      <c r="U33" s="366" t="n">
        <f aca="false">Model!U2</f>
        <v>46600</v>
      </c>
      <c r="V33" s="366" t="n">
        <f aca="false">Model!V2</f>
        <v>46631</v>
      </c>
      <c r="W33" s="366" t="n">
        <f aca="false">Model!W2</f>
        <v>46661</v>
      </c>
      <c r="X33" s="366" t="n">
        <f aca="false">Model!X2</f>
        <v>46692</v>
      </c>
      <c r="Y33" s="366" t="n">
        <f aca="false">Model!Y2</f>
        <v>46722</v>
      </c>
      <c r="Z33" s="366" t="n">
        <f aca="false">Model!Z2</f>
        <v>46753</v>
      </c>
      <c r="AA33" s="366" t="n">
        <f aca="false">Model!AA2</f>
        <v>46784</v>
      </c>
      <c r="AB33" s="366" t="n">
        <f aca="false">Model!AB2</f>
        <v>46813</v>
      </c>
      <c r="AC33" s="366" t="n">
        <f aca="false">Model!AC2</f>
        <v>46844</v>
      </c>
      <c r="AD33" s="366" t="n">
        <f aca="false">Model!AD2</f>
        <v>46874</v>
      </c>
      <c r="AE33" s="366" t="n">
        <f aca="false">Model!AE2</f>
        <v>46905</v>
      </c>
      <c r="AF33" s="366" t="n">
        <f aca="false">Model!AF2</f>
        <v>46935</v>
      </c>
      <c r="AG33" s="366" t="n">
        <f aca="false">Model!AG2</f>
        <v>46966</v>
      </c>
      <c r="AH33" s="366" t="n">
        <f aca="false">Model!AH2</f>
        <v>46997</v>
      </c>
      <c r="AI33" s="366" t="n">
        <f aca="false">Model!AI2</f>
        <v>47027</v>
      </c>
      <c r="AJ33" s="366" t="n">
        <f aca="false">Model!AJ2</f>
        <v>47058</v>
      </c>
      <c r="AK33" s="366" t="n">
        <f aca="false">Model!AK2</f>
        <v>47088</v>
      </c>
      <c r="AL33" s="366" t="n">
        <f aca="false">Model!AL2</f>
        <v>47119</v>
      </c>
      <c r="AM33" s="366" t="n">
        <f aca="false">Model!AM2</f>
        <v>47150</v>
      </c>
      <c r="AN33" s="366" t="n">
        <f aca="false">Model!AN2</f>
        <v>47178</v>
      </c>
      <c r="AO33" s="366" t="n">
        <f aca="false">Model!AO2</f>
        <v>47209</v>
      </c>
      <c r="AP33" s="366" t="n">
        <f aca="false">Model!AP2</f>
        <v>47239</v>
      </c>
      <c r="AQ33" s="366" t="n">
        <f aca="false">Model!AQ2</f>
        <v>47270</v>
      </c>
      <c r="AR33" s="366" t="n">
        <f aca="false">Model!AR2</f>
        <v>47300</v>
      </c>
      <c r="AS33" s="366" t="n">
        <f aca="false">Model!AS2</f>
        <v>47331</v>
      </c>
      <c r="AT33" s="366" t="n">
        <f aca="false">Model!AT2</f>
        <v>47362</v>
      </c>
      <c r="AU33" s="366" t="n">
        <f aca="false">Model!AU2</f>
        <v>47392</v>
      </c>
      <c r="AV33" s="366" t="n">
        <f aca="false">Model!AV2</f>
        <v>47423</v>
      </c>
      <c r="AW33" s="366" t="n">
        <f aca="false">Model!AW2</f>
        <v>47453</v>
      </c>
      <c r="AX33" s="366" t="n">
        <f aca="false">Model!AX2</f>
        <v>47484</v>
      </c>
      <c r="AY33" s="366" t="n">
        <f aca="false">Model!AY2</f>
        <v>47515</v>
      </c>
      <c r="AZ33" s="366" t="n">
        <f aca="false">Model!AZ2</f>
        <v>47543</v>
      </c>
      <c r="BA33" s="366" t="n">
        <f aca="false">Model!BA2</f>
        <v>47574</v>
      </c>
      <c r="BB33" s="366" t="n">
        <f aca="false">Model!BB2</f>
        <v>47604</v>
      </c>
      <c r="BC33" s="366" t="n">
        <f aca="false">Model!BC2</f>
        <v>47635</v>
      </c>
      <c r="BD33" s="366" t="n">
        <f aca="false">Model!BD2</f>
        <v>47665</v>
      </c>
      <c r="BE33" s="366" t="n">
        <f aca="false">Model!BE2</f>
        <v>47696</v>
      </c>
      <c r="BF33" s="366" t="n">
        <f aca="false">Model!BF2</f>
        <v>47727</v>
      </c>
      <c r="BG33" s="366" t="n">
        <f aca="false">Model!BG2</f>
        <v>47757</v>
      </c>
      <c r="BH33" s="366" t="n">
        <f aca="false">Model!BH2</f>
        <v>47788</v>
      </c>
      <c r="BI33" s="366" t="n">
        <f aca="false">Model!BI2</f>
        <v>47818</v>
      </c>
      <c r="BJ33" s="366" t="n">
        <f aca="false">Model!BJ2</f>
        <v>47849</v>
      </c>
      <c r="BK33" s="366" t="n">
        <f aca="false">Model!BK2</f>
        <v>47880</v>
      </c>
      <c r="BL33" s="366" t="n">
        <f aca="false">Model!BL2</f>
        <v>47908</v>
      </c>
      <c r="BM33" s="366" t="n">
        <f aca="false">Model!BM2</f>
        <v>47939</v>
      </c>
      <c r="BN33" s="366" t="n">
        <f aca="false">Model!BN2</f>
        <v>47969</v>
      </c>
      <c r="BO33" s="366" t="n">
        <f aca="false">Model!BO2</f>
        <v>48000</v>
      </c>
      <c r="BP33" s="366" t="n">
        <f aca="false">Model!BP2</f>
        <v>48030</v>
      </c>
      <c r="BQ33" s="366" t="n">
        <f aca="false">Model!BQ2</f>
        <v>48061</v>
      </c>
      <c r="BR33" s="366" t="n">
        <f aca="false">Model!BR2</f>
        <v>48092</v>
      </c>
      <c r="BS33" s="366" t="n">
        <f aca="false">Model!BS2</f>
        <v>48122</v>
      </c>
      <c r="BT33" s="366" t="n">
        <f aca="false">Model!BT2</f>
        <v>48153</v>
      </c>
      <c r="BU33" s="366" t="n">
        <f aca="false">Model!BU2</f>
        <v>48183</v>
      </c>
      <c r="BV33" s="366" t="n">
        <f aca="false">Model!BV2</f>
        <v>48214</v>
      </c>
      <c r="BW33" s="366" t="n">
        <f aca="false">Model!BW2</f>
        <v>48245</v>
      </c>
      <c r="BX33" s="366" t="n">
        <f aca="false">Model!BX2</f>
        <v>48274</v>
      </c>
      <c r="BY33" s="366" t="n">
        <f aca="false">Model!BY2</f>
        <v>48305</v>
      </c>
      <c r="BZ33" s="366" t="n">
        <f aca="false">Model!BZ2</f>
        <v>48335</v>
      </c>
      <c r="CA33" s="366" t="n">
        <f aca="false">Model!CA2</f>
        <v>48366</v>
      </c>
      <c r="CB33" s="366" t="n">
        <f aca="false">Model!CB2</f>
        <v>48396</v>
      </c>
      <c r="CC33" s="366" t="n">
        <f aca="false">Model!CC2</f>
        <v>48427</v>
      </c>
      <c r="CD33" s="366" t="n">
        <f aca="false">Model!CD2</f>
        <v>48458</v>
      </c>
      <c r="CE33" s="366" t="n">
        <f aca="false">Model!CE2</f>
        <v>48488</v>
      </c>
      <c r="CF33" s="366" t="n">
        <f aca="false">Model!CF2</f>
        <v>48519</v>
      </c>
      <c r="CG33" s="366" t="n">
        <f aca="false">Model!CG2</f>
        <v>48549</v>
      </c>
      <c r="CH33" s="366" t="n">
        <f aca="false">Model!CH2</f>
        <v>48580</v>
      </c>
      <c r="CI33" s="366" t="n">
        <f aca="false">Model!CI2</f>
        <v>48611</v>
      </c>
      <c r="CJ33" s="366" t="n">
        <f aca="false">Model!CJ2</f>
        <v>48639</v>
      </c>
      <c r="CK33" s="366" t="n">
        <f aca="false">Model!CK2</f>
        <v>48670</v>
      </c>
      <c r="CL33" s="366" t="n">
        <f aca="false">Model!CL2</f>
        <v>48700</v>
      </c>
      <c r="CM33" s="366" t="n">
        <f aca="false">Model!CM2</f>
        <v>48731</v>
      </c>
      <c r="CN33" s="366" t="n">
        <f aca="false">Model!CN2</f>
        <v>48761</v>
      </c>
      <c r="CO33" s="366" t="n">
        <f aca="false">Model!CO2</f>
        <v>48792</v>
      </c>
      <c r="CP33" s="366" t="n">
        <f aca="false">Model!CP2</f>
        <v>48823</v>
      </c>
      <c r="CQ33" s="366" t="n">
        <f aca="false">Model!CQ2</f>
        <v>48853</v>
      </c>
      <c r="CR33" s="366" t="n">
        <f aca="false">Model!CR2</f>
        <v>48884</v>
      </c>
      <c r="CS33" s="366" t="n">
        <f aca="false">Model!CS2</f>
        <v>48914</v>
      </c>
      <c r="CT33" s="366" t="n">
        <f aca="false">Model!CT2</f>
        <v>48945</v>
      </c>
      <c r="CU33" s="366" t="n">
        <f aca="false">Model!CU2</f>
        <v>48976</v>
      </c>
      <c r="CV33" s="366" t="n">
        <f aca="false">Model!CV2</f>
        <v>49004</v>
      </c>
      <c r="CW33" s="366" t="n">
        <f aca="false">Model!CW2</f>
        <v>49035</v>
      </c>
      <c r="CX33" s="366" t="n">
        <f aca="false">Model!CX2</f>
        <v>49065</v>
      </c>
      <c r="CY33" s="366" t="n">
        <f aca="false">Model!CY2</f>
        <v>49096</v>
      </c>
      <c r="CZ33" s="366" t="n">
        <f aca="false">Model!CZ2</f>
        <v>49126</v>
      </c>
      <c r="DA33" s="366" t="n">
        <f aca="false">Model!DA2</f>
        <v>49157</v>
      </c>
      <c r="DB33" s="366" t="n">
        <f aca="false">Model!DB2</f>
        <v>49188</v>
      </c>
      <c r="DC33" s="366" t="n">
        <f aca="false">Model!DC2</f>
        <v>49218</v>
      </c>
      <c r="DD33" s="366" t="n">
        <f aca="false">Model!DD2</f>
        <v>49249</v>
      </c>
      <c r="DE33" s="366" t="n">
        <f aca="false">Model!DE2</f>
        <v>49279</v>
      </c>
    </row>
    <row r="34" customFormat="false" ht="13.5" hidden="false" customHeight="true" outlineLevel="0" collapsed="false">
      <c r="E34" s="123" t="n">
        <v>1</v>
      </c>
      <c r="F34" s="123" t="n">
        <v>2</v>
      </c>
      <c r="G34" s="123" t="n">
        <v>3</v>
      </c>
      <c r="H34" s="123" t="n">
        <v>4</v>
      </c>
      <c r="I34" s="123" t="n">
        <v>5</v>
      </c>
      <c r="J34" s="123" t="n">
        <v>6</v>
      </c>
      <c r="K34" s="123" t="n">
        <v>7</v>
      </c>
      <c r="L34" s="123" t="n">
        <v>8</v>
      </c>
      <c r="M34" s="123" t="n">
        <v>9</v>
      </c>
      <c r="N34" s="123" t="n">
        <v>10</v>
      </c>
      <c r="O34" s="123" t="n">
        <v>11</v>
      </c>
      <c r="P34" s="123" t="n">
        <v>12</v>
      </c>
      <c r="Q34" s="123" t="n">
        <v>13</v>
      </c>
      <c r="R34" s="123" t="n">
        <v>14</v>
      </c>
      <c r="S34" s="123" t="n">
        <v>15</v>
      </c>
      <c r="T34" s="123" t="n">
        <v>16</v>
      </c>
      <c r="U34" s="123" t="n">
        <v>17</v>
      </c>
      <c r="V34" s="123" t="n">
        <v>18</v>
      </c>
      <c r="W34" s="123" t="n">
        <v>19</v>
      </c>
      <c r="X34" s="123" t="n">
        <v>20</v>
      </c>
      <c r="Y34" s="123" t="n">
        <v>21</v>
      </c>
      <c r="Z34" s="123" t="n">
        <v>22</v>
      </c>
      <c r="AA34" s="123" t="n">
        <v>23</v>
      </c>
      <c r="AB34" s="123" t="n">
        <v>24</v>
      </c>
      <c r="AC34" s="123" t="n">
        <v>25</v>
      </c>
      <c r="AD34" s="123" t="n">
        <v>26</v>
      </c>
      <c r="AE34" s="123" t="n">
        <v>27</v>
      </c>
      <c r="AF34" s="123" t="n">
        <v>28</v>
      </c>
      <c r="AG34" s="123" t="n">
        <v>29</v>
      </c>
      <c r="AH34" s="123" t="n">
        <v>30</v>
      </c>
      <c r="AI34" s="123" t="n">
        <v>31</v>
      </c>
      <c r="AJ34" s="123" t="n">
        <v>32</v>
      </c>
      <c r="AK34" s="123" t="n">
        <v>33</v>
      </c>
      <c r="AL34" s="123" t="n">
        <v>34</v>
      </c>
      <c r="AM34" s="123" t="n">
        <v>35</v>
      </c>
      <c r="AN34" s="123" t="n">
        <v>36</v>
      </c>
      <c r="AO34" s="123" t="n">
        <v>37</v>
      </c>
      <c r="AP34" s="123" t="n">
        <v>38</v>
      </c>
      <c r="AQ34" s="123" t="n">
        <v>39</v>
      </c>
      <c r="AR34" s="123" t="n">
        <v>40</v>
      </c>
      <c r="AS34" s="123" t="n">
        <v>41</v>
      </c>
      <c r="AT34" s="123" t="n">
        <v>42</v>
      </c>
      <c r="AU34" s="123" t="n">
        <v>43</v>
      </c>
      <c r="AV34" s="123" t="n">
        <v>44</v>
      </c>
      <c r="AW34" s="123" t="n">
        <v>45</v>
      </c>
      <c r="AX34" s="123" t="n">
        <v>46</v>
      </c>
      <c r="AY34" s="123" t="n">
        <v>47</v>
      </c>
      <c r="AZ34" s="123" t="n">
        <v>48</v>
      </c>
      <c r="BA34" s="123" t="n">
        <v>49</v>
      </c>
      <c r="BB34" s="123" t="n">
        <v>50</v>
      </c>
      <c r="BC34" s="123" t="n">
        <v>51</v>
      </c>
      <c r="BD34" s="123" t="n">
        <v>52</v>
      </c>
      <c r="BE34" s="123" t="n">
        <v>53</v>
      </c>
      <c r="BF34" s="123" t="n">
        <v>54</v>
      </c>
      <c r="BG34" s="123" t="n">
        <v>55</v>
      </c>
      <c r="BH34" s="123" t="n">
        <v>56</v>
      </c>
      <c r="BI34" s="123" t="n">
        <v>57</v>
      </c>
      <c r="BJ34" s="123" t="n">
        <v>58</v>
      </c>
      <c r="BK34" s="123" t="n">
        <v>59</v>
      </c>
      <c r="BL34" s="123" t="n">
        <v>60</v>
      </c>
      <c r="BM34" s="123" t="n">
        <v>61</v>
      </c>
      <c r="BN34" s="123" t="n">
        <v>62</v>
      </c>
      <c r="BO34" s="123" t="n">
        <v>63</v>
      </c>
      <c r="BP34" s="123" t="n">
        <v>64</v>
      </c>
      <c r="BQ34" s="123" t="n">
        <v>65</v>
      </c>
      <c r="BR34" s="123" t="n">
        <v>66</v>
      </c>
      <c r="BS34" s="123" t="n">
        <v>67</v>
      </c>
      <c r="BT34" s="123" t="n">
        <v>68</v>
      </c>
      <c r="BU34" s="123" t="n">
        <v>69</v>
      </c>
      <c r="BV34" s="123" t="n">
        <v>70</v>
      </c>
      <c r="BW34" s="123" t="n">
        <v>71</v>
      </c>
      <c r="BX34" s="123" t="n">
        <v>72</v>
      </c>
      <c r="BY34" s="123" t="n">
        <v>73</v>
      </c>
      <c r="BZ34" s="123" t="n">
        <v>74</v>
      </c>
      <c r="CA34" s="123" t="n">
        <v>75</v>
      </c>
      <c r="CB34" s="123" t="n">
        <v>76</v>
      </c>
      <c r="CC34" s="123" t="n">
        <v>77</v>
      </c>
      <c r="CD34" s="123" t="n">
        <v>78</v>
      </c>
      <c r="CE34" s="123" t="n">
        <v>79</v>
      </c>
      <c r="CF34" s="123" t="n">
        <v>80</v>
      </c>
      <c r="CG34" s="123" t="n">
        <v>81</v>
      </c>
      <c r="CH34" s="123" t="n">
        <v>82</v>
      </c>
      <c r="CI34" s="123" t="n">
        <v>83</v>
      </c>
      <c r="CJ34" s="123" t="n">
        <v>84</v>
      </c>
      <c r="CK34" s="123" t="n">
        <v>85</v>
      </c>
      <c r="CL34" s="123" t="n">
        <v>86</v>
      </c>
      <c r="CM34" s="123" t="n">
        <v>87</v>
      </c>
      <c r="CN34" s="123" t="n">
        <v>88</v>
      </c>
      <c r="CO34" s="123" t="n">
        <v>89</v>
      </c>
      <c r="CP34" s="123" t="n">
        <v>90</v>
      </c>
      <c r="CQ34" s="123" t="n">
        <v>91</v>
      </c>
      <c r="CR34" s="123" t="n">
        <v>92</v>
      </c>
      <c r="CS34" s="123" t="n">
        <v>93</v>
      </c>
      <c r="CT34" s="123" t="n">
        <v>94</v>
      </c>
      <c r="CU34" s="123" t="n">
        <v>95</v>
      </c>
      <c r="CV34" s="123" t="n">
        <v>96</v>
      </c>
      <c r="CW34" s="123" t="n">
        <v>97</v>
      </c>
      <c r="CX34" s="123" t="n">
        <v>98</v>
      </c>
      <c r="CY34" s="123" t="n">
        <v>99</v>
      </c>
      <c r="CZ34" s="123" t="n">
        <v>100</v>
      </c>
      <c r="DA34" s="123" t="n">
        <v>101</v>
      </c>
      <c r="DB34" s="123" t="n">
        <v>102</v>
      </c>
      <c r="DC34" s="123" t="n">
        <v>103</v>
      </c>
      <c r="DD34" s="123" t="n">
        <v>104</v>
      </c>
      <c r="DE34" s="123" t="n">
        <v>105</v>
      </c>
    </row>
    <row r="36" customFormat="false" ht="13.5" hidden="false" customHeight="true" outlineLevel="0" collapsed="false">
      <c r="A36" s="223" t="s">
        <v>1206</v>
      </c>
      <c r="B36" s="224"/>
      <c r="C36" s="224"/>
      <c r="D36" s="224"/>
      <c r="E36" s="224"/>
      <c r="F36" s="224"/>
    </row>
    <row r="37" customFormat="false" ht="13.5" hidden="false" customHeight="true" outlineLevel="0" collapsed="false">
      <c r="A37" s="109" t="s">
        <v>1207</v>
      </c>
      <c r="E37" s="367" t="n">
        <f aca="false">SUMPRODUCT((Projects!$G$2:$G$45="Yes")*(1&gt;=Projects!$C$2:$C$45)*(1&lt;=Projects!$W$2:$W$45))</f>
        <v>5</v>
      </c>
      <c r="F37" s="367" t="n">
        <f aca="false">SUMPRODUCT((Projects!$G$2:$G$45="Yes")*(2&gt;=Projects!$C$2:$C$45)*(2&lt;=Projects!$W$2:$W$45))</f>
        <v>5</v>
      </c>
      <c r="G37" s="367" t="n">
        <f aca="false">SUMPRODUCT((Projects!$G$2:$G$45="Yes")*(3&gt;=Projects!$C$2:$C$45)*(3&lt;=Projects!$W$2:$W$45))</f>
        <v>5</v>
      </c>
      <c r="H37" s="367" t="n">
        <f aca="false">SUMPRODUCT((Projects!$G$2:$G$45="Yes")*(4&gt;=Projects!$C$2:$C$45)*(4&lt;=Projects!$W$2:$W$45))</f>
        <v>5</v>
      </c>
      <c r="I37" s="367" t="n">
        <f aca="false">SUMPRODUCT((Projects!$G$2:$G$45="Yes")*(5&gt;=Projects!$C$2:$C$45)*(5&lt;=Projects!$W$2:$W$45))</f>
        <v>7</v>
      </c>
      <c r="J37" s="367" t="n">
        <f aca="false">SUMPRODUCT((Projects!$G$2:$G$45="Yes")*(6&gt;=Projects!$C$2:$C$45)*(6&lt;=Projects!$W$2:$W$45))</f>
        <v>8</v>
      </c>
      <c r="K37" s="367" t="n">
        <f aca="false">SUMPRODUCT((Projects!$G$2:$G$45="Yes")*(7&gt;=Projects!$C$2:$C$45)*(7&lt;=Projects!$W$2:$W$45))</f>
        <v>8</v>
      </c>
      <c r="L37" s="367" t="n">
        <f aca="false">SUMPRODUCT((Projects!$G$2:$G$45="Yes")*(8&gt;=Projects!$C$2:$C$45)*(8&lt;=Projects!$W$2:$W$45))</f>
        <v>8</v>
      </c>
      <c r="M37" s="367" t="n">
        <f aca="false">SUMPRODUCT((Projects!$G$2:$G$45="Yes")*(9&gt;=Projects!$C$2:$C$45)*(9&lt;=Projects!$W$2:$W$45))</f>
        <v>8</v>
      </c>
      <c r="N37" s="367" t="n">
        <f aca="false">SUMPRODUCT((Projects!$G$2:$G$45="Yes")*(10&gt;=Projects!$C$2:$C$45)*(10&lt;=Projects!$W$2:$W$45))</f>
        <v>9</v>
      </c>
      <c r="O37" s="367" t="n">
        <f aca="false">SUMPRODUCT((Projects!$G$2:$G$45="Yes")*(11&gt;=Projects!$C$2:$C$45)*(11&lt;=Projects!$W$2:$W$45))</f>
        <v>10</v>
      </c>
      <c r="P37" s="367" t="n">
        <f aca="false">SUMPRODUCT((Projects!$G$2:$G$45="Yes")*(12&gt;=Projects!$C$2:$C$45)*(12&lt;=Projects!$W$2:$W$45))</f>
        <v>10</v>
      </c>
      <c r="Q37" s="367" t="n">
        <f aca="false">SUMPRODUCT((Projects!$G$2:$G$45="Yes")*(13&gt;=Projects!$C$2:$C$45)*(13&lt;=Projects!$W$2:$W$45))</f>
        <v>11</v>
      </c>
      <c r="R37" s="367" t="n">
        <f aca="false">SUMPRODUCT((Projects!$G$2:$G$45="Yes")*(14&gt;=Projects!$C$2:$C$45)*(14&lt;=Projects!$W$2:$W$45))</f>
        <v>12</v>
      </c>
      <c r="S37" s="367" t="n">
        <f aca="false">SUMPRODUCT((Projects!$G$2:$G$45="Yes")*(15&gt;=Projects!$C$2:$C$45)*(15&lt;=Projects!$W$2:$W$45))</f>
        <v>14</v>
      </c>
      <c r="T37" s="367" t="n">
        <f aca="false">SUMPRODUCT((Projects!$G$2:$G$45="Yes")*(16&gt;=Projects!$C$2:$C$45)*(16&lt;=Projects!$W$2:$W$45))</f>
        <v>13</v>
      </c>
      <c r="U37" s="367" t="n">
        <f aca="false">SUMPRODUCT((Projects!$G$2:$G$45="Yes")*(17&gt;=Projects!$C$2:$C$45)*(17&lt;=Projects!$W$2:$W$45))</f>
        <v>13</v>
      </c>
      <c r="V37" s="367" t="n">
        <f aca="false">SUMPRODUCT((Projects!$G$2:$G$45="Yes")*(18&gt;=Projects!$C$2:$C$45)*(18&lt;=Projects!$W$2:$W$45))</f>
        <v>13</v>
      </c>
      <c r="W37" s="367" t="n">
        <f aca="false">SUMPRODUCT((Projects!$G$2:$G$45="Yes")*(19&gt;=Projects!$C$2:$C$45)*(19&lt;=Projects!$W$2:$W$45))</f>
        <v>14</v>
      </c>
      <c r="X37" s="367" t="n">
        <f aca="false">SUMPRODUCT((Projects!$G$2:$G$45="Yes")*(20&gt;=Projects!$C$2:$C$45)*(20&lt;=Projects!$W$2:$W$45))</f>
        <v>13</v>
      </c>
      <c r="Y37" s="367" t="n">
        <f aca="false">SUMPRODUCT((Projects!$G$2:$G$45="Yes")*(21&gt;=Projects!$C$2:$C$45)*(21&lt;=Projects!$W$2:$W$45))</f>
        <v>13</v>
      </c>
      <c r="Z37" s="367" t="n">
        <f aca="false">SUMPRODUCT((Projects!$G$2:$G$45="Yes")*(22&gt;=Projects!$C$2:$C$45)*(22&lt;=Projects!$W$2:$W$45))</f>
        <v>13</v>
      </c>
      <c r="AA37" s="367" t="n">
        <f aca="false">SUMPRODUCT((Projects!$G$2:$G$45="Yes")*(23&gt;=Projects!$C$2:$C$45)*(23&lt;=Projects!$W$2:$W$45))</f>
        <v>13</v>
      </c>
      <c r="AB37" s="367" t="n">
        <f aca="false">SUMPRODUCT((Projects!$G$2:$G$45="Yes")*(24&gt;=Projects!$C$2:$C$45)*(24&lt;=Projects!$W$2:$W$45))</f>
        <v>12</v>
      </c>
      <c r="AC37" s="367" t="n">
        <f aca="false">SUMPRODUCT((Projects!$G$2:$G$45="Yes")*(25&gt;=Projects!$C$2:$C$45)*(25&lt;=Projects!$W$2:$W$45))</f>
        <v>11</v>
      </c>
      <c r="AD37" s="367" t="n">
        <f aca="false">SUMPRODUCT((Projects!$G$2:$G$45="Yes")*(26&gt;=Projects!$C$2:$C$45)*(26&lt;=Projects!$W$2:$W$45))</f>
        <v>11</v>
      </c>
      <c r="AE37" s="367" t="n">
        <f aca="false">SUMPRODUCT((Projects!$G$2:$G$45="Yes")*(27&gt;=Projects!$C$2:$C$45)*(27&lt;=Projects!$W$2:$W$45))</f>
        <v>12</v>
      </c>
      <c r="AF37" s="367" t="n">
        <f aca="false">SUMPRODUCT((Projects!$G$2:$G$45="Yes")*(28&gt;=Projects!$C$2:$C$45)*(28&lt;=Projects!$W$2:$W$45))</f>
        <v>12</v>
      </c>
      <c r="AG37" s="367" t="n">
        <f aca="false">SUMPRODUCT((Projects!$G$2:$G$45="Yes")*(29&gt;=Projects!$C$2:$C$45)*(29&lt;=Projects!$W$2:$W$45))</f>
        <v>10</v>
      </c>
      <c r="AH37" s="367" t="n">
        <f aca="false">SUMPRODUCT((Projects!$G$2:$G$45="Yes")*(30&gt;=Projects!$C$2:$C$45)*(30&lt;=Projects!$W$2:$W$45))</f>
        <v>9</v>
      </c>
      <c r="AI37" s="367" t="n">
        <f aca="false">SUMPRODUCT((Projects!$G$2:$G$45="Yes")*(31&gt;=Projects!$C$2:$C$45)*(31&lt;=Projects!$W$2:$W$45))</f>
        <v>8</v>
      </c>
      <c r="AJ37" s="367" t="n">
        <f aca="false">SUMPRODUCT((Projects!$G$2:$G$45="Yes")*(32&gt;=Projects!$C$2:$C$45)*(32&lt;=Projects!$W$2:$W$45))</f>
        <v>8</v>
      </c>
      <c r="AK37" s="367" t="n">
        <f aca="false">SUMPRODUCT((Projects!$G$2:$G$45="Yes")*(33&gt;=Projects!$C$2:$C$45)*(33&lt;=Projects!$W$2:$W$45))</f>
        <v>7</v>
      </c>
      <c r="AL37" s="367" t="n">
        <f aca="false">SUMPRODUCT((Projects!$G$2:$G$45="Yes")*(34&gt;=Projects!$C$2:$C$45)*(34&lt;=Projects!$W$2:$W$45))</f>
        <v>7</v>
      </c>
      <c r="AM37" s="367" t="n">
        <f aca="false">SUMPRODUCT((Projects!$G$2:$G$45="Yes")*(35&gt;=Projects!$C$2:$C$45)*(35&lt;=Projects!$W$2:$W$45))</f>
        <v>7</v>
      </c>
      <c r="AN37" s="367" t="n">
        <f aca="false">SUMPRODUCT((Projects!$G$2:$G$45="Yes")*(36&gt;=Projects!$C$2:$C$45)*(36&lt;=Projects!$W$2:$W$45))</f>
        <v>7</v>
      </c>
      <c r="AO37" s="367" t="n">
        <f aca="false">SUMPRODUCT((Projects!$G$2:$G$45="Yes")*(37&gt;=Projects!$C$2:$C$45)*(37&lt;=Projects!$W$2:$W$45))</f>
        <v>5</v>
      </c>
      <c r="AP37" s="367" t="n">
        <f aca="false">SUMPRODUCT((Projects!$G$2:$G$45="Yes")*(38&gt;=Projects!$C$2:$C$45)*(38&lt;=Projects!$W$2:$W$45))</f>
        <v>4</v>
      </c>
      <c r="AQ37" s="367" t="n">
        <f aca="false">SUMPRODUCT((Projects!$G$2:$G$45="Yes")*(39&gt;=Projects!$C$2:$C$45)*(39&lt;=Projects!$W$2:$W$45))</f>
        <v>3</v>
      </c>
      <c r="AR37" s="367" t="n">
        <f aca="false">SUMPRODUCT((Projects!$G$2:$G$45="Yes")*(40&gt;=Projects!$C$2:$C$45)*(40&lt;=Projects!$W$2:$W$45))</f>
        <v>3</v>
      </c>
      <c r="AS37" s="367" t="n">
        <f aca="false">SUMPRODUCT((Projects!$G$2:$G$45="Yes")*(41&gt;=Projects!$C$2:$C$45)*(41&lt;=Projects!$W$2:$W$45))</f>
        <v>3</v>
      </c>
      <c r="AT37" s="367" t="n">
        <f aca="false">SUMPRODUCT((Projects!$G$2:$G$45="Yes")*(42&gt;=Projects!$C$2:$C$45)*(42&lt;=Projects!$W$2:$W$45))</f>
        <v>3</v>
      </c>
      <c r="AU37" s="367" t="n">
        <f aca="false">SUMPRODUCT((Projects!$G$2:$G$45="Yes")*(43&gt;=Projects!$C$2:$C$45)*(43&lt;=Projects!$W$2:$W$45))</f>
        <v>2</v>
      </c>
      <c r="AV37" s="367" t="n">
        <f aca="false">SUMPRODUCT((Projects!$G$2:$G$45="Yes")*(44&gt;=Projects!$C$2:$C$45)*(44&lt;=Projects!$W$2:$W$45))</f>
        <v>2</v>
      </c>
      <c r="AW37" s="367" t="n">
        <f aca="false">SUMPRODUCT((Projects!$G$2:$G$45="Yes")*(45&gt;=Projects!$C$2:$C$45)*(45&lt;=Projects!$W$2:$W$45))</f>
        <v>1</v>
      </c>
      <c r="AX37" s="367" t="n">
        <f aca="false">SUMPRODUCT((Projects!$G$2:$G$45="Yes")*(46&gt;=Projects!$C$2:$C$45)*(46&lt;=Projects!$W$2:$W$45))</f>
        <v>1</v>
      </c>
      <c r="AY37" s="367" t="n">
        <f aca="false">SUMPRODUCT((Projects!$G$2:$G$45="Yes")*(47&gt;=Projects!$C$2:$C$45)*(47&lt;=Projects!$W$2:$W$45))</f>
        <v>1</v>
      </c>
      <c r="AZ37" s="367" t="n">
        <f aca="false">SUMPRODUCT((Projects!$G$2:$G$45="Yes")*(48&gt;=Projects!$C$2:$C$45)*(48&lt;=Projects!$W$2:$W$45))</f>
        <v>1</v>
      </c>
      <c r="BA37" s="367" t="n">
        <f aca="false">SUMPRODUCT((Projects!$G$2:$G$45="Yes")*(49&gt;=Projects!$C$2:$C$45)*(49&lt;=Projects!$W$2:$W$45))</f>
        <v>1</v>
      </c>
      <c r="BB37" s="367" t="n">
        <f aca="false">SUMPRODUCT((Projects!$G$2:$G$45="Yes")*(50&gt;=Projects!$C$2:$C$45)*(50&lt;=Projects!$W$2:$W$45))</f>
        <v>1</v>
      </c>
      <c r="BC37" s="367" t="n">
        <f aca="false">SUMPRODUCT((Projects!$G$2:$G$45="Yes")*(51&gt;=Projects!$C$2:$C$45)*(51&lt;=Projects!$W$2:$W$45))</f>
        <v>1</v>
      </c>
      <c r="BD37" s="367" t="n">
        <f aca="false">SUMPRODUCT((Projects!$G$2:$G$45="Yes")*(52&gt;=Projects!$C$2:$C$45)*(52&lt;=Projects!$W$2:$W$45))</f>
        <v>1</v>
      </c>
      <c r="BE37" s="367" t="n">
        <f aca="false">SUMPRODUCT((Projects!$G$2:$G$45="Yes")*(53&gt;=Projects!$C$2:$C$45)*(53&lt;=Projects!$W$2:$W$45))</f>
        <v>1</v>
      </c>
      <c r="BF37" s="367" t="n">
        <f aca="false">SUMPRODUCT((Projects!$G$2:$G$45="Yes")*(54&gt;=Projects!$C$2:$C$45)*(54&lt;=Projects!$W$2:$W$45))</f>
        <v>1</v>
      </c>
      <c r="BG37" s="367" t="n">
        <f aca="false">SUMPRODUCT((Projects!$G$2:$G$45="Yes")*(55&gt;=Projects!$C$2:$C$45)*(55&lt;=Projects!$W$2:$W$45))</f>
        <v>1</v>
      </c>
      <c r="BH37" s="367" t="n">
        <f aca="false">SUMPRODUCT((Projects!$G$2:$G$45="Yes")*(56&gt;=Projects!$C$2:$C$45)*(56&lt;=Projects!$W$2:$W$45))</f>
        <v>1</v>
      </c>
      <c r="BI37" s="367" t="n">
        <f aca="false">SUMPRODUCT((Projects!$G$2:$G$45="Yes")*(57&gt;=Projects!$C$2:$C$45)*(57&lt;=Projects!$W$2:$W$45))</f>
        <v>0</v>
      </c>
      <c r="BJ37" s="367" t="n">
        <f aca="false">SUMPRODUCT((Projects!$G$2:$G$45="Yes")*(58&gt;=Projects!$C$2:$C$45)*(58&lt;=Projects!$W$2:$W$45))</f>
        <v>0</v>
      </c>
      <c r="BK37" s="367" t="n">
        <f aca="false">SUMPRODUCT((Projects!$G$2:$G$45="Yes")*(59&gt;=Projects!$C$2:$C$45)*(59&lt;=Projects!$W$2:$W$45))</f>
        <v>0</v>
      </c>
      <c r="BL37" s="367" t="n">
        <f aca="false">SUMPRODUCT((Projects!$G$2:$G$45="Yes")*(60&gt;=Projects!$C$2:$C$45)*(60&lt;=Projects!$W$2:$W$45))</f>
        <v>0</v>
      </c>
      <c r="BM37" s="367" t="n">
        <f aca="false">SUMPRODUCT((Projects!$G$2:$G$45="Yes")*(61&gt;=Projects!$C$2:$C$45)*(61&lt;=Projects!$W$2:$W$45))</f>
        <v>0</v>
      </c>
      <c r="BN37" s="367" t="n">
        <f aca="false">SUMPRODUCT((Projects!$G$2:$G$45="Yes")*(62&gt;=Projects!$C$2:$C$45)*(62&lt;=Projects!$W$2:$W$45))</f>
        <v>0</v>
      </c>
      <c r="BO37" s="367" t="n">
        <f aca="false">SUMPRODUCT((Projects!$G$2:$G$45="Yes")*(63&gt;=Projects!$C$2:$C$45)*(63&lt;=Projects!$W$2:$W$45))</f>
        <v>0</v>
      </c>
      <c r="BP37" s="367" t="n">
        <f aca="false">SUMPRODUCT((Projects!$G$2:$G$45="Yes")*(64&gt;=Projects!$C$2:$C$45)*(64&lt;=Projects!$W$2:$W$45))</f>
        <v>0</v>
      </c>
      <c r="BQ37" s="367" t="n">
        <f aca="false">SUMPRODUCT((Projects!$G$2:$G$45="Yes")*(65&gt;=Projects!$C$2:$C$45)*(65&lt;=Projects!$W$2:$W$45))</f>
        <v>0</v>
      </c>
      <c r="BR37" s="367" t="n">
        <f aca="false">SUMPRODUCT((Projects!$G$2:$G$45="Yes")*(66&gt;=Projects!$C$2:$C$45)*(66&lt;=Projects!$W$2:$W$45))</f>
        <v>0</v>
      </c>
      <c r="BS37" s="367" t="n">
        <f aca="false">SUMPRODUCT((Projects!$G$2:$G$45="Yes")*(67&gt;=Projects!$C$2:$C$45)*(67&lt;=Projects!$W$2:$W$45))</f>
        <v>0</v>
      </c>
      <c r="BT37" s="367" t="n">
        <f aca="false">SUMPRODUCT((Projects!$G$2:$G$45="Yes")*(68&gt;=Projects!$C$2:$C$45)*(68&lt;=Projects!$W$2:$W$45))</f>
        <v>0</v>
      </c>
      <c r="BU37" s="367" t="n">
        <f aca="false">SUMPRODUCT((Projects!$G$2:$G$45="Yes")*(69&gt;=Projects!$C$2:$C$45)*(69&lt;=Projects!$W$2:$W$45))</f>
        <v>0</v>
      </c>
      <c r="BV37" s="367" t="n">
        <f aca="false">SUMPRODUCT((Projects!$G$2:$G$45="Yes")*(70&gt;=Projects!$C$2:$C$45)*(70&lt;=Projects!$W$2:$W$45))</f>
        <v>0</v>
      </c>
      <c r="BW37" s="367" t="n">
        <f aca="false">SUMPRODUCT((Projects!$G$2:$G$45="Yes")*(71&gt;=Projects!$C$2:$C$45)*(71&lt;=Projects!$W$2:$W$45))</f>
        <v>0</v>
      </c>
      <c r="BX37" s="367" t="n">
        <f aca="false">SUMPRODUCT((Projects!$G$2:$G$45="Yes")*(72&gt;=Projects!$C$2:$C$45)*(72&lt;=Projects!$W$2:$W$45))</f>
        <v>0</v>
      </c>
      <c r="BY37" s="367" t="n">
        <f aca="false">SUMPRODUCT((Projects!$G$2:$G$45="Yes")*(73&gt;=Projects!$C$2:$C$45)*(73&lt;=Projects!$W$2:$W$45))</f>
        <v>0</v>
      </c>
      <c r="BZ37" s="367" t="n">
        <f aca="false">SUMPRODUCT((Projects!$G$2:$G$45="Yes")*(74&gt;=Projects!$C$2:$C$45)*(74&lt;=Projects!$W$2:$W$45))</f>
        <v>0</v>
      </c>
      <c r="CA37" s="367" t="n">
        <f aca="false">SUMPRODUCT((Projects!$G$2:$G$45="Yes")*(75&gt;=Projects!$C$2:$C$45)*(75&lt;=Projects!$W$2:$W$45))</f>
        <v>0</v>
      </c>
      <c r="CB37" s="367" t="n">
        <f aca="false">SUMPRODUCT((Projects!$G$2:$G$45="Yes")*(76&gt;=Projects!$C$2:$C$45)*(76&lt;=Projects!$W$2:$W$45))</f>
        <v>0</v>
      </c>
      <c r="CC37" s="367" t="n">
        <f aca="false">SUMPRODUCT((Projects!$G$2:$G$45="Yes")*(77&gt;=Projects!$C$2:$C$45)*(77&lt;=Projects!$W$2:$W$45))</f>
        <v>0</v>
      </c>
      <c r="CD37" s="367" t="n">
        <f aca="false">SUMPRODUCT((Projects!$G$2:$G$45="Yes")*(78&gt;=Projects!$C$2:$C$45)*(78&lt;=Projects!$W$2:$W$45))</f>
        <v>0</v>
      </c>
      <c r="CE37" s="367" t="n">
        <f aca="false">SUMPRODUCT((Projects!$G$2:$G$45="Yes")*(79&gt;=Projects!$C$2:$C$45)*(79&lt;=Projects!$W$2:$W$45))</f>
        <v>0</v>
      </c>
      <c r="CF37" s="367" t="n">
        <f aca="false">SUMPRODUCT((Projects!$G$2:$G$45="Yes")*(80&gt;=Projects!$C$2:$C$45)*(80&lt;=Projects!$W$2:$W$45))</f>
        <v>0</v>
      </c>
      <c r="CG37" s="367" t="n">
        <f aca="false">SUMPRODUCT((Projects!$G$2:$G$45="Yes")*(81&gt;=Projects!$C$2:$C$45)*(81&lt;=Projects!$W$2:$W$45))</f>
        <v>0</v>
      </c>
      <c r="CH37" s="367" t="n">
        <f aca="false">SUMPRODUCT((Projects!$G$2:$G$45="Yes")*(82&gt;=Projects!$C$2:$C$45)*(82&lt;=Projects!$W$2:$W$45))</f>
        <v>0</v>
      </c>
      <c r="CI37" s="367" t="n">
        <f aca="false">SUMPRODUCT((Projects!$G$2:$G$45="Yes")*(83&gt;=Projects!$C$2:$C$45)*(83&lt;=Projects!$W$2:$W$45))</f>
        <v>0</v>
      </c>
      <c r="CJ37" s="367" t="n">
        <f aca="false">SUMPRODUCT((Projects!$G$2:$G$45="Yes")*(84&gt;=Projects!$C$2:$C$45)*(84&lt;=Projects!$W$2:$W$45))</f>
        <v>0</v>
      </c>
      <c r="CK37" s="367" t="n">
        <f aca="false">SUMPRODUCT((Projects!$G$2:$G$45="Yes")*(85&gt;=Projects!$C$2:$C$45)*(85&lt;=Projects!$W$2:$W$45))</f>
        <v>0</v>
      </c>
      <c r="CL37" s="367" t="n">
        <f aca="false">SUMPRODUCT((Projects!$G$2:$G$45="Yes")*(86&gt;=Projects!$C$2:$C$45)*(86&lt;=Projects!$W$2:$W$45))</f>
        <v>0</v>
      </c>
      <c r="CM37" s="367" t="n">
        <f aca="false">SUMPRODUCT((Projects!$G$2:$G$45="Yes")*(87&gt;=Projects!$C$2:$C$45)*(87&lt;=Projects!$W$2:$W$45))</f>
        <v>0</v>
      </c>
      <c r="CN37" s="367" t="n">
        <f aca="false">SUMPRODUCT((Projects!$G$2:$G$45="Yes")*(88&gt;=Projects!$C$2:$C$45)*(88&lt;=Projects!$W$2:$W$45))</f>
        <v>0</v>
      </c>
      <c r="CO37" s="367" t="n">
        <f aca="false">SUMPRODUCT((Projects!$G$2:$G$45="Yes")*(89&gt;=Projects!$C$2:$C$45)*(89&lt;=Projects!$W$2:$W$45))</f>
        <v>0</v>
      </c>
      <c r="CP37" s="367" t="n">
        <f aca="false">SUMPRODUCT((Projects!$G$2:$G$45="Yes")*(90&gt;=Projects!$C$2:$C$45)*(90&lt;=Projects!$W$2:$W$45))</f>
        <v>0</v>
      </c>
      <c r="CQ37" s="367" t="n">
        <f aca="false">SUMPRODUCT((Projects!$G$2:$G$45="Yes")*(91&gt;=Projects!$C$2:$C$45)*(91&lt;=Projects!$W$2:$W$45))</f>
        <v>0</v>
      </c>
      <c r="CR37" s="367" t="n">
        <f aca="false">SUMPRODUCT((Projects!$G$2:$G$45="Yes")*(92&gt;=Projects!$C$2:$C$45)*(92&lt;=Projects!$W$2:$W$45))</f>
        <v>0</v>
      </c>
      <c r="CS37" s="367" t="n">
        <f aca="false">SUMPRODUCT((Projects!$G$2:$G$45="Yes")*(93&gt;=Projects!$C$2:$C$45)*(93&lt;=Projects!$W$2:$W$45))</f>
        <v>0</v>
      </c>
      <c r="CT37" s="367" t="n">
        <f aca="false">SUMPRODUCT((Projects!$G$2:$G$45="Yes")*(94&gt;=Projects!$C$2:$C$45)*(94&lt;=Projects!$W$2:$W$45))</f>
        <v>0</v>
      </c>
      <c r="CU37" s="367" t="n">
        <f aca="false">SUMPRODUCT((Projects!$G$2:$G$45="Yes")*(95&gt;=Projects!$C$2:$C$45)*(95&lt;=Projects!$W$2:$W$45))</f>
        <v>0</v>
      </c>
      <c r="CV37" s="367" t="n">
        <f aca="false">SUMPRODUCT((Projects!$G$2:$G$45="Yes")*(96&gt;=Projects!$C$2:$C$45)*(96&lt;=Projects!$W$2:$W$45))</f>
        <v>0</v>
      </c>
      <c r="CW37" s="367" t="n">
        <f aca="false">SUMPRODUCT((Projects!$G$2:$G$45="Yes")*(97&gt;=Projects!$C$2:$C$45)*(97&lt;=Projects!$W$2:$W$45))</f>
        <v>0</v>
      </c>
      <c r="CX37" s="367" t="n">
        <f aca="false">SUMPRODUCT((Projects!$G$2:$G$45="Yes")*(98&gt;=Projects!$C$2:$C$45)*(98&lt;=Projects!$W$2:$W$45))</f>
        <v>0</v>
      </c>
      <c r="CY37" s="367" t="n">
        <f aca="false">SUMPRODUCT((Projects!$G$2:$G$45="Yes")*(99&gt;=Projects!$C$2:$C$45)*(99&lt;=Projects!$W$2:$W$45))</f>
        <v>0</v>
      </c>
      <c r="CZ37" s="367" t="n">
        <f aca="false">SUMPRODUCT((Projects!$G$2:$G$45="Yes")*(100&gt;=Projects!$C$2:$C$45)*(100&lt;=Projects!$W$2:$W$45))</f>
        <v>0</v>
      </c>
      <c r="DA37" s="367" t="n">
        <f aca="false">SUMPRODUCT((Projects!$G$2:$G$45="Yes")*(101&gt;=Projects!$C$2:$C$45)*(101&lt;=Projects!$W$2:$W$45))</f>
        <v>0</v>
      </c>
      <c r="DB37" s="367" t="n">
        <f aca="false">SUMPRODUCT((Projects!$G$2:$G$45="Yes")*(102&gt;=Projects!$C$2:$C$45)*(102&lt;=Projects!$W$2:$W$45))</f>
        <v>0</v>
      </c>
      <c r="DC37" s="367" t="n">
        <f aca="false">SUMPRODUCT((Projects!$G$2:$G$45="Yes")*(103&gt;=Projects!$C$2:$C$45)*(103&lt;=Projects!$W$2:$W$45))</f>
        <v>0</v>
      </c>
      <c r="DD37" s="367" t="n">
        <f aca="false">SUMPRODUCT((Projects!$G$2:$G$45="Yes")*(104&gt;=Projects!$C$2:$C$45)*(104&lt;=Projects!$W$2:$W$45))</f>
        <v>0</v>
      </c>
      <c r="DE37" s="367" t="n">
        <f aca="false">SUMPRODUCT((Projects!$G$2:$G$45="Yes")*(105&gt;=Projects!$C$2:$C$45)*(105&lt;=Projects!$W$2:$W$45))</f>
        <v>0</v>
      </c>
    </row>
    <row r="38" customFormat="false" ht="13.5" hidden="false" customHeight="true" outlineLevel="0" collapsed="false">
      <c r="A38" s="109" t="s">
        <v>1208</v>
      </c>
      <c r="E38" s="367" t="n">
        <f aca="false">SUMPRODUCT((Projects!$G$2:$G$45="Yes")*(1&gt;=Projects!$C$2:$C$45-$B$14)*(1&lt;=Projects!$W$2:$W$45+$B$17))*$B$5</f>
        <v>4.375</v>
      </c>
      <c r="F38" s="367" t="n">
        <f aca="false">SUMPRODUCT((Projects!$G$2:$G$45="Yes")*(2&gt;=Projects!$C$2:$C$45-$B$14)*(2&lt;=Projects!$W$2:$W$45+$B$17))*$B$5</f>
        <v>4.375</v>
      </c>
      <c r="G38" s="367" t="n">
        <f aca="false">SUMPRODUCT((Projects!$G$2:$G$45="Yes")*(3&gt;=Projects!$C$2:$C$45-$B$14)*(3&lt;=Projects!$W$2:$W$45+$B$17))*$B$5</f>
        <v>4.375</v>
      </c>
      <c r="H38" s="367" t="n">
        <f aca="false">SUMPRODUCT((Projects!$G$2:$G$45="Yes")*(4&gt;=Projects!$C$2:$C$45-$B$14)*(4&lt;=Projects!$W$2:$W$45+$B$17))*$B$5</f>
        <v>4.375</v>
      </c>
      <c r="I38" s="367" t="n">
        <f aca="false">SUMPRODUCT((Projects!$G$2:$G$45="Yes")*(5&gt;=Projects!$C$2:$C$45-$B$14)*(5&lt;=Projects!$W$2:$W$45+$B$17))*$B$5</f>
        <v>6.125</v>
      </c>
      <c r="J38" s="367" t="n">
        <f aca="false">SUMPRODUCT((Projects!$G$2:$G$45="Yes")*(6&gt;=Projects!$C$2:$C$45-$B$14)*(6&lt;=Projects!$W$2:$W$45+$B$17))*$B$5</f>
        <v>7</v>
      </c>
      <c r="K38" s="367" t="n">
        <f aca="false">SUMPRODUCT((Projects!$G$2:$G$45="Yes")*(7&gt;=Projects!$C$2:$C$45-$B$14)*(7&lt;=Projects!$W$2:$W$45+$B$17))*$B$5</f>
        <v>7</v>
      </c>
      <c r="L38" s="367" t="n">
        <f aca="false">SUMPRODUCT((Projects!$G$2:$G$45="Yes")*(8&gt;=Projects!$C$2:$C$45-$B$14)*(8&lt;=Projects!$W$2:$W$45+$B$17))*$B$5</f>
        <v>7</v>
      </c>
      <c r="M38" s="367" t="n">
        <f aca="false">SUMPRODUCT((Projects!$G$2:$G$45="Yes")*(9&gt;=Projects!$C$2:$C$45-$B$14)*(9&lt;=Projects!$W$2:$W$45+$B$17))*$B$5</f>
        <v>7.875</v>
      </c>
      <c r="N38" s="367" t="n">
        <f aca="false">SUMPRODUCT((Projects!$G$2:$G$45="Yes")*(10&gt;=Projects!$C$2:$C$45-$B$14)*(10&lt;=Projects!$W$2:$W$45+$B$17))*$B$5</f>
        <v>7.875</v>
      </c>
      <c r="O38" s="367" t="n">
        <f aca="false">SUMPRODUCT((Projects!$G$2:$G$45="Yes")*(11&gt;=Projects!$C$2:$C$45-$B$14)*(11&lt;=Projects!$W$2:$W$45+$B$17))*$B$5</f>
        <v>8.75</v>
      </c>
      <c r="P38" s="367" t="n">
        <f aca="false">SUMPRODUCT((Projects!$G$2:$G$45="Yes")*(12&gt;=Projects!$C$2:$C$45-$B$14)*(12&lt;=Projects!$W$2:$W$45+$B$17))*$B$5</f>
        <v>8.75</v>
      </c>
      <c r="Q38" s="367" t="n">
        <f aca="false">SUMPRODUCT((Projects!$G$2:$G$45="Yes")*(13&gt;=Projects!$C$2:$C$45-$B$14)*(13&lt;=Projects!$W$2:$W$45+$B$17))*$B$5</f>
        <v>9.625</v>
      </c>
      <c r="R38" s="367" t="n">
        <f aca="false">SUMPRODUCT((Projects!$G$2:$G$45="Yes")*(14&gt;=Projects!$C$2:$C$45-$B$14)*(14&lt;=Projects!$W$2:$W$45+$B$17))*$B$5</f>
        <v>10.5</v>
      </c>
      <c r="S38" s="367" t="n">
        <f aca="false">SUMPRODUCT((Projects!$G$2:$G$45="Yes")*(15&gt;=Projects!$C$2:$C$45-$B$14)*(15&lt;=Projects!$W$2:$W$45+$B$17))*$B$5</f>
        <v>12.25</v>
      </c>
      <c r="T38" s="367" t="n">
        <f aca="false">SUMPRODUCT((Projects!$G$2:$G$45="Yes")*(16&gt;=Projects!$C$2:$C$45-$B$14)*(16&lt;=Projects!$W$2:$W$45+$B$17))*$B$5</f>
        <v>12.25</v>
      </c>
      <c r="U38" s="367" t="n">
        <f aca="false">SUMPRODUCT((Projects!$G$2:$G$45="Yes")*(17&gt;=Projects!$C$2:$C$45-$B$14)*(17&lt;=Projects!$W$2:$W$45+$B$17))*$B$5</f>
        <v>11.375</v>
      </c>
      <c r="V38" s="367" t="n">
        <f aca="false">SUMPRODUCT((Projects!$G$2:$G$45="Yes")*(18&gt;=Projects!$C$2:$C$45-$B$14)*(18&lt;=Projects!$W$2:$W$45+$B$17))*$B$5</f>
        <v>12.25</v>
      </c>
      <c r="W38" s="367" t="n">
        <f aca="false">SUMPRODUCT((Projects!$G$2:$G$45="Yes")*(19&gt;=Projects!$C$2:$C$45-$B$14)*(19&lt;=Projects!$W$2:$W$45+$B$17))*$B$5</f>
        <v>13.125</v>
      </c>
      <c r="X38" s="367" t="n">
        <f aca="false">SUMPRODUCT((Projects!$G$2:$G$45="Yes")*(20&gt;=Projects!$C$2:$C$45-$B$14)*(20&lt;=Projects!$W$2:$W$45+$B$17))*$B$5</f>
        <v>12.25</v>
      </c>
      <c r="Y38" s="367" t="n">
        <f aca="false">SUMPRODUCT((Projects!$G$2:$G$45="Yes")*(21&gt;=Projects!$C$2:$C$45-$B$14)*(21&lt;=Projects!$W$2:$W$45+$B$17))*$B$5</f>
        <v>11.375</v>
      </c>
      <c r="Z38" s="367" t="n">
        <f aca="false">SUMPRODUCT((Projects!$G$2:$G$45="Yes")*(22&gt;=Projects!$C$2:$C$45-$B$14)*(22&lt;=Projects!$W$2:$W$45+$B$17))*$B$5</f>
        <v>11.375</v>
      </c>
      <c r="AA38" s="367" t="n">
        <f aca="false">SUMPRODUCT((Projects!$G$2:$G$45="Yes")*(23&gt;=Projects!$C$2:$C$45-$B$14)*(23&lt;=Projects!$W$2:$W$45+$B$17))*$B$5</f>
        <v>11.375</v>
      </c>
      <c r="AB38" s="367" t="n">
        <f aca="false">SUMPRODUCT((Projects!$G$2:$G$45="Yes")*(24&gt;=Projects!$C$2:$C$45-$B$14)*(24&lt;=Projects!$W$2:$W$45+$B$17))*$B$5</f>
        <v>11.375</v>
      </c>
      <c r="AC38" s="367" t="n">
        <f aca="false">SUMPRODUCT((Projects!$G$2:$G$45="Yes")*(25&gt;=Projects!$C$2:$C$45-$B$14)*(25&lt;=Projects!$W$2:$W$45+$B$17))*$B$5</f>
        <v>10.5</v>
      </c>
      <c r="AD38" s="367" t="n">
        <f aca="false">SUMPRODUCT((Projects!$G$2:$G$45="Yes")*(26&gt;=Projects!$C$2:$C$45-$B$14)*(26&lt;=Projects!$W$2:$W$45+$B$17))*$B$5</f>
        <v>9.625</v>
      </c>
      <c r="AE38" s="367" t="n">
        <f aca="false">SUMPRODUCT((Projects!$G$2:$G$45="Yes")*(27&gt;=Projects!$C$2:$C$45-$B$14)*(27&lt;=Projects!$W$2:$W$45+$B$17))*$B$5</f>
        <v>10.5</v>
      </c>
      <c r="AF38" s="367" t="n">
        <f aca="false">SUMPRODUCT((Projects!$G$2:$G$45="Yes")*(28&gt;=Projects!$C$2:$C$45-$B$14)*(28&lt;=Projects!$W$2:$W$45+$B$17))*$B$5</f>
        <v>10.5</v>
      </c>
      <c r="AG38" s="367" t="n">
        <f aca="false">SUMPRODUCT((Projects!$G$2:$G$45="Yes")*(29&gt;=Projects!$C$2:$C$45-$B$14)*(29&lt;=Projects!$W$2:$W$45+$B$17))*$B$5</f>
        <v>10.5</v>
      </c>
      <c r="AH38" s="367" t="n">
        <f aca="false">SUMPRODUCT((Projects!$G$2:$G$45="Yes")*(30&gt;=Projects!$C$2:$C$45-$B$14)*(30&lt;=Projects!$W$2:$W$45+$B$17))*$B$5</f>
        <v>8.75</v>
      </c>
      <c r="AI38" s="367" t="n">
        <f aca="false">SUMPRODUCT((Projects!$G$2:$G$45="Yes")*(31&gt;=Projects!$C$2:$C$45-$B$14)*(31&lt;=Projects!$W$2:$W$45+$B$17))*$B$5</f>
        <v>7.875</v>
      </c>
      <c r="AJ38" s="367" t="n">
        <f aca="false">SUMPRODUCT((Projects!$G$2:$G$45="Yes")*(32&gt;=Projects!$C$2:$C$45-$B$14)*(32&lt;=Projects!$W$2:$W$45+$B$17))*$B$5</f>
        <v>7</v>
      </c>
      <c r="AK38" s="367" t="n">
        <f aca="false">SUMPRODUCT((Projects!$G$2:$G$45="Yes")*(33&gt;=Projects!$C$2:$C$45-$B$14)*(33&lt;=Projects!$W$2:$W$45+$B$17))*$B$5</f>
        <v>7</v>
      </c>
      <c r="AL38" s="367" t="n">
        <f aca="false">SUMPRODUCT((Projects!$G$2:$G$45="Yes")*(34&gt;=Projects!$C$2:$C$45-$B$14)*(34&lt;=Projects!$W$2:$W$45+$B$17))*$B$5</f>
        <v>6.125</v>
      </c>
      <c r="AM38" s="367" t="n">
        <f aca="false">SUMPRODUCT((Projects!$G$2:$G$45="Yes")*(35&gt;=Projects!$C$2:$C$45-$B$14)*(35&lt;=Projects!$W$2:$W$45+$B$17))*$B$5</f>
        <v>6.125</v>
      </c>
      <c r="AN38" s="367" t="n">
        <f aca="false">SUMPRODUCT((Projects!$G$2:$G$45="Yes")*(36&gt;=Projects!$C$2:$C$45-$B$14)*(36&lt;=Projects!$W$2:$W$45+$B$17))*$B$5</f>
        <v>6.125</v>
      </c>
      <c r="AO38" s="367" t="n">
        <f aca="false">SUMPRODUCT((Projects!$G$2:$G$45="Yes")*(37&gt;=Projects!$C$2:$C$45-$B$14)*(37&lt;=Projects!$W$2:$W$45+$B$17))*$B$5</f>
        <v>6.125</v>
      </c>
      <c r="AP38" s="367" t="n">
        <f aca="false">SUMPRODUCT((Projects!$G$2:$G$45="Yes")*(38&gt;=Projects!$C$2:$C$45-$B$14)*(38&lt;=Projects!$W$2:$W$45+$B$17))*$B$5</f>
        <v>4.375</v>
      </c>
      <c r="AQ38" s="367" t="n">
        <f aca="false">SUMPRODUCT((Projects!$G$2:$G$45="Yes")*(39&gt;=Projects!$C$2:$C$45-$B$14)*(39&lt;=Projects!$W$2:$W$45+$B$17))*$B$5</f>
        <v>3.5</v>
      </c>
      <c r="AR38" s="367" t="n">
        <f aca="false">SUMPRODUCT((Projects!$G$2:$G$45="Yes")*(40&gt;=Projects!$C$2:$C$45-$B$14)*(40&lt;=Projects!$W$2:$W$45+$B$17))*$B$5</f>
        <v>2.625</v>
      </c>
      <c r="AS38" s="367" t="n">
        <f aca="false">SUMPRODUCT((Projects!$G$2:$G$45="Yes")*(41&gt;=Projects!$C$2:$C$45-$B$14)*(41&lt;=Projects!$W$2:$W$45+$B$17))*$B$5</f>
        <v>2.625</v>
      </c>
      <c r="AT38" s="367" t="n">
        <f aca="false">SUMPRODUCT((Projects!$G$2:$G$45="Yes")*(42&gt;=Projects!$C$2:$C$45-$B$14)*(42&lt;=Projects!$W$2:$W$45+$B$17))*$B$5</f>
        <v>2.625</v>
      </c>
      <c r="AU38" s="367" t="n">
        <f aca="false">SUMPRODUCT((Projects!$G$2:$G$45="Yes")*(43&gt;=Projects!$C$2:$C$45-$B$14)*(43&lt;=Projects!$W$2:$W$45+$B$17))*$B$5</f>
        <v>2.625</v>
      </c>
      <c r="AV38" s="367" t="n">
        <f aca="false">SUMPRODUCT((Projects!$G$2:$G$45="Yes")*(44&gt;=Projects!$C$2:$C$45-$B$14)*(44&lt;=Projects!$W$2:$W$45+$B$17))*$B$5</f>
        <v>1.75</v>
      </c>
      <c r="AW38" s="367" t="n">
        <f aca="false">SUMPRODUCT((Projects!$G$2:$G$45="Yes")*(45&gt;=Projects!$C$2:$C$45-$B$14)*(45&lt;=Projects!$W$2:$W$45+$B$17))*$B$5</f>
        <v>1.75</v>
      </c>
      <c r="AX38" s="367" t="n">
        <f aca="false">SUMPRODUCT((Projects!$G$2:$G$45="Yes")*(46&gt;=Projects!$C$2:$C$45-$B$14)*(46&lt;=Projects!$W$2:$W$45+$B$17))*$B$5</f>
        <v>0.875</v>
      </c>
      <c r="AY38" s="367" t="n">
        <f aca="false">SUMPRODUCT((Projects!$G$2:$G$45="Yes")*(47&gt;=Projects!$C$2:$C$45-$B$14)*(47&lt;=Projects!$W$2:$W$45+$B$17))*$B$5</f>
        <v>0.875</v>
      </c>
      <c r="AZ38" s="367" t="n">
        <f aca="false">SUMPRODUCT((Projects!$G$2:$G$45="Yes")*(48&gt;=Projects!$C$2:$C$45-$B$14)*(48&lt;=Projects!$W$2:$W$45+$B$17))*$B$5</f>
        <v>0.875</v>
      </c>
      <c r="BA38" s="367" t="n">
        <f aca="false">SUMPRODUCT((Projects!$G$2:$G$45="Yes")*(49&gt;=Projects!$C$2:$C$45-$B$14)*(49&lt;=Projects!$W$2:$W$45+$B$17))*$B$5</f>
        <v>0.875</v>
      </c>
      <c r="BB38" s="367" t="n">
        <f aca="false">SUMPRODUCT((Projects!$G$2:$G$45="Yes")*(50&gt;=Projects!$C$2:$C$45-$B$14)*(50&lt;=Projects!$W$2:$W$45+$B$17))*$B$5</f>
        <v>0.875</v>
      </c>
      <c r="BC38" s="367" t="n">
        <f aca="false">SUMPRODUCT((Projects!$G$2:$G$45="Yes")*(51&gt;=Projects!$C$2:$C$45-$B$14)*(51&lt;=Projects!$W$2:$W$45+$B$17))*$B$5</f>
        <v>0.875</v>
      </c>
      <c r="BD38" s="367" t="n">
        <f aca="false">SUMPRODUCT((Projects!$G$2:$G$45="Yes")*(52&gt;=Projects!$C$2:$C$45-$B$14)*(52&lt;=Projects!$W$2:$W$45+$B$17))*$B$5</f>
        <v>0.875</v>
      </c>
      <c r="BE38" s="367" t="n">
        <f aca="false">SUMPRODUCT((Projects!$G$2:$G$45="Yes")*(53&gt;=Projects!$C$2:$C$45-$B$14)*(53&lt;=Projects!$W$2:$W$45+$B$17))*$B$5</f>
        <v>0.875</v>
      </c>
      <c r="BF38" s="367" t="n">
        <f aca="false">SUMPRODUCT((Projects!$G$2:$G$45="Yes")*(54&gt;=Projects!$C$2:$C$45-$B$14)*(54&lt;=Projects!$W$2:$W$45+$B$17))*$B$5</f>
        <v>0.875</v>
      </c>
      <c r="BG38" s="367" t="n">
        <f aca="false">SUMPRODUCT((Projects!$G$2:$G$45="Yes")*(55&gt;=Projects!$C$2:$C$45-$B$14)*(55&lt;=Projects!$W$2:$W$45+$B$17))*$B$5</f>
        <v>0.875</v>
      </c>
      <c r="BH38" s="367" t="n">
        <f aca="false">SUMPRODUCT((Projects!$G$2:$G$45="Yes")*(56&gt;=Projects!$C$2:$C$45-$B$14)*(56&lt;=Projects!$W$2:$W$45+$B$17))*$B$5</f>
        <v>0.875</v>
      </c>
      <c r="BI38" s="367" t="n">
        <f aca="false">SUMPRODUCT((Projects!$G$2:$G$45="Yes")*(57&gt;=Projects!$C$2:$C$45-$B$14)*(57&lt;=Projects!$W$2:$W$45+$B$17))*$B$5</f>
        <v>0.875</v>
      </c>
      <c r="BJ38" s="367" t="n">
        <f aca="false">SUMPRODUCT((Projects!$G$2:$G$45="Yes")*(58&gt;=Projects!$C$2:$C$45-$B$14)*(58&lt;=Projects!$W$2:$W$45+$B$17))*$B$5</f>
        <v>0</v>
      </c>
      <c r="BK38" s="367" t="n">
        <f aca="false">SUMPRODUCT((Projects!$G$2:$G$45="Yes")*(59&gt;=Projects!$C$2:$C$45-$B$14)*(59&lt;=Projects!$W$2:$W$45+$B$17))*$B$5</f>
        <v>0</v>
      </c>
      <c r="BL38" s="367" t="n">
        <f aca="false">SUMPRODUCT((Projects!$G$2:$G$45="Yes")*(60&gt;=Projects!$C$2:$C$45-$B$14)*(60&lt;=Projects!$W$2:$W$45+$B$17))*$B$5</f>
        <v>0</v>
      </c>
      <c r="BM38" s="367" t="n">
        <f aca="false">SUMPRODUCT((Projects!$G$2:$G$45="Yes")*(61&gt;=Projects!$C$2:$C$45-$B$14)*(61&lt;=Projects!$W$2:$W$45+$B$17))*$B$5</f>
        <v>0</v>
      </c>
      <c r="BN38" s="367" t="n">
        <f aca="false">SUMPRODUCT((Projects!$G$2:$G$45="Yes")*(62&gt;=Projects!$C$2:$C$45-$B$14)*(62&lt;=Projects!$W$2:$W$45+$B$17))*$B$5</f>
        <v>0</v>
      </c>
      <c r="BO38" s="367" t="n">
        <f aca="false">SUMPRODUCT((Projects!$G$2:$G$45="Yes")*(63&gt;=Projects!$C$2:$C$45-$B$14)*(63&lt;=Projects!$W$2:$W$45+$B$17))*$B$5</f>
        <v>0</v>
      </c>
      <c r="BP38" s="367" t="n">
        <f aca="false">SUMPRODUCT((Projects!$G$2:$G$45="Yes")*(64&gt;=Projects!$C$2:$C$45-$B$14)*(64&lt;=Projects!$W$2:$W$45+$B$17))*$B$5</f>
        <v>0</v>
      </c>
      <c r="BQ38" s="367" t="n">
        <f aca="false">SUMPRODUCT((Projects!$G$2:$G$45="Yes")*(65&gt;=Projects!$C$2:$C$45-$B$14)*(65&lt;=Projects!$W$2:$W$45+$B$17))*$B$5</f>
        <v>0</v>
      </c>
      <c r="BR38" s="367" t="n">
        <f aca="false">SUMPRODUCT((Projects!$G$2:$G$45="Yes")*(66&gt;=Projects!$C$2:$C$45-$B$14)*(66&lt;=Projects!$W$2:$W$45+$B$17))*$B$5</f>
        <v>0</v>
      </c>
      <c r="BS38" s="367" t="n">
        <f aca="false">SUMPRODUCT((Projects!$G$2:$G$45="Yes")*(67&gt;=Projects!$C$2:$C$45-$B$14)*(67&lt;=Projects!$W$2:$W$45+$B$17))*$B$5</f>
        <v>0</v>
      </c>
      <c r="BT38" s="367" t="n">
        <f aca="false">SUMPRODUCT((Projects!$G$2:$G$45="Yes")*(68&gt;=Projects!$C$2:$C$45-$B$14)*(68&lt;=Projects!$W$2:$W$45+$B$17))*$B$5</f>
        <v>0</v>
      </c>
      <c r="BU38" s="367" t="n">
        <f aca="false">SUMPRODUCT((Projects!$G$2:$G$45="Yes")*(69&gt;=Projects!$C$2:$C$45-$B$14)*(69&lt;=Projects!$W$2:$W$45+$B$17))*$B$5</f>
        <v>0</v>
      </c>
      <c r="BV38" s="367" t="n">
        <f aca="false">SUMPRODUCT((Projects!$G$2:$G$45="Yes")*(70&gt;=Projects!$C$2:$C$45-$B$14)*(70&lt;=Projects!$W$2:$W$45+$B$17))*$B$5</f>
        <v>0</v>
      </c>
      <c r="BW38" s="367" t="n">
        <f aca="false">SUMPRODUCT((Projects!$G$2:$G$45="Yes")*(71&gt;=Projects!$C$2:$C$45-$B$14)*(71&lt;=Projects!$W$2:$W$45+$B$17))*$B$5</f>
        <v>0</v>
      </c>
      <c r="BX38" s="367" t="n">
        <f aca="false">SUMPRODUCT((Projects!$G$2:$G$45="Yes")*(72&gt;=Projects!$C$2:$C$45-$B$14)*(72&lt;=Projects!$W$2:$W$45+$B$17))*$B$5</f>
        <v>0</v>
      </c>
      <c r="BY38" s="367" t="n">
        <f aca="false">SUMPRODUCT((Projects!$G$2:$G$45="Yes")*(73&gt;=Projects!$C$2:$C$45-$B$14)*(73&lt;=Projects!$W$2:$W$45+$B$17))*$B$5</f>
        <v>0</v>
      </c>
      <c r="BZ38" s="367" t="n">
        <f aca="false">SUMPRODUCT((Projects!$G$2:$G$45="Yes")*(74&gt;=Projects!$C$2:$C$45-$B$14)*(74&lt;=Projects!$W$2:$W$45+$B$17))*$B$5</f>
        <v>0</v>
      </c>
      <c r="CA38" s="367" t="n">
        <f aca="false">SUMPRODUCT((Projects!$G$2:$G$45="Yes")*(75&gt;=Projects!$C$2:$C$45-$B$14)*(75&lt;=Projects!$W$2:$W$45+$B$17))*$B$5</f>
        <v>0</v>
      </c>
      <c r="CB38" s="367" t="n">
        <f aca="false">SUMPRODUCT((Projects!$G$2:$G$45="Yes")*(76&gt;=Projects!$C$2:$C$45-$B$14)*(76&lt;=Projects!$W$2:$W$45+$B$17))*$B$5</f>
        <v>0</v>
      </c>
      <c r="CC38" s="367" t="n">
        <f aca="false">SUMPRODUCT((Projects!$G$2:$G$45="Yes")*(77&gt;=Projects!$C$2:$C$45-$B$14)*(77&lt;=Projects!$W$2:$W$45+$B$17))*$B$5</f>
        <v>0</v>
      </c>
      <c r="CD38" s="367" t="n">
        <f aca="false">SUMPRODUCT((Projects!$G$2:$G$45="Yes")*(78&gt;=Projects!$C$2:$C$45-$B$14)*(78&lt;=Projects!$W$2:$W$45+$B$17))*$B$5</f>
        <v>0</v>
      </c>
      <c r="CE38" s="367" t="n">
        <f aca="false">SUMPRODUCT((Projects!$G$2:$G$45="Yes")*(79&gt;=Projects!$C$2:$C$45-$B$14)*(79&lt;=Projects!$W$2:$W$45+$B$17))*$B$5</f>
        <v>0</v>
      </c>
      <c r="CF38" s="367" t="n">
        <f aca="false">SUMPRODUCT((Projects!$G$2:$G$45="Yes")*(80&gt;=Projects!$C$2:$C$45-$B$14)*(80&lt;=Projects!$W$2:$W$45+$B$17))*$B$5</f>
        <v>0</v>
      </c>
      <c r="CG38" s="367" t="n">
        <f aca="false">SUMPRODUCT((Projects!$G$2:$G$45="Yes")*(81&gt;=Projects!$C$2:$C$45-$B$14)*(81&lt;=Projects!$W$2:$W$45+$B$17))*$B$5</f>
        <v>0</v>
      </c>
      <c r="CH38" s="367" t="n">
        <f aca="false">SUMPRODUCT((Projects!$G$2:$G$45="Yes")*(82&gt;=Projects!$C$2:$C$45-$B$14)*(82&lt;=Projects!$W$2:$W$45+$B$17))*$B$5</f>
        <v>0</v>
      </c>
      <c r="CI38" s="367" t="n">
        <f aca="false">SUMPRODUCT((Projects!$G$2:$G$45="Yes")*(83&gt;=Projects!$C$2:$C$45-$B$14)*(83&lt;=Projects!$W$2:$W$45+$B$17))*$B$5</f>
        <v>0</v>
      </c>
      <c r="CJ38" s="367" t="n">
        <f aca="false">SUMPRODUCT((Projects!$G$2:$G$45="Yes")*(84&gt;=Projects!$C$2:$C$45-$B$14)*(84&lt;=Projects!$W$2:$W$45+$B$17))*$B$5</f>
        <v>0</v>
      </c>
      <c r="CK38" s="367" t="n">
        <f aca="false">SUMPRODUCT((Projects!$G$2:$G$45="Yes")*(85&gt;=Projects!$C$2:$C$45-$B$14)*(85&lt;=Projects!$W$2:$W$45+$B$17))*$B$5</f>
        <v>0</v>
      </c>
      <c r="CL38" s="367" t="n">
        <f aca="false">SUMPRODUCT((Projects!$G$2:$G$45="Yes")*(86&gt;=Projects!$C$2:$C$45-$B$14)*(86&lt;=Projects!$W$2:$W$45+$B$17))*$B$5</f>
        <v>0</v>
      </c>
      <c r="CM38" s="367" t="n">
        <f aca="false">SUMPRODUCT((Projects!$G$2:$G$45="Yes")*(87&gt;=Projects!$C$2:$C$45-$B$14)*(87&lt;=Projects!$W$2:$W$45+$B$17))*$B$5</f>
        <v>0</v>
      </c>
      <c r="CN38" s="367" t="n">
        <f aca="false">SUMPRODUCT((Projects!$G$2:$G$45="Yes")*(88&gt;=Projects!$C$2:$C$45-$B$14)*(88&lt;=Projects!$W$2:$W$45+$B$17))*$B$5</f>
        <v>0</v>
      </c>
      <c r="CO38" s="367" t="n">
        <f aca="false">SUMPRODUCT((Projects!$G$2:$G$45="Yes")*(89&gt;=Projects!$C$2:$C$45-$B$14)*(89&lt;=Projects!$W$2:$W$45+$B$17))*$B$5</f>
        <v>0</v>
      </c>
      <c r="CP38" s="367" t="n">
        <f aca="false">SUMPRODUCT((Projects!$G$2:$G$45="Yes")*(90&gt;=Projects!$C$2:$C$45-$B$14)*(90&lt;=Projects!$W$2:$W$45+$B$17))*$B$5</f>
        <v>0</v>
      </c>
      <c r="CQ38" s="367" t="n">
        <f aca="false">SUMPRODUCT((Projects!$G$2:$G$45="Yes")*(91&gt;=Projects!$C$2:$C$45-$B$14)*(91&lt;=Projects!$W$2:$W$45+$B$17))*$B$5</f>
        <v>0</v>
      </c>
      <c r="CR38" s="367" t="n">
        <f aca="false">SUMPRODUCT((Projects!$G$2:$G$45="Yes")*(92&gt;=Projects!$C$2:$C$45-$B$14)*(92&lt;=Projects!$W$2:$W$45+$B$17))*$B$5</f>
        <v>0</v>
      </c>
      <c r="CS38" s="367" t="n">
        <f aca="false">SUMPRODUCT((Projects!$G$2:$G$45="Yes")*(93&gt;=Projects!$C$2:$C$45-$B$14)*(93&lt;=Projects!$W$2:$W$45+$B$17))*$B$5</f>
        <v>0</v>
      </c>
      <c r="CT38" s="367" t="n">
        <f aca="false">SUMPRODUCT((Projects!$G$2:$G$45="Yes")*(94&gt;=Projects!$C$2:$C$45-$B$14)*(94&lt;=Projects!$W$2:$W$45+$B$17))*$B$5</f>
        <v>0</v>
      </c>
      <c r="CU38" s="367" t="n">
        <f aca="false">SUMPRODUCT((Projects!$G$2:$G$45="Yes")*(95&gt;=Projects!$C$2:$C$45-$B$14)*(95&lt;=Projects!$W$2:$W$45+$B$17))*$B$5</f>
        <v>0</v>
      </c>
      <c r="CV38" s="367" t="n">
        <f aca="false">SUMPRODUCT((Projects!$G$2:$G$45="Yes")*(96&gt;=Projects!$C$2:$C$45-$B$14)*(96&lt;=Projects!$W$2:$W$45+$B$17))*$B$5</f>
        <v>0</v>
      </c>
      <c r="CW38" s="367" t="n">
        <f aca="false">SUMPRODUCT((Projects!$G$2:$G$45="Yes")*(97&gt;=Projects!$C$2:$C$45-$B$14)*(97&lt;=Projects!$W$2:$W$45+$B$17))*$B$5</f>
        <v>0</v>
      </c>
      <c r="CX38" s="367" t="n">
        <f aca="false">SUMPRODUCT((Projects!$G$2:$G$45="Yes")*(98&gt;=Projects!$C$2:$C$45-$B$14)*(98&lt;=Projects!$W$2:$W$45+$B$17))*$B$5</f>
        <v>0</v>
      </c>
      <c r="CY38" s="367" t="n">
        <f aca="false">SUMPRODUCT((Projects!$G$2:$G$45="Yes")*(99&gt;=Projects!$C$2:$C$45-$B$14)*(99&lt;=Projects!$W$2:$W$45+$B$17))*$B$5</f>
        <v>0</v>
      </c>
      <c r="CZ38" s="367" t="n">
        <f aca="false">SUMPRODUCT((Projects!$G$2:$G$45="Yes")*(100&gt;=Projects!$C$2:$C$45-$B$14)*(100&lt;=Projects!$W$2:$W$45+$B$17))*$B$5</f>
        <v>0</v>
      </c>
      <c r="DA38" s="367" t="n">
        <f aca="false">SUMPRODUCT((Projects!$G$2:$G$45="Yes")*(101&gt;=Projects!$C$2:$C$45-$B$14)*(101&lt;=Projects!$W$2:$W$45+$B$17))*$B$5</f>
        <v>0</v>
      </c>
      <c r="DB38" s="367" t="n">
        <f aca="false">SUMPRODUCT((Projects!$G$2:$G$45="Yes")*(102&gt;=Projects!$C$2:$C$45-$B$14)*(102&lt;=Projects!$W$2:$W$45+$B$17))*$B$5</f>
        <v>0</v>
      </c>
      <c r="DC38" s="367" t="n">
        <f aca="false">SUMPRODUCT((Projects!$G$2:$G$45="Yes")*(103&gt;=Projects!$C$2:$C$45-$B$14)*(103&lt;=Projects!$W$2:$W$45+$B$17))*$B$5</f>
        <v>0</v>
      </c>
      <c r="DD38" s="367" t="n">
        <f aca="false">SUMPRODUCT((Projects!$G$2:$G$45="Yes")*(104&gt;=Projects!$C$2:$C$45-$B$14)*(104&lt;=Projects!$W$2:$W$45+$B$17))*$B$5</f>
        <v>0</v>
      </c>
      <c r="DE38" s="367" t="n">
        <f aca="false">SUMPRODUCT((Projects!$G$2:$G$45="Yes")*(105&gt;=Projects!$C$2:$C$45-$B$14)*(105&lt;=Projects!$W$2:$W$45+$B$17))*$B$5</f>
        <v>0</v>
      </c>
    </row>
    <row r="39" customFormat="false" ht="13.5" hidden="false" customHeight="true" outlineLevel="0" collapsed="false">
      <c r="A39" s="109" t="s">
        <v>1209</v>
      </c>
      <c r="E39" s="367" t="n">
        <f aca="false">SUMPRODUCT((Projects!$G$2:$G$45="Yes")*(1&gt;=Projects!$C$2:$C$45-$B$15)*((1&lt;=Projects!$W$2:$W$45-$B$106)*1+(1&gt;Projects!$W$2:$W$45-$B$106)*(1&lt;=Projects!$W$2:$W$45+$B$17)*$B$107)*((Projects!$B$2:$B$45&gt;=$B$12)*$B$6+(Projects!$B$2:$B$45&lt;$B$12)*(Projects!$B$2:$B$45&gt;=$B$13)*$B$7+(Projects!$B$2:$B$45&lt;$B$13)*$B$8))</f>
        <v>1.08</v>
      </c>
      <c r="F39" s="367" t="n">
        <f aca="false">SUMPRODUCT((Projects!$G$2:$G$45="Yes")*(2&gt;=Projects!$C$2:$C$45-$B$15)*((2&lt;=Projects!$W$2:$W$45-$B$106)*1+(2&gt;Projects!$W$2:$W$45-$B$106)*(2&lt;=Projects!$W$2:$W$45+$B$17)*$B$107)*((Projects!$B$2:$B$45&gt;=$B$12)*$B$6+(Projects!$B$2:$B$45&lt;$B$12)*(Projects!$B$2:$B$45&gt;=$B$13)*$B$7+(Projects!$B$2:$B$45&lt;$B$13)*$B$8))</f>
        <v>1.08</v>
      </c>
      <c r="G39" s="367" t="n">
        <f aca="false">SUMPRODUCT((Projects!$G$2:$G$45="Yes")*(3&gt;=Projects!$C$2:$C$45-$B$15)*((3&lt;=Projects!$W$2:$W$45-$B$106)*1+(3&gt;Projects!$W$2:$W$45-$B$106)*(3&lt;=Projects!$W$2:$W$45+$B$17)*$B$107)*((Projects!$B$2:$B$45&gt;=$B$12)*$B$6+(Projects!$B$2:$B$45&lt;$B$12)*(Projects!$B$2:$B$45&gt;=$B$13)*$B$7+(Projects!$B$2:$B$45&lt;$B$13)*$B$8))</f>
        <v>1.08</v>
      </c>
      <c r="H39" s="367" t="n">
        <f aca="false">SUMPRODUCT((Projects!$G$2:$G$45="Yes")*(4&gt;=Projects!$C$2:$C$45-$B$15)*((4&lt;=Projects!$W$2:$W$45-$B$106)*1+(4&gt;Projects!$W$2:$W$45-$B$106)*(4&lt;=Projects!$W$2:$W$45+$B$17)*$B$107)*((Projects!$B$2:$B$45&gt;=$B$12)*$B$6+(Projects!$B$2:$B$45&lt;$B$12)*(Projects!$B$2:$B$45&gt;=$B$13)*$B$7+(Projects!$B$2:$B$45&lt;$B$13)*$B$8))</f>
        <v>0.9975</v>
      </c>
      <c r="I39" s="367" t="n">
        <f aca="false">SUMPRODUCT((Projects!$G$2:$G$45="Yes")*(5&gt;=Projects!$C$2:$C$45-$B$15)*((5&lt;=Projects!$W$2:$W$45-$B$106)*1+(5&gt;Projects!$W$2:$W$45-$B$106)*(5&lt;=Projects!$W$2:$W$45+$B$17)*$B$107)*((Projects!$B$2:$B$45&gt;=$B$12)*$B$6+(Projects!$B$2:$B$45&lt;$B$12)*(Projects!$B$2:$B$45&gt;=$B$13)*$B$7+(Projects!$B$2:$B$45&lt;$B$13)*$B$8))</f>
        <v>1.7475</v>
      </c>
      <c r="J39" s="367" t="n">
        <f aca="false">SUMPRODUCT((Projects!$G$2:$G$45="Yes")*(6&gt;=Projects!$C$2:$C$45-$B$15)*((6&lt;=Projects!$W$2:$W$45-$B$106)*1+(6&gt;Projects!$W$2:$W$45-$B$106)*(6&lt;=Projects!$W$2:$W$45+$B$17)*$B$107)*((Projects!$B$2:$B$45&gt;=$B$12)*$B$6+(Projects!$B$2:$B$45&lt;$B$12)*(Projects!$B$2:$B$45&gt;=$B$13)*$B$7+(Projects!$B$2:$B$45&lt;$B$13)*$B$8))</f>
        <v>1.9975</v>
      </c>
      <c r="K39" s="367" t="n">
        <f aca="false">SUMPRODUCT((Projects!$G$2:$G$45="Yes")*(7&gt;=Projects!$C$2:$C$45-$B$15)*((7&lt;=Projects!$W$2:$W$45-$B$106)*1+(7&gt;Projects!$W$2:$W$45-$B$106)*(7&lt;=Projects!$W$2:$W$45+$B$17)*$B$107)*((Projects!$B$2:$B$45&gt;=$B$12)*$B$6+(Projects!$B$2:$B$45&lt;$B$12)*(Projects!$B$2:$B$45&gt;=$B$13)*$B$7+(Projects!$B$2:$B$45&lt;$B$13)*$B$8))</f>
        <v>1.9975</v>
      </c>
      <c r="L39" s="367" t="n">
        <f aca="false">SUMPRODUCT((Projects!$G$2:$G$45="Yes")*(8&gt;=Projects!$C$2:$C$45-$B$15)*((8&lt;=Projects!$W$2:$W$45-$B$106)*1+(8&gt;Projects!$W$2:$W$45-$B$106)*(8&lt;=Projects!$W$2:$W$45+$B$17)*$B$107)*((Projects!$B$2:$B$45&gt;=$B$12)*$B$6+(Projects!$B$2:$B$45&lt;$B$12)*(Projects!$B$2:$B$45&gt;=$B$13)*$B$7+(Projects!$B$2:$B$45&lt;$B$13)*$B$8))</f>
        <v>1.9975</v>
      </c>
      <c r="M39" s="367" t="n">
        <f aca="false">SUMPRODUCT((Projects!$G$2:$G$45="Yes")*(9&gt;=Projects!$C$2:$C$45-$B$15)*((9&lt;=Projects!$W$2:$W$45-$B$106)*1+(9&gt;Projects!$W$2:$W$45-$B$106)*(9&lt;=Projects!$W$2:$W$45+$B$17)*$B$107)*((Projects!$B$2:$B$45&gt;=$B$12)*$B$6+(Projects!$B$2:$B$45&lt;$B$12)*(Projects!$B$2:$B$45&gt;=$B$13)*$B$7+(Projects!$B$2:$B$45&lt;$B$13)*$B$8))</f>
        <v>2.2475</v>
      </c>
      <c r="N39" s="367" t="n">
        <f aca="false">SUMPRODUCT((Projects!$G$2:$G$45="Yes")*(10&gt;=Projects!$C$2:$C$45-$B$15)*((10&lt;=Projects!$W$2:$W$45-$B$106)*1+(10&gt;Projects!$W$2:$W$45-$B$106)*(10&lt;=Projects!$W$2:$W$45+$B$17)*$B$107)*((Projects!$B$2:$B$45&gt;=$B$12)*$B$6+(Projects!$B$2:$B$45&lt;$B$12)*(Projects!$B$2:$B$45&gt;=$B$13)*$B$7+(Projects!$B$2:$B$45&lt;$B$13)*$B$8))</f>
        <v>2.33</v>
      </c>
      <c r="O39" s="367" t="n">
        <f aca="false">SUMPRODUCT((Projects!$G$2:$G$45="Yes")*(11&gt;=Projects!$C$2:$C$45-$B$15)*((11&lt;=Projects!$W$2:$W$45-$B$106)*1+(11&gt;Projects!$W$2:$W$45-$B$106)*(11&lt;=Projects!$W$2:$W$45+$B$17)*$B$107)*((Projects!$B$2:$B$45&gt;=$B$12)*$B$6+(Projects!$B$2:$B$45&lt;$B$12)*(Projects!$B$2:$B$45&gt;=$B$13)*$B$7+(Projects!$B$2:$B$45&lt;$B$13)*$B$8))</f>
        <v>2.4125</v>
      </c>
      <c r="P39" s="367" t="n">
        <f aca="false">SUMPRODUCT((Projects!$G$2:$G$45="Yes")*(12&gt;=Projects!$C$2:$C$45-$B$15)*((12&lt;=Projects!$W$2:$W$45-$B$106)*1+(12&gt;Projects!$W$2:$W$45-$B$106)*(12&lt;=Projects!$W$2:$W$45+$B$17)*$B$107)*((Projects!$B$2:$B$45&gt;=$B$12)*$B$6+(Projects!$B$2:$B$45&lt;$B$12)*(Projects!$B$2:$B$45&gt;=$B$13)*$B$7+(Projects!$B$2:$B$45&lt;$B$13)*$B$8))</f>
        <v>2.4125</v>
      </c>
      <c r="Q39" s="367" t="n">
        <f aca="false">SUMPRODUCT((Projects!$G$2:$G$45="Yes")*(13&gt;=Projects!$C$2:$C$45-$B$15)*((13&lt;=Projects!$W$2:$W$45-$B$106)*1+(13&gt;Projects!$W$2:$W$45-$B$106)*(13&lt;=Projects!$W$2:$W$45+$B$17)*$B$107)*((Projects!$B$2:$B$45&gt;=$B$12)*$B$6+(Projects!$B$2:$B$45&lt;$B$12)*(Projects!$B$2:$B$45&gt;=$B$13)*$B$7+(Projects!$B$2:$B$45&lt;$B$13)*$B$8))</f>
        <v>2.5375</v>
      </c>
      <c r="R39" s="367" t="n">
        <f aca="false">SUMPRODUCT((Projects!$G$2:$G$45="Yes")*(14&gt;=Projects!$C$2:$C$45-$B$15)*((14&lt;=Projects!$W$2:$W$45-$B$106)*1+(14&gt;Projects!$W$2:$W$45-$B$106)*(14&lt;=Projects!$W$2:$W$45+$B$17)*$B$107)*((Projects!$B$2:$B$45&gt;=$B$12)*$B$6+(Projects!$B$2:$B$45&lt;$B$12)*(Projects!$B$2:$B$45&gt;=$B$13)*$B$7+(Projects!$B$2:$B$45&lt;$B$13)*$B$8))</f>
        <v>2.6625</v>
      </c>
      <c r="S39" s="367" t="n">
        <f aca="false">SUMPRODUCT((Projects!$G$2:$G$45="Yes")*(15&gt;=Projects!$C$2:$C$45-$B$15)*((15&lt;=Projects!$W$2:$W$45-$B$106)*1+(15&gt;Projects!$W$2:$W$45-$B$106)*(15&lt;=Projects!$W$2:$W$45+$B$17)*$B$107)*((Projects!$B$2:$B$45&gt;=$B$12)*$B$6+(Projects!$B$2:$B$45&lt;$B$12)*(Projects!$B$2:$B$45&gt;=$B$13)*$B$7+(Projects!$B$2:$B$45&lt;$B$13)*$B$8))</f>
        <v>3.2875</v>
      </c>
      <c r="T39" s="367" t="n">
        <f aca="false">SUMPRODUCT((Projects!$G$2:$G$45="Yes")*(16&gt;=Projects!$C$2:$C$45-$B$15)*((16&lt;=Projects!$W$2:$W$45-$B$106)*1+(16&gt;Projects!$W$2:$W$45-$B$106)*(16&lt;=Projects!$W$2:$W$45+$B$17)*$B$107)*((Projects!$B$2:$B$45&gt;=$B$12)*$B$6+(Projects!$B$2:$B$45&lt;$B$12)*(Projects!$B$2:$B$45&gt;=$B$13)*$B$7+(Projects!$B$2:$B$45&lt;$B$13)*$B$8))</f>
        <v>3.2875</v>
      </c>
      <c r="U39" s="367" t="n">
        <f aca="false">SUMPRODUCT((Projects!$G$2:$G$45="Yes")*(17&gt;=Projects!$C$2:$C$45-$B$15)*((17&lt;=Projects!$W$2:$W$45-$B$106)*1+(17&gt;Projects!$W$2:$W$45-$B$106)*(17&lt;=Projects!$W$2:$W$45+$B$17)*$B$107)*((Projects!$B$2:$B$45&gt;=$B$12)*$B$6+(Projects!$B$2:$B$45&lt;$B$12)*(Projects!$B$2:$B$45&gt;=$B$13)*$B$7+(Projects!$B$2:$B$45&lt;$B$13)*$B$8))</f>
        <v>3.205</v>
      </c>
      <c r="V39" s="367" t="n">
        <f aca="false">SUMPRODUCT((Projects!$G$2:$G$45="Yes")*(18&gt;=Projects!$C$2:$C$45-$B$15)*((18&lt;=Projects!$W$2:$W$45-$B$106)*1+(18&gt;Projects!$W$2:$W$45-$B$106)*(18&lt;=Projects!$W$2:$W$45+$B$17)*$B$107)*((Projects!$B$2:$B$45&gt;=$B$12)*$B$6+(Projects!$B$2:$B$45&lt;$B$12)*(Projects!$B$2:$B$45&gt;=$B$13)*$B$7+(Projects!$B$2:$B$45&lt;$B$13)*$B$8))</f>
        <v>3.455</v>
      </c>
      <c r="W39" s="367" t="n">
        <f aca="false">SUMPRODUCT((Projects!$G$2:$G$45="Yes")*(19&gt;=Projects!$C$2:$C$45-$B$15)*((19&lt;=Projects!$W$2:$W$45-$B$106)*1+(19&gt;Projects!$W$2:$W$45-$B$106)*(19&lt;=Projects!$W$2:$W$45+$B$17)*$B$107)*((Projects!$B$2:$B$45&gt;=$B$12)*$B$6+(Projects!$B$2:$B$45&lt;$B$12)*(Projects!$B$2:$B$45&gt;=$B$13)*$B$7+(Projects!$B$2:$B$45&lt;$B$13)*$B$8))</f>
        <v>3.955</v>
      </c>
      <c r="X39" s="367" t="n">
        <f aca="false">SUMPRODUCT((Projects!$G$2:$G$45="Yes")*(20&gt;=Projects!$C$2:$C$45-$B$15)*((20&lt;=Projects!$W$2:$W$45-$B$106)*1+(20&gt;Projects!$W$2:$W$45-$B$106)*(20&lt;=Projects!$W$2:$W$45+$B$17)*$B$107)*((Projects!$B$2:$B$45&gt;=$B$12)*$B$6+(Projects!$B$2:$B$45&lt;$B$12)*(Projects!$B$2:$B$45&gt;=$B$13)*$B$7+(Projects!$B$2:$B$45&lt;$B$13)*$B$8))</f>
        <v>3.705</v>
      </c>
      <c r="Y39" s="367" t="n">
        <f aca="false">SUMPRODUCT((Projects!$G$2:$G$45="Yes")*(21&gt;=Projects!$C$2:$C$45-$B$15)*((21&lt;=Projects!$W$2:$W$45-$B$106)*1+(21&gt;Projects!$W$2:$W$45-$B$106)*(21&lt;=Projects!$W$2:$W$45+$B$17)*$B$107)*((Projects!$B$2:$B$45&gt;=$B$12)*$B$6+(Projects!$B$2:$B$45&lt;$B$12)*(Projects!$B$2:$B$45&gt;=$B$13)*$B$7+(Projects!$B$2:$B$45&lt;$B$13)*$B$8))</f>
        <v>3.58</v>
      </c>
      <c r="Z39" s="367" t="n">
        <f aca="false">SUMPRODUCT((Projects!$G$2:$G$45="Yes")*(22&gt;=Projects!$C$2:$C$45-$B$15)*((22&lt;=Projects!$W$2:$W$45-$B$106)*1+(22&gt;Projects!$W$2:$W$45-$B$106)*(22&lt;=Projects!$W$2:$W$45+$B$17)*$B$107)*((Projects!$B$2:$B$45&gt;=$B$12)*$B$6+(Projects!$B$2:$B$45&lt;$B$12)*(Projects!$B$2:$B$45&gt;=$B$13)*$B$7+(Projects!$B$2:$B$45&lt;$B$13)*$B$8))</f>
        <v>3.58</v>
      </c>
      <c r="AA39" s="367" t="n">
        <f aca="false">SUMPRODUCT((Projects!$G$2:$G$45="Yes")*(23&gt;=Projects!$C$2:$C$45-$B$15)*((23&lt;=Projects!$W$2:$W$45-$B$106)*1+(23&gt;Projects!$W$2:$W$45-$B$106)*(23&lt;=Projects!$W$2:$W$45+$B$17)*$B$107)*((Projects!$B$2:$B$45&gt;=$B$12)*$B$6+(Projects!$B$2:$B$45&lt;$B$12)*(Projects!$B$2:$B$45&gt;=$B$13)*$B$7+(Projects!$B$2:$B$45&lt;$B$13)*$B$8))</f>
        <v>3.58</v>
      </c>
      <c r="AB39" s="367" t="n">
        <f aca="false">SUMPRODUCT((Projects!$G$2:$G$45="Yes")*(24&gt;=Projects!$C$2:$C$45-$B$15)*((24&lt;=Projects!$W$2:$W$45-$B$106)*1+(24&gt;Projects!$W$2:$W$45-$B$106)*(24&lt;=Projects!$W$2:$W$45+$B$17)*$B$107)*((Projects!$B$2:$B$45&gt;=$B$12)*$B$6+(Projects!$B$2:$B$45&lt;$B$12)*(Projects!$B$2:$B$45&gt;=$B$13)*$B$7+(Projects!$B$2:$B$45&lt;$B$13)*$B$8))</f>
        <v>3.3725</v>
      </c>
      <c r="AC39" s="367" t="n">
        <f aca="false">SUMPRODUCT((Projects!$G$2:$G$45="Yes")*(25&gt;=Projects!$C$2:$C$45-$B$15)*((25&lt;=Projects!$W$2:$W$45-$B$106)*1+(25&gt;Projects!$W$2:$W$45-$B$106)*(25&lt;=Projects!$W$2:$W$45+$B$17)*$B$107)*((Projects!$B$2:$B$45&gt;=$B$12)*$B$6+(Projects!$B$2:$B$45&lt;$B$12)*(Projects!$B$2:$B$45&gt;=$B$13)*$B$7+(Projects!$B$2:$B$45&lt;$B$13)*$B$8))</f>
        <v>3.165</v>
      </c>
      <c r="AD39" s="367" t="n">
        <f aca="false">SUMPRODUCT((Projects!$G$2:$G$45="Yes")*(26&gt;=Projects!$C$2:$C$45-$B$15)*((26&lt;=Projects!$W$2:$W$45-$B$106)*1+(26&gt;Projects!$W$2:$W$45-$B$106)*(26&lt;=Projects!$W$2:$W$45+$B$17)*$B$107)*((Projects!$B$2:$B$45&gt;=$B$12)*$B$6+(Projects!$B$2:$B$45&lt;$B$12)*(Projects!$B$2:$B$45&gt;=$B$13)*$B$7+(Projects!$B$2:$B$45&lt;$B$13)*$B$8))</f>
        <v>2.915</v>
      </c>
      <c r="AE39" s="367" t="n">
        <f aca="false">SUMPRODUCT((Projects!$G$2:$G$45="Yes")*(27&gt;=Projects!$C$2:$C$45-$B$15)*((27&lt;=Projects!$W$2:$W$45-$B$106)*1+(27&gt;Projects!$W$2:$W$45-$B$106)*(27&lt;=Projects!$W$2:$W$45+$B$17)*$B$107)*((Projects!$B$2:$B$45&gt;=$B$12)*$B$6+(Projects!$B$2:$B$45&lt;$B$12)*(Projects!$B$2:$B$45&gt;=$B$13)*$B$7+(Projects!$B$2:$B$45&lt;$B$13)*$B$8))</f>
        <v>3.415</v>
      </c>
      <c r="AF39" s="367" t="n">
        <f aca="false">SUMPRODUCT((Projects!$G$2:$G$45="Yes")*(28&gt;=Projects!$C$2:$C$45-$B$15)*((28&lt;=Projects!$W$2:$W$45-$B$106)*1+(28&gt;Projects!$W$2:$W$45-$B$106)*(28&lt;=Projects!$W$2:$W$45+$B$17)*$B$107)*((Projects!$B$2:$B$45&gt;=$B$12)*$B$6+(Projects!$B$2:$B$45&lt;$B$12)*(Projects!$B$2:$B$45&gt;=$B$13)*$B$7+(Projects!$B$2:$B$45&lt;$B$13)*$B$8))</f>
        <v>3.29</v>
      </c>
      <c r="AG39" s="367" t="n">
        <f aca="false">SUMPRODUCT((Projects!$G$2:$G$45="Yes")*(29&gt;=Projects!$C$2:$C$45-$B$15)*((29&lt;=Projects!$W$2:$W$45-$B$106)*1+(29&gt;Projects!$W$2:$W$45-$B$106)*(29&lt;=Projects!$W$2:$W$45+$B$17)*$B$107)*((Projects!$B$2:$B$45&gt;=$B$12)*$B$6+(Projects!$B$2:$B$45&lt;$B$12)*(Projects!$B$2:$B$45&gt;=$B$13)*$B$7+(Projects!$B$2:$B$45&lt;$B$13)*$B$8))</f>
        <v>3.29</v>
      </c>
      <c r="AH39" s="367" t="n">
        <f aca="false">SUMPRODUCT((Projects!$G$2:$G$45="Yes")*(30&gt;=Projects!$C$2:$C$45-$B$15)*((30&lt;=Projects!$W$2:$W$45-$B$106)*1+(30&gt;Projects!$W$2:$W$45-$B$106)*(30&lt;=Projects!$W$2:$W$45+$B$17)*$B$107)*((Projects!$B$2:$B$45&gt;=$B$12)*$B$6+(Projects!$B$2:$B$45&lt;$B$12)*(Projects!$B$2:$B$45&gt;=$B$13)*$B$7+(Projects!$B$2:$B$45&lt;$B$13)*$B$8))</f>
        <v>3.0825</v>
      </c>
      <c r="AI39" s="367" t="n">
        <f aca="false">SUMPRODUCT((Projects!$G$2:$G$45="Yes")*(31&gt;=Projects!$C$2:$C$45-$B$15)*((31&lt;=Projects!$W$2:$W$45-$B$106)*1+(31&gt;Projects!$W$2:$W$45-$B$106)*(31&lt;=Projects!$W$2:$W$45+$B$17)*$B$107)*((Projects!$B$2:$B$45&gt;=$B$12)*$B$6+(Projects!$B$2:$B$45&lt;$B$12)*(Projects!$B$2:$B$45&gt;=$B$13)*$B$7+(Projects!$B$2:$B$45&lt;$B$13)*$B$8))</f>
        <v>3</v>
      </c>
      <c r="AJ39" s="367" t="n">
        <f aca="false">SUMPRODUCT((Projects!$G$2:$G$45="Yes")*(32&gt;=Projects!$C$2:$C$45-$B$15)*((32&lt;=Projects!$W$2:$W$45-$B$106)*1+(32&gt;Projects!$W$2:$W$45-$B$106)*(32&lt;=Projects!$W$2:$W$45+$B$17)*$B$107)*((Projects!$B$2:$B$45&gt;=$B$12)*$B$6+(Projects!$B$2:$B$45&lt;$B$12)*(Projects!$B$2:$B$45&gt;=$B$13)*$B$7+(Projects!$B$2:$B$45&lt;$B$13)*$B$8))</f>
        <v>2.5</v>
      </c>
      <c r="AK39" s="367" t="n">
        <f aca="false">SUMPRODUCT((Projects!$G$2:$G$45="Yes")*(33&gt;=Projects!$C$2:$C$45-$B$15)*((33&lt;=Projects!$W$2:$W$45-$B$106)*1+(33&gt;Projects!$W$2:$W$45-$B$106)*(33&lt;=Projects!$W$2:$W$45+$B$17)*$B$107)*((Projects!$B$2:$B$45&gt;=$B$12)*$B$6+(Projects!$B$2:$B$45&lt;$B$12)*(Projects!$B$2:$B$45&gt;=$B$13)*$B$7+(Projects!$B$2:$B$45&lt;$B$13)*$B$8))</f>
        <v>2.375</v>
      </c>
      <c r="AL39" s="367" t="n">
        <f aca="false">SUMPRODUCT((Projects!$G$2:$G$45="Yes")*(34&gt;=Projects!$C$2:$C$45-$B$15)*((34&lt;=Projects!$W$2:$W$45-$B$106)*1+(34&gt;Projects!$W$2:$W$45-$B$106)*(34&lt;=Projects!$W$2:$W$45+$B$17)*$B$107)*((Projects!$B$2:$B$45&gt;=$B$12)*$B$6+(Projects!$B$2:$B$45&lt;$B$12)*(Projects!$B$2:$B$45&gt;=$B$13)*$B$7+(Projects!$B$2:$B$45&lt;$B$13)*$B$8))</f>
        <v>2.125</v>
      </c>
      <c r="AM39" s="367" t="n">
        <f aca="false">SUMPRODUCT((Projects!$G$2:$G$45="Yes")*(35&gt;=Projects!$C$2:$C$45-$B$15)*((35&lt;=Projects!$W$2:$W$45-$B$106)*1+(35&gt;Projects!$W$2:$W$45-$B$106)*(35&lt;=Projects!$W$2:$W$45+$B$17)*$B$107)*((Projects!$B$2:$B$45&gt;=$B$12)*$B$6+(Projects!$B$2:$B$45&lt;$B$12)*(Projects!$B$2:$B$45&gt;=$B$13)*$B$7+(Projects!$B$2:$B$45&lt;$B$13)*$B$8))</f>
        <v>2.125</v>
      </c>
      <c r="AN39" s="367" t="n">
        <f aca="false">SUMPRODUCT((Projects!$G$2:$G$45="Yes")*(36&gt;=Projects!$C$2:$C$45-$B$15)*((36&lt;=Projects!$W$2:$W$45-$B$106)*1+(36&gt;Projects!$W$2:$W$45-$B$106)*(36&lt;=Projects!$W$2:$W$45+$B$17)*$B$107)*((Projects!$B$2:$B$45&gt;=$B$12)*$B$6+(Projects!$B$2:$B$45&lt;$B$12)*(Projects!$B$2:$B$45&gt;=$B$13)*$B$7+(Projects!$B$2:$B$45&lt;$B$13)*$B$8))</f>
        <v>2.125</v>
      </c>
      <c r="AO39" s="367" t="n">
        <f aca="false">SUMPRODUCT((Projects!$G$2:$G$45="Yes")*(37&gt;=Projects!$C$2:$C$45-$B$15)*((37&lt;=Projects!$W$2:$W$45-$B$106)*1+(37&gt;Projects!$W$2:$W$45-$B$106)*(37&lt;=Projects!$W$2:$W$45+$B$17)*$B$107)*((Projects!$B$2:$B$45&gt;=$B$12)*$B$6+(Projects!$B$2:$B$45&lt;$B$12)*(Projects!$B$2:$B$45&gt;=$B$13)*$B$7+(Projects!$B$2:$B$45&lt;$B$13)*$B$8))</f>
        <v>2.125</v>
      </c>
      <c r="AP39" s="367" t="n">
        <f aca="false">SUMPRODUCT((Projects!$G$2:$G$45="Yes")*(38&gt;=Projects!$C$2:$C$45-$B$15)*((38&lt;=Projects!$W$2:$W$45-$B$106)*1+(38&gt;Projects!$W$2:$W$45-$B$106)*(38&lt;=Projects!$W$2:$W$45+$B$17)*$B$107)*((Projects!$B$2:$B$45&gt;=$B$12)*$B$6+(Projects!$B$2:$B$45&lt;$B$12)*(Projects!$B$2:$B$45&gt;=$B$13)*$B$7+(Projects!$B$2:$B$45&lt;$B$13)*$B$8))</f>
        <v>1.5</v>
      </c>
      <c r="AQ39" s="367" t="n">
        <f aca="false">SUMPRODUCT((Projects!$G$2:$G$45="Yes")*(39&gt;=Projects!$C$2:$C$45-$B$15)*((39&lt;=Projects!$W$2:$W$45-$B$106)*1+(39&gt;Projects!$W$2:$W$45-$B$106)*(39&lt;=Projects!$W$2:$W$45+$B$17)*$B$107)*((Projects!$B$2:$B$45&gt;=$B$12)*$B$6+(Projects!$B$2:$B$45&lt;$B$12)*(Projects!$B$2:$B$45&gt;=$B$13)*$B$7+(Projects!$B$2:$B$45&lt;$B$13)*$B$8))</f>
        <v>1.375</v>
      </c>
      <c r="AR39" s="367" t="n">
        <f aca="false">SUMPRODUCT((Projects!$G$2:$G$45="Yes")*(40&gt;=Projects!$C$2:$C$45-$B$15)*((40&lt;=Projects!$W$2:$W$45-$B$106)*1+(40&gt;Projects!$W$2:$W$45-$B$106)*(40&lt;=Projects!$W$2:$W$45+$B$17)*$B$107)*((Projects!$B$2:$B$45&gt;=$B$12)*$B$6+(Projects!$B$2:$B$45&lt;$B$12)*(Projects!$B$2:$B$45&gt;=$B$13)*$B$7+(Projects!$B$2:$B$45&lt;$B$13)*$B$8))</f>
        <v>1</v>
      </c>
      <c r="AS39" s="367" t="n">
        <f aca="false">SUMPRODUCT((Projects!$G$2:$G$45="Yes")*(41&gt;=Projects!$C$2:$C$45-$B$15)*((41&lt;=Projects!$W$2:$W$45-$B$106)*1+(41&gt;Projects!$W$2:$W$45-$B$106)*(41&lt;=Projects!$W$2:$W$45+$B$17)*$B$107)*((Projects!$B$2:$B$45&gt;=$B$12)*$B$6+(Projects!$B$2:$B$45&lt;$B$12)*(Projects!$B$2:$B$45&gt;=$B$13)*$B$7+(Projects!$B$2:$B$45&lt;$B$13)*$B$8))</f>
        <v>1</v>
      </c>
      <c r="AT39" s="367" t="n">
        <f aca="false">SUMPRODUCT((Projects!$G$2:$G$45="Yes")*(42&gt;=Projects!$C$2:$C$45-$B$15)*((42&lt;=Projects!$W$2:$W$45-$B$106)*1+(42&gt;Projects!$W$2:$W$45-$B$106)*(42&lt;=Projects!$W$2:$W$45+$B$17)*$B$107)*((Projects!$B$2:$B$45&gt;=$B$12)*$B$6+(Projects!$B$2:$B$45&lt;$B$12)*(Projects!$B$2:$B$45&gt;=$B$13)*$B$7+(Projects!$B$2:$B$45&lt;$B$13)*$B$8))</f>
        <v>1</v>
      </c>
      <c r="AU39" s="367" t="n">
        <f aca="false">SUMPRODUCT((Projects!$G$2:$G$45="Yes")*(43&gt;=Projects!$C$2:$C$45-$B$15)*((43&lt;=Projects!$W$2:$W$45-$B$106)*1+(43&gt;Projects!$W$2:$W$45-$B$106)*(43&lt;=Projects!$W$2:$W$45+$B$17)*$B$107)*((Projects!$B$2:$B$45&gt;=$B$12)*$B$6+(Projects!$B$2:$B$45&lt;$B$12)*(Projects!$B$2:$B$45&gt;=$B$13)*$B$7+(Projects!$B$2:$B$45&lt;$B$13)*$B$8))</f>
        <v>1</v>
      </c>
      <c r="AV39" s="367" t="n">
        <f aca="false">SUMPRODUCT((Projects!$G$2:$G$45="Yes")*(44&gt;=Projects!$C$2:$C$45-$B$15)*((44&lt;=Projects!$W$2:$W$45-$B$106)*1+(44&gt;Projects!$W$2:$W$45-$B$106)*(44&lt;=Projects!$W$2:$W$45+$B$17)*$B$107)*((Projects!$B$2:$B$45&gt;=$B$12)*$B$6+(Projects!$B$2:$B$45&lt;$B$12)*(Projects!$B$2:$B$45&gt;=$B$13)*$B$7+(Projects!$B$2:$B$45&lt;$B$13)*$B$8))</f>
        <v>0.75</v>
      </c>
      <c r="AW39" s="367" t="n">
        <f aca="false">SUMPRODUCT((Projects!$G$2:$G$45="Yes")*(45&gt;=Projects!$C$2:$C$45-$B$15)*((45&lt;=Projects!$W$2:$W$45-$B$106)*1+(45&gt;Projects!$W$2:$W$45-$B$106)*(45&lt;=Projects!$W$2:$W$45+$B$17)*$B$107)*((Projects!$B$2:$B$45&gt;=$B$12)*$B$6+(Projects!$B$2:$B$45&lt;$B$12)*(Projects!$B$2:$B$45&gt;=$B$13)*$B$7+(Projects!$B$2:$B$45&lt;$B$13)*$B$8))</f>
        <v>0.75</v>
      </c>
      <c r="AX39" s="367" t="n">
        <f aca="false">SUMPRODUCT((Projects!$G$2:$G$45="Yes")*(46&gt;=Projects!$C$2:$C$45-$B$15)*((46&lt;=Projects!$W$2:$W$45-$B$106)*1+(46&gt;Projects!$W$2:$W$45-$B$106)*(46&lt;=Projects!$W$2:$W$45+$B$17)*$B$107)*((Projects!$B$2:$B$45&gt;=$B$12)*$B$6+(Projects!$B$2:$B$45&lt;$B$12)*(Projects!$B$2:$B$45&gt;=$B$13)*$B$7+(Projects!$B$2:$B$45&lt;$B$13)*$B$8))</f>
        <v>0.5</v>
      </c>
      <c r="AY39" s="367" t="n">
        <f aca="false">SUMPRODUCT((Projects!$G$2:$G$45="Yes")*(47&gt;=Projects!$C$2:$C$45-$B$15)*((47&lt;=Projects!$W$2:$W$45-$B$106)*1+(47&gt;Projects!$W$2:$W$45-$B$106)*(47&lt;=Projects!$W$2:$W$45+$B$17)*$B$107)*((Projects!$B$2:$B$45&gt;=$B$12)*$B$6+(Projects!$B$2:$B$45&lt;$B$12)*(Projects!$B$2:$B$45&gt;=$B$13)*$B$7+(Projects!$B$2:$B$45&lt;$B$13)*$B$8))</f>
        <v>0.5</v>
      </c>
      <c r="AZ39" s="367" t="n">
        <f aca="false">SUMPRODUCT((Projects!$G$2:$G$45="Yes")*(48&gt;=Projects!$C$2:$C$45-$B$15)*((48&lt;=Projects!$W$2:$W$45-$B$106)*1+(48&gt;Projects!$W$2:$W$45-$B$106)*(48&lt;=Projects!$W$2:$W$45+$B$17)*$B$107)*((Projects!$B$2:$B$45&gt;=$B$12)*$B$6+(Projects!$B$2:$B$45&lt;$B$12)*(Projects!$B$2:$B$45&gt;=$B$13)*$B$7+(Projects!$B$2:$B$45&lt;$B$13)*$B$8))</f>
        <v>0.5</v>
      </c>
      <c r="BA39" s="367" t="n">
        <f aca="false">SUMPRODUCT((Projects!$G$2:$G$45="Yes")*(49&gt;=Projects!$C$2:$C$45-$B$15)*((49&lt;=Projects!$W$2:$W$45-$B$106)*1+(49&gt;Projects!$W$2:$W$45-$B$106)*(49&lt;=Projects!$W$2:$W$45+$B$17)*$B$107)*((Projects!$B$2:$B$45&gt;=$B$12)*$B$6+(Projects!$B$2:$B$45&lt;$B$12)*(Projects!$B$2:$B$45&gt;=$B$13)*$B$7+(Projects!$B$2:$B$45&lt;$B$13)*$B$8))</f>
        <v>0.5</v>
      </c>
      <c r="BB39" s="367" t="n">
        <f aca="false">SUMPRODUCT((Projects!$G$2:$G$45="Yes")*(50&gt;=Projects!$C$2:$C$45-$B$15)*((50&lt;=Projects!$W$2:$W$45-$B$106)*1+(50&gt;Projects!$W$2:$W$45-$B$106)*(50&lt;=Projects!$W$2:$W$45+$B$17)*$B$107)*((Projects!$B$2:$B$45&gt;=$B$12)*$B$6+(Projects!$B$2:$B$45&lt;$B$12)*(Projects!$B$2:$B$45&gt;=$B$13)*$B$7+(Projects!$B$2:$B$45&lt;$B$13)*$B$8))</f>
        <v>0.5</v>
      </c>
      <c r="BC39" s="367" t="n">
        <f aca="false">SUMPRODUCT((Projects!$G$2:$G$45="Yes")*(51&gt;=Projects!$C$2:$C$45-$B$15)*((51&lt;=Projects!$W$2:$W$45-$B$106)*1+(51&gt;Projects!$W$2:$W$45-$B$106)*(51&lt;=Projects!$W$2:$W$45+$B$17)*$B$107)*((Projects!$B$2:$B$45&gt;=$B$12)*$B$6+(Projects!$B$2:$B$45&lt;$B$12)*(Projects!$B$2:$B$45&gt;=$B$13)*$B$7+(Projects!$B$2:$B$45&lt;$B$13)*$B$8))</f>
        <v>0.5</v>
      </c>
      <c r="BD39" s="367" t="n">
        <f aca="false">SUMPRODUCT((Projects!$G$2:$G$45="Yes")*(52&gt;=Projects!$C$2:$C$45-$B$15)*((52&lt;=Projects!$W$2:$W$45-$B$106)*1+(52&gt;Projects!$W$2:$W$45-$B$106)*(52&lt;=Projects!$W$2:$W$45+$B$17)*$B$107)*((Projects!$B$2:$B$45&gt;=$B$12)*$B$6+(Projects!$B$2:$B$45&lt;$B$12)*(Projects!$B$2:$B$45&gt;=$B$13)*$B$7+(Projects!$B$2:$B$45&lt;$B$13)*$B$8))</f>
        <v>0.25</v>
      </c>
      <c r="BE39" s="367" t="n">
        <f aca="false">SUMPRODUCT((Projects!$G$2:$G$45="Yes")*(53&gt;=Projects!$C$2:$C$45-$B$15)*((53&lt;=Projects!$W$2:$W$45-$B$106)*1+(53&gt;Projects!$W$2:$W$45-$B$106)*(53&lt;=Projects!$W$2:$W$45+$B$17)*$B$107)*((Projects!$B$2:$B$45&gt;=$B$12)*$B$6+(Projects!$B$2:$B$45&lt;$B$12)*(Projects!$B$2:$B$45&gt;=$B$13)*$B$7+(Projects!$B$2:$B$45&lt;$B$13)*$B$8))</f>
        <v>0.25</v>
      </c>
      <c r="BF39" s="367" t="n">
        <f aca="false">SUMPRODUCT((Projects!$G$2:$G$45="Yes")*(54&gt;=Projects!$C$2:$C$45-$B$15)*((54&lt;=Projects!$W$2:$W$45-$B$106)*1+(54&gt;Projects!$W$2:$W$45-$B$106)*(54&lt;=Projects!$W$2:$W$45+$B$17)*$B$107)*((Projects!$B$2:$B$45&gt;=$B$12)*$B$6+(Projects!$B$2:$B$45&lt;$B$12)*(Projects!$B$2:$B$45&gt;=$B$13)*$B$7+(Projects!$B$2:$B$45&lt;$B$13)*$B$8))</f>
        <v>0.25</v>
      </c>
      <c r="BG39" s="367" t="n">
        <f aca="false">SUMPRODUCT((Projects!$G$2:$G$45="Yes")*(55&gt;=Projects!$C$2:$C$45-$B$15)*((55&lt;=Projects!$W$2:$W$45-$B$106)*1+(55&gt;Projects!$W$2:$W$45-$B$106)*(55&lt;=Projects!$W$2:$W$45+$B$17)*$B$107)*((Projects!$B$2:$B$45&gt;=$B$12)*$B$6+(Projects!$B$2:$B$45&lt;$B$12)*(Projects!$B$2:$B$45&gt;=$B$13)*$B$7+(Projects!$B$2:$B$45&lt;$B$13)*$B$8))</f>
        <v>0.25</v>
      </c>
      <c r="BH39" s="367" t="n">
        <f aca="false">SUMPRODUCT((Projects!$G$2:$G$45="Yes")*(56&gt;=Projects!$C$2:$C$45-$B$15)*((56&lt;=Projects!$W$2:$W$45-$B$106)*1+(56&gt;Projects!$W$2:$W$45-$B$106)*(56&lt;=Projects!$W$2:$W$45+$B$17)*$B$107)*((Projects!$B$2:$B$45&gt;=$B$12)*$B$6+(Projects!$B$2:$B$45&lt;$B$12)*(Projects!$B$2:$B$45&gt;=$B$13)*$B$7+(Projects!$B$2:$B$45&lt;$B$13)*$B$8))</f>
        <v>0.25</v>
      </c>
      <c r="BI39" s="367" t="n">
        <f aca="false">SUMPRODUCT((Projects!$G$2:$G$45="Yes")*(57&gt;=Projects!$C$2:$C$45-$B$15)*((57&lt;=Projects!$W$2:$W$45-$B$106)*1+(57&gt;Projects!$W$2:$W$45-$B$106)*(57&lt;=Projects!$W$2:$W$45+$B$17)*$B$107)*((Projects!$B$2:$B$45&gt;=$B$12)*$B$6+(Projects!$B$2:$B$45&lt;$B$12)*(Projects!$B$2:$B$45&gt;=$B$13)*$B$7+(Projects!$B$2:$B$45&lt;$B$13)*$B$8))</f>
        <v>0.25</v>
      </c>
      <c r="BJ39" s="367" t="n">
        <f aca="false">SUMPRODUCT((Projects!$G$2:$G$45="Yes")*(58&gt;=Projects!$C$2:$C$45-$B$15)*((58&lt;=Projects!$W$2:$W$45-$B$106)*1+(58&gt;Projects!$W$2:$W$45-$B$106)*(58&lt;=Projects!$W$2:$W$45+$B$17)*$B$107)*((Projects!$B$2:$B$45&gt;=$B$12)*$B$6+(Projects!$B$2:$B$45&lt;$B$12)*(Projects!$B$2:$B$45&gt;=$B$13)*$B$7+(Projects!$B$2:$B$45&lt;$B$13)*$B$8))</f>
        <v>0</v>
      </c>
      <c r="BK39" s="367" t="n">
        <f aca="false">SUMPRODUCT((Projects!$G$2:$G$45="Yes")*(59&gt;=Projects!$C$2:$C$45-$B$15)*((59&lt;=Projects!$W$2:$W$45-$B$106)*1+(59&gt;Projects!$W$2:$W$45-$B$106)*(59&lt;=Projects!$W$2:$W$45+$B$17)*$B$107)*((Projects!$B$2:$B$45&gt;=$B$12)*$B$6+(Projects!$B$2:$B$45&lt;$B$12)*(Projects!$B$2:$B$45&gt;=$B$13)*$B$7+(Projects!$B$2:$B$45&lt;$B$13)*$B$8))</f>
        <v>0</v>
      </c>
      <c r="BL39" s="367" t="n">
        <f aca="false">SUMPRODUCT((Projects!$G$2:$G$45="Yes")*(60&gt;=Projects!$C$2:$C$45-$B$15)*((60&lt;=Projects!$W$2:$W$45-$B$106)*1+(60&gt;Projects!$W$2:$W$45-$B$106)*(60&lt;=Projects!$W$2:$W$45+$B$17)*$B$107)*((Projects!$B$2:$B$45&gt;=$B$12)*$B$6+(Projects!$B$2:$B$45&lt;$B$12)*(Projects!$B$2:$B$45&gt;=$B$13)*$B$7+(Projects!$B$2:$B$45&lt;$B$13)*$B$8))</f>
        <v>0</v>
      </c>
      <c r="BM39" s="367" t="n">
        <f aca="false">SUMPRODUCT((Projects!$G$2:$G$45="Yes")*(61&gt;=Projects!$C$2:$C$45-$B$15)*((61&lt;=Projects!$W$2:$W$45-$B$106)*1+(61&gt;Projects!$W$2:$W$45-$B$106)*(61&lt;=Projects!$W$2:$W$45+$B$17)*$B$107)*((Projects!$B$2:$B$45&gt;=$B$12)*$B$6+(Projects!$B$2:$B$45&lt;$B$12)*(Projects!$B$2:$B$45&gt;=$B$13)*$B$7+(Projects!$B$2:$B$45&lt;$B$13)*$B$8))</f>
        <v>0</v>
      </c>
      <c r="BN39" s="367" t="n">
        <f aca="false">SUMPRODUCT((Projects!$G$2:$G$45="Yes")*(62&gt;=Projects!$C$2:$C$45-$B$15)*((62&lt;=Projects!$W$2:$W$45-$B$106)*1+(62&gt;Projects!$W$2:$W$45-$B$106)*(62&lt;=Projects!$W$2:$W$45+$B$17)*$B$107)*((Projects!$B$2:$B$45&gt;=$B$12)*$B$6+(Projects!$B$2:$B$45&lt;$B$12)*(Projects!$B$2:$B$45&gt;=$B$13)*$B$7+(Projects!$B$2:$B$45&lt;$B$13)*$B$8))</f>
        <v>0</v>
      </c>
      <c r="BO39" s="367" t="n">
        <f aca="false">SUMPRODUCT((Projects!$G$2:$G$45="Yes")*(63&gt;=Projects!$C$2:$C$45-$B$15)*((63&lt;=Projects!$W$2:$W$45-$B$106)*1+(63&gt;Projects!$W$2:$W$45-$B$106)*(63&lt;=Projects!$W$2:$W$45+$B$17)*$B$107)*((Projects!$B$2:$B$45&gt;=$B$12)*$B$6+(Projects!$B$2:$B$45&lt;$B$12)*(Projects!$B$2:$B$45&gt;=$B$13)*$B$7+(Projects!$B$2:$B$45&lt;$B$13)*$B$8))</f>
        <v>0</v>
      </c>
      <c r="BP39" s="367" t="n">
        <f aca="false">SUMPRODUCT((Projects!$G$2:$G$45="Yes")*(64&gt;=Projects!$C$2:$C$45-$B$15)*((64&lt;=Projects!$W$2:$W$45-$B$106)*1+(64&gt;Projects!$W$2:$W$45-$B$106)*(64&lt;=Projects!$W$2:$W$45+$B$17)*$B$107)*((Projects!$B$2:$B$45&gt;=$B$12)*$B$6+(Projects!$B$2:$B$45&lt;$B$12)*(Projects!$B$2:$B$45&gt;=$B$13)*$B$7+(Projects!$B$2:$B$45&lt;$B$13)*$B$8))</f>
        <v>0</v>
      </c>
      <c r="BQ39" s="367" t="n">
        <f aca="false">SUMPRODUCT((Projects!$G$2:$G$45="Yes")*(65&gt;=Projects!$C$2:$C$45-$B$15)*((65&lt;=Projects!$W$2:$W$45-$B$106)*1+(65&gt;Projects!$W$2:$W$45-$B$106)*(65&lt;=Projects!$W$2:$W$45+$B$17)*$B$107)*((Projects!$B$2:$B$45&gt;=$B$12)*$B$6+(Projects!$B$2:$B$45&lt;$B$12)*(Projects!$B$2:$B$45&gt;=$B$13)*$B$7+(Projects!$B$2:$B$45&lt;$B$13)*$B$8))</f>
        <v>0</v>
      </c>
      <c r="BR39" s="367" t="n">
        <f aca="false">SUMPRODUCT((Projects!$G$2:$G$45="Yes")*(66&gt;=Projects!$C$2:$C$45-$B$15)*((66&lt;=Projects!$W$2:$W$45-$B$106)*1+(66&gt;Projects!$W$2:$W$45-$B$106)*(66&lt;=Projects!$W$2:$W$45+$B$17)*$B$107)*((Projects!$B$2:$B$45&gt;=$B$12)*$B$6+(Projects!$B$2:$B$45&lt;$B$12)*(Projects!$B$2:$B$45&gt;=$B$13)*$B$7+(Projects!$B$2:$B$45&lt;$B$13)*$B$8))</f>
        <v>0</v>
      </c>
      <c r="BS39" s="367" t="n">
        <f aca="false">SUMPRODUCT((Projects!$G$2:$G$45="Yes")*(67&gt;=Projects!$C$2:$C$45-$B$15)*((67&lt;=Projects!$W$2:$W$45-$B$106)*1+(67&gt;Projects!$W$2:$W$45-$B$106)*(67&lt;=Projects!$W$2:$W$45+$B$17)*$B$107)*((Projects!$B$2:$B$45&gt;=$B$12)*$B$6+(Projects!$B$2:$B$45&lt;$B$12)*(Projects!$B$2:$B$45&gt;=$B$13)*$B$7+(Projects!$B$2:$B$45&lt;$B$13)*$B$8))</f>
        <v>0</v>
      </c>
      <c r="BT39" s="367" t="n">
        <f aca="false">SUMPRODUCT((Projects!$G$2:$G$45="Yes")*(68&gt;=Projects!$C$2:$C$45-$B$15)*((68&lt;=Projects!$W$2:$W$45-$B$106)*1+(68&gt;Projects!$W$2:$W$45-$B$106)*(68&lt;=Projects!$W$2:$W$45+$B$17)*$B$107)*((Projects!$B$2:$B$45&gt;=$B$12)*$B$6+(Projects!$B$2:$B$45&lt;$B$12)*(Projects!$B$2:$B$45&gt;=$B$13)*$B$7+(Projects!$B$2:$B$45&lt;$B$13)*$B$8))</f>
        <v>0</v>
      </c>
      <c r="BU39" s="367" t="n">
        <f aca="false">SUMPRODUCT((Projects!$G$2:$G$45="Yes")*(69&gt;=Projects!$C$2:$C$45-$B$15)*((69&lt;=Projects!$W$2:$W$45-$B$106)*1+(69&gt;Projects!$W$2:$W$45-$B$106)*(69&lt;=Projects!$W$2:$W$45+$B$17)*$B$107)*((Projects!$B$2:$B$45&gt;=$B$12)*$B$6+(Projects!$B$2:$B$45&lt;$B$12)*(Projects!$B$2:$B$45&gt;=$B$13)*$B$7+(Projects!$B$2:$B$45&lt;$B$13)*$B$8))</f>
        <v>0</v>
      </c>
      <c r="BV39" s="367" t="n">
        <f aca="false">SUMPRODUCT((Projects!$G$2:$G$45="Yes")*(70&gt;=Projects!$C$2:$C$45-$B$15)*((70&lt;=Projects!$W$2:$W$45-$B$106)*1+(70&gt;Projects!$W$2:$W$45-$B$106)*(70&lt;=Projects!$W$2:$W$45+$B$17)*$B$107)*((Projects!$B$2:$B$45&gt;=$B$12)*$B$6+(Projects!$B$2:$B$45&lt;$B$12)*(Projects!$B$2:$B$45&gt;=$B$13)*$B$7+(Projects!$B$2:$B$45&lt;$B$13)*$B$8))</f>
        <v>0</v>
      </c>
      <c r="BW39" s="367" t="n">
        <f aca="false">SUMPRODUCT((Projects!$G$2:$G$45="Yes")*(71&gt;=Projects!$C$2:$C$45-$B$15)*((71&lt;=Projects!$W$2:$W$45-$B$106)*1+(71&gt;Projects!$W$2:$W$45-$B$106)*(71&lt;=Projects!$W$2:$W$45+$B$17)*$B$107)*((Projects!$B$2:$B$45&gt;=$B$12)*$B$6+(Projects!$B$2:$B$45&lt;$B$12)*(Projects!$B$2:$B$45&gt;=$B$13)*$B$7+(Projects!$B$2:$B$45&lt;$B$13)*$B$8))</f>
        <v>0</v>
      </c>
      <c r="BX39" s="367" t="n">
        <f aca="false">SUMPRODUCT((Projects!$G$2:$G$45="Yes")*(72&gt;=Projects!$C$2:$C$45-$B$15)*((72&lt;=Projects!$W$2:$W$45-$B$106)*1+(72&gt;Projects!$W$2:$W$45-$B$106)*(72&lt;=Projects!$W$2:$W$45+$B$17)*$B$107)*((Projects!$B$2:$B$45&gt;=$B$12)*$B$6+(Projects!$B$2:$B$45&lt;$B$12)*(Projects!$B$2:$B$45&gt;=$B$13)*$B$7+(Projects!$B$2:$B$45&lt;$B$13)*$B$8))</f>
        <v>0</v>
      </c>
      <c r="BY39" s="367" t="n">
        <f aca="false">SUMPRODUCT((Projects!$G$2:$G$45="Yes")*(73&gt;=Projects!$C$2:$C$45-$B$15)*((73&lt;=Projects!$W$2:$W$45-$B$106)*1+(73&gt;Projects!$W$2:$W$45-$B$106)*(73&lt;=Projects!$W$2:$W$45+$B$17)*$B$107)*((Projects!$B$2:$B$45&gt;=$B$12)*$B$6+(Projects!$B$2:$B$45&lt;$B$12)*(Projects!$B$2:$B$45&gt;=$B$13)*$B$7+(Projects!$B$2:$B$45&lt;$B$13)*$B$8))</f>
        <v>0</v>
      </c>
      <c r="BZ39" s="367" t="n">
        <f aca="false">SUMPRODUCT((Projects!$G$2:$G$45="Yes")*(74&gt;=Projects!$C$2:$C$45-$B$15)*((74&lt;=Projects!$W$2:$W$45-$B$106)*1+(74&gt;Projects!$W$2:$W$45-$B$106)*(74&lt;=Projects!$W$2:$W$45+$B$17)*$B$107)*((Projects!$B$2:$B$45&gt;=$B$12)*$B$6+(Projects!$B$2:$B$45&lt;$B$12)*(Projects!$B$2:$B$45&gt;=$B$13)*$B$7+(Projects!$B$2:$B$45&lt;$B$13)*$B$8))</f>
        <v>0</v>
      </c>
      <c r="CA39" s="367" t="n">
        <f aca="false">SUMPRODUCT((Projects!$G$2:$G$45="Yes")*(75&gt;=Projects!$C$2:$C$45-$B$15)*((75&lt;=Projects!$W$2:$W$45-$B$106)*1+(75&gt;Projects!$W$2:$W$45-$B$106)*(75&lt;=Projects!$W$2:$W$45+$B$17)*$B$107)*((Projects!$B$2:$B$45&gt;=$B$12)*$B$6+(Projects!$B$2:$B$45&lt;$B$12)*(Projects!$B$2:$B$45&gt;=$B$13)*$B$7+(Projects!$B$2:$B$45&lt;$B$13)*$B$8))</f>
        <v>0</v>
      </c>
      <c r="CB39" s="367" t="n">
        <f aca="false">SUMPRODUCT((Projects!$G$2:$G$45="Yes")*(76&gt;=Projects!$C$2:$C$45-$B$15)*((76&lt;=Projects!$W$2:$W$45-$B$106)*1+(76&gt;Projects!$W$2:$W$45-$B$106)*(76&lt;=Projects!$W$2:$W$45+$B$17)*$B$107)*((Projects!$B$2:$B$45&gt;=$B$12)*$B$6+(Projects!$B$2:$B$45&lt;$B$12)*(Projects!$B$2:$B$45&gt;=$B$13)*$B$7+(Projects!$B$2:$B$45&lt;$B$13)*$B$8))</f>
        <v>0</v>
      </c>
      <c r="CC39" s="367" t="n">
        <f aca="false">SUMPRODUCT((Projects!$G$2:$G$45="Yes")*(77&gt;=Projects!$C$2:$C$45-$B$15)*((77&lt;=Projects!$W$2:$W$45-$B$106)*1+(77&gt;Projects!$W$2:$W$45-$B$106)*(77&lt;=Projects!$W$2:$W$45+$B$17)*$B$107)*((Projects!$B$2:$B$45&gt;=$B$12)*$B$6+(Projects!$B$2:$B$45&lt;$B$12)*(Projects!$B$2:$B$45&gt;=$B$13)*$B$7+(Projects!$B$2:$B$45&lt;$B$13)*$B$8))</f>
        <v>0</v>
      </c>
      <c r="CD39" s="367" t="n">
        <f aca="false">SUMPRODUCT((Projects!$G$2:$G$45="Yes")*(78&gt;=Projects!$C$2:$C$45-$B$15)*((78&lt;=Projects!$W$2:$W$45-$B$106)*1+(78&gt;Projects!$W$2:$W$45-$B$106)*(78&lt;=Projects!$W$2:$W$45+$B$17)*$B$107)*((Projects!$B$2:$B$45&gt;=$B$12)*$B$6+(Projects!$B$2:$B$45&lt;$B$12)*(Projects!$B$2:$B$45&gt;=$B$13)*$B$7+(Projects!$B$2:$B$45&lt;$B$13)*$B$8))</f>
        <v>0</v>
      </c>
      <c r="CE39" s="367" t="n">
        <f aca="false">SUMPRODUCT((Projects!$G$2:$G$45="Yes")*(79&gt;=Projects!$C$2:$C$45-$B$15)*((79&lt;=Projects!$W$2:$W$45-$B$106)*1+(79&gt;Projects!$W$2:$W$45-$B$106)*(79&lt;=Projects!$W$2:$W$45+$B$17)*$B$107)*((Projects!$B$2:$B$45&gt;=$B$12)*$B$6+(Projects!$B$2:$B$45&lt;$B$12)*(Projects!$B$2:$B$45&gt;=$B$13)*$B$7+(Projects!$B$2:$B$45&lt;$B$13)*$B$8))</f>
        <v>0</v>
      </c>
      <c r="CF39" s="367" t="n">
        <f aca="false">SUMPRODUCT((Projects!$G$2:$G$45="Yes")*(80&gt;=Projects!$C$2:$C$45-$B$15)*((80&lt;=Projects!$W$2:$W$45-$B$106)*1+(80&gt;Projects!$W$2:$W$45-$B$106)*(80&lt;=Projects!$W$2:$W$45+$B$17)*$B$107)*((Projects!$B$2:$B$45&gt;=$B$12)*$B$6+(Projects!$B$2:$B$45&lt;$B$12)*(Projects!$B$2:$B$45&gt;=$B$13)*$B$7+(Projects!$B$2:$B$45&lt;$B$13)*$B$8))</f>
        <v>0</v>
      </c>
      <c r="CG39" s="367" t="n">
        <f aca="false">SUMPRODUCT((Projects!$G$2:$G$45="Yes")*(81&gt;=Projects!$C$2:$C$45-$B$15)*((81&lt;=Projects!$W$2:$W$45-$B$106)*1+(81&gt;Projects!$W$2:$W$45-$B$106)*(81&lt;=Projects!$W$2:$W$45+$B$17)*$B$107)*((Projects!$B$2:$B$45&gt;=$B$12)*$B$6+(Projects!$B$2:$B$45&lt;$B$12)*(Projects!$B$2:$B$45&gt;=$B$13)*$B$7+(Projects!$B$2:$B$45&lt;$B$13)*$B$8))</f>
        <v>0</v>
      </c>
      <c r="CH39" s="367" t="n">
        <f aca="false">SUMPRODUCT((Projects!$G$2:$G$45="Yes")*(82&gt;=Projects!$C$2:$C$45-$B$15)*((82&lt;=Projects!$W$2:$W$45-$B$106)*1+(82&gt;Projects!$W$2:$W$45-$B$106)*(82&lt;=Projects!$W$2:$W$45+$B$17)*$B$107)*((Projects!$B$2:$B$45&gt;=$B$12)*$B$6+(Projects!$B$2:$B$45&lt;$B$12)*(Projects!$B$2:$B$45&gt;=$B$13)*$B$7+(Projects!$B$2:$B$45&lt;$B$13)*$B$8))</f>
        <v>0</v>
      </c>
      <c r="CI39" s="367" t="n">
        <f aca="false">SUMPRODUCT((Projects!$G$2:$G$45="Yes")*(83&gt;=Projects!$C$2:$C$45-$B$15)*((83&lt;=Projects!$W$2:$W$45-$B$106)*1+(83&gt;Projects!$W$2:$W$45-$B$106)*(83&lt;=Projects!$W$2:$W$45+$B$17)*$B$107)*((Projects!$B$2:$B$45&gt;=$B$12)*$B$6+(Projects!$B$2:$B$45&lt;$B$12)*(Projects!$B$2:$B$45&gt;=$B$13)*$B$7+(Projects!$B$2:$B$45&lt;$B$13)*$B$8))</f>
        <v>0</v>
      </c>
      <c r="CJ39" s="367" t="n">
        <f aca="false">SUMPRODUCT((Projects!$G$2:$G$45="Yes")*(84&gt;=Projects!$C$2:$C$45-$B$15)*((84&lt;=Projects!$W$2:$W$45-$B$106)*1+(84&gt;Projects!$W$2:$W$45-$B$106)*(84&lt;=Projects!$W$2:$W$45+$B$17)*$B$107)*((Projects!$B$2:$B$45&gt;=$B$12)*$B$6+(Projects!$B$2:$B$45&lt;$B$12)*(Projects!$B$2:$B$45&gt;=$B$13)*$B$7+(Projects!$B$2:$B$45&lt;$B$13)*$B$8))</f>
        <v>0</v>
      </c>
      <c r="CK39" s="367" t="n">
        <f aca="false">SUMPRODUCT((Projects!$G$2:$G$45="Yes")*(85&gt;=Projects!$C$2:$C$45-$B$15)*((85&lt;=Projects!$W$2:$W$45-$B$106)*1+(85&gt;Projects!$W$2:$W$45-$B$106)*(85&lt;=Projects!$W$2:$W$45+$B$17)*$B$107)*((Projects!$B$2:$B$45&gt;=$B$12)*$B$6+(Projects!$B$2:$B$45&lt;$B$12)*(Projects!$B$2:$B$45&gt;=$B$13)*$B$7+(Projects!$B$2:$B$45&lt;$B$13)*$B$8))</f>
        <v>0</v>
      </c>
      <c r="CL39" s="367" t="n">
        <f aca="false">SUMPRODUCT((Projects!$G$2:$G$45="Yes")*(86&gt;=Projects!$C$2:$C$45-$B$15)*((86&lt;=Projects!$W$2:$W$45-$B$106)*1+(86&gt;Projects!$W$2:$W$45-$B$106)*(86&lt;=Projects!$W$2:$W$45+$B$17)*$B$107)*((Projects!$B$2:$B$45&gt;=$B$12)*$B$6+(Projects!$B$2:$B$45&lt;$B$12)*(Projects!$B$2:$B$45&gt;=$B$13)*$B$7+(Projects!$B$2:$B$45&lt;$B$13)*$B$8))</f>
        <v>0</v>
      </c>
      <c r="CM39" s="367" t="n">
        <f aca="false">SUMPRODUCT((Projects!$G$2:$G$45="Yes")*(87&gt;=Projects!$C$2:$C$45-$B$15)*((87&lt;=Projects!$W$2:$W$45-$B$106)*1+(87&gt;Projects!$W$2:$W$45-$B$106)*(87&lt;=Projects!$W$2:$W$45+$B$17)*$B$107)*((Projects!$B$2:$B$45&gt;=$B$12)*$B$6+(Projects!$B$2:$B$45&lt;$B$12)*(Projects!$B$2:$B$45&gt;=$B$13)*$B$7+(Projects!$B$2:$B$45&lt;$B$13)*$B$8))</f>
        <v>0</v>
      </c>
      <c r="CN39" s="367" t="n">
        <f aca="false">SUMPRODUCT((Projects!$G$2:$G$45="Yes")*(88&gt;=Projects!$C$2:$C$45-$B$15)*((88&lt;=Projects!$W$2:$W$45-$B$106)*1+(88&gt;Projects!$W$2:$W$45-$B$106)*(88&lt;=Projects!$W$2:$W$45+$B$17)*$B$107)*((Projects!$B$2:$B$45&gt;=$B$12)*$B$6+(Projects!$B$2:$B$45&lt;$B$12)*(Projects!$B$2:$B$45&gt;=$B$13)*$B$7+(Projects!$B$2:$B$45&lt;$B$13)*$B$8))</f>
        <v>0</v>
      </c>
      <c r="CO39" s="367" t="n">
        <f aca="false">SUMPRODUCT((Projects!$G$2:$G$45="Yes")*(89&gt;=Projects!$C$2:$C$45-$B$15)*((89&lt;=Projects!$W$2:$W$45-$B$106)*1+(89&gt;Projects!$W$2:$W$45-$B$106)*(89&lt;=Projects!$W$2:$W$45+$B$17)*$B$107)*((Projects!$B$2:$B$45&gt;=$B$12)*$B$6+(Projects!$B$2:$B$45&lt;$B$12)*(Projects!$B$2:$B$45&gt;=$B$13)*$B$7+(Projects!$B$2:$B$45&lt;$B$13)*$B$8))</f>
        <v>0</v>
      </c>
      <c r="CP39" s="367" t="n">
        <f aca="false">SUMPRODUCT((Projects!$G$2:$G$45="Yes")*(90&gt;=Projects!$C$2:$C$45-$B$15)*((90&lt;=Projects!$W$2:$W$45-$B$106)*1+(90&gt;Projects!$W$2:$W$45-$B$106)*(90&lt;=Projects!$W$2:$W$45+$B$17)*$B$107)*((Projects!$B$2:$B$45&gt;=$B$12)*$B$6+(Projects!$B$2:$B$45&lt;$B$12)*(Projects!$B$2:$B$45&gt;=$B$13)*$B$7+(Projects!$B$2:$B$45&lt;$B$13)*$B$8))</f>
        <v>0</v>
      </c>
      <c r="CQ39" s="367" t="n">
        <f aca="false">SUMPRODUCT((Projects!$G$2:$G$45="Yes")*(91&gt;=Projects!$C$2:$C$45-$B$15)*((91&lt;=Projects!$W$2:$W$45-$B$106)*1+(91&gt;Projects!$W$2:$W$45-$B$106)*(91&lt;=Projects!$W$2:$W$45+$B$17)*$B$107)*((Projects!$B$2:$B$45&gt;=$B$12)*$B$6+(Projects!$B$2:$B$45&lt;$B$12)*(Projects!$B$2:$B$45&gt;=$B$13)*$B$7+(Projects!$B$2:$B$45&lt;$B$13)*$B$8))</f>
        <v>0</v>
      </c>
      <c r="CR39" s="367" t="n">
        <f aca="false">SUMPRODUCT((Projects!$G$2:$G$45="Yes")*(92&gt;=Projects!$C$2:$C$45-$B$15)*((92&lt;=Projects!$W$2:$W$45-$B$106)*1+(92&gt;Projects!$W$2:$W$45-$B$106)*(92&lt;=Projects!$W$2:$W$45+$B$17)*$B$107)*((Projects!$B$2:$B$45&gt;=$B$12)*$B$6+(Projects!$B$2:$B$45&lt;$B$12)*(Projects!$B$2:$B$45&gt;=$B$13)*$B$7+(Projects!$B$2:$B$45&lt;$B$13)*$B$8))</f>
        <v>0</v>
      </c>
      <c r="CS39" s="367" t="n">
        <f aca="false">SUMPRODUCT((Projects!$G$2:$G$45="Yes")*(93&gt;=Projects!$C$2:$C$45-$B$15)*((93&lt;=Projects!$W$2:$W$45-$B$106)*1+(93&gt;Projects!$W$2:$W$45-$B$106)*(93&lt;=Projects!$W$2:$W$45+$B$17)*$B$107)*((Projects!$B$2:$B$45&gt;=$B$12)*$B$6+(Projects!$B$2:$B$45&lt;$B$12)*(Projects!$B$2:$B$45&gt;=$B$13)*$B$7+(Projects!$B$2:$B$45&lt;$B$13)*$B$8))</f>
        <v>0</v>
      </c>
      <c r="CT39" s="367" t="n">
        <f aca="false">SUMPRODUCT((Projects!$G$2:$G$45="Yes")*(94&gt;=Projects!$C$2:$C$45-$B$15)*((94&lt;=Projects!$W$2:$W$45-$B$106)*1+(94&gt;Projects!$W$2:$W$45-$B$106)*(94&lt;=Projects!$W$2:$W$45+$B$17)*$B$107)*((Projects!$B$2:$B$45&gt;=$B$12)*$B$6+(Projects!$B$2:$B$45&lt;$B$12)*(Projects!$B$2:$B$45&gt;=$B$13)*$B$7+(Projects!$B$2:$B$45&lt;$B$13)*$B$8))</f>
        <v>0</v>
      </c>
      <c r="CU39" s="367" t="n">
        <f aca="false">SUMPRODUCT((Projects!$G$2:$G$45="Yes")*(95&gt;=Projects!$C$2:$C$45-$B$15)*((95&lt;=Projects!$W$2:$W$45-$B$106)*1+(95&gt;Projects!$W$2:$W$45-$B$106)*(95&lt;=Projects!$W$2:$W$45+$B$17)*$B$107)*((Projects!$B$2:$B$45&gt;=$B$12)*$B$6+(Projects!$B$2:$B$45&lt;$B$12)*(Projects!$B$2:$B$45&gt;=$B$13)*$B$7+(Projects!$B$2:$B$45&lt;$B$13)*$B$8))</f>
        <v>0</v>
      </c>
      <c r="CV39" s="367" t="n">
        <f aca="false">SUMPRODUCT((Projects!$G$2:$G$45="Yes")*(96&gt;=Projects!$C$2:$C$45-$B$15)*((96&lt;=Projects!$W$2:$W$45-$B$106)*1+(96&gt;Projects!$W$2:$W$45-$B$106)*(96&lt;=Projects!$W$2:$W$45+$B$17)*$B$107)*((Projects!$B$2:$B$45&gt;=$B$12)*$B$6+(Projects!$B$2:$B$45&lt;$B$12)*(Projects!$B$2:$B$45&gt;=$B$13)*$B$7+(Projects!$B$2:$B$45&lt;$B$13)*$B$8))</f>
        <v>0</v>
      </c>
      <c r="CW39" s="367" t="n">
        <f aca="false">SUMPRODUCT((Projects!$G$2:$G$45="Yes")*(97&gt;=Projects!$C$2:$C$45-$B$15)*((97&lt;=Projects!$W$2:$W$45-$B$106)*1+(97&gt;Projects!$W$2:$W$45-$B$106)*(97&lt;=Projects!$W$2:$W$45+$B$17)*$B$107)*((Projects!$B$2:$B$45&gt;=$B$12)*$B$6+(Projects!$B$2:$B$45&lt;$B$12)*(Projects!$B$2:$B$45&gt;=$B$13)*$B$7+(Projects!$B$2:$B$45&lt;$B$13)*$B$8))</f>
        <v>0</v>
      </c>
      <c r="CX39" s="367" t="n">
        <f aca="false">SUMPRODUCT((Projects!$G$2:$G$45="Yes")*(98&gt;=Projects!$C$2:$C$45-$B$15)*((98&lt;=Projects!$W$2:$W$45-$B$106)*1+(98&gt;Projects!$W$2:$W$45-$B$106)*(98&lt;=Projects!$W$2:$W$45+$B$17)*$B$107)*((Projects!$B$2:$B$45&gt;=$B$12)*$B$6+(Projects!$B$2:$B$45&lt;$B$12)*(Projects!$B$2:$B$45&gt;=$B$13)*$B$7+(Projects!$B$2:$B$45&lt;$B$13)*$B$8))</f>
        <v>0</v>
      </c>
      <c r="CY39" s="367" t="n">
        <f aca="false">SUMPRODUCT((Projects!$G$2:$G$45="Yes")*(99&gt;=Projects!$C$2:$C$45-$B$15)*((99&lt;=Projects!$W$2:$W$45-$B$106)*1+(99&gt;Projects!$W$2:$W$45-$B$106)*(99&lt;=Projects!$W$2:$W$45+$B$17)*$B$107)*((Projects!$B$2:$B$45&gt;=$B$12)*$B$6+(Projects!$B$2:$B$45&lt;$B$12)*(Projects!$B$2:$B$45&gt;=$B$13)*$B$7+(Projects!$B$2:$B$45&lt;$B$13)*$B$8))</f>
        <v>0</v>
      </c>
      <c r="CZ39" s="367" t="n">
        <f aca="false">SUMPRODUCT((Projects!$G$2:$G$45="Yes")*(100&gt;=Projects!$C$2:$C$45-$B$15)*((100&lt;=Projects!$W$2:$W$45-$B$106)*1+(100&gt;Projects!$W$2:$W$45-$B$106)*(100&lt;=Projects!$W$2:$W$45+$B$17)*$B$107)*((Projects!$B$2:$B$45&gt;=$B$12)*$B$6+(Projects!$B$2:$B$45&lt;$B$12)*(Projects!$B$2:$B$45&gt;=$B$13)*$B$7+(Projects!$B$2:$B$45&lt;$B$13)*$B$8))</f>
        <v>0</v>
      </c>
      <c r="DA39" s="367" t="n">
        <f aca="false">SUMPRODUCT((Projects!$G$2:$G$45="Yes")*(101&gt;=Projects!$C$2:$C$45-$B$15)*((101&lt;=Projects!$W$2:$W$45-$B$106)*1+(101&gt;Projects!$W$2:$W$45-$B$106)*(101&lt;=Projects!$W$2:$W$45+$B$17)*$B$107)*((Projects!$B$2:$B$45&gt;=$B$12)*$B$6+(Projects!$B$2:$B$45&lt;$B$12)*(Projects!$B$2:$B$45&gt;=$B$13)*$B$7+(Projects!$B$2:$B$45&lt;$B$13)*$B$8))</f>
        <v>0</v>
      </c>
      <c r="DB39" s="367" t="n">
        <f aca="false">SUMPRODUCT((Projects!$G$2:$G$45="Yes")*(102&gt;=Projects!$C$2:$C$45-$B$15)*((102&lt;=Projects!$W$2:$W$45-$B$106)*1+(102&gt;Projects!$W$2:$W$45-$B$106)*(102&lt;=Projects!$W$2:$W$45+$B$17)*$B$107)*((Projects!$B$2:$B$45&gt;=$B$12)*$B$6+(Projects!$B$2:$B$45&lt;$B$12)*(Projects!$B$2:$B$45&gt;=$B$13)*$B$7+(Projects!$B$2:$B$45&lt;$B$13)*$B$8))</f>
        <v>0</v>
      </c>
      <c r="DC39" s="367" t="n">
        <f aca="false">SUMPRODUCT((Projects!$G$2:$G$45="Yes")*(103&gt;=Projects!$C$2:$C$45-$B$15)*((103&lt;=Projects!$W$2:$W$45-$B$106)*1+(103&gt;Projects!$W$2:$W$45-$B$106)*(103&lt;=Projects!$W$2:$W$45+$B$17)*$B$107)*((Projects!$B$2:$B$45&gt;=$B$12)*$B$6+(Projects!$B$2:$B$45&lt;$B$12)*(Projects!$B$2:$B$45&gt;=$B$13)*$B$7+(Projects!$B$2:$B$45&lt;$B$13)*$B$8))</f>
        <v>0</v>
      </c>
      <c r="DD39" s="367" t="n">
        <f aca="false">SUMPRODUCT((Projects!$G$2:$G$45="Yes")*(104&gt;=Projects!$C$2:$C$45-$B$15)*((104&lt;=Projects!$W$2:$W$45-$B$106)*1+(104&gt;Projects!$W$2:$W$45-$B$106)*(104&lt;=Projects!$W$2:$W$45+$B$17)*$B$107)*((Projects!$B$2:$B$45&gt;=$B$12)*$B$6+(Projects!$B$2:$B$45&lt;$B$12)*(Projects!$B$2:$B$45&gt;=$B$13)*$B$7+(Projects!$B$2:$B$45&lt;$B$13)*$B$8))</f>
        <v>0</v>
      </c>
      <c r="DE39" s="367"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09" t="s">
        <v>1210</v>
      </c>
      <c r="E40" s="367" t="n">
        <f aca="false">SUMPRODUCT((Projects!$G$2:$G$45="Yes")*(1&gt;=Projects!$C$2:$C$45-$B$16)*((1&lt;=Projects!$W$2:$W$45-$B$106)*1+(1&gt;Projects!$W$2:$W$45-$B$106)*(1&lt;=Projects!$W$2:$W$45+$B$17)*$B$107)*((Projects!$B$2:$B$45&gt;=$B$12)*$B$9+(Projects!$B$2:$B$45&lt;$B$12)*(Projects!$B$2:$B$45&gt;=$B$13)*$B$10+(Projects!$B$2:$B$45&lt;$B$13)*$B$11))</f>
        <v>1.6</v>
      </c>
      <c r="F40" s="367" t="n">
        <f aca="false">SUMPRODUCT((Projects!$G$2:$G$45="Yes")*(2&gt;=Projects!$C$2:$C$45-$B$16)*((2&lt;=Projects!$W$2:$W$45-$B$106)*1+(2&gt;Projects!$W$2:$W$45-$B$106)*(2&lt;=Projects!$W$2:$W$45+$B$17)*$B$107)*((Projects!$B$2:$B$45&gt;=$B$12)*$B$9+(Projects!$B$2:$B$45&lt;$B$12)*(Projects!$B$2:$B$45&gt;=$B$13)*$B$10+(Projects!$B$2:$B$45&lt;$B$13)*$B$11))</f>
        <v>1.6</v>
      </c>
      <c r="G40" s="367" t="n">
        <f aca="false">SUMPRODUCT((Projects!$G$2:$G$45="Yes")*(3&gt;=Projects!$C$2:$C$45-$B$16)*((3&lt;=Projects!$W$2:$W$45-$B$106)*1+(3&gt;Projects!$W$2:$W$45-$B$106)*(3&lt;=Projects!$W$2:$W$45+$B$17)*$B$107)*((Projects!$B$2:$B$45&gt;=$B$12)*$B$9+(Projects!$B$2:$B$45&lt;$B$12)*(Projects!$B$2:$B$45&gt;=$B$13)*$B$10+(Projects!$B$2:$B$45&lt;$B$13)*$B$11))</f>
        <v>1.6</v>
      </c>
      <c r="H40" s="367" t="n">
        <f aca="false">SUMPRODUCT((Projects!$G$2:$G$45="Yes")*(4&gt;=Projects!$C$2:$C$45-$B$16)*((4&lt;=Projects!$W$2:$W$45-$B$106)*1+(4&gt;Projects!$W$2:$W$45-$B$106)*(4&lt;=Projects!$W$2:$W$45+$B$17)*$B$107)*((Projects!$B$2:$B$45&gt;=$B$12)*$B$9+(Projects!$B$2:$B$45&lt;$B$12)*(Projects!$B$2:$B$45&gt;=$B$13)*$B$10+(Projects!$B$2:$B$45&lt;$B$13)*$B$11))</f>
        <v>1.35</v>
      </c>
      <c r="I40" s="367" t="n">
        <f aca="false">SUMPRODUCT((Projects!$G$2:$G$45="Yes")*(5&gt;=Projects!$C$2:$C$45-$B$16)*((5&lt;=Projects!$W$2:$W$45-$B$106)*1+(5&gt;Projects!$W$2:$W$45-$B$106)*(5&lt;=Projects!$W$2:$W$45+$B$17)*$B$107)*((Projects!$B$2:$B$45&gt;=$B$12)*$B$9+(Projects!$B$2:$B$45&lt;$B$12)*(Projects!$B$2:$B$45&gt;=$B$13)*$B$10+(Projects!$B$2:$B$45&lt;$B$13)*$B$11))</f>
        <v>2.05</v>
      </c>
      <c r="J40" s="367" t="n">
        <f aca="false">SUMPRODUCT((Projects!$G$2:$G$45="Yes")*(6&gt;=Projects!$C$2:$C$45-$B$16)*((6&lt;=Projects!$W$2:$W$45-$B$106)*1+(6&gt;Projects!$W$2:$W$45-$B$106)*(6&lt;=Projects!$W$2:$W$45+$B$17)*$B$107)*((Projects!$B$2:$B$45&gt;=$B$12)*$B$9+(Projects!$B$2:$B$45&lt;$B$12)*(Projects!$B$2:$B$45&gt;=$B$13)*$B$10+(Projects!$B$2:$B$45&lt;$B$13)*$B$11))</f>
        <v>2.25</v>
      </c>
      <c r="K40" s="367" t="n">
        <f aca="false">SUMPRODUCT((Projects!$G$2:$G$45="Yes")*(7&gt;=Projects!$C$2:$C$45-$B$16)*((7&lt;=Projects!$W$2:$W$45-$B$106)*1+(7&gt;Projects!$W$2:$W$45-$B$106)*(7&lt;=Projects!$W$2:$W$45+$B$17)*$B$107)*((Projects!$B$2:$B$45&gt;=$B$12)*$B$9+(Projects!$B$2:$B$45&lt;$B$12)*(Projects!$B$2:$B$45&gt;=$B$13)*$B$10+(Projects!$B$2:$B$45&lt;$B$13)*$B$11))</f>
        <v>2.25</v>
      </c>
      <c r="L40" s="367" t="n">
        <f aca="false">SUMPRODUCT((Projects!$G$2:$G$45="Yes")*(8&gt;=Projects!$C$2:$C$45-$B$16)*((8&lt;=Projects!$W$2:$W$45-$B$106)*1+(8&gt;Projects!$W$2:$W$45-$B$106)*(8&lt;=Projects!$W$2:$W$45+$B$17)*$B$107)*((Projects!$B$2:$B$45&gt;=$B$12)*$B$9+(Projects!$B$2:$B$45&lt;$B$12)*(Projects!$B$2:$B$45&gt;=$B$13)*$B$10+(Projects!$B$2:$B$45&lt;$B$13)*$B$11))</f>
        <v>2.25</v>
      </c>
      <c r="M40" s="367" t="n">
        <f aca="false">SUMPRODUCT((Projects!$G$2:$G$45="Yes")*(9&gt;=Projects!$C$2:$C$45-$B$16)*((9&lt;=Projects!$W$2:$W$45-$B$106)*1+(9&gt;Projects!$W$2:$W$45-$B$106)*(9&lt;=Projects!$W$2:$W$45+$B$17)*$B$107)*((Projects!$B$2:$B$45&gt;=$B$12)*$B$9+(Projects!$B$2:$B$45&lt;$B$12)*(Projects!$B$2:$B$45&gt;=$B$13)*$B$10+(Projects!$B$2:$B$45&lt;$B$13)*$B$11))</f>
        <v>2.45</v>
      </c>
      <c r="N40" s="367" t="n">
        <f aca="false">SUMPRODUCT((Projects!$G$2:$G$45="Yes")*(10&gt;=Projects!$C$2:$C$45-$B$16)*((10&lt;=Projects!$W$2:$W$45-$B$106)*1+(10&gt;Projects!$W$2:$W$45-$B$106)*(10&lt;=Projects!$W$2:$W$45+$B$17)*$B$107)*((Projects!$B$2:$B$45&gt;=$B$12)*$B$9+(Projects!$B$2:$B$45&lt;$B$12)*(Projects!$B$2:$B$45&gt;=$B$13)*$B$10+(Projects!$B$2:$B$45&lt;$B$13)*$B$11))</f>
        <v>2.7</v>
      </c>
      <c r="O40" s="367" t="n">
        <f aca="false">SUMPRODUCT((Projects!$G$2:$G$45="Yes")*(11&gt;=Projects!$C$2:$C$45-$B$16)*((11&lt;=Projects!$W$2:$W$45-$B$106)*1+(11&gt;Projects!$W$2:$W$45-$B$106)*(11&lt;=Projects!$W$2:$W$45+$B$17)*$B$107)*((Projects!$B$2:$B$45&gt;=$B$12)*$B$9+(Projects!$B$2:$B$45&lt;$B$12)*(Projects!$B$2:$B$45&gt;=$B$13)*$B$10+(Projects!$B$2:$B$45&lt;$B$13)*$B$11))</f>
        <v>2.95</v>
      </c>
      <c r="P40" s="367" t="n">
        <f aca="false">SUMPRODUCT((Projects!$G$2:$G$45="Yes")*(12&gt;=Projects!$C$2:$C$45-$B$16)*((12&lt;=Projects!$W$2:$W$45-$B$106)*1+(12&gt;Projects!$W$2:$W$45-$B$106)*(12&lt;=Projects!$W$2:$W$45+$B$17)*$B$107)*((Projects!$B$2:$B$45&gt;=$B$12)*$B$9+(Projects!$B$2:$B$45&lt;$B$12)*(Projects!$B$2:$B$45&gt;=$B$13)*$B$10+(Projects!$B$2:$B$45&lt;$B$13)*$B$11))</f>
        <v>2.95</v>
      </c>
      <c r="Q40" s="367" t="n">
        <f aca="false">SUMPRODUCT((Projects!$G$2:$G$45="Yes")*(13&gt;=Projects!$C$2:$C$45-$B$16)*((13&lt;=Projects!$W$2:$W$45-$B$106)*1+(13&gt;Projects!$W$2:$W$45-$B$106)*(13&lt;=Projects!$W$2:$W$45+$B$17)*$B$107)*((Projects!$B$2:$B$45&gt;=$B$12)*$B$9+(Projects!$B$2:$B$45&lt;$B$12)*(Projects!$B$2:$B$45&gt;=$B$13)*$B$10+(Projects!$B$2:$B$45&lt;$B$13)*$B$11))</f>
        <v>3.05</v>
      </c>
      <c r="R40" s="367" t="n">
        <f aca="false">SUMPRODUCT((Projects!$G$2:$G$45="Yes")*(14&gt;=Projects!$C$2:$C$45-$B$16)*((14&lt;=Projects!$W$2:$W$45-$B$106)*1+(14&gt;Projects!$W$2:$W$45-$B$106)*(14&lt;=Projects!$W$2:$W$45+$B$17)*$B$107)*((Projects!$B$2:$B$45&gt;=$B$12)*$B$9+(Projects!$B$2:$B$45&lt;$B$12)*(Projects!$B$2:$B$45&gt;=$B$13)*$B$10+(Projects!$B$2:$B$45&lt;$B$13)*$B$11))</f>
        <v>3.15</v>
      </c>
      <c r="S40" s="367" t="n">
        <f aca="false">SUMPRODUCT((Projects!$G$2:$G$45="Yes")*(15&gt;=Projects!$C$2:$C$45-$B$16)*((15&lt;=Projects!$W$2:$W$45-$B$106)*1+(15&gt;Projects!$W$2:$W$45-$B$106)*(15&lt;=Projects!$W$2:$W$45+$B$17)*$B$107)*((Projects!$B$2:$B$45&gt;=$B$12)*$B$9+(Projects!$B$2:$B$45&lt;$B$12)*(Projects!$B$2:$B$45&gt;=$B$13)*$B$10+(Projects!$B$2:$B$45&lt;$B$13)*$B$11))</f>
        <v>3.75</v>
      </c>
      <c r="T40" s="367" t="n">
        <f aca="false">SUMPRODUCT((Projects!$G$2:$G$45="Yes")*(16&gt;=Projects!$C$2:$C$45-$B$16)*((16&lt;=Projects!$W$2:$W$45-$B$106)*1+(16&gt;Projects!$W$2:$W$45-$B$106)*(16&lt;=Projects!$W$2:$W$45+$B$17)*$B$107)*((Projects!$B$2:$B$45&gt;=$B$12)*$B$9+(Projects!$B$2:$B$45&lt;$B$12)*(Projects!$B$2:$B$45&gt;=$B$13)*$B$10+(Projects!$B$2:$B$45&lt;$B$13)*$B$11))</f>
        <v>3.75</v>
      </c>
      <c r="U40" s="367" t="n">
        <f aca="false">SUMPRODUCT((Projects!$G$2:$G$45="Yes")*(17&gt;=Projects!$C$2:$C$45-$B$16)*((17&lt;=Projects!$W$2:$W$45-$B$106)*1+(17&gt;Projects!$W$2:$W$45-$B$106)*(17&lt;=Projects!$W$2:$W$45+$B$17)*$B$107)*((Projects!$B$2:$B$45&gt;=$B$12)*$B$9+(Projects!$B$2:$B$45&lt;$B$12)*(Projects!$B$2:$B$45&gt;=$B$13)*$B$10+(Projects!$B$2:$B$45&lt;$B$13)*$B$11))</f>
        <v>3.5</v>
      </c>
      <c r="V40" s="367" t="n">
        <f aca="false">SUMPRODUCT((Projects!$G$2:$G$45="Yes")*(18&gt;=Projects!$C$2:$C$45-$B$16)*((18&lt;=Projects!$W$2:$W$45-$B$106)*1+(18&gt;Projects!$W$2:$W$45-$B$106)*(18&lt;=Projects!$W$2:$W$45+$B$17)*$B$107)*((Projects!$B$2:$B$45&gt;=$B$12)*$B$9+(Projects!$B$2:$B$45&lt;$B$12)*(Projects!$B$2:$B$45&gt;=$B$13)*$B$10+(Projects!$B$2:$B$45&lt;$B$13)*$B$11))</f>
        <v>3.7</v>
      </c>
      <c r="W40" s="367" t="n">
        <f aca="false">SUMPRODUCT((Projects!$G$2:$G$45="Yes")*(19&gt;=Projects!$C$2:$C$45-$B$16)*((19&lt;=Projects!$W$2:$W$45-$B$106)*1+(19&gt;Projects!$W$2:$W$45-$B$106)*(19&lt;=Projects!$W$2:$W$45+$B$17)*$B$107)*((Projects!$B$2:$B$45&gt;=$B$12)*$B$9+(Projects!$B$2:$B$45&lt;$B$12)*(Projects!$B$2:$B$45&gt;=$B$13)*$B$10+(Projects!$B$2:$B$45&lt;$B$13)*$B$11))</f>
        <v>4.2</v>
      </c>
      <c r="X40" s="367" t="n">
        <f aca="false">SUMPRODUCT((Projects!$G$2:$G$45="Yes")*(20&gt;=Projects!$C$2:$C$45-$B$16)*((20&lt;=Projects!$W$2:$W$45-$B$106)*1+(20&gt;Projects!$W$2:$W$45-$B$106)*(20&lt;=Projects!$W$2:$W$45+$B$17)*$B$107)*((Projects!$B$2:$B$45&gt;=$B$12)*$B$9+(Projects!$B$2:$B$45&lt;$B$12)*(Projects!$B$2:$B$45&gt;=$B$13)*$B$10+(Projects!$B$2:$B$45&lt;$B$13)*$B$11))</f>
        <v>4</v>
      </c>
      <c r="Y40" s="367" t="n">
        <f aca="false">SUMPRODUCT((Projects!$G$2:$G$45="Yes")*(21&gt;=Projects!$C$2:$C$45-$B$16)*((21&lt;=Projects!$W$2:$W$45-$B$106)*1+(21&gt;Projects!$W$2:$W$45-$B$106)*(21&lt;=Projects!$W$2:$W$45+$B$17)*$B$107)*((Projects!$B$2:$B$45&gt;=$B$12)*$B$9+(Projects!$B$2:$B$45&lt;$B$12)*(Projects!$B$2:$B$45&gt;=$B$13)*$B$10+(Projects!$B$2:$B$45&lt;$B$13)*$B$11))</f>
        <v>3.9</v>
      </c>
      <c r="Z40" s="367" t="n">
        <f aca="false">SUMPRODUCT((Projects!$G$2:$G$45="Yes")*(22&gt;=Projects!$C$2:$C$45-$B$16)*((22&lt;=Projects!$W$2:$W$45-$B$106)*1+(22&gt;Projects!$W$2:$W$45-$B$106)*(22&lt;=Projects!$W$2:$W$45+$B$17)*$B$107)*((Projects!$B$2:$B$45&gt;=$B$12)*$B$9+(Projects!$B$2:$B$45&lt;$B$12)*(Projects!$B$2:$B$45&gt;=$B$13)*$B$10+(Projects!$B$2:$B$45&lt;$B$13)*$B$11))</f>
        <v>3.9</v>
      </c>
      <c r="AA40" s="367" t="n">
        <f aca="false">SUMPRODUCT((Projects!$G$2:$G$45="Yes")*(23&gt;=Projects!$C$2:$C$45-$B$16)*((23&lt;=Projects!$W$2:$W$45-$B$106)*1+(23&gt;Projects!$W$2:$W$45-$B$106)*(23&lt;=Projects!$W$2:$W$45+$B$17)*$B$107)*((Projects!$B$2:$B$45&gt;=$B$12)*$B$9+(Projects!$B$2:$B$45&lt;$B$12)*(Projects!$B$2:$B$45&gt;=$B$13)*$B$10+(Projects!$B$2:$B$45&lt;$B$13)*$B$11))</f>
        <v>3.9</v>
      </c>
      <c r="AB40" s="367" t="n">
        <f aca="false">SUMPRODUCT((Projects!$G$2:$G$45="Yes")*(24&gt;=Projects!$C$2:$C$45-$B$16)*((24&lt;=Projects!$W$2:$W$45-$B$106)*1+(24&gt;Projects!$W$2:$W$45-$B$106)*(24&lt;=Projects!$W$2:$W$45+$B$17)*$B$107)*((Projects!$B$2:$B$45&gt;=$B$12)*$B$9+(Projects!$B$2:$B$45&lt;$B$12)*(Projects!$B$2:$B$45&gt;=$B$13)*$B$10+(Projects!$B$2:$B$45&lt;$B$13)*$B$11))</f>
        <v>3.55</v>
      </c>
      <c r="AC40" s="367" t="n">
        <f aca="false">SUMPRODUCT((Projects!$G$2:$G$45="Yes")*(25&gt;=Projects!$C$2:$C$45-$B$16)*((25&lt;=Projects!$W$2:$W$45-$B$106)*1+(25&gt;Projects!$W$2:$W$45-$B$106)*(25&lt;=Projects!$W$2:$W$45+$B$17)*$B$107)*((Projects!$B$2:$B$45&gt;=$B$12)*$B$9+(Projects!$B$2:$B$45&lt;$B$12)*(Projects!$B$2:$B$45&gt;=$B$13)*$B$10+(Projects!$B$2:$B$45&lt;$B$13)*$B$11))</f>
        <v>3.2</v>
      </c>
      <c r="AD40" s="367" t="n">
        <f aca="false">SUMPRODUCT((Projects!$G$2:$G$45="Yes")*(26&gt;=Projects!$C$2:$C$45-$B$16)*((26&lt;=Projects!$W$2:$W$45-$B$106)*1+(26&gt;Projects!$W$2:$W$45-$B$106)*(26&lt;=Projects!$W$2:$W$45+$B$17)*$B$107)*((Projects!$B$2:$B$45&gt;=$B$12)*$B$9+(Projects!$B$2:$B$45&lt;$B$12)*(Projects!$B$2:$B$45&gt;=$B$13)*$B$10+(Projects!$B$2:$B$45&lt;$B$13)*$B$11))</f>
        <v>3</v>
      </c>
      <c r="AE40" s="367" t="n">
        <f aca="false">SUMPRODUCT((Projects!$G$2:$G$45="Yes")*(27&gt;=Projects!$C$2:$C$45-$B$16)*((27&lt;=Projects!$W$2:$W$45-$B$106)*1+(27&gt;Projects!$W$2:$W$45-$B$106)*(27&lt;=Projects!$W$2:$W$45+$B$17)*$B$107)*((Projects!$B$2:$B$45&gt;=$B$12)*$B$9+(Projects!$B$2:$B$45&lt;$B$12)*(Projects!$B$2:$B$45&gt;=$B$13)*$B$10+(Projects!$B$2:$B$45&lt;$B$13)*$B$11))</f>
        <v>3.5</v>
      </c>
      <c r="AF40" s="367" t="n">
        <f aca="false">SUMPRODUCT((Projects!$G$2:$G$45="Yes")*(28&gt;=Projects!$C$2:$C$45-$B$16)*((28&lt;=Projects!$W$2:$W$45-$B$106)*1+(28&gt;Projects!$W$2:$W$45-$B$106)*(28&lt;=Projects!$W$2:$W$45+$B$17)*$B$107)*((Projects!$B$2:$B$45&gt;=$B$12)*$B$9+(Projects!$B$2:$B$45&lt;$B$12)*(Projects!$B$2:$B$45&gt;=$B$13)*$B$10+(Projects!$B$2:$B$45&lt;$B$13)*$B$11))</f>
        <v>3.4</v>
      </c>
      <c r="AG40" s="367" t="n">
        <f aca="false">SUMPRODUCT((Projects!$G$2:$G$45="Yes")*(29&gt;=Projects!$C$2:$C$45-$B$16)*((29&lt;=Projects!$W$2:$W$45-$B$106)*1+(29&gt;Projects!$W$2:$W$45-$B$106)*(29&lt;=Projects!$W$2:$W$45+$B$17)*$B$107)*((Projects!$B$2:$B$45&gt;=$B$12)*$B$9+(Projects!$B$2:$B$45&lt;$B$12)*(Projects!$B$2:$B$45&gt;=$B$13)*$B$10+(Projects!$B$2:$B$45&lt;$B$13)*$B$11))</f>
        <v>3.4</v>
      </c>
      <c r="AH40" s="367" t="n">
        <f aca="false">SUMPRODUCT((Projects!$G$2:$G$45="Yes")*(30&gt;=Projects!$C$2:$C$45-$B$16)*((30&lt;=Projects!$W$2:$W$45-$B$106)*1+(30&gt;Projects!$W$2:$W$45-$B$106)*(30&lt;=Projects!$W$2:$W$45+$B$17)*$B$107)*((Projects!$B$2:$B$45&gt;=$B$12)*$B$9+(Projects!$B$2:$B$45&lt;$B$12)*(Projects!$B$2:$B$45&gt;=$B$13)*$B$10+(Projects!$B$2:$B$45&lt;$B$13)*$B$11))</f>
        <v>3.05</v>
      </c>
      <c r="AI40" s="367" t="n">
        <f aca="false">SUMPRODUCT((Projects!$G$2:$G$45="Yes")*(31&gt;=Projects!$C$2:$C$45-$B$16)*((31&lt;=Projects!$W$2:$W$45-$B$106)*1+(31&gt;Projects!$W$2:$W$45-$B$106)*(31&lt;=Projects!$W$2:$W$45+$B$17)*$B$107)*((Projects!$B$2:$B$45&gt;=$B$12)*$B$9+(Projects!$B$2:$B$45&lt;$B$12)*(Projects!$B$2:$B$45&gt;=$B$13)*$B$10+(Projects!$B$2:$B$45&lt;$B$13)*$B$11))</f>
        <v>2.8</v>
      </c>
      <c r="AJ40" s="367" t="n">
        <f aca="false">SUMPRODUCT((Projects!$G$2:$G$45="Yes")*(32&gt;=Projects!$C$2:$C$45-$B$16)*((32&lt;=Projects!$W$2:$W$45-$B$106)*1+(32&gt;Projects!$W$2:$W$45-$B$106)*(32&lt;=Projects!$W$2:$W$45+$B$17)*$B$107)*((Projects!$B$2:$B$45&gt;=$B$12)*$B$9+(Projects!$B$2:$B$45&lt;$B$12)*(Projects!$B$2:$B$45&gt;=$B$13)*$B$10+(Projects!$B$2:$B$45&lt;$B$13)*$B$11))</f>
        <v>2.35</v>
      </c>
      <c r="AK40" s="367" t="n">
        <f aca="false">SUMPRODUCT((Projects!$G$2:$G$45="Yes")*(33&gt;=Projects!$C$2:$C$45-$B$16)*((33&lt;=Projects!$W$2:$W$45-$B$106)*1+(33&gt;Projects!$W$2:$W$45-$B$106)*(33&lt;=Projects!$W$2:$W$45+$B$17)*$B$107)*((Projects!$B$2:$B$45&gt;=$B$12)*$B$9+(Projects!$B$2:$B$45&lt;$B$12)*(Projects!$B$2:$B$45&gt;=$B$13)*$B$10+(Projects!$B$2:$B$45&lt;$B$13)*$B$11))</f>
        <v>2.25</v>
      </c>
      <c r="AL40" s="367" t="n">
        <f aca="false">SUMPRODUCT((Projects!$G$2:$G$45="Yes")*(34&gt;=Projects!$C$2:$C$45-$B$16)*((34&lt;=Projects!$W$2:$W$45-$B$106)*1+(34&gt;Projects!$W$2:$W$45-$B$106)*(34&lt;=Projects!$W$2:$W$45+$B$17)*$B$107)*((Projects!$B$2:$B$45&gt;=$B$12)*$B$9+(Projects!$B$2:$B$45&lt;$B$12)*(Projects!$B$2:$B$45&gt;=$B$13)*$B$10+(Projects!$B$2:$B$45&lt;$B$13)*$B$11))</f>
        <v>2.05</v>
      </c>
      <c r="AM40" s="367" t="n">
        <f aca="false">SUMPRODUCT((Projects!$G$2:$G$45="Yes")*(35&gt;=Projects!$C$2:$C$45-$B$16)*((35&lt;=Projects!$W$2:$W$45-$B$106)*1+(35&gt;Projects!$W$2:$W$45-$B$106)*(35&lt;=Projects!$W$2:$W$45+$B$17)*$B$107)*((Projects!$B$2:$B$45&gt;=$B$12)*$B$9+(Projects!$B$2:$B$45&lt;$B$12)*(Projects!$B$2:$B$45&gt;=$B$13)*$B$10+(Projects!$B$2:$B$45&lt;$B$13)*$B$11))</f>
        <v>2.05</v>
      </c>
      <c r="AN40" s="367" t="n">
        <f aca="false">SUMPRODUCT((Projects!$G$2:$G$45="Yes")*(36&gt;=Projects!$C$2:$C$45-$B$16)*((36&lt;=Projects!$W$2:$W$45-$B$106)*1+(36&gt;Projects!$W$2:$W$45-$B$106)*(36&lt;=Projects!$W$2:$W$45+$B$17)*$B$107)*((Projects!$B$2:$B$45&gt;=$B$12)*$B$9+(Projects!$B$2:$B$45&lt;$B$12)*(Projects!$B$2:$B$45&gt;=$B$13)*$B$10+(Projects!$B$2:$B$45&lt;$B$13)*$B$11))</f>
        <v>2.05</v>
      </c>
      <c r="AO40" s="367" t="n">
        <f aca="false">SUMPRODUCT((Projects!$G$2:$G$45="Yes")*(37&gt;=Projects!$C$2:$C$45-$B$16)*((37&lt;=Projects!$W$2:$W$45-$B$106)*1+(37&gt;Projects!$W$2:$W$45-$B$106)*(37&lt;=Projects!$W$2:$W$45+$B$17)*$B$107)*((Projects!$B$2:$B$45&gt;=$B$12)*$B$9+(Projects!$B$2:$B$45&lt;$B$12)*(Projects!$B$2:$B$45&gt;=$B$13)*$B$10+(Projects!$B$2:$B$45&lt;$B$13)*$B$11))</f>
        <v>2.05</v>
      </c>
      <c r="AP40" s="367" t="n">
        <f aca="false">SUMPRODUCT((Projects!$G$2:$G$45="Yes")*(38&gt;=Projects!$C$2:$C$45-$B$16)*((38&lt;=Projects!$W$2:$W$45-$B$106)*1+(38&gt;Projects!$W$2:$W$45-$B$106)*(38&lt;=Projects!$W$2:$W$45+$B$17)*$B$107)*((Projects!$B$2:$B$45&gt;=$B$12)*$B$9+(Projects!$B$2:$B$45&lt;$B$12)*(Projects!$B$2:$B$45&gt;=$B$13)*$B$10+(Projects!$B$2:$B$45&lt;$B$13)*$B$11))</f>
        <v>1.45</v>
      </c>
      <c r="AQ40" s="367" t="n">
        <f aca="false">SUMPRODUCT((Projects!$G$2:$G$45="Yes")*(39&gt;=Projects!$C$2:$C$45-$B$16)*((39&lt;=Projects!$W$2:$W$45-$B$106)*1+(39&gt;Projects!$W$2:$W$45-$B$106)*(39&lt;=Projects!$W$2:$W$45+$B$17)*$B$107)*((Projects!$B$2:$B$45&gt;=$B$12)*$B$9+(Projects!$B$2:$B$45&lt;$B$12)*(Projects!$B$2:$B$45&gt;=$B$13)*$B$10+(Projects!$B$2:$B$45&lt;$B$13)*$B$11))</f>
        <v>1.35</v>
      </c>
      <c r="AR40" s="367" t="n">
        <f aca="false">SUMPRODUCT((Projects!$G$2:$G$45="Yes")*(40&gt;=Projects!$C$2:$C$45-$B$16)*((40&lt;=Projects!$W$2:$W$45-$B$106)*1+(40&gt;Projects!$W$2:$W$45-$B$106)*(40&lt;=Projects!$W$2:$W$45+$B$17)*$B$107)*((Projects!$B$2:$B$45&gt;=$B$12)*$B$9+(Projects!$B$2:$B$45&lt;$B$12)*(Projects!$B$2:$B$45&gt;=$B$13)*$B$10+(Projects!$B$2:$B$45&lt;$B$13)*$B$11))</f>
        <v>1</v>
      </c>
      <c r="AS40" s="367" t="n">
        <f aca="false">SUMPRODUCT((Projects!$G$2:$G$45="Yes")*(41&gt;=Projects!$C$2:$C$45-$B$16)*((41&lt;=Projects!$W$2:$W$45-$B$106)*1+(41&gt;Projects!$W$2:$W$45-$B$106)*(41&lt;=Projects!$W$2:$W$45+$B$17)*$B$107)*((Projects!$B$2:$B$45&gt;=$B$12)*$B$9+(Projects!$B$2:$B$45&lt;$B$12)*(Projects!$B$2:$B$45&gt;=$B$13)*$B$10+(Projects!$B$2:$B$45&lt;$B$13)*$B$11))</f>
        <v>1</v>
      </c>
      <c r="AT40" s="367" t="n">
        <f aca="false">SUMPRODUCT((Projects!$G$2:$G$45="Yes")*(42&gt;=Projects!$C$2:$C$45-$B$16)*((42&lt;=Projects!$W$2:$W$45-$B$106)*1+(42&gt;Projects!$W$2:$W$45-$B$106)*(42&lt;=Projects!$W$2:$W$45+$B$17)*$B$107)*((Projects!$B$2:$B$45&gt;=$B$12)*$B$9+(Projects!$B$2:$B$45&lt;$B$12)*(Projects!$B$2:$B$45&gt;=$B$13)*$B$10+(Projects!$B$2:$B$45&lt;$B$13)*$B$11))</f>
        <v>1</v>
      </c>
      <c r="AU40" s="367" t="n">
        <f aca="false">SUMPRODUCT((Projects!$G$2:$G$45="Yes")*(43&gt;=Projects!$C$2:$C$45-$B$16)*((43&lt;=Projects!$W$2:$W$45-$B$106)*1+(43&gt;Projects!$W$2:$W$45-$B$106)*(43&lt;=Projects!$W$2:$W$45+$B$17)*$B$107)*((Projects!$B$2:$B$45&gt;=$B$12)*$B$9+(Projects!$B$2:$B$45&lt;$B$12)*(Projects!$B$2:$B$45&gt;=$B$13)*$B$10+(Projects!$B$2:$B$45&lt;$B$13)*$B$11))</f>
        <v>1</v>
      </c>
      <c r="AV40" s="367" t="n">
        <f aca="false">SUMPRODUCT((Projects!$G$2:$G$45="Yes")*(44&gt;=Projects!$C$2:$C$45-$B$16)*((44&lt;=Projects!$W$2:$W$45-$B$106)*1+(44&gt;Projects!$W$2:$W$45-$B$106)*(44&lt;=Projects!$W$2:$W$45+$B$17)*$B$107)*((Projects!$B$2:$B$45&gt;=$B$12)*$B$9+(Projects!$B$2:$B$45&lt;$B$12)*(Projects!$B$2:$B$45&gt;=$B$13)*$B$10+(Projects!$B$2:$B$45&lt;$B$13)*$B$11))</f>
        <v>0.75</v>
      </c>
      <c r="AW40" s="367" t="n">
        <f aca="false">SUMPRODUCT((Projects!$G$2:$G$45="Yes")*(45&gt;=Projects!$C$2:$C$45-$B$16)*((45&lt;=Projects!$W$2:$W$45-$B$106)*1+(45&gt;Projects!$W$2:$W$45-$B$106)*(45&lt;=Projects!$W$2:$W$45+$B$17)*$B$107)*((Projects!$B$2:$B$45&gt;=$B$12)*$B$9+(Projects!$B$2:$B$45&lt;$B$12)*(Projects!$B$2:$B$45&gt;=$B$13)*$B$10+(Projects!$B$2:$B$45&lt;$B$13)*$B$11))</f>
        <v>0.75</v>
      </c>
      <c r="AX40" s="367" t="n">
        <f aca="false">SUMPRODUCT((Projects!$G$2:$G$45="Yes")*(46&gt;=Projects!$C$2:$C$45-$B$16)*((46&lt;=Projects!$W$2:$W$45-$B$106)*1+(46&gt;Projects!$W$2:$W$45-$B$106)*(46&lt;=Projects!$W$2:$W$45+$B$17)*$B$107)*((Projects!$B$2:$B$45&gt;=$B$12)*$B$9+(Projects!$B$2:$B$45&lt;$B$12)*(Projects!$B$2:$B$45&gt;=$B$13)*$B$10+(Projects!$B$2:$B$45&lt;$B$13)*$B$11))</f>
        <v>0.5</v>
      </c>
      <c r="AY40" s="367" t="n">
        <f aca="false">SUMPRODUCT((Projects!$G$2:$G$45="Yes")*(47&gt;=Projects!$C$2:$C$45-$B$16)*((47&lt;=Projects!$W$2:$W$45-$B$106)*1+(47&gt;Projects!$W$2:$W$45-$B$106)*(47&lt;=Projects!$W$2:$W$45+$B$17)*$B$107)*((Projects!$B$2:$B$45&gt;=$B$12)*$B$9+(Projects!$B$2:$B$45&lt;$B$12)*(Projects!$B$2:$B$45&gt;=$B$13)*$B$10+(Projects!$B$2:$B$45&lt;$B$13)*$B$11))</f>
        <v>0.5</v>
      </c>
      <c r="AZ40" s="367" t="n">
        <f aca="false">SUMPRODUCT((Projects!$G$2:$G$45="Yes")*(48&gt;=Projects!$C$2:$C$45-$B$16)*((48&lt;=Projects!$W$2:$W$45-$B$106)*1+(48&gt;Projects!$W$2:$W$45-$B$106)*(48&lt;=Projects!$W$2:$W$45+$B$17)*$B$107)*((Projects!$B$2:$B$45&gt;=$B$12)*$B$9+(Projects!$B$2:$B$45&lt;$B$12)*(Projects!$B$2:$B$45&gt;=$B$13)*$B$10+(Projects!$B$2:$B$45&lt;$B$13)*$B$11))</f>
        <v>0.5</v>
      </c>
      <c r="BA40" s="367" t="n">
        <f aca="false">SUMPRODUCT((Projects!$G$2:$G$45="Yes")*(49&gt;=Projects!$C$2:$C$45-$B$16)*((49&lt;=Projects!$W$2:$W$45-$B$106)*1+(49&gt;Projects!$W$2:$W$45-$B$106)*(49&lt;=Projects!$W$2:$W$45+$B$17)*$B$107)*((Projects!$B$2:$B$45&gt;=$B$12)*$B$9+(Projects!$B$2:$B$45&lt;$B$12)*(Projects!$B$2:$B$45&gt;=$B$13)*$B$10+(Projects!$B$2:$B$45&lt;$B$13)*$B$11))</f>
        <v>0.5</v>
      </c>
      <c r="BB40" s="367" t="n">
        <f aca="false">SUMPRODUCT((Projects!$G$2:$G$45="Yes")*(50&gt;=Projects!$C$2:$C$45-$B$16)*((50&lt;=Projects!$W$2:$W$45-$B$106)*1+(50&gt;Projects!$W$2:$W$45-$B$106)*(50&lt;=Projects!$W$2:$W$45+$B$17)*$B$107)*((Projects!$B$2:$B$45&gt;=$B$12)*$B$9+(Projects!$B$2:$B$45&lt;$B$12)*(Projects!$B$2:$B$45&gt;=$B$13)*$B$10+(Projects!$B$2:$B$45&lt;$B$13)*$B$11))</f>
        <v>0.5</v>
      </c>
      <c r="BC40" s="367" t="n">
        <f aca="false">SUMPRODUCT((Projects!$G$2:$G$45="Yes")*(51&gt;=Projects!$C$2:$C$45-$B$16)*((51&lt;=Projects!$W$2:$W$45-$B$106)*1+(51&gt;Projects!$W$2:$W$45-$B$106)*(51&lt;=Projects!$W$2:$W$45+$B$17)*$B$107)*((Projects!$B$2:$B$45&gt;=$B$12)*$B$9+(Projects!$B$2:$B$45&lt;$B$12)*(Projects!$B$2:$B$45&gt;=$B$13)*$B$10+(Projects!$B$2:$B$45&lt;$B$13)*$B$11))</f>
        <v>0.5</v>
      </c>
      <c r="BD40" s="367" t="n">
        <f aca="false">SUMPRODUCT((Projects!$G$2:$G$45="Yes")*(52&gt;=Projects!$C$2:$C$45-$B$16)*((52&lt;=Projects!$W$2:$W$45-$B$106)*1+(52&gt;Projects!$W$2:$W$45-$B$106)*(52&lt;=Projects!$W$2:$W$45+$B$17)*$B$107)*((Projects!$B$2:$B$45&gt;=$B$12)*$B$9+(Projects!$B$2:$B$45&lt;$B$12)*(Projects!$B$2:$B$45&gt;=$B$13)*$B$10+(Projects!$B$2:$B$45&lt;$B$13)*$B$11))</f>
        <v>0.25</v>
      </c>
      <c r="BE40" s="367" t="n">
        <f aca="false">SUMPRODUCT((Projects!$G$2:$G$45="Yes")*(53&gt;=Projects!$C$2:$C$45-$B$16)*((53&lt;=Projects!$W$2:$W$45-$B$106)*1+(53&gt;Projects!$W$2:$W$45-$B$106)*(53&lt;=Projects!$W$2:$W$45+$B$17)*$B$107)*((Projects!$B$2:$B$45&gt;=$B$12)*$B$9+(Projects!$B$2:$B$45&lt;$B$12)*(Projects!$B$2:$B$45&gt;=$B$13)*$B$10+(Projects!$B$2:$B$45&lt;$B$13)*$B$11))</f>
        <v>0.25</v>
      </c>
      <c r="BF40" s="367" t="n">
        <f aca="false">SUMPRODUCT((Projects!$G$2:$G$45="Yes")*(54&gt;=Projects!$C$2:$C$45-$B$16)*((54&lt;=Projects!$W$2:$W$45-$B$106)*1+(54&gt;Projects!$W$2:$W$45-$B$106)*(54&lt;=Projects!$W$2:$W$45+$B$17)*$B$107)*((Projects!$B$2:$B$45&gt;=$B$12)*$B$9+(Projects!$B$2:$B$45&lt;$B$12)*(Projects!$B$2:$B$45&gt;=$B$13)*$B$10+(Projects!$B$2:$B$45&lt;$B$13)*$B$11))</f>
        <v>0.25</v>
      </c>
      <c r="BG40" s="367" t="n">
        <f aca="false">SUMPRODUCT((Projects!$G$2:$G$45="Yes")*(55&gt;=Projects!$C$2:$C$45-$B$16)*((55&lt;=Projects!$W$2:$W$45-$B$106)*1+(55&gt;Projects!$W$2:$W$45-$B$106)*(55&lt;=Projects!$W$2:$W$45+$B$17)*$B$107)*((Projects!$B$2:$B$45&gt;=$B$12)*$B$9+(Projects!$B$2:$B$45&lt;$B$12)*(Projects!$B$2:$B$45&gt;=$B$13)*$B$10+(Projects!$B$2:$B$45&lt;$B$13)*$B$11))</f>
        <v>0.25</v>
      </c>
      <c r="BH40" s="367" t="n">
        <f aca="false">SUMPRODUCT((Projects!$G$2:$G$45="Yes")*(56&gt;=Projects!$C$2:$C$45-$B$16)*((56&lt;=Projects!$W$2:$W$45-$B$106)*1+(56&gt;Projects!$W$2:$W$45-$B$106)*(56&lt;=Projects!$W$2:$W$45+$B$17)*$B$107)*((Projects!$B$2:$B$45&gt;=$B$12)*$B$9+(Projects!$B$2:$B$45&lt;$B$12)*(Projects!$B$2:$B$45&gt;=$B$13)*$B$10+(Projects!$B$2:$B$45&lt;$B$13)*$B$11))</f>
        <v>0.25</v>
      </c>
      <c r="BI40" s="367" t="n">
        <f aca="false">SUMPRODUCT((Projects!$G$2:$G$45="Yes")*(57&gt;=Projects!$C$2:$C$45-$B$16)*((57&lt;=Projects!$W$2:$W$45-$B$106)*1+(57&gt;Projects!$W$2:$W$45-$B$106)*(57&lt;=Projects!$W$2:$W$45+$B$17)*$B$107)*((Projects!$B$2:$B$45&gt;=$B$12)*$B$9+(Projects!$B$2:$B$45&lt;$B$12)*(Projects!$B$2:$B$45&gt;=$B$13)*$B$10+(Projects!$B$2:$B$45&lt;$B$13)*$B$11))</f>
        <v>0.25</v>
      </c>
      <c r="BJ40" s="367" t="n">
        <f aca="false">SUMPRODUCT((Projects!$G$2:$G$45="Yes")*(58&gt;=Projects!$C$2:$C$45-$B$16)*((58&lt;=Projects!$W$2:$W$45-$B$106)*1+(58&gt;Projects!$W$2:$W$45-$B$106)*(58&lt;=Projects!$W$2:$W$45+$B$17)*$B$107)*((Projects!$B$2:$B$45&gt;=$B$12)*$B$9+(Projects!$B$2:$B$45&lt;$B$12)*(Projects!$B$2:$B$45&gt;=$B$13)*$B$10+(Projects!$B$2:$B$45&lt;$B$13)*$B$11))</f>
        <v>0</v>
      </c>
      <c r="BK40" s="367" t="n">
        <f aca="false">SUMPRODUCT((Projects!$G$2:$G$45="Yes")*(59&gt;=Projects!$C$2:$C$45-$B$16)*((59&lt;=Projects!$W$2:$W$45-$B$106)*1+(59&gt;Projects!$W$2:$W$45-$B$106)*(59&lt;=Projects!$W$2:$W$45+$B$17)*$B$107)*((Projects!$B$2:$B$45&gt;=$B$12)*$B$9+(Projects!$B$2:$B$45&lt;$B$12)*(Projects!$B$2:$B$45&gt;=$B$13)*$B$10+(Projects!$B$2:$B$45&lt;$B$13)*$B$11))</f>
        <v>0</v>
      </c>
      <c r="BL40" s="367" t="n">
        <f aca="false">SUMPRODUCT((Projects!$G$2:$G$45="Yes")*(60&gt;=Projects!$C$2:$C$45-$B$16)*((60&lt;=Projects!$W$2:$W$45-$B$106)*1+(60&gt;Projects!$W$2:$W$45-$B$106)*(60&lt;=Projects!$W$2:$W$45+$B$17)*$B$107)*((Projects!$B$2:$B$45&gt;=$B$12)*$B$9+(Projects!$B$2:$B$45&lt;$B$12)*(Projects!$B$2:$B$45&gt;=$B$13)*$B$10+(Projects!$B$2:$B$45&lt;$B$13)*$B$11))</f>
        <v>0</v>
      </c>
      <c r="BM40" s="367" t="n">
        <f aca="false">SUMPRODUCT((Projects!$G$2:$G$45="Yes")*(61&gt;=Projects!$C$2:$C$45-$B$16)*((61&lt;=Projects!$W$2:$W$45-$B$106)*1+(61&gt;Projects!$W$2:$W$45-$B$106)*(61&lt;=Projects!$W$2:$W$45+$B$17)*$B$107)*((Projects!$B$2:$B$45&gt;=$B$12)*$B$9+(Projects!$B$2:$B$45&lt;$B$12)*(Projects!$B$2:$B$45&gt;=$B$13)*$B$10+(Projects!$B$2:$B$45&lt;$B$13)*$B$11))</f>
        <v>0</v>
      </c>
      <c r="BN40" s="367" t="n">
        <f aca="false">SUMPRODUCT((Projects!$G$2:$G$45="Yes")*(62&gt;=Projects!$C$2:$C$45-$B$16)*((62&lt;=Projects!$W$2:$W$45-$B$106)*1+(62&gt;Projects!$W$2:$W$45-$B$106)*(62&lt;=Projects!$W$2:$W$45+$B$17)*$B$107)*((Projects!$B$2:$B$45&gt;=$B$12)*$B$9+(Projects!$B$2:$B$45&lt;$B$12)*(Projects!$B$2:$B$45&gt;=$B$13)*$B$10+(Projects!$B$2:$B$45&lt;$B$13)*$B$11))</f>
        <v>0</v>
      </c>
      <c r="BO40" s="367" t="n">
        <f aca="false">SUMPRODUCT((Projects!$G$2:$G$45="Yes")*(63&gt;=Projects!$C$2:$C$45-$B$16)*((63&lt;=Projects!$W$2:$W$45-$B$106)*1+(63&gt;Projects!$W$2:$W$45-$B$106)*(63&lt;=Projects!$W$2:$W$45+$B$17)*$B$107)*((Projects!$B$2:$B$45&gt;=$B$12)*$B$9+(Projects!$B$2:$B$45&lt;$B$12)*(Projects!$B$2:$B$45&gt;=$B$13)*$B$10+(Projects!$B$2:$B$45&lt;$B$13)*$B$11))</f>
        <v>0</v>
      </c>
      <c r="BP40" s="367" t="n">
        <f aca="false">SUMPRODUCT((Projects!$G$2:$G$45="Yes")*(64&gt;=Projects!$C$2:$C$45-$B$16)*((64&lt;=Projects!$W$2:$W$45-$B$106)*1+(64&gt;Projects!$W$2:$W$45-$B$106)*(64&lt;=Projects!$W$2:$W$45+$B$17)*$B$107)*((Projects!$B$2:$B$45&gt;=$B$12)*$B$9+(Projects!$B$2:$B$45&lt;$B$12)*(Projects!$B$2:$B$45&gt;=$B$13)*$B$10+(Projects!$B$2:$B$45&lt;$B$13)*$B$11))</f>
        <v>0</v>
      </c>
      <c r="BQ40" s="367" t="n">
        <f aca="false">SUMPRODUCT((Projects!$G$2:$G$45="Yes")*(65&gt;=Projects!$C$2:$C$45-$B$16)*((65&lt;=Projects!$W$2:$W$45-$B$106)*1+(65&gt;Projects!$W$2:$W$45-$B$106)*(65&lt;=Projects!$W$2:$W$45+$B$17)*$B$107)*((Projects!$B$2:$B$45&gt;=$B$12)*$B$9+(Projects!$B$2:$B$45&lt;$B$12)*(Projects!$B$2:$B$45&gt;=$B$13)*$B$10+(Projects!$B$2:$B$45&lt;$B$13)*$B$11))</f>
        <v>0</v>
      </c>
      <c r="BR40" s="367" t="n">
        <f aca="false">SUMPRODUCT((Projects!$G$2:$G$45="Yes")*(66&gt;=Projects!$C$2:$C$45-$B$16)*((66&lt;=Projects!$W$2:$W$45-$B$106)*1+(66&gt;Projects!$W$2:$W$45-$B$106)*(66&lt;=Projects!$W$2:$W$45+$B$17)*$B$107)*((Projects!$B$2:$B$45&gt;=$B$12)*$B$9+(Projects!$B$2:$B$45&lt;$B$12)*(Projects!$B$2:$B$45&gt;=$B$13)*$B$10+(Projects!$B$2:$B$45&lt;$B$13)*$B$11))</f>
        <v>0</v>
      </c>
      <c r="BS40" s="367" t="n">
        <f aca="false">SUMPRODUCT((Projects!$G$2:$G$45="Yes")*(67&gt;=Projects!$C$2:$C$45-$B$16)*((67&lt;=Projects!$W$2:$W$45-$B$106)*1+(67&gt;Projects!$W$2:$W$45-$B$106)*(67&lt;=Projects!$W$2:$W$45+$B$17)*$B$107)*((Projects!$B$2:$B$45&gt;=$B$12)*$B$9+(Projects!$B$2:$B$45&lt;$B$12)*(Projects!$B$2:$B$45&gt;=$B$13)*$B$10+(Projects!$B$2:$B$45&lt;$B$13)*$B$11))</f>
        <v>0</v>
      </c>
      <c r="BT40" s="367" t="n">
        <f aca="false">SUMPRODUCT((Projects!$G$2:$G$45="Yes")*(68&gt;=Projects!$C$2:$C$45-$B$16)*((68&lt;=Projects!$W$2:$W$45-$B$106)*1+(68&gt;Projects!$W$2:$W$45-$B$106)*(68&lt;=Projects!$W$2:$W$45+$B$17)*$B$107)*((Projects!$B$2:$B$45&gt;=$B$12)*$B$9+(Projects!$B$2:$B$45&lt;$B$12)*(Projects!$B$2:$B$45&gt;=$B$13)*$B$10+(Projects!$B$2:$B$45&lt;$B$13)*$B$11))</f>
        <v>0</v>
      </c>
      <c r="BU40" s="367" t="n">
        <f aca="false">SUMPRODUCT((Projects!$G$2:$G$45="Yes")*(69&gt;=Projects!$C$2:$C$45-$B$16)*((69&lt;=Projects!$W$2:$W$45-$B$106)*1+(69&gt;Projects!$W$2:$W$45-$B$106)*(69&lt;=Projects!$W$2:$W$45+$B$17)*$B$107)*((Projects!$B$2:$B$45&gt;=$B$12)*$B$9+(Projects!$B$2:$B$45&lt;$B$12)*(Projects!$B$2:$B$45&gt;=$B$13)*$B$10+(Projects!$B$2:$B$45&lt;$B$13)*$B$11))</f>
        <v>0</v>
      </c>
      <c r="BV40" s="367" t="n">
        <f aca="false">SUMPRODUCT((Projects!$G$2:$G$45="Yes")*(70&gt;=Projects!$C$2:$C$45-$B$16)*((70&lt;=Projects!$W$2:$W$45-$B$106)*1+(70&gt;Projects!$W$2:$W$45-$B$106)*(70&lt;=Projects!$W$2:$W$45+$B$17)*$B$107)*((Projects!$B$2:$B$45&gt;=$B$12)*$B$9+(Projects!$B$2:$B$45&lt;$B$12)*(Projects!$B$2:$B$45&gt;=$B$13)*$B$10+(Projects!$B$2:$B$45&lt;$B$13)*$B$11))</f>
        <v>0</v>
      </c>
      <c r="BW40" s="367" t="n">
        <f aca="false">SUMPRODUCT((Projects!$G$2:$G$45="Yes")*(71&gt;=Projects!$C$2:$C$45-$B$16)*((71&lt;=Projects!$W$2:$W$45-$B$106)*1+(71&gt;Projects!$W$2:$W$45-$B$106)*(71&lt;=Projects!$W$2:$W$45+$B$17)*$B$107)*((Projects!$B$2:$B$45&gt;=$B$12)*$B$9+(Projects!$B$2:$B$45&lt;$B$12)*(Projects!$B$2:$B$45&gt;=$B$13)*$B$10+(Projects!$B$2:$B$45&lt;$B$13)*$B$11))</f>
        <v>0</v>
      </c>
      <c r="BX40" s="367" t="n">
        <f aca="false">SUMPRODUCT((Projects!$G$2:$G$45="Yes")*(72&gt;=Projects!$C$2:$C$45-$B$16)*((72&lt;=Projects!$W$2:$W$45-$B$106)*1+(72&gt;Projects!$W$2:$W$45-$B$106)*(72&lt;=Projects!$W$2:$W$45+$B$17)*$B$107)*((Projects!$B$2:$B$45&gt;=$B$12)*$B$9+(Projects!$B$2:$B$45&lt;$B$12)*(Projects!$B$2:$B$45&gt;=$B$13)*$B$10+(Projects!$B$2:$B$45&lt;$B$13)*$B$11))</f>
        <v>0</v>
      </c>
      <c r="BY40" s="367" t="n">
        <f aca="false">SUMPRODUCT((Projects!$G$2:$G$45="Yes")*(73&gt;=Projects!$C$2:$C$45-$B$16)*((73&lt;=Projects!$W$2:$W$45-$B$106)*1+(73&gt;Projects!$W$2:$W$45-$B$106)*(73&lt;=Projects!$W$2:$W$45+$B$17)*$B$107)*((Projects!$B$2:$B$45&gt;=$B$12)*$B$9+(Projects!$B$2:$B$45&lt;$B$12)*(Projects!$B$2:$B$45&gt;=$B$13)*$B$10+(Projects!$B$2:$B$45&lt;$B$13)*$B$11))</f>
        <v>0</v>
      </c>
      <c r="BZ40" s="367" t="n">
        <f aca="false">SUMPRODUCT((Projects!$G$2:$G$45="Yes")*(74&gt;=Projects!$C$2:$C$45-$B$16)*((74&lt;=Projects!$W$2:$W$45-$B$106)*1+(74&gt;Projects!$W$2:$W$45-$B$106)*(74&lt;=Projects!$W$2:$W$45+$B$17)*$B$107)*((Projects!$B$2:$B$45&gt;=$B$12)*$B$9+(Projects!$B$2:$B$45&lt;$B$12)*(Projects!$B$2:$B$45&gt;=$B$13)*$B$10+(Projects!$B$2:$B$45&lt;$B$13)*$B$11))</f>
        <v>0</v>
      </c>
      <c r="CA40" s="367" t="n">
        <f aca="false">SUMPRODUCT((Projects!$G$2:$G$45="Yes")*(75&gt;=Projects!$C$2:$C$45-$B$16)*((75&lt;=Projects!$W$2:$W$45-$B$106)*1+(75&gt;Projects!$W$2:$W$45-$B$106)*(75&lt;=Projects!$W$2:$W$45+$B$17)*$B$107)*((Projects!$B$2:$B$45&gt;=$B$12)*$B$9+(Projects!$B$2:$B$45&lt;$B$12)*(Projects!$B$2:$B$45&gt;=$B$13)*$B$10+(Projects!$B$2:$B$45&lt;$B$13)*$B$11))</f>
        <v>0</v>
      </c>
      <c r="CB40" s="367" t="n">
        <f aca="false">SUMPRODUCT((Projects!$G$2:$G$45="Yes")*(76&gt;=Projects!$C$2:$C$45-$B$16)*((76&lt;=Projects!$W$2:$W$45-$B$106)*1+(76&gt;Projects!$W$2:$W$45-$B$106)*(76&lt;=Projects!$W$2:$W$45+$B$17)*$B$107)*((Projects!$B$2:$B$45&gt;=$B$12)*$B$9+(Projects!$B$2:$B$45&lt;$B$12)*(Projects!$B$2:$B$45&gt;=$B$13)*$B$10+(Projects!$B$2:$B$45&lt;$B$13)*$B$11))</f>
        <v>0</v>
      </c>
      <c r="CC40" s="367" t="n">
        <f aca="false">SUMPRODUCT((Projects!$G$2:$G$45="Yes")*(77&gt;=Projects!$C$2:$C$45-$B$16)*((77&lt;=Projects!$W$2:$W$45-$B$106)*1+(77&gt;Projects!$W$2:$W$45-$B$106)*(77&lt;=Projects!$W$2:$W$45+$B$17)*$B$107)*((Projects!$B$2:$B$45&gt;=$B$12)*$B$9+(Projects!$B$2:$B$45&lt;$B$12)*(Projects!$B$2:$B$45&gt;=$B$13)*$B$10+(Projects!$B$2:$B$45&lt;$B$13)*$B$11))</f>
        <v>0</v>
      </c>
      <c r="CD40" s="367" t="n">
        <f aca="false">SUMPRODUCT((Projects!$G$2:$G$45="Yes")*(78&gt;=Projects!$C$2:$C$45-$B$16)*((78&lt;=Projects!$W$2:$W$45-$B$106)*1+(78&gt;Projects!$W$2:$W$45-$B$106)*(78&lt;=Projects!$W$2:$W$45+$B$17)*$B$107)*((Projects!$B$2:$B$45&gt;=$B$12)*$B$9+(Projects!$B$2:$B$45&lt;$B$12)*(Projects!$B$2:$B$45&gt;=$B$13)*$B$10+(Projects!$B$2:$B$45&lt;$B$13)*$B$11))</f>
        <v>0</v>
      </c>
      <c r="CE40" s="367" t="n">
        <f aca="false">SUMPRODUCT((Projects!$G$2:$G$45="Yes")*(79&gt;=Projects!$C$2:$C$45-$B$16)*((79&lt;=Projects!$W$2:$W$45-$B$106)*1+(79&gt;Projects!$W$2:$W$45-$B$106)*(79&lt;=Projects!$W$2:$W$45+$B$17)*$B$107)*((Projects!$B$2:$B$45&gt;=$B$12)*$B$9+(Projects!$B$2:$B$45&lt;$B$12)*(Projects!$B$2:$B$45&gt;=$B$13)*$B$10+(Projects!$B$2:$B$45&lt;$B$13)*$B$11))</f>
        <v>0</v>
      </c>
      <c r="CF40" s="367" t="n">
        <f aca="false">SUMPRODUCT((Projects!$G$2:$G$45="Yes")*(80&gt;=Projects!$C$2:$C$45-$B$16)*((80&lt;=Projects!$W$2:$W$45-$B$106)*1+(80&gt;Projects!$W$2:$W$45-$B$106)*(80&lt;=Projects!$W$2:$W$45+$B$17)*$B$107)*((Projects!$B$2:$B$45&gt;=$B$12)*$B$9+(Projects!$B$2:$B$45&lt;$B$12)*(Projects!$B$2:$B$45&gt;=$B$13)*$B$10+(Projects!$B$2:$B$45&lt;$B$13)*$B$11))</f>
        <v>0</v>
      </c>
      <c r="CG40" s="367" t="n">
        <f aca="false">SUMPRODUCT((Projects!$G$2:$G$45="Yes")*(81&gt;=Projects!$C$2:$C$45-$B$16)*((81&lt;=Projects!$W$2:$W$45-$B$106)*1+(81&gt;Projects!$W$2:$W$45-$B$106)*(81&lt;=Projects!$W$2:$W$45+$B$17)*$B$107)*((Projects!$B$2:$B$45&gt;=$B$12)*$B$9+(Projects!$B$2:$B$45&lt;$B$12)*(Projects!$B$2:$B$45&gt;=$B$13)*$B$10+(Projects!$B$2:$B$45&lt;$B$13)*$B$11))</f>
        <v>0</v>
      </c>
      <c r="CH40" s="367" t="n">
        <f aca="false">SUMPRODUCT((Projects!$G$2:$G$45="Yes")*(82&gt;=Projects!$C$2:$C$45-$B$16)*((82&lt;=Projects!$W$2:$W$45-$B$106)*1+(82&gt;Projects!$W$2:$W$45-$B$106)*(82&lt;=Projects!$W$2:$W$45+$B$17)*$B$107)*((Projects!$B$2:$B$45&gt;=$B$12)*$B$9+(Projects!$B$2:$B$45&lt;$B$12)*(Projects!$B$2:$B$45&gt;=$B$13)*$B$10+(Projects!$B$2:$B$45&lt;$B$13)*$B$11))</f>
        <v>0</v>
      </c>
      <c r="CI40" s="367" t="n">
        <f aca="false">SUMPRODUCT((Projects!$G$2:$G$45="Yes")*(83&gt;=Projects!$C$2:$C$45-$B$16)*((83&lt;=Projects!$W$2:$W$45-$B$106)*1+(83&gt;Projects!$W$2:$W$45-$B$106)*(83&lt;=Projects!$W$2:$W$45+$B$17)*$B$107)*((Projects!$B$2:$B$45&gt;=$B$12)*$B$9+(Projects!$B$2:$B$45&lt;$B$12)*(Projects!$B$2:$B$45&gt;=$B$13)*$B$10+(Projects!$B$2:$B$45&lt;$B$13)*$B$11))</f>
        <v>0</v>
      </c>
      <c r="CJ40" s="367" t="n">
        <f aca="false">SUMPRODUCT((Projects!$G$2:$G$45="Yes")*(84&gt;=Projects!$C$2:$C$45-$B$16)*((84&lt;=Projects!$W$2:$W$45-$B$106)*1+(84&gt;Projects!$W$2:$W$45-$B$106)*(84&lt;=Projects!$W$2:$W$45+$B$17)*$B$107)*((Projects!$B$2:$B$45&gt;=$B$12)*$B$9+(Projects!$B$2:$B$45&lt;$B$12)*(Projects!$B$2:$B$45&gt;=$B$13)*$B$10+(Projects!$B$2:$B$45&lt;$B$13)*$B$11))</f>
        <v>0</v>
      </c>
      <c r="CK40" s="367" t="n">
        <f aca="false">SUMPRODUCT((Projects!$G$2:$G$45="Yes")*(85&gt;=Projects!$C$2:$C$45-$B$16)*((85&lt;=Projects!$W$2:$W$45-$B$106)*1+(85&gt;Projects!$W$2:$W$45-$B$106)*(85&lt;=Projects!$W$2:$W$45+$B$17)*$B$107)*((Projects!$B$2:$B$45&gt;=$B$12)*$B$9+(Projects!$B$2:$B$45&lt;$B$12)*(Projects!$B$2:$B$45&gt;=$B$13)*$B$10+(Projects!$B$2:$B$45&lt;$B$13)*$B$11))</f>
        <v>0</v>
      </c>
      <c r="CL40" s="367" t="n">
        <f aca="false">SUMPRODUCT((Projects!$G$2:$G$45="Yes")*(86&gt;=Projects!$C$2:$C$45-$B$16)*((86&lt;=Projects!$W$2:$W$45-$B$106)*1+(86&gt;Projects!$W$2:$W$45-$B$106)*(86&lt;=Projects!$W$2:$W$45+$B$17)*$B$107)*((Projects!$B$2:$B$45&gt;=$B$12)*$B$9+(Projects!$B$2:$B$45&lt;$B$12)*(Projects!$B$2:$B$45&gt;=$B$13)*$B$10+(Projects!$B$2:$B$45&lt;$B$13)*$B$11))</f>
        <v>0</v>
      </c>
      <c r="CM40" s="367" t="n">
        <f aca="false">SUMPRODUCT((Projects!$G$2:$G$45="Yes")*(87&gt;=Projects!$C$2:$C$45-$B$16)*((87&lt;=Projects!$W$2:$W$45-$B$106)*1+(87&gt;Projects!$W$2:$W$45-$B$106)*(87&lt;=Projects!$W$2:$W$45+$B$17)*$B$107)*((Projects!$B$2:$B$45&gt;=$B$12)*$B$9+(Projects!$B$2:$B$45&lt;$B$12)*(Projects!$B$2:$B$45&gt;=$B$13)*$B$10+(Projects!$B$2:$B$45&lt;$B$13)*$B$11))</f>
        <v>0</v>
      </c>
      <c r="CN40" s="367" t="n">
        <f aca="false">SUMPRODUCT((Projects!$G$2:$G$45="Yes")*(88&gt;=Projects!$C$2:$C$45-$B$16)*((88&lt;=Projects!$W$2:$W$45-$B$106)*1+(88&gt;Projects!$W$2:$W$45-$B$106)*(88&lt;=Projects!$W$2:$W$45+$B$17)*$B$107)*((Projects!$B$2:$B$45&gt;=$B$12)*$B$9+(Projects!$B$2:$B$45&lt;$B$12)*(Projects!$B$2:$B$45&gt;=$B$13)*$B$10+(Projects!$B$2:$B$45&lt;$B$13)*$B$11))</f>
        <v>0</v>
      </c>
      <c r="CO40" s="367" t="n">
        <f aca="false">SUMPRODUCT((Projects!$G$2:$G$45="Yes")*(89&gt;=Projects!$C$2:$C$45-$B$16)*((89&lt;=Projects!$W$2:$W$45-$B$106)*1+(89&gt;Projects!$W$2:$W$45-$B$106)*(89&lt;=Projects!$W$2:$W$45+$B$17)*$B$107)*((Projects!$B$2:$B$45&gt;=$B$12)*$B$9+(Projects!$B$2:$B$45&lt;$B$12)*(Projects!$B$2:$B$45&gt;=$B$13)*$B$10+(Projects!$B$2:$B$45&lt;$B$13)*$B$11))</f>
        <v>0</v>
      </c>
      <c r="CP40" s="367" t="n">
        <f aca="false">SUMPRODUCT((Projects!$G$2:$G$45="Yes")*(90&gt;=Projects!$C$2:$C$45-$B$16)*((90&lt;=Projects!$W$2:$W$45-$B$106)*1+(90&gt;Projects!$W$2:$W$45-$B$106)*(90&lt;=Projects!$W$2:$W$45+$B$17)*$B$107)*((Projects!$B$2:$B$45&gt;=$B$12)*$B$9+(Projects!$B$2:$B$45&lt;$B$12)*(Projects!$B$2:$B$45&gt;=$B$13)*$B$10+(Projects!$B$2:$B$45&lt;$B$13)*$B$11))</f>
        <v>0</v>
      </c>
      <c r="CQ40" s="367" t="n">
        <f aca="false">SUMPRODUCT((Projects!$G$2:$G$45="Yes")*(91&gt;=Projects!$C$2:$C$45-$B$16)*((91&lt;=Projects!$W$2:$W$45-$B$106)*1+(91&gt;Projects!$W$2:$W$45-$B$106)*(91&lt;=Projects!$W$2:$W$45+$B$17)*$B$107)*((Projects!$B$2:$B$45&gt;=$B$12)*$B$9+(Projects!$B$2:$B$45&lt;$B$12)*(Projects!$B$2:$B$45&gt;=$B$13)*$B$10+(Projects!$B$2:$B$45&lt;$B$13)*$B$11))</f>
        <v>0</v>
      </c>
      <c r="CR40" s="367" t="n">
        <f aca="false">SUMPRODUCT((Projects!$G$2:$G$45="Yes")*(92&gt;=Projects!$C$2:$C$45-$B$16)*((92&lt;=Projects!$W$2:$W$45-$B$106)*1+(92&gt;Projects!$W$2:$W$45-$B$106)*(92&lt;=Projects!$W$2:$W$45+$B$17)*$B$107)*((Projects!$B$2:$B$45&gt;=$B$12)*$B$9+(Projects!$B$2:$B$45&lt;$B$12)*(Projects!$B$2:$B$45&gt;=$B$13)*$B$10+(Projects!$B$2:$B$45&lt;$B$13)*$B$11))</f>
        <v>0</v>
      </c>
      <c r="CS40" s="367" t="n">
        <f aca="false">SUMPRODUCT((Projects!$G$2:$G$45="Yes")*(93&gt;=Projects!$C$2:$C$45-$B$16)*((93&lt;=Projects!$W$2:$W$45-$B$106)*1+(93&gt;Projects!$W$2:$W$45-$B$106)*(93&lt;=Projects!$W$2:$W$45+$B$17)*$B$107)*((Projects!$B$2:$B$45&gt;=$B$12)*$B$9+(Projects!$B$2:$B$45&lt;$B$12)*(Projects!$B$2:$B$45&gt;=$B$13)*$B$10+(Projects!$B$2:$B$45&lt;$B$13)*$B$11))</f>
        <v>0</v>
      </c>
      <c r="CT40" s="367" t="n">
        <f aca="false">SUMPRODUCT((Projects!$G$2:$G$45="Yes")*(94&gt;=Projects!$C$2:$C$45-$B$16)*((94&lt;=Projects!$W$2:$W$45-$B$106)*1+(94&gt;Projects!$W$2:$W$45-$B$106)*(94&lt;=Projects!$W$2:$W$45+$B$17)*$B$107)*((Projects!$B$2:$B$45&gt;=$B$12)*$B$9+(Projects!$B$2:$B$45&lt;$B$12)*(Projects!$B$2:$B$45&gt;=$B$13)*$B$10+(Projects!$B$2:$B$45&lt;$B$13)*$B$11))</f>
        <v>0</v>
      </c>
      <c r="CU40" s="367" t="n">
        <f aca="false">SUMPRODUCT((Projects!$G$2:$G$45="Yes")*(95&gt;=Projects!$C$2:$C$45-$B$16)*((95&lt;=Projects!$W$2:$W$45-$B$106)*1+(95&gt;Projects!$W$2:$W$45-$B$106)*(95&lt;=Projects!$W$2:$W$45+$B$17)*$B$107)*((Projects!$B$2:$B$45&gt;=$B$12)*$B$9+(Projects!$B$2:$B$45&lt;$B$12)*(Projects!$B$2:$B$45&gt;=$B$13)*$B$10+(Projects!$B$2:$B$45&lt;$B$13)*$B$11))</f>
        <v>0</v>
      </c>
      <c r="CV40" s="367" t="n">
        <f aca="false">SUMPRODUCT((Projects!$G$2:$G$45="Yes")*(96&gt;=Projects!$C$2:$C$45-$B$16)*((96&lt;=Projects!$W$2:$W$45-$B$106)*1+(96&gt;Projects!$W$2:$W$45-$B$106)*(96&lt;=Projects!$W$2:$W$45+$B$17)*$B$107)*((Projects!$B$2:$B$45&gt;=$B$12)*$B$9+(Projects!$B$2:$B$45&lt;$B$12)*(Projects!$B$2:$B$45&gt;=$B$13)*$B$10+(Projects!$B$2:$B$45&lt;$B$13)*$B$11))</f>
        <v>0</v>
      </c>
      <c r="CW40" s="367" t="n">
        <f aca="false">SUMPRODUCT((Projects!$G$2:$G$45="Yes")*(97&gt;=Projects!$C$2:$C$45-$B$16)*((97&lt;=Projects!$W$2:$W$45-$B$106)*1+(97&gt;Projects!$W$2:$W$45-$B$106)*(97&lt;=Projects!$W$2:$W$45+$B$17)*$B$107)*((Projects!$B$2:$B$45&gt;=$B$12)*$B$9+(Projects!$B$2:$B$45&lt;$B$12)*(Projects!$B$2:$B$45&gt;=$B$13)*$B$10+(Projects!$B$2:$B$45&lt;$B$13)*$B$11))</f>
        <v>0</v>
      </c>
      <c r="CX40" s="367" t="n">
        <f aca="false">SUMPRODUCT((Projects!$G$2:$G$45="Yes")*(98&gt;=Projects!$C$2:$C$45-$B$16)*((98&lt;=Projects!$W$2:$W$45-$B$106)*1+(98&gt;Projects!$W$2:$W$45-$B$106)*(98&lt;=Projects!$W$2:$W$45+$B$17)*$B$107)*((Projects!$B$2:$B$45&gt;=$B$12)*$B$9+(Projects!$B$2:$B$45&lt;$B$12)*(Projects!$B$2:$B$45&gt;=$B$13)*$B$10+(Projects!$B$2:$B$45&lt;$B$13)*$B$11))</f>
        <v>0</v>
      </c>
      <c r="CY40" s="367" t="n">
        <f aca="false">SUMPRODUCT((Projects!$G$2:$G$45="Yes")*(99&gt;=Projects!$C$2:$C$45-$B$16)*((99&lt;=Projects!$W$2:$W$45-$B$106)*1+(99&gt;Projects!$W$2:$W$45-$B$106)*(99&lt;=Projects!$W$2:$W$45+$B$17)*$B$107)*((Projects!$B$2:$B$45&gt;=$B$12)*$B$9+(Projects!$B$2:$B$45&lt;$B$12)*(Projects!$B$2:$B$45&gt;=$B$13)*$B$10+(Projects!$B$2:$B$45&lt;$B$13)*$B$11))</f>
        <v>0</v>
      </c>
      <c r="CZ40" s="367" t="n">
        <f aca="false">SUMPRODUCT((Projects!$G$2:$G$45="Yes")*(100&gt;=Projects!$C$2:$C$45-$B$16)*((100&lt;=Projects!$W$2:$W$45-$B$106)*1+(100&gt;Projects!$W$2:$W$45-$B$106)*(100&lt;=Projects!$W$2:$W$45+$B$17)*$B$107)*((Projects!$B$2:$B$45&gt;=$B$12)*$B$9+(Projects!$B$2:$B$45&lt;$B$12)*(Projects!$B$2:$B$45&gt;=$B$13)*$B$10+(Projects!$B$2:$B$45&lt;$B$13)*$B$11))</f>
        <v>0</v>
      </c>
      <c r="DA40" s="367" t="n">
        <f aca="false">SUMPRODUCT((Projects!$G$2:$G$45="Yes")*(101&gt;=Projects!$C$2:$C$45-$B$16)*((101&lt;=Projects!$W$2:$W$45-$B$106)*1+(101&gt;Projects!$W$2:$W$45-$B$106)*(101&lt;=Projects!$W$2:$W$45+$B$17)*$B$107)*((Projects!$B$2:$B$45&gt;=$B$12)*$B$9+(Projects!$B$2:$B$45&lt;$B$12)*(Projects!$B$2:$B$45&gt;=$B$13)*$B$10+(Projects!$B$2:$B$45&lt;$B$13)*$B$11))</f>
        <v>0</v>
      </c>
      <c r="DB40" s="367" t="n">
        <f aca="false">SUMPRODUCT((Projects!$G$2:$G$45="Yes")*(102&gt;=Projects!$C$2:$C$45-$B$16)*((102&lt;=Projects!$W$2:$W$45-$B$106)*1+(102&gt;Projects!$W$2:$W$45-$B$106)*(102&lt;=Projects!$W$2:$W$45+$B$17)*$B$107)*((Projects!$B$2:$B$45&gt;=$B$12)*$B$9+(Projects!$B$2:$B$45&lt;$B$12)*(Projects!$B$2:$B$45&gt;=$B$13)*$B$10+(Projects!$B$2:$B$45&lt;$B$13)*$B$11))</f>
        <v>0</v>
      </c>
      <c r="DC40" s="367" t="n">
        <f aca="false">SUMPRODUCT((Projects!$G$2:$G$45="Yes")*(103&gt;=Projects!$C$2:$C$45-$B$16)*((103&lt;=Projects!$W$2:$W$45-$B$106)*1+(103&gt;Projects!$W$2:$W$45-$B$106)*(103&lt;=Projects!$W$2:$W$45+$B$17)*$B$107)*((Projects!$B$2:$B$45&gt;=$B$12)*$B$9+(Projects!$B$2:$B$45&lt;$B$12)*(Projects!$B$2:$B$45&gt;=$B$13)*$B$10+(Projects!$B$2:$B$45&lt;$B$13)*$B$11))</f>
        <v>0</v>
      </c>
      <c r="DD40" s="367" t="n">
        <f aca="false">SUMPRODUCT((Projects!$G$2:$G$45="Yes")*(104&gt;=Projects!$C$2:$C$45-$B$16)*((104&lt;=Projects!$W$2:$W$45-$B$106)*1+(104&gt;Projects!$W$2:$W$45-$B$106)*(104&lt;=Projects!$W$2:$W$45+$B$17)*$B$107)*((Projects!$B$2:$B$45&gt;=$B$12)*$B$9+(Projects!$B$2:$B$45&lt;$B$12)*(Projects!$B$2:$B$45&gt;=$B$13)*$B$10+(Projects!$B$2:$B$45&lt;$B$13)*$B$11))</f>
        <v>0</v>
      </c>
      <c r="DE40" s="367"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23" t="s">
        <v>1211</v>
      </c>
      <c r="B42" s="224"/>
      <c r="C42" s="224"/>
      <c r="D42" s="224"/>
      <c r="E42" s="224"/>
      <c r="F42" s="224"/>
    </row>
    <row r="43" customFormat="false" ht="13.5" hidden="false" customHeight="true" outlineLevel="0" collapsed="false">
      <c r="A43" s="109" t="s">
        <v>1212</v>
      </c>
      <c r="E43" s="367" t="n">
        <f aca="false">SUMPRODUCT((Personnel!$P$9:$P$100="SUPER")*(Personnel!$G$9:$G$100="Yes")*(1&gt;=Personnel!$E$9:$E$100)*((Personnel!$K$9:$K$100="")+(1&lt;=Personnel!$K$9:$K$100)&gt;0))</f>
        <v>4</v>
      </c>
      <c r="F43" s="367" t="n">
        <f aca="false">SUMPRODUCT((Personnel!$P$9:$P$100="SUPER")*(Personnel!$G$9:$G$100="Yes")*(2&gt;=Personnel!$E$9:$E$100)*((Personnel!$K$9:$K$100="")+(2&lt;=Personnel!$K$9:$K$100)&gt;0))</f>
        <v>5</v>
      </c>
      <c r="G43" s="367" t="n">
        <f aca="false">SUMPRODUCT((Personnel!$P$9:$P$100="SUPER")*(Personnel!$G$9:$G$100="Yes")*(3&gt;=Personnel!$E$9:$E$100)*((Personnel!$K$9:$K$100="")+(3&lt;=Personnel!$K$9:$K$100)&gt;0))</f>
        <v>5</v>
      </c>
      <c r="H43" s="367" t="n">
        <f aca="false">SUMPRODUCT((Personnel!$P$9:$P$100="SUPER")*(Personnel!$G$9:$G$100="Yes")*(4&gt;=Personnel!$E$9:$E$100)*((Personnel!$K$9:$K$100="")+(4&lt;=Personnel!$K$9:$K$100)&gt;0))</f>
        <v>6</v>
      </c>
      <c r="I43" s="367" t="n">
        <f aca="false">SUMPRODUCT((Personnel!$P$9:$P$100="SUPER")*(Personnel!$G$9:$G$100="Yes")*(5&gt;=Personnel!$E$9:$E$100)*((Personnel!$K$9:$K$100="")+(5&lt;=Personnel!$K$9:$K$100)&gt;0))</f>
        <v>6</v>
      </c>
      <c r="J43" s="367" t="n">
        <f aca="false">SUMPRODUCT((Personnel!$P$9:$P$100="SUPER")*(Personnel!$G$9:$G$100="Yes")*(6&gt;=Personnel!$E$9:$E$100)*((Personnel!$K$9:$K$100="")+(6&lt;=Personnel!$K$9:$K$100)&gt;0))</f>
        <v>7</v>
      </c>
      <c r="K43" s="367" t="n">
        <f aca="false">SUMPRODUCT((Personnel!$P$9:$P$100="SUPER")*(Personnel!$G$9:$G$100="Yes")*(7&gt;=Personnel!$E$9:$E$100)*((Personnel!$K$9:$K$100="")+(7&lt;=Personnel!$K$9:$K$100)&gt;0))</f>
        <v>7</v>
      </c>
      <c r="L43" s="367" t="n">
        <f aca="false">SUMPRODUCT((Personnel!$P$9:$P$100="SUPER")*(Personnel!$G$9:$G$100="Yes")*(8&gt;=Personnel!$E$9:$E$100)*((Personnel!$K$9:$K$100="")+(8&lt;=Personnel!$K$9:$K$100)&gt;0))</f>
        <v>7</v>
      </c>
      <c r="M43" s="367" t="n">
        <f aca="false">SUMPRODUCT((Personnel!$P$9:$P$100="SUPER")*(Personnel!$G$9:$G$100="Yes")*(9&gt;=Personnel!$E$9:$E$100)*((Personnel!$K$9:$K$100="")+(9&lt;=Personnel!$K$9:$K$100)&gt;0))</f>
        <v>7</v>
      </c>
      <c r="N43" s="367" t="n">
        <f aca="false">SUMPRODUCT((Personnel!$P$9:$P$100="SUPER")*(Personnel!$G$9:$G$100="Yes")*(10&gt;=Personnel!$E$9:$E$100)*((Personnel!$K$9:$K$100="")+(10&lt;=Personnel!$K$9:$K$100)&gt;0))</f>
        <v>7</v>
      </c>
      <c r="O43" s="367" t="n">
        <f aca="false">SUMPRODUCT((Personnel!$P$9:$P$100="SUPER")*(Personnel!$G$9:$G$100="Yes")*(11&gt;=Personnel!$E$9:$E$100)*((Personnel!$K$9:$K$100="")+(11&lt;=Personnel!$K$9:$K$100)&gt;0))</f>
        <v>7</v>
      </c>
      <c r="P43" s="367" t="n">
        <f aca="false">SUMPRODUCT((Personnel!$P$9:$P$100="SUPER")*(Personnel!$G$9:$G$100="Yes")*(12&gt;=Personnel!$E$9:$E$100)*((Personnel!$K$9:$K$100="")+(12&lt;=Personnel!$K$9:$K$100)&gt;0))</f>
        <v>7</v>
      </c>
      <c r="Q43" s="367" t="n">
        <f aca="false">SUMPRODUCT((Personnel!$P$9:$P$100="SUPER")*(Personnel!$G$9:$G$100="Yes")*(13&gt;=Personnel!$E$9:$E$100)*((Personnel!$K$9:$K$100="")+(13&lt;=Personnel!$K$9:$K$100)&gt;0))</f>
        <v>7</v>
      </c>
      <c r="R43" s="367" t="n">
        <f aca="false">SUMPRODUCT((Personnel!$P$9:$P$100="SUPER")*(Personnel!$G$9:$G$100="Yes")*(14&gt;=Personnel!$E$9:$E$100)*((Personnel!$K$9:$K$100="")+(14&lt;=Personnel!$K$9:$K$100)&gt;0))</f>
        <v>7</v>
      </c>
      <c r="S43" s="367" t="n">
        <f aca="false">SUMPRODUCT((Personnel!$P$9:$P$100="SUPER")*(Personnel!$G$9:$G$100="Yes")*(15&gt;=Personnel!$E$9:$E$100)*((Personnel!$K$9:$K$100="")+(15&lt;=Personnel!$K$9:$K$100)&gt;0))</f>
        <v>7</v>
      </c>
      <c r="T43" s="367" t="n">
        <f aca="false">SUMPRODUCT((Personnel!$P$9:$P$100="SUPER")*(Personnel!$G$9:$G$100="Yes")*(16&gt;=Personnel!$E$9:$E$100)*((Personnel!$K$9:$K$100="")+(16&lt;=Personnel!$K$9:$K$100)&gt;0))</f>
        <v>7</v>
      </c>
      <c r="U43" s="367" t="n">
        <f aca="false">SUMPRODUCT((Personnel!$P$9:$P$100="SUPER")*(Personnel!$G$9:$G$100="Yes")*(17&gt;=Personnel!$E$9:$E$100)*((Personnel!$K$9:$K$100="")+(17&lt;=Personnel!$K$9:$K$100)&gt;0))</f>
        <v>7</v>
      </c>
      <c r="V43" s="367" t="n">
        <f aca="false">SUMPRODUCT((Personnel!$P$9:$P$100="SUPER")*(Personnel!$G$9:$G$100="Yes")*(18&gt;=Personnel!$E$9:$E$100)*((Personnel!$K$9:$K$100="")+(18&lt;=Personnel!$K$9:$K$100)&gt;0))</f>
        <v>7</v>
      </c>
      <c r="W43" s="367" t="n">
        <f aca="false">SUMPRODUCT((Personnel!$P$9:$P$100="SUPER")*(Personnel!$G$9:$G$100="Yes")*(19&gt;=Personnel!$E$9:$E$100)*((Personnel!$K$9:$K$100="")+(19&lt;=Personnel!$K$9:$K$100)&gt;0))</f>
        <v>7</v>
      </c>
      <c r="X43" s="367" t="n">
        <f aca="false">SUMPRODUCT((Personnel!$P$9:$P$100="SUPER")*(Personnel!$G$9:$G$100="Yes")*(20&gt;=Personnel!$E$9:$E$100)*((Personnel!$K$9:$K$100="")+(20&lt;=Personnel!$K$9:$K$100)&gt;0))</f>
        <v>7</v>
      </c>
      <c r="Y43" s="367" t="n">
        <f aca="false">SUMPRODUCT((Personnel!$P$9:$P$100="SUPER")*(Personnel!$G$9:$G$100="Yes")*(21&gt;=Personnel!$E$9:$E$100)*((Personnel!$K$9:$K$100="")+(21&lt;=Personnel!$K$9:$K$100)&gt;0))</f>
        <v>7</v>
      </c>
      <c r="Z43" s="367" t="n">
        <f aca="false">SUMPRODUCT((Personnel!$P$9:$P$100="SUPER")*(Personnel!$G$9:$G$100="Yes")*(22&gt;=Personnel!$E$9:$E$100)*((Personnel!$K$9:$K$100="")+(22&lt;=Personnel!$K$9:$K$100)&gt;0))</f>
        <v>7</v>
      </c>
      <c r="AA43" s="367" t="n">
        <f aca="false">SUMPRODUCT((Personnel!$P$9:$P$100="SUPER")*(Personnel!$G$9:$G$100="Yes")*(23&gt;=Personnel!$E$9:$E$100)*((Personnel!$K$9:$K$100="")+(23&lt;=Personnel!$K$9:$K$100)&gt;0))</f>
        <v>7</v>
      </c>
      <c r="AB43" s="367" t="n">
        <f aca="false">SUMPRODUCT((Personnel!$P$9:$P$100="SUPER")*(Personnel!$G$9:$G$100="Yes")*(24&gt;=Personnel!$E$9:$E$100)*((Personnel!$K$9:$K$100="")+(24&lt;=Personnel!$K$9:$K$100)&gt;0))</f>
        <v>7</v>
      </c>
      <c r="AC43" s="367" t="n">
        <f aca="false">SUMPRODUCT((Personnel!$P$9:$P$100="SUPER")*(Personnel!$G$9:$G$100="Yes")*(25&gt;=Personnel!$E$9:$E$100)*((Personnel!$K$9:$K$100="")+(25&lt;=Personnel!$K$9:$K$100)&gt;0))</f>
        <v>7</v>
      </c>
      <c r="AD43" s="367" t="n">
        <f aca="false">SUMPRODUCT((Personnel!$P$9:$P$100="SUPER")*(Personnel!$G$9:$G$100="Yes")*(26&gt;=Personnel!$E$9:$E$100)*((Personnel!$K$9:$K$100="")+(26&lt;=Personnel!$K$9:$K$100)&gt;0))</f>
        <v>7</v>
      </c>
      <c r="AE43" s="367" t="n">
        <f aca="false">SUMPRODUCT((Personnel!$P$9:$P$100="SUPER")*(Personnel!$G$9:$G$100="Yes")*(27&gt;=Personnel!$E$9:$E$100)*((Personnel!$K$9:$K$100="")+(27&lt;=Personnel!$K$9:$K$100)&gt;0))</f>
        <v>7</v>
      </c>
      <c r="AF43" s="367" t="n">
        <f aca="false">SUMPRODUCT((Personnel!$P$9:$P$100="SUPER")*(Personnel!$G$9:$G$100="Yes")*(28&gt;=Personnel!$E$9:$E$100)*((Personnel!$K$9:$K$100="")+(28&lt;=Personnel!$K$9:$K$100)&gt;0))</f>
        <v>7</v>
      </c>
      <c r="AG43" s="367" t="n">
        <f aca="false">SUMPRODUCT((Personnel!$P$9:$P$100="SUPER")*(Personnel!$G$9:$G$100="Yes")*(29&gt;=Personnel!$E$9:$E$100)*((Personnel!$K$9:$K$100="")+(29&lt;=Personnel!$K$9:$K$100)&gt;0))</f>
        <v>7</v>
      </c>
      <c r="AH43" s="367" t="n">
        <f aca="false">SUMPRODUCT((Personnel!$P$9:$P$100="SUPER")*(Personnel!$G$9:$G$100="Yes")*(30&gt;=Personnel!$E$9:$E$100)*((Personnel!$K$9:$K$100="")+(30&lt;=Personnel!$K$9:$K$100)&gt;0))</f>
        <v>7</v>
      </c>
      <c r="AI43" s="367" t="n">
        <f aca="false">SUMPRODUCT((Personnel!$P$9:$P$100="SUPER")*(Personnel!$G$9:$G$100="Yes")*(31&gt;=Personnel!$E$9:$E$100)*((Personnel!$K$9:$K$100="")+(31&lt;=Personnel!$K$9:$K$100)&gt;0))</f>
        <v>7</v>
      </c>
      <c r="AJ43" s="367" t="n">
        <f aca="false">SUMPRODUCT((Personnel!$P$9:$P$100="SUPER")*(Personnel!$G$9:$G$100="Yes")*(32&gt;=Personnel!$E$9:$E$100)*((Personnel!$K$9:$K$100="")+(32&lt;=Personnel!$K$9:$K$100)&gt;0))</f>
        <v>7</v>
      </c>
      <c r="AK43" s="367" t="n">
        <f aca="false">SUMPRODUCT((Personnel!$P$9:$P$100="SUPER")*(Personnel!$G$9:$G$100="Yes")*(33&gt;=Personnel!$E$9:$E$100)*((Personnel!$K$9:$K$100="")+(33&lt;=Personnel!$K$9:$K$100)&gt;0))</f>
        <v>7</v>
      </c>
      <c r="AL43" s="367" t="n">
        <f aca="false">SUMPRODUCT((Personnel!$P$9:$P$100="SUPER")*(Personnel!$G$9:$G$100="Yes")*(34&gt;=Personnel!$E$9:$E$100)*((Personnel!$K$9:$K$100="")+(34&lt;=Personnel!$K$9:$K$100)&gt;0))</f>
        <v>7</v>
      </c>
      <c r="AM43" s="367" t="n">
        <f aca="false">SUMPRODUCT((Personnel!$P$9:$P$100="SUPER")*(Personnel!$G$9:$G$100="Yes")*(35&gt;=Personnel!$E$9:$E$100)*((Personnel!$K$9:$K$100="")+(35&lt;=Personnel!$K$9:$K$100)&gt;0))</f>
        <v>7</v>
      </c>
      <c r="AN43" s="367" t="n">
        <f aca="false">SUMPRODUCT((Personnel!$P$9:$P$100="SUPER")*(Personnel!$G$9:$G$100="Yes")*(36&gt;=Personnel!$E$9:$E$100)*((Personnel!$K$9:$K$100="")+(36&lt;=Personnel!$K$9:$K$100)&gt;0))</f>
        <v>7</v>
      </c>
      <c r="AO43" s="367" t="n">
        <f aca="false">SUMPRODUCT((Personnel!$P$9:$P$100="SUPER")*(Personnel!$G$9:$G$100="Yes")*(37&gt;=Personnel!$E$9:$E$100)*((Personnel!$K$9:$K$100="")+(37&lt;=Personnel!$K$9:$K$100)&gt;0))</f>
        <v>7</v>
      </c>
      <c r="AP43" s="367" t="n">
        <f aca="false">SUMPRODUCT((Personnel!$P$9:$P$100="SUPER")*(Personnel!$G$9:$G$100="Yes")*(38&gt;=Personnel!$E$9:$E$100)*((Personnel!$K$9:$K$100="")+(38&lt;=Personnel!$K$9:$K$100)&gt;0))</f>
        <v>7</v>
      </c>
      <c r="AQ43" s="367" t="n">
        <f aca="false">SUMPRODUCT((Personnel!$P$9:$P$100="SUPER")*(Personnel!$G$9:$G$100="Yes")*(39&gt;=Personnel!$E$9:$E$100)*((Personnel!$K$9:$K$100="")+(39&lt;=Personnel!$K$9:$K$100)&gt;0))</f>
        <v>7</v>
      </c>
      <c r="AR43" s="367" t="n">
        <f aca="false">SUMPRODUCT((Personnel!$P$9:$P$100="SUPER")*(Personnel!$G$9:$G$100="Yes")*(40&gt;=Personnel!$E$9:$E$100)*((Personnel!$K$9:$K$100="")+(40&lt;=Personnel!$K$9:$K$100)&gt;0))</f>
        <v>7</v>
      </c>
      <c r="AS43" s="367" t="n">
        <f aca="false">SUMPRODUCT((Personnel!$P$9:$P$100="SUPER")*(Personnel!$G$9:$G$100="Yes")*(41&gt;=Personnel!$E$9:$E$100)*((Personnel!$K$9:$K$100="")+(41&lt;=Personnel!$K$9:$K$100)&gt;0))</f>
        <v>7</v>
      </c>
      <c r="AT43" s="367" t="n">
        <f aca="false">SUMPRODUCT((Personnel!$P$9:$P$100="SUPER")*(Personnel!$G$9:$G$100="Yes")*(42&gt;=Personnel!$E$9:$E$100)*((Personnel!$K$9:$K$100="")+(42&lt;=Personnel!$K$9:$K$100)&gt;0))</f>
        <v>7</v>
      </c>
      <c r="AU43" s="367" t="n">
        <f aca="false">SUMPRODUCT((Personnel!$P$9:$P$100="SUPER")*(Personnel!$G$9:$G$100="Yes")*(43&gt;=Personnel!$E$9:$E$100)*((Personnel!$K$9:$K$100="")+(43&lt;=Personnel!$K$9:$K$100)&gt;0))</f>
        <v>7</v>
      </c>
      <c r="AV43" s="367" t="n">
        <f aca="false">SUMPRODUCT((Personnel!$P$9:$P$100="SUPER")*(Personnel!$G$9:$G$100="Yes")*(44&gt;=Personnel!$E$9:$E$100)*((Personnel!$K$9:$K$100="")+(44&lt;=Personnel!$K$9:$K$100)&gt;0))</f>
        <v>7</v>
      </c>
      <c r="AW43" s="367" t="n">
        <f aca="false">SUMPRODUCT((Personnel!$P$9:$P$100="SUPER")*(Personnel!$G$9:$G$100="Yes")*(45&gt;=Personnel!$E$9:$E$100)*((Personnel!$K$9:$K$100="")+(45&lt;=Personnel!$K$9:$K$100)&gt;0))</f>
        <v>7</v>
      </c>
      <c r="AX43" s="367" t="n">
        <f aca="false">SUMPRODUCT((Personnel!$P$9:$P$100="SUPER")*(Personnel!$G$9:$G$100="Yes")*(46&gt;=Personnel!$E$9:$E$100)*((Personnel!$K$9:$K$100="")+(46&lt;=Personnel!$K$9:$K$100)&gt;0))</f>
        <v>7</v>
      </c>
      <c r="AY43" s="367" t="n">
        <f aca="false">SUMPRODUCT((Personnel!$P$9:$P$100="SUPER")*(Personnel!$G$9:$G$100="Yes")*(47&gt;=Personnel!$E$9:$E$100)*((Personnel!$K$9:$K$100="")+(47&lt;=Personnel!$K$9:$K$100)&gt;0))</f>
        <v>7</v>
      </c>
      <c r="AZ43" s="367" t="n">
        <f aca="false">SUMPRODUCT((Personnel!$P$9:$P$100="SUPER")*(Personnel!$G$9:$G$100="Yes")*(48&gt;=Personnel!$E$9:$E$100)*((Personnel!$K$9:$K$100="")+(48&lt;=Personnel!$K$9:$K$100)&gt;0))</f>
        <v>7</v>
      </c>
      <c r="BA43" s="367" t="n">
        <f aca="false">SUMPRODUCT((Personnel!$P$9:$P$100="SUPER")*(Personnel!$G$9:$G$100="Yes")*(49&gt;=Personnel!$E$9:$E$100)*((Personnel!$K$9:$K$100="")+(49&lt;=Personnel!$K$9:$K$100)&gt;0))</f>
        <v>7</v>
      </c>
      <c r="BB43" s="367" t="n">
        <f aca="false">SUMPRODUCT((Personnel!$P$9:$P$100="SUPER")*(Personnel!$G$9:$G$100="Yes")*(50&gt;=Personnel!$E$9:$E$100)*((Personnel!$K$9:$K$100="")+(50&lt;=Personnel!$K$9:$K$100)&gt;0))</f>
        <v>7</v>
      </c>
      <c r="BC43" s="367" t="n">
        <f aca="false">SUMPRODUCT((Personnel!$P$9:$P$100="SUPER")*(Personnel!$G$9:$G$100="Yes")*(51&gt;=Personnel!$E$9:$E$100)*((Personnel!$K$9:$K$100="")+(51&lt;=Personnel!$K$9:$K$100)&gt;0))</f>
        <v>7</v>
      </c>
      <c r="BD43" s="367" t="n">
        <f aca="false">SUMPRODUCT((Personnel!$P$9:$P$100="SUPER")*(Personnel!$G$9:$G$100="Yes")*(52&gt;=Personnel!$E$9:$E$100)*((Personnel!$K$9:$K$100="")+(52&lt;=Personnel!$K$9:$K$100)&gt;0))</f>
        <v>7</v>
      </c>
      <c r="BE43" s="367" t="n">
        <f aca="false">SUMPRODUCT((Personnel!$P$9:$P$100="SUPER")*(Personnel!$G$9:$G$100="Yes")*(53&gt;=Personnel!$E$9:$E$100)*((Personnel!$K$9:$K$100="")+(53&lt;=Personnel!$K$9:$K$100)&gt;0))</f>
        <v>7</v>
      </c>
      <c r="BF43" s="367" t="n">
        <f aca="false">SUMPRODUCT((Personnel!$P$9:$P$100="SUPER")*(Personnel!$G$9:$G$100="Yes")*(54&gt;=Personnel!$E$9:$E$100)*((Personnel!$K$9:$K$100="")+(54&lt;=Personnel!$K$9:$K$100)&gt;0))</f>
        <v>7</v>
      </c>
      <c r="BG43" s="367" t="n">
        <f aca="false">SUMPRODUCT((Personnel!$P$9:$P$100="SUPER")*(Personnel!$G$9:$G$100="Yes")*(55&gt;=Personnel!$E$9:$E$100)*((Personnel!$K$9:$K$100="")+(55&lt;=Personnel!$K$9:$K$100)&gt;0))</f>
        <v>7</v>
      </c>
      <c r="BH43" s="367" t="n">
        <f aca="false">SUMPRODUCT((Personnel!$P$9:$P$100="SUPER")*(Personnel!$G$9:$G$100="Yes")*(56&gt;=Personnel!$E$9:$E$100)*((Personnel!$K$9:$K$100="")+(56&lt;=Personnel!$K$9:$K$100)&gt;0))</f>
        <v>7</v>
      </c>
      <c r="BI43" s="367" t="n">
        <f aca="false">SUMPRODUCT((Personnel!$P$9:$P$100="SUPER")*(Personnel!$G$9:$G$100="Yes")*(57&gt;=Personnel!$E$9:$E$100)*((Personnel!$K$9:$K$100="")+(57&lt;=Personnel!$K$9:$K$100)&gt;0))</f>
        <v>7</v>
      </c>
      <c r="BJ43" s="367" t="n">
        <f aca="false">SUMPRODUCT((Personnel!$P$9:$P$100="SUPER")*(Personnel!$G$9:$G$100="Yes")*(58&gt;=Personnel!$E$9:$E$100)*((Personnel!$K$9:$K$100="")+(58&lt;=Personnel!$K$9:$K$100)&gt;0))</f>
        <v>7</v>
      </c>
      <c r="BK43" s="367" t="n">
        <f aca="false">SUMPRODUCT((Personnel!$P$9:$P$100="SUPER")*(Personnel!$G$9:$G$100="Yes")*(59&gt;=Personnel!$E$9:$E$100)*((Personnel!$K$9:$K$100="")+(59&lt;=Personnel!$K$9:$K$100)&gt;0))</f>
        <v>7</v>
      </c>
      <c r="BL43" s="367" t="n">
        <f aca="false">SUMPRODUCT((Personnel!$P$9:$P$100="SUPER")*(Personnel!$G$9:$G$100="Yes")*(60&gt;=Personnel!$E$9:$E$100)*((Personnel!$K$9:$K$100="")+(60&lt;=Personnel!$K$9:$K$100)&gt;0))</f>
        <v>7</v>
      </c>
      <c r="BM43" s="367" t="n">
        <f aca="false">SUMPRODUCT((Personnel!$P$9:$P$100="SUPER")*(Personnel!$G$9:$G$100="Yes")*(61&gt;=Personnel!$E$9:$E$100)*((Personnel!$K$9:$K$100="")+(61&lt;=Personnel!$K$9:$K$100)&gt;0))</f>
        <v>7</v>
      </c>
      <c r="BN43" s="367" t="n">
        <f aca="false">SUMPRODUCT((Personnel!$P$9:$P$100="SUPER")*(Personnel!$G$9:$G$100="Yes")*(62&gt;=Personnel!$E$9:$E$100)*((Personnel!$K$9:$K$100="")+(62&lt;=Personnel!$K$9:$K$100)&gt;0))</f>
        <v>7</v>
      </c>
      <c r="BO43" s="367" t="n">
        <f aca="false">SUMPRODUCT((Personnel!$P$9:$P$100="SUPER")*(Personnel!$G$9:$G$100="Yes")*(63&gt;=Personnel!$E$9:$E$100)*((Personnel!$K$9:$K$100="")+(63&lt;=Personnel!$K$9:$K$100)&gt;0))</f>
        <v>7</v>
      </c>
      <c r="BP43" s="367" t="n">
        <f aca="false">SUMPRODUCT((Personnel!$P$9:$P$100="SUPER")*(Personnel!$G$9:$G$100="Yes")*(64&gt;=Personnel!$E$9:$E$100)*((Personnel!$K$9:$K$100="")+(64&lt;=Personnel!$K$9:$K$100)&gt;0))</f>
        <v>7</v>
      </c>
      <c r="BQ43" s="367" t="n">
        <f aca="false">SUMPRODUCT((Personnel!$P$9:$P$100="SUPER")*(Personnel!$G$9:$G$100="Yes")*(65&gt;=Personnel!$E$9:$E$100)*((Personnel!$K$9:$K$100="")+(65&lt;=Personnel!$K$9:$K$100)&gt;0))</f>
        <v>7</v>
      </c>
      <c r="BR43" s="367" t="n">
        <f aca="false">SUMPRODUCT((Personnel!$P$9:$P$100="SUPER")*(Personnel!$G$9:$G$100="Yes")*(66&gt;=Personnel!$E$9:$E$100)*((Personnel!$K$9:$K$100="")+(66&lt;=Personnel!$K$9:$K$100)&gt;0))</f>
        <v>7</v>
      </c>
      <c r="BS43" s="367" t="n">
        <f aca="false">SUMPRODUCT((Personnel!$P$9:$P$100="SUPER")*(Personnel!$G$9:$G$100="Yes")*(67&gt;=Personnel!$E$9:$E$100)*((Personnel!$K$9:$K$100="")+(67&lt;=Personnel!$K$9:$K$100)&gt;0))</f>
        <v>7</v>
      </c>
      <c r="BT43" s="367" t="n">
        <f aca="false">SUMPRODUCT((Personnel!$P$9:$P$100="SUPER")*(Personnel!$G$9:$G$100="Yes")*(68&gt;=Personnel!$E$9:$E$100)*((Personnel!$K$9:$K$100="")+(68&lt;=Personnel!$K$9:$K$100)&gt;0))</f>
        <v>7</v>
      </c>
      <c r="BU43" s="367" t="n">
        <f aca="false">SUMPRODUCT((Personnel!$P$9:$P$100="SUPER")*(Personnel!$G$9:$G$100="Yes")*(69&gt;=Personnel!$E$9:$E$100)*((Personnel!$K$9:$K$100="")+(69&lt;=Personnel!$K$9:$K$100)&gt;0))</f>
        <v>7</v>
      </c>
      <c r="BV43" s="367" t="n">
        <f aca="false">SUMPRODUCT((Personnel!$P$9:$P$100="SUPER")*(Personnel!$G$9:$G$100="Yes")*(70&gt;=Personnel!$E$9:$E$100)*((Personnel!$K$9:$K$100="")+(70&lt;=Personnel!$K$9:$K$100)&gt;0))</f>
        <v>7</v>
      </c>
      <c r="BW43" s="367" t="n">
        <f aca="false">SUMPRODUCT((Personnel!$P$9:$P$100="SUPER")*(Personnel!$G$9:$G$100="Yes")*(71&gt;=Personnel!$E$9:$E$100)*((Personnel!$K$9:$K$100="")+(71&lt;=Personnel!$K$9:$K$100)&gt;0))</f>
        <v>7</v>
      </c>
      <c r="BX43" s="367" t="n">
        <f aca="false">SUMPRODUCT((Personnel!$P$9:$P$100="SUPER")*(Personnel!$G$9:$G$100="Yes")*(72&gt;=Personnel!$E$9:$E$100)*((Personnel!$K$9:$K$100="")+(72&lt;=Personnel!$K$9:$K$100)&gt;0))</f>
        <v>7</v>
      </c>
      <c r="BY43" s="367" t="n">
        <f aca="false">SUMPRODUCT((Personnel!$P$9:$P$100="SUPER")*(Personnel!$G$9:$G$100="Yes")*(73&gt;=Personnel!$E$9:$E$100)*((Personnel!$K$9:$K$100="")+(73&lt;=Personnel!$K$9:$K$100)&gt;0))</f>
        <v>7</v>
      </c>
      <c r="BZ43" s="367" t="n">
        <f aca="false">SUMPRODUCT((Personnel!$P$9:$P$100="SUPER")*(Personnel!$G$9:$G$100="Yes")*(74&gt;=Personnel!$E$9:$E$100)*((Personnel!$K$9:$K$100="")+(74&lt;=Personnel!$K$9:$K$100)&gt;0))</f>
        <v>7</v>
      </c>
      <c r="CA43" s="367" t="n">
        <f aca="false">SUMPRODUCT((Personnel!$P$9:$P$100="SUPER")*(Personnel!$G$9:$G$100="Yes")*(75&gt;=Personnel!$E$9:$E$100)*((Personnel!$K$9:$K$100="")+(75&lt;=Personnel!$K$9:$K$100)&gt;0))</f>
        <v>7</v>
      </c>
      <c r="CB43" s="367" t="n">
        <f aca="false">SUMPRODUCT((Personnel!$P$9:$P$100="SUPER")*(Personnel!$G$9:$G$100="Yes")*(76&gt;=Personnel!$E$9:$E$100)*((Personnel!$K$9:$K$100="")+(76&lt;=Personnel!$K$9:$K$100)&gt;0))</f>
        <v>7</v>
      </c>
      <c r="CC43" s="367" t="n">
        <f aca="false">SUMPRODUCT((Personnel!$P$9:$P$100="SUPER")*(Personnel!$G$9:$G$100="Yes")*(77&gt;=Personnel!$E$9:$E$100)*((Personnel!$K$9:$K$100="")+(77&lt;=Personnel!$K$9:$K$100)&gt;0))</f>
        <v>7</v>
      </c>
      <c r="CD43" s="367" t="n">
        <f aca="false">SUMPRODUCT((Personnel!$P$9:$P$100="SUPER")*(Personnel!$G$9:$G$100="Yes")*(78&gt;=Personnel!$E$9:$E$100)*((Personnel!$K$9:$K$100="")+(78&lt;=Personnel!$K$9:$K$100)&gt;0))</f>
        <v>7</v>
      </c>
      <c r="CE43" s="367" t="n">
        <f aca="false">SUMPRODUCT((Personnel!$P$9:$P$100="SUPER")*(Personnel!$G$9:$G$100="Yes")*(79&gt;=Personnel!$E$9:$E$100)*((Personnel!$K$9:$K$100="")+(79&lt;=Personnel!$K$9:$K$100)&gt;0))</f>
        <v>7</v>
      </c>
      <c r="CF43" s="367" t="n">
        <f aca="false">SUMPRODUCT((Personnel!$P$9:$P$100="SUPER")*(Personnel!$G$9:$G$100="Yes")*(80&gt;=Personnel!$E$9:$E$100)*((Personnel!$K$9:$K$100="")+(80&lt;=Personnel!$K$9:$K$100)&gt;0))</f>
        <v>7</v>
      </c>
      <c r="CG43" s="367" t="n">
        <f aca="false">SUMPRODUCT((Personnel!$P$9:$P$100="SUPER")*(Personnel!$G$9:$G$100="Yes")*(81&gt;=Personnel!$E$9:$E$100)*((Personnel!$K$9:$K$100="")+(81&lt;=Personnel!$K$9:$K$100)&gt;0))</f>
        <v>7</v>
      </c>
      <c r="CH43" s="367" t="n">
        <f aca="false">SUMPRODUCT((Personnel!$P$9:$P$100="SUPER")*(Personnel!$G$9:$G$100="Yes")*(82&gt;=Personnel!$E$9:$E$100)*((Personnel!$K$9:$K$100="")+(82&lt;=Personnel!$K$9:$K$100)&gt;0))</f>
        <v>7</v>
      </c>
      <c r="CI43" s="367" t="n">
        <f aca="false">SUMPRODUCT((Personnel!$P$9:$P$100="SUPER")*(Personnel!$G$9:$G$100="Yes")*(83&gt;=Personnel!$E$9:$E$100)*((Personnel!$K$9:$K$100="")+(83&lt;=Personnel!$K$9:$K$100)&gt;0))</f>
        <v>7</v>
      </c>
      <c r="CJ43" s="367" t="n">
        <f aca="false">SUMPRODUCT((Personnel!$P$9:$P$100="SUPER")*(Personnel!$G$9:$G$100="Yes")*(84&gt;=Personnel!$E$9:$E$100)*((Personnel!$K$9:$K$100="")+(84&lt;=Personnel!$K$9:$K$100)&gt;0))</f>
        <v>7</v>
      </c>
      <c r="CK43" s="367" t="n">
        <f aca="false">SUMPRODUCT((Personnel!$P$9:$P$100="SUPER")*(Personnel!$G$9:$G$100="Yes")*(85&gt;=Personnel!$E$9:$E$100)*((Personnel!$K$9:$K$100="")+(85&lt;=Personnel!$K$9:$K$100)&gt;0))</f>
        <v>7</v>
      </c>
      <c r="CL43" s="367" t="n">
        <f aca="false">SUMPRODUCT((Personnel!$P$9:$P$100="SUPER")*(Personnel!$G$9:$G$100="Yes")*(86&gt;=Personnel!$E$9:$E$100)*((Personnel!$K$9:$K$100="")+(86&lt;=Personnel!$K$9:$K$100)&gt;0))</f>
        <v>7</v>
      </c>
      <c r="CM43" s="367" t="n">
        <f aca="false">SUMPRODUCT((Personnel!$P$9:$P$100="SUPER")*(Personnel!$G$9:$G$100="Yes")*(87&gt;=Personnel!$E$9:$E$100)*((Personnel!$K$9:$K$100="")+(87&lt;=Personnel!$K$9:$K$100)&gt;0))</f>
        <v>7</v>
      </c>
      <c r="CN43" s="367" t="n">
        <f aca="false">SUMPRODUCT((Personnel!$P$9:$P$100="SUPER")*(Personnel!$G$9:$G$100="Yes")*(88&gt;=Personnel!$E$9:$E$100)*((Personnel!$K$9:$K$100="")+(88&lt;=Personnel!$K$9:$K$100)&gt;0))</f>
        <v>7</v>
      </c>
      <c r="CO43" s="367" t="n">
        <f aca="false">SUMPRODUCT((Personnel!$P$9:$P$100="SUPER")*(Personnel!$G$9:$G$100="Yes")*(89&gt;=Personnel!$E$9:$E$100)*((Personnel!$K$9:$K$100="")+(89&lt;=Personnel!$K$9:$K$100)&gt;0))</f>
        <v>7</v>
      </c>
      <c r="CP43" s="367" t="n">
        <f aca="false">SUMPRODUCT((Personnel!$P$9:$P$100="SUPER")*(Personnel!$G$9:$G$100="Yes")*(90&gt;=Personnel!$E$9:$E$100)*((Personnel!$K$9:$K$100="")+(90&lt;=Personnel!$K$9:$K$100)&gt;0))</f>
        <v>7</v>
      </c>
      <c r="CQ43" s="367" t="n">
        <f aca="false">SUMPRODUCT((Personnel!$P$9:$P$100="SUPER")*(Personnel!$G$9:$G$100="Yes")*(91&gt;=Personnel!$E$9:$E$100)*((Personnel!$K$9:$K$100="")+(91&lt;=Personnel!$K$9:$K$100)&gt;0))</f>
        <v>7</v>
      </c>
      <c r="CR43" s="367" t="n">
        <f aca="false">SUMPRODUCT((Personnel!$P$9:$P$100="SUPER")*(Personnel!$G$9:$G$100="Yes")*(92&gt;=Personnel!$E$9:$E$100)*((Personnel!$K$9:$K$100="")+(92&lt;=Personnel!$K$9:$K$100)&gt;0))</f>
        <v>7</v>
      </c>
      <c r="CS43" s="367" t="n">
        <f aca="false">SUMPRODUCT((Personnel!$P$9:$P$100="SUPER")*(Personnel!$G$9:$G$100="Yes")*(93&gt;=Personnel!$E$9:$E$100)*((Personnel!$K$9:$K$100="")+(93&lt;=Personnel!$K$9:$K$100)&gt;0))</f>
        <v>7</v>
      </c>
      <c r="CT43" s="367" t="n">
        <f aca="false">SUMPRODUCT((Personnel!$P$9:$P$100="SUPER")*(Personnel!$G$9:$G$100="Yes")*(94&gt;=Personnel!$E$9:$E$100)*((Personnel!$K$9:$K$100="")+(94&lt;=Personnel!$K$9:$K$100)&gt;0))</f>
        <v>7</v>
      </c>
      <c r="CU43" s="367" t="n">
        <f aca="false">SUMPRODUCT((Personnel!$P$9:$P$100="SUPER")*(Personnel!$G$9:$G$100="Yes")*(95&gt;=Personnel!$E$9:$E$100)*((Personnel!$K$9:$K$100="")+(95&lt;=Personnel!$K$9:$K$100)&gt;0))</f>
        <v>7</v>
      </c>
      <c r="CV43" s="367" t="n">
        <f aca="false">SUMPRODUCT((Personnel!$P$9:$P$100="SUPER")*(Personnel!$G$9:$G$100="Yes")*(96&gt;=Personnel!$E$9:$E$100)*((Personnel!$K$9:$K$100="")+(96&lt;=Personnel!$K$9:$K$100)&gt;0))</f>
        <v>7</v>
      </c>
      <c r="CW43" s="367" t="n">
        <f aca="false">SUMPRODUCT((Personnel!$P$9:$P$100="SUPER")*(Personnel!$G$9:$G$100="Yes")*(97&gt;=Personnel!$E$9:$E$100)*((Personnel!$K$9:$K$100="")+(97&lt;=Personnel!$K$9:$K$100)&gt;0))</f>
        <v>7</v>
      </c>
      <c r="CX43" s="367" t="n">
        <f aca="false">SUMPRODUCT((Personnel!$P$9:$P$100="SUPER")*(Personnel!$G$9:$G$100="Yes")*(98&gt;=Personnel!$E$9:$E$100)*((Personnel!$K$9:$K$100="")+(98&lt;=Personnel!$K$9:$K$100)&gt;0))</f>
        <v>7</v>
      </c>
      <c r="CY43" s="367" t="n">
        <f aca="false">SUMPRODUCT((Personnel!$P$9:$P$100="SUPER")*(Personnel!$G$9:$G$100="Yes")*(99&gt;=Personnel!$E$9:$E$100)*((Personnel!$K$9:$K$100="")+(99&lt;=Personnel!$K$9:$K$100)&gt;0))</f>
        <v>7</v>
      </c>
      <c r="CZ43" s="367" t="n">
        <f aca="false">SUMPRODUCT((Personnel!$P$9:$P$100="SUPER")*(Personnel!$G$9:$G$100="Yes")*(100&gt;=Personnel!$E$9:$E$100)*((Personnel!$K$9:$K$100="")+(100&lt;=Personnel!$K$9:$K$100)&gt;0))</f>
        <v>7</v>
      </c>
      <c r="DA43" s="367" t="n">
        <f aca="false">SUMPRODUCT((Personnel!$P$9:$P$100="SUPER")*(Personnel!$G$9:$G$100="Yes")*(101&gt;=Personnel!$E$9:$E$100)*((Personnel!$K$9:$K$100="")+(101&lt;=Personnel!$K$9:$K$100)&gt;0))</f>
        <v>7</v>
      </c>
      <c r="DB43" s="367" t="n">
        <f aca="false">SUMPRODUCT((Personnel!$P$9:$P$100="SUPER")*(Personnel!$G$9:$G$100="Yes")*(102&gt;=Personnel!$E$9:$E$100)*((Personnel!$K$9:$K$100="")+(102&lt;=Personnel!$K$9:$K$100)&gt;0))</f>
        <v>7</v>
      </c>
      <c r="DC43" s="367" t="n">
        <f aca="false">SUMPRODUCT((Personnel!$P$9:$P$100="SUPER")*(Personnel!$G$9:$G$100="Yes")*(103&gt;=Personnel!$E$9:$E$100)*((Personnel!$K$9:$K$100="")+(103&lt;=Personnel!$K$9:$K$100)&gt;0))</f>
        <v>7</v>
      </c>
      <c r="DD43" s="367" t="n">
        <f aca="false">SUMPRODUCT((Personnel!$P$9:$P$100="SUPER")*(Personnel!$G$9:$G$100="Yes")*(104&gt;=Personnel!$E$9:$E$100)*((Personnel!$K$9:$K$100="")+(104&lt;=Personnel!$K$9:$K$100)&gt;0))</f>
        <v>7</v>
      </c>
      <c r="DE43" s="367" t="n">
        <f aca="false">SUMPRODUCT((Personnel!$P$9:$P$100="SUPER")*(Personnel!$G$9:$G$100="Yes")*(105&gt;=Personnel!$E$9:$E$100)*((Personnel!$K$9:$K$100="")+(105&lt;=Personnel!$K$9:$K$100)&gt;0))</f>
        <v>7</v>
      </c>
    </row>
    <row r="44" customFormat="false" ht="13.5" hidden="false" customHeight="true" outlineLevel="0" collapsed="false">
      <c r="A44" s="109" t="s">
        <v>1213</v>
      </c>
      <c r="E44" s="367" t="n">
        <f aca="false">SUMPRODUCT((Personnel!$P$9:$P$100="APM")*(Personnel!$G$9:$G$100="Yes")*(1&gt;=Personnel!$E$9:$E$100)*((Personnel!$K$9:$K$100="")+(1&lt;=Personnel!$K$9:$K$100)&gt;0))</f>
        <v>1</v>
      </c>
      <c r="F44" s="367" t="n">
        <f aca="false">SUMPRODUCT((Personnel!$P$9:$P$100="APM")*(Personnel!$G$9:$G$100="Yes")*(2&gt;=Personnel!$E$9:$E$100)*((Personnel!$K$9:$K$100="")+(2&lt;=Personnel!$K$9:$K$100)&gt;0))</f>
        <v>2</v>
      </c>
      <c r="G44" s="367" t="n">
        <f aca="false">SUMPRODUCT((Personnel!$P$9:$P$100="APM")*(Personnel!$G$9:$G$100="Yes")*(3&gt;=Personnel!$E$9:$E$100)*((Personnel!$K$9:$K$100="")+(3&lt;=Personnel!$K$9:$K$100)&gt;0))</f>
        <v>2</v>
      </c>
      <c r="H44" s="367" t="n">
        <f aca="false">SUMPRODUCT((Personnel!$P$9:$P$100="APM")*(Personnel!$G$9:$G$100="Yes")*(4&gt;=Personnel!$E$9:$E$100)*((Personnel!$K$9:$K$100="")+(4&lt;=Personnel!$K$9:$K$100)&gt;0))</f>
        <v>2</v>
      </c>
      <c r="I44" s="367" t="n">
        <f aca="false">SUMPRODUCT((Personnel!$P$9:$P$100="APM")*(Personnel!$G$9:$G$100="Yes")*(5&gt;=Personnel!$E$9:$E$100)*((Personnel!$K$9:$K$100="")+(5&lt;=Personnel!$K$9:$K$100)&gt;0))</f>
        <v>1</v>
      </c>
      <c r="J44" s="367" t="n">
        <f aca="false">SUMPRODUCT((Personnel!$P$9:$P$100="APM")*(Personnel!$G$9:$G$100="Yes")*(6&gt;=Personnel!$E$9:$E$100)*((Personnel!$K$9:$K$100="")+(6&lt;=Personnel!$K$9:$K$100)&gt;0))</f>
        <v>2</v>
      </c>
      <c r="K44" s="367" t="n">
        <f aca="false">SUMPRODUCT((Personnel!$P$9:$P$100="APM")*(Personnel!$G$9:$G$100="Yes")*(7&gt;=Personnel!$E$9:$E$100)*((Personnel!$K$9:$K$100="")+(7&lt;=Personnel!$K$9:$K$100)&gt;0))</f>
        <v>2</v>
      </c>
      <c r="L44" s="367" t="n">
        <f aca="false">SUMPRODUCT((Personnel!$P$9:$P$100="APM")*(Personnel!$G$9:$G$100="Yes")*(8&gt;=Personnel!$E$9:$E$100)*((Personnel!$K$9:$K$100="")+(8&lt;=Personnel!$K$9:$K$100)&gt;0))</f>
        <v>2</v>
      </c>
      <c r="M44" s="367" t="n">
        <f aca="false">SUMPRODUCT((Personnel!$P$9:$P$100="APM")*(Personnel!$G$9:$G$100="Yes")*(9&gt;=Personnel!$E$9:$E$100)*((Personnel!$K$9:$K$100="")+(9&lt;=Personnel!$K$9:$K$100)&gt;0))</f>
        <v>2</v>
      </c>
      <c r="N44" s="367" t="n">
        <f aca="false">SUMPRODUCT((Personnel!$P$9:$P$100="APM")*(Personnel!$G$9:$G$100="Yes")*(10&gt;=Personnel!$E$9:$E$100)*((Personnel!$K$9:$K$100="")+(10&lt;=Personnel!$K$9:$K$100)&gt;0))</f>
        <v>2</v>
      </c>
      <c r="O44" s="367" t="n">
        <f aca="false">SUMPRODUCT((Personnel!$P$9:$P$100="APM")*(Personnel!$G$9:$G$100="Yes")*(11&gt;=Personnel!$E$9:$E$100)*((Personnel!$K$9:$K$100="")+(11&lt;=Personnel!$K$9:$K$100)&gt;0))</f>
        <v>2</v>
      </c>
      <c r="P44" s="367" t="n">
        <f aca="false">SUMPRODUCT((Personnel!$P$9:$P$100="APM")*(Personnel!$G$9:$G$100="Yes")*(12&gt;=Personnel!$E$9:$E$100)*((Personnel!$K$9:$K$100="")+(12&lt;=Personnel!$K$9:$K$100)&gt;0))</f>
        <v>2</v>
      </c>
      <c r="Q44" s="367" t="n">
        <f aca="false">SUMPRODUCT((Personnel!$P$9:$P$100="APM")*(Personnel!$G$9:$G$100="Yes")*(13&gt;=Personnel!$E$9:$E$100)*((Personnel!$K$9:$K$100="")+(13&lt;=Personnel!$K$9:$K$100)&gt;0))</f>
        <v>2</v>
      </c>
      <c r="R44" s="367" t="n">
        <f aca="false">SUMPRODUCT((Personnel!$P$9:$P$100="APM")*(Personnel!$G$9:$G$100="Yes")*(14&gt;=Personnel!$E$9:$E$100)*((Personnel!$K$9:$K$100="")+(14&lt;=Personnel!$K$9:$K$100)&gt;0))</f>
        <v>2</v>
      </c>
      <c r="S44" s="367" t="n">
        <f aca="false">SUMPRODUCT((Personnel!$P$9:$P$100="APM")*(Personnel!$G$9:$G$100="Yes")*(15&gt;=Personnel!$E$9:$E$100)*((Personnel!$K$9:$K$100="")+(15&lt;=Personnel!$K$9:$K$100)&gt;0))</f>
        <v>2</v>
      </c>
      <c r="T44" s="367" t="n">
        <f aca="false">SUMPRODUCT((Personnel!$P$9:$P$100="APM")*(Personnel!$G$9:$G$100="Yes")*(16&gt;=Personnel!$E$9:$E$100)*((Personnel!$K$9:$K$100="")+(16&lt;=Personnel!$K$9:$K$100)&gt;0))</f>
        <v>2</v>
      </c>
      <c r="U44" s="367" t="n">
        <f aca="false">SUMPRODUCT((Personnel!$P$9:$P$100="APM")*(Personnel!$G$9:$G$100="Yes")*(17&gt;=Personnel!$E$9:$E$100)*((Personnel!$K$9:$K$100="")+(17&lt;=Personnel!$K$9:$K$100)&gt;0))</f>
        <v>2</v>
      </c>
      <c r="V44" s="367" t="n">
        <f aca="false">SUMPRODUCT((Personnel!$P$9:$P$100="APM")*(Personnel!$G$9:$G$100="Yes")*(18&gt;=Personnel!$E$9:$E$100)*((Personnel!$K$9:$K$100="")+(18&lt;=Personnel!$K$9:$K$100)&gt;0))</f>
        <v>2</v>
      </c>
      <c r="W44" s="367" t="n">
        <f aca="false">SUMPRODUCT((Personnel!$P$9:$P$100="APM")*(Personnel!$G$9:$G$100="Yes")*(19&gt;=Personnel!$E$9:$E$100)*((Personnel!$K$9:$K$100="")+(19&lt;=Personnel!$K$9:$K$100)&gt;0))</f>
        <v>2</v>
      </c>
      <c r="X44" s="367" t="n">
        <f aca="false">SUMPRODUCT((Personnel!$P$9:$P$100="APM")*(Personnel!$G$9:$G$100="Yes")*(20&gt;=Personnel!$E$9:$E$100)*((Personnel!$K$9:$K$100="")+(20&lt;=Personnel!$K$9:$K$100)&gt;0))</f>
        <v>2</v>
      </c>
      <c r="Y44" s="367" t="n">
        <f aca="false">SUMPRODUCT((Personnel!$P$9:$P$100="APM")*(Personnel!$G$9:$G$100="Yes")*(21&gt;=Personnel!$E$9:$E$100)*((Personnel!$K$9:$K$100="")+(21&lt;=Personnel!$K$9:$K$100)&gt;0))</f>
        <v>2</v>
      </c>
      <c r="Z44" s="367" t="n">
        <f aca="false">SUMPRODUCT((Personnel!$P$9:$P$100="APM")*(Personnel!$G$9:$G$100="Yes")*(22&gt;=Personnel!$E$9:$E$100)*((Personnel!$K$9:$K$100="")+(22&lt;=Personnel!$K$9:$K$100)&gt;0))</f>
        <v>2</v>
      </c>
      <c r="AA44" s="367" t="n">
        <f aca="false">SUMPRODUCT((Personnel!$P$9:$P$100="APM")*(Personnel!$G$9:$G$100="Yes")*(23&gt;=Personnel!$E$9:$E$100)*((Personnel!$K$9:$K$100="")+(23&lt;=Personnel!$K$9:$K$100)&gt;0))</f>
        <v>2</v>
      </c>
      <c r="AB44" s="367" t="n">
        <f aca="false">SUMPRODUCT((Personnel!$P$9:$P$100="APM")*(Personnel!$G$9:$G$100="Yes")*(24&gt;=Personnel!$E$9:$E$100)*((Personnel!$K$9:$K$100="")+(24&lt;=Personnel!$K$9:$K$100)&gt;0))</f>
        <v>2</v>
      </c>
      <c r="AC44" s="367" t="n">
        <f aca="false">SUMPRODUCT((Personnel!$P$9:$P$100="APM")*(Personnel!$G$9:$G$100="Yes")*(25&gt;=Personnel!$E$9:$E$100)*((Personnel!$K$9:$K$100="")+(25&lt;=Personnel!$K$9:$K$100)&gt;0))</f>
        <v>2</v>
      </c>
      <c r="AD44" s="367" t="n">
        <f aca="false">SUMPRODUCT((Personnel!$P$9:$P$100="APM")*(Personnel!$G$9:$G$100="Yes")*(26&gt;=Personnel!$E$9:$E$100)*((Personnel!$K$9:$K$100="")+(26&lt;=Personnel!$K$9:$K$100)&gt;0))</f>
        <v>2</v>
      </c>
      <c r="AE44" s="367" t="n">
        <f aca="false">SUMPRODUCT((Personnel!$P$9:$P$100="APM")*(Personnel!$G$9:$G$100="Yes")*(27&gt;=Personnel!$E$9:$E$100)*((Personnel!$K$9:$K$100="")+(27&lt;=Personnel!$K$9:$K$100)&gt;0))</f>
        <v>2</v>
      </c>
      <c r="AF44" s="367" t="n">
        <f aca="false">SUMPRODUCT((Personnel!$P$9:$P$100="APM")*(Personnel!$G$9:$G$100="Yes")*(28&gt;=Personnel!$E$9:$E$100)*((Personnel!$K$9:$K$100="")+(28&lt;=Personnel!$K$9:$K$100)&gt;0))</f>
        <v>2</v>
      </c>
      <c r="AG44" s="367" t="n">
        <f aca="false">SUMPRODUCT((Personnel!$P$9:$P$100="APM")*(Personnel!$G$9:$G$100="Yes")*(29&gt;=Personnel!$E$9:$E$100)*((Personnel!$K$9:$K$100="")+(29&lt;=Personnel!$K$9:$K$100)&gt;0))</f>
        <v>2</v>
      </c>
      <c r="AH44" s="367" t="n">
        <f aca="false">SUMPRODUCT((Personnel!$P$9:$P$100="APM")*(Personnel!$G$9:$G$100="Yes")*(30&gt;=Personnel!$E$9:$E$100)*((Personnel!$K$9:$K$100="")+(30&lt;=Personnel!$K$9:$K$100)&gt;0))</f>
        <v>2</v>
      </c>
      <c r="AI44" s="367" t="n">
        <f aca="false">SUMPRODUCT((Personnel!$P$9:$P$100="APM")*(Personnel!$G$9:$G$100="Yes")*(31&gt;=Personnel!$E$9:$E$100)*((Personnel!$K$9:$K$100="")+(31&lt;=Personnel!$K$9:$K$100)&gt;0))</f>
        <v>2</v>
      </c>
      <c r="AJ44" s="367" t="n">
        <f aca="false">SUMPRODUCT((Personnel!$P$9:$P$100="APM")*(Personnel!$G$9:$G$100="Yes")*(32&gt;=Personnel!$E$9:$E$100)*((Personnel!$K$9:$K$100="")+(32&lt;=Personnel!$K$9:$K$100)&gt;0))</f>
        <v>2</v>
      </c>
      <c r="AK44" s="367" t="n">
        <f aca="false">SUMPRODUCT((Personnel!$P$9:$P$100="APM")*(Personnel!$G$9:$G$100="Yes")*(33&gt;=Personnel!$E$9:$E$100)*((Personnel!$K$9:$K$100="")+(33&lt;=Personnel!$K$9:$K$100)&gt;0))</f>
        <v>2</v>
      </c>
      <c r="AL44" s="367" t="n">
        <f aca="false">SUMPRODUCT((Personnel!$P$9:$P$100="APM")*(Personnel!$G$9:$G$100="Yes")*(34&gt;=Personnel!$E$9:$E$100)*((Personnel!$K$9:$K$100="")+(34&lt;=Personnel!$K$9:$K$100)&gt;0))</f>
        <v>2</v>
      </c>
      <c r="AM44" s="367" t="n">
        <f aca="false">SUMPRODUCT((Personnel!$P$9:$P$100="APM")*(Personnel!$G$9:$G$100="Yes")*(35&gt;=Personnel!$E$9:$E$100)*((Personnel!$K$9:$K$100="")+(35&lt;=Personnel!$K$9:$K$100)&gt;0))</f>
        <v>2</v>
      </c>
      <c r="AN44" s="367" t="n">
        <f aca="false">SUMPRODUCT((Personnel!$P$9:$P$100="APM")*(Personnel!$G$9:$G$100="Yes")*(36&gt;=Personnel!$E$9:$E$100)*((Personnel!$K$9:$K$100="")+(36&lt;=Personnel!$K$9:$K$100)&gt;0))</f>
        <v>2</v>
      </c>
      <c r="AO44" s="367" t="n">
        <f aca="false">SUMPRODUCT((Personnel!$P$9:$P$100="APM")*(Personnel!$G$9:$G$100="Yes")*(37&gt;=Personnel!$E$9:$E$100)*((Personnel!$K$9:$K$100="")+(37&lt;=Personnel!$K$9:$K$100)&gt;0))</f>
        <v>2</v>
      </c>
      <c r="AP44" s="367" t="n">
        <f aca="false">SUMPRODUCT((Personnel!$P$9:$P$100="APM")*(Personnel!$G$9:$G$100="Yes")*(38&gt;=Personnel!$E$9:$E$100)*((Personnel!$K$9:$K$100="")+(38&lt;=Personnel!$K$9:$K$100)&gt;0))</f>
        <v>2</v>
      </c>
      <c r="AQ44" s="367" t="n">
        <f aca="false">SUMPRODUCT((Personnel!$P$9:$P$100="APM")*(Personnel!$G$9:$G$100="Yes")*(39&gt;=Personnel!$E$9:$E$100)*((Personnel!$K$9:$K$100="")+(39&lt;=Personnel!$K$9:$K$100)&gt;0))</f>
        <v>2</v>
      </c>
      <c r="AR44" s="367" t="n">
        <f aca="false">SUMPRODUCT((Personnel!$P$9:$P$100="APM")*(Personnel!$G$9:$G$100="Yes")*(40&gt;=Personnel!$E$9:$E$100)*((Personnel!$K$9:$K$100="")+(40&lt;=Personnel!$K$9:$K$100)&gt;0))</f>
        <v>2</v>
      </c>
      <c r="AS44" s="367" t="n">
        <f aca="false">SUMPRODUCT((Personnel!$P$9:$P$100="APM")*(Personnel!$G$9:$G$100="Yes")*(41&gt;=Personnel!$E$9:$E$100)*((Personnel!$K$9:$K$100="")+(41&lt;=Personnel!$K$9:$K$100)&gt;0))</f>
        <v>2</v>
      </c>
      <c r="AT44" s="367" t="n">
        <f aca="false">SUMPRODUCT((Personnel!$P$9:$P$100="APM")*(Personnel!$G$9:$G$100="Yes")*(42&gt;=Personnel!$E$9:$E$100)*((Personnel!$K$9:$K$100="")+(42&lt;=Personnel!$K$9:$K$100)&gt;0))</f>
        <v>2</v>
      </c>
      <c r="AU44" s="367" t="n">
        <f aca="false">SUMPRODUCT((Personnel!$P$9:$P$100="APM")*(Personnel!$G$9:$G$100="Yes")*(43&gt;=Personnel!$E$9:$E$100)*((Personnel!$K$9:$K$100="")+(43&lt;=Personnel!$K$9:$K$100)&gt;0))</f>
        <v>2</v>
      </c>
      <c r="AV44" s="367" t="n">
        <f aca="false">SUMPRODUCT((Personnel!$P$9:$P$100="APM")*(Personnel!$G$9:$G$100="Yes")*(44&gt;=Personnel!$E$9:$E$100)*((Personnel!$K$9:$K$100="")+(44&lt;=Personnel!$K$9:$K$100)&gt;0))</f>
        <v>2</v>
      </c>
      <c r="AW44" s="367" t="n">
        <f aca="false">SUMPRODUCT((Personnel!$P$9:$P$100="APM")*(Personnel!$G$9:$G$100="Yes")*(45&gt;=Personnel!$E$9:$E$100)*((Personnel!$K$9:$K$100="")+(45&lt;=Personnel!$K$9:$K$100)&gt;0))</f>
        <v>2</v>
      </c>
      <c r="AX44" s="367" t="n">
        <f aca="false">SUMPRODUCT((Personnel!$P$9:$P$100="APM")*(Personnel!$G$9:$G$100="Yes")*(46&gt;=Personnel!$E$9:$E$100)*((Personnel!$K$9:$K$100="")+(46&lt;=Personnel!$K$9:$K$100)&gt;0))</f>
        <v>2</v>
      </c>
      <c r="AY44" s="367" t="n">
        <f aca="false">SUMPRODUCT((Personnel!$P$9:$P$100="APM")*(Personnel!$G$9:$G$100="Yes")*(47&gt;=Personnel!$E$9:$E$100)*((Personnel!$K$9:$K$100="")+(47&lt;=Personnel!$K$9:$K$100)&gt;0))</f>
        <v>2</v>
      </c>
      <c r="AZ44" s="367" t="n">
        <f aca="false">SUMPRODUCT((Personnel!$P$9:$P$100="APM")*(Personnel!$G$9:$G$100="Yes")*(48&gt;=Personnel!$E$9:$E$100)*((Personnel!$K$9:$K$100="")+(48&lt;=Personnel!$K$9:$K$100)&gt;0))</f>
        <v>2</v>
      </c>
      <c r="BA44" s="367" t="n">
        <f aca="false">SUMPRODUCT((Personnel!$P$9:$P$100="APM")*(Personnel!$G$9:$G$100="Yes")*(49&gt;=Personnel!$E$9:$E$100)*((Personnel!$K$9:$K$100="")+(49&lt;=Personnel!$K$9:$K$100)&gt;0))</f>
        <v>2</v>
      </c>
      <c r="BB44" s="367" t="n">
        <f aca="false">SUMPRODUCT((Personnel!$P$9:$P$100="APM")*(Personnel!$G$9:$G$100="Yes")*(50&gt;=Personnel!$E$9:$E$100)*((Personnel!$K$9:$K$100="")+(50&lt;=Personnel!$K$9:$K$100)&gt;0))</f>
        <v>2</v>
      </c>
      <c r="BC44" s="367" t="n">
        <f aca="false">SUMPRODUCT((Personnel!$P$9:$P$100="APM")*(Personnel!$G$9:$G$100="Yes")*(51&gt;=Personnel!$E$9:$E$100)*((Personnel!$K$9:$K$100="")+(51&lt;=Personnel!$K$9:$K$100)&gt;0))</f>
        <v>2</v>
      </c>
      <c r="BD44" s="367" t="n">
        <f aca="false">SUMPRODUCT((Personnel!$P$9:$P$100="APM")*(Personnel!$G$9:$G$100="Yes")*(52&gt;=Personnel!$E$9:$E$100)*((Personnel!$K$9:$K$100="")+(52&lt;=Personnel!$K$9:$K$100)&gt;0))</f>
        <v>2</v>
      </c>
      <c r="BE44" s="367" t="n">
        <f aca="false">SUMPRODUCT((Personnel!$P$9:$P$100="APM")*(Personnel!$G$9:$G$100="Yes")*(53&gt;=Personnel!$E$9:$E$100)*((Personnel!$K$9:$K$100="")+(53&lt;=Personnel!$K$9:$K$100)&gt;0))</f>
        <v>2</v>
      </c>
      <c r="BF44" s="367" t="n">
        <f aca="false">SUMPRODUCT((Personnel!$P$9:$P$100="APM")*(Personnel!$G$9:$G$100="Yes")*(54&gt;=Personnel!$E$9:$E$100)*((Personnel!$K$9:$K$100="")+(54&lt;=Personnel!$K$9:$K$100)&gt;0))</f>
        <v>2</v>
      </c>
      <c r="BG44" s="367" t="n">
        <f aca="false">SUMPRODUCT((Personnel!$P$9:$P$100="APM")*(Personnel!$G$9:$G$100="Yes")*(55&gt;=Personnel!$E$9:$E$100)*((Personnel!$K$9:$K$100="")+(55&lt;=Personnel!$K$9:$K$100)&gt;0))</f>
        <v>2</v>
      </c>
      <c r="BH44" s="367" t="n">
        <f aca="false">SUMPRODUCT((Personnel!$P$9:$P$100="APM")*(Personnel!$G$9:$G$100="Yes")*(56&gt;=Personnel!$E$9:$E$100)*((Personnel!$K$9:$K$100="")+(56&lt;=Personnel!$K$9:$K$100)&gt;0))</f>
        <v>2</v>
      </c>
      <c r="BI44" s="367" t="n">
        <f aca="false">SUMPRODUCT((Personnel!$P$9:$P$100="APM")*(Personnel!$G$9:$G$100="Yes")*(57&gt;=Personnel!$E$9:$E$100)*((Personnel!$K$9:$K$100="")+(57&lt;=Personnel!$K$9:$K$100)&gt;0))</f>
        <v>2</v>
      </c>
      <c r="BJ44" s="367" t="n">
        <f aca="false">SUMPRODUCT((Personnel!$P$9:$P$100="APM")*(Personnel!$G$9:$G$100="Yes")*(58&gt;=Personnel!$E$9:$E$100)*((Personnel!$K$9:$K$100="")+(58&lt;=Personnel!$K$9:$K$100)&gt;0))</f>
        <v>2</v>
      </c>
      <c r="BK44" s="367" t="n">
        <f aca="false">SUMPRODUCT((Personnel!$P$9:$P$100="APM")*(Personnel!$G$9:$G$100="Yes")*(59&gt;=Personnel!$E$9:$E$100)*((Personnel!$K$9:$K$100="")+(59&lt;=Personnel!$K$9:$K$100)&gt;0))</f>
        <v>2</v>
      </c>
      <c r="BL44" s="367" t="n">
        <f aca="false">SUMPRODUCT((Personnel!$P$9:$P$100="APM")*(Personnel!$G$9:$G$100="Yes")*(60&gt;=Personnel!$E$9:$E$100)*((Personnel!$K$9:$K$100="")+(60&lt;=Personnel!$K$9:$K$100)&gt;0))</f>
        <v>2</v>
      </c>
      <c r="BM44" s="367" t="n">
        <f aca="false">SUMPRODUCT((Personnel!$P$9:$P$100="APM")*(Personnel!$G$9:$G$100="Yes")*(61&gt;=Personnel!$E$9:$E$100)*((Personnel!$K$9:$K$100="")+(61&lt;=Personnel!$K$9:$K$100)&gt;0))</f>
        <v>2</v>
      </c>
      <c r="BN44" s="367" t="n">
        <f aca="false">SUMPRODUCT((Personnel!$P$9:$P$100="APM")*(Personnel!$G$9:$G$100="Yes")*(62&gt;=Personnel!$E$9:$E$100)*((Personnel!$K$9:$K$100="")+(62&lt;=Personnel!$K$9:$K$100)&gt;0))</f>
        <v>2</v>
      </c>
      <c r="BO44" s="367" t="n">
        <f aca="false">SUMPRODUCT((Personnel!$P$9:$P$100="APM")*(Personnel!$G$9:$G$100="Yes")*(63&gt;=Personnel!$E$9:$E$100)*((Personnel!$K$9:$K$100="")+(63&lt;=Personnel!$K$9:$K$100)&gt;0))</f>
        <v>2</v>
      </c>
      <c r="BP44" s="367" t="n">
        <f aca="false">SUMPRODUCT((Personnel!$P$9:$P$100="APM")*(Personnel!$G$9:$G$100="Yes")*(64&gt;=Personnel!$E$9:$E$100)*((Personnel!$K$9:$K$100="")+(64&lt;=Personnel!$K$9:$K$100)&gt;0))</f>
        <v>2</v>
      </c>
      <c r="BQ44" s="367" t="n">
        <f aca="false">SUMPRODUCT((Personnel!$P$9:$P$100="APM")*(Personnel!$G$9:$G$100="Yes")*(65&gt;=Personnel!$E$9:$E$100)*((Personnel!$K$9:$K$100="")+(65&lt;=Personnel!$K$9:$K$100)&gt;0))</f>
        <v>2</v>
      </c>
      <c r="BR44" s="367" t="n">
        <f aca="false">SUMPRODUCT((Personnel!$P$9:$P$100="APM")*(Personnel!$G$9:$G$100="Yes")*(66&gt;=Personnel!$E$9:$E$100)*((Personnel!$K$9:$K$100="")+(66&lt;=Personnel!$K$9:$K$100)&gt;0))</f>
        <v>2</v>
      </c>
      <c r="BS44" s="367" t="n">
        <f aca="false">SUMPRODUCT((Personnel!$P$9:$P$100="APM")*(Personnel!$G$9:$G$100="Yes")*(67&gt;=Personnel!$E$9:$E$100)*((Personnel!$K$9:$K$100="")+(67&lt;=Personnel!$K$9:$K$100)&gt;0))</f>
        <v>2</v>
      </c>
      <c r="BT44" s="367" t="n">
        <f aca="false">SUMPRODUCT((Personnel!$P$9:$P$100="APM")*(Personnel!$G$9:$G$100="Yes")*(68&gt;=Personnel!$E$9:$E$100)*((Personnel!$K$9:$K$100="")+(68&lt;=Personnel!$K$9:$K$100)&gt;0))</f>
        <v>2</v>
      </c>
      <c r="BU44" s="367" t="n">
        <f aca="false">SUMPRODUCT((Personnel!$P$9:$P$100="APM")*(Personnel!$G$9:$G$100="Yes")*(69&gt;=Personnel!$E$9:$E$100)*((Personnel!$K$9:$K$100="")+(69&lt;=Personnel!$K$9:$K$100)&gt;0))</f>
        <v>2</v>
      </c>
      <c r="BV44" s="367" t="n">
        <f aca="false">SUMPRODUCT((Personnel!$P$9:$P$100="APM")*(Personnel!$G$9:$G$100="Yes")*(70&gt;=Personnel!$E$9:$E$100)*((Personnel!$K$9:$K$100="")+(70&lt;=Personnel!$K$9:$K$100)&gt;0))</f>
        <v>2</v>
      </c>
      <c r="BW44" s="367" t="n">
        <f aca="false">SUMPRODUCT((Personnel!$P$9:$P$100="APM")*(Personnel!$G$9:$G$100="Yes")*(71&gt;=Personnel!$E$9:$E$100)*((Personnel!$K$9:$K$100="")+(71&lt;=Personnel!$K$9:$K$100)&gt;0))</f>
        <v>2</v>
      </c>
      <c r="BX44" s="367" t="n">
        <f aca="false">SUMPRODUCT((Personnel!$P$9:$P$100="APM")*(Personnel!$G$9:$G$100="Yes")*(72&gt;=Personnel!$E$9:$E$100)*((Personnel!$K$9:$K$100="")+(72&lt;=Personnel!$K$9:$K$100)&gt;0))</f>
        <v>2</v>
      </c>
      <c r="BY44" s="367" t="n">
        <f aca="false">SUMPRODUCT((Personnel!$P$9:$P$100="APM")*(Personnel!$G$9:$G$100="Yes")*(73&gt;=Personnel!$E$9:$E$100)*((Personnel!$K$9:$K$100="")+(73&lt;=Personnel!$K$9:$K$100)&gt;0))</f>
        <v>2</v>
      </c>
      <c r="BZ44" s="367" t="n">
        <f aca="false">SUMPRODUCT((Personnel!$P$9:$P$100="APM")*(Personnel!$G$9:$G$100="Yes")*(74&gt;=Personnel!$E$9:$E$100)*((Personnel!$K$9:$K$100="")+(74&lt;=Personnel!$K$9:$K$100)&gt;0))</f>
        <v>2</v>
      </c>
      <c r="CA44" s="367" t="n">
        <f aca="false">SUMPRODUCT((Personnel!$P$9:$P$100="APM")*(Personnel!$G$9:$G$100="Yes")*(75&gt;=Personnel!$E$9:$E$100)*((Personnel!$K$9:$K$100="")+(75&lt;=Personnel!$K$9:$K$100)&gt;0))</f>
        <v>2</v>
      </c>
      <c r="CB44" s="367" t="n">
        <f aca="false">SUMPRODUCT((Personnel!$P$9:$P$100="APM")*(Personnel!$G$9:$G$100="Yes")*(76&gt;=Personnel!$E$9:$E$100)*((Personnel!$K$9:$K$100="")+(76&lt;=Personnel!$K$9:$K$100)&gt;0))</f>
        <v>2</v>
      </c>
      <c r="CC44" s="367" t="n">
        <f aca="false">SUMPRODUCT((Personnel!$P$9:$P$100="APM")*(Personnel!$G$9:$G$100="Yes")*(77&gt;=Personnel!$E$9:$E$100)*((Personnel!$K$9:$K$100="")+(77&lt;=Personnel!$K$9:$K$100)&gt;0))</f>
        <v>2</v>
      </c>
      <c r="CD44" s="367" t="n">
        <f aca="false">SUMPRODUCT((Personnel!$P$9:$P$100="APM")*(Personnel!$G$9:$G$100="Yes")*(78&gt;=Personnel!$E$9:$E$100)*((Personnel!$K$9:$K$100="")+(78&lt;=Personnel!$K$9:$K$100)&gt;0))</f>
        <v>2</v>
      </c>
      <c r="CE44" s="367" t="n">
        <f aca="false">SUMPRODUCT((Personnel!$P$9:$P$100="APM")*(Personnel!$G$9:$G$100="Yes")*(79&gt;=Personnel!$E$9:$E$100)*((Personnel!$K$9:$K$100="")+(79&lt;=Personnel!$K$9:$K$100)&gt;0))</f>
        <v>2</v>
      </c>
      <c r="CF44" s="367" t="n">
        <f aca="false">SUMPRODUCT((Personnel!$P$9:$P$100="APM")*(Personnel!$G$9:$G$100="Yes")*(80&gt;=Personnel!$E$9:$E$100)*((Personnel!$K$9:$K$100="")+(80&lt;=Personnel!$K$9:$K$100)&gt;0))</f>
        <v>2</v>
      </c>
      <c r="CG44" s="367" t="n">
        <f aca="false">SUMPRODUCT((Personnel!$P$9:$P$100="APM")*(Personnel!$G$9:$G$100="Yes")*(81&gt;=Personnel!$E$9:$E$100)*((Personnel!$K$9:$K$100="")+(81&lt;=Personnel!$K$9:$K$100)&gt;0))</f>
        <v>2</v>
      </c>
      <c r="CH44" s="367" t="n">
        <f aca="false">SUMPRODUCT((Personnel!$P$9:$P$100="APM")*(Personnel!$G$9:$G$100="Yes")*(82&gt;=Personnel!$E$9:$E$100)*((Personnel!$K$9:$K$100="")+(82&lt;=Personnel!$K$9:$K$100)&gt;0))</f>
        <v>2</v>
      </c>
      <c r="CI44" s="367" t="n">
        <f aca="false">SUMPRODUCT((Personnel!$P$9:$P$100="APM")*(Personnel!$G$9:$G$100="Yes")*(83&gt;=Personnel!$E$9:$E$100)*((Personnel!$K$9:$K$100="")+(83&lt;=Personnel!$K$9:$K$100)&gt;0))</f>
        <v>2</v>
      </c>
      <c r="CJ44" s="367" t="n">
        <f aca="false">SUMPRODUCT((Personnel!$P$9:$P$100="APM")*(Personnel!$G$9:$G$100="Yes")*(84&gt;=Personnel!$E$9:$E$100)*((Personnel!$K$9:$K$100="")+(84&lt;=Personnel!$K$9:$K$100)&gt;0))</f>
        <v>2</v>
      </c>
      <c r="CK44" s="367" t="n">
        <f aca="false">SUMPRODUCT((Personnel!$P$9:$P$100="APM")*(Personnel!$G$9:$G$100="Yes")*(85&gt;=Personnel!$E$9:$E$100)*((Personnel!$K$9:$K$100="")+(85&lt;=Personnel!$K$9:$K$100)&gt;0))</f>
        <v>2</v>
      </c>
      <c r="CL44" s="367" t="n">
        <f aca="false">SUMPRODUCT((Personnel!$P$9:$P$100="APM")*(Personnel!$G$9:$G$100="Yes")*(86&gt;=Personnel!$E$9:$E$100)*((Personnel!$K$9:$K$100="")+(86&lt;=Personnel!$K$9:$K$100)&gt;0))</f>
        <v>2</v>
      </c>
      <c r="CM44" s="367" t="n">
        <f aca="false">SUMPRODUCT((Personnel!$P$9:$P$100="APM")*(Personnel!$G$9:$G$100="Yes")*(87&gt;=Personnel!$E$9:$E$100)*((Personnel!$K$9:$K$100="")+(87&lt;=Personnel!$K$9:$K$100)&gt;0))</f>
        <v>2</v>
      </c>
      <c r="CN44" s="367" t="n">
        <f aca="false">SUMPRODUCT((Personnel!$P$9:$P$100="APM")*(Personnel!$G$9:$G$100="Yes")*(88&gt;=Personnel!$E$9:$E$100)*((Personnel!$K$9:$K$100="")+(88&lt;=Personnel!$K$9:$K$100)&gt;0))</f>
        <v>2</v>
      </c>
      <c r="CO44" s="367" t="n">
        <f aca="false">SUMPRODUCT((Personnel!$P$9:$P$100="APM")*(Personnel!$G$9:$G$100="Yes")*(89&gt;=Personnel!$E$9:$E$100)*((Personnel!$K$9:$K$100="")+(89&lt;=Personnel!$K$9:$K$100)&gt;0))</f>
        <v>2</v>
      </c>
      <c r="CP44" s="367" t="n">
        <f aca="false">SUMPRODUCT((Personnel!$P$9:$P$100="APM")*(Personnel!$G$9:$G$100="Yes")*(90&gt;=Personnel!$E$9:$E$100)*((Personnel!$K$9:$K$100="")+(90&lt;=Personnel!$K$9:$K$100)&gt;0))</f>
        <v>2</v>
      </c>
      <c r="CQ44" s="367" t="n">
        <f aca="false">SUMPRODUCT((Personnel!$P$9:$P$100="APM")*(Personnel!$G$9:$G$100="Yes")*(91&gt;=Personnel!$E$9:$E$100)*((Personnel!$K$9:$K$100="")+(91&lt;=Personnel!$K$9:$K$100)&gt;0))</f>
        <v>2</v>
      </c>
      <c r="CR44" s="367" t="n">
        <f aca="false">SUMPRODUCT((Personnel!$P$9:$P$100="APM")*(Personnel!$G$9:$G$100="Yes")*(92&gt;=Personnel!$E$9:$E$100)*((Personnel!$K$9:$K$100="")+(92&lt;=Personnel!$K$9:$K$100)&gt;0))</f>
        <v>2</v>
      </c>
      <c r="CS44" s="367" t="n">
        <f aca="false">SUMPRODUCT((Personnel!$P$9:$P$100="APM")*(Personnel!$G$9:$G$100="Yes")*(93&gt;=Personnel!$E$9:$E$100)*((Personnel!$K$9:$K$100="")+(93&lt;=Personnel!$K$9:$K$100)&gt;0))</f>
        <v>2</v>
      </c>
      <c r="CT44" s="367" t="n">
        <f aca="false">SUMPRODUCT((Personnel!$P$9:$P$100="APM")*(Personnel!$G$9:$G$100="Yes")*(94&gt;=Personnel!$E$9:$E$100)*((Personnel!$K$9:$K$100="")+(94&lt;=Personnel!$K$9:$K$100)&gt;0))</f>
        <v>2</v>
      </c>
      <c r="CU44" s="367" t="n">
        <f aca="false">SUMPRODUCT((Personnel!$P$9:$P$100="APM")*(Personnel!$G$9:$G$100="Yes")*(95&gt;=Personnel!$E$9:$E$100)*((Personnel!$K$9:$K$100="")+(95&lt;=Personnel!$K$9:$K$100)&gt;0))</f>
        <v>2</v>
      </c>
      <c r="CV44" s="367" t="n">
        <f aca="false">SUMPRODUCT((Personnel!$P$9:$P$100="APM")*(Personnel!$G$9:$G$100="Yes")*(96&gt;=Personnel!$E$9:$E$100)*((Personnel!$K$9:$K$100="")+(96&lt;=Personnel!$K$9:$K$100)&gt;0))</f>
        <v>2</v>
      </c>
      <c r="CW44" s="367" t="n">
        <f aca="false">SUMPRODUCT((Personnel!$P$9:$P$100="APM")*(Personnel!$G$9:$G$100="Yes")*(97&gt;=Personnel!$E$9:$E$100)*((Personnel!$K$9:$K$100="")+(97&lt;=Personnel!$K$9:$K$100)&gt;0))</f>
        <v>2</v>
      </c>
      <c r="CX44" s="367" t="n">
        <f aca="false">SUMPRODUCT((Personnel!$P$9:$P$100="APM")*(Personnel!$G$9:$G$100="Yes")*(98&gt;=Personnel!$E$9:$E$100)*((Personnel!$K$9:$K$100="")+(98&lt;=Personnel!$K$9:$K$100)&gt;0))</f>
        <v>2</v>
      </c>
      <c r="CY44" s="367" t="n">
        <f aca="false">SUMPRODUCT((Personnel!$P$9:$P$100="APM")*(Personnel!$G$9:$G$100="Yes")*(99&gt;=Personnel!$E$9:$E$100)*((Personnel!$K$9:$K$100="")+(99&lt;=Personnel!$K$9:$K$100)&gt;0))</f>
        <v>2</v>
      </c>
      <c r="CZ44" s="367" t="n">
        <f aca="false">SUMPRODUCT((Personnel!$P$9:$P$100="APM")*(Personnel!$G$9:$G$100="Yes")*(100&gt;=Personnel!$E$9:$E$100)*((Personnel!$K$9:$K$100="")+(100&lt;=Personnel!$K$9:$K$100)&gt;0))</f>
        <v>2</v>
      </c>
      <c r="DA44" s="367" t="n">
        <f aca="false">SUMPRODUCT((Personnel!$P$9:$P$100="APM")*(Personnel!$G$9:$G$100="Yes")*(101&gt;=Personnel!$E$9:$E$100)*((Personnel!$K$9:$K$100="")+(101&lt;=Personnel!$K$9:$K$100)&gt;0))</f>
        <v>2</v>
      </c>
      <c r="DB44" s="367" t="n">
        <f aca="false">SUMPRODUCT((Personnel!$P$9:$P$100="APM")*(Personnel!$G$9:$G$100="Yes")*(102&gt;=Personnel!$E$9:$E$100)*((Personnel!$K$9:$K$100="")+(102&lt;=Personnel!$K$9:$K$100)&gt;0))</f>
        <v>2</v>
      </c>
      <c r="DC44" s="367" t="n">
        <f aca="false">SUMPRODUCT((Personnel!$P$9:$P$100="APM")*(Personnel!$G$9:$G$100="Yes")*(103&gt;=Personnel!$E$9:$E$100)*((Personnel!$K$9:$K$100="")+(103&lt;=Personnel!$K$9:$K$100)&gt;0))</f>
        <v>2</v>
      </c>
      <c r="DD44" s="367" t="n">
        <f aca="false">SUMPRODUCT((Personnel!$P$9:$P$100="APM")*(Personnel!$G$9:$G$100="Yes")*(104&gt;=Personnel!$E$9:$E$100)*((Personnel!$K$9:$K$100="")+(104&lt;=Personnel!$K$9:$K$100)&gt;0))</f>
        <v>2</v>
      </c>
      <c r="DE44" s="367" t="n">
        <f aca="false">SUMPRODUCT((Personnel!$P$9:$P$100="APM")*(Personnel!$G$9:$G$100="Yes")*(105&gt;=Personnel!$E$9:$E$100)*((Personnel!$K$9:$K$100="")+(105&lt;=Personnel!$K$9:$K$100)&gt;0))</f>
        <v>2</v>
      </c>
    </row>
    <row r="45" customFormat="false" ht="13.5" hidden="false" customHeight="true" outlineLevel="0" collapsed="false">
      <c r="A45" s="109" t="s">
        <v>1214</v>
      </c>
      <c r="E45" s="367" t="n">
        <f aca="false">SUMPRODUCT((Personnel!$P$9:$P$100="PM")*(Personnel!$G$9:$G$100="Yes")*(1&gt;=Personnel!$E$9:$E$100)*((Personnel!$K$9:$K$100="")+(1&lt;=Personnel!$K$9:$K$100)&gt;0))</f>
        <v>3</v>
      </c>
      <c r="F45" s="367" t="n">
        <f aca="false">SUMPRODUCT((Personnel!$P$9:$P$100="PM")*(Personnel!$G$9:$G$100="Yes")*(2&gt;=Personnel!$E$9:$E$100)*((Personnel!$K$9:$K$100="")+(2&lt;=Personnel!$K$9:$K$100)&gt;0))</f>
        <v>3</v>
      </c>
      <c r="G45" s="367" t="n">
        <f aca="false">SUMPRODUCT((Personnel!$P$9:$P$100="PM")*(Personnel!$G$9:$G$100="Yes")*(3&gt;=Personnel!$E$9:$E$100)*((Personnel!$K$9:$K$100="")+(3&lt;=Personnel!$K$9:$K$100)&gt;0))</f>
        <v>3</v>
      </c>
      <c r="H45" s="367" t="n">
        <f aca="false">SUMPRODUCT((Personnel!$P$9:$P$100="PM")*(Personnel!$G$9:$G$100="Yes")*(4&gt;=Personnel!$E$9:$E$100)*((Personnel!$K$9:$K$100="")+(4&lt;=Personnel!$K$9:$K$100)&gt;0))</f>
        <v>3</v>
      </c>
      <c r="I45" s="367" t="n">
        <f aca="false">SUMPRODUCT((Personnel!$P$9:$P$100="PM")*(Personnel!$G$9:$G$100="Yes")*(5&gt;=Personnel!$E$9:$E$100)*((Personnel!$K$9:$K$100="")+(5&lt;=Personnel!$K$9:$K$100)&gt;0))</f>
        <v>3</v>
      </c>
      <c r="J45" s="367" t="n">
        <f aca="false">SUMPRODUCT((Personnel!$P$9:$P$100="PM")*(Personnel!$G$9:$G$100="Yes")*(6&gt;=Personnel!$E$9:$E$100)*((Personnel!$K$9:$K$100="")+(6&lt;=Personnel!$K$9:$K$100)&gt;0))</f>
        <v>3</v>
      </c>
      <c r="K45" s="367" t="n">
        <f aca="false">SUMPRODUCT((Personnel!$P$9:$P$100="PM")*(Personnel!$G$9:$G$100="Yes")*(7&gt;=Personnel!$E$9:$E$100)*((Personnel!$K$9:$K$100="")+(7&lt;=Personnel!$K$9:$K$100)&gt;0))</f>
        <v>3</v>
      </c>
      <c r="L45" s="367" t="n">
        <f aca="false">SUMPRODUCT((Personnel!$P$9:$P$100="PM")*(Personnel!$G$9:$G$100="Yes")*(8&gt;=Personnel!$E$9:$E$100)*((Personnel!$K$9:$K$100="")+(8&lt;=Personnel!$K$9:$K$100)&gt;0))</f>
        <v>3</v>
      </c>
      <c r="M45" s="367" t="n">
        <f aca="false">SUMPRODUCT((Personnel!$P$9:$P$100="PM")*(Personnel!$G$9:$G$100="Yes")*(9&gt;=Personnel!$E$9:$E$100)*((Personnel!$K$9:$K$100="")+(9&lt;=Personnel!$K$9:$K$100)&gt;0))</f>
        <v>3</v>
      </c>
      <c r="N45" s="367" t="n">
        <f aca="false">SUMPRODUCT((Personnel!$P$9:$P$100="PM")*(Personnel!$G$9:$G$100="Yes")*(10&gt;=Personnel!$E$9:$E$100)*((Personnel!$K$9:$K$100="")+(10&lt;=Personnel!$K$9:$K$100)&gt;0))</f>
        <v>3</v>
      </c>
      <c r="O45" s="367" t="n">
        <f aca="false">SUMPRODUCT((Personnel!$P$9:$P$100="PM")*(Personnel!$G$9:$G$100="Yes")*(11&gt;=Personnel!$E$9:$E$100)*((Personnel!$K$9:$K$100="")+(11&lt;=Personnel!$K$9:$K$100)&gt;0))</f>
        <v>3</v>
      </c>
      <c r="P45" s="367" t="n">
        <f aca="false">SUMPRODUCT((Personnel!$P$9:$P$100="PM")*(Personnel!$G$9:$G$100="Yes")*(12&gt;=Personnel!$E$9:$E$100)*((Personnel!$K$9:$K$100="")+(12&lt;=Personnel!$K$9:$K$100)&gt;0))</f>
        <v>3</v>
      </c>
      <c r="Q45" s="367" t="n">
        <f aca="false">SUMPRODUCT((Personnel!$P$9:$P$100="PM")*(Personnel!$G$9:$G$100="Yes")*(13&gt;=Personnel!$E$9:$E$100)*((Personnel!$K$9:$K$100="")+(13&lt;=Personnel!$K$9:$K$100)&gt;0))</f>
        <v>3</v>
      </c>
      <c r="R45" s="367" t="n">
        <f aca="false">SUMPRODUCT((Personnel!$P$9:$P$100="PM")*(Personnel!$G$9:$G$100="Yes")*(14&gt;=Personnel!$E$9:$E$100)*((Personnel!$K$9:$K$100="")+(14&lt;=Personnel!$K$9:$K$100)&gt;0))</f>
        <v>3</v>
      </c>
      <c r="S45" s="367" t="n">
        <f aca="false">SUMPRODUCT((Personnel!$P$9:$P$100="PM")*(Personnel!$G$9:$G$100="Yes")*(15&gt;=Personnel!$E$9:$E$100)*((Personnel!$K$9:$K$100="")+(15&lt;=Personnel!$K$9:$K$100)&gt;0))</f>
        <v>3</v>
      </c>
      <c r="T45" s="367" t="n">
        <f aca="false">SUMPRODUCT((Personnel!$P$9:$P$100="PM")*(Personnel!$G$9:$G$100="Yes")*(16&gt;=Personnel!$E$9:$E$100)*((Personnel!$K$9:$K$100="")+(16&lt;=Personnel!$K$9:$K$100)&gt;0))</f>
        <v>3</v>
      </c>
      <c r="U45" s="367" t="n">
        <f aca="false">SUMPRODUCT((Personnel!$P$9:$P$100="PM")*(Personnel!$G$9:$G$100="Yes")*(17&gt;=Personnel!$E$9:$E$100)*((Personnel!$K$9:$K$100="")+(17&lt;=Personnel!$K$9:$K$100)&gt;0))</f>
        <v>3</v>
      </c>
      <c r="V45" s="367" t="n">
        <f aca="false">SUMPRODUCT((Personnel!$P$9:$P$100="PM")*(Personnel!$G$9:$G$100="Yes")*(18&gt;=Personnel!$E$9:$E$100)*((Personnel!$K$9:$K$100="")+(18&lt;=Personnel!$K$9:$K$100)&gt;0))</f>
        <v>3</v>
      </c>
      <c r="W45" s="367" t="n">
        <f aca="false">SUMPRODUCT((Personnel!$P$9:$P$100="PM")*(Personnel!$G$9:$G$100="Yes")*(19&gt;=Personnel!$E$9:$E$100)*((Personnel!$K$9:$K$100="")+(19&lt;=Personnel!$K$9:$K$100)&gt;0))</f>
        <v>3</v>
      </c>
      <c r="X45" s="367" t="n">
        <f aca="false">SUMPRODUCT((Personnel!$P$9:$P$100="PM")*(Personnel!$G$9:$G$100="Yes")*(20&gt;=Personnel!$E$9:$E$100)*((Personnel!$K$9:$K$100="")+(20&lt;=Personnel!$K$9:$K$100)&gt;0))</f>
        <v>3</v>
      </c>
      <c r="Y45" s="367" t="n">
        <f aca="false">SUMPRODUCT((Personnel!$P$9:$P$100="PM")*(Personnel!$G$9:$G$100="Yes")*(21&gt;=Personnel!$E$9:$E$100)*((Personnel!$K$9:$K$100="")+(21&lt;=Personnel!$K$9:$K$100)&gt;0))</f>
        <v>3</v>
      </c>
      <c r="Z45" s="367" t="n">
        <f aca="false">SUMPRODUCT((Personnel!$P$9:$P$100="PM")*(Personnel!$G$9:$G$100="Yes")*(22&gt;=Personnel!$E$9:$E$100)*((Personnel!$K$9:$K$100="")+(22&lt;=Personnel!$K$9:$K$100)&gt;0))</f>
        <v>3</v>
      </c>
      <c r="AA45" s="367" t="n">
        <f aca="false">SUMPRODUCT((Personnel!$P$9:$P$100="PM")*(Personnel!$G$9:$G$100="Yes")*(23&gt;=Personnel!$E$9:$E$100)*((Personnel!$K$9:$K$100="")+(23&lt;=Personnel!$K$9:$K$100)&gt;0))</f>
        <v>3</v>
      </c>
      <c r="AB45" s="367" t="n">
        <f aca="false">SUMPRODUCT((Personnel!$P$9:$P$100="PM")*(Personnel!$G$9:$G$100="Yes")*(24&gt;=Personnel!$E$9:$E$100)*((Personnel!$K$9:$K$100="")+(24&lt;=Personnel!$K$9:$K$100)&gt;0))</f>
        <v>3</v>
      </c>
      <c r="AC45" s="367" t="n">
        <f aca="false">SUMPRODUCT((Personnel!$P$9:$P$100="PM")*(Personnel!$G$9:$G$100="Yes")*(25&gt;=Personnel!$E$9:$E$100)*((Personnel!$K$9:$K$100="")+(25&lt;=Personnel!$K$9:$K$100)&gt;0))</f>
        <v>3</v>
      </c>
      <c r="AD45" s="367" t="n">
        <f aca="false">SUMPRODUCT((Personnel!$P$9:$P$100="PM")*(Personnel!$G$9:$G$100="Yes")*(26&gt;=Personnel!$E$9:$E$100)*((Personnel!$K$9:$K$100="")+(26&lt;=Personnel!$K$9:$K$100)&gt;0))</f>
        <v>3</v>
      </c>
      <c r="AE45" s="367" t="n">
        <f aca="false">SUMPRODUCT((Personnel!$P$9:$P$100="PM")*(Personnel!$G$9:$G$100="Yes")*(27&gt;=Personnel!$E$9:$E$100)*((Personnel!$K$9:$K$100="")+(27&lt;=Personnel!$K$9:$K$100)&gt;0))</f>
        <v>3</v>
      </c>
      <c r="AF45" s="367" t="n">
        <f aca="false">SUMPRODUCT((Personnel!$P$9:$P$100="PM")*(Personnel!$G$9:$G$100="Yes")*(28&gt;=Personnel!$E$9:$E$100)*((Personnel!$K$9:$K$100="")+(28&lt;=Personnel!$K$9:$K$100)&gt;0))</f>
        <v>3</v>
      </c>
      <c r="AG45" s="367" t="n">
        <f aca="false">SUMPRODUCT((Personnel!$P$9:$P$100="PM")*(Personnel!$G$9:$G$100="Yes")*(29&gt;=Personnel!$E$9:$E$100)*((Personnel!$K$9:$K$100="")+(29&lt;=Personnel!$K$9:$K$100)&gt;0))</f>
        <v>3</v>
      </c>
      <c r="AH45" s="367" t="n">
        <f aca="false">SUMPRODUCT((Personnel!$P$9:$P$100="PM")*(Personnel!$G$9:$G$100="Yes")*(30&gt;=Personnel!$E$9:$E$100)*((Personnel!$K$9:$K$100="")+(30&lt;=Personnel!$K$9:$K$100)&gt;0))</f>
        <v>3</v>
      </c>
      <c r="AI45" s="367" t="n">
        <f aca="false">SUMPRODUCT((Personnel!$P$9:$P$100="PM")*(Personnel!$G$9:$G$100="Yes")*(31&gt;=Personnel!$E$9:$E$100)*((Personnel!$K$9:$K$100="")+(31&lt;=Personnel!$K$9:$K$100)&gt;0))</f>
        <v>3</v>
      </c>
      <c r="AJ45" s="367" t="n">
        <f aca="false">SUMPRODUCT((Personnel!$P$9:$P$100="PM")*(Personnel!$G$9:$G$100="Yes")*(32&gt;=Personnel!$E$9:$E$100)*((Personnel!$K$9:$K$100="")+(32&lt;=Personnel!$K$9:$K$100)&gt;0))</f>
        <v>3</v>
      </c>
      <c r="AK45" s="367" t="n">
        <f aca="false">SUMPRODUCT((Personnel!$P$9:$P$100="PM")*(Personnel!$G$9:$G$100="Yes")*(33&gt;=Personnel!$E$9:$E$100)*((Personnel!$K$9:$K$100="")+(33&lt;=Personnel!$K$9:$K$100)&gt;0))</f>
        <v>3</v>
      </c>
      <c r="AL45" s="367" t="n">
        <f aca="false">SUMPRODUCT((Personnel!$P$9:$P$100="PM")*(Personnel!$G$9:$G$100="Yes")*(34&gt;=Personnel!$E$9:$E$100)*((Personnel!$K$9:$K$100="")+(34&lt;=Personnel!$K$9:$K$100)&gt;0))</f>
        <v>3</v>
      </c>
      <c r="AM45" s="367" t="n">
        <f aca="false">SUMPRODUCT((Personnel!$P$9:$P$100="PM")*(Personnel!$G$9:$G$100="Yes")*(35&gt;=Personnel!$E$9:$E$100)*((Personnel!$K$9:$K$100="")+(35&lt;=Personnel!$K$9:$K$100)&gt;0))</f>
        <v>3</v>
      </c>
      <c r="AN45" s="367" t="n">
        <f aca="false">SUMPRODUCT((Personnel!$P$9:$P$100="PM")*(Personnel!$G$9:$G$100="Yes")*(36&gt;=Personnel!$E$9:$E$100)*((Personnel!$K$9:$K$100="")+(36&lt;=Personnel!$K$9:$K$100)&gt;0))</f>
        <v>3</v>
      </c>
      <c r="AO45" s="367" t="n">
        <f aca="false">SUMPRODUCT((Personnel!$P$9:$P$100="PM")*(Personnel!$G$9:$G$100="Yes")*(37&gt;=Personnel!$E$9:$E$100)*((Personnel!$K$9:$K$100="")+(37&lt;=Personnel!$K$9:$K$100)&gt;0))</f>
        <v>3</v>
      </c>
      <c r="AP45" s="367" t="n">
        <f aca="false">SUMPRODUCT((Personnel!$P$9:$P$100="PM")*(Personnel!$G$9:$G$100="Yes")*(38&gt;=Personnel!$E$9:$E$100)*((Personnel!$K$9:$K$100="")+(38&lt;=Personnel!$K$9:$K$100)&gt;0))</f>
        <v>3</v>
      </c>
      <c r="AQ45" s="367" t="n">
        <f aca="false">SUMPRODUCT((Personnel!$P$9:$P$100="PM")*(Personnel!$G$9:$G$100="Yes")*(39&gt;=Personnel!$E$9:$E$100)*((Personnel!$K$9:$K$100="")+(39&lt;=Personnel!$K$9:$K$100)&gt;0))</f>
        <v>3</v>
      </c>
      <c r="AR45" s="367" t="n">
        <f aca="false">SUMPRODUCT((Personnel!$P$9:$P$100="PM")*(Personnel!$G$9:$G$100="Yes")*(40&gt;=Personnel!$E$9:$E$100)*((Personnel!$K$9:$K$100="")+(40&lt;=Personnel!$K$9:$K$100)&gt;0))</f>
        <v>3</v>
      </c>
      <c r="AS45" s="367" t="n">
        <f aca="false">SUMPRODUCT((Personnel!$P$9:$P$100="PM")*(Personnel!$G$9:$G$100="Yes")*(41&gt;=Personnel!$E$9:$E$100)*((Personnel!$K$9:$K$100="")+(41&lt;=Personnel!$K$9:$K$100)&gt;0))</f>
        <v>3</v>
      </c>
      <c r="AT45" s="367" t="n">
        <f aca="false">SUMPRODUCT((Personnel!$P$9:$P$100="PM")*(Personnel!$G$9:$G$100="Yes")*(42&gt;=Personnel!$E$9:$E$100)*((Personnel!$K$9:$K$100="")+(42&lt;=Personnel!$K$9:$K$100)&gt;0))</f>
        <v>3</v>
      </c>
      <c r="AU45" s="367" t="n">
        <f aca="false">SUMPRODUCT((Personnel!$P$9:$P$100="PM")*(Personnel!$G$9:$G$100="Yes")*(43&gt;=Personnel!$E$9:$E$100)*((Personnel!$K$9:$K$100="")+(43&lt;=Personnel!$K$9:$K$100)&gt;0))</f>
        <v>3</v>
      </c>
      <c r="AV45" s="367" t="n">
        <f aca="false">SUMPRODUCT((Personnel!$P$9:$P$100="PM")*(Personnel!$G$9:$G$100="Yes")*(44&gt;=Personnel!$E$9:$E$100)*((Personnel!$K$9:$K$100="")+(44&lt;=Personnel!$K$9:$K$100)&gt;0))</f>
        <v>3</v>
      </c>
      <c r="AW45" s="367" t="n">
        <f aca="false">SUMPRODUCT((Personnel!$P$9:$P$100="PM")*(Personnel!$G$9:$G$100="Yes")*(45&gt;=Personnel!$E$9:$E$100)*((Personnel!$K$9:$K$100="")+(45&lt;=Personnel!$K$9:$K$100)&gt;0))</f>
        <v>3</v>
      </c>
      <c r="AX45" s="367" t="n">
        <f aca="false">SUMPRODUCT((Personnel!$P$9:$P$100="PM")*(Personnel!$G$9:$G$100="Yes")*(46&gt;=Personnel!$E$9:$E$100)*((Personnel!$K$9:$K$100="")+(46&lt;=Personnel!$K$9:$K$100)&gt;0))</f>
        <v>3</v>
      </c>
      <c r="AY45" s="367" t="n">
        <f aca="false">SUMPRODUCT((Personnel!$P$9:$P$100="PM")*(Personnel!$G$9:$G$100="Yes")*(47&gt;=Personnel!$E$9:$E$100)*((Personnel!$K$9:$K$100="")+(47&lt;=Personnel!$K$9:$K$100)&gt;0))</f>
        <v>3</v>
      </c>
      <c r="AZ45" s="367" t="n">
        <f aca="false">SUMPRODUCT((Personnel!$P$9:$P$100="PM")*(Personnel!$G$9:$G$100="Yes")*(48&gt;=Personnel!$E$9:$E$100)*((Personnel!$K$9:$K$100="")+(48&lt;=Personnel!$K$9:$K$100)&gt;0))</f>
        <v>3</v>
      </c>
      <c r="BA45" s="367" t="n">
        <f aca="false">SUMPRODUCT((Personnel!$P$9:$P$100="PM")*(Personnel!$G$9:$G$100="Yes")*(49&gt;=Personnel!$E$9:$E$100)*((Personnel!$K$9:$K$100="")+(49&lt;=Personnel!$K$9:$K$100)&gt;0))</f>
        <v>3</v>
      </c>
      <c r="BB45" s="367" t="n">
        <f aca="false">SUMPRODUCT((Personnel!$P$9:$P$100="PM")*(Personnel!$G$9:$G$100="Yes")*(50&gt;=Personnel!$E$9:$E$100)*((Personnel!$K$9:$K$100="")+(50&lt;=Personnel!$K$9:$K$100)&gt;0))</f>
        <v>3</v>
      </c>
      <c r="BC45" s="367" t="n">
        <f aca="false">SUMPRODUCT((Personnel!$P$9:$P$100="PM")*(Personnel!$G$9:$G$100="Yes")*(51&gt;=Personnel!$E$9:$E$100)*((Personnel!$K$9:$K$100="")+(51&lt;=Personnel!$K$9:$K$100)&gt;0))</f>
        <v>3</v>
      </c>
      <c r="BD45" s="367" t="n">
        <f aca="false">SUMPRODUCT((Personnel!$P$9:$P$100="PM")*(Personnel!$G$9:$G$100="Yes")*(52&gt;=Personnel!$E$9:$E$100)*((Personnel!$K$9:$K$100="")+(52&lt;=Personnel!$K$9:$K$100)&gt;0))</f>
        <v>3</v>
      </c>
      <c r="BE45" s="367" t="n">
        <f aca="false">SUMPRODUCT((Personnel!$P$9:$P$100="PM")*(Personnel!$G$9:$G$100="Yes")*(53&gt;=Personnel!$E$9:$E$100)*((Personnel!$K$9:$K$100="")+(53&lt;=Personnel!$K$9:$K$100)&gt;0))</f>
        <v>3</v>
      </c>
      <c r="BF45" s="367" t="n">
        <f aca="false">SUMPRODUCT((Personnel!$P$9:$P$100="PM")*(Personnel!$G$9:$G$100="Yes")*(54&gt;=Personnel!$E$9:$E$100)*((Personnel!$K$9:$K$100="")+(54&lt;=Personnel!$K$9:$K$100)&gt;0))</f>
        <v>3</v>
      </c>
      <c r="BG45" s="367" t="n">
        <f aca="false">SUMPRODUCT((Personnel!$P$9:$P$100="PM")*(Personnel!$G$9:$G$100="Yes")*(55&gt;=Personnel!$E$9:$E$100)*((Personnel!$K$9:$K$100="")+(55&lt;=Personnel!$K$9:$K$100)&gt;0))</f>
        <v>3</v>
      </c>
      <c r="BH45" s="367" t="n">
        <f aca="false">SUMPRODUCT((Personnel!$P$9:$P$100="PM")*(Personnel!$G$9:$G$100="Yes")*(56&gt;=Personnel!$E$9:$E$100)*((Personnel!$K$9:$K$100="")+(56&lt;=Personnel!$K$9:$K$100)&gt;0))</f>
        <v>3</v>
      </c>
      <c r="BI45" s="367" t="n">
        <f aca="false">SUMPRODUCT((Personnel!$P$9:$P$100="PM")*(Personnel!$G$9:$G$100="Yes")*(57&gt;=Personnel!$E$9:$E$100)*((Personnel!$K$9:$K$100="")+(57&lt;=Personnel!$K$9:$K$100)&gt;0))</f>
        <v>3</v>
      </c>
      <c r="BJ45" s="367" t="n">
        <f aca="false">SUMPRODUCT((Personnel!$P$9:$P$100="PM")*(Personnel!$G$9:$G$100="Yes")*(58&gt;=Personnel!$E$9:$E$100)*((Personnel!$K$9:$K$100="")+(58&lt;=Personnel!$K$9:$K$100)&gt;0))</f>
        <v>3</v>
      </c>
      <c r="BK45" s="367" t="n">
        <f aca="false">SUMPRODUCT((Personnel!$P$9:$P$100="PM")*(Personnel!$G$9:$G$100="Yes")*(59&gt;=Personnel!$E$9:$E$100)*((Personnel!$K$9:$K$100="")+(59&lt;=Personnel!$K$9:$K$100)&gt;0))</f>
        <v>3</v>
      </c>
      <c r="BL45" s="367" t="n">
        <f aca="false">SUMPRODUCT((Personnel!$P$9:$P$100="PM")*(Personnel!$G$9:$G$100="Yes")*(60&gt;=Personnel!$E$9:$E$100)*((Personnel!$K$9:$K$100="")+(60&lt;=Personnel!$K$9:$K$100)&gt;0))</f>
        <v>3</v>
      </c>
      <c r="BM45" s="367" t="n">
        <f aca="false">SUMPRODUCT((Personnel!$P$9:$P$100="PM")*(Personnel!$G$9:$G$100="Yes")*(61&gt;=Personnel!$E$9:$E$100)*((Personnel!$K$9:$K$100="")+(61&lt;=Personnel!$K$9:$K$100)&gt;0))</f>
        <v>3</v>
      </c>
      <c r="BN45" s="367" t="n">
        <f aca="false">SUMPRODUCT((Personnel!$P$9:$P$100="PM")*(Personnel!$G$9:$G$100="Yes")*(62&gt;=Personnel!$E$9:$E$100)*((Personnel!$K$9:$K$100="")+(62&lt;=Personnel!$K$9:$K$100)&gt;0))</f>
        <v>3</v>
      </c>
      <c r="BO45" s="367" t="n">
        <f aca="false">SUMPRODUCT((Personnel!$P$9:$P$100="PM")*(Personnel!$G$9:$G$100="Yes")*(63&gt;=Personnel!$E$9:$E$100)*((Personnel!$K$9:$K$100="")+(63&lt;=Personnel!$K$9:$K$100)&gt;0))</f>
        <v>3</v>
      </c>
      <c r="BP45" s="367" t="n">
        <f aca="false">SUMPRODUCT((Personnel!$P$9:$P$100="PM")*(Personnel!$G$9:$G$100="Yes")*(64&gt;=Personnel!$E$9:$E$100)*((Personnel!$K$9:$K$100="")+(64&lt;=Personnel!$K$9:$K$100)&gt;0))</f>
        <v>3</v>
      </c>
      <c r="BQ45" s="367" t="n">
        <f aca="false">SUMPRODUCT((Personnel!$P$9:$P$100="PM")*(Personnel!$G$9:$G$100="Yes")*(65&gt;=Personnel!$E$9:$E$100)*((Personnel!$K$9:$K$100="")+(65&lt;=Personnel!$K$9:$K$100)&gt;0))</f>
        <v>3</v>
      </c>
      <c r="BR45" s="367" t="n">
        <f aca="false">SUMPRODUCT((Personnel!$P$9:$P$100="PM")*(Personnel!$G$9:$G$100="Yes")*(66&gt;=Personnel!$E$9:$E$100)*((Personnel!$K$9:$K$100="")+(66&lt;=Personnel!$K$9:$K$100)&gt;0))</f>
        <v>3</v>
      </c>
      <c r="BS45" s="367" t="n">
        <f aca="false">SUMPRODUCT((Personnel!$P$9:$P$100="PM")*(Personnel!$G$9:$G$100="Yes")*(67&gt;=Personnel!$E$9:$E$100)*((Personnel!$K$9:$K$100="")+(67&lt;=Personnel!$K$9:$K$100)&gt;0))</f>
        <v>3</v>
      </c>
      <c r="BT45" s="367" t="n">
        <f aca="false">SUMPRODUCT((Personnel!$P$9:$P$100="PM")*(Personnel!$G$9:$G$100="Yes")*(68&gt;=Personnel!$E$9:$E$100)*((Personnel!$K$9:$K$100="")+(68&lt;=Personnel!$K$9:$K$100)&gt;0))</f>
        <v>3</v>
      </c>
      <c r="BU45" s="367" t="n">
        <f aca="false">SUMPRODUCT((Personnel!$P$9:$P$100="PM")*(Personnel!$G$9:$G$100="Yes")*(69&gt;=Personnel!$E$9:$E$100)*((Personnel!$K$9:$K$100="")+(69&lt;=Personnel!$K$9:$K$100)&gt;0))</f>
        <v>3</v>
      </c>
      <c r="BV45" s="367" t="n">
        <f aca="false">SUMPRODUCT((Personnel!$P$9:$P$100="PM")*(Personnel!$G$9:$G$100="Yes")*(70&gt;=Personnel!$E$9:$E$100)*((Personnel!$K$9:$K$100="")+(70&lt;=Personnel!$K$9:$K$100)&gt;0))</f>
        <v>3</v>
      </c>
      <c r="BW45" s="367" t="n">
        <f aca="false">SUMPRODUCT((Personnel!$P$9:$P$100="PM")*(Personnel!$G$9:$G$100="Yes")*(71&gt;=Personnel!$E$9:$E$100)*((Personnel!$K$9:$K$100="")+(71&lt;=Personnel!$K$9:$K$100)&gt;0))</f>
        <v>3</v>
      </c>
      <c r="BX45" s="367" t="n">
        <f aca="false">SUMPRODUCT((Personnel!$P$9:$P$100="PM")*(Personnel!$G$9:$G$100="Yes")*(72&gt;=Personnel!$E$9:$E$100)*((Personnel!$K$9:$K$100="")+(72&lt;=Personnel!$K$9:$K$100)&gt;0))</f>
        <v>3</v>
      </c>
      <c r="BY45" s="367" t="n">
        <f aca="false">SUMPRODUCT((Personnel!$P$9:$P$100="PM")*(Personnel!$G$9:$G$100="Yes")*(73&gt;=Personnel!$E$9:$E$100)*((Personnel!$K$9:$K$100="")+(73&lt;=Personnel!$K$9:$K$100)&gt;0))</f>
        <v>3</v>
      </c>
      <c r="BZ45" s="367" t="n">
        <f aca="false">SUMPRODUCT((Personnel!$P$9:$P$100="PM")*(Personnel!$G$9:$G$100="Yes")*(74&gt;=Personnel!$E$9:$E$100)*((Personnel!$K$9:$K$100="")+(74&lt;=Personnel!$K$9:$K$100)&gt;0))</f>
        <v>3</v>
      </c>
      <c r="CA45" s="367" t="n">
        <f aca="false">SUMPRODUCT((Personnel!$P$9:$P$100="PM")*(Personnel!$G$9:$G$100="Yes")*(75&gt;=Personnel!$E$9:$E$100)*((Personnel!$K$9:$K$100="")+(75&lt;=Personnel!$K$9:$K$100)&gt;0))</f>
        <v>3</v>
      </c>
      <c r="CB45" s="367" t="n">
        <f aca="false">SUMPRODUCT((Personnel!$P$9:$P$100="PM")*(Personnel!$G$9:$G$100="Yes")*(76&gt;=Personnel!$E$9:$E$100)*((Personnel!$K$9:$K$100="")+(76&lt;=Personnel!$K$9:$K$100)&gt;0))</f>
        <v>3</v>
      </c>
      <c r="CC45" s="367" t="n">
        <f aca="false">SUMPRODUCT((Personnel!$P$9:$P$100="PM")*(Personnel!$G$9:$G$100="Yes")*(77&gt;=Personnel!$E$9:$E$100)*((Personnel!$K$9:$K$100="")+(77&lt;=Personnel!$K$9:$K$100)&gt;0))</f>
        <v>3</v>
      </c>
      <c r="CD45" s="367" t="n">
        <f aca="false">SUMPRODUCT((Personnel!$P$9:$P$100="PM")*(Personnel!$G$9:$G$100="Yes")*(78&gt;=Personnel!$E$9:$E$100)*((Personnel!$K$9:$K$100="")+(78&lt;=Personnel!$K$9:$K$100)&gt;0))</f>
        <v>3</v>
      </c>
      <c r="CE45" s="367" t="n">
        <f aca="false">SUMPRODUCT((Personnel!$P$9:$P$100="PM")*(Personnel!$G$9:$G$100="Yes")*(79&gt;=Personnel!$E$9:$E$100)*((Personnel!$K$9:$K$100="")+(79&lt;=Personnel!$K$9:$K$100)&gt;0))</f>
        <v>3</v>
      </c>
      <c r="CF45" s="367" t="n">
        <f aca="false">SUMPRODUCT((Personnel!$P$9:$P$100="PM")*(Personnel!$G$9:$G$100="Yes")*(80&gt;=Personnel!$E$9:$E$100)*((Personnel!$K$9:$K$100="")+(80&lt;=Personnel!$K$9:$K$100)&gt;0))</f>
        <v>3</v>
      </c>
      <c r="CG45" s="367" t="n">
        <f aca="false">SUMPRODUCT((Personnel!$P$9:$P$100="PM")*(Personnel!$G$9:$G$100="Yes")*(81&gt;=Personnel!$E$9:$E$100)*((Personnel!$K$9:$K$100="")+(81&lt;=Personnel!$K$9:$K$100)&gt;0))</f>
        <v>3</v>
      </c>
      <c r="CH45" s="367" t="n">
        <f aca="false">SUMPRODUCT((Personnel!$P$9:$P$100="PM")*(Personnel!$G$9:$G$100="Yes")*(82&gt;=Personnel!$E$9:$E$100)*((Personnel!$K$9:$K$100="")+(82&lt;=Personnel!$K$9:$K$100)&gt;0))</f>
        <v>3</v>
      </c>
      <c r="CI45" s="367" t="n">
        <f aca="false">SUMPRODUCT((Personnel!$P$9:$P$100="PM")*(Personnel!$G$9:$G$100="Yes")*(83&gt;=Personnel!$E$9:$E$100)*((Personnel!$K$9:$K$100="")+(83&lt;=Personnel!$K$9:$K$100)&gt;0))</f>
        <v>3</v>
      </c>
      <c r="CJ45" s="367" t="n">
        <f aca="false">SUMPRODUCT((Personnel!$P$9:$P$100="PM")*(Personnel!$G$9:$G$100="Yes")*(84&gt;=Personnel!$E$9:$E$100)*((Personnel!$K$9:$K$100="")+(84&lt;=Personnel!$K$9:$K$100)&gt;0))</f>
        <v>3</v>
      </c>
      <c r="CK45" s="367" t="n">
        <f aca="false">SUMPRODUCT((Personnel!$P$9:$P$100="PM")*(Personnel!$G$9:$G$100="Yes")*(85&gt;=Personnel!$E$9:$E$100)*((Personnel!$K$9:$K$100="")+(85&lt;=Personnel!$K$9:$K$100)&gt;0))</f>
        <v>3</v>
      </c>
      <c r="CL45" s="367" t="n">
        <f aca="false">SUMPRODUCT((Personnel!$P$9:$P$100="PM")*(Personnel!$G$9:$G$100="Yes")*(86&gt;=Personnel!$E$9:$E$100)*((Personnel!$K$9:$K$100="")+(86&lt;=Personnel!$K$9:$K$100)&gt;0))</f>
        <v>3</v>
      </c>
      <c r="CM45" s="367" t="n">
        <f aca="false">SUMPRODUCT((Personnel!$P$9:$P$100="PM")*(Personnel!$G$9:$G$100="Yes")*(87&gt;=Personnel!$E$9:$E$100)*((Personnel!$K$9:$K$100="")+(87&lt;=Personnel!$K$9:$K$100)&gt;0))</f>
        <v>3</v>
      </c>
      <c r="CN45" s="367" t="n">
        <f aca="false">SUMPRODUCT((Personnel!$P$9:$P$100="PM")*(Personnel!$G$9:$G$100="Yes")*(88&gt;=Personnel!$E$9:$E$100)*((Personnel!$K$9:$K$100="")+(88&lt;=Personnel!$K$9:$K$100)&gt;0))</f>
        <v>3</v>
      </c>
      <c r="CO45" s="367" t="n">
        <f aca="false">SUMPRODUCT((Personnel!$P$9:$P$100="PM")*(Personnel!$G$9:$G$100="Yes")*(89&gt;=Personnel!$E$9:$E$100)*((Personnel!$K$9:$K$100="")+(89&lt;=Personnel!$K$9:$K$100)&gt;0))</f>
        <v>3</v>
      </c>
      <c r="CP45" s="367" t="n">
        <f aca="false">SUMPRODUCT((Personnel!$P$9:$P$100="PM")*(Personnel!$G$9:$G$100="Yes")*(90&gt;=Personnel!$E$9:$E$100)*((Personnel!$K$9:$K$100="")+(90&lt;=Personnel!$K$9:$K$100)&gt;0))</f>
        <v>3</v>
      </c>
      <c r="CQ45" s="367" t="n">
        <f aca="false">SUMPRODUCT((Personnel!$P$9:$P$100="PM")*(Personnel!$G$9:$G$100="Yes")*(91&gt;=Personnel!$E$9:$E$100)*((Personnel!$K$9:$K$100="")+(91&lt;=Personnel!$K$9:$K$100)&gt;0))</f>
        <v>3</v>
      </c>
      <c r="CR45" s="367" t="n">
        <f aca="false">SUMPRODUCT((Personnel!$P$9:$P$100="PM")*(Personnel!$G$9:$G$100="Yes")*(92&gt;=Personnel!$E$9:$E$100)*((Personnel!$K$9:$K$100="")+(92&lt;=Personnel!$K$9:$K$100)&gt;0))</f>
        <v>3</v>
      </c>
      <c r="CS45" s="367" t="n">
        <f aca="false">SUMPRODUCT((Personnel!$P$9:$P$100="PM")*(Personnel!$G$9:$G$100="Yes")*(93&gt;=Personnel!$E$9:$E$100)*((Personnel!$K$9:$K$100="")+(93&lt;=Personnel!$K$9:$K$100)&gt;0))</f>
        <v>3</v>
      </c>
      <c r="CT45" s="367" t="n">
        <f aca="false">SUMPRODUCT((Personnel!$P$9:$P$100="PM")*(Personnel!$G$9:$G$100="Yes")*(94&gt;=Personnel!$E$9:$E$100)*((Personnel!$K$9:$K$100="")+(94&lt;=Personnel!$K$9:$K$100)&gt;0))</f>
        <v>3</v>
      </c>
      <c r="CU45" s="367" t="n">
        <f aca="false">SUMPRODUCT((Personnel!$P$9:$P$100="PM")*(Personnel!$G$9:$G$100="Yes")*(95&gt;=Personnel!$E$9:$E$100)*((Personnel!$K$9:$K$100="")+(95&lt;=Personnel!$K$9:$K$100)&gt;0))</f>
        <v>3</v>
      </c>
      <c r="CV45" s="367" t="n">
        <f aca="false">SUMPRODUCT((Personnel!$P$9:$P$100="PM")*(Personnel!$G$9:$G$100="Yes")*(96&gt;=Personnel!$E$9:$E$100)*((Personnel!$K$9:$K$100="")+(96&lt;=Personnel!$K$9:$K$100)&gt;0))</f>
        <v>3</v>
      </c>
      <c r="CW45" s="367" t="n">
        <f aca="false">SUMPRODUCT((Personnel!$P$9:$P$100="PM")*(Personnel!$G$9:$G$100="Yes")*(97&gt;=Personnel!$E$9:$E$100)*((Personnel!$K$9:$K$100="")+(97&lt;=Personnel!$K$9:$K$100)&gt;0))</f>
        <v>3</v>
      </c>
      <c r="CX45" s="367" t="n">
        <f aca="false">SUMPRODUCT((Personnel!$P$9:$P$100="PM")*(Personnel!$G$9:$G$100="Yes")*(98&gt;=Personnel!$E$9:$E$100)*((Personnel!$K$9:$K$100="")+(98&lt;=Personnel!$K$9:$K$100)&gt;0))</f>
        <v>3</v>
      </c>
      <c r="CY45" s="367" t="n">
        <f aca="false">SUMPRODUCT((Personnel!$P$9:$P$100="PM")*(Personnel!$G$9:$G$100="Yes")*(99&gt;=Personnel!$E$9:$E$100)*((Personnel!$K$9:$K$100="")+(99&lt;=Personnel!$K$9:$K$100)&gt;0))</f>
        <v>3</v>
      </c>
      <c r="CZ45" s="367" t="n">
        <f aca="false">SUMPRODUCT((Personnel!$P$9:$P$100="PM")*(Personnel!$G$9:$G$100="Yes")*(100&gt;=Personnel!$E$9:$E$100)*((Personnel!$K$9:$K$100="")+(100&lt;=Personnel!$K$9:$K$100)&gt;0))</f>
        <v>3</v>
      </c>
      <c r="DA45" s="367" t="n">
        <f aca="false">SUMPRODUCT((Personnel!$P$9:$P$100="PM")*(Personnel!$G$9:$G$100="Yes")*(101&gt;=Personnel!$E$9:$E$100)*((Personnel!$K$9:$K$100="")+(101&lt;=Personnel!$K$9:$K$100)&gt;0))</f>
        <v>3</v>
      </c>
      <c r="DB45" s="367" t="n">
        <f aca="false">SUMPRODUCT((Personnel!$P$9:$P$100="PM")*(Personnel!$G$9:$G$100="Yes")*(102&gt;=Personnel!$E$9:$E$100)*((Personnel!$K$9:$K$100="")+(102&lt;=Personnel!$K$9:$K$100)&gt;0))</f>
        <v>3</v>
      </c>
      <c r="DC45" s="367" t="n">
        <f aca="false">SUMPRODUCT((Personnel!$P$9:$P$100="PM")*(Personnel!$G$9:$G$100="Yes")*(103&gt;=Personnel!$E$9:$E$100)*((Personnel!$K$9:$K$100="")+(103&lt;=Personnel!$K$9:$K$100)&gt;0))</f>
        <v>3</v>
      </c>
      <c r="DD45" s="367" t="n">
        <f aca="false">SUMPRODUCT((Personnel!$P$9:$P$100="PM")*(Personnel!$G$9:$G$100="Yes")*(104&gt;=Personnel!$E$9:$E$100)*((Personnel!$K$9:$K$100="")+(104&lt;=Personnel!$K$9:$K$100)&gt;0))</f>
        <v>3</v>
      </c>
      <c r="DE45" s="367" t="n">
        <f aca="false">SUMPRODUCT((Personnel!$P$9:$P$100="PM")*(Personnel!$G$9:$G$100="Yes")*(105&gt;=Personnel!$E$9:$E$100)*((Personnel!$K$9:$K$100="")+(105&lt;=Personnel!$K$9:$K$100)&gt;0))</f>
        <v>3</v>
      </c>
    </row>
    <row r="46" customFormat="false" ht="13.5" hidden="false" customHeight="true" outlineLevel="0" collapsed="false">
      <c r="A46" s="109" t="s">
        <v>1215</v>
      </c>
      <c r="E46" s="367" t="n">
        <f aca="false">SUMPRODUCT((Personnel!$P$9:$P$100="FE")*(Personnel!$G$9:$G$100="Yes")*(1&gt;=Personnel!$E$9:$E$100)*((Personnel!$K$9:$K$100="")+(1&lt;=Personnel!$K$9:$K$100)&gt;0))</f>
        <v>0</v>
      </c>
      <c r="F46" s="367" t="n">
        <f aca="false">SUMPRODUCT((Personnel!$P$9:$P$100="FE")*(Personnel!$G$9:$G$100="Yes")*(2&gt;=Personnel!$E$9:$E$100)*((Personnel!$K$9:$K$100="")+(2&lt;=Personnel!$K$9:$K$100)&gt;0))</f>
        <v>0</v>
      </c>
      <c r="G46" s="367" t="n">
        <f aca="false">SUMPRODUCT((Personnel!$P$9:$P$100="FE")*(Personnel!$G$9:$G$100="Yes")*(3&gt;=Personnel!$E$9:$E$100)*((Personnel!$K$9:$K$100="")+(3&lt;=Personnel!$K$9:$K$100)&gt;0))</f>
        <v>0</v>
      </c>
      <c r="H46" s="367" t="n">
        <f aca="false">SUMPRODUCT((Personnel!$P$9:$P$100="FE")*(Personnel!$G$9:$G$100="Yes")*(4&gt;=Personnel!$E$9:$E$100)*((Personnel!$K$9:$K$100="")+(4&lt;=Personnel!$K$9:$K$100)&gt;0))</f>
        <v>0</v>
      </c>
      <c r="I46" s="367" t="n">
        <f aca="false">SUMPRODUCT((Personnel!$P$9:$P$100="FE")*(Personnel!$G$9:$G$100="Yes")*(5&gt;=Personnel!$E$9:$E$100)*((Personnel!$K$9:$K$100="")+(5&lt;=Personnel!$K$9:$K$100)&gt;0))</f>
        <v>0</v>
      </c>
      <c r="J46" s="367" t="n">
        <f aca="false">SUMPRODUCT((Personnel!$P$9:$P$100="FE")*(Personnel!$G$9:$G$100="Yes")*(6&gt;=Personnel!$E$9:$E$100)*((Personnel!$K$9:$K$100="")+(6&lt;=Personnel!$K$9:$K$100)&gt;0))</f>
        <v>0</v>
      </c>
      <c r="K46" s="367" t="n">
        <f aca="false">SUMPRODUCT((Personnel!$P$9:$P$100="FE")*(Personnel!$G$9:$G$100="Yes")*(7&gt;=Personnel!$E$9:$E$100)*((Personnel!$K$9:$K$100="")+(7&lt;=Personnel!$K$9:$K$100)&gt;0))</f>
        <v>0</v>
      </c>
      <c r="L46" s="367" t="n">
        <f aca="false">SUMPRODUCT((Personnel!$P$9:$P$100="FE")*(Personnel!$G$9:$G$100="Yes")*(8&gt;=Personnel!$E$9:$E$100)*((Personnel!$K$9:$K$100="")+(8&lt;=Personnel!$K$9:$K$100)&gt;0))</f>
        <v>0</v>
      </c>
      <c r="M46" s="367" t="n">
        <f aca="false">SUMPRODUCT((Personnel!$P$9:$P$100="FE")*(Personnel!$G$9:$G$100="Yes")*(9&gt;=Personnel!$E$9:$E$100)*((Personnel!$K$9:$K$100="")+(9&lt;=Personnel!$K$9:$K$100)&gt;0))</f>
        <v>0</v>
      </c>
      <c r="N46" s="367" t="n">
        <f aca="false">SUMPRODUCT((Personnel!$P$9:$P$100="FE")*(Personnel!$G$9:$G$100="Yes")*(10&gt;=Personnel!$E$9:$E$100)*((Personnel!$K$9:$K$100="")+(10&lt;=Personnel!$K$9:$K$100)&gt;0))</f>
        <v>0</v>
      </c>
      <c r="O46" s="367" t="n">
        <f aca="false">SUMPRODUCT((Personnel!$P$9:$P$100="FE")*(Personnel!$G$9:$G$100="Yes")*(11&gt;=Personnel!$E$9:$E$100)*((Personnel!$K$9:$K$100="")+(11&lt;=Personnel!$K$9:$K$100)&gt;0))</f>
        <v>0</v>
      </c>
      <c r="P46" s="367" t="n">
        <f aca="false">SUMPRODUCT((Personnel!$P$9:$P$100="FE")*(Personnel!$G$9:$G$100="Yes")*(12&gt;=Personnel!$E$9:$E$100)*((Personnel!$K$9:$K$100="")+(12&lt;=Personnel!$K$9:$K$100)&gt;0))</f>
        <v>0</v>
      </c>
      <c r="Q46" s="367" t="n">
        <f aca="false">SUMPRODUCT((Personnel!$P$9:$P$100="FE")*(Personnel!$G$9:$G$100="Yes")*(13&gt;=Personnel!$E$9:$E$100)*((Personnel!$K$9:$K$100="")+(13&lt;=Personnel!$K$9:$K$100)&gt;0))</f>
        <v>0</v>
      </c>
      <c r="R46" s="367" t="n">
        <f aca="false">SUMPRODUCT((Personnel!$P$9:$P$100="FE")*(Personnel!$G$9:$G$100="Yes")*(14&gt;=Personnel!$E$9:$E$100)*((Personnel!$K$9:$K$100="")+(14&lt;=Personnel!$K$9:$K$100)&gt;0))</f>
        <v>0</v>
      </c>
      <c r="S46" s="367" t="n">
        <f aca="false">SUMPRODUCT((Personnel!$P$9:$P$100="FE")*(Personnel!$G$9:$G$100="Yes")*(15&gt;=Personnel!$E$9:$E$100)*((Personnel!$K$9:$K$100="")+(15&lt;=Personnel!$K$9:$K$100)&gt;0))</f>
        <v>0</v>
      </c>
      <c r="T46" s="367" t="n">
        <f aca="false">SUMPRODUCT((Personnel!$P$9:$P$100="FE")*(Personnel!$G$9:$G$100="Yes")*(16&gt;=Personnel!$E$9:$E$100)*((Personnel!$K$9:$K$100="")+(16&lt;=Personnel!$K$9:$K$100)&gt;0))</f>
        <v>0</v>
      </c>
      <c r="U46" s="367" t="n">
        <f aca="false">SUMPRODUCT((Personnel!$P$9:$P$100="FE")*(Personnel!$G$9:$G$100="Yes")*(17&gt;=Personnel!$E$9:$E$100)*((Personnel!$K$9:$K$100="")+(17&lt;=Personnel!$K$9:$K$100)&gt;0))</f>
        <v>0</v>
      </c>
      <c r="V46" s="367" t="n">
        <f aca="false">SUMPRODUCT((Personnel!$P$9:$P$100="FE")*(Personnel!$G$9:$G$100="Yes")*(18&gt;=Personnel!$E$9:$E$100)*((Personnel!$K$9:$K$100="")+(18&lt;=Personnel!$K$9:$K$100)&gt;0))</f>
        <v>0</v>
      </c>
      <c r="W46" s="367" t="n">
        <f aca="false">SUMPRODUCT((Personnel!$P$9:$P$100="FE")*(Personnel!$G$9:$G$100="Yes")*(19&gt;=Personnel!$E$9:$E$100)*((Personnel!$K$9:$K$100="")+(19&lt;=Personnel!$K$9:$K$100)&gt;0))</f>
        <v>0</v>
      </c>
      <c r="X46" s="367" t="n">
        <f aca="false">SUMPRODUCT((Personnel!$P$9:$P$100="FE")*(Personnel!$G$9:$G$100="Yes")*(20&gt;=Personnel!$E$9:$E$100)*((Personnel!$K$9:$K$100="")+(20&lt;=Personnel!$K$9:$K$100)&gt;0))</f>
        <v>0</v>
      </c>
      <c r="Y46" s="367" t="n">
        <f aca="false">SUMPRODUCT((Personnel!$P$9:$P$100="FE")*(Personnel!$G$9:$G$100="Yes")*(21&gt;=Personnel!$E$9:$E$100)*((Personnel!$K$9:$K$100="")+(21&lt;=Personnel!$K$9:$K$100)&gt;0))</f>
        <v>0</v>
      </c>
      <c r="Z46" s="367" t="n">
        <f aca="false">SUMPRODUCT((Personnel!$P$9:$P$100="FE")*(Personnel!$G$9:$G$100="Yes")*(22&gt;=Personnel!$E$9:$E$100)*((Personnel!$K$9:$K$100="")+(22&lt;=Personnel!$K$9:$K$100)&gt;0))</f>
        <v>0</v>
      </c>
      <c r="AA46" s="367" t="n">
        <f aca="false">SUMPRODUCT((Personnel!$P$9:$P$100="FE")*(Personnel!$G$9:$G$100="Yes")*(23&gt;=Personnel!$E$9:$E$100)*((Personnel!$K$9:$K$100="")+(23&lt;=Personnel!$K$9:$K$100)&gt;0))</f>
        <v>0</v>
      </c>
      <c r="AB46" s="367" t="n">
        <f aca="false">SUMPRODUCT((Personnel!$P$9:$P$100="FE")*(Personnel!$G$9:$G$100="Yes")*(24&gt;=Personnel!$E$9:$E$100)*((Personnel!$K$9:$K$100="")+(24&lt;=Personnel!$K$9:$K$100)&gt;0))</f>
        <v>0</v>
      </c>
      <c r="AC46" s="367" t="n">
        <f aca="false">SUMPRODUCT((Personnel!$P$9:$P$100="FE")*(Personnel!$G$9:$G$100="Yes")*(25&gt;=Personnel!$E$9:$E$100)*((Personnel!$K$9:$K$100="")+(25&lt;=Personnel!$K$9:$K$100)&gt;0))</f>
        <v>0</v>
      </c>
      <c r="AD46" s="367" t="n">
        <f aca="false">SUMPRODUCT((Personnel!$P$9:$P$100="FE")*(Personnel!$G$9:$G$100="Yes")*(26&gt;=Personnel!$E$9:$E$100)*((Personnel!$K$9:$K$100="")+(26&lt;=Personnel!$K$9:$K$100)&gt;0))</f>
        <v>0</v>
      </c>
      <c r="AE46" s="367" t="n">
        <f aca="false">SUMPRODUCT((Personnel!$P$9:$P$100="FE")*(Personnel!$G$9:$G$100="Yes")*(27&gt;=Personnel!$E$9:$E$100)*((Personnel!$K$9:$K$100="")+(27&lt;=Personnel!$K$9:$K$100)&gt;0))</f>
        <v>0</v>
      </c>
      <c r="AF46" s="367" t="n">
        <f aca="false">SUMPRODUCT((Personnel!$P$9:$P$100="FE")*(Personnel!$G$9:$G$100="Yes")*(28&gt;=Personnel!$E$9:$E$100)*((Personnel!$K$9:$K$100="")+(28&lt;=Personnel!$K$9:$K$100)&gt;0))</f>
        <v>0</v>
      </c>
      <c r="AG46" s="367" t="n">
        <f aca="false">SUMPRODUCT((Personnel!$P$9:$P$100="FE")*(Personnel!$G$9:$G$100="Yes")*(29&gt;=Personnel!$E$9:$E$100)*((Personnel!$K$9:$K$100="")+(29&lt;=Personnel!$K$9:$K$100)&gt;0))</f>
        <v>0</v>
      </c>
      <c r="AH46" s="367" t="n">
        <f aca="false">SUMPRODUCT((Personnel!$P$9:$P$100="FE")*(Personnel!$G$9:$G$100="Yes")*(30&gt;=Personnel!$E$9:$E$100)*((Personnel!$K$9:$K$100="")+(30&lt;=Personnel!$K$9:$K$100)&gt;0))</f>
        <v>0</v>
      </c>
      <c r="AI46" s="367" t="n">
        <f aca="false">SUMPRODUCT((Personnel!$P$9:$P$100="FE")*(Personnel!$G$9:$G$100="Yes")*(31&gt;=Personnel!$E$9:$E$100)*((Personnel!$K$9:$K$100="")+(31&lt;=Personnel!$K$9:$K$100)&gt;0))</f>
        <v>0</v>
      </c>
      <c r="AJ46" s="367" t="n">
        <f aca="false">SUMPRODUCT((Personnel!$P$9:$P$100="FE")*(Personnel!$G$9:$G$100="Yes")*(32&gt;=Personnel!$E$9:$E$100)*((Personnel!$K$9:$K$100="")+(32&lt;=Personnel!$K$9:$K$100)&gt;0))</f>
        <v>0</v>
      </c>
      <c r="AK46" s="367" t="n">
        <f aca="false">SUMPRODUCT((Personnel!$P$9:$P$100="FE")*(Personnel!$G$9:$G$100="Yes")*(33&gt;=Personnel!$E$9:$E$100)*((Personnel!$K$9:$K$100="")+(33&lt;=Personnel!$K$9:$K$100)&gt;0))</f>
        <v>0</v>
      </c>
      <c r="AL46" s="367" t="n">
        <f aca="false">SUMPRODUCT((Personnel!$P$9:$P$100="FE")*(Personnel!$G$9:$G$100="Yes")*(34&gt;=Personnel!$E$9:$E$100)*((Personnel!$K$9:$K$100="")+(34&lt;=Personnel!$K$9:$K$100)&gt;0))</f>
        <v>0</v>
      </c>
      <c r="AM46" s="367" t="n">
        <f aca="false">SUMPRODUCT((Personnel!$P$9:$P$100="FE")*(Personnel!$G$9:$G$100="Yes")*(35&gt;=Personnel!$E$9:$E$100)*((Personnel!$K$9:$K$100="")+(35&lt;=Personnel!$K$9:$K$100)&gt;0))</f>
        <v>0</v>
      </c>
      <c r="AN46" s="367" t="n">
        <f aca="false">SUMPRODUCT((Personnel!$P$9:$P$100="FE")*(Personnel!$G$9:$G$100="Yes")*(36&gt;=Personnel!$E$9:$E$100)*((Personnel!$K$9:$K$100="")+(36&lt;=Personnel!$K$9:$K$100)&gt;0))</f>
        <v>0</v>
      </c>
      <c r="AO46" s="367" t="n">
        <f aca="false">SUMPRODUCT((Personnel!$P$9:$P$100="FE")*(Personnel!$G$9:$G$100="Yes")*(37&gt;=Personnel!$E$9:$E$100)*((Personnel!$K$9:$K$100="")+(37&lt;=Personnel!$K$9:$K$100)&gt;0))</f>
        <v>0</v>
      </c>
      <c r="AP46" s="367" t="n">
        <f aca="false">SUMPRODUCT((Personnel!$P$9:$P$100="FE")*(Personnel!$G$9:$G$100="Yes")*(38&gt;=Personnel!$E$9:$E$100)*((Personnel!$K$9:$K$100="")+(38&lt;=Personnel!$K$9:$K$100)&gt;0))</f>
        <v>0</v>
      </c>
      <c r="AQ46" s="367" t="n">
        <f aca="false">SUMPRODUCT((Personnel!$P$9:$P$100="FE")*(Personnel!$G$9:$G$100="Yes")*(39&gt;=Personnel!$E$9:$E$100)*((Personnel!$K$9:$K$100="")+(39&lt;=Personnel!$K$9:$K$100)&gt;0))</f>
        <v>0</v>
      </c>
      <c r="AR46" s="367" t="n">
        <f aca="false">SUMPRODUCT((Personnel!$P$9:$P$100="FE")*(Personnel!$G$9:$G$100="Yes")*(40&gt;=Personnel!$E$9:$E$100)*((Personnel!$K$9:$K$100="")+(40&lt;=Personnel!$K$9:$K$100)&gt;0))</f>
        <v>0</v>
      </c>
      <c r="AS46" s="367" t="n">
        <f aca="false">SUMPRODUCT((Personnel!$P$9:$P$100="FE")*(Personnel!$G$9:$G$100="Yes")*(41&gt;=Personnel!$E$9:$E$100)*((Personnel!$K$9:$K$100="")+(41&lt;=Personnel!$K$9:$K$100)&gt;0))</f>
        <v>0</v>
      </c>
      <c r="AT46" s="367" t="n">
        <f aca="false">SUMPRODUCT((Personnel!$P$9:$P$100="FE")*(Personnel!$G$9:$G$100="Yes")*(42&gt;=Personnel!$E$9:$E$100)*((Personnel!$K$9:$K$100="")+(42&lt;=Personnel!$K$9:$K$100)&gt;0))</f>
        <v>0</v>
      </c>
      <c r="AU46" s="367" t="n">
        <f aca="false">SUMPRODUCT((Personnel!$P$9:$P$100="FE")*(Personnel!$G$9:$G$100="Yes")*(43&gt;=Personnel!$E$9:$E$100)*((Personnel!$K$9:$K$100="")+(43&lt;=Personnel!$K$9:$K$100)&gt;0))</f>
        <v>0</v>
      </c>
      <c r="AV46" s="367" t="n">
        <f aca="false">SUMPRODUCT((Personnel!$P$9:$P$100="FE")*(Personnel!$G$9:$G$100="Yes")*(44&gt;=Personnel!$E$9:$E$100)*((Personnel!$K$9:$K$100="")+(44&lt;=Personnel!$K$9:$K$100)&gt;0))</f>
        <v>0</v>
      </c>
      <c r="AW46" s="367" t="n">
        <f aca="false">SUMPRODUCT((Personnel!$P$9:$P$100="FE")*(Personnel!$G$9:$G$100="Yes")*(45&gt;=Personnel!$E$9:$E$100)*((Personnel!$K$9:$K$100="")+(45&lt;=Personnel!$K$9:$K$100)&gt;0))</f>
        <v>0</v>
      </c>
      <c r="AX46" s="367" t="n">
        <f aca="false">SUMPRODUCT((Personnel!$P$9:$P$100="FE")*(Personnel!$G$9:$G$100="Yes")*(46&gt;=Personnel!$E$9:$E$100)*((Personnel!$K$9:$K$100="")+(46&lt;=Personnel!$K$9:$K$100)&gt;0))</f>
        <v>0</v>
      </c>
      <c r="AY46" s="367" t="n">
        <f aca="false">SUMPRODUCT((Personnel!$P$9:$P$100="FE")*(Personnel!$G$9:$G$100="Yes")*(47&gt;=Personnel!$E$9:$E$100)*((Personnel!$K$9:$K$100="")+(47&lt;=Personnel!$K$9:$K$100)&gt;0))</f>
        <v>0</v>
      </c>
      <c r="AZ46" s="367" t="n">
        <f aca="false">SUMPRODUCT((Personnel!$P$9:$P$100="FE")*(Personnel!$G$9:$G$100="Yes")*(48&gt;=Personnel!$E$9:$E$100)*((Personnel!$K$9:$K$100="")+(48&lt;=Personnel!$K$9:$K$100)&gt;0))</f>
        <v>0</v>
      </c>
      <c r="BA46" s="367" t="n">
        <f aca="false">SUMPRODUCT((Personnel!$P$9:$P$100="FE")*(Personnel!$G$9:$G$100="Yes")*(49&gt;=Personnel!$E$9:$E$100)*((Personnel!$K$9:$K$100="")+(49&lt;=Personnel!$K$9:$K$100)&gt;0))</f>
        <v>0</v>
      </c>
      <c r="BB46" s="367" t="n">
        <f aca="false">SUMPRODUCT((Personnel!$P$9:$P$100="FE")*(Personnel!$G$9:$G$100="Yes")*(50&gt;=Personnel!$E$9:$E$100)*((Personnel!$K$9:$K$100="")+(50&lt;=Personnel!$K$9:$K$100)&gt;0))</f>
        <v>0</v>
      </c>
      <c r="BC46" s="367" t="n">
        <f aca="false">SUMPRODUCT((Personnel!$P$9:$P$100="FE")*(Personnel!$G$9:$G$100="Yes")*(51&gt;=Personnel!$E$9:$E$100)*((Personnel!$K$9:$K$100="")+(51&lt;=Personnel!$K$9:$K$100)&gt;0))</f>
        <v>0</v>
      </c>
      <c r="BD46" s="367" t="n">
        <f aca="false">SUMPRODUCT((Personnel!$P$9:$P$100="FE")*(Personnel!$G$9:$G$100="Yes")*(52&gt;=Personnel!$E$9:$E$100)*((Personnel!$K$9:$K$100="")+(52&lt;=Personnel!$K$9:$K$100)&gt;0))</f>
        <v>0</v>
      </c>
      <c r="BE46" s="367" t="n">
        <f aca="false">SUMPRODUCT((Personnel!$P$9:$P$100="FE")*(Personnel!$G$9:$G$100="Yes")*(53&gt;=Personnel!$E$9:$E$100)*((Personnel!$K$9:$K$100="")+(53&lt;=Personnel!$K$9:$K$100)&gt;0))</f>
        <v>0</v>
      </c>
      <c r="BF46" s="367" t="n">
        <f aca="false">SUMPRODUCT((Personnel!$P$9:$P$100="FE")*(Personnel!$G$9:$G$100="Yes")*(54&gt;=Personnel!$E$9:$E$100)*((Personnel!$K$9:$K$100="")+(54&lt;=Personnel!$K$9:$K$100)&gt;0))</f>
        <v>0</v>
      </c>
      <c r="BG46" s="367" t="n">
        <f aca="false">SUMPRODUCT((Personnel!$P$9:$P$100="FE")*(Personnel!$G$9:$G$100="Yes")*(55&gt;=Personnel!$E$9:$E$100)*((Personnel!$K$9:$K$100="")+(55&lt;=Personnel!$K$9:$K$100)&gt;0))</f>
        <v>0</v>
      </c>
      <c r="BH46" s="367" t="n">
        <f aca="false">SUMPRODUCT((Personnel!$P$9:$P$100="FE")*(Personnel!$G$9:$G$100="Yes")*(56&gt;=Personnel!$E$9:$E$100)*((Personnel!$K$9:$K$100="")+(56&lt;=Personnel!$K$9:$K$100)&gt;0))</f>
        <v>0</v>
      </c>
      <c r="BI46" s="367" t="n">
        <f aca="false">SUMPRODUCT((Personnel!$P$9:$P$100="FE")*(Personnel!$G$9:$G$100="Yes")*(57&gt;=Personnel!$E$9:$E$100)*((Personnel!$K$9:$K$100="")+(57&lt;=Personnel!$K$9:$K$100)&gt;0))</f>
        <v>0</v>
      </c>
      <c r="BJ46" s="367" t="n">
        <f aca="false">SUMPRODUCT((Personnel!$P$9:$P$100="FE")*(Personnel!$G$9:$G$100="Yes")*(58&gt;=Personnel!$E$9:$E$100)*((Personnel!$K$9:$K$100="")+(58&lt;=Personnel!$K$9:$K$100)&gt;0))</f>
        <v>0</v>
      </c>
      <c r="BK46" s="367" t="n">
        <f aca="false">SUMPRODUCT((Personnel!$P$9:$P$100="FE")*(Personnel!$G$9:$G$100="Yes")*(59&gt;=Personnel!$E$9:$E$100)*((Personnel!$K$9:$K$100="")+(59&lt;=Personnel!$K$9:$K$100)&gt;0))</f>
        <v>0</v>
      </c>
      <c r="BL46" s="367" t="n">
        <f aca="false">SUMPRODUCT((Personnel!$P$9:$P$100="FE")*(Personnel!$G$9:$G$100="Yes")*(60&gt;=Personnel!$E$9:$E$100)*((Personnel!$K$9:$K$100="")+(60&lt;=Personnel!$K$9:$K$100)&gt;0))</f>
        <v>0</v>
      </c>
      <c r="BM46" s="367" t="n">
        <f aca="false">SUMPRODUCT((Personnel!$P$9:$P$100="FE")*(Personnel!$G$9:$G$100="Yes")*(61&gt;=Personnel!$E$9:$E$100)*((Personnel!$K$9:$K$100="")+(61&lt;=Personnel!$K$9:$K$100)&gt;0))</f>
        <v>0</v>
      </c>
      <c r="BN46" s="367" t="n">
        <f aca="false">SUMPRODUCT((Personnel!$P$9:$P$100="FE")*(Personnel!$G$9:$G$100="Yes")*(62&gt;=Personnel!$E$9:$E$100)*((Personnel!$K$9:$K$100="")+(62&lt;=Personnel!$K$9:$K$100)&gt;0))</f>
        <v>0</v>
      </c>
      <c r="BO46" s="367" t="n">
        <f aca="false">SUMPRODUCT((Personnel!$P$9:$P$100="FE")*(Personnel!$G$9:$G$100="Yes")*(63&gt;=Personnel!$E$9:$E$100)*((Personnel!$K$9:$K$100="")+(63&lt;=Personnel!$K$9:$K$100)&gt;0))</f>
        <v>0</v>
      </c>
      <c r="BP46" s="367" t="n">
        <f aca="false">SUMPRODUCT((Personnel!$P$9:$P$100="FE")*(Personnel!$G$9:$G$100="Yes")*(64&gt;=Personnel!$E$9:$E$100)*((Personnel!$K$9:$K$100="")+(64&lt;=Personnel!$K$9:$K$100)&gt;0))</f>
        <v>0</v>
      </c>
      <c r="BQ46" s="367" t="n">
        <f aca="false">SUMPRODUCT((Personnel!$P$9:$P$100="FE")*(Personnel!$G$9:$G$100="Yes")*(65&gt;=Personnel!$E$9:$E$100)*((Personnel!$K$9:$K$100="")+(65&lt;=Personnel!$K$9:$K$100)&gt;0))</f>
        <v>0</v>
      </c>
      <c r="BR46" s="367" t="n">
        <f aca="false">SUMPRODUCT((Personnel!$P$9:$P$100="FE")*(Personnel!$G$9:$G$100="Yes")*(66&gt;=Personnel!$E$9:$E$100)*((Personnel!$K$9:$K$100="")+(66&lt;=Personnel!$K$9:$K$100)&gt;0))</f>
        <v>0</v>
      </c>
      <c r="BS46" s="367" t="n">
        <f aca="false">SUMPRODUCT((Personnel!$P$9:$P$100="FE")*(Personnel!$G$9:$G$100="Yes")*(67&gt;=Personnel!$E$9:$E$100)*((Personnel!$K$9:$K$100="")+(67&lt;=Personnel!$K$9:$K$100)&gt;0))</f>
        <v>0</v>
      </c>
      <c r="BT46" s="367" t="n">
        <f aca="false">SUMPRODUCT((Personnel!$P$9:$P$100="FE")*(Personnel!$G$9:$G$100="Yes")*(68&gt;=Personnel!$E$9:$E$100)*((Personnel!$K$9:$K$100="")+(68&lt;=Personnel!$K$9:$K$100)&gt;0))</f>
        <v>0</v>
      </c>
      <c r="BU46" s="367" t="n">
        <f aca="false">SUMPRODUCT((Personnel!$P$9:$P$100="FE")*(Personnel!$G$9:$G$100="Yes")*(69&gt;=Personnel!$E$9:$E$100)*((Personnel!$K$9:$K$100="")+(69&lt;=Personnel!$K$9:$K$100)&gt;0))</f>
        <v>0</v>
      </c>
      <c r="BV46" s="367" t="n">
        <f aca="false">SUMPRODUCT((Personnel!$P$9:$P$100="FE")*(Personnel!$G$9:$G$100="Yes")*(70&gt;=Personnel!$E$9:$E$100)*((Personnel!$K$9:$K$100="")+(70&lt;=Personnel!$K$9:$K$100)&gt;0))</f>
        <v>0</v>
      </c>
      <c r="BW46" s="367" t="n">
        <f aca="false">SUMPRODUCT((Personnel!$P$9:$P$100="FE")*(Personnel!$G$9:$G$100="Yes")*(71&gt;=Personnel!$E$9:$E$100)*((Personnel!$K$9:$K$100="")+(71&lt;=Personnel!$K$9:$K$100)&gt;0))</f>
        <v>0</v>
      </c>
      <c r="BX46" s="367" t="n">
        <f aca="false">SUMPRODUCT((Personnel!$P$9:$P$100="FE")*(Personnel!$G$9:$G$100="Yes")*(72&gt;=Personnel!$E$9:$E$100)*((Personnel!$K$9:$K$100="")+(72&lt;=Personnel!$K$9:$K$100)&gt;0))</f>
        <v>0</v>
      </c>
      <c r="BY46" s="367" t="n">
        <f aca="false">SUMPRODUCT((Personnel!$P$9:$P$100="FE")*(Personnel!$G$9:$G$100="Yes")*(73&gt;=Personnel!$E$9:$E$100)*((Personnel!$K$9:$K$100="")+(73&lt;=Personnel!$K$9:$K$100)&gt;0))</f>
        <v>0</v>
      </c>
      <c r="BZ46" s="367" t="n">
        <f aca="false">SUMPRODUCT((Personnel!$P$9:$P$100="FE")*(Personnel!$G$9:$G$100="Yes")*(74&gt;=Personnel!$E$9:$E$100)*((Personnel!$K$9:$K$100="")+(74&lt;=Personnel!$K$9:$K$100)&gt;0))</f>
        <v>0</v>
      </c>
      <c r="CA46" s="367" t="n">
        <f aca="false">SUMPRODUCT((Personnel!$P$9:$P$100="FE")*(Personnel!$G$9:$G$100="Yes")*(75&gt;=Personnel!$E$9:$E$100)*((Personnel!$K$9:$K$100="")+(75&lt;=Personnel!$K$9:$K$100)&gt;0))</f>
        <v>0</v>
      </c>
      <c r="CB46" s="367" t="n">
        <f aca="false">SUMPRODUCT((Personnel!$P$9:$P$100="FE")*(Personnel!$G$9:$G$100="Yes")*(76&gt;=Personnel!$E$9:$E$100)*((Personnel!$K$9:$K$100="")+(76&lt;=Personnel!$K$9:$K$100)&gt;0))</f>
        <v>0</v>
      </c>
      <c r="CC46" s="367" t="n">
        <f aca="false">SUMPRODUCT((Personnel!$P$9:$P$100="FE")*(Personnel!$G$9:$G$100="Yes")*(77&gt;=Personnel!$E$9:$E$100)*((Personnel!$K$9:$K$100="")+(77&lt;=Personnel!$K$9:$K$100)&gt;0))</f>
        <v>0</v>
      </c>
      <c r="CD46" s="367" t="n">
        <f aca="false">SUMPRODUCT((Personnel!$P$9:$P$100="FE")*(Personnel!$G$9:$G$100="Yes")*(78&gt;=Personnel!$E$9:$E$100)*((Personnel!$K$9:$K$100="")+(78&lt;=Personnel!$K$9:$K$100)&gt;0))</f>
        <v>0</v>
      </c>
      <c r="CE46" s="367" t="n">
        <f aca="false">SUMPRODUCT((Personnel!$P$9:$P$100="FE")*(Personnel!$G$9:$G$100="Yes")*(79&gt;=Personnel!$E$9:$E$100)*((Personnel!$K$9:$K$100="")+(79&lt;=Personnel!$K$9:$K$100)&gt;0))</f>
        <v>0</v>
      </c>
      <c r="CF46" s="367" t="n">
        <f aca="false">SUMPRODUCT((Personnel!$P$9:$P$100="FE")*(Personnel!$G$9:$G$100="Yes")*(80&gt;=Personnel!$E$9:$E$100)*((Personnel!$K$9:$K$100="")+(80&lt;=Personnel!$K$9:$K$100)&gt;0))</f>
        <v>0</v>
      </c>
      <c r="CG46" s="367" t="n">
        <f aca="false">SUMPRODUCT((Personnel!$P$9:$P$100="FE")*(Personnel!$G$9:$G$100="Yes")*(81&gt;=Personnel!$E$9:$E$100)*((Personnel!$K$9:$K$100="")+(81&lt;=Personnel!$K$9:$K$100)&gt;0))</f>
        <v>0</v>
      </c>
      <c r="CH46" s="367" t="n">
        <f aca="false">SUMPRODUCT((Personnel!$P$9:$P$100="FE")*(Personnel!$G$9:$G$100="Yes")*(82&gt;=Personnel!$E$9:$E$100)*((Personnel!$K$9:$K$100="")+(82&lt;=Personnel!$K$9:$K$100)&gt;0))</f>
        <v>0</v>
      </c>
      <c r="CI46" s="367" t="n">
        <f aca="false">SUMPRODUCT((Personnel!$P$9:$P$100="FE")*(Personnel!$G$9:$G$100="Yes")*(83&gt;=Personnel!$E$9:$E$100)*((Personnel!$K$9:$K$100="")+(83&lt;=Personnel!$K$9:$K$100)&gt;0))</f>
        <v>0</v>
      </c>
      <c r="CJ46" s="367" t="n">
        <f aca="false">SUMPRODUCT((Personnel!$P$9:$P$100="FE")*(Personnel!$G$9:$G$100="Yes")*(84&gt;=Personnel!$E$9:$E$100)*((Personnel!$K$9:$K$100="")+(84&lt;=Personnel!$K$9:$K$100)&gt;0))</f>
        <v>0</v>
      </c>
      <c r="CK46" s="367" t="n">
        <f aca="false">SUMPRODUCT((Personnel!$P$9:$P$100="FE")*(Personnel!$G$9:$G$100="Yes")*(85&gt;=Personnel!$E$9:$E$100)*((Personnel!$K$9:$K$100="")+(85&lt;=Personnel!$K$9:$K$100)&gt;0))</f>
        <v>0</v>
      </c>
      <c r="CL46" s="367" t="n">
        <f aca="false">SUMPRODUCT((Personnel!$P$9:$P$100="FE")*(Personnel!$G$9:$G$100="Yes")*(86&gt;=Personnel!$E$9:$E$100)*((Personnel!$K$9:$K$100="")+(86&lt;=Personnel!$K$9:$K$100)&gt;0))</f>
        <v>0</v>
      </c>
      <c r="CM46" s="367" t="n">
        <f aca="false">SUMPRODUCT((Personnel!$P$9:$P$100="FE")*(Personnel!$G$9:$G$100="Yes")*(87&gt;=Personnel!$E$9:$E$100)*((Personnel!$K$9:$K$100="")+(87&lt;=Personnel!$K$9:$K$100)&gt;0))</f>
        <v>0</v>
      </c>
      <c r="CN46" s="367" t="n">
        <f aca="false">SUMPRODUCT((Personnel!$P$9:$P$100="FE")*(Personnel!$G$9:$G$100="Yes")*(88&gt;=Personnel!$E$9:$E$100)*((Personnel!$K$9:$K$100="")+(88&lt;=Personnel!$K$9:$K$100)&gt;0))</f>
        <v>0</v>
      </c>
      <c r="CO46" s="367" t="n">
        <f aca="false">SUMPRODUCT((Personnel!$P$9:$P$100="FE")*(Personnel!$G$9:$G$100="Yes")*(89&gt;=Personnel!$E$9:$E$100)*((Personnel!$K$9:$K$100="")+(89&lt;=Personnel!$K$9:$K$100)&gt;0))</f>
        <v>0</v>
      </c>
      <c r="CP46" s="367" t="n">
        <f aca="false">SUMPRODUCT((Personnel!$P$9:$P$100="FE")*(Personnel!$G$9:$G$100="Yes")*(90&gt;=Personnel!$E$9:$E$100)*((Personnel!$K$9:$K$100="")+(90&lt;=Personnel!$K$9:$K$100)&gt;0))</f>
        <v>0</v>
      </c>
      <c r="CQ46" s="367" t="n">
        <f aca="false">SUMPRODUCT((Personnel!$P$9:$P$100="FE")*(Personnel!$G$9:$G$100="Yes")*(91&gt;=Personnel!$E$9:$E$100)*((Personnel!$K$9:$K$100="")+(91&lt;=Personnel!$K$9:$K$100)&gt;0))</f>
        <v>0</v>
      </c>
      <c r="CR46" s="367" t="n">
        <f aca="false">SUMPRODUCT((Personnel!$P$9:$P$100="FE")*(Personnel!$G$9:$G$100="Yes")*(92&gt;=Personnel!$E$9:$E$100)*((Personnel!$K$9:$K$100="")+(92&lt;=Personnel!$K$9:$K$100)&gt;0))</f>
        <v>0</v>
      </c>
      <c r="CS46" s="367" t="n">
        <f aca="false">SUMPRODUCT((Personnel!$P$9:$P$100="FE")*(Personnel!$G$9:$G$100="Yes")*(93&gt;=Personnel!$E$9:$E$100)*((Personnel!$K$9:$K$100="")+(93&lt;=Personnel!$K$9:$K$100)&gt;0))</f>
        <v>0</v>
      </c>
      <c r="CT46" s="367" t="n">
        <f aca="false">SUMPRODUCT((Personnel!$P$9:$P$100="FE")*(Personnel!$G$9:$G$100="Yes")*(94&gt;=Personnel!$E$9:$E$100)*((Personnel!$K$9:$K$100="")+(94&lt;=Personnel!$K$9:$K$100)&gt;0))</f>
        <v>0</v>
      </c>
      <c r="CU46" s="367" t="n">
        <f aca="false">SUMPRODUCT((Personnel!$P$9:$P$100="FE")*(Personnel!$G$9:$G$100="Yes")*(95&gt;=Personnel!$E$9:$E$100)*((Personnel!$K$9:$K$100="")+(95&lt;=Personnel!$K$9:$K$100)&gt;0))</f>
        <v>0</v>
      </c>
      <c r="CV46" s="367" t="n">
        <f aca="false">SUMPRODUCT((Personnel!$P$9:$P$100="FE")*(Personnel!$G$9:$G$100="Yes")*(96&gt;=Personnel!$E$9:$E$100)*((Personnel!$K$9:$K$100="")+(96&lt;=Personnel!$K$9:$K$100)&gt;0))</f>
        <v>0</v>
      </c>
      <c r="CW46" s="367" t="n">
        <f aca="false">SUMPRODUCT((Personnel!$P$9:$P$100="FE")*(Personnel!$G$9:$G$100="Yes")*(97&gt;=Personnel!$E$9:$E$100)*((Personnel!$K$9:$K$100="")+(97&lt;=Personnel!$K$9:$K$100)&gt;0))</f>
        <v>0</v>
      </c>
      <c r="CX46" s="367" t="n">
        <f aca="false">SUMPRODUCT((Personnel!$P$9:$P$100="FE")*(Personnel!$G$9:$G$100="Yes")*(98&gt;=Personnel!$E$9:$E$100)*((Personnel!$K$9:$K$100="")+(98&lt;=Personnel!$K$9:$K$100)&gt;0))</f>
        <v>0</v>
      </c>
      <c r="CY46" s="367" t="n">
        <f aca="false">SUMPRODUCT((Personnel!$P$9:$P$100="FE")*(Personnel!$G$9:$G$100="Yes")*(99&gt;=Personnel!$E$9:$E$100)*((Personnel!$K$9:$K$100="")+(99&lt;=Personnel!$K$9:$K$100)&gt;0))</f>
        <v>0</v>
      </c>
      <c r="CZ46" s="367" t="n">
        <f aca="false">SUMPRODUCT((Personnel!$P$9:$P$100="FE")*(Personnel!$G$9:$G$100="Yes")*(100&gt;=Personnel!$E$9:$E$100)*((Personnel!$K$9:$K$100="")+(100&lt;=Personnel!$K$9:$K$100)&gt;0))</f>
        <v>0</v>
      </c>
      <c r="DA46" s="367" t="n">
        <f aca="false">SUMPRODUCT((Personnel!$P$9:$P$100="FE")*(Personnel!$G$9:$G$100="Yes")*(101&gt;=Personnel!$E$9:$E$100)*((Personnel!$K$9:$K$100="")+(101&lt;=Personnel!$K$9:$K$100)&gt;0))</f>
        <v>0</v>
      </c>
      <c r="DB46" s="367" t="n">
        <f aca="false">SUMPRODUCT((Personnel!$P$9:$P$100="FE")*(Personnel!$G$9:$G$100="Yes")*(102&gt;=Personnel!$E$9:$E$100)*((Personnel!$K$9:$K$100="")+(102&lt;=Personnel!$K$9:$K$100)&gt;0))</f>
        <v>0</v>
      </c>
      <c r="DC46" s="367" t="n">
        <f aca="false">SUMPRODUCT((Personnel!$P$9:$P$100="FE")*(Personnel!$G$9:$G$100="Yes")*(103&gt;=Personnel!$E$9:$E$100)*((Personnel!$K$9:$K$100="")+(103&lt;=Personnel!$K$9:$K$100)&gt;0))</f>
        <v>0</v>
      </c>
      <c r="DD46" s="367" t="n">
        <f aca="false">SUMPRODUCT((Personnel!$P$9:$P$100="FE")*(Personnel!$G$9:$G$100="Yes")*(104&gt;=Personnel!$E$9:$E$100)*((Personnel!$K$9:$K$100="")+(104&lt;=Personnel!$K$9:$K$100)&gt;0))</f>
        <v>0</v>
      </c>
      <c r="DE46" s="367" t="n">
        <f aca="false">SUMPRODUCT((Personnel!$P$9:$P$100="FE")*(Personnel!$G$9:$G$100="Yes")*(105&gt;=Personnel!$E$9:$E$100)*((Personnel!$K$9:$K$100="")+(105&lt;=Personnel!$K$9:$K$100)&gt;0))</f>
        <v>0</v>
      </c>
    </row>
    <row r="48" customFormat="false" ht="13.5" hidden="false" customHeight="true" outlineLevel="0" collapsed="false">
      <c r="A48" s="223" t="s">
        <v>1216</v>
      </c>
      <c r="B48" s="224"/>
      <c r="C48" s="224"/>
      <c r="D48" s="224"/>
      <c r="E48" s="224"/>
      <c r="F48" s="224"/>
    </row>
    <row r="49" customFormat="false" ht="13.5" hidden="false" customHeight="true" outlineLevel="0" collapsed="false">
      <c r="A49" s="109" t="s">
        <v>1217</v>
      </c>
      <c r="B49" s="225" t="n">
        <f aca="false">$B$26</f>
        <v>160000</v>
      </c>
      <c r="E49" s="368" t="n">
        <f aca="false">IF(1&lt;5,0,IF(MAX(E38)&gt;E43+0+$B$18,1,0))</f>
        <v>0</v>
      </c>
      <c r="F49" s="368" t="n">
        <f aca="false">IF(2&lt;5,0,IF(MAX(E38:F38)&gt;F43+0+$B$18,1,0))</f>
        <v>0</v>
      </c>
      <c r="G49" s="368" t="n">
        <f aca="false">IF(3&lt;5,0,IF(MAX(E38:G38)&gt;G43+0+$B$18,1,0))</f>
        <v>0</v>
      </c>
      <c r="H49" s="368" t="n">
        <f aca="false">IF(4&lt;5,0,IF(MAX(E38:H38)&gt;H43+0+$B$18,1,0))</f>
        <v>0</v>
      </c>
      <c r="I49" s="368" t="n">
        <f aca="false">IF(5&lt;5,0,IF(MAX(E38:I38)&gt;I43+0+$B$18,1,0))</f>
        <v>0</v>
      </c>
      <c r="J49" s="368" t="n">
        <f aca="false">IF(6&lt;5,0,IF(MAX(E38:J38)&gt;J43+0+$B$18,1,0))</f>
        <v>0</v>
      </c>
      <c r="K49" s="368" t="n">
        <f aca="false">IF(7&lt;5,0,IF(MAX(F38:K38)&gt;K43+0+$B$18,1,0))</f>
        <v>0</v>
      </c>
      <c r="L49" s="368" t="n">
        <f aca="false">IF(8&lt;5,0,IF(MAX(G38:L38)&gt;L43+0+$B$18,1,0))</f>
        <v>0</v>
      </c>
      <c r="M49" s="368" t="n">
        <f aca="false">IF(9&lt;5,0,IF(MAX(H38:M38)&gt;M43+0+$B$18,1,0))</f>
        <v>1</v>
      </c>
      <c r="N49" s="368" t="n">
        <f aca="false">IF(10&lt;5,0,IF(MAX(I38:N38)&gt;N43+0+$B$18,1,0))</f>
        <v>1</v>
      </c>
      <c r="O49" s="368" t="n">
        <f aca="false">IF(11&lt;5,0,IF(MAX(J38:O38)&gt;O43+0+$B$18,1,0))</f>
        <v>1</v>
      </c>
      <c r="P49" s="368" t="n">
        <f aca="false">IF(12&lt;5,0,IF(MAX(K38:P38)&gt;P43+0+$B$18,1,0))</f>
        <v>1</v>
      </c>
      <c r="Q49" s="368" t="n">
        <f aca="false">IF(13&lt;5,0,IF(MAX(L38:Q38)&gt;Q43+0+$B$18,1,0))</f>
        <v>1</v>
      </c>
      <c r="R49" s="368" t="n">
        <f aca="false">IF(14&lt;5,0,IF(MAX(M38:R38)&gt;R43+0+$B$18,1,0))</f>
        <v>1</v>
      </c>
      <c r="S49" s="368" t="n">
        <f aca="false">IF(15&lt;5,0,IF(MAX(N38:S38)&gt;S43+0+$B$18,1,0))</f>
        <v>1</v>
      </c>
      <c r="T49" s="368" t="n">
        <f aca="false">IF(16&lt;5,0,IF(MAX(O38:T38)&gt;T43+0+$B$18,1,0))</f>
        <v>1</v>
      </c>
      <c r="U49" s="368" t="n">
        <f aca="false">IF(17&lt;5,0,IF(MAX(P38:U38)&gt;U43+0+$B$18,1,0))</f>
        <v>1</v>
      </c>
      <c r="V49" s="368" t="n">
        <f aca="false">IF(18&lt;5,0,IF(MAX(Q38:V38)&gt;V43+0+$B$18,1,0))</f>
        <v>1</v>
      </c>
      <c r="W49" s="368" t="n">
        <f aca="false">IF(19&lt;5,0,IF(MAX(R38:W38)&gt;W43+0+$B$18,1,0))</f>
        <v>1</v>
      </c>
      <c r="X49" s="368" t="n">
        <f aca="false">IF(20&lt;5,0,IF(MAX(S38:X38)&gt;X43+0+$B$18,1,0))</f>
        <v>1</v>
      </c>
      <c r="Y49" s="368" t="n">
        <f aca="false">IF(21&lt;5,0,IF(MAX(T38:Y38)&gt;Y43+0+$B$18,1,0))</f>
        <v>1</v>
      </c>
      <c r="Z49" s="368" t="n">
        <f aca="false">IF(22&lt;5,0,IF(MAX(U38:Z38)&gt;Z43+0+$B$18,1,0))</f>
        <v>1</v>
      </c>
      <c r="AA49" s="368" t="n">
        <f aca="false">IF(23&lt;5,0,IF(MAX(V38:AA38)&gt;AA43+0+$B$18,1,0))</f>
        <v>1</v>
      </c>
      <c r="AB49" s="368" t="n">
        <f aca="false">IF(24&lt;5,0,IF(MAX(W38:AB38)&gt;AB43+0+$B$18,1,0))</f>
        <v>1</v>
      </c>
      <c r="AC49" s="368" t="n">
        <f aca="false">IF(25&lt;5,0,IF(MAX(X38:AC38)&gt;AC43+0+$B$18,1,0))</f>
        <v>1</v>
      </c>
      <c r="AD49" s="368" t="n">
        <f aca="false">IF(26&lt;5,0,IF(MAX(Y38:AD38)&gt;AD43+0+$B$18,1,0))</f>
        <v>1</v>
      </c>
      <c r="AE49" s="368" t="n">
        <f aca="false">IF(27&lt;5,0,IF(MAX(Z38:AE38)&gt;AE43+0+$B$18,1,0))</f>
        <v>1</v>
      </c>
      <c r="AF49" s="368" t="n">
        <f aca="false">IF(28&lt;5,0,IF(MAX(AA38:AF38)&gt;AF43+0+$B$18,1,0))</f>
        <v>1</v>
      </c>
      <c r="AG49" s="368" t="n">
        <f aca="false">IF(29&lt;5,0,IF(MAX(AB38:AG38)&gt;AG43+0+$B$18,1,0))</f>
        <v>1</v>
      </c>
      <c r="AH49" s="368" t="n">
        <f aca="false">IF(30&lt;5,0,IF(MAX(AC38:AH38)&gt;AH43+0+$B$18,1,0))</f>
        <v>1</v>
      </c>
      <c r="AI49" s="368" t="n">
        <f aca="false">IF(31&lt;5,0,IF(MAX(AD38:AI38)&gt;AI43+0+$B$18,1,0))</f>
        <v>1</v>
      </c>
      <c r="AJ49" s="368" t="n">
        <f aca="false">IF(32&lt;5,0,IF(MAX(AE38:AJ38)&gt;AJ43+0+$B$18,1,0))</f>
        <v>1</v>
      </c>
      <c r="AK49" s="368" t="n">
        <f aca="false">IF(33&lt;5,0,IF(MAX(AF38:AK38)&gt;AK43+0+$B$18,1,0))</f>
        <v>1</v>
      </c>
      <c r="AL49" s="368" t="n">
        <f aca="false">IF(34&lt;5,0,IF(MAX(AG38:AL38)&gt;AL43+0+$B$18,1,0))</f>
        <v>1</v>
      </c>
      <c r="AM49" s="368" t="n">
        <f aca="false">IF(35&lt;5,0,IF(MAX(AH38:AM38)&gt;AM43+0+$B$18,1,0))</f>
        <v>1</v>
      </c>
      <c r="AN49" s="368" t="n">
        <f aca="false">IF(36&lt;5,0,IF(MAX(AI38:AN38)&gt;AN43+0+$B$18,1,0))</f>
        <v>1</v>
      </c>
      <c r="AO49" s="368" t="n">
        <f aca="false">IF(37&lt;5,0,IF(MAX(AJ38:AO38)&gt;AO43+0+$B$18,1,0))</f>
        <v>0</v>
      </c>
      <c r="AP49" s="368" t="n">
        <f aca="false">IF(38&lt;5,0,IF(MAX(AK38:AP38)&gt;AP43+0+$B$18,1,0))</f>
        <v>0</v>
      </c>
      <c r="AQ49" s="368" t="n">
        <f aca="false">IF(39&lt;5,0,IF(MAX(AL38:AQ38)&gt;AQ43+0+$B$18,1,0))</f>
        <v>0</v>
      </c>
      <c r="AR49" s="368" t="n">
        <f aca="false">IF(40&lt;5,0,IF(MAX(AM38:AR38)&gt;AR43+0+$B$18,1,0))</f>
        <v>0</v>
      </c>
      <c r="AS49" s="368" t="n">
        <f aca="false">IF(41&lt;5,0,IF(MAX(AN38:AS38)&gt;AS43+0+$B$18,1,0))</f>
        <v>0</v>
      </c>
      <c r="AT49" s="368" t="n">
        <f aca="false">IF(42&lt;5,0,IF(MAX(AO38:AT38)&gt;AT43+0+$B$18,1,0))</f>
        <v>0</v>
      </c>
      <c r="AU49" s="368" t="n">
        <f aca="false">IF(43&lt;5,0,IF(MAX(AP38:AU38)&gt;AU43+0+$B$18,1,0))</f>
        <v>0</v>
      </c>
      <c r="AV49" s="368" t="n">
        <f aca="false">IF(44&lt;5,0,IF(MAX(AQ38:AV38)&gt;AV43+0+$B$18,1,0))</f>
        <v>0</v>
      </c>
      <c r="AW49" s="368" t="n">
        <f aca="false">IF(45&lt;5,0,IF(MAX(AR38:AW38)&gt;AW43+0+$B$18,1,0))</f>
        <v>0</v>
      </c>
      <c r="AX49" s="368" t="n">
        <f aca="false">IF(46&lt;5,0,IF(MAX(AS38:AX38)&gt;AX43+0+$B$18,1,0))</f>
        <v>0</v>
      </c>
      <c r="AY49" s="368" t="n">
        <f aca="false">IF(47&lt;5,0,IF(MAX(AT38:AY38)&gt;AY43+0+$B$18,1,0))</f>
        <v>0</v>
      </c>
      <c r="AZ49" s="368" t="n">
        <f aca="false">IF(48&lt;5,0,IF(MAX(AU38:AZ38)&gt;AZ43+0+$B$18,1,0))</f>
        <v>0</v>
      </c>
      <c r="BA49" s="368" t="n">
        <f aca="false">IF(49&lt;5,0,IF(MAX(AV38:BA38)&gt;BA43+0+$B$18,1,0))</f>
        <v>0</v>
      </c>
      <c r="BB49" s="368" t="n">
        <f aca="false">IF(50&lt;5,0,IF(MAX(AW38:BB38)&gt;BB43+0+$B$18,1,0))</f>
        <v>0</v>
      </c>
      <c r="BC49" s="368" t="n">
        <f aca="false">IF(51&lt;5,0,IF(MAX(AX38:BC38)&gt;BC43+0+$B$18,1,0))</f>
        <v>0</v>
      </c>
      <c r="BD49" s="368" t="n">
        <f aca="false">IF(52&lt;5,0,IF(MAX(AY38:BD38)&gt;BD43+0+$B$18,1,0))</f>
        <v>0</v>
      </c>
      <c r="BE49" s="368" t="n">
        <f aca="false">IF(53&lt;5,0,IF(MAX(AZ38:BE38)&gt;BE43+0+$B$18,1,0))</f>
        <v>0</v>
      </c>
      <c r="BF49" s="368" t="n">
        <f aca="false">IF(54&lt;5,0,IF(MAX(BA38:BF38)&gt;BF43+0+$B$18,1,0))</f>
        <v>0</v>
      </c>
      <c r="BG49" s="368" t="n">
        <f aca="false">IF(55&lt;5,0,IF(MAX(BB38:BG38)&gt;BG43+0+$B$18,1,0))</f>
        <v>0</v>
      </c>
      <c r="BH49" s="368" t="n">
        <f aca="false">IF(56&lt;5,0,IF(MAX(BC38:BH38)&gt;BH43+0+$B$18,1,0))</f>
        <v>0</v>
      </c>
      <c r="BI49" s="368" t="n">
        <f aca="false">IF(57&lt;5,0,IF(MAX(BD38:BI38)&gt;BI43+0+$B$18,1,0))</f>
        <v>0</v>
      </c>
      <c r="BJ49" s="368" t="n">
        <f aca="false">IF(58&lt;5,0,IF(MAX(BE38:BJ38)&gt;BJ43+0+$B$18,1,0))</f>
        <v>0</v>
      </c>
      <c r="BK49" s="368" t="n">
        <f aca="false">IF(59&lt;5,0,IF(MAX(BF38:BK38)&gt;BK43+0+$B$18,1,0))</f>
        <v>0</v>
      </c>
      <c r="BL49" s="368" t="n">
        <f aca="false">IF(60&lt;5,0,IF(MAX(BG38:BL38)&gt;BL43+0+$B$18,1,0))</f>
        <v>0</v>
      </c>
      <c r="BM49" s="368" t="n">
        <f aca="false">IF(61&lt;5,0,IF(MAX(BH38:BM38)&gt;BM43+0+$B$18,1,0))</f>
        <v>0</v>
      </c>
      <c r="BN49" s="368" t="n">
        <f aca="false">IF(62&lt;5,0,IF(MAX(BI38:BN38)&gt;BN43+0+$B$18,1,0))</f>
        <v>0</v>
      </c>
      <c r="BO49" s="368" t="n">
        <f aca="false">IF(63&lt;5,0,IF(MAX(BJ38:BO38)&gt;BO43+0+$B$18,1,0))</f>
        <v>0</v>
      </c>
      <c r="BP49" s="368" t="n">
        <f aca="false">IF(64&lt;5,0,IF(MAX(BK38:BP38)&gt;BP43+0+$B$18,1,0))</f>
        <v>0</v>
      </c>
      <c r="BQ49" s="368" t="n">
        <f aca="false">IF(65&lt;5,0,IF(MAX(BL38:BQ38)&gt;BQ43+0+$B$18,1,0))</f>
        <v>0</v>
      </c>
      <c r="BR49" s="368" t="n">
        <f aca="false">IF(66&lt;5,0,IF(MAX(BM38:BR38)&gt;BR43+0+$B$18,1,0))</f>
        <v>0</v>
      </c>
      <c r="BS49" s="368" t="n">
        <f aca="false">IF(67&lt;5,0,IF(MAX(BN38:BS38)&gt;BS43+0+$B$18,1,0))</f>
        <v>0</v>
      </c>
      <c r="BT49" s="368" t="n">
        <f aca="false">IF(68&lt;5,0,IF(MAX(BO38:BT38)&gt;BT43+0+$B$18,1,0))</f>
        <v>0</v>
      </c>
      <c r="BU49" s="368" t="n">
        <f aca="false">IF(69&lt;5,0,IF(MAX(BP38:BU38)&gt;BU43+0+$B$18,1,0))</f>
        <v>0</v>
      </c>
      <c r="BV49" s="368" t="n">
        <f aca="false">IF(70&lt;5,0,IF(MAX(BQ38:BV38)&gt;BV43+0+$B$18,1,0))</f>
        <v>0</v>
      </c>
      <c r="BW49" s="368" t="n">
        <f aca="false">IF(71&lt;5,0,IF(MAX(BR38:BW38)&gt;BW43+0+$B$18,1,0))</f>
        <v>0</v>
      </c>
      <c r="BX49" s="368" t="n">
        <f aca="false">IF(72&lt;5,0,IF(MAX(BS38:BX38)&gt;BX43+0+$B$18,1,0))</f>
        <v>0</v>
      </c>
      <c r="BY49" s="368" t="n">
        <f aca="false">IF(73&lt;5,0,IF(MAX(BT38:BY38)&gt;BY43+0+$B$18,1,0))</f>
        <v>0</v>
      </c>
      <c r="BZ49" s="368" t="n">
        <f aca="false">IF(74&lt;5,0,IF(MAX(BU38:BZ38)&gt;BZ43+0+$B$18,1,0))</f>
        <v>0</v>
      </c>
      <c r="CA49" s="368" t="n">
        <f aca="false">IF(75&lt;5,0,IF(MAX(BV38:CA38)&gt;CA43+0+$B$18,1,0))</f>
        <v>0</v>
      </c>
      <c r="CB49" s="368" t="n">
        <f aca="false">IF(76&lt;5,0,IF(MAX(BW38:CB38)&gt;CB43+0+$B$18,1,0))</f>
        <v>0</v>
      </c>
      <c r="CC49" s="368" t="n">
        <f aca="false">IF(77&lt;5,0,IF(MAX(BX38:CC38)&gt;CC43+0+$B$18,1,0))</f>
        <v>0</v>
      </c>
      <c r="CD49" s="368" t="n">
        <f aca="false">IF(78&lt;5,0,IF(MAX(BY38:CD38)&gt;CD43+0+$B$18,1,0))</f>
        <v>0</v>
      </c>
      <c r="CE49" s="368" t="n">
        <f aca="false">IF(79&lt;5,0,IF(MAX(BZ38:CE38)&gt;CE43+0+$B$18,1,0))</f>
        <v>0</v>
      </c>
      <c r="CF49" s="368" t="n">
        <f aca="false">IF(80&lt;5,0,IF(MAX(CA38:CF38)&gt;CF43+0+$B$18,1,0))</f>
        <v>0</v>
      </c>
      <c r="CG49" s="368" t="n">
        <f aca="false">IF(81&lt;5,0,IF(MAX(CB38:CG38)&gt;CG43+0+$B$18,1,0))</f>
        <v>0</v>
      </c>
      <c r="CH49" s="368" t="n">
        <f aca="false">IF(82&lt;5,0,IF(MAX(CC38:CH38)&gt;CH43+0+$B$18,1,0))</f>
        <v>0</v>
      </c>
      <c r="CI49" s="368" t="n">
        <f aca="false">IF(83&lt;5,0,IF(MAX(CD38:CI38)&gt;CI43+0+$B$18,1,0))</f>
        <v>0</v>
      </c>
      <c r="CJ49" s="368" t="n">
        <f aca="false">IF(84&lt;5,0,IF(MAX(CE38:CJ38)&gt;CJ43+0+$B$18,1,0))</f>
        <v>0</v>
      </c>
      <c r="CK49" s="368" t="n">
        <f aca="false">IF(85&lt;5,0,IF(MAX(CF38:CK38)&gt;CK43+0+$B$18,1,0))</f>
        <v>0</v>
      </c>
      <c r="CL49" s="368" t="n">
        <f aca="false">IF(86&lt;5,0,IF(MAX(CG38:CL38)&gt;CL43+0+$B$18,1,0))</f>
        <v>0</v>
      </c>
      <c r="CM49" s="368" t="n">
        <f aca="false">IF(87&lt;5,0,IF(MAX(CH38:CM38)&gt;CM43+0+$B$18,1,0))</f>
        <v>0</v>
      </c>
      <c r="CN49" s="368" t="n">
        <f aca="false">IF(88&lt;5,0,IF(MAX(CI38:CN38)&gt;CN43+0+$B$18,1,0))</f>
        <v>0</v>
      </c>
      <c r="CO49" s="368" t="n">
        <f aca="false">IF(89&lt;5,0,IF(MAX(CJ38:CO38)&gt;CO43+0+$B$18,1,0))</f>
        <v>0</v>
      </c>
      <c r="CP49" s="368" t="n">
        <f aca="false">IF(90&lt;5,0,IF(MAX(CK38:CP38)&gt;CP43+0+$B$18,1,0))</f>
        <v>0</v>
      </c>
      <c r="CQ49" s="368" t="n">
        <f aca="false">IF(91&lt;5,0,IF(MAX(CL38:CQ38)&gt;CQ43+0+$B$18,1,0))</f>
        <v>0</v>
      </c>
      <c r="CR49" s="368" t="n">
        <f aca="false">IF(92&lt;5,0,IF(MAX(CM38:CR38)&gt;CR43+0+$B$18,1,0))</f>
        <v>0</v>
      </c>
      <c r="CS49" s="368" t="n">
        <f aca="false">IF(93&lt;5,0,IF(MAX(CN38:CS38)&gt;CS43+0+$B$18,1,0))</f>
        <v>0</v>
      </c>
      <c r="CT49" s="368" t="n">
        <f aca="false">IF(94&lt;5,0,IF(MAX(CO38:CT38)&gt;CT43+0+$B$18,1,0))</f>
        <v>0</v>
      </c>
      <c r="CU49" s="368" t="n">
        <f aca="false">IF(95&lt;5,0,IF(MAX(CP38:CU38)&gt;CU43+0+$B$18,1,0))</f>
        <v>0</v>
      </c>
      <c r="CV49" s="368" t="n">
        <f aca="false">IF(96&lt;5,0,IF(MAX(CQ38:CV38)&gt;CV43+0+$B$18,1,0))</f>
        <v>0</v>
      </c>
      <c r="CW49" s="368" t="n">
        <f aca="false">IF(97&lt;5,0,IF(MAX(CR38:CW38)&gt;CW43+0+$B$18,1,0))</f>
        <v>0</v>
      </c>
      <c r="CX49" s="368" t="n">
        <f aca="false">IF(98&lt;5,0,IF(MAX(CS38:CX38)&gt;CX43+0+$B$18,1,0))</f>
        <v>0</v>
      </c>
      <c r="CY49" s="368" t="n">
        <f aca="false">IF(99&lt;5,0,IF(MAX(CT38:CY38)&gt;CY43+0+$B$18,1,0))</f>
        <v>0</v>
      </c>
      <c r="CZ49" s="368" t="n">
        <f aca="false">IF(100&lt;5,0,IF(MAX(CU38:CZ38)&gt;CZ43+0+$B$18,1,0))</f>
        <v>0</v>
      </c>
      <c r="DA49" s="368" t="n">
        <f aca="false">IF(101&lt;5,0,IF(MAX(CV38:DA38)&gt;DA43+0+$B$18,1,0))</f>
        <v>0</v>
      </c>
      <c r="DB49" s="368" t="n">
        <f aca="false">IF(102&lt;5,0,IF(MAX(CW38:DB38)&gt;DB43+0+$B$18,1,0))</f>
        <v>0</v>
      </c>
      <c r="DC49" s="368" t="n">
        <f aca="false">IF(103&lt;5,0,IF(MAX(CX38:DC38)&gt;DC43+0+$B$18,1,0))</f>
        <v>0</v>
      </c>
      <c r="DD49" s="368" t="n">
        <f aca="false">IF(104&lt;5,0,IF(MAX(CY38:DD38)&gt;DD43+0+$B$18,1,0))</f>
        <v>0</v>
      </c>
      <c r="DE49" s="368" t="n">
        <f aca="false">IF(105&lt;5,0,IF(MAX(CZ38:DE38)&gt;DE43+0+$B$18,1,0))</f>
        <v>0</v>
      </c>
    </row>
    <row r="50" customFormat="false" ht="13.5" hidden="false" customHeight="true" outlineLevel="0" collapsed="false">
      <c r="A50" s="109" t="s">
        <v>1218</v>
      </c>
      <c r="B50" s="225" t="n">
        <f aca="false">$B$26</f>
        <v>160000</v>
      </c>
      <c r="E50" s="368" t="n">
        <f aca="false">IF(1&lt;5,0,IF(MAX(E38)&gt;E43+1+$B$18,1,0))</f>
        <v>0</v>
      </c>
      <c r="F50" s="368" t="n">
        <f aca="false">IF(2&lt;5,0,IF(MAX(E38:F38)&gt;F43+1+$B$18,1,0))</f>
        <v>0</v>
      </c>
      <c r="G50" s="368" t="n">
        <f aca="false">IF(3&lt;5,0,IF(MAX(E38:G38)&gt;G43+1+$B$18,1,0))</f>
        <v>0</v>
      </c>
      <c r="H50" s="368" t="n">
        <f aca="false">IF(4&lt;5,0,IF(MAX(E38:H38)&gt;H43+1+$B$18,1,0))</f>
        <v>0</v>
      </c>
      <c r="I50" s="368" t="n">
        <f aca="false">IF(5&lt;5,0,IF(MAX(E38:I38)&gt;I43+1+$B$18,1,0))</f>
        <v>0</v>
      </c>
      <c r="J50" s="368" t="n">
        <f aca="false">IF(6&lt;5,0,IF(MAX(E38:J38)&gt;J43+1+$B$18,1,0))</f>
        <v>0</v>
      </c>
      <c r="K50" s="368" t="n">
        <f aca="false">IF(7&lt;5,0,IF(MAX(F38:K38)&gt;K43+1+$B$18,1,0))</f>
        <v>0</v>
      </c>
      <c r="L50" s="368" t="n">
        <f aca="false">IF(8&lt;5,0,IF(MAX(G38:L38)&gt;L43+1+$B$18,1,0))</f>
        <v>0</v>
      </c>
      <c r="M50" s="368" t="n">
        <f aca="false">IF(9&lt;5,0,IF(MAX(H38:M38)&gt;M43+1+$B$18,1,0))</f>
        <v>0</v>
      </c>
      <c r="N50" s="368" t="n">
        <f aca="false">IF(10&lt;5,0,IF(MAX(I38:N38)&gt;N43+1+$B$18,1,0))</f>
        <v>0</v>
      </c>
      <c r="O50" s="368" t="n">
        <f aca="false">IF(11&lt;5,0,IF(MAX(J38:O38)&gt;O43+1+$B$18,1,0))</f>
        <v>0</v>
      </c>
      <c r="P50" s="368" t="n">
        <f aca="false">IF(12&lt;5,0,IF(MAX(K38:P38)&gt;P43+1+$B$18,1,0))</f>
        <v>0</v>
      </c>
      <c r="Q50" s="368" t="n">
        <f aca="false">IF(13&lt;5,0,IF(MAX(L38:Q38)&gt;Q43+1+$B$18,1,0))</f>
        <v>1</v>
      </c>
      <c r="R50" s="368" t="n">
        <f aca="false">IF(14&lt;5,0,IF(MAX(M38:R38)&gt;R43+1+$B$18,1,0))</f>
        <v>1</v>
      </c>
      <c r="S50" s="368" t="n">
        <f aca="false">IF(15&lt;5,0,IF(MAX(N38:S38)&gt;S43+1+$B$18,1,0))</f>
        <v>1</v>
      </c>
      <c r="T50" s="368" t="n">
        <f aca="false">IF(16&lt;5,0,IF(MAX(O38:T38)&gt;T43+1+$B$18,1,0))</f>
        <v>1</v>
      </c>
      <c r="U50" s="368" t="n">
        <f aca="false">IF(17&lt;5,0,IF(MAX(P38:U38)&gt;U43+1+$B$18,1,0))</f>
        <v>1</v>
      </c>
      <c r="V50" s="368" t="n">
        <f aca="false">IF(18&lt;5,0,IF(MAX(Q38:V38)&gt;V43+1+$B$18,1,0))</f>
        <v>1</v>
      </c>
      <c r="W50" s="368" t="n">
        <f aca="false">IF(19&lt;5,0,IF(MAX(R38:W38)&gt;W43+1+$B$18,1,0))</f>
        <v>1</v>
      </c>
      <c r="X50" s="368" t="n">
        <f aca="false">IF(20&lt;5,0,IF(MAX(S38:X38)&gt;X43+1+$B$18,1,0))</f>
        <v>1</v>
      </c>
      <c r="Y50" s="368" t="n">
        <f aca="false">IF(21&lt;5,0,IF(MAX(T38:Y38)&gt;Y43+1+$B$18,1,0))</f>
        <v>1</v>
      </c>
      <c r="Z50" s="368" t="n">
        <f aca="false">IF(22&lt;5,0,IF(MAX(U38:Z38)&gt;Z43+1+$B$18,1,0))</f>
        <v>1</v>
      </c>
      <c r="AA50" s="368" t="n">
        <f aca="false">IF(23&lt;5,0,IF(MAX(V38:AA38)&gt;AA43+1+$B$18,1,0))</f>
        <v>1</v>
      </c>
      <c r="AB50" s="368" t="n">
        <f aca="false">IF(24&lt;5,0,IF(MAX(W38:AB38)&gt;AB43+1+$B$18,1,0))</f>
        <v>1</v>
      </c>
      <c r="AC50" s="368" t="n">
        <f aca="false">IF(25&lt;5,0,IF(MAX(X38:AC38)&gt;AC43+1+$B$18,1,0))</f>
        <v>1</v>
      </c>
      <c r="AD50" s="368" t="n">
        <f aca="false">IF(26&lt;5,0,IF(MAX(Y38:AD38)&gt;AD43+1+$B$18,1,0))</f>
        <v>1</v>
      </c>
      <c r="AE50" s="368" t="n">
        <f aca="false">IF(27&lt;5,0,IF(MAX(Z38:AE38)&gt;AE43+1+$B$18,1,0))</f>
        <v>1</v>
      </c>
      <c r="AF50" s="368" t="n">
        <f aca="false">IF(28&lt;5,0,IF(MAX(AA38:AF38)&gt;AF43+1+$B$18,1,0))</f>
        <v>1</v>
      </c>
      <c r="AG50" s="368" t="n">
        <f aca="false">IF(29&lt;5,0,IF(MAX(AB38:AG38)&gt;AG43+1+$B$18,1,0))</f>
        <v>1</v>
      </c>
      <c r="AH50" s="368" t="n">
        <f aca="false">IF(30&lt;5,0,IF(MAX(AC38:AH38)&gt;AH43+1+$B$18,1,0))</f>
        <v>1</v>
      </c>
      <c r="AI50" s="368" t="n">
        <f aca="false">IF(31&lt;5,0,IF(MAX(AD38:AI38)&gt;AI43+1+$B$18,1,0))</f>
        <v>1</v>
      </c>
      <c r="AJ50" s="368" t="n">
        <f aca="false">IF(32&lt;5,0,IF(MAX(AE38:AJ38)&gt;AJ43+1+$B$18,1,0))</f>
        <v>1</v>
      </c>
      <c r="AK50" s="368" t="n">
        <f aca="false">IF(33&lt;5,0,IF(MAX(AF38:AK38)&gt;AK43+1+$B$18,1,0))</f>
        <v>1</v>
      </c>
      <c r="AL50" s="368" t="n">
        <f aca="false">IF(34&lt;5,0,IF(MAX(AG38:AL38)&gt;AL43+1+$B$18,1,0))</f>
        <v>1</v>
      </c>
      <c r="AM50" s="368" t="n">
        <f aca="false">IF(35&lt;5,0,IF(MAX(AH38:AM38)&gt;AM43+1+$B$18,1,0))</f>
        <v>0</v>
      </c>
      <c r="AN50" s="368" t="n">
        <f aca="false">IF(36&lt;5,0,IF(MAX(AI38:AN38)&gt;AN43+1+$B$18,1,0))</f>
        <v>0</v>
      </c>
      <c r="AO50" s="368" t="n">
        <f aca="false">IF(37&lt;5,0,IF(MAX(AJ38:AO38)&gt;AO43+1+$B$18,1,0))</f>
        <v>0</v>
      </c>
      <c r="AP50" s="368" t="n">
        <f aca="false">IF(38&lt;5,0,IF(MAX(AK38:AP38)&gt;AP43+1+$B$18,1,0))</f>
        <v>0</v>
      </c>
      <c r="AQ50" s="368" t="n">
        <f aca="false">IF(39&lt;5,0,IF(MAX(AL38:AQ38)&gt;AQ43+1+$B$18,1,0))</f>
        <v>0</v>
      </c>
      <c r="AR50" s="368" t="n">
        <f aca="false">IF(40&lt;5,0,IF(MAX(AM38:AR38)&gt;AR43+1+$B$18,1,0))</f>
        <v>0</v>
      </c>
      <c r="AS50" s="368" t="n">
        <f aca="false">IF(41&lt;5,0,IF(MAX(AN38:AS38)&gt;AS43+1+$B$18,1,0))</f>
        <v>0</v>
      </c>
      <c r="AT50" s="368" t="n">
        <f aca="false">IF(42&lt;5,0,IF(MAX(AO38:AT38)&gt;AT43+1+$B$18,1,0))</f>
        <v>0</v>
      </c>
      <c r="AU50" s="368" t="n">
        <f aca="false">IF(43&lt;5,0,IF(MAX(AP38:AU38)&gt;AU43+1+$B$18,1,0))</f>
        <v>0</v>
      </c>
      <c r="AV50" s="368" t="n">
        <f aca="false">IF(44&lt;5,0,IF(MAX(AQ38:AV38)&gt;AV43+1+$B$18,1,0))</f>
        <v>0</v>
      </c>
      <c r="AW50" s="368" t="n">
        <f aca="false">IF(45&lt;5,0,IF(MAX(AR38:AW38)&gt;AW43+1+$B$18,1,0))</f>
        <v>0</v>
      </c>
      <c r="AX50" s="368" t="n">
        <f aca="false">IF(46&lt;5,0,IF(MAX(AS38:AX38)&gt;AX43+1+$B$18,1,0))</f>
        <v>0</v>
      </c>
      <c r="AY50" s="368" t="n">
        <f aca="false">IF(47&lt;5,0,IF(MAX(AT38:AY38)&gt;AY43+1+$B$18,1,0))</f>
        <v>0</v>
      </c>
      <c r="AZ50" s="368" t="n">
        <f aca="false">IF(48&lt;5,0,IF(MAX(AU38:AZ38)&gt;AZ43+1+$B$18,1,0))</f>
        <v>0</v>
      </c>
      <c r="BA50" s="368" t="n">
        <f aca="false">IF(49&lt;5,0,IF(MAX(AV38:BA38)&gt;BA43+1+$B$18,1,0))</f>
        <v>0</v>
      </c>
      <c r="BB50" s="368" t="n">
        <f aca="false">IF(50&lt;5,0,IF(MAX(AW38:BB38)&gt;BB43+1+$B$18,1,0))</f>
        <v>0</v>
      </c>
      <c r="BC50" s="368" t="n">
        <f aca="false">IF(51&lt;5,0,IF(MAX(AX38:BC38)&gt;BC43+1+$B$18,1,0))</f>
        <v>0</v>
      </c>
      <c r="BD50" s="368" t="n">
        <f aca="false">IF(52&lt;5,0,IF(MAX(AY38:BD38)&gt;BD43+1+$B$18,1,0))</f>
        <v>0</v>
      </c>
      <c r="BE50" s="368" t="n">
        <f aca="false">IF(53&lt;5,0,IF(MAX(AZ38:BE38)&gt;BE43+1+$B$18,1,0))</f>
        <v>0</v>
      </c>
      <c r="BF50" s="368" t="n">
        <f aca="false">IF(54&lt;5,0,IF(MAX(BA38:BF38)&gt;BF43+1+$B$18,1,0))</f>
        <v>0</v>
      </c>
      <c r="BG50" s="368" t="n">
        <f aca="false">IF(55&lt;5,0,IF(MAX(BB38:BG38)&gt;BG43+1+$B$18,1,0))</f>
        <v>0</v>
      </c>
      <c r="BH50" s="368" t="n">
        <f aca="false">IF(56&lt;5,0,IF(MAX(BC38:BH38)&gt;BH43+1+$B$18,1,0))</f>
        <v>0</v>
      </c>
      <c r="BI50" s="368" t="n">
        <f aca="false">IF(57&lt;5,0,IF(MAX(BD38:BI38)&gt;BI43+1+$B$18,1,0))</f>
        <v>0</v>
      </c>
      <c r="BJ50" s="368" t="n">
        <f aca="false">IF(58&lt;5,0,IF(MAX(BE38:BJ38)&gt;BJ43+1+$B$18,1,0))</f>
        <v>0</v>
      </c>
      <c r="BK50" s="368" t="n">
        <f aca="false">IF(59&lt;5,0,IF(MAX(BF38:BK38)&gt;BK43+1+$B$18,1,0))</f>
        <v>0</v>
      </c>
      <c r="BL50" s="368" t="n">
        <f aca="false">IF(60&lt;5,0,IF(MAX(BG38:BL38)&gt;BL43+1+$B$18,1,0))</f>
        <v>0</v>
      </c>
      <c r="BM50" s="368" t="n">
        <f aca="false">IF(61&lt;5,0,IF(MAX(BH38:BM38)&gt;BM43+1+$B$18,1,0))</f>
        <v>0</v>
      </c>
      <c r="BN50" s="368" t="n">
        <f aca="false">IF(62&lt;5,0,IF(MAX(BI38:BN38)&gt;BN43+1+$B$18,1,0))</f>
        <v>0</v>
      </c>
      <c r="BO50" s="368" t="n">
        <f aca="false">IF(63&lt;5,0,IF(MAX(BJ38:BO38)&gt;BO43+1+$B$18,1,0))</f>
        <v>0</v>
      </c>
      <c r="BP50" s="368" t="n">
        <f aca="false">IF(64&lt;5,0,IF(MAX(BK38:BP38)&gt;BP43+1+$B$18,1,0))</f>
        <v>0</v>
      </c>
      <c r="BQ50" s="368" t="n">
        <f aca="false">IF(65&lt;5,0,IF(MAX(BL38:BQ38)&gt;BQ43+1+$B$18,1,0))</f>
        <v>0</v>
      </c>
      <c r="BR50" s="368" t="n">
        <f aca="false">IF(66&lt;5,0,IF(MAX(BM38:BR38)&gt;BR43+1+$B$18,1,0))</f>
        <v>0</v>
      </c>
      <c r="BS50" s="368" t="n">
        <f aca="false">IF(67&lt;5,0,IF(MAX(BN38:BS38)&gt;BS43+1+$B$18,1,0))</f>
        <v>0</v>
      </c>
      <c r="BT50" s="368" t="n">
        <f aca="false">IF(68&lt;5,0,IF(MAX(BO38:BT38)&gt;BT43+1+$B$18,1,0))</f>
        <v>0</v>
      </c>
      <c r="BU50" s="368" t="n">
        <f aca="false">IF(69&lt;5,0,IF(MAX(BP38:BU38)&gt;BU43+1+$B$18,1,0))</f>
        <v>0</v>
      </c>
      <c r="BV50" s="368" t="n">
        <f aca="false">IF(70&lt;5,0,IF(MAX(BQ38:BV38)&gt;BV43+1+$B$18,1,0))</f>
        <v>0</v>
      </c>
      <c r="BW50" s="368" t="n">
        <f aca="false">IF(71&lt;5,0,IF(MAX(BR38:BW38)&gt;BW43+1+$B$18,1,0))</f>
        <v>0</v>
      </c>
      <c r="BX50" s="368" t="n">
        <f aca="false">IF(72&lt;5,0,IF(MAX(BS38:BX38)&gt;BX43+1+$B$18,1,0))</f>
        <v>0</v>
      </c>
      <c r="BY50" s="368" t="n">
        <f aca="false">IF(73&lt;5,0,IF(MAX(BT38:BY38)&gt;BY43+1+$B$18,1,0))</f>
        <v>0</v>
      </c>
      <c r="BZ50" s="368" t="n">
        <f aca="false">IF(74&lt;5,0,IF(MAX(BU38:BZ38)&gt;BZ43+1+$B$18,1,0))</f>
        <v>0</v>
      </c>
      <c r="CA50" s="368" t="n">
        <f aca="false">IF(75&lt;5,0,IF(MAX(BV38:CA38)&gt;CA43+1+$B$18,1,0))</f>
        <v>0</v>
      </c>
      <c r="CB50" s="368" t="n">
        <f aca="false">IF(76&lt;5,0,IF(MAX(BW38:CB38)&gt;CB43+1+$B$18,1,0))</f>
        <v>0</v>
      </c>
      <c r="CC50" s="368" t="n">
        <f aca="false">IF(77&lt;5,0,IF(MAX(BX38:CC38)&gt;CC43+1+$B$18,1,0))</f>
        <v>0</v>
      </c>
      <c r="CD50" s="368" t="n">
        <f aca="false">IF(78&lt;5,0,IF(MAX(BY38:CD38)&gt;CD43+1+$B$18,1,0))</f>
        <v>0</v>
      </c>
      <c r="CE50" s="368" t="n">
        <f aca="false">IF(79&lt;5,0,IF(MAX(BZ38:CE38)&gt;CE43+1+$B$18,1,0))</f>
        <v>0</v>
      </c>
      <c r="CF50" s="368" t="n">
        <f aca="false">IF(80&lt;5,0,IF(MAX(CA38:CF38)&gt;CF43+1+$B$18,1,0))</f>
        <v>0</v>
      </c>
      <c r="CG50" s="368" t="n">
        <f aca="false">IF(81&lt;5,0,IF(MAX(CB38:CG38)&gt;CG43+1+$B$18,1,0))</f>
        <v>0</v>
      </c>
      <c r="CH50" s="368" t="n">
        <f aca="false">IF(82&lt;5,0,IF(MAX(CC38:CH38)&gt;CH43+1+$B$18,1,0))</f>
        <v>0</v>
      </c>
      <c r="CI50" s="368" t="n">
        <f aca="false">IF(83&lt;5,0,IF(MAX(CD38:CI38)&gt;CI43+1+$B$18,1,0))</f>
        <v>0</v>
      </c>
      <c r="CJ50" s="368" t="n">
        <f aca="false">IF(84&lt;5,0,IF(MAX(CE38:CJ38)&gt;CJ43+1+$B$18,1,0))</f>
        <v>0</v>
      </c>
      <c r="CK50" s="368" t="n">
        <f aca="false">IF(85&lt;5,0,IF(MAX(CF38:CK38)&gt;CK43+1+$B$18,1,0))</f>
        <v>0</v>
      </c>
      <c r="CL50" s="368" t="n">
        <f aca="false">IF(86&lt;5,0,IF(MAX(CG38:CL38)&gt;CL43+1+$B$18,1,0))</f>
        <v>0</v>
      </c>
      <c r="CM50" s="368" t="n">
        <f aca="false">IF(87&lt;5,0,IF(MAX(CH38:CM38)&gt;CM43+1+$B$18,1,0))</f>
        <v>0</v>
      </c>
      <c r="CN50" s="368" t="n">
        <f aca="false">IF(88&lt;5,0,IF(MAX(CI38:CN38)&gt;CN43+1+$B$18,1,0))</f>
        <v>0</v>
      </c>
      <c r="CO50" s="368" t="n">
        <f aca="false">IF(89&lt;5,0,IF(MAX(CJ38:CO38)&gt;CO43+1+$B$18,1,0))</f>
        <v>0</v>
      </c>
      <c r="CP50" s="368" t="n">
        <f aca="false">IF(90&lt;5,0,IF(MAX(CK38:CP38)&gt;CP43+1+$B$18,1,0))</f>
        <v>0</v>
      </c>
      <c r="CQ50" s="368" t="n">
        <f aca="false">IF(91&lt;5,0,IF(MAX(CL38:CQ38)&gt;CQ43+1+$B$18,1,0))</f>
        <v>0</v>
      </c>
      <c r="CR50" s="368" t="n">
        <f aca="false">IF(92&lt;5,0,IF(MAX(CM38:CR38)&gt;CR43+1+$B$18,1,0))</f>
        <v>0</v>
      </c>
      <c r="CS50" s="368" t="n">
        <f aca="false">IF(93&lt;5,0,IF(MAX(CN38:CS38)&gt;CS43+1+$B$18,1,0))</f>
        <v>0</v>
      </c>
      <c r="CT50" s="368" t="n">
        <f aca="false">IF(94&lt;5,0,IF(MAX(CO38:CT38)&gt;CT43+1+$B$18,1,0))</f>
        <v>0</v>
      </c>
      <c r="CU50" s="368" t="n">
        <f aca="false">IF(95&lt;5,0,IF(MAX(CP38:CU38)&gt;CU43+1+$B$18,1,0))</f>
        <v>0</v>
      </c>
      <c r="CV50" s="368" t="n">
        <f aca="false">IF(96&lt;5,0,IF(MAX(CQ38:CV38)&gt;CV43+1+$B$18,1,0))</f>
        <v>0</v>
      </c>
      <c r="CW50" s="368" t="n">
        <f aca="false">IF(97&lt;5,0,IF(MAX(CR38:CW38)&gt;CW43+1+$B$18,1,0))</f>
        <v>0</v>
      </c>
      <c r="CX50" s="368" t="n">
        <f aca="false">IF(98&lt;5,0,IF(MAX(CS38:CX38)&gt;CX43+1+$B$18,1,0))</f>
        <v>0</v>
      </c>
      <c r="CY50" s="368" t="n">
        <f aca="false">IF(99&lt;5,0,IF(MAX(CT38:CY38)&gt;CY43+1+$B$18,1,0))</f>
        <v>0</v>
      </c>
      <c r="CZ50" s="368" t="n">
        <f aca="false">IF(100&lt;5,0,IF(MAX(CU38:CZ38)&gt;CZ43+1+$B$18,1,0))</f>
        <v>0</v>
      </c>
      <c r="DA50" s="368" t="n">
        <f aca="false">IF(101&lt;5,0,IF(MAX(CV38:DA38)&gt;DA43+1+$B$18,1,0))</f>
        <v>0</v>
      </c>
      <c r="DB50" s="368" t="n">
        <f aca="false">IF(102&lt;5,0,IF(MAX(CW38:DB38)&gt;DB43+1+$B$18,1,0))</f>
        <v>0</v>
      </c>
      <c r="DC50" s="368" t="n">
        <f aca="false">IF(103&lt;5,0,IF(MAX(CX38:DC38)&gt;DC43+1+$B$18,1,0))</f>
        <v>0</v>
      </c>
      <c r="DD50" s="368" t="n">
        <f aca="false">IF(104&lt;5,0,IF(MAX(CY38:DD38)&gt;DD43+1+$B$18,1,0))</f>
        <v>0</v>
      </c>
      <c r="DE50" s="368" t="n">
        <f aca="false">IF(105&lt;5,0,IF(MAX(CZ38:DE38)&gt;DE43+1+$B$18,1,0))</f>
        <v>0</v>
      </c>
    </row>
    <row r="51" customFormat="false" ht="13.5" hidden="false" customHeight="true" outlineLevel="0" collapsed="false">
      <c r="A51" s="109" t="s">
        <v>1219</v>
      </c>
      <c r="B51" s="225" t="n">
        <f aca="false">$B$26</f>
        <v>160000</v>
      </c>
      <c r="E51" s="368" t="n">
        <f aca="false">IF(1&lt;5,0,IF(MAX(E38)&gt;E43+2+$B$18,1,0))</f>
        <v>0</v>
      </c>
      <c r="F51" s="368" t="n">
        <f aca="false">IF(2&lt;5,0,IF(MAX(E38:F38)&gt;F43+2+$B$18,1,0))</f>
        <v>0</v>
      </c>
      <c r="G51" s="368" t="n">
        <f aca="false">IF(3&lt;5,0,IF(MAX(E38:G38)&gt;G43+2+$B$18,1,0))</f>
        <v>0</v>
      </c>
      <c r="H51" s="368" t="n">
        <f aca="false">IF(4&lt;5,0,IF(MAX(E38:H38)&gt;H43+2+$B$18,1,0))</f>
        <v>0</v>
      </c>
      <c r="I51" s="368" t="n">
        <f aca="false">IF(5&lt;5,0,IF(MAX(E38:I38)&gt;I43+2+$B$18,1,0))</f>
        <v>0</v>
      </c>
      <c r="J51" s="368" t="n">
        <f aca="false">IF(6&lt;5,0,IF(MAX(E38:J38)&gt;J43+2+$B$18,1,0))</f>
        <v>0</v>
      </c>
      <c r="K51" s="368" t="n">
        <f aca="false">IF(7&lt;5,0,IF(MAX(F38:K38)&gt;K43+2+$B$18,1,0))</f>
        <v>0</v>
      </c>
      <c r="L51" s="368" t="n">
        <f aca="false">IF(8&lt;5,0,IF(MAX(G38:L38)&gt;L43+2+$B$18,1,0))</f>
        <v>0</v>
      </c>
      <c r="M51" s="368" t="n">
        <f aca="false">IF(9&lt;5,0,IF(MAX(H38:M38)&gt;M43+2+$B$18,1,0))</f>
        <v>0</v>
      </c>
      <c r="N51" s="368" t="n">
        <f aca="false">IF(10&lt;5,0,IF(MAX(I38:N38)&gt;N43+2+$B$18,1,0))</f>
        <v>0</v>
      </c>
      <c r="O51" s="368" t="n">
        <f aca="false">IF(11&lt;5,0,IF(MAX(J38:O38)&gt;O43+2+$B$18,1,0))</f>
        <v>0</v>
      </c>
      <c r="P51" s="368" t="n">
        <f aca="false">IF(12&lt;5,0,IF(MAX(K38:P38)&gt;P43+2+$B$18,1,0))</f>
        <v>0</v>
      </c>
      <c r="Q51" s="368" t="n">
        <f aca="false">IF(13&lt;5,0,IF(MAX(L38:Q38)&gt;Q43+2+$B$18,1,0))</f>
        <v>0</v>
      </c>
      <c r="R51" s="368" t="n">
        <f aca="false">IF(14&lt;5,0,IF(MAX(M38:R38)&gt;R43+2+$B$18,1,0))</f>
        <v>1</v>
      </c>
      <c r="S51" s="368" t="n">
        <f aca="false">IF(15&lt;5,0,IF(MAX(N38:S38)&gt;S43+2+$B$18,1,0))</f>
        <v>1</v>
      </c>
      <c r="T51" s="368" t="n">
        <f aca="false">IF(16&lt;5,0,IF(MAX(O38:T38)&gt;T43+2+$B$18,1,0))</f>
        <v>1</v>
      </c>
      <c r="U51" s="368" t="n">
        <f aca="false">IF(17&lt;5,0,IF(MAX(P38:U38)&gt;U43+2+$B$18,1,0))</f>
        <v>1</v>
      </c>
      <c r="V51" s="368" t="n">
        <f aca="false">IF(18&lt;5,0,IF(MAX(Q38:V38)&gt;V43+2+$B$18,1,0))</f>
        <v>1</v>
      </c>
      <c r="W51" s="368" t="n">
        <f aca="false">IF(19&lt;5,0,IF(MAX(R38:W38)&gt;W43+2+$B$18,1,0))</f>
        <v>1</v>
      </c>
      <c r="X51" s="368" t="n">
        <f aca="false">IF(20&lt;5,0,IF(MAX(S38:X38)&gt;X43+2+$B$18,1,0))</f>
        <v>1</v>
      </c>
      <c r="Y51" s="368" t="n">
        <f aca="false">IF(21&lt;5,0,IF(MAX(T38:Y38)&gt;Y43+2+$B$18,1,0))</f>
        <v>1</v>
      </c>
      <c r="Z51" s="368" t="n">
        <f aca="false">IF(22&lt;5,0,IF(MAX(U38:Z38)&gt;Z43+2+$B$18,1,0))</f>
        <v>1</v>
      </c>
      <c r="AA51" s="368" t="n">
        <f aca="false">IF(23&lt;5,0,IF(MAX(V38:AA38)&gt;AA43+2+$B$18,1,0))</f>
        <v>1</v>
      </c>
      <c r="AB51" s="368" t="n">
        <f aca="false">IF(24&lt;5,0,IF(MAX(W38:AB38)&gt;AB43+2+$B$18,1,0))</f>
        <v>1</v>
      </c>
      <c r="AC51" s="368" t="n">
        <f aca="false">IF(25&lt;5,0,IF(MAX(X38:AC38)&gt;AC43+2+$B$18,1,0))</f>
        <v>1</v>
      </c>
      <c r="AD51" s="368" t="n">
        <f aca="false">IF(26&lt;5,0,IF(MAX(Y38:AD38)&gt;AD43+2+$B$18,1,0))</f>
        <v>1</v>
      </c>
      <c r="AE51" s="368" t="n">
        <f aca="false">IF(27&lt;5,0,IF(MAX(Z38:AE38)&gt;AE43+2+$B$18,1,0))</f>
        <v>1</v>
      </c>
      <c r="AF51" s="368" t="n">
        <f aca="false">IF(28&lt;5,0,IF(MAX(AA38:AF38)&gt;AF43+2+$B$18,1,0))</f>
        <v>1</v>
      </c>
      <c r="AG51" s="368" t="n">
        <f aca="false">IF(29&lt;5,0,IF(MAX(AB38:AG38)&gt;AG43+2+$B$18,1,0))</f>
        <v>1</v>
      </c>
      <c r="AH51" s="368" t="n">
        <f aca="false">IF(30&lt;5,0,IF(MAX(AC38:AH38)&gt;AH43+2+$B$18,1,0))</f>
        <v>1</v>
      </c>
      <c r="AI51" s="368" t="n">
        <f aca="false">IF(31&lt;5,0,IF(MAX(AD38:AI38)&gt;AI43+2+$B$18,1,0))</f>
        <v>1</v>
      </c>
      <c r="AJ51" s="368" t="n">
        <f aca="false">IF(32&lt;5,0,IF(MAX(AE38:AJ38)&gt;AJ43+2+$B$18,1,0))</f>
        <v>1</v>
      </c>
      <c r="AK51" s="368" t="n">
        <f aca="false">IF(33&lt;5,0,IF(MAX(AF38:AK38)&gt;AK43+2+$B$18,1,0))</f>
        <v>1</v>
      </c>
      <c r="AL51" s="368" t="n">
        <f aca="false">IF(34&lt;5,0,IF(MAX(AG38:AL38)&gt;AL43+2+$B$18,1,0))</f>
        <v>1</v>
      </c>
      <c r="AM51" s="368" t="n">
        <f aca="false">IF(35&lt;5,0,IF(MAX(AH38:AM38)&gt;AM43+2+$B$18,1,0))</f>
        <v>0</v>
      </c>
      <c r="AN51" s="368" t="n">
        <f aca="false">IF(36&lt;5,0,IF(MAX(AI38:AN38)&gt;AN43+2+$B$18,1,0))</f>
        <v>0</v>
      </c>
      <c r="AO51" s="368" t="n">
        <f aca="false">IF(37&lt;5,0,IF(MAX(AJ38:AO38)&gt;AO43+2+$B$18,1,0))</f>
        <v>0</v>
      </c>
      <c r="AP51" s="368" t="n">
        <f aca="false">IF(38&lt;5,0,IF(MAX(AK38:AP38)&gt;AP43+2+$B$18,1,0))</f>
        <v>0</v>
      </c>
      <c r="AQ51" s="368" t="n">
        <f aca="false">IF(39&lt;5,0,IF(MAX(AL38:AQ38)&gt;AQ43+2+$B$18,1,0))</f>
        <v>0</v>
      </c>
      <c r="AR51" s="368" t="n">
        <f aca="false">IF(40&lt;5,0,IF(MAX(AM38:AR38)&gt;AR43+2+$B$18,1,0))</f>
        <v>0</v>
      </c>
      <c r="AS51" s="368" t="n">
        <f aca="false">IF(41&lt;5,0,IF(MAX(AN38:AS38)&gt;AS43+2+$B$18,1,0))</f>
        <v>0</v>
      </c>
      <c r="AT51" s="368" t="n">
        <f aca="false">IF(42&lt;5,0,IF(MAX(AO38:AT38)&gt;AT43+2+$B$18,1,0))</f>
        <v>0</v>
      </c>
      <c r="AU51" s="368" t="n">
        <f aca="false">IF(43&lt;5,0,IF(MAX(AP38:AU38)&gt;AU43+2+$B$18,1,0))</f>
        <v>0</v>
      </c>
      <c r="AV51" s="368" t="n">
        <f aca="false">IF(44&lt;5,0,IF(MAX(AQ38:AV38)&gt;AV43+2+$B$18,1,0))</f>
        <v>0</v>
      </c>
      <c r="AW51" s="368" t="n">
        <f aca="false">IF(45&lt;5,0,IF(MAX(AR38:AW38)&gt;AW43+2+$B$18,1,0))</f>
        <v>0</v>
      </c>
      <c r="AX51" s="368" t="n">
        <f aca="false">IF(46&lt;5,0,IF(MAX(AS38:AX38)&gt;AX43+2+$B$18,1,0))</f>
        <v>0</v>
      </c>
      <c r="AY51" s="368" t="n">
        <f aca="false">IF(47&lt;5,0,IF(MAX(AT38:AY38)&gt;AY43+2+$B$18,1,0))</f>
        <v>0</v>
      </c>
      <c r="AZ51" s="368" t="n">
        <f aca="false">IF(48&lt;5,0,IF(MAX(AU38:AZ38)&gt;AZ43+2+$B$18,1,0))</f>
        <v>0</v>
      </c>
      <c r="BA51" s="368" t="n">
        <f aca="false">IF(49&lt;5,0,IF(MAX(AV38:BA38)&gt;BA43+2+$B$18,1,0))</f>
        <v>0</v>
      </c>
      <c r="BB51" s="368" t="n">
        <f aca="false">IF(50&lt;5,0,IF(MAX(AW38:BB38)&gt;BB43+2+$B$18,1,0))</f>
        <v>0</v>
      </c>
      <c r="BC51" s="368" t="n">
        <f aca="false">IF(51&lt;5,0,IF(MAX(AX38:BC38)&gt;BC43+2+$B$18,1,0))</f>
        <v>0</v>
      </c>
      <c r="BD51" s="368" t="n">
        <f aca="false">IF(52&lt;5,0,IF(MAX(AY38:BD38)&gt;BD43+2+$B$18,1,0))</f>
        <v>0</v>
      </c>
      <c r="BE51" s="368" t="n">
        <f aca="false">IF(53&lt;5,0,IF(MAX(AZ38:BE38)&gt;BE43+2+$B$18,1,0))</f>
        <v>0</v>
      </c>
      <c r="BF51" s="368" t="n">
        <f aca="false">IF(54&lt;5,0,IF(MAX(BA38:BF38)&gt;BF43+2+$B$18,1,0))</f>
        <v>0</v>
      </c>
      <c r="BG51" s="368" t="n">
        <f aca="false">IF(55&lt;5,0,IF(MAX(BB38:BG38)&gt;BG43+2+$B$18,1,0))</f>
        <v>0</v>
      </c>
      <c r="BH51" s="368" t="n">
        <f aca="false">IF(56&lt;5,0,IF(MAX(BC38:BH38)&gt;BH43+2+$B$18,1,0))</f>
        <v>0</v>
      </c>
      <c r="BI51" s="368" t="n">
        <f aca="false">IF(57&lt;5,0,IF(MAX(BD38:BI38)&gt;BI43+2+$B$18,1,0))</f>
        <v>0</v>
      </c>
      <c r="BJ51" s="368" t="n">
        <f aca="false">IF(58&lt;5,0,IF(MAX(BE38:BJ38)&gt;BJ43+2+$B$18,1,0))</f>
        <v>0</v>
      </c>
      <c r="BK51" s="368" t="n">
        <f aca="false">IF(59&lt;5,0,IF(MAX(BF38:BK38)&gt;BK43+2+$B$18,1,0))</f>
        <v>0</v>
      </c>
      <c r="BL51" s="368" t="n">
        <f aca="false">IF(60&lt;5,0,IF(MAX(BG38:BL38)&gt;BL43+2+$B$18,1,0))</f>
        <v>0</v>
      </c>
      <c r="BM51" s="368" t="n">
        <f aca="false">IF(61&lt;5,0,IF(MAX(BH38:BM38)&gt;BM43+2+$B$18,1,0))</f>
        <v>0</v>
      </c>
      <c r="BN51" s="368" t="n">
        <f aca="false">IF(62&lt;5,0,IF(MAX(BI38:BN38)&gt;BN43+2+$B$18,1,0))</f>
        <v>0</v>
      </c>
      <c r="BO51" s="368" t="n">
        <f aca="false">IF(63&lt;5,0,IF(MAX(BJ38:BO38)&gt;BO43+2+$B$18,1,0))</f>
        <v>0</v>
      </c>
      <c r="BP51" s="368" t="n">
        <f aca="false">IF(64&lt;5,0,IF(MAX(BK38:BP38)&gt;BP43+2+$B$18,1,0))</f>
        <v>0</v>
      </c>
      <c r="BQ51" s="368" t="n">
        <f aca="false">IF(65&lt;5,0,IF(MAX(BL38:BQ38)&gt;BQ43+2+$B$18,1,0))</f>
        <v>0</v>
      </c>
      <c r="BR51" s="368" t="n">
        <f aca="false">IF(66&lt;5,0,IF(MAX(BM38:BR38)&gt;BR43+2+$B$18,1,0))</f>
        <v>0</v>
      </c>
      <c r="BS51" s="368" t="n">
        <f aca="false">IF(67&lt;5,0,IF(MAX(BN38:BS38)&gt;BS43+2+$B$18,1,0))</f>
        <v>0</v>
      </c>
      <c r="BT51" s="368" t="n">
        <f aca="false">IF(68&lt;5,0,IF(MAX(BO38:BT38)&gt;BT43+2+$B$18,1,0))</f>
        <v>0</v>
      </c>
      <c r="BU51" s="368" t="n">
        <f aca="false">IF(69&lt;5,0,IF(MAX(BP38:BU38)&gt;BU43+2+$B$18,1,0))</f>
        <v>0</v>
      </c>
      <c r="BV51" s="368" t="n">
        <f aca="false">IF(70&lt;5,0,IF(MAX(BQ38:BV38)&gt;BV43+2+$B$18,1,0))</f>
        <v>0</v>
      </c>
      <c r="BW51" s="368" t="n">
        <f aca="false">IF(71&lt;5,0,IF(MAX(BR38:BW38)&gt;BW43+2+$B$18,1,0))</f>
        <v>0</v>
      </c>
      <c r="BX51" s="368" t="n">
        <f aca="false">IF(72&lt;5,0,IF(MAX(BS38:BX38)&gt;BX43+2+$B$18,1,0))</f>
        <v>0</v>
      </c>
      <c r="BY51" s="368" t="n">
        <f aca="false">IF(73&lt;5,0,IF(MAX(BT38:BY38)&gt;BY43+2+$B$18,1,0))</f>
        <v>0</v>
      </c>
      <c r="BZ51" s="368" t="n">
        <f aca="false">IF(74&lt;5,0,IF(MAX(BU38:BZ38)&gt;BZ43+2+$B$18,1,0))</f>
        <v>0</v>
      </c>
      <c r="CA51" s="368" t="n">
        <f aca="false">IF(75&lt;5,0,IF(MAX(BV38:CA38)&gt;CA43+2+$B$18,1,0))</f>
        <v>0</v>
      </c>
      <c r="CB51" s="368" t="n">
        <f aca="false">IF(76&lt;5,0,IF(MAX(BW38:CB38)&gt;CB43+2+$B$18,1,0))</f>
        <v>0</v>
      </c>
      <c r="CC51" s="368" t="n">
        <f aca="false">IF(77&lt;5,0,IF(MAX(BX38:CC38)&gt;CC43+2+$B$18,1,0))</f>
        <v>0</v>
      </c>
      <c r="CD51" s="368" t="n">
        <f aca="false">IF(78&lt;5,0,IF(MAX(BY38:CD38)&gt;CD43+2+$B$18,1,0))</f>
        <v>0</v>
      </c>
      <c r="CE51" s="368" t="n">
        <f aca="false">IF(79&lt;5,0,IF(MAX(BZ38:CE38)&gt;CE43+2+$B$18,1,0))</f>
        <v>0</v>
      </c>
      <c r="CF51" s="368" t="n">
        <f aca="false">IF(80&lt;5,0,IF(MAX(CA38:CF38)&gt;CF43+2+$B$18,1,0))</f>
        <v>0</v>
      </c>
      <c r="CG51" s="368" t="n">
        <f aca="false">IF(81&lt;5,0,IF(MAX(CB38:CG38)&gt;CG43+2+$B$18,1,0))</f>
        <v>0</v>
      </c>
      <c r="CH51" s="368" t="n">
        <f aca="false">IF(82&lt;5,0,IF(MAX(CC38:CH38)&gt;CH43+2+$B$18,1,0))</f>
        <v>0</v>
      </c>
      <c r="CI51" s="368" t="n">
        <f aca="false">IF(83&lt;5,0,IF(MAX(CD38:CI38)&gt;CI43+2+$B$18,1,0))</f>
        <v>0</v>
      </c>
      <c r="CJ51" s="368" t="n">
        <f aca="false">IF(84&lt;5,0,IF(MAX(CE38:CJ38)&gt;CJ43+2+$B$18,1,0))</f>
        <v>0</v>
      </c>
      <c r="CK51" s="368" t="n">
        <f aca="false">IF(85&lt;5,0,IF(MAX(CF38:CK38)&gt;CK43+2+$B$18,1,0))</f>
        <v>0</v>
      </c>
      <c r="CL51" s="368" t="n">
        <f aca="false">IF(86&lt;5,0,IF(MAX(CG38:CL38)&gt;CL43+2+$B$18,1,0))</f>
        <v>0</v>
      </c>
      <c r="CM51" s="368" t="n">
        <f aca="false">IF(87&lt;5,0,IF(MAX(CH38:CM38)&gt;CM43+2+$B$18,1,0))</f>
        <v>0</v>
      </c>
      <c r="CN51" s="368" t="n">
        <f aca="false">IF(88&lt;5,0,IF(MAX(CI38:CN38)&gt;CN43+2+$B$18,1,0))</f>
        <v>0</v>
      </c>
      <c r="CO51" s="368" t="n">
        <f aca="false">IF(89&lt;5,0,IF(MAX(CJ38:CO38)&gt;CO43+2+$B$18,1,0))</f>
        <v>0</v>
      </c>
      <c r="CP51" s="368" t="n">
        <f aca="false">IF(90&lt;5,0,IF(MAX(CK38:CP38)&gt;CP43+2+$B$18,1,0))</f>
        <v>0</v>
      </c>
      <c r="CQ51" s="368" t="n">
        <f aca="false">IF(91&lt;5,0,IF(MAX(CL38:CQ38)&gt;CQ43+2+$B$18,1,0))</f>
        <v>0</v>
      </c>
      <c r="CR51" s="368" t="n">
        <f aca="false">IF(92&lt;5,0,IF(MAX(CM38:CR38)&gt;CR43+2+$B$18,1,0))</f>
        <v>0</v>
      </c>
      <c r="CS51" s="368" t="n">
        <f aca="false">IF(93&lt;5,0,IF(MAX(CN38:CS38)&gt;CS43+2+$B$18,1,0))</f>
        <v>0</v>
      </c>
      <c r="CT51" s="368" t="n">
        <f aca="false">IF(94&lt;5,0,IF(MAX(CO38:CT38)&gt;CT43+2+$B$18,1,0))</f>
        <v>0</v>
      </c>
      <c r="CU51" s="368" t="n">
        <f aca="false">IF(95&lt;5,0,IF(MAX(CP38:CU38)&gt;CU43+2+$B$18,1,0))</f>
        <v>0</v>
      </c>
      <c r="CV51" s="368" t="n">
        <f aca="false">IF(96&lt;5,0,IF(MAX(CQ38:CV38)&gt;CV43+2+$B$18,1,0))</f>
        <v>0</v>
      </c>
      <c r="CW51" s="368" t="n">
        <f aca="false">IF(97&lt;5,0,IF(MAX(CR38:CW38)&gt;CW43+2+$B$18,1,0))</f>
        <v>0</v>
      </c>
      <c r="CX51" s="368" t="n">
        <f aca="false">IF(98&lt;5,0,IF(MAX(CS38:CX38)&gt;CX43+2+$B$18,1,0))</f>
        <v>0</v>
      </c>
      <c r="CY51" s="368" t="n">
        <f aca="false">IF(99&lt;5,0,IF(MAX(CT38:CY38)&gt;CY43+2+$B$18,1,0))</f>
        <v>0</v>
      </c>
      <c r="CZ51" s="368" t="n">
        <f aca="false">IF(100&lt;5,0,IF(MAX(CU38:CZ38)&gt;CZ43+2+$B$18,1,0))</f>
        <v>0</v>
      </c>
      <c r="DA51" s="368" t="n">
        <f aca="false">IF(101&lt;5,0,IF(MAX(CV38:DA38)&gt;DA43+2+$B$18,1,0))</f>
        <v>0</v>
      </c>
      <c r="DB51" s="368" t="n">
        <f aca="false">IF(102&lt;5,0,IF(MAX(CW38:DB38)&gt;DB43+2+$B$18,1,0))</f>
        <v>0</v>
      </c>
      <c r="DC51" s="368" t="n">
        <f aca="false">IF(103&lt;5,0,IF(MAX(CX38:DC38)&gt;DC43+2+$B$18,1,0))</f>
        <v>0</v>
      </c>
      <c r="DD51" s="368" t="n">
        <f aca="false">IF(104&lt;5,0,IF(MAX(CY38:DD38)&gt;DD43+2+$B$18,1,0))</f>
        <v>0</v>
      </c>
      <c r="DE51" s="368" t="n">
        <f aca="false">IF(105&lt;5,0,IF(MAX(CZ38:DE38)&gt;DE43+2+$B$18,1,0))</f>
        <v>0</v>
      </c>
    </row>
    <row r="52" customFormat="false" ht="13.5" hidden="false" customHeight="true" outlineLevel="0" collapsed="false">
      <c r="A52" s="109" t="s">
        <v>1220</v>
      </c>
      <c r="B52" s="225" t="n">
        <f aca="false">$B$26</f>
        <v>160000</v>
      </c>
      <c r="E52" s="368" t="n">
        <f aca="false">IF(1&lt;5,0,IF(MAX(E38)&gt;E43+3+$B$18,1,0))</f>
        <v>0</v>
      </c>
      <c r="F52" s="368" t="n">
        <f aca="false">IF(2&lt;5,0,IF(MAX(E38:F38)&gt;F43+3+$B$18,1,0))</f>
        <v>0</v>
      </c>
      <c r="G52" s="368" t="n">
        <f aca="false">IF(3&lt;5,0,IF(MAX(E38:G38)&gt;G43+3+$B$18,1,0))</f>
        <v>0</v>
      </c>
      <c r="H52" s="368" t="n">
        <f aca="false">IF(4&lt;5,0,IF(MAX(E38:H38)&gt;H43+3+$B$18,1,0))</f>
        <v>0</v>
      </c>
      <c r="I52" s="368" t="n">
        <f aca="false">IF(5&lt;5,0,IF(MAX(E38:I38)&gt;I43+3+$B$18,1,0))</f>
        <v>0</v>
      </c>
      <c r="J52" s="368" t="n">
        <f aca="false">IF(6&lt;5,0,IF(MAX(E38:J38)&gt;J43+3+$B$18,1,0))</f>
        <v>0</v>
      </c>
      <c r="K52" s="368" t="n">
        <f aca="false">IF(7&lt;5,0,IF(MAX(F38:K38)&gt;K43+3+$B$18,1,0))</f>
        <v>0</v>
      </c>
      <c r="L52" s="368" t="n">
        <f aca="false">IF(8&lt;5,0,IF(MAX(G38:L38)&gt;L43+3+$B$18,1,0))</f>
        <v>0</v>
      </c>
      <c r="M52" s="368" t="n">
        <f aca="false">IF(9&lt;5,0,IF(MAX(H38:M38)&gt;M43+3+$B$18,1,0))</f>
        <v>0</v>
      </c>
      <c r="N52" s="368" t="n">
        <f aca="false">IF(10&lt;5,0,IF(MAX(I38:N38)&gt;N43+3+$B$18,1,0))</f>
        <v>0</v>
      </c>
      <c r="O52" s="368" t="n">
        <f aca="false">IF(11&lt;5,0,IF(MAX(J38:O38)&gt;O43+3+$B$18,1,0))</f>
        <v>0</v>
      </c>
      <c r="P52" s="368" t="n">
        <f aca="false">IF(12&lt;5,0,IF(MAX(K38:P38)&gt;P43+3+$B$18,1,0))</f>
        <v>0</v>
      </c>
      <c r="Q52" s="368" t="n">
        <f aca="false">IF(13&lt;5,0,IF(MAX(L38:Q38)&gt;Q43+3+$B$18,1,0))</f>
        <v>0</v>
      </c>
      <c r="R52" s="368" t="n">
        <f aca="false">IF(14&lt;5,0,IF(MAX(M38:R38)&gt;R43+3+$B$18,1,0))</f>
        <v>0</v>
      </c>
      <c r="S52" s="368" t="n">
        <f aca="false">IF(15&lt;5,0,IF(MAX(N38:S38)&gt;S43+3+$B$18,1,0))</f>
        <v>1</v>
      </c>
      <c r="T52" s="368" t="n">
        <f aca="false">IF(16&lt;5,0,IF(MAX(O38:T38)&gt;T43+3+$B$18,1,0))</f>
        <v>1</v>
      </c>
      <c r="U52" s="368" t="n">
        <f aca="false">IF(17&lt;5,0,IF(MAX(P38:U38)&gt;U43+3+$B$18,1,0))</f>
        <v>1</v>
      </c>
      <c r="V52" s="368" t="n">
        <f aca="false">IF(18&lt;5,0,IF(MAX(Q38:V38)&gt;V43+3+$B$18,1,0))</f>
        <v>1</v>
      </c>
      <c r="W52" s="368" t="n">
        <f aca="false">IF(19&lt;5,0,IF(MAX(R38:W38)&gt;W43+3+$B$18,1,0))</f>
        <v>1</v>
      </c>
      <c r="X52" s="368" t="n">
        <f aca="false">IF(20&lt;5,0,IF(MAX(S38:X38)&gt;X43+3+$B$18,1,0))</f>
        <v>1</v>
      </c>
      <c r="Y52" s="368" t="n">
        <f aca="false">IF(21&lt;5,0,IF(MAX(T38:Y38)&gt;Y43+3+$B$18,1,0))</f>
        <v>1</v>
      </c>
      <c r="Z52" s="368" t="n">
        <f aca="false">IF(22&lt;5,0,IF(MAX(U38:Z38)&gt;Z43+3+$B$18,1,0))</f>
        <v>1</v>
      </c>
      <c r="AA52" s="368" t="n">
        <f aca="false">IF(23&lt;5,0,IF(MAX(V38:AA38)&gt;AA43+3+$B$18,1,0))</f>
        <v>1</v>
      </c>
      <c r="AB52" s="368" t="n">
        <f aca="false">IF(24&lt;5,0,IF(MAX(W38:AB38)&gt;AB43+3+$B$18,1,0))</f>
        <v>1</v>
      </c>
      <c r="AC52" s="368" t="n">
        <f aca="false">IF(25&lt;5,0,IF(MAX(X38:AC38)&gt;AC43+3+$B$18,1,0))</f>
        <v>1</v>
      </c>
      <c r="AD52" s="368" t="n">
        <f aca="false">IF(26&lt;5,0,IF(MAX(Y38:AD38)&gt;AD43+3+$B$18,1,0))</f>
        <v>1</v>
      </c>
      <c r="AE52" s="368" t="n">
        <f aca="false">IF(27&lt;5,0,IF(MAX(Z38:AE38)&gt;AE43+3+$B$18,1,0))</f>
        <v>1</v>
      </c>
      <c r="AF52" s="368" t="n">
        <f aca="false">IF(28&lt;5,0,IF(MAX(AA38:AF38)&gt;AF43+3+$B$18,1,0))</f>
        <v>1</v>
      </c>
      <c r="AG52" s="368" t="n">
        <f aca="false">IF(29&lt;5,0,IF(MAX(AB38:AG38)&gt;AG43+3+$B$18,1,0))</f>
        <v>1</v>
      </c>
      <c r="AH52" s="368" t="n">
        <f aca="false">IF(30&lt;5,0,IF(MAX(AC38:AH38)&gt;AH43+3+$B$18,1,0))</f>
        <v>0</v>
      </c>
      <c r="AI52" s="368" t="n">
        <f aca="false">IF(31&lt;5,0,IF(MAX(AD38:AI38)&gt;AI43+3+$B$18,1,0))</f>
        <v>0</v>
      </c>
      <c r="AJ52" s="368" t="n">
        <f aca="false">IF(32&lt;5,0,IF(MAX(AE38:AJ38)&gt;AJ43+3+$B$18,1,0))</f>
        <v>0</v>
      </c>
      <c r="AK52" s="368" t="n">
        <f aca="false">IF(33&lt;5,0,IF(MAX(AF38:AK38)&gt;AK43+3+$B$18,1,0))</f>
        <v>0</v>
      </c>
      <c r="AL52" s="368" t="n">
        <f aca="false">IF(34&lt;5,0,IF(MAX(AG38:AL38)&gt;AL43+3+$B$18,1,0))</f>
        <v>0</v>
      </c>
      <c r="AM52" s="368" t="n">
        <f aca="false">IF(35&lt;5,0,IF(MAX(AH38:AM38)&gt;AM43+3+$B$18,1,0))</f>
        <v>0</v>
      </c>
      <c r="AN52" s="368" t="n">
        <f aca="false">IF(36&lt;5,0,IF(MAX(AI38:AN38)&gt;AN43+3+$B$18,1,0))</f>
        <v>0</v>
      </c>
      <c r="AO52" s="368" t="n">
        <f aca="false">IF(37&lt;5,0,IF(MAX(AJ38:AO38)&gt;AO43+3+$B$18,1,0))</f>
        <v>0</v>
      </c>
      <c r="AP52" s="368" t="n">
        <f aca="false">IF(38&lt;5,0,IF(MAX(AK38:AP38)&gt;AP43+3+$B$18,1,0))</f>
        <v>0</v>
      </c>
      <c r="AQ52" s="368" t="n">
        <f aca="false">IF(39&lt;5,0,IF(MAX(AL38:AQ38)&gt;AQ43+3+$B$18,1,0))</f>
        <v>0</v>
      </c>
      <c r="AR52" s="368" t="n">
        <f aca="false">IF(40&lt;5,0,IF(MAX(AM38:AR38)&gt;AR43+3+$B$18,1,0))</f>
        <v>0</v>
      </c>
      <c r="AS52" s="368" t="n">
        <f aca="false">IF(41&lt;5,0,IF(MAX(AN38:AS38)&gt;AS43+3+$B$18,1,0))</f>
        <v>0</v>
      </c>
      <c r="AT52" s="368" t="n">
        <f aca="false">IF(42&lt;5,0,IF(MAX(AO38:AT38)&gt;AT43+3+$B$18,1,0))</f>
        <v>0</v>
      </c>
      <c r="AU52" s="368" t="n">
        <f aca="false">IF(43&lt;5,0,IF(MAX(AP38:AU38)&gt;AU43+3+$B$18,1,0))</f>
        <v>0</v>
      </c>
      <c r="AV52" s="368" t="n">
        <f aca="false">IF(44&lt;5,0,IF(MAX(AQ38:AV38)&gt;AV43+3+$B$18,1,0))</f>
        <v>0</v>
      </c>
      <c r="AW52" s="368" t="n">
        <f aca="false">IF(45&lt;5,0,IF(MAX(AR38:AW38)&gt;AW43+3+$B$18,1,0))</f>
        <v>0</v>
      </c>
      <c r="AX52" s="368" t="n">
        <f aca="false">IF(46&lt;5,0,IF(MAX(AS38:AX38)&gt;AX43+3+$B$18,1,0))</f>
        <v>0</v>
      </c>
      <c r="AY52" s="368" t="n">
        <f aca="false">IF(47&lt;5,0,IF(MAX(AT38:AY38)&gt;AY43+3+$B$18,1,0))</f>
        <v>0</v>
      </c>
      <c r="AZ52" s="368" t="n">
        <f aca="false">IF(48&lt;5,0,IF(MAX(AU38:AZ38)&gt;AZ43+3+$B$18,1,0))</f>
        <v>0</v>
      </c>
      <c r="BA52" s="368" t="n">
        <f aca="false">IF(49&lt;5,0,IF(MAX(AV38:BA38)&gt;BA43+3+$B$18,1,0))</f>
        <v>0</v>
      </c>
      <c r="BB52" s="368" t="n">
        <f aca="false">IF(50&lt;5,0,IF(MAX(AW38:BB38)&gt;BB43+3+$B$18,1,0))</f>
        <v>0</v>
      </c>
      <c r="BC52" s="368" t="n">
        <f aca="false">IF(51&lt;5,0,IF(MAX(AX38:BC38)&gt;BC43+3+$B$18,1,0))</f>
        <v>0</v>
      </c>
      <c r="BD52" s="368" t="n">
        <f aca="false">IF(52&lt;5,0,IF(MAX(AY38:BD38)&gt;BD43+3+$B$18,1,0))</f>
        <v>0</v>
      </c>
      <c r="BE52" s="368" t="n">
        <f aca="false">IF(53&lt;5,0,IF(MAX(AZ38:BE38)&gt;BE43+3+$B$18,1,0))</f>
        <v>0</v>
      </c>
      <c r="BF52" s="368" t="n">
        <f aca="false">IF(54&lt;5,0,IF(MAX(BA38:BF38)&gt;BF43+3+$B$18,1,0))</f>
        <v>0</v>
      </c>
      <c r="BG52" s="368" t="n">
        <f aca="false">IF(55&lt;5,0,IF(MAX(BB38:BG38)&gt;BG43+3+$B$18,1,0))</f>
        <v>0</v>
      </c>
      <c r="BH52" s="368" t="n">
        <f aca="false">IF(56&lt;5,0,IF(MAX(BC38:BH38)&gt;BH43+3+$B$18,1,0))</f>
        <v>0</v>
      </c>
      <c r="BI52" s="368" t="n">
        <f aca="false">IF(57&lt;5,0,IF(MAX(BD38:BI38)&gt;BI43+3+$B$18,1,0))</f>
        <v>0</v>
      </c>
      <c r="BJ52" s="368" t="n">
        <f aca="false">IF(58&lt;5,0,IF(MAX(BE38:BJ38)&gt;BJ43+3+$B$18,1,0))</f>
        <v>0</v>
      </c>
      <c r="BK52" s="368" t="n">
        <f aca="false">IF(59&lt;5,0,IF(MAX(BF38:BK38)&gt;BK43+3+$B$18,1,0))</f>
        <v>0</v>
      </c>
      <c r="BL52" s="368" t="n">
        <f aca="false">IF(60&lt;5,0,IF(MAX(BG38:BL38)&gt;BL43+3+$B$18,1,0))</f>
        <v>0</v>
      </c>
      <c r="BM52" s="368" t="n">
        <f aca="false">IF(61&lt;5,0,IF(MAX(BH38:BM38)&gt;BM43+3+$B$18,1,0))</f>
        <v>0</v>
      </c>
      <c r="BN52" s="368" t="n">
        <f aca="false">IF(62&lt;5,0,IF(MAX(BI38:BN38)&gt;BN43+3+$B$18,1,0))</f>
        <v>0</v>
      </c>
      <c r="BO52" s="368" t="n">
        <f aca="false">IF(63&lt;5,0,IF(MAX(BJ38:BO38)&gt;BO43+3+$B$18,1,0))</f>
        <v>0</v>
      </c>
      <c r="BP52" s="368" t="n">
        <f aca="false">IF(64&lt;5,0,IF(MAX(BK38:BP38)&gt;BP43+3+$B$18,1,0))</f>
        <v>0</v>
      </c>
      <c r="BQ52" s="368" t="n">
        <f aca="false">IF(65&lt;5,0,IF(MAX(BL38:BQ38)&gt;BQ43+3+$B$18,1,0))</f>
        <v>0</v>
      </c>
      <c r="BR52" s="368" t="n">
        <f aca="false">IF(66&lt;5,0,IF(MAX(BM38:BR38)&gt;BR43+3+$B$18,1,0))</f>
        <v>0</v>
      </c>
      <c r="BS52" s="368" t="n">
        <f aca="false">IF(67&lt;5,0,IF(MAX(BN38:BS38)&gt;BS43+3+$B$18,1,0))</f>
        <v>0</v>
      </c>
      <c r="BT52" s="368" t="n">
        <f aca="false">IF(68&lt;5,0,IF(MAX(BO38:BT38)&gt;BT43+3+$B$18,1,0))</f>
        <v>0</v>
      </c>
      <c r="BU52" s="368" t="n">
        <f aca="false">IF(69&lt;5,0,IF(MAX(BP38:BU38)&gt;BU43+3+$B$18,1,0))</f>
        <v>0</v>
      </c>
      <c r="BV52" s="368" t="n">
        <f aca="false">IF(70&lt;5,0,IF(MAX(BQ38:BV38)&gt;BV43+3+$B$18,1,0))</f>
        <v>0</v>
      </c>
      <c r="BW52" s="368" t="n">
        <f aca="false">IF(71&lt;5,0,IF(MAX(BR38:BW38)&gt;BW43+3+$B$18,1,0))</f>
        <v>0</v>
      </c>
      <c r="BX52" s="368" t="n">
        <f aca="false">IF(72&lt;5,0,IF(MAX(BS38:BX38)&gt;BX43+3+$B$18,1,0))</f>
        <v>0</v>
      </c>
      <c r="BY52" s="368" t="n">
        <f aca="false">IF(73&lt;5,0,IF(MAX(BT38:BY38)&gt;BY43+3+$B$18,1,0))</f>
        <v>0</v>
      </c>
      <c r="BZ52" s="368" t="n">
        <f aca="false">IF(74&lt;5,0,IF(MAX(BU38:BZ38)&gt;BZ43+3+$B$18,1,0))</f>
        <v>0</v>
      </c>
      <c r="CA52" s="368" t="n">
        <f aca="false">IF(75&lt;5,0,IF(MAX(BV38:CA38)&gt;CA43+3+$B$18,1,0))</f>
        <v>0</v>
      </c>
      <c r="CB52" s="368" t="n">
        <f aca="false">IF(76&lt;5,0,IF(MAX(BW38:CB38)&gt;CB43+3+$B$18,1,0))</f>
        <v>0</v>
      </c>
      <c r="CC52" s="368" t="n">
        <f aca="false">IF(77&lt;5,0,IF(MAX(BX38:CC38)&gt;CC43+3+$B$18,1,0))</f>
        <v>0</v>
      </c>
      <c r="CD52" s="368" t="n">
        <f aca="false">IF(78&lt;5,0,IF(MAX(BY38:CD38)&gt;CD43+3+$B$18,1,0))</f>
        <v>0</v>
      </c>
      <c r="CE52" s="368" t="n">
        <f aca="false">IF(79&lt;5,0,IF(MAX(BZ38:CE38)&gt;CE43+3+$B$18,1,0))</f>
        <v>0</v>
      </c>
      <c r="CF52" s="368" t="n">
        <f aca="false">IF(80&lt;5,0,IF(MAX(CA38:CF38)&gt;CF43+3+$B$18,1,0))</f>
        <v>0</v>
      </c>
      <c r="CG52" s="368" t="n">
        <f aca="false">IF(81&lt;5,0,IF(MAX(CB38:CG38)&gt;CG43+3+$B$18,1,0))</f>
        <v>0</v>
      </c>
      <c r="CH52" s="368" t="n">
        <f aca="false">IF(82&lt;5,0,IF(MAX(CC38:CH38)&gt;CH43+3+$B$18,1,0))</f>
        <v>0</v>
      </c>
      <c r="CI52" s="368" t="n">
        <f aca="false">IF(83&lt;5,0,IF(MAX(CD38:CI38)&gt;CI43+3+$B$18,1,0))</f>
        <v>0</v>
      </c>
      <c r="CJ52" s="368" t="n">
        <f aca="false">IF(84&lt;5,0,IF(MAX(CE38:CJ38)&gt;CJ43+3+$B$18,1,0))</f>
        <v>0</v>
      </c>
      <c r="CK52" s="368" t="n">
        <f aca="false">IF(85&lt;5,0,IF(MAX(CF38:CK38)&gt;CK43+3+$B$18,1,0))</f>
        <v>0</v>
      </c>
      <c r="CL52" s="368" t="n">
        <f aca="false">IF(86&lt;5,0,IF(MAX(CG38:CL38)&gt;CL43+3+$B$18,1,0))</f>
        <v>0</v>
      </c>
      <c r="CM52" s="368" t="n">
        <f aca="false">IF(87&lt;5,0,IF(MAX(CH38:CM38)&gt;CM43+3+$B$18,1,0))</f>
        <v>0</v>
      </c>
      <c r="CN52" s="368" t="n">
        <f aca="false">IF(88&lt;5,0,IF(MAX(CI38:CN38)&gt;CN43+3+$B$18,1,0))</f>
        <v>0</v>
      </c>
      <c r="CO52" s="368" t="n">
        <f aca="false">IF(89&lt;5,0,IF(MAX(CJ38:CO38)&gt;CO43+3+$B$18,1,0))</f>
        <v>0</v>
      </c>
      <c r="CP52" s="368" t="n">
        <f aca="false">IF(90&lt;5,0,IF(MAX(CK38:CP38)&gt;CP43+3+$B$18,1,0))</f>
        <v>0</v>
      </c>
      <c r="CQ52" s="368" t="n">
        <f aca="false">IF(91&lt;5,0,IF(MAX(CL38:CQ38)&gt;CQ43+3+$B$18,1,0))</f>
        <v>0</v>
      </c>
      <c r="CR52" s="368" t="n">
        <f aca="false">IF(92&lt;5,0,IF(MAX(CM38:CR38)&gt;CR43+3+$B$18,1,0))</f>
        <v>0</v>
      </c>
      <c r="CS52" s="368" t="n">
        <f aca="false">IF(93&lt;5,0,IF(MAX(CN38:CS38)&gt;CS43+3+$B$18,1,0))</f>
        <v>0</v>
      </c>
      <c r="CT52" s="368" t="n">
        <f aca="false">IF(94&lt;5,0,IF(MAX(CO38:CT38)&gt;CT43+3+$B$18,1,0))</f>
        <v>0</v>
      </c>
      <c r="CU52" s="368" t="n">
        <f aca="false">IF(95&lt;5,0,IF(MAX(CP38:CU38)&gt;CU43+3+$B$18,1,0))</f>
        <v>0</v>
      </c>
      <c r="CV52" s="368" t="n">
        <f aca="false">IF(96&lt;5,0,IF(MAX(CQ38:CV38)&gt;CV43+3+$B$18,1,0))</f>
        <v>0</v>
      </c>
      <c r="CW52" s="368" t="n">
        <f aca="false">IF(97&lt;5,0,IF(MAX(CR38:CW38)&gt;CW43+3+$B$18,1,0))</f>
        <v>0</v>
      </c>
      <c r="CX52" s="368" t="n">
        <f aca="false">IF(98&lt;5,0,IF(MAX(CS38:CX38)&gt;CX43+3+$B$18,1,0))</f>
        <v>0</v>
      </c>
      <c r="CY52" s="368" t="n">
        <f aca="false">IF(99&lt;5,0,IF(MAX(CT38:CY38)&gt;CY43+3+$B$18,1,0))</f>
        <v>0</v>
      </c>
      <c r="CZ52" s="368" t="n">
        <f aca="false">IF(100&lt;5,0,IF(MAX(CU38:CZ38)&gt;CZ43+3+$B$18,1,0))</f>
        <v>0</v>
      </c>
      <c r="DA52" s="368" t="n">
        <f aca="false">IF(101&lt;5,0,IF(MAX(CV38:DA38)&gt;DA43+3+$B$18,1,0))</f>
        <v>0</v>
      </c>
      <c r="DB52" s="368" t="n">
        <f aca="false">IF(102&lt;5,0,IF(MAX(CW38:DB38)&gt;DB43+3+$B$18,1,0))</f>
        <v>0</v>
      </c>
      <c r="DC52" s="368" t="n">
        <f aca="false">IF(103&lt;5,0,IF(MAX(CX38:DC38)&gt;DC43+3+$B$18,1,0))</f>
        <v>0</v>
      </c>
      <c r="DD52" s="368" t="n">
        <f aca="false">IF(104&lt;5,0,IF(MAX(CY38:DD38)&gt;DD43+3+$B$18,1,0))</f>
        <v>0</v>
      </c>
      <c r="DE52" s="368" t="n">
        <f aca="false">IF(105&lt;5,0,IF(MAX(CZ38:DE38)&gt;DE43+3+$B$18,1,0))</f>
        <v>0</v>
      </c>
    </row>
    <row r="53" customFormat="false" ht="13.5" hidden="false" customHeight="true" outlineLevel="0" collapsed="false">
      <c r="A53" s="109" t="s">
        <v>1221</v>
      </c>
      <c r="B53" s="225" t="n">
        <f aca="false">$B$26</f>
        <v>160000</v>
      </c>
      <c r="E53" s="368" t="n">
        <f aca="false">IF(1&lt;5,0,IF(MAX(E38)&gt;E43+4+$B$18,1,0))</f>
        <v>0</v>
      </c>
      <c r="F53" s="368" t="n">
        <f aca="false">IF(2&lt;5,0,IF(MAX(E38:F38)&gt;F43+4+$B$18,1,0))</f>
        <v>0</v>
      </c>
      <c r="G53" s="368" t="n">
        <f aca="false">IF(3&lt;5,0,IF(MAX(E38:G38)&gt;G43+4+$B$18,1,0))</f>
        <v>0</v>
      </c>
      <c r="H53" s="368" t="n">
        <f aca="false">IF(4&lt;5,0,IF(MAX(E38:H38)&gt;H43+4+$B$18,1,0))</f>
        <v>0</v>
      </c>
      <c r="I53" s="368" t="n">
        <f aca="false">IF(5&lt;5,0,IF(MAX(E38:I38)&gt;I43+4+$B$18,1,0))</f>
        <v>0</v>
      </c>
      <c r="J53" s="368" t="n">
        <f aca="false">IF(6&lt;5,0,IF(MAX(E38:J38)&gt;J43+4+$B$18,1,0))</f>
        <v>0</v>
      </c>
      <c r="K53" s="368" t="n">
        <f aca="false">IF(7&lt;5,0,IF(MAX(F38:K38)&gt;K43+4+$B$18,1,0))</f>
        <v>0</v>
      </c>
      <c r="L53" s="368" t="n">
        <f aca="false">IF(8&lt;5,0,IF(MAX(G38:L38)&gt;L43+4+$B$18,1,0))</f>
        <v>0</v>
      </c>
      <c r="M53" s="368" t="n">
        <f aca="false">IF(9&lt;5,0,IF(MAX(H38:M38)&gt;M43+4+$B$18,1,0))</f>
        <v>0</v>
      </c>
      <c r="N53" s="368" t="n">
        <f aca="false">IF(10&lt;5,0,IF(MAX(I38:N38)&gt;N43+4+$B$18,1,0))</f>
        <v>0</v>
      </c>
      <c r="O53" s="368" t="n">
        <f aca="false">IF(11&lt;5,0,IF(MAX(J38:O38)&gt;O43+4+$B$18,1,0))</f>
        <v>0</v>
      </c>
      <c r="P53" s="368" t="n">
        <f aca="false">IF(12&lt;5,0,IF(MAX(K38:P38)&gt;P43+4+$B$18,1,0))</f>
        <v>0</v>
      </c>
      <c r="Q53" s="368" t="n">
        <f aca="false">IF(13&lt;5,0,IF(MAX(L38:Q38)&gt;Q43+4+$B$18,1,0))</f>
        <v>0</v>
      </c>
      <c r="R53" s="368" t="n">
        <f aca="false">IF(14&lt;5,0,IF(MAX(M38:R38)&gt;R43+4+$B$18,1,0))</f>
        <v>0</v>
      </c>
      <c r="S53" s="368" t="n">
        <f aca="false">IF(15&lt;5,0,IF(MAX(N38:S38)&gt;S43+4+$B$18,1,0))</f>
        <v>1</v>
      </c>
      <c r="T53" s="368" t="n">
        <f aca="false">IF(16&lt;5,0,IF(MAX(O38:T38)&gt;T43+4+$B$18,1,0))</f>
        <v>1</v>
      </c>
      <c r="U53" s="368" t="n">
        <f aca="false">IF(17&lt;5,0,IF(MAX(P38:U38)&gt;U43+4+$B$18,1,0))</f>
        <v>1</v>
      </c>
      <c r="V53" s="368" t="n">
        <f aca="false">IF(18&lt;5,0,IF(MAX(Q38:V38)&gt;V43+4+$B$18,1,0))</f>
        <v>1</v>
      </c>
      <c r="W53" s="368" t="n">
        <f aca="false">IF(19&lt;5,0,IF(MAX(R38:W38)&gt;W43+4+$B$18,1,0))</f>
        <v>1</v>
      </c>
      <c r="X53" s="368" t="n">
        <f aca="false">IF(20&lt;5,0,IF(MAX(S38:X38)&gt;X43+4+$B$18,1,0))</f>
        <v>1</v>
      </c>
      <c r="Y53" s="368" t="n">
        <f aca="false">IF(21&lt;5,0,IF(MAX(T38:Y38)&gt;Y43+4+$B$18,1,0))</f>
        <v>1</v>
      </c>
      <c r="Z53" s="368" t="n">
        <f aca="false">IF(22&lt;5,0,IF(MAX(U38:Z38)&gt;Z43+4+$B$18,1,0))</f>
        <v>1</v>
      </c>
      <c r="AA53" s="368" t="n">
        <f aca="false">IF(23&lt;5,0,IF(MAX(V38:AA38)&gt;AA43+4+$B$18,1,0))</f>
        <v>1</v>
      </c>
      <c r="AB53" s="368" t="n">
        <f aca="false">IF(24&lt;5,0,IF(MAX(W38:AB38)&gt;AB43+4+$B$18,1,0))</f>
        <v>1</v>
      </c>
      <c r="AC53" s="368" t="n">
        <f aca="false">IF(25&lt;5,0,IF(MAX(X38:AC38)&gt;AC43+4+$B$18,1,0))</f>
        <v>1</v>
      </c>
      <c r="AD53" s="368" t="n">
        <f aca="false">IF(26&lt;5,0,IF(MAX(Y38:AD38)&gt;AD43+4+$B$18,1,0))</f>
        <v>0</v>
      </c>
      <c r="AE53" s="368" t="n">
        <f aca="false">IF(27&lt;5,0,IF(MAX(Z38:AE38)&gt;AE43+4+$B$18,1,0))</f>
        <v>0</v>
      </c>
      <c r="AF53" s="368" t="n">
        <f aca="false">IF(28&lt;5,0,IF(MAX(AA38:AF38)&gt;AF43+4+$B$18,1,0))</f>
        <v>0</v>
      </c>
      <c r="AG53" s="368" t="n">
        <f aca="false">IF(29&lt;5,0,IF(MAX(AB38:AG38)&gt;AG43+4+$B$18,1,0))</f>
        <v>0</v>
      </c>
      <c r="AH53" s="368" t="n">
        <f aca="false">IF(30&lt;5,0,IF(MAX(AC38:AH38)&gt;AH43+4+$B$18,1,0))</f>
        <v>0</v>
      </c>
      <c r="AI53" s="368" t="n">
        <f aca="false">IF(31&lt;5,0,IF(MAX(AD38:AI38)&gt;AI43+4+$B$18,1,0))</f>
        <v>0</v>
      </c>
      <c r="AJ53" s="368" t="n">
        <f aca="false">IF(32&lt;5,0,IF(MAX(AE38:AJ38)&gt;AJ43+4+$B$18,1,0))</f>
        <v>0</v>
      </c>
      <c r="AK53" s="368" t="n">
        <f aca="false">IF(33&lt;5,0,IF(MAX(AF38:AK38)&gt;AK43+4+$B$18,1,0))</f>
        <v>0</v>
      </c>
      <c r="AL53" s="368" t="n">
        <f aca="false">IF(34&lt;5,0,IF(MAX(AG38:AL38)&gt;AL43+4+$B$18,1,0))</f>
        <v>0</v>
      </c>
      <c r="AM53" s="368" t="n">
        <f aca="false">IF(35&lt;5,0,IF(MAX(AH38:AM38)&gt;AM43+4+$B$18,1,0))</f>
        <v>0</v>
      </c>
      <c r="AN53" s="368" t="n">
        <f aca="false">IF(36&lt;5,0,IF(MAX(AI38:AN38)&gt;AN43+4+$B$18,1,0))</f>
        <v>0</v>
      </c>
      <c r="AO53" s="368" t="n">
        <f aca="false">IF(37&lt;5,0,IF(MAX(AJ38:AO38)&gt;AO43+4+$B$18,1,0))</f>
        <v>0</v>
      </c>
      <c r="AP53" s="368" t="n">
        <f aca="false">IF(38&lt;5,0,IF(MAX(AK38:AP38)&gt;AP43+4+$B$18,1,0))</f>
        <v>0</v>
      </c>
      <c r="AQ53" s="368" t="n">
        <f aca="false">IF(39&lt;5,0,IF(MAX(AL38:AQ38)&gt;AQ43+4+$B$18,1,0))</f>
        <v>0</v>
      </c>
      <c r="AR53" s="368" t="n">
        <f aca="false">IF(40&lt;5,0,IF(MAX(AM38:AR38)&gt;AR43+4+$B$18,1,0))</f>
        <v>0</v>
      </c>
      <c r="AS53" s="368" t="n">
        <f aca="false">IF(41&lt;5,0,IF(MAX(AN38:AS38)&gt;AS43+4+$B$18,1,0))</f>
        <v>0</v>
      </c>
      <c r="AT53" s="368" t="n">
        <f aca="false">IF(42&lt;5,0,IF(MAX(AO38:AT38)&gt;AT43+4+$B$18,1,0))</f>
        <v>0</v>
      </c>
      <c r="AU53" s="368" t="n">
        <f aca="false">IF(43&lt;5,0,IF(MAX(AP38:AU38)&gt;AU43+4+$B$18,1,0))</f>
        <v>0</v>
      </c>
      <c r="AV53" s="368" t="n">
        <f aca="false">IF(44&lt;5,0,IF(MAX(AQ38:AV38)&gt;AV43+4+$B$18,1,0))</f>
        <v>0</v>
      </c>
      <c r="AW53" s="368" t="n">
        <f aca="false">IF(45&lt;5,0,IF(MAX(AR38:AW38)&gt;AW43+4+$B$18,1,0))</f>
        <v>0</v>
      </c>
      <c r="AX53" s="368" t="n">
        <f aca="false">IF(46&lt;5,0,IF(MAX(AS38:AX38)&gt;AX43+4+$B$18,1,0))</f>
        <v>0</v>
      </c>
      <c r="AY53" s="368" t="n">
        <f aca="false">IF(47&lt;5,0,IF(MAX(AT38:AY38)&gt;AY43+4+$B$18,1,0))</f>
        <v>0</v>
      </c>
      <c r="AZ53" s="368" t="n">
        <f aca="false">IF(48&lt;5,0,IF(MAX(AU38:AZ38)&gt;AZ43+4+$B$18,1,0))</f>
        <v>0</v>
      </c>
      <c r="BA53" s="368" t="n">
        <f aca="false">IF(49&lt;5,0,IF(MAX(AV38:BA38)&gt;BA43+4+$B$18,1,0))</f>
        <v>0</v>
      </c>
      <c r="BB53" s="368" t="n">
        <f aca="false">IF(50&lt;5,0,IF(MAX(AW38:BB38)&gt;BB43+4+$B$18,1,0))</f>
        <v>0</v>
      </c>
      <c r="BC53" s="368" t="n">
        <f aca="false">IF(51&lt;5,0,IF(MAX(AX38:BC38)&gt;BC43+4+$B$18,1,0))</f>
        <v>0</v>
      </c>
      <c r="BD53" s="368" t="n">
        <f aca="false">IF(52&lt;5,0,IF(MAX(AY38:BD38)&gt;BD43+4+$B$18,1,0))</f>
        <v>0</v>
      </c>
      <c r="BE53" s="368" t="n">
        <f aca="false">IF(53&lt;5,0,IF(MAX(AZ38:BE38)&gt;BE43+4+$B$18,1,0))</f>
        <v>0</v>
      </c>
      <c r="BF53" s="368" t="n">
        <f aca="false">IF(54&lt;5,0,IF(MAX(BA38:BF38)&gt;BF43+4+$B$18,1,0))</f>
        <v>0</v>
      </c>
      <c r="BG53" s="368" t="n">
        <f aca="false">IF(55&lt;5,0,IF(MAX(BB38:BG38)&gt;BG43+4+$B$18,1,0))</f>
        <v>0</v>
      </c>
      <c r="BH53" s="368" t="n">
        <f aca="false">IF(56&lt;5,0,IF(MAX(BC38:BH38)&gt;BH43+4+$B$18,1,0))</f>
        <v>0</v>
      </c>
      <c r="BI53" s="368" t="n">
        <f aca="false">IF(57&lt;5,0,IF(MAX(BD38:BI38)&gt;BI43+4+$B$18,1,0))</f>
        <v>0</v>
      </c>
      <c r="BJ53" s="368" t="n">
        <f aca="false">IF(58&lt;5,0,IF(MAX(BE38:BJ38)&gt;BJ43+4+$B$18,1,0))</f>
        <v>0</v>
      </c>
      <c r="BK53" s="368" t="n">
        <f aca="false">IF(59&lt;5,0,IF(MAX(BF38:BK38)&gt;BK43+4+$B$18,1,0))</f>
        <v>0</v>
      </c>
      <c r="BL53" s="368" t="n">
        <f aca="false">IF(60&lt;5,0,IF(MAX(BG38:BL38)&gt;BL43+4+$B$18,1,0))</f>
        <v>0</v>
      </c>
      <c r="BM53" s="368" t="n">
        <f aca="false">IF(61&lt;5,0,IF(MAX(BH38:BM38)&gt;BM43+4+$B$18,1,0))</f>
        <v>0</v>
      </c>
      <c r="BN53" s="368" t="n">
        <f aca="false">IF(62&lt;5,0,IF(MAX(BI38:BN38)&gt;BN43+4+$B$18,1,0))</f>
        <v>0</v>
      </c>
      <c r="BO53" s="368" t="n">
        <f aca="false">IF(63&lt;5,0,IF(MAX(BJ38:BO38)&gt;BO43+4+$B$18,1,0))</f>
        <v>0</v>
      </c>
      <c r="BP53" s="368" t="n">
        <f aca="false">IF(64&lt;5,0,IF(MAX(BK38:BP38)&gt;BP43+4+$B$18,1,0))</f>
        <v>0</v>
      </c>
      <c r="BQ53" s="368" t="n">
        <f aca="false">IF(65&lt;5,0,IF(MAX(BL38:BQ38)&gt;BQ43+4+$B$18,1,0))</f>
        <v>0</v>
      </c>
      <c r="BR53" s="368" t="n">
        <f aca="false">IF(66&lt;5,0,IF(MAX(BM38:BR38)&gt;BR43+4+$B$18,1,0))</f>
        <v>0</v>
      </c>
      <c r="BS53" s="368" t="n">
        <f aca="false">IF(67&lt;5,0,IF(MAX(BN38:BS38)&gt;BS43+4+$B$18,1,0))</f>
        <v>0</v>
      </c>
      <c r="BT53" s="368" t="n">
        <f aca="false">IF(68&lt;5,0,IF(MAX(BO38:BT38)&gt;BT43+4+$B$18,1,0))</f>
        <v>0</v>
      </c>
      <c r="BU53" s="368" t="n">
        <f aca="false">IF(69&lt;5,0,IF(MAX(BP38:BU38)&gt;BU43+4+$B$18,1,0))</f>
        <v>0</v>
      </c>
      <c r="BV53" s="368" t="n">
        <f aca="false">IF(70&lt;5,0,IF(MAX(BQ38:BV38)&gt;BV43+4+$B$18,1,0))</f>
        <v>0</v>
      </c>
      <c r="BW53" s="368" t="n">
        <f aca="false">IF(71&lt;5,0,IF(MAX(BR38:BW38)&gt;BW43+4+$B$18,1,0))</f>
        <v>0</v>
      </c>
      <c r="BX53" s="368" t="n">
        <f aca="false">IF(72&lt;5,0,IF(MAX(BS38:BX38)&gt;BX43+4+$B$18,1,0))</f>
        <v>0</v>
      </c>
      <c r="BY53" s="368" t="n">
        <f aca="false">IF(73&lt;5,0,IF(MAX(BT38:BY38)&gt;BY43+4+$B$18,1,0))</f>
        <v>0</v>
      </c>
      <c r="BZ53" s="368" t="n">
        <f aca="false">IF(74&lt;5,0,IF(MAX(BU38:BZ38)&gt;BZ43+4+$B$18,1,0))</f>
        <v>0</v>
      </c>
      <c r="CA53" s="368" t="n">
        <f aca="false">IF(75&lt;5,0,IF(MAX(BV38:CA38)&gt;CA43+4+$B$18,1,0))</f>
        <v>0</v>
      </c>
      <c r="CB53" s="368" t="n">
        <f aca="false">IF(76&lt;5,0,IF(MAX(BW38:CB38)&gt;CB43+4+$B$18,1,0))</f>
        <v>0</v>
      </c>
      <c r="CC53" s="368" t="n">
        <f aca="false">IF(77&lt;5,0,IF(MAX(BX38:CC38)&gt;CC43+4+$B$18,1,0))</f>
        <v>0</v>
      </c>
      <c r="CD53" s="368" t="n">
        <f aca="false">IF(78&lt;5,0,IF(MAX(BY38:CD38)&gt;CD43+4+$B$18,1,0))</f>
        <v>0</v>
      </c>
      <c r="CE53" s="368" t="n">
        <f aca="false">IF(79&lt;5,0,IF(MAX(BZ38:CE38)&gt;CE43+4+$B$18,1,0))</f>
        <v>0</v>
      </c>
      <c r="CF53" s="368" t="n">
        <f aca="false">IF(80&lt;5,0,IF(MAX(CA38:CF38)&gt;CF43+4+$B$18,1,0))</f>
        <v>0</v>
      </c>
      <c r="CG53" s="368" t="n">
        <f aca="false">IF(81&lt;5,0,IF(MAX(CB38:CG38)&gt;CG43+4+$B$18,1,0))</f>
        <v>0</v>
      </c>
      <c r="CH53" s="368" t="n">
        <f aca="false">IF(82&lt;5,0,IF(MAX(CC38:CH38)&gt;CH43+4+$B$18,1,0))</f>
        <v>0</v>
      </c>
      <c r="CI53" s="368" t="n">
        <f aca="false">IF(83&lt;5,0,IF(MAX(CD38:CI38)&gt;CI43+4+$B$18,1,0))</f>
        <v>0</v>
      </c>
      <c r="CJ53" s="368" t="n">
        <f aca="false">IF(84&lt;5,0,IF(MAX(CE38:CJ38)&gt;CJ43+4+$B$18,1,0))</f>
        <v>0</v>
      </c>
      <c r="CK53" s="368" t="n">
        <f aca="false">IF(85&lt;5,0,IF(MAX(CF38:CK38)&gt;CK43+4+$B$18,1,0))</f>
        <v>0</v>
      </c>
      <c r="CL53" s="368" t="n">
        <f aca="false">IF(86&lt;5,0,IF(MAX(CG38:CL38)&gt;CL43+4+$B$18,1,0))</f>
        <v>0</v>
      </c>
      <c r="CM53" s="368" t="n">
        <f aca="false">IF(87&lt;5,0,IF(MAX(CH38:CM38)&gt;CM43+4+$B$18,1,0))</f>
        <v>0</v>
      </c>
      <c r="CN53" s="368" t="n">
        <f aca="false">IF(88&lt;5,0,IF(MAX(CI38:CN38)&gt;CN43+4+$B$18,1,0))</f>
        <v>0</v>
      </c>
      <c r="CO53" s="368" t="n">
        <f aca="false">IF(89&lt;5,0,IF(MAX(CJ38:CO38)&gt;CO43+4+$B$18,1,0))</f>
        <v>0</v>
      </c>
      <c r="CP53" s="368" t="n">
        <f aca="false">IF(90&lt;5,0,IF(MAX(CK38:CP38)&gt;CP43+4+$B$18,1,0))</f>
        <v>0</v>
      </c>
      <c r="CQ53" s="368" t="n">
        <f aca="false">IF(91&lt;5,0,IF(MAX(CL38:CQ38)&gt;CQ43+4+$B$18,1,0))</f>
        <v>0</v>
      </c>
      <c r="CR53" s="368" t="n">
        <f aca="false">IF(92&lt;5,0,IF(MAX(CM38:CR38)&gt;CR43+4+$B$18,1,0))</f>
        <v>0</v>
      </c>
      <c r="CS53" s="368" t="n">
        <f aca="false">IF(93&lt;5,0,IF(MAX(CN38:CS38)&gt;CS43+4+$B$18,1,0))</f>
        <v>0</v>
      </c>
      <c r="CT53" s="368" t="n">
        <f aca="false">IF(94&lt;5,0,IF(MAX(CO38:CT38)&gt;CT43+4+$B$18,1,0))</f>
        <v>0</v>
      </c>
      <c r="CU53" s="368" t="n">
        <f aca="false">IF(95&lt;5,0,IF(MAX(CP38:CU38)&gt;CU43+4+$B$18,1,0))</f>
        <v>0</v>
      </c>
      <c r="CV53" s="368" t="n">
        <f aca="false">IF(96&lt;5,0,IF(MAX(CQ38:CV38)&gt;CV43+4+$B$18,1,0))</f>
        <v>0</v>
      </c>
      <c r="CW53" s="368" t="n">
        <f aca="false">IF(97&lt;5,0,IF(MAX(CR38:CW38)&gt;CW43+4+$B$18,1,0))</f>
        <v>0</v>
      </c>
      <c r="CX53" s="368" t="n">
        <f aca="false">IF(98&lt;5,0,IF(MAX(CS38:CX38)&gt;CX43+4+$B$18,1,0))</f>
        <v>0</v>
      </c>
      <c r="CY53" s="368" t="n">
        <f aca="false">IF(99&lt;5,0,IF(MAX(CT38:CY38)&gt;CY43+4+$B$18,1,0))</f>
        <v>0</v>
      </c>
      <c r="CZ53" s="368" t="n">
        <f aca="false">IF(100&lt;5,0,IF(MAX(CU38:CZ38)&gt;CZ43+4+$B$18,1,0))</f>
        <v>0</v>
      </c>
      <c r="DA53" s="368" t="n">
        <f aca="false">IF(101&lt;5,0,IF(MAX(CV38:DA38)&gt;DA43+4+$B$18,1,0))</f>
        <v>0</v>
      </c>
      <c r="DB53" s="368" t="n">
        <f aca="false">IF(102&lt;5,0,IF(MAX(CW38:DB38)&gt;DB43+4+$B$18,1,0))</f>
        <v>0</v>
      </c>
      <c r="DC53" s="368" t="n">
        <f aca="false">IF(103&lt;5,0,IF(MAX(CX38:DC38)&gt;DC43+4+$B$18,1,0))</f>
        <v>0</v>
      </c>
      <c r="DD53" s="368" t="n">
        <f aca="false">IF(104&lt;5,0,IF(MAX(CY38:DD38)&gt;DD43+4+$B$18,1,0))</f>
        <v>0</v>
      </c>
      <c r="DE53" s="368" t="n">
        <f aca="false">IF(105&lt;5,0,IF(MAX(CZ38:DE38)&gt;DE43+4+$B$18,1,0))</f>
        <v>0</v>
      </c>
    </row>
    <row r="54" customFormat="false" ht="13.5" hidden="false" customHeight="true" outlineLevel="0" collapsed="false">
      <c r="A54" s="109" t="s">
        <v>1222</v>
      </c>
      <c r="B54" s="225" t="n">
        <f aca="false">$B$27</f>
        <v>125000</v>
      </c>
      <c r="E54" s="368" t="n">
        <f aca="false">IF(1&lt;5,0,IF(MAX(E38)&gt;E43+5+$B$18,1,0))</f>
        <v>0</v>
      </c>
      <c r="F54" s="368" t="n">
        <f aca="false">IF(2&lt;5,0,IF(MAX(E38:F38)&gt;F43+5+$B$18,1,0))</f>
        <v>0</v>
      </c>
      <c r="G54" s="368" t="n">
        <f aca="false">IF(3&lt;5,0,IF(MAX(E38:G38)&gt;G43+5+$B$18,1,0))</f>
        <v>0</v>
      </c>
      <c r="H54" s="368" t="n">
        <f aca="false">IF(4&lt;5,0,IF(MAX(E38:H38)&gt;H43+5+$B$18,1,0))</f>
        <v>0</v>
      </c>
      <c r="I54" s="368" t="n">
        <f aca="false">IF(5&lt;5,0,IF(MAX(E38:I38)&gt;I43+5+$B$18,1,0))</f>
        <v>0</v>
      </c>
      <c r="J54" s="368" t="n">
        <f aca="false">IF(6&lt;5,0,IF(MAX(E38:J38)&gt;J43+5+$B$18,1,0))</f>
        <v>0</v>
      </c>
      <c r="K54" s="368" t="n">
        <f aca="false">IF(7&lt;5,0,IF(MAX(F38:K38)&gt;K43+5+$B$18,1,0))</f>
        <v>0</v>
      </c>
      <c r="L54" s="368" t="n">
        <f aca="false">IF(8&lt;5,0,IF(MAX(G38:L38)&gt;L43+5+$B$18,1,0))</f>
        <v>0</v>
      </c>
      <c r="M54" s="368" t="n">
        <f aca="false">IF(9&lt;5,0,IF(MAX(H38:M38)&gt;M43+5+$B$18,1,0))</f>
        <v>0</v>
      </c>
      <c r="N54" s="368" t="n">
        <f aca="false">IF(10&lt;5,0,IF(MAX(I38:N38)&gt;N43+5+$B$18,1,0))</f>
        <v>0</v>
      </c>
      <c r="O54" s="368" t="n">
        <f aca="false">IF(11&lt;5,0,IF(MAX(J38:O38)&gt;O43+5+$B$18,1,0))</f>
        <v>0</v>
      </c>
      <c r="P54" s="368" t="n">
        <f aca="false">IF(12&lt;5,0,IF(MAX(K38:P38)&gt;P43+5+$B$18,1,0))</f>
        <v>0</v>
      </c>
      <c r="Q54" s="368" t="n">
        <f aca="false">IF(13&lt;5,0,IF(MAX(L38:Q38)&gt;Q43+5+$B$18,1,0))</f>
        <v>0</v>
      </c>
      <c r="R54" s="368" t="n">
        <f aca="false">IF(14&lt;5,0,IF(MAX(M38:R38)&gt;R43+5+$B$18,1,0))</f>
        <v>0</v>
      </c>
      <c r="S54" s="368" t="n">
        <f aca="false">IF(15&lt;5,0,IF(MAX(N38:S38)&gt;S43+5+$B$18,1,0))</f>
        <v>0</v>
      </c>
      <c r="T54" s="368" t="n">
        <f aca="false">IF(16&lt;5,0,IF(MAX(O38:T38)&gt;T43+5+$B$18,1,0))</f>
        <v>0</v>
      </c>
      <c r="U54" s="368" t="n">
        <f aca="false">IF(17&lt;5,0,IF(MAX(P38:U38)&gt;U43+5+$B$18,1,0))</f>
        <v>0</v>
      </c>
      <c r="V54" s="368" t="n">
        <f aca="false">IF(18&lt;5,0,IF(MAX(Q38:V38)&gt;V43+5+$B$18,1,0))</f>
        <v>0</v>
      </c>
      <c r="W54" s="368" t="n">
        <f aca="false">IF(19&lt;5,0,IF(MAX(R38:W38)&gt;W43+5+$B$18,1,0))</f>
        <v>1</v>
      </c>
      <c r="X54" s="368" t="n">
        <f aca="false">IF(20&lt;5,0,IF(MAX(S38:X38)&gt;X43+5+$B$18,1,0))</f>
        <v>1</v>
      </c>
      <c r="Y54" s="368" t="n">
        <f aca="false">IF(21&lt;5,0,IF(MAX(T38:Y38)&gt;Y43+5+$B$18,1,0))</f>
        <v>1</v>
      </c>
      <c r="Z54" s="368" t="n">
        <f aca="false">IF(22&lt;5,0,IF(MAX(U38:Z38)&gt;Z43+5+$B$18,1,0))</f>
        <v>1</v>
      </c>
      <c r="AA54" s="368" t="n">
        <f aca="false">IF(23&lt;5,0,IF(MAX(V38:AA38)&gt;AA43+5+$B$18,1,0))</f>
        <v>1</v>
      </c>
      <c r="AB54" s="368" t="n">
        <f aca="false">IF(24&lt;5,0,IF(MAX(W38:AB38)&gt;AB43+5+$B$18,1,0))</f>
        <v>1</v>
      </c>
      <c r="AC54" s="368" t="n">
        <f aca="false">IF(25&lt;5,0,IF(MAX(X38:AC38)&gt;AC43+5+$B$18,1,0))</f>
        <v>0</v>
      </c>
      <c r="AD54" s="368" t="n">
        <f aca="false">IF(26&lt;5,0,IF(MAX(Y38:AD38)&gt;AD43+5+$B$18,1,0))</f>
        <v>0</v>
      </c>
      <c r="AE54" s="368" t="n">
        <f aca="false">IF(27&lt;5,0,IF(MAX(Z38:AE38)&gt;AE43+5+$B$18,1,0))</f>
        <v>0</v>
      </c>
      <c r="AF54" s="368" t="n">
        <f aca="false">IF(28&lt;5,0,IF(MAX(AA38:AF38)&gt;AF43+5+$B$18,1,0))</f>
        <v>0</v>
      </c>
      <c r="AG54" s="368" t="n">
        <f aca="false">IF(29&lt;5,0,IF(MAX(AB38:AG38)&gt;AG43+5+$B$18,1,0))</f>
        <v>0</v>
      </c>
      <c r="AH54" s="368" t="n">
        <f aca="false">IF(30&lt;5,0,IF(MAX(AC38:AH38)&gt;AH43+5+$B$18,1,0))</f>
        <v>0</v>
      </c>
      <c r="AI54" s="368" t="n">
        <f aca="false">IF(31&lt;5,0,IF(MAX(AD38:AI38)&gt;AI43+5+$B$18,1,0))</f>
        <v>0</v>
      </c>
      <c r="AJ54" s="368" t="n">
        <f aca="false">IF(32&lt;5,0,IF(MAX(AE38:AJ38)&gt;AJ43+5+$B$18,1,0))</f>
        <v>0</v>
      </c>
      <c r="AK54" s="368" t="n">
        <f aca="false">IF(33&lt;5,0,IF(MAX(AF38:AK38)&gt;AK43+5+$B$18,1,0))</f>
        <v>0</v>
      </c>
      <c r="AL54" s="368" t="n">
        <f aca="false">IF(34&lt;5,0,IF(MAX(AG38:AL38)&gt;AL43+5+$B$18,1,0))</f>
        <v>0</v>
      </c>
      <c r="AM54" s="368" t="n">
        <f aca="false">IF(35&lt;5,0,IF(MAX(AH38:AM38)&gt;AM43+5+$B$18,1,0))</f>
        <v>0</v>
      </c>
      <c r="AN54" s="368" t="n">
        <f aca="false">IF(36&lt;5,0,IF(MAX(AI38:AN38)&gt;AN43+5+$B$18,1,0))</f>
        <v>0</v>
      </c>
      <c r="AO54" s="368" t="n">
        <f aca="false">IF(37&lt;5,0,IF(MAX(AJ38:AO38)&gt;AO43+5+$B$18,1,0))</f>
        <v>0</v>
      </c>
      <c r="AP54" s="368" t="n">
        <f aca="false">IF(38&lt;5,0,IF(MAX(AK38:AP38)&gt;AP43+5+$B$18,1,0))</f>
        <v>0</v>
      </c>
      <c r="AQ54" s="368" t="n">
        <f aca="false">IF(39&lt;5,0,IF(MAX(AL38:AQ38)&gt;AQ43+5+$B$18,1,0))</f>
        <v>0</v>
      </c>
      <c r="AR54" s="368" t="n">
        <f aca="false">IF(40&lt;5,0,IF(MAX(AM38:AR38)&gt;AR43+5+$B$18,1,0))</f>
        <v>0</v>
      </c>
      <c r="AS54" s="368" t="n">
        <f aca="false">IF(41&lt;5,0,IF(MAX(AN38:AS38)&gt;AS43+5+$B$18,1,0))</f>
        <v>0</v>
      </c>
      <c r="AT54" s="368" t="n">
        <f aca="false">IF(42&lt;5,0,IF(MAX(AO38:AT38)&gt;AT43+5+$B$18,1,0))</f>
        <v>0</v>
      </c>
      <c r="AU54" s="368" t="n">
        <f aca="false">IF(43&lt;5,0,IF(MAX(AP38:AU38)&gt;AU43+5+$B$18,1,0))</f>
        <v>0</v>
      </c>
      <c r="AV54" s="368" t="n">
        <f aca="false">IF(44&lt;5,0,IF(MAX(AQ38:AV38)&gt;AV43+5+$B$18,1,0))</f>
        <v>0</v>
      </c>
      <c r="AW54" s="368" t="n">
        <f aca="false">IF(45&lt;5,0,IF(MAX(AR38:AW38)&gt;AW43+5+$B$18,1,0))</f>
        <v>0</v>
      </c>
      <c r="AX54" s="368" t="n">
        <f aca="false">IF(46&lt;5,0,IF(MAX(AS38:AX38)&gt;AX43+5+$B$18,1,0))</f>
        <v>0</v>
      </c>
      <c r="AY54" s="368" t="n">
        <f aca="false">IF(47&lt;5,0,IF(MAX(AT38:AY38)&gt;AY43+5+$B$18,1,0))</f>
        <v>0</v>
      </c>
      <c r="AZ54" s="368" t="n">
        <f aca="false">IF(48&lt;5,0,IF(MAX(AU38:AZ38)&gt;AZ43+5+$B$18,1,0))</f>
        <v>0</v>
      </c>
      <c r="BA54" s="368" t="n">
        <f aca="false">IF(49&lt;5,0,IF(MAX(AV38:BA38)&gt;BA43+5+$B$18,1,0))</f>
        <v>0</v>
      </c>
      <c r="BB54" s="368" t="n">
        <f aca="false">IF(50&lt;5,0,IF(MAX(AW38:BB38)&gt;BB43+5+$B$18,1,0))</f>
        <v>0</v>
      </c>
      <c r="BC54" s="368" t="n">
        <f aca="false">IF(51&lt;5,0,IF(MAX(AX38:BC38)&gt;BC43+5+$B$18,1,0))</f>
        <v>0</v>
      </c>
      <c r="BD54" s="368" t="n">
        <f aca="false">IF(52&lt;5,0,IF(MAX(AY38:BD38)&gt;BD43+5+$B$18,1,0))</f>
        <v>0</v>
      </c>
      <c r="BE54" s="368" t="n">
        <f aca="false">IF(53&lt;5,0,IF(MAX(AZ38:BE38)&gt;BE43+5+$B$18,1,0))</f>
        <v>0</v>
      </c>
      <c r="BF54" s="368" t="n">
        <f aca="false">IF(54&lt;5,0,IF(MAX(BA38:BF38)&gt;BF43+5+$B$18,1,0))</f>
        <v>0</v>
      </c>
      <c r="BG54" s="368" t="n">
        <f aca="false">IF(55&lt;5,0,IF(MAX(BB38:BG38)&gt;BG43+5+$B$18,1,0))</f>
        <v>0</v>
      </c>
      <c r="BH54" s="368" t="n">
        <f aca="false">IF(56&lt;5,0,IF(MAX(BC38:BH38)&gt;BH43+5+$B$18,1,0))</f>
        <v>0</v>
      </c>
      <c r="BI54" s="368" t="n">
        <f aca="false">IF(57&lt;5,0,IF(MAX(BD38:BI38)&gt;BI43+5+$B$18,1,0))</f>
        <v>0</v>
      </c>
      <c r="BJ54" s="368" t="n">
        <f aca="false">IF(58&lt;5,0,IF(MAX(BE38:BJ38)&gt;BJ43+5+$B$18,1,0))</f>
        <v>0</v>
      </c>
      <c r="BK54" s="368" t="n">
        <f aca="false">IF(59&lt;5,0,IF(MAX(BF38:BK38)&gt;BK43+5+$B$18,1,0))</f>
        <v>0</v>
      </c>
      <c r="BL54" s="368" t="n">
        <f aca="false">IF(60&lt;5,0,IF(MAX(BG38:BL38)&gt;BL43+5+$B$18,1,0))</f>
        <v>0</v>
      </c>
      <c r="BM54" s="368" t="n">
        <f aca="false">IF(61&lt;5,0,IF(MAX(BH38:BM38)&gt;BM43+5+$B$18,1,0))</f>
        <v>0</v>
      </c>
      <c r="BN54" s="368" t="n">
        <f aca="false">IF(62&lt;5,0,IF(MAX(BI38:BN38)&gt;BN43+5+$B$18,1,0))</f>
        <v>0</v>
      </c>
      <c r="BO54" s="368" t="n">
        <f aca="false">IF(63&lt;5,0,IF(MAX(BJ38:BO38)&gt;BO43+5+$B$18,1,0))</f>
        <v>0</v>
      </c>
      <c r="BP54" s="368" t="n">
        <f aca="false">IF(64&lt;5,0,IF(MAX(BK38:BP38)&gt;BP43+5+$B$18,1,0))</f>
        <v>0</v>
      </c>
      <c r="BQ54" s="368" t="n">
        <f aca="false">IF(65&lt;5,0,IF(MAX(BL38:BQ38)&gt;BQ43+5+$B$18,1,0))</f>
        <v>0</v>
      </c>
      <c r="BR54" s="368" t="n">
        <f aca="false">IF(66&lt;5,0,IF(MAX(BM38:BR38)&gt;BR43+5+$B$18,1,0))</f>
        <v>0</v>
      </c>
      <c r="BS54" s="368" t="n">
        <f aca="false">IF(67&lt;5,0,IF(MAX(BN38:BS38)&gt;BS43+5+$B$18,1,0))</f>
        <v>0</v>
      </c>
      <c r="BT54" s="368" t="n">
        <f aca="false">IF(68&lt;5,0,IF(MAX(BO38:BT38)&gt;BT43+5+$B$18,1,0))</f>
        <v>0</v>
      </c>
      <c r="BU54" s="368" t="n">
        <f aca="false">IF(69&lt;5,0,IF(MAX(BP38:BU38)&gt;BU43+5+$B$18,1,0))</f>
        <v>0</v>
      </c>
      <c r="BV54" s="368" t="n">
        <f aca="false">IF(70&lt;5,0,IF(MAX(BQ38:BV38)&gt;BV43+5+$B$18,1,0))</f>
        <v>0</v>
      </c>
      <c r="BW54" s="368" t="n">
        <f aca="false">IF(71&lt;5,0,IF(MAX(BR38:BW38)&gt;BW43+5+$B$18,1,0))</f>
        <v>0</v>
      </c>
      <c r="BX54" s="368" t="n">
        <f aca="false">IF(72&lt;5,0,IF(MAX(BS38:BX38)&gt;BX43+5+$B$18,1,0))</f>
        <v>0</v>
      </c>
      <c r="BY54" s="368" t="n">
        <f aca="false">IF(73&lt;5,0,IF(MAX(BT38:BY38)&gt;BY43+5+$B$18,1,0))</f>
        <v>0</v>
      </c>
      <c r="BZ54" s="368" t="n">
        <f aca="false">IF(74&lt;5,0,IF(MAX(BU38:BZ38)&gt;BZ43+5+$B$18,1,0))</f>
        <v>0</v>
      </c>
      <c r="CA54" s="368" t="n">
        <f aca="false">IF(75&lt;5,0,IF(MAX(BV38:CA38)&gt;CA43+5+$B$18,1,0))</f>
        <v>0</v>
      </c>
      <c r="CB54" s="368" t="n">
        <f aca="false">IF(76&lt;5,0,IF(MAX(BW38:CB38)&gt;CB43+5+$B$18,1,0))</f>
        <v>0</v>
      </c>
      <c r="CC54" s="368" t="n">
        <f aca="false">IF(77&lt;5,0,IF(MAX(BX38:CC38)&gt;CC43+5+$B$18,1,0))</f>
        <v>0</v>
      </c>
      <c r="CD54" s="368" t="n">
        <f aca="false">IF(78&lt;5,0,IF(MAX(BY38:CD38)&gt;CD43+5+$B$18,1,0))</f>
        <v>0</v>
      </c>
      <c r="CE54" s="368" t="n">
        <f aca="false">IF(79&lt;5,0,IF(MAX(BZ38:CE38)&gt;CE43+5+$B$18,1,0))</f>
        <v>0</v>
      </c>
      <c r="CF54" s="368" t="n">
        <f aca="false">IF(80&lt;5,0,IF(MAX(CA38:CF38)&gt;CF43+5+$B$18,1,0))</f>
        <v>0</v>
      </c>
      <c r="CG54" s="368" t="n">
        <f aca="false">IF(81&lt;5,0,IF(MAX(CB38:CG38)&gt;CG43+5+$B$18,1,0))</f>
        <v>0</v>
      </c>
      <c r="CH54" s="368" t="n">
        <f aca="false">IF(82&lt;5,0,IF(MAX(CC38:CH38)&gt;CH43+5+$B$18,1,0))</f>
        <v>0</v>
      </c>
      <c r="CI54" s="368" t="n">
        <f aca="false">IF(83&lt;5,0,IF(MAX(CD38:CI38)&gt;CI43+5+$B$18,1,0))</f>
        <v>0</v>
      </c>
      <c r="CJ54" s="368" t="n">
        <f aca="false">IF(84&lt;5,0,IF(MAX(CE38:CJ38)&gt;CJ43+5+$B$18,1,0))</f>
        <v>0</v>
      </c>
      <c r="CK54" s="368" t="n">
        <f aca="false">IF(85&lt;5,0,IF(MAX(CF38:CK38)&gt;CK43+5+$B$18,1,0))</f>
        <v>0</v>
      </c>
      <c r="CL54" s="368" t="n">
        <f aca="false">IF(86&lt;5,0,IF(MAX(CG38:CL38)&gt;CL43+5+$B$18,1,0))</f>
        <v>0</v>
      </c>
      <c r="CM54" s="368" t="n">
        <f aca="false">IF(87&lt;5,0,IF(MAX(CH38:CM38)&gt;CM43+5+$B$18,1,0))</f>
        <v>0</v>
      </c>
      <c r="CN54" s="368" t="n">
        <f aca="false">IF(88&lt;5,0,IF(MAX(CI38:CN38)&gt;CN43+5+$B$18,1,0))</f>
        <v>0</v>
      </c>
      <c r="CO54" s="368" t="n">
        <f aca="false">IF(89&lt;5,0,IF(MAX(CJ38:CO38)&gt;CO43+5+$B$18,1,0))</f>
        <v>0</v>
      </c>
      <c r="CP54" s="368" t="n">
        <f aca="false">IF(90&lt;5,0,IF(MAX(CK38:CP38)&gt;CP43+5+$B$18,1,0))</f>
        <v>0</v>
      </c>
      <c r="CQ54" s="368" t="n">
        <f aca="false">IF(91&lt;5,0,IF(MAX(CL38:CQ38)&gt;CQ43+5+$B$18,1,0))</f>
        <v>0</v>
      </c>
      <c r="CR54" s="368" t="n">
        <f aca="false">IF(92&lt;5,0,IF(MAX(CM38:CR38)&gt;CR43+5+$B$18,1,0))</f>
        <v>0</v>
      </c>
      <c r="CS54" s="368" t="n">
        <f aca="false">IF(93&lt;5,0,IF(MAX(CN38:CS38)&gt;CS43+5+$B$18,1,0))</f>
        <v>0</v>
      </c>
      <c r="CT54" s="368" t="n">
        <f aca="false">IF(94&lt;5,0,IF(MAX(CO38:CT38)&gt;CT43+5+$B$18,1,0))</f>
        <v>0</v>
      </c>
      <c r="CU54" s="368" t="n">
        <f aca="false">IF(95&lt;5,0,IF(MAX(CP38:CU38)&gt;CU43+5+$B$18,1,0))</f>
        <v>0</v>
      </c>
      <c r="CV54" s="368" t="n">
        <f aca="false">IF(96&lt;5,0,IF(MAX(CQ38:CV38)&gt;CV43+5+$B$18,1,0))</f>
        <v>0</v>
      </c>
      <c r="CW54" s="368" t="n">
        <f aca="false">IF(97&lt;5,0,IF(MAX(CR38:CW38)&gt;CW43+5+$B$18,1,0))</f>
        <v>0</v>
      </c>
      <c r="CX54" s="368" t="n">
        <f aca="false">IF(98&lt;5,0,IF(MAX(CS38:CX38)&gt;CX43+5+$B$18,1,0))</f>
        <v>0</v>
      </c>
      <c r="CY54" s="368" t="n">
        <f aca="false">IF(99&lt;5,0,IF(MAX(CT38:CY38)&gt;CY43+5+$B$18,1,0))</f>
        <v>0</v>
      </c>
      <c r="CZ54" s="368" t="n">
        <f aca="false">IF(100&lt;5,0,IF(MAX(CU38:CZ38)&gt;CZ43+5+$B$18,1,0))</f>
        <v>0</v>
      </c>
      <c r="DA54" s="368" t="n">
        <f aca="false">IF(101&lt;5,0,IF(MAX(CV38:DA38)&gt;DA43+5+$B$18,1,0))</f>
        <v>0</v>
      </c>
      <c r="DB54" s="368" t="n">
        <f aca="false">IF(102&lt;5,0,IF(MAX(CW38:DB38)&gt;DB43+5+$B$18,1,0))</f>
        <v>0</v>
      </c>
      <c r="DC54" s="368" t="n">
        <f aca="false">IF(103&lt;5,0,IF(MAX(CX38:DC38)&gt;DC43+5+$B$18,1,0))</f>
        <v>0</v>
      </c>
      <c r="DD54" s="368" t="n">
        <f aca="false">IF(104&lt;5,0,IF(MAX(CY38:DD38)&gt;DD43+5+$B$18,1,0))</f>
        <v>0</v>
      </c>
      <c r="DE54" s="368" t="n">
        <f aca="false">IF(105&lt;5,0,IF(MAX(CZ38:DE38)&gt;DE43+5+$B$18,1,0))</f>
        <v>0</v>
      </c>
    </row>
    <row r="55" customFormat="false" ht="13.5" hidden="false" customHeight="true" outlineLevel="0" collapsed="false">
      <c r="A55" s="109" t="s">
        <v>1223</v>
      </c>
      <c r="B55" s="225" t="n">
        <f aca="false">$B$27</f>
        <v>125000</v>
      </c>
      <c r="E55" s="368" t="n">
        <f aca="false">IF(1&lt;5,0,IF(MAX(E38)&gt;E43+6+$B$18,1,0))</f>
        <v>0</v>
      </c>
      <c r="F55" s="368" t="n">
        <f aca="false">IF(2&lt;5,0,IF(MAX(E38:F38)&gt;F43+6+$B$18,1,0))</f>
        <v>0</v>
      </c>
      <c r="G55" s="368" t="n">
        <f aca="false">IF(3&lt;5,0,IF(MAX(E38:G38)&gt;G43+6+$B$18,1,0))</f>
        <v>0</v>
      </c>
      <c r="H55" s="368" t="n">
        <f aca="false">IF(4&lt;5,0,IF(MAX(E38:H38)&gt;H43+6+$B$18,1,0))</f>
        <v>0</v>
      </c>
      <c r="I55" s="368" t="n">
        <f aca="false">IF(5&lt;5,0,IF(MAX(E38:I38)&gt;I43+6+$B$18,1,0))</f>
        <v>0</v>
      </c>
      <c r="J55" s="368" t="n">
        <f aca="false">IF(6&lt;5,0,IF(MAX(E38:J38)&gt;J43+6+$B$18,1,0))</f>
        <v>0</v>
      </c>
      <c r="K55" s="368" t="n">
        <f aca="false">IF(7&lt;5,0,IF(MAX(F38:K38)&gt;K43+6+$B$18,1,0))</f>
        <v>0</v>
      </c>
      <c r="L55" s="368" t="n">
        <f aca="false">IF(8&lt;5,0,IF(MAX(G38:L38)&gt;L43+6+$B$18,1,0))</f>
        <v>0</v>
      </c>
      <c r="M55" s="368" t="n">
        <f aca="false">IF(9&lt;5,0,IF(MAX(H38:M38)&gt;M43+6+$B$18,1,0))</f>
        <v>0</v>
      </c>
      <c r="N55" s="368" t="n">
        <f aca="false">IF(10&lt;5,0,IF(MAX(I38:N38)&gt;N43+6+$B$18,1,0))</f>
        <v>0</v>
      </c>
      <c r="O55" s="368" t="n">
        <f aca="false">IF(11&lt;5,0,IF(MAX(J38:O38)&gt;O43+6+$B$18,1,0))</f>
        <v>0</v>
      </c>
      <c r="P55" s="368" t="n">
        <f aca="false">IF(12&lt;5,0,IF(MAX(K38:P38)&gt;P43+6+$B$18,1,0))</f>
        <v>0</v>
      </c>
      <c r="Q55" s="368" t="n">
        <f aca="false">IF(13&lt;5,0,IF(MAX(L38:Q38)&gt;Q43+6+$B$18,1,0))</f>
        <v>0</v>
      </c>
      <c r="R55" s="368" t="n">
        <f aca="false">IF(14&lt;5,0,IF(MAX(M38:R38)&gt;R43+6+$B$18,1,0))</f>
        <v>0</v>
      </c>
      <c r="S55" s="368" t="n">
        <f aca="false">IF(15&lt;5,0,IF(MAX(N38:S38)&gt;S43+6+$B$18,1,0))</f>
        <v>0</v>
      </c>
      <c r="T55" s="368" t="n">
        <f aca="false">IF(16&lt;5,0,IF(MAX(O38:T38)&gt;T43+6+$B$18,1,0))</f>
        <v>0</v>
      </c>
      <c r="U55" s="368" t="n">
        <f aca="false">IF(17&lt;5,0,IF(MAX(P38:U38)&gt;U43+6+$B$18,1,0))</f>
        <v>0</v>
      </c>
      <c r="V55" s="368" t="n">
        <f aca="false">IF(18&lt;5,0,IF(MAX(Q38:V38)&gt;V43+6+$B$18,1,0))</f>
        <v>0</v>
      </c>
      <c r="W55" s="368" t="n">
        <f aca="false">IF(19&lt;5,0,IF(MAX(R38:W38)&gt;W43+6+$B$18,1,0))</f>
        <v>0</v>
      </c>
      <c r="X55" s="368" t="n">
        <f aca="false">IF(20&lt;5,0,IF(MAX(S38:X38)&gt;X43+6+$B$18,1,0))</f>
        <v>0</v>
      </c>
      <c r="Y55" s="368" t="n">
        <f aca="false">IF(21&lt;5,0,IF(MAX(T38:Y38)&gt;Y43+6+$B$18,1,0))</f>
        <v>0</v>
      </c>
      <c r="Z55" s="368" t="n">
        <f aca="false">IF(22&lt;5,0,IF(MAX(U38:Z38)&gt;Z43+6+$B$18,1,0))</f>
        <v>0</v>
      </c>
      <c r="AA55" s="368" t="n">
        <f aca="false">IF(23&lt;5,0,IF(MAX(V38:AA38)&gt;AA43+6+$B$18,1,0))</f>
        <v>0</v>
      </c>
      <c r="AB55" s="368" t="n">
        <f aca="false">IF(24&lt;5,0,IF(MAX(W38:AB38)&gt;AB43+6+$B$18,1,0))</f>
        <v>0</v>
      </c>
      <c r="AC55" s="368" t="n">
        <f aca="false">IF(25&lt;5,0,IF(MAX(X38:AC38)&gt;AC43+6+$B$18,1,0))</f>
        <v>0</v>
      </c>
      <c r="AD55" s="368" t="n">
        <f aca="false">IF(26&lt;5,0,IF(MAX(Y38:AD38)&gt;AD43+6+$B$18,1,0))</f>
        <v>0</v>
      </c>
      <c r="AE55" s="368" t="n">
        <f aca="false">IF(27&lt;5,0,IF(MAX(Z38:AE38)&gt;AE43+6+$B$18,1,0))</f>
        <v>0</v>
      </c>
      <c r="AF55" s="368" t="n">
        <f aca="false">IF(28&lt;5,0,IF(MAX(AA38:AF38)&gt;AF43+6+$B$18,1,0))</f>
        <v>0</v>
      </c>
      <c r="AG55" s="368" t="n">
        <f aca="false">IF(29&lt;5,0,IF(MAX(AB38:AG38)&gt;AG43+6+$B$18,1,0))</f>
        <v>0</v>
      </c>
      <c r="AH55" s="368" t="n">
        <f aca="false">IF(30&lt;5,0,IF(MAX(AC38:AH38)&gt;AH43+6+$B$18,1,0))</f>
        <v>0</v>
      </c>
      <c r="AI55" s="368" t="n">
        <f aca="false">IF(31&lt;5,0,IF(MAX(AD38:AI38)&gt;AI43+6+$B$18,1,0))</f>
        <v>0</v>
      </c>
      <c r="AJ55" s="368" t="n">
        <f aca="false">IF(32&lt;5,0,IF(MAX(AE38:AJ38)&gt;AJ43+6+$B$18,1,0))</f>
        <v>0</v>
      </c>
      <c r="AK55" s="368" t="n">
        <f aca="false">IF(33&lt;5,0,IF(MAX(AF38:AK38)&gt;AK43+6+$B$18,1,0))</f>
        <v>0</v>
      </c>
      <c r="AL55" s="368" t="n">
        <f aca="false">IF(34&lt;5,0,IF(MAX(AG38:AL38)&gt;AL43+6+$B$18,1,0))</f>
        <v>0</v>
      </c>
      <c r="AM55" s="368" t="n">
        <f aca="false">IF(35&lt;5,0,IF(MAX(AH38:AM38)&gt;AM43+6+$B$18,1,0))</f>
        <v>0</v>
      </c>
      <c r="AN55" s="368" t="n">
        <f aca="false">IF(36&lt;5,0,IF(MAX(AI38:AN38)&gt;AN43+6+$B$18,1,0))</f>
        <v>0</v>
      </c>
      <c r="AO55" s="368" t="n">
        <f aca="false">IF(37&lt;5,0,IF(MAX(AJ38:AO38)&gt;AO43+6+$B$18,1,0))</f>
        <v>0</v>
      </c>
      <c r="AP55" s="368" t="n">
        <f aca="false">IF(38&lt;5,0,IF(MAX(AK38:AP38)&gt;AP43+6+$B$18,1,0))</f>
        <v>0</v>
      </c>
      <c r="AQ55" s="368" t="n">
        <f aca="false">IF(39&lt;5,0,IF(MAX(AL38:AQ38)&gt;AQ43+6+$B$18,1,0))</f>
        <v>0</v>
      </c>
      <c r="AR55" s="368" t="n">
        <f aca="false">IF(40&lt;5,0,IF(MAX(AM38:AR38)&gt;AR43+6+$B$18,1,0))</f>
        <v>0</v>
      </c>
      <c r="AS55" s="368" t="n">
        <f aca="false">IF(41&lt;5,0,IF(MAX(AN38:AS38)&gt;AS43+6+$B$18,1,0))</f>
        <v>0</v>
      </c>
      <c r="AT55" s="368" t="n">
        <f aca="false">IF(42&lt;5,0,IF(MAX(AO38:AT38)&gt;AT43+6+$B$18,1,0))</f>
        <v>0</v>
      </c>
      <c r="AU55" s="368" t="n">
        <f aca="false">IF(43&lt;5,0,IF(MAX(AP38:AU38)&gt;AU43+6+$B$18,1,0))</f>
        <v>0</v>
      </c>
      <c r="AV55" s="368" t="n">
        <f aca="false">IF(44&lt;5,0,IF(MAX(AQ38:AV38)&gt;AV43+6+$B$18,1,0))</f>
        <v>0</v>
      </c>
      <c r="AW55" s="368" t="n">
        <f aca="false">IF(45&lt;5,0,IF(MAX(AR38:AW38)&gt;AW43+6+$B$18,1,0))</f>
        <v>0</v>
      </c>
      <c r="AX55" s="368" t="n">
        <f aca="false">IF(46&lt;5,0,IF(MAX(AS38:AX38)&gt;AX43+6+$B$18,1,0))</f>
        <v>0</v>
      </c>
      <c r="AY55" s="368" t="n">
        <f aca="false">IF(47&lt;5,0,IF(MAX(AT38:AY38)&gt;AY43+6+$B$18,1,0))</f>
        <v>0</v>
      </c>
      <c r="AZ55" s="368" t="n">
        <f aca="false">IF(48&lt;5,0,IF(MAX(AU38:AZ38)&gt;AZ43+6+$B$18,1,0))</f>
        <v>0</v>
      </c>
      <c r="BA55" s="368" t="n">
        <f aca="false">IF(49&lt;5,0,IF(MAX(AV38:BA38)&gt;BA43+6+$B$18,1,0))</f>
        <v>0</v>
      </c>
      <c r="BB55" s="368" t="n">
        <f aca="false">IF(50&lt;5,0,IF(MAX(AW38:BB38)&gt;BB43+6+$B$18,1,0))</f>
        <v>0</v>
      </c>
      <c r="BC55" s="368" t="n">
        <f aca="false">IF(51&lt;5,0,IF(MAX(AX38:BC38)&gt;BC43+6+$B$18,1,0))</f>
        <v>0</v>
      </c>
      <c r="BD55" s="368" t="n">
        <f aca="false">IF(52&lt;5,0,IF(MAX(AY38:BD38)&gt;BD43+6+$B$18,1,0))</f>
        <v>0</v>
      </c>
      <c r="BE55" s="368" t="n">
        <f aca="false">IF(53&lt;5,0,IF(MAX(AZ38:BE38)&gt;BE43+6+$B$18,1,0))</f>
        <v>0</v>
      </c>
      <c r="BF55" s="368" t="n">
        <f aca="false">IF(54&lt;5,0,IF(MAX(BA38:BF38)&gt;BF43+6+$B$18,1,0))</f>
        <v>0</v>
      </c>
      <c r="BG55" s="368" t="n">
        <f aca="false">IF(55&lt;5,0,IF(MAX(BB38:BG38)&gt;BG43+6+$B$18,1,0))</f>
        <v>0</v>
      </c>
      <c r="BH55" s="368" t="n">
        <f aca="false">IF(56&lt;5,0,IF(MAX(BC38:BH38)&gt;BH43+6+$B$18,1,0))</f>
        <v>0</v>
      </c>
      <c r="BI55" s="368" t="n">
        <f aca="false">IF(57&lt;5,0,IF(MAX(BD38:BI38)&gt;BI43+6+$B$18,1,0))</f>
        <v>0</v>
      </c>
      <c r="BJ55" s="368" t="n">
        <f aca="false">IF(58&lt;5,0,IF(MAX(BE38:BJ38)&gt;BJ43+6+$B$18,1,0))</f>
        <v>0</v>
      </c>
      <c r="BK55" s="368" t="n">
        <f aca="false">IF(59&lt;5,0,IF(MAX(BF38:BK38)&gt;BK43+6+$B$18,1,0))</f>
        <v>0</v>
      </c>
      <c r="BL55" s="368" t="n">
        <f aca="false">IF(60&lt;5,0,IF(MAX(BG38:BL38)&gt;BL43+6+$B$18,1,0))</f>
        <v>0</v>
      </c>
      <c r="BM55" s="368" t="n">
        <f aca="false">IF(61&lt;5,0,IF(MAX(BH38:BM38)&gt;BM43+6+$B$18,1,0))</f>
        <v>0</v>
      </c>
      <c r="BN55" s="368" t="n">
        <f aca="false">IF(62&lt;5,0,IF(MAX(BI38:BN38)&gt;BN43+6+$B$18,1,0))</f>
        <v>0</v>
      </c>
      <c r="BO55" s="368" t="n">
        <f aca="false">IF(63&lt;5,0,IF(MAX(BJ38:BO38)&gt;BO43+6+$B$18,1,0))</f>
        <v>0</v>
      </c>
      <c r="BP55" s="368" t="n">
        <f aca="false">IF(64&lt;5,0,IF(MAX(BK38:BP38)&gt;BP43+6+$B$18,1,0))</f>
        <v>0</v>
      </c>
      <c r="BQ55" s="368" t="n">
        <f aca="false">IF(65&lt;5,0,IF(MAX(BL38:BQ38)&gt;BQ43+6+$B$18,1,0))</f>
        <v>0</v>
      </c>
      <c r="BR55" s="368" t="n">
        <f aca="false">IF(66&lt;5,0,IF(MAX(BM38:BR38)&gt;BR43+6+$B$18,1,0))</f>
        <v>0</v>
      </c>
      <c r="BS55" s="368" t="n">
        <f aca="false">IF(67&lt;5,0,IF(MAX(BN38:BS38)&gt;BS43+6+$B$18,1,0))</f>
        <v>0</v>
      </c>
      <c r="BT55" s="368" t="n">
        <f aca="false">IF(68&lt;5,0,IF(MAX(BO38:BT38)&gt;BT43+6+$B$18,1,0))</f>
        <v>0</v>
      </c>
      <c r="BU55" s="368" t="n">
        <f aca="false">IF(69&lt;5,0,IF(MAX(BP38:BU38)&gt;BU43+6+$B$18,1,0))</f>
        <v>0</v>
      </c>
      <c r="BV55" s="368" t="n">
        <f aca="false">IF(70&lt;5,0,IF(MAX(BQ38:BV38)&gt;BV43+6+$B$18,1,0))</f>
        <v>0</v>
      </c>
      <c r="BW55" s="368" t="n">
        <f aca="false">IF(71&lt;5,0,IF(MAX(BR38:BW38)&gt;BW43+6+$B$18,1,0))</f>
        <v>0</v>
      </c>
      <c r="BX55" s="368" t="n">
        <f aca="false">IF(72&lt;5,0,IF(MAX(BS38:BX38)&gt;BX43+6+$B$18,1,0))</f>
        <v>0</v>
      </c>
      <c r="BY55" s="368" t="n">
        <f aca="false">IF(73&lt;5,0,IF(MAX(BT38:BY38)&gt;BY43+6+$B$18,1,0))</f>
        <v>0</v>
      </c>
      <c r="BZ55" s="368" t="n">
        <f aca="false">IF(74&lt;5,0,IF(MAX(BU38:BZ38)&gt;BZ43+6+$B$18,1,0))</f>
        <v>0</v>
      </c>
      <c r="CA55" s="368" t="n">
        <f aca="false">IF(75&lt;5,0,IF(MAX(BV38:CA38)&gt;CA43+6+$B$18,1,0))</f>
        <v>0</v>
      </c>
      <c r="CB55" s="368" t="n">
        <f aca="false">IF(76&lt;5,0,IF(MAX(BW38:CB38)&gt;CB43+6+$B$18,1,0))</f>
        <v>0</v>
      </c>
      <c r="CC55" s="368" t="n">
        <f aca="false">IF(77&lt;5,0,IF(MAX(BX38:CC38)&gt;CC43+6+$B$18,1,0))</f>
        <v>0</v>
      </c>
      <c r="CD55" s="368" t="n">
        <f aca="false">IF(78&lt;5,0,IF(MAX(BY38:CD38)&gt;CD43+6+$B$18,1,0))</f>
        <v>0</v>
      </c>
      <c r="CE55" s="368" t="n">
        <f aca="false">IF(79&lt;5,0,IF(MAX(BZ38:CE38)&gt;CE43+6+$B$18,1,0))</f>
        <v>0</v>
      </c>
      <c r="CF55" s="368" t="n">
        <f aca="false">IF(80&lt;5,0,IF(MAX(CA38:CF38)&gt;CF43+6+$B$18,1,0))</f>
        <v>0</v>
      </c>
      <c r="CG55" s="368" t="n">
        <f aca="false">IF(81&lt;5,0,IF(MAX(CB38:CG38)&gt;CG43+6+$B$18,1,0))</f>
        <v>0</v>
      </c>
      <c r="CH55" s="368" t="n">
        <f aca="false">IF(82&lt;5,0,IF(MAX(CC38:CH38)&gt;CH43+6+$B$18,1,0))</f>
        <v>0</v>
      </c>
      <c r="CI55" s="368" t="n">
        <f aca="false">IF(83&lt;5,0,IF(MAX(CD38:CI38)&gt;CI43+6+$B$18,1,0))</f>
        <v>0</v>
      </c>
      <c r="CJ55" s="368" t="n">
        <f aca="false">IF(84&lt;5,0,IF(MAX(CE38:CJ38)&gt;CJ43+6+$B$18,1,0))</f>
        <v>0</v>
      </c>
      <c r="CK55" s="368" t="n">
        <f aca="false">IF(85&lt;5,0,IF(MAX(CF38:CK38)&gt;CK43+6+$B$18,1,0))</f>
        <v>0</v>
      </c>
      <c r="CL55" s="368" t="n">
        <f aca="false">IF(86&lt;5,0,IF(MAX(CG38:CL38)&gt;CL43+6+$B$18,1,0))</f>
        <v>0</v>
      </c>
      <c r="CM55" s="368" t="n">
        <f aca="false">IF(87&lt;5,0,IF(MAX(CH38:CM38)&gt;CM43+6+$B$18,1,0))</f>
        <v>0</v>
      </c>
      <c r="CN55" s="368" t="n">
        <f aca="false">IF(88&lt;5,0,IF(MAX(CI38:CN38)&gt;CN43+6+$B$18,1,0))</f>
        <v>0</v>
      </c>
      <c r="CO55" s="368" t="n">
        <f aca="false">IF(89&lt;5,0,IF(MAX(CJ38:CO38)&gt;CO43+6+$B$18,1,0))</f>
        <v>0</v>
      </c>
      <c r="CP55" s="368" t="n">
        <f aca="false">IF(90&lt;5,0,IF(MAX(CK38:CP38)&gt;CP43+6+$B$18,1,0))</f>
        <v>0</v>
      </c>
      <c r="CQ55" s="368" t="n">
        <f aca="false">IF(91&lt;5,0,IF(MAX(CL38:CQ38)&gt;CQ43+6+$B$18,1,0))</f>
        <v>0</v>
      </c>
      <c r="CR55" s="368" t="n">
        <f aca="false">IF(92&lt;5,0,IF(MAX(CM38:CR38)&gt;CR43+6+$B$18,1,0))</f>
        <v>0</v>
      </c>
      <c r="CS55" s="368" t="n">
        <f aca="false">IF(93&lt;5,0,IF(MAX(CN38:CS38)&gt;CS43+6+$B$18,1,0))</f>
        <v>0</v>
      </c>
      <c r="CT55" s="368" t="n">
        <f aca="false">IF(94&lt;5,0,IF(MAX(CO38:CT38)&gt;CT43+6+$B$18,1,0))</f>
        <v>0</v>
      </c>
      <c r="CU55" s="368" t="n">
        <f aca="false">IF(95&lt;5,0,IF(MAX(CP38:CU38)&gt;CU43+6+$B$18,1,0))</f>
        <v>0</v>
      </c>
      <c r="CV55" s="368" t="n">
        <f aca="false">IF(96&lt;5,0,IF(MAX(CQ38:CV38)&gt;CV43+6+$B$18,1,0))</f>
        <v>0</v>
      </c>
      <c r="CW55" s="368" t="n">
        <f aca="false">IF(97&lt;5,0,IF(MAX(CR38:CW38)&gt;CW43+6+$B$18,1,0))</f>
        <v>0</v>
      </c>
      <c r="CX55" s="368" t="n">
        <f aca="false">IF(98&lt;5,0,IF(MAX(CS38:CX38)&gt;CX43+6+$B$18,1,0))</f>
        <v>0</v>
      </c>
      <c r="CY55" s="368" t="n">
        <f aca="false">IF(99&lt;5,0,IF(MAX(CT38:CY38)&gt;CY43+6+$B$18,1,0))</f>
        <v>0</v>
      </c>
      <c r="CZ55" s="368" t="n">
        <f aca="false">IF(100&lt;5,0,IF(MAX(CU38:CZ38)&gt;CZ43+6+$B$18,1,0))</f>
        <v>0</v>
      </c>
      <c r="DA55" s="368" t="n">
        <f aca="false">IF(101&lt;5,0,IF(MAX(CV38:DA38)&gt;DA43+6+$B$18,1,0))</f>
        <v>0</v>
      </c>
      <c r="DB55" s="368" t="n">
        <f aca="false">IF(102&lt;5,0,IF(MAX(CW38:DB38)&gt;DB43+6+$B$18,1,0))</f>
        <v>0</v>
      </c>
      <c r="DC55" s="368" t="n">
        <f aca="false">IF(103&lt;5,0,IF(MAX(CX38:DC38)&gt;DC43+6+$B$18,1,0))</f>
        <v>0</v>
      </c>
      <c r="DD55" s="368" t="n">
        <f aca="false">IF(104&lt;5,0,IF(MAX(CY38:DD38)&gt;DD43+6+$B$18,1,0))</f>
        <v>0</v>
      </c>
      <c r="DE55" s="368" t="n">
        <f aca="false">IF(105&lt;5,0,IF(MAX(CZ38:DE38)&gt;DE43+6+$B$18,1,0))</f>
        <v>0</v>
      </c>
    </row>
    <row r="56" customFormat="false" ht="13.5" hidden="false" customHeight="true" outlineLevel="0" collapsed="false">
      <c r="A56" s="109" t="s">
        <v>1224</v>
      </c>
      <c r="B56" s="225" t="n">
        <f aca="false">$B$27</f>
        <v>125000</v>
      </c>
      <c r="E56" s="368" t="n">
        <f aca="false">IF(1&lt;5,0,IF(MAX(E38)&gt;E43+7+$B$18,1,0))</f>
        <v>0</v>
      </c>
      <c r="F56" s="368" t="n">
        <f aca="false">IF(2&lt;5,0,IF(MAX(E38:F38)&gt;F43+7+$B$18,1,0))</f>
        <v>0</v>
      </c>
      <c r="G56" s="368" t="n">
        <f aca="false">IF(3&lt;5,0,IF(MAX(E38:G38)&gt;G43+7+$B$18,1,0))</f>
        <v>0</v>
      </c>
      <c r="H56" s="368" t="n">
        <f aca="false">IF(4&lt;5,0,IF(MAX(E38:H38)&gt;H43+7+$B$18,1,0))</f>
        <v>0</v>
      </c>
      <c r="I56" s="368" t="n">
        <f aca="false">IF(5&lt;5,0,IF(MAX(E38:I38)&gt;I43+7+$B$18,1,0))</f>
        <v>0</v>
      </c>
      <c r="J56" s="368" t="n">
        <f aca="false">IF(6&lt;5,0,IF(MAX(E38:J38)&gt;J43+7+$B$18,1,0))</f>
        <v>0</v>
      </c>
      <c r="K56" s="368" t="n">
        <f aca="false">IF(7&lt;5,0,IF(MAX(F38:K38)&gt;K43+7+$B$18,1,0))</f>
        <v>0</v>
      </c>
      <c r="L56" s="368" t="n">
        <f aca="false">IF(8&lt;5,0,IF(MAX(G38:L38)&gt;L43+7+$B$18,1,0))</f>
        <v>0</v>
      </c>
      <c r="M56" s="368" t="n">
        <f aca="false">IF(9&lt;5,0,IF(MAX(H38:M38)&gt;M43+7+$B$18,1,0))</f>
        <v>0</v>
      </c>
      <c r="N56" s="368" t="n">
        <f aca="false">IF(10&lt;5,0,IF(MAX(I38:N38)&gt;N43+7+$B$18,1,0))</f>
        <v>0</v>
      </c>
      <c r="O56" s="368" t="n">
        <f aca="false">IF(11&lt;5,0,IF(MAX(J38:O38)&gt;O43+7+$B$18,1,0))</f>
        <v>0</v>
      </c>
      <c r="P56" s="368" t="n">
        <f aca="false">IF(12&lt;5,0,IF(MAX(K38:P38)&gt;P43+7+$B$18,1,0))</f>
        <v>0</v>
      </c>
      <c r="Q56" s="368" t="n">
        <f aca="false">IF(13&lt;5,0,IF(MAX(L38:Q38)&gt;Q43+7+$B$18,1,0))</f>
        <v>0</v>
      </c>
      <c r="R56" s="368" t="n">
        <f aca="false">IF(14&lt;5,0,IF(MAX(M38:R38)&gt;R43+7+$B$18,1,0))</f>
        <v>0</v>
      </c>
      <c r="S56" s="368" t="n">
        <f aca="false">IF(15&lt;5,0,IF(MAX(N38:S38)&gt;S43+7+$B$18,1,0))</f>
        <v>0</v>
      </c>
      <c r="T56" s="368" t="n">
        <f aca="false">IF(16&lt;5,0,IF(MAX(O38:T38)&gt;T43+7+$B$18,1,0))</f>
        <v>0</v>
      </c>
      <c r="U56" s="368" t="n">
        <f aca="false">IF(17&lt;5,0,IF(MAX(P38:U38)&gt;U43+7+$B$18,1,0))</f>
        <v>0</v>
      </c>
      <c r="V56" s="368" t="n">
        <f aca="false">IF(18&lt;5,0,IF(MAX(Q38:V38)&gt;V43+7+$B$18,1,0))</f>
        <v>0</v>
      </c>
      <c r="W56" s="368" t="n">
        <f aca="false">IF(19&lt;5,0,IF(MAX(R38:W38)&gt;W43+7+$B$18,1,0))</f>
        <v>0</v>
      </c>
      <c r="X56" s="368" t="n">
        <f aca="false">IF(20&lt;5,0,IF(MAX(S38:X38)&gt;X43+7+$B$18,1,0))</f>
        <v>0</v>
      </c>
      <c r="Y56" s="368" t="n">
        <f aca="false">IF(21&lt;5,0,IF(MAX(T38:Y38)&gt;Y43+7+$B$18,1,0))</f>
        <v>0</v>
      </c>
      <c r="Z56" s="368" t="n">
        <f aca="false">IF(22&lt;5,0,IF(MAX(U38:Z38)&gt;Z43+7+$B$18,1,0))</f>
        <v>0</v>
      </c>
      <c r="AA56" s="368" t="n">
        <f aca="false">IF(23&lt;5,0,IF(MAX(V38:AA38)&gt;AA43+7+$B$18,1,0))</f>
        <v>0</v>
      </c>
      <c r="AB56" s="368" t="n">
        <f aca="false">IF(24&lt;5,0,IF(MAX(W38:AB38)&gt;AB43+7+$B$18,1,0))</f>
        <v>0</v>
      </c>
      <c r="AC56" s="368" t="n">
        <f aca="false">IF(25&lt;5,0,IF(MAX(X38:AC38)&gt;AC43+7+$B$18,1,0))</f>
        <v>0</v>
      </c>
      <c r="AD56" s="368" t="n">
        <f aca="false">IF(26&lt;5,0,IF(MAX(Y38:AD38)&gt;AD43+7+$B$18,1,0))</f>
        <v>0</v>
      </c>
      <c r="AE56" s="368" t="n">
        <f aca="false">IF(27&lt;5,0,IF(MAX(Z38:AE38)&gt;AE43+7+$B$18,1,0))</f>
        <v>0</v>
      </c>
      <c r="AF56" s="368" t="n">
        <f aca="false">IF(28&lt;5,0,IF(MAX(AA38:AF38)&gt;AF43+7+$B$18,1,0))</f>
        <v>0</v>
      </c>
      <c r="AG56" s="368" t="n">
        <f aca="false">IF(29&lt;5,0,IF(MAX(AB38:AG38)&gt;AG43+7+$B$18,1,0))</f>
        <v>0</v>
      </c>
      <c r="AH56" s="368" t="n">
        <f aca="false">IF(30&lt;5,0,IF(MAX(AC38:AH38)&gt;AH43+7+$B$18,1,0))</f>
        <v>0</v>
      </c>
      <c r="AI56" s="368" t="n">
        <f aca="false">IF(31&lt;5,0,IF(MAX(AD38:AI38)&gt;AI43+7+$B$18,1,0))</f>
        <v>0</v>
      </c>
      <c r="AJ56" s="368" t="n">
        <f aca="false">IF(32&lt;5,0,IF(MAX(AE38:AJ38)&gt;AJ43+7+$B$18,1,0))</f>
        <v>0</v>
      </c>
      <c r="AK56" s="368" t="n">
        <f aca="false">IF(33&lt;5,0,IF(MAX(AF38:AK38)&gt;AK43+7+$B$18,1,0))</f>
        <v>0</v>
      </c>
      <c r="AL56" s="368" t="n">
        <f aca="false">IF(34&lt;5,0,IF(MAX(AG38:AL38)&gt;AL43+7+$B$18,1,0))</f>
        <v>0</v>
      </c>
      <c r="AM56" s="368" t="n">
        <f aca="false">IF(35&lt;5,0,IF(MAX(AH38:AM38)&gt;AM43+7+$B$18,1,0))</f>
        <v>0</v>
      </c>
      <c r="AN56" s="368" t="n">
        <f aca="false">IF(36&lt;5,0,IF(MAX(AI38:AN38)&gt;AN43+7+$B$18,1,0))</f>
        <v>0</v>
      </c>
      <c r="AO56" s="368" t="n">
        <f aca="false">IF(37&lt;5,0,IF(MAX(AJ38:AO38)&gt;AO43+7+$B$18,1,0))</f>
        <v>0</v>
      </c>
      <c r="AP56" s="368" t="n">
        <f aca="false">IF(38&lt;5,0,IF(MAX(AK38:AP38)&gt;AP43+7+$B$18,1,0))</f>
        <v>0</v>
      </c>
      <c r="AQ56" s="368" t="n">
        <f aca="false">IF(39&lt;5,0,IF(MAX(AL38:AQ38)&gt;AQ43+7+$B$18,1,0))</f>
        <v>0</v>
      </c>
      <c r="AR56" s="368" t="n">
        <f aca="false">IF(40&lt;5,0,IF(MAX(AM38:AR38)&gt;AR43+7+$B$18,1,0))</f>
        <v>0</v>
      </c>
      <c r="AS56" s="368" t="n">
        <f aca="false">IF(41&lt;5,0,IF(MAX(AN38:AS38)&gt;AS43+7+$B$18,1,0))</f>
        <v>0</v>
      </c>
      <c r="AT56" s="368" t="n">
        <f aca="false">IF(42&lt;5,0,IF(MAX(AO38:AT38)&gt;AT43+7+$B$18,1,0))</f>
        <v>0</v>
      </c>
      <c r="AU56" s="368" t="n">
        <f aca="false">IF(43&lt;5,0,IF(MAX(AP38:AU38)&gt;AU43+7+$B$18,1,0))</f>
        <v>0</v>
      </c>
      <c r="AV56" s="368" t="n">
        <f aca="false">IF(44&lt;5,0,IF(MAX(AQ38:AV38)&gt;AV43+7+$B$18,1,0))</f>
        <v>0</v>
      </c>
      <c r="AW56" s="368" t="n">
        <f aca="false">IF(45&lt;5,0,IF(MAX(AR38:AW38)&gt;AW43+7+$B$18,1,0))</f>
        <v>0</v>
      </c>
      <c r="AX56" s="368" t="n">
        <f aca="false">IF(46&lt;5,0,IF(MAX(AS38:AX38)&gt;AX43+7+$B$18,1,0))</f>
        <v>0</v>
      </c>
      <c r="AY56" s="368" t="n">
        <f aca="false">IF(47&lt;5,0,IF(MAX(AT38:AY38)&gt;AY43+7+$B$18,1,0))</f>
        <v>0</v>
      </c>
      <c r="AZ56" s="368" t="n">
        <f aca="false">IF(48&lt;5,0,IF(MAX(AU38:AZ38)&gt;AZ43+7+$B$18,1,0))</f>
        <v>0</v>
      </c>
      <c r="BA56" s="368" t="n">
        <f aca="false">IF(49&lt;5,0,IF(MAX(AV38:BA38)&gt;BA43+7+$B$18,1,0))</f>
        <v>0</v>
      </c>
      <c r="BB56" s="368" t="n">
        <f aca="false">IF(50&lt;5,0,IF(MAX(AW38:BB38)&gt;BB43+7+$B$18,1,0))</f>
        <v>0</v>
      </c>
      <c r="BC56" s="368" t="n">
        <f aca="false">IF(51&lt;5,0,IF(MAX(AX38:BC38)&gt;BC43+7+$B$18,1,0))</f>
        <v>0</v>
      </c>
      <c r="BD56" s="368" t="n">
        <f aca="false">IF(52&lt;5,0,IF(MAX(AY38:BD38)&gt;BD43+7+$B$18,1,0))</f>
        <v>0</v>
      </c>
      <c r="BE56" s="368" t="n">
        <f aca="false">IF(53&lt;5,0,IF(MAX(AZ38:BE38)&gt;BE43+7+$B$18,1,0))</f>
        <v>0</v>
      </c>
      <c r="BF56" s="368" t="n">
        <f aca="false">IF(54&lt;5,0,IF(MAX(BA38:BF38)&gt;BF43+7+$B$18,1,0))</f>
        <v>0</v>
      </c>
      <c r="BG56" s="368" t="n">
        <f aca="false">IF(55&lt;5,0,IF(MAX(BB38:BG38)&gt;BG43+7+$B$18,1,0))</f>
        <v>0</v>
      </c>
      <c r="BH56" s="368" t="n">
        <f aca="false">IF(56&lt;5,0,IF(MAX(BC38:BH38)&gt;BH43+7+$B$18,1,0))</f>
        <v>0</v>
      </c>
      <c r="BI56" s="368" t="n">
        <f aca="false">IF(57&lt;5,0,IF(MAX(BD38:BI38)&gt;BI43+7+$B$18,1,0))</f>
        <v>0</v>
      </c>
      <c r="BJ56" s="368" t="n">
        <f aca="false">IF(58&lt;5,0,IF(MAX(BE38:BJ38)&gt;BJ43+7+$B$18,1,0))</f>
        <v>0</v>
      </c>
      <c r="BK56" s="368" t="n">
        <f aca="false">IF(59&lt;5,0,IF(MAX(BF38:BK38)&gt;BK43+7+$B$18,1,0))</f>
        <v>0</v>
      </c>
      <c r="BL56" s="368" t="n">
        <f aca="false">IF(60&lt;5,0,IF(MAX(BG38:BL38)&gt;BL43+7+$B$18,1,0))</f>
        <v>0</v>
      </c>
      <c r="BM56" s="368" t="n">
        <f aca="false">IF(61&lt;5,0,IF(MAX(BH38:BM38)&gt;BM43+7+$B$18,1,0))</f>
        <v>0</v>
      </c>
      <c r="BN56" s="368" t="n">
        <f aca="false">IF(62&lt;5,0,IF(MAX(BI38:BN38)&gt;BN43+7+$B$18,1,0))</f>
        <v>0</v>
      </c>
      <c r="BO56" s="368" t="n">
        <f aca="false">IF(63&lt;5,0,IF(MAX(BJ38:BO38)&gt;BO43+7+$B$18,1,0))</f>
        <v>0</v>
      </c>
      <c r="BP56" s="368" t="n">
        <f aca="false">IF(64&lt;5,0,IF(MAX(BK38:BP38)&gt;BP43+7+$B$18,1,0))</f>
        <v>0</v>
      </c>
      <c r="BQ56" s="368" t="n">
        <f aca="false">IF(65&lt;5,0,IF(MAX(BL38:BQ38)&gt;BQ43+7+$B$18,1,0))</f>
        <v>0</v>
      </c>
      <c r="BR56" s="368" t="n">
        <f aca="false">IF(66&lt;5,0,IF(MAX(BM38:BR38)&gt;BR43+7+$B$18,1,0))</f>
        <v>0</v>
      </c>
      <c r="BS56" s="368" t="n">
        <f aca="false">IF(67&lt;5,0,IF(MAX(BN38:BS38)&gt;BS43+7+$B$18,1,0))</f>
        <v>0</v>
      </c>
      <c r="BT56" s="368" t="n">
        <f aca="false">IF(68&lt;5,0,IF(MAX(BO38:BT38)&gt;BT43+7+$B$18,1,0))</f>
        <v>0</v>
      </c>
      <c r="BU56" s="368" t="n">
        <f aca="false">IF(69&lt;5,0,IF(MAX(BP38:BU38)&gt;BU43+7+$B$18,1,0))</f>
        <v>0</v>
      </c>
      <c r="BV56" s="368" t="n">
        <f aca="false">IF(70&lt;5,0,IF(MAX(BQ38:BV38)&gt;BV43+7+$B$18,1,0))</f>
        <v>0</v>
      </c>
      <c r="BW56" s="368" t="n">
        <f aca="false">IF(71&lt;5,0,IF(MAX(BR38:BW38)&gt;BW43+7+$B$18,1,0))</f>
        <v>0</v>
      </c>
      <c r="BX56" s="368" t="n">
        <f aca="false">IF(72&lt;5,0,IF(MAX(BS38:BX38)&gt;BX43+7+$B$18,1,0))</f>
        <v>0</v>
      </c>
      <c r="BY56" s="368" t="n">
        <f aca="false">IF(73&lt;5,0,IF(MAX(BT38:BY38)&gt;BY43+7+$B$18,1,0))</f>
        <v>0</v>
      </c>
      <c r="BZ56" s="368" t="n">
        <f aca="false">IF(74&lt;5,0,IF(MAX(BU38:BZ38)&gt;BZ43+7+$B$18,1,0))</f>
        <v>0</v>
      </c>
      <c r="CA56" s="368" t="n">
        <f aca="false">IF(75&lt;5,0,IF(MAX(BV38:CA38)&gt;CA43+7+$B$18,1,0))</f>
        <v>0</v>
      </c>
      <c r="CB56" s="368" t="n">
        <f aca="false">IF(76&lt;5,0,IF(MAX(BW38:CB38)&gt;CB43+7+$B$18,1,0))</f>
        <v>0</v>
      </c>
      <c r="CC56" s="368" t="n">
        <f aca="false">IF(77&lt;5,0,IF(MAX(BX38:CC38)&gt;CC43+7+$B$18,1,0))</f>
        <v>0</v>
      </c>
      <c r="CD56" s="368" t="n">
        <f aca="false">IF(78&lt;5,0,IF(MAX(BY38:CD38)&gt;CD43+7+$B$18,1,0))</f>
        <v>0</v>
      </c>
      <c r="CE56" s="368" t="n">
        <f aca="false">IF(79&lt;5,0,IF(MAX(BZ38:CE38)&gt;CE43+7+$B$18,1,0))</f>
        <v>0</v>
      </c>
      <c r="CF56" s="368" t="n">
        <f aca="false">IF(80&lt;5,0,IF(MAX(CA38:CF38)&gt;CF43+7+$B$18,1,0))</f>
        <v>0</v>
      </c>
      <c r="CG56" s="368" t="n">
        <f aca="false">IF(81&lt;5,0,IF(MAX(CB38:CG38)&gt;CG43+7+$B$18,1,0))</f>
        <v>0</v>
      </c>
      <c r="CH56" s="368" t="n">
        <f aca="false">IF(82&lt;5,0,IF(MAX(CC38:CH38)&gt;CH43+7+$B$18,1,0))</f>
        <v>0</v>
      </c>
      <c r="CI56" s="368" t="n">
        <f aca="false">IF(83&lt;5,0,IF(MAX(CD38:CI38)&gt;CI43+7+$B$18,1,0))</f>
        <v>0</v>
      </c>
      <c r="CJ56" s="368" t="n">
        <f aca="false">IF(84&lt;5,0,IF(MAX(CE38:CJ38)&gt;CJ43+7+$B$18,1,0))</f>
        <v>0</v>
      </c>
      <c r="CK56" s="368" t="n">
        <f aca="false">IF(85&lt;5,0,IF(MAX(CF38:CK38)&gt;CK43+7+$B$18,1,0))</f>
        <v>0</v>
      </c>
      <c r="CL56" s="368" t="n">
        <f aca="false">IF(86&lt;5,0,IF(MAX(CG38:CL38)&gt;CL43+7+$B$18,1,0))</f>
        <v>0</v>
      </c>
      <c r="CM56" s="368" t="n">
        <f aca="false">IF(87&lt;5,0,IF(MAX(CH38:CM38)&gt;CM43+7+$B$18,1,0))</f>
        <v>0</v>
      </c>
      <c r="CN56" s="368" t="n">
        <f aca="false">IF(88&lt;5,0,IF(MAX(CI38:CN38)&gt;CN43+7+$B$18,1,0))</f>
        <v>0</v>
      </c>
      <c r="CO56" s="368" t="n">
        <f aca="false">IF(89&lt;5,0,IF(MAX(CJ38:CO38)&gt;CO43+7+$B$18,1,0))</f>
        <v>0</v>
      </c>
      <c r="CP56" s="368" t="n">
        <f aca="false">IF(90&lt;5,0,IF(MAX(CK38:CP38)&gt;CP43+7+$B$18,1,0))</f>
        <v>0</v>
      </c>
      <c r="CQ56" s="368" t="n">
        <f aca="false">IF(91&lt;5,0,IF(MAX(CL38:CQ38)&gt;CQ43+7+$B$18,1,0))</f>
        <v>0</v>
      </c>
      <c r="CR56" s="368" t="n">
        <f aca="false">IF(92&lt;5,0,IF(MAX(CM38:CR38)&gt;CR43+7+$B$18,1,0))</f>
        <v>0</v>
      </c>
      <c r="CS56" s="368" t="n">
        <f aca="false">IF(93&lt;5,0,IF(MAX(CN38:CS38)&gt;CS43+7+$B$18,1,0))</f>
        <v>0</v>
      </c>
      <c r="CT56" s="368" t="n">
        <f aca="false">IF(94&lt;5,0,IF(MAX(CO38:CT38)&gt;CT43+7+$B$18,1,0))</f>
        <v>0</v>
      </c>
      <c r="CU56" s="368" t="n">
        <f aca="false">IF(95&lt;5,0,IF(MAX(CP38:CU38)&gt;CU43+7+$B$18,1,0))</f>
        <v>0</v>
      </c>
      <c r="CV56" s="368" t="n">
        <f aca="false">IF(96&lt;5,0,IF(MAX(CQ38:CV38)&gt;CV43+7+$B$18,1,0))</f>
        <v>0</v>
      </c>
      <c r="CW56" s="368" t="n">
        <f aca="false">IF(97&lt;5,0,IF(MAX(CR38:CW38)&gt;CW43+7+$B$18,1,0))</f>
        <v>0</v>
      </c>
      <c r="CX56" s="368" t="n">
        <f aca="false">IF(98&lt;5,0,IF(MAX(CS38:CX38)&gt;CX43+7+$B$18,1,0))</f>
        <v>0</v>
      </c>
      <c r="CY56" s="368" t="n">
        <f aca="false">IF(99&lt;5,0,IF(MAX(CT38:CY38)&gt;CY43+7+$B$18,1,0))</f>
        <v>0</v>
      </c>
      <c r="CZ56" s="368" t="n">
        <f aca="false">IF(100&lt;5,0,IF(MAX(CU38:CZ38)&gt;CZ43+7+$B$18,1,0))</f>
        <v>0</v>
      </c>
      <c r="DA56" s="368" t="n">
        <f aca="false">IF(101&lt;5,0,IF(MAX(CV38:DA38)&gt;DA43+7+$B$18,1,0))</f>
        <v>0</v>
      </c>
      <c r="DB56" s="368" t="n">
        <f aca="false">IF(102&lt;5,0,IF(MAX(CW38:DB38)&gt;DB43+7+$B$18,1,0))</f>
        <v>0</v>
      </c>
      <c r="DC56" s="368" t="n">
        <f aca="false">IF(103&lt;5,0,IF(MAX(CX38:DC38)&gt;DC43+7+$B$18,1,0))</f>
        <v>0</v>
      </c>
      <c r="DD56" s="368" t="n">
        <f aca="false">IF(104&lt;5,0,IF(MAX(CY38:DD38)&gt;DD43+7+$B$18,1,0))</f>
        <v>0</v>
      </c>
      <c r="DE56" s="368" t="n">
        <f aca="false">IF(105&lt;5,0,IF(MAX(CZ38:DE38)&gt;DE43+7+$B$18,1,0))</f>
        <v>0</v>
      </c>
    </row>
    <row r="57" customFormat="false" ht="13.5" hidden="false" customHeight="true" outlineLevel="0" collapsed="false">
      <c r="A57" s="109" t="s">
        <v>1225</v>
      </c>
      <c r="B57" s="225" t="n">
        <f aca="false">$B$27</f>
        <v>125000</v>
      </c>
      <c r="E57" s="368" t="n">
        <f aca="false">IF(1&lt;5,0,IF(MAX(E38)&gt;E43+8+$B$18,1,0))</f>
        <v>0</v>
      </c>
      <c r="F57" s="368" t="n">
        <f aca="false">IF(2&lt;5,0,IF(MAX(E38:F38)&gt;F43+8+$B$18,1,0))</f>
        <v>0</v>
      </c>
      <c r="G57" s="368" t="n">
        <f aca="false">IF(3&lt;5,0,IF(MAX(E38:G38)&gt;G43+8+$B$18,1,0))</f>
        <v>0</v>
      </c>
      <c r="H57" s="368" t="n">
        <f aca="false">IF(4&lt;5,0,IF(MAX(E38:H38)&gt;H43+8+$B$18,1,0))</f>
        <v>0</v>
      </c>
      <c r="I57" s="368" t="n">
        <f aca="false">IF(5&lt;5,0,IF(MAX(E38:I38)&gt;I43+8+$B$18,1,0))</f>
        <v>0</v>
      </c>
      <c r="J57" s="368" t="n">
        <f aca="false">IF(6&lt;5,0,IF(MAX(E38:J38)&gt;J43+8+$B$18,1,0))</f>
        <v>0</v>
      </c>
      <c r="K57" s="368" t="n">
        <f aca="false">IF(7&lt;5,0,IF(MAX(F38:K38)&gt;K43+8+$B$18,1,0))</f>
        <v>0</v>
      </c>
      <c r="L57" s="368" t="n">
        <f aca="false">IF(8&lt;5,0,IF(MAX(G38:L38)&gt;L43+8+$B$18,1,0))</f>
        <v>0</v>
      </c>
      <c r="M57" s="368" t="n">
        <f aca="false">IF(9&lt;5,0,IF(MAX(H38:M38)&gt;M43+8+$B$18,1,0))</f>
        <v>0</v>
      </c>
      <c r="N57" s="368" t="n">
        <f aca="false">IF(10&lt;5,0,IF(MAX(I38:N38)&gt;N43+8+$B$18,1,0))</f>
        <v>0</v>
      </c>
      <c r="O57" s="368" t="n">
        <f aca="false">IF(11&lt;5,0,IF(MAX(J38:O38)&gt;O43+8+$B$18,1,0))</f>
        <v>0</v>
      </c>
      <c r="P57" s="368" t="n">
        <f aca="false">IF(12&lt;5,0,IF(MAX(K38:P38)&gt;P43+8+$B$18,1,0))</f>
        <v>0</v>
      </c>
      <c r="Q57" s="368" t="n">
        <f aca="false">IF(13&lt;5,0,IF(MAX(L38:Q38)&gt;Q43+8+$B$18,1,0))</f>
        <v>0</v>
      </c>
      <c r="R57" s="368" t="n">
        <f aca="false">IF(14&lt;5,0,IF(MAX(M38:R38)&gt;R43+8+$B$18,1,0))</f>
        <v>0</v>
      </c>
      <c r="S57" s="368" t="n">
        <f aca="false">IF(15&lt;5,0,IF(MAX(N38:S38)&gt;S43+8+$B$18,1,0))</f>
        <v>0</v>
      </c>
      <c r="T57" s="368" t="n">
        <f aca="false">IF(16&lt;5,0,IF(MAX(O38:T38)&gt;T43+8+$B$18,1,0))</f>
        <v>0</v>
      </c>
      <c r="U57" s="368" t="n">
        <f aca="false">IF(17&lt;5,0,IF(MAX(P38:U38)&gt;U43+8+$B$18,1,0))</f>
        <v>0</v>
      </c>
      <c r="V57" s="368" t="n">
        <f aca="false">IF(18&lt;5,0,IF(MAX(Q38:V38)&gt;V43+8+$B$18,1,0))</f>
        <v>0</v>
      </c>
      <c r="W57" s="368" t="n">
        <f aca="false">IF(19&lt;5,0,IF(MAX(R38:W38)&gt;W43+8+$B$18,1,0))</f>
        <v>0</v>
      </c>
      <c r="X57" s="368" t="n">
        <f aca="false">IF(20&lt;5,0,IF(MAX(S38:X38)&gt;X43+8+$B$18,1,0))</f>
        <v>0</v>
      </c>
      <c r="Y57" s="368" t="n">
        <f aca="false">IF(21&lt;5,0,IF(MAX(T38:Y38)&gt;Y43+8+$B$18,1,0))</f>
        <v>0</v>
      </c>
      <c r="Z57" s="368" t="n">
        <f aca="false">IF(22&lt;5,0,IF(MAX(U38:Z38)&gt;Z43+8+$B$18,1,0))</f>
        <v>0</v>
      </c>
      <c r="AA57" s="368" t="n">
        <f aca="false">IF(23&lt;5,0,IF(MAX(V38:AA38)&gt;AA43+8+$B$18,1,0))</f>
        <v>0</v>
      </c>
      <c r="AB57" s="368" t="n">
        <f aca="false">IF(24&lt;5,0,IF(MAX(W38:AB38)&gt;AB43+8+$B$18,1,0))</f>
        <v>0</v>
      </c>
      <c r="AC57" s="368" t="n">
        <f aca="false">IF(25&lt;5,0,IF(MAX(X38:AC38)&gt;AC43+8+$B$18,1,0))</f>
        <v>0</v>
      </c>
      <c r="AD57" s="368" t="n">
        <f aca="false">IF(26&lt;5,0,IF(MAX(Y38:AD38)&gt;AD43+8+$B$18,1,0))</f>
        <v>0</v>
      </c>
      <c r="AE57" s="368" t="n">
        <f aca="false">IF(27&lt;5,0,IF(MAX(Z38:AE38)&gt;AE43+8+$B$18,1,0))</f>
        <v>0</v>
      </c>
      <c r="AF57" s="368" t="n">
        <f aca="false">IF(28&lt;5,0,IF(MAX(AA38:AF38)&gt;AF43+8+$B$18,1,0))</f>
        <v>0</v>
      </c>
      <c r="AG57" s="368" t="n">
        <f aca="false">IF(29&lt;5,0,IF(MAX(AB38:AG38)&gt;AG43+8+$B$18,1,0))</f>
        <v>0</v>
      </c>
      <c r="AH57" s="368" t="n">
        <f aca="false">IF(30&lt;5,0,IF(MAX(AC38:AH38)&gt;AH43+8+$B$18,1,0))</f>
        <v>0</v>
      </c>
      <c r="AI57" s="368" t="n">
        <f aca="false">IF(31&lt;5,0,IF(MAX(AD38:AI38)&gt;AI43+8+$B$18,1,0))</f>
        <v>0</v>
      </c>
      <c r="AJ57" s="368" t="n">
        <f aca="false">IF(32&lt;5,0,IF(MAX(AE38:AJ38)&gt;AJ43+8+$B$18,1,0))</f>
        <v>0</v>
      </c>
      <c r="AK57" s="368" t="n">
        <f aca="false">IF(33&lt;5,0,IF(MAX(AF38:AK38)&gt;AK43+8+$B$18,1,0))</f>
        <v>0</v>
      </c>
      <c r="AL57" s="368" t="n">
        <f aca="false">IF(34&lt;5,0,IF(MAX(AG38:AL38)&gt;AL43+8+$B$18,1,0))</f>
        <v>0</v>
      </c>
      <c r="AM57" s="368" t="n">
        <f aca="false">IF(35&lt;5,0,IF(MAX(AH38:AM38)&gt;AM43+8+$B$18,1,0))</f>
        <v>0</v>
      </c>
      <c r="AN57" s="368" t="n">
        <f aca="false">IF(36&lt;5,0,IF(MAX(AI38:AN38)&gt;AN43+8+$B$18,1,0))</f>
        <v>0</v>
      </c>
      <c r="AO57" s="368" t="n">
        <f aca="false">IF(37&lt;5,0,IF(MAX(AJ38:AO38)&gt;AO43+8+$B$18,1,0))</f>
        <v>0</v>
      </c>
      <c r="AP57" s="368" t="n">
        <f aca="false">IF(38&lt;5,0,IF(MAX(AK38:AP38)&gt;AP43+8+$B$18,1,0))</f>
        <v>0</v>
      </c>
      <c r="AQ57" s="368" t="n">
        <f aca="false">IF(39&lt;5,0,IF(MAX(AL38:AQ38)&gt;AQ43+8+$B$18,1,0))</f>
        <v>0</v>
      </c>
      <c r="AR57" s="368" t="n">
        <f aca="false">IF(40&lt;5,0,IF(MAX(AM38:AR38)&gt;AR43+8+$B$18,1,0))</f>
        <v>0</v>
      </c>
      <c r="AS57" s="368" t="n">
        <f aca="false">IF(41&lt;5,0,IF(MAX(AN38:AS38)&gt;AS43+8+$B$18,1,0))</f>
        <v>0</v>
      </c>
      <c r="AT57" s="368" t="n">
        <f aca="false">IF(42&lt;5,0,IF(MAX(AO38:AT38)&gt;AT43+8+$B$18,1,0))</f>
        <v>0</v>
      </c>
      <c r="AU57" s="368" t="n">
        <f aca="false">IF(43&lt;5,0,IF(MAX(AP38:AU38)&gt;AU43+8+$B$18,1,0))</f>
        <v>0</v>
      </c>
      <c r="AV57" s="368" t="n">
        <f aca="false">IF(44&lt;5,0,IF(MAX(AQ38:AV38)&gt;AV43+8+$B$18,1,0))</f>
        <v>0</v>
      </c>
      <c r="AW57" s="368" t="n">
        <f aca="false">IF(45&lt;5,0,IF(MAX(AR38:AW38)&gt;AW43+8+$B$18,1,0))</f>
        <v>0</v>
      </c>
      <c r="AX57" s="368" t="n">
        <f aca="false">IF(46&lt;5,0,IF(MAX(AS38:AX38)&gt;AX43+8+$B$18,1,0))</f>
        <v>0</v>
      </c>
      <c r="AY57" s="368" t="n">
        <f aca="false">IF(47&lt;5,0,IF(MAX(AT38:AY38)&gt;AY43+8+$B$18,1,0))</f>
        <v>0</v>
      </c>
      <c r="AZ57" s="368" t="n">
        <f aca="false">IF(48&lt;5,0,IF(MAX(AU38:AZ38)&gt;AZ43+8+$B$18,1,0))</f>
        <v>0</v>
      </c>
      <c r="BA57" s="368" t="n">
        <f aca="false">IF(49&lt;5,0,IF(MAX(AV38:BA38)&gt;BA43+8+$B$18,1,0))</f>
        <v>0</v>
      </c>
      <c r="BB57" s="368" t="n">
        <f aca="false">IF(50&lt;5,0,IF(MAX(AW38:BB38)&gt;BB43+8+$B$18,1,0))</f>
        <v>0</v>
      </c>
      <c r="BC57" s="368" t="n">
        <f aca="false">IF(51&lt;5,0,IF(MAX(AX38:BC38)&gt;BC43+8+$B$18,1,0))</f>
        <v>0</v>
      </c>
      <c r="BD57" s="368" t="n">
        <f aca="false">IF(52&lt;5,0,IF(MAX(AY38:BD38)&gt;BD43+8+$B$18,1,0))</f>
        <v>0</v>
      </c>
      <c r="BE57" s="368" t="n">
        <f aca="false">IF(53&lt;5,0,IF(MAX(AZ38:BE38)&gt;BE43+8+$B$18,1,0))</f>
        <v>0</v>
      </c>
      <c r="BF57" s="368" t="n">
        <f aca="false">IF(54&lt;5,0,IF(MAX(BA38:BF38)&gt;BF43+8+$B$18,1,0))</f>
        <v>0</v>
      </c>
      <c r="BG57" s="368" t="n">
        <f aca="false">IF(55&lt;5,0,IF(MAX(BB38:BG38)&gt;BG43+8+$B$18,1,0))</f>
        <v>0</v>
      </c>
      <c r="BH57" s="368" t="n">
        <f aca="false">IF(56&lt;5,0,IF(MAX(BC38:BH38)&gt;BH43+8+$B$18,1,0))</f>
        <v>0</v>
      </c>
      <c r="BI57" s="368" t="n">
        <f aca="false">IF(57&lt;5,0,IF(MAX(BD38:BI38)&gt;BI43+8+$B$18,1,0))</f>
        <v>0</v>
      </c>
      <c r="BJ57" s="368" t="n">
        <f aca="false">IF(58&lt;5,0,IF(MAX(BE38:BJ38)&gt;BJ43+8+$B$18,1,0))</f>
        <v>0</v>
      </c>
      <c r="BK57" s="368" t="n">
        <f aca="false">IF(59&lt;5,0,IF(MAX(BF38:BK38)&gt;BK43+8+$B$18,1,0))</f>
        <v>0</v>
      </c>
      <c r="BL57" s="368" t="n">
        <f aca="false">IF(60&lt;5,0,IF(MAX(BG38:BL38)&gt;BL43+8+$B$18,1,0))</f>
        <v>0</v>
      </c>
      <c r="BM57" s="368" t="n">
        <f aca="false">IF(61&lt;5,0,IF(MAX(BH38:BM38)&gt;BM43+8+$B$18,1,0))</f>
        <v>0</v>
      </c>
      <c r="BN57" s="368" t="n">
        <f aca="false">IF(62&lt;5,0,IF(MAX(BI38:BN38)&gt;BN43+8+$B$18,1,0))</f>
        <v>0</v>
      </c>
      <c r="BO57" s="368" t="n">
        <f aca="false">IF(63&lt;5,0,IF(MAX(BJ38:BO38)&gt;BO43+8+$B$18,1,0))</f>
        <v>0</v>
      </c>
      <c r="BP57" s="368" t="n">
        <f aca="false">IF(64&lt;5,0,IF(MAX(BK38:BP38)&gt;BP43+8+$B$18,1,0))</f>
        <v>0</v>
      </c>
      <c r="BQ57" s="368" t="n">
        <f aca="false">IF(65&lt;5,0,IF(MAX(BL38:BQ38)&gt;BQ43+8+$B$18,1,0))</f>
        <v>0</v>
      </c>
      <c r="BR57" s="368" t="n">
        <f aca="false">IF(66&lt;5,0,IF(MAX(BM38:BR38)&gt;BR43+8+$B$18,1,0))</f>
        <v>0</v>
      </c>
      <c r="BS57" s="368" t="n">
        <f aca="false">IF(67&lt;5,0,IF(MAX(BN38:BS38)&gt;BS43+8+$B$18,1,0))</f>
        <v>0</v>
      </c>
      <c r="BT57" s="368" t="n">
        <f aca="false">IF(68&lt;5,0,IF(MAX(BO38:BT38)&gt;BT43+8+$B$18,1,0))</f>
        <v>0</v>
      </c>
      <c r="BU57" s="368" t="n">
        <f aca="false">IF(69&lt;5,0,IF(MAX(BP38:BU38)&gt;BU43+8+$B$18,1,0))</f>
        <v>0</v>
      </c>
      <c r="BV57" s="368" t="n">
        <f aca="false">IF(70&lt;5,0,IF(MAX(BQ38:BV38)&gt;BV43+8+$B$18,1,0))</f>
        <v>0</v>
      </c>
      <c r="BW57" s="368" t="n">
        <f aca="false">IF(71&lt;5,0,IF(MAX(BR38:BW38)&gt;BW43+8+$B$18,1,0))</f>
        <v>0</v>
      </c>
      <c r="BX57" s="368" t="n">
        <f aca="false">IF(72&lt;5,0,IF(MAX(BS38:BX38)&gt;BX43+8+$B$18,1,0))</f>
        <v>0</v>
      </c>
      <c r="BY57" s="368" t="n">
        <f aca="false">IF(73&lt;5,0,IF(MAX(BT38:BY38)&gt;BY43+8+$B$18,1,0))</f>
        <v>0</v>
      </c>
      <c r="BZ57" s="368" t="n">
        <f aca="false">IF(74&lt;5,0,IF(MAX(BU38:BZ38)&gt;BZ43+8+$B$18,1,0))</f>
        <v>0</v>
      </c>
      <c r="CA57" s="368" t="n">
        <f aca="false">IF(75&lt;5,0,IF(MAX(BV38:CA38)&gt;CA43+8+$B$18,1,0))</f>
        <v>0</v>
      </c>
      <c r="CB57" s="368" t="n">
        <f aca="false">IF(76&lt;5,0,IF(MAX(BW38:CB38)&gt;CB43+8+$B$18,1,0))</f>
        <v>0</v>
      </c>
      <c r="CC57" s="368" t="n">
        <f aca="false">IF(77&lt;5,0,IF(MAX(BX38:CC38)&gt;CC43+8+$B$18,1,0))</f>
        <v>0</v>
      </c>
      <c r="CD57" s="368" t="n">
        <f aca="false">IF(78&lt;5,0,IF(MAX(BY38:CD38)&gt;CD43+8+$B$18,1,0))</f>
        <v>0</v>
      </c>
      <c r="CE57" s="368" t="n">
        <f aca="false">IF(79&lt;5,0,IF(MAX(BZ38:CE38)&gt;CE43+8+$B$18,1,0))</f>
        <v>0</v>
      </c>
      <c r="CF57" s="368" t="n">
        <f aca="false">IF(80&lt;5,0,IF(MAX(CA38:CF38)&gt;CF43+8+$B$18,1,0))</f>
        <v>0</v>
      </c>
      <c r="CG57" s="368" t="n">
        <f aca="false">IF(81&lt;5,0,IF(MAX(CB38:CG38)&gt;CG43+8+$B$18,1,0))</f>
        <v>0</v>
      </c>
      <c r="CH57" s="368" t="n">
        <f aca="false">IF(82&lt;5,0,IF(MAX(CC38:CH38)&gt;CH43+8+$B$18,1,0))</f>
        <v>0</v>
      </c>
      <c r="CI57" s="368" t="n">
        <f aca="false">IF(83&lt;5,0,IF(MAX(CD38:CI38)&gt;CI43+8+$B$18,1,0))</f>
        <v>0</v>
      </c>
      <c r="CJ57" s="368" t="n">
        <f aca="false">IF(84&lt;5,0,IF(MAX(CE38:CJ38)&gt;CJ43+8+$B$18,1,0))</f>
        <v>0</v>
      </c>
      <c r="CK57" s="368" t="n">
        <f aca="false">IF(85&lt;5,0,IF(MAX(CF38:CK38)&gt;CK43+8+$B$18,1,0))</f>
        <v>0</v>
      </c>
      <c r="CL57" s="368" t="n">
        <f aca="false">IF(86&lt;5,0,IF(MAX(CG38:CL38)&gt;CL43+8+$B$18,1,0))</f>
        <v>0</v>
      </c>
      <c r="CM57" s="368" t="n">
        <f aca="false">IF(87&lt;5,0,IF(MAX(CH38:CM38)&gt;CM43+8+$B$18,1,0))</f>
        <v>0</v>
      </c>
      <c r="CN57" s="368" t="n">
        <f aca="false">IF(88&lt;5,0,IF(MAX(CI38:CN38)&gt;CN43+8+$B$18,1,0))</f>
        <v>0</v>
      </c>
      <c r="CO57" s="368" t="n">
        <f aca="false">IF(89&lt;5,0,IF(MAX(CJ38:CO38)&gt;CO43+8+$B$18,1,0))</f>
        <v>0</v>
      </c>
      <c r="CP57" s="368" t="n">
        <f aca="false">IF(90&lt;5,0,IF(MAX(CK38:CP38)&gt;CP43+8+$B$18,1,0))</f>
        <v>0</v>
      </c>
      <c r="CQ57" s="368" t="n">
        <f aca="false">IF(91&lt;5,0,IF(MAX(CL38:CQ38)&gt;CQ43+8+$B$18,1,0))</f>
        <v>0</v>
      </c>
      <c r="CR57" s="368" t="n">
        <f aca="false">IF(92&lt;5,0,IF(MAX(CM38:CR38)&gt;CR43+8+$B$18,1,0))</f>
        <v>0</v>
      </c>
      <c r="CS57" s="368" t="n">
        <f aca="false">IF(93&lt;5,0,IF(MAX(CN38:CS38)&gt;CS43+8+$B$18,1,0))</f>
        <v>0</v>
      </c>
      <c r="CT57" s="368" t="n">
        <f aca="false">IF(94&lt;5,0,IF(MAX(CO38:CT38)&gt;CT43+8+$B$18,1,0))</f>
        <v>0</v>
      </c>
      <c r="CU57" s="368" t="n">
        <f aca="false">IF(95&lt;5,0,IF(MAX(CP38:CU38)&gt;CU43+8+$B$18,1,0))</f>
        <v>0</v>
      </c>
      <c r="CV57" s="368" t="n">
        <f aca="false">IF(96&lt;5,0,IF(MAX(CQ38:CV38)&gt;CV43+8+$B$18,1,0))</f>
        <v>0</v>
      </c>
      <c r="CW57" s="368" t="n">
        <f aca="false">IF(97&lt;5,0,IF(MAX(CR38:CW38)&gt;CW43+8+$B$18,1,0))</f>
        <v>0</v>
      </c>
      <c r="CX57" s="368" t="n">
        <f aca="false">IF(98&lt;5,0,IF(MAX(CS38:CX38)&gt;CX43+8+$B$18,1,0))</f>
        <v>0</v>
      </c>
      <c r="CY57" s="368" t="n">
        <f aca="false">IF(99&lt;5,0,IF(MAX(CT38:CY38)&gt;CY43+8+$B$18,1,0))</f>
        <v>0</v>
      </c>
      <c r="CZ57" s="368" t="n">
        <f aca="false">IF(100&lt;5,0,IF(MAX(CU38:CZ38)&gt;CZ43+8+$B$18,1,0))</f>
        <v>0</v>
      </c>
      <c r="DA57" s="368" t="n">
        <f aca="false">IF(101&lt;5,0,IF(MAX(CV38:DA38)&gt;DA43+8+$B$18,1,0))</f>
        <v>0</v>
      </c>
      <c r="DB57" s="368" t="n">
        <f aca="false">IF(102&lt;5,0,IF(MAX(CW38:DB38)&gt;DB43+8+$B$18,1,0))</f>
        <v>0</v>
      </c>
      <c r="DC57" s="368" t="n">
        <f aca="false">IF(103&lt;5,0,IF(MAX(CX38:DC38)&gt;DC43+8+$B$18,1,0))</f>
        <v>0</v>
      </c>
      <c r="DD57" s="368" t="n">
        <f aca="false">IF(104&lt;5,0,IF(MAX(CY38:DD38)&gt;DD43+8+$B$18,1,0))</f>
        <v>0</v>
      </c>
      <c r="DE57" s="368" t="n">
        <f aca="false">IF(105&lt;5,0,IF(MAX(CZ38:DE38)&gt;DE43+8+$B$18,1,0))</f>
        <v>0</v>
      </c>
    </row>
    <row r="58" customFormat="false" ht="13.5" hidden="false" customHeight="true" outlineLevel="0" collapsed="false">
      <c r="A58" s="109" t="s">
        <v>1226</v>
      </c>
      <c r="B58" s="225" t="n">
        <f aca="false">$B$27</f>
        <v>125000</v>
      </c>
      <c r="E58" s="368" t="n">
        <f aca="false">IF(1&lt;5,0,IF(MAX(E38)&gt;E43+9+$B$18,1,0))</f>
        <v>0</v>
      </c>
      <c r="F58" s="368" t="n">
        <f aca="false">IF(2&lt;5,0,IF(MAX(E38:F38)&gt;F43+9+$B$18,1,0))</f>
        <v>0</v>
      </c>
      <c r="G58" s="368" t="n">
        <f aca="false">IF(3&lt;5,0,IF(MAX(E38:G38)&gt;G43+9+$B$18,1,0))</f>
        <v>0</v>
      </c>
      <c r="H58" s="368" t="n">
        <f aca="false">IF(4&lt;5,0,IF(MAX(E38:H38)&gt;H43+9+$B$18,1,0))</f>
        <v>0</v>
      </c>
      <c r="I58" s="368" t="n">
        <f aca="false">IF(5&lt;5,0,IF(MAX(E38:I38)&gt;I43+9+$B$18,1,0))</f>
        <v>0</v>
      </c>
      <c r="J58" s="368" t="n">
        <f aca="false">IF(6&lt;5,0,IF(MAX(E38:J38)&gt;J43+9+$B$18,1,0))</f>
        <v>0</v>
      </c>
      <c r="K58" s="368" t="n">
        <f aca="false">IF(7&lt;5,0,IF(MAX(F38:K38)&gt;K43+9+$B$18,1,0))</f>
        <v>0</v>
      </c>
      <c r="L58" s="368" t="n">
        <f aca="false">IF(8&lt;5,0,IF(MAX(G38:L38)&gt;L43+9+$B$18,1,0))</f>
        <v>0</v>
      </c>
      <c r="M58" s="368" t="n">
        <f aca="false">IF(9&lt;5,0,IF(MAX(H38:M38)&gt;M43+9+$B$18,1,0))</f>
        <v>0</v>
      </c>
      <c r="N58" s="368" t="n">
        <f aca="false">IF(10&lt;5,0,IF(MAX(I38:N38)&gt;N43+9+$B$18,1,0))</f>
        <v>0</v>
      </c>
      <c r="O58" s="368" t="n">
        <f aca="false">IF(11&lt;5,0,IF(MAX(J38:O38)&gt;O43+9+$B$18,1,0))</f>
        <v>0</v>
      </c>
      <c r="P58" s="368" t="n">
        <f aca="false">IF(12&lt;5,0,IF(MAX(K38:P38)&gt;P43+9+$B$18,1,0))</f>
        <v>0</v>
      </c>
      <c r="Q58" s="368" t="n">
        <f aca="false">IF(13&lt;5,0,IF(MAX(L38:Q38)&gt;Q43+9+$B$18,1,0))</f>
        <v>0</v>
      </c>
      <c r="R58" s="368" t="n">
        <f aca="false">IF(14&lt;5,0,IF(MAX(M38:R38)&gt;R43+9+$B$18,1,0))</f>
        <v>0</v>
      </c>
      <c r="S58" s="368" t="n">
        <f aca="false">IF(15&lt;5,0,IF(MAX(N38:S38)&gt;S43+9+$B$18,1,0))</f>
        <v>0</v>
      </c>
      <c r="T58" s="368" t="n">
        <f aca="false">IF(16&lt;5,0,IF(MAX(O38:T38)&gt;T43+9+$B$18,1,0))</f>
        <v>0</v>
      </c>
      <c r="U58" s="368" t="n">
        <f aca="false">IF(17&lt;5,0,IF(MAX(P38:U38)&gt;U43+9+$B$18,1,0))</f>
        <v>0</v>
      </c>
      <c r="V58" s="368" t="n">
        <f aca="false">IF(18&lt;5,0,IF(MAX(Q38:V38)&gt;V43+9+$B$18,1,0))</f>
        <v>0</v>
      </c>
      <c r="W58" s="368" t="n">
        <f aca="false">IF(19&lt;5,0,IF(MAX(R38:W38)&gt;W43+9+$B$18,1,0))</f>
        <v>0</v>
      </c>
      <c r="X58" s="368" t="n">
        <f aca="false">IF(20&lt;5,0,IF(MAX(S38:X38)&gt;X43+9+$B$18,1,0))</f>
        <v>0</v>
      </c>
      <c r="Y58" s="368" t="n">
        <f aca="false">IF(21&lt;5,0,IF(MAX(T38:Y38)&gt;Y43+9+$B$18,1,0))</f>
        <v>0</v>
      </c>
      <c r="Z58" s="368" t="n">
        <f aca="false">IF(22&lt;5,0,IF(MAX(U38:Z38)&gt;Z43+9+$B$18,1,0))</f>
        <v>0</v>
      </c>
      <c r="AA58" s="368" t="n">
        <f aca="false">IF(23&lt;5,0,IF(MAX(V38:AA38)&gt;AA43+9+$B$18,1,0))</f>
        <v>0</v>
      </c>
      <c r="AB58" s="368" t="n">
        <f aca="false">IF(24&lt;5,0,IF(MAX(W38:AB38)&gt;AB43+9+$B$18,1,0))</f>
        <v>0</v>
      </c>
      <c r="AC58" s="368" t="n">
        <f aca="false">IF(25&lt;5,0,IF(MAX(X38:AC38)&gt;AC43+9+$B$18,1,0))</f>
        <v>0</v>
      </c>
      <c r="AD58" s="368" t="n">
        <f aca="false">IF(26&lt;5,0,IF(MAX(Y38:AD38)&gt;AD43+9+$B$18,1,0))</f>
        <v>0</v>
      </c>
      <c r="AE58" s="368" t="n">
        <f aca="false">IF(27&lt;5,0,IF(MAX(Z38:AE38)&gt;AE43+9+$B$18,1,0))</f>
        <v>0</v>
      </c>
      <c r="AF58" s="368" t="n">
        <f aca="false">IF(28&lt;5,0,IF(MAX(AA38:AF38)&gt;AF43+9+$B$18,1,0))</f>
        <v>0</v>
      </c>
      <c r="AG58" s="368" t="n">
        <f aca="false">IF(29&lt;5,0,IF(MAX(AB38:AG38)&gt;AG43+9+$B$18,1,0))</f>
        <v>0</v>
      </c>
      <c r="AH58" s="368" t="n">
        <f aca="false">IF(30&lt;5,0,IF(MAX(AC38:AH38)&gt;AH43+9+$B$18,1,0))</f>
        <v>0</v>
      </c>
      <c r="AI58" s="368" t="n">
        <f aca="false">IF(31&lt;5,0,IF(MAX(AD38:AI38)&gt;AI43+9+$B$18,1,0))</f>
        <v>0</v>
      </c>
      <c r="AJ58" s="368" t="n">
        <f aca="false">IF(32&lt;5,0,IF(MAX(AE38:AJ38)&gt;AJ43+9+$B$18,1,0))</f>
        <v>0</v>
      </c>
      <c r="AK58" s="368" t="n">
        <f aca="false">IF(33&lt;5,0,IF(MAX(AF38:AK38)&gt;AK43+9+$B$18,1,0))</f>
        <v>0</v>
      </c>
      <c r="AL58" s="368" t="n">
        <f aca="false">IF(34&lt;5,0,IF(MAX(AG38:AL38)&gt;AL43+9+$B$18,1,0))</f>
        <v>0</v>
      </c>
      <c r="AM58" s="368" t="n">
        <f aca="false">IF(35&lt;5,0,IF(MAX(AH38:AM38)&gt;AM43+9+$B$18,1,0))</f>
        <v>0</v>
      </c>
      <c r="AN58" s="368" t="n">
        <f aca="false">IF(36&lt;5,0,IF(MAX(AI38:AN38)&gt;AN43+9+$B$18,1,0))</f>
        <v>0</v>
      </c>
      <c r="AO58" s="368" t="n">
        <f aca="false">IF(37&lt;5,0,IF(MAX(AJ38:AO38)&gt;AO43+9+$B$18,1,0))</f>
        <v>0</v>
      </c>
      <c r="AP58" s="368" t="n">
        <f aca="false">IF(38&lt;5,0,IF(MAX(AK38:AP38)&gt;AP43+9+$B$18,1,0))</f>
        <v>0</v>
      </c>
      <c r="AQ58" s="368" t="n">
        <f aca="false">IF(39&lt;5,0,IF(MAX(AL38:AQ38)&gt;AQ43+9+$B$18,1,0))</f>
        <v>0</v>
      </c>
      <c r="AR58" s="368" t="n">
        <f aca="false">IF(40&lt;5,0,IF(MAX(AM38:AR38)&gt;AR43+9+$B$18,1,0))</f>
        <v>0</v>
      </c>
      <c r="AS58" s="368" t="n">
        <f aca="false">IF(41&lt;5,0,IF(MAX(AN38:AS38)&gt;AS43+9+$B$18,1,0))</f>
        <v>0</v>
      </c>
      <c r="AT58" s="368" t="n">
        <f aca="false">IF(42&lt;5,0,IF(MAX(AO38:AT38)&gt;AT43+9+$B$18,1,0))</f>
        <v>0</v>
      </c>
      <c r="AU58" s="368" t="n">
        <f aca="false">IF(43&lt;5,0,IF(MAX(AP38:AU38)&gt;AU43+9+$B$18,1,0))</f>
        <v>0</v>
      </c>
      <c r="AV58" s="368" t="n">
        <f aca="false">IF(44&lt;5,0,IF(MAX(AQ38:AV38)&gt;AV43+9+$B$18,1,0))</f>
        <v>0</v>
      </c>
      <c r="AW58" s="368" t="n">
        <f aca="false">IF(45&lt;5,0,IF(MAX(AR38:AW38)&gt;AW43+9+$B$18,1,0))</f>
        <v>0</v>
      </c>
      <c r="AX58" s="368" t="n">
        <f aca="false">IF(46&lt;5,0,IF(MAX(AS38:AX38)&gt;AX43+9+$B$18,1,0))</f>
        <v>0</v>
      </c>
      <c r="AY58" s="368" t="n">
        <f aca="false">IF(47&lt;5,0,IF(MAX(AT38:AY38)&gt;AY43+9+$B$18,1,0))</f>
        <v>0</v>
      </c>
      <c r="AZ58" s="368" t="n">
        <f aca="false">IF(48&lt;5,0,IF(MAX(AU38:AZ38)&gt;AZ43+9+$B$18,1,0))</f>
        <v>0</v>
      </c>
      <c r="BA58" s="368" t="n">
        <f aca="false">IF(49&lt;5,0,IF(MAX(AV38:BA38)&gt;BA43+9+$B$18,1,0))</f>
        <v>0</v>
      </c>
      <c r="BB58" s="368" t="n">
        <f aca="false">IF(50&lt;5,0,IF(MAX(AW38:BB38)&gt;BB43+9+$B$18,1,0))</f>
        <v>0</v>
      </c>
      <c r="BC58" s="368" t="n">
        <f aca="false">IF(51&lt;5,0,IF(MAX(AX38:BC38)&gt;BC43+9+$B$18,1,0))</f>
        <v>0</v>
      </c>
      <c r="BD58" s="368" t="n">
        <f aca="false">IF(52&lt;5,0,IF(MAX(AY38:BD38)&gt;BD43+9+$B$18,1,0))</f>
        <v>0</v>
      </c>
      <c r="BE58" s="368" t="n">
        <f aca="false">IF(53&lt;5,0,IF(MAX(AZ38:BE38)&gt;BE43+9+$B$18,1,0))</f>
        <v>0</v>
      </c>
      <c r="BF58" s="368" t="n">
        <f aca="false">IF(54&lt;5,0,IF(MAX(BA38:BF38)&gt;BF43+9+$B$18,1,0))</f>
        <v>0</v>
      </c>
      <c r="BG58" s="368" t="n">
        <f aca="false">IF(55&lt;5,0,IF(MAX(BB38:BG38)&gt;BG43+9+$B$18,1,0))</f>
        <v>0</v>
      </c>
      <c r="BH58" s="368" t="n">
        <f aca="false">IF(56&lt;5,0,IF(MAX(BC38:BH38)&gt;BH43+9+$B$18,1,0))</f>
        <v>0</v>
      </c>
      <c r="BI58" s="368" t="n">
        <f aca="false">IF(57&lt;5,0,IF(MAX(BD38:BI38)&gt;BI43+9+$B$18,1,0))</f>
        <v>0</v>
      </c>
      <c r="BJ58" s="368" t="n">
        <f aca="false">IF(58&lt;5,0,IF(MAX(BE38:BJ38)&gt;BJ43+9+$B$18,1,0))</f>
        <v>0</v>
      </c>
      <c r="BK58" s="368" t="n">
        <f aca="false">IF(59&lt;5,0,IF(MAX(BF38:BK38)&gt;BK43+9+$B$18,1,0))</f>
        <v>0</v>
      </c>
      <c r="BL58" s="368" t="n">
        <f aca="false">IF(60&lt;5,0,IF(MAX(BG38:BL38)&gt;BL43+9+$B$18,1,0))</f>
        <v>0</v>
      </c>
      <c r="BM58" s="368" t="n">
        <f aca="false">IF(61&lt;5,0,IF(MAX(BH38:BM38)&gt;BM43+9+$B$18,1,0))</f>
        <v>0</v>
      </c>
      <c r="BN58" s="368" t="n">
        <f aca="false">IF(62&lt;5,0,IF(MAX(BI38:BN38)&gt;BN43+9+$B$18,1,0))</f>
        <v>0</v>
      </c>
      <c r="BO58" s="368" t="n">
        <f aca="false">IF(63&lt;5,0,IF(MAX(BJ38:BO38)&gt;BO43+9+$B$18,1,0))</f>
        <v>0</v>
      </c>
      <c r="BP58" s="368" t="n">
        <f aca="false">IF(64&lt;5,0,IF(MAX(BK38:BP38)&gt;BP43+9+$B$18,1,0))</f>
        <v>0</v>
      </c>
      <c r="BQ58" s="368" t="n">
        <f aca="false">IF(65&lt;5,0,IF(MAX(BL38:BQ38)&gt;BQ43+9+$B$18,1,0))</f>
        <v>0</v>
      </c>
      <c r="BR58" s="368" t="n">
        <f aca="false">IF(66&lt;5,0,IF(MAX(BM38:BR38)&gt;BR43+9+$B$18,1,0))</f>
        <v>0</v>
      </c>
      <c r="BS58" s="368" t="n">
        <f aca="false">IF(67&lt;5,0,IF(MAX(BN38:BS38)&gt;BS43+9+$B$18,1,0))</f>
        <v>0</v>
      </c>
      <c r="BT58" s="368" t="n">
        <f aca="false">IF(68&lt;5,0,IF(MAX(BO38:BT38)&gt;BT43+9+$B$18,1,0))</f>
        <v>0</v>
      </c>
      <c r="BU58" s="368" t="n">
        <f aca="false">IF(69&lt;5,0,IF(MAX(BP38:BU38)&gt;BU43+9+$B$18,1,0))</f>
        <v>0</v>
      </c>
      <c r="BV58" s="368" t="n">
        <f aca="false">IF(70&lt;5,0,IF(MAX(BQ38:BV38)&gt;BV43+9+$B$18,1,0))</f>
        <v>0</v>
      </c>
      <c r="BW58" s="368" t="n">
        <f aca="false">IF(71&lt;5,0,IF(MAX(BR38:BW38)&gt;BW43+9+$B$18,1,0))</f>
        <v>0</v>
      </c>
      <c r="BX58" s="368" t="n">
        <f aca="false">IF(72&lt;5,0,IF(MAX(BS38:BX38)&gt;BX43+9+$B$18,1,0))</f>
        <v>0</v>
      </c>
      <c r="BY58" s="368" t="n">
        <f aca="false">IF(73&lt;5,0,IF(MAX(BT38:BY38)&gt;BY43+9+$B$18,1,0))</f>
        <v>0</v>
      </c>
      <c r="BZ58" s="368" t="n">
        <f aca="false">IF(74&lt;5,0,IF(MAX(BU38:BZ38)&gt;BZ43+9+$B$18,1,0))</f>
        <v>0</v>
      </c>
      <c r="CA58" s="368" t="n">
        <f aca="false">IF(75&lt;5,0,IF(MAX(BV38:CA38)&gt;CA43+9+$B$18,1,0))</f>
        <v>0</v>
      </c>
      <c r="CB58" s="368" t="n">
        <f aca="false">IF(76&lt;5,0,IF(MAX(BW38:CB38)&gt;CB43+9+$B$18,1,0))</f>
        <v>0</v>
      </c>
      <c r="CC58" s="368" t="n">
        <f aca="false">IF(77&lt;5,0,IF(MAX(BX38:CC38)&gt;CC43+9+$B$18,1,0))</f>
        <v>0</v>
      </c>
      <c r="CD58" s="368" t="n">
        <f aca="false">IF(78&lt;5,0,IF(MAX(BY38:CD38)&gt;CD43+9+$B$18,1,0))</f>
        <v>0</v>
      </c>
      <c r="CE58" s="368" t="n">
        <f aca="false">IF(79&lt;5,0,IF(MAX(BZ38:CE38)&gt;CE43+9+$B$18,1,0))</f>
        <v>0</v>
      </c>
      <c r="CF58" s="368" t="n">
        <f aca="false">IF(80&lt;5,0,IF(MAX(CA38:CF38)&gt;CF43+9+$B$18,1,0))</f>
        <v>0</v>
      </c>
      <c r="CG58" s="368" t="n">
        <f aca="false">IF(81&lt;5,0,IF(MAX(CB38:CG38)&gt;CG43+9+$B$18,1,0))</f>
        <v>0</v>
      </c>
      <c r="CH58" s="368" t="n">
        <f aca="false">IF(82&lt;5,0,IF(MAX(CC38:CH38)&gt;CH43+9+$B$18,1,0))</f>
        <v>0</v>
      </c>
      <c r="CI58" s="368" t="n">
        <f aca="false">IF(83&lt;5,0,IF(MAX(CD38:CI38)&gt;CI43+9+$B$18,1,0))</f>
        <v>0</v>
      </c>
      <c r="CJ58" s="368" t="n">
        <f aca="false">IF(84&lt;5,0,IF(MAX(CE38:CJ38)&gt;CJ43+9+$B$18,1,0))</f>
        <v>0</v>
      </c>
      <c r="CK58" s="368" t="n">
        <f aca="false">IF(85&lt;5,0,IF(MAX(CF38:CK38)&gt;CK43+9+$B$18,1,0))</f>
        <v>0</v>
      </c>
      <c r="CL58" s="368" t="n">
        <f aca="false">IF(86&lt;5,0,IF(MAX(CG38:CL38)&gt;CL43+9+$B$18,1,0))</f>
        <v>0</v>
      </c>
      <c r="CM58" s="368" t="n">
        <f aca="false">IF(87&lt;5,0,IF(MAX(CH38:CM38)&gt;CM43+9+$B$18,1,0))</f>
        <v>0</v>
      </c>
      <c r="CN58" s="368" t="n">
        <f aca="false">IF(88&lt;5,0,IF(MAX(CI38:CN38)&gt;CN43+9+$B$18,1,0))</f>
        <v>0</v>
      </c>
      <c r="CO58" s="368" t="n">
        <f aca="false">IF(89&lt;5,0,IF(MAX(CJ38:CO38)&gt;CO43+9+$B$18,1,0))</f>
        <v>0</v>
      </c>
      <c r="CP58" s="368" t="n">
        <f aca="false">IF(90&lt;5,0,IF(MAX(CK38:CP38)&gt;CP43+9+$B$18,1,0))</f>
        <v>0</v>
      </c>
      <c r="CQ58" s="368" t="n">
        <f aca="false">IF(91&lt;5,0,IF(MAX(CL38:CQ38)&gt;CQ43+9+$B$18,1,0))</f>
        <v>0</v>
      </c>
      <c r="CR58" s="368" t="n">
        <f aca="false">IF(92&lt;5,0,IF(MAX(CM38:CR38)&gt;CR43+9+$B$18,1,0))</f>
        <v>0</v>
      </c>
      <c r="CS58" s="368" t="n">
        <f aca="false">IF(93&lt;5,0,IF(MAX(CN38:CS38)&gt;CS43+9+$B$18,1,0))</f>
        <v>0</v>
      </c>
      <c r="CT58" s="368" t="n">
        <f aca="false">IF(94&lt;5,0,IF(MAX(CO38:CT38)&gt;CT43+9+$B$18,1,0))</f>
        <v>0</v>
      </c>
      <c r="CU58" s="368" t="n">
        <f aca="false">IF(95&lt;5,0,IF(MAX(CP38:CU38)&gt;CU43+9+$B$18,1,0))</f>
        <v>0</v>
      </c>
      <c r="CV58" s="368" t="n">
        <f aca="false">IF(96&lt;5,0,IF(MAX(CQ38:CV38)&gt;CV43+9+$B$18,1,0))</f>
        <v>0</v>
      </c>
      <c r="CW58" s="368" t="n">
        <f aca="false">IF(97&lt;5,0,IF(MAX(CR38:CW38)&gt;CW43+9+$B$18,1,0))</f>
        <v>0</v>
      </c>
      <c r="CX58" s="368" t="n">
        <f aca="false">IF(98&lt;5,0,IF(MAX(CS38:CX38)&gt;CX43+9+$B$18,1,0))</f>
        <v>0</v>
      </c>
      <c r="CY58" s="368" t="n">
        <f aca="false">IF(99&lt;5,0,IF(MAX(CT38:CY38)&gt;CY43+9+$B$18,1,0))</f>
        <v>0</v>
      </c>
      <c r="CZ58" s="368" t="n">
        <f aca="false">IF(100&lt;5,0,IF(MAX(CU38:CZ38)&gt;CZ43+9+$B$18,1,0))</f>
        <v>0</v>
      </c>
      <c r="DA58" s="368" t="n">
        <f aca="false">IF(101&lt;5,0,IF(MAX(CV38:DA38)&gt;DA43+9+$B$18,1,0))</f>
        <v>0</v>
      </c>
      <c r="DB58" s="368" t="n">
        <f aca="false">IF(102&lt;5,0,IF(MAX(CW38:DB38)&gt;DB43+9+$B$18,1,0))</f>
        <v>0</v>
      </c>
      <c r="DC58" s="368" t="n">
        <f aca="false">IF(103&lt;5,0,IF(MAX(CX38:DC38)&gt;DC43+9+$B$18,1,0))</f>
        <v>0</v>
      </c>
      <c r="DD58" s="368" t="n">
        <f aca="false">IF(104&lt;5,0,IF(MAX(CY38:DD38)&gt;DD43+9+$B$18,1,0))</f>
        <v>0</v>
      </c>
      <c r="DE58" s="368" t="n">
        <f aca="false">IF(105&lt;5,0,IF(MAX(CZ38:DE38)&gt;DE43+9+$B$18,1,0))</f>
        <v>0</v>
      </c>
    </row>
    <row r="59" customFormat="false" ht="13.5" hidden="false" customHeight="true" outlineLevel="0" collapsed="false">
      <c r="E59" s="123"/>
      <c r="F59" s="123"/>
      <c r="G59" s="123"/>
      <c r="H59" s="123"/>
      <c r="I59" s="123"/>
      <c r="J59" s="123"/>
      <c r="K59" s="123"/>
      <c r="L59" s="123"/>
      <c r="M59" s="123"/>
      <c r="N59" s="123"/>
      <c r="O59" s="123"/>
      <c r="P59" s="123"/>
      <c r="Q59" s="123"/>
      <c r="R59" s="123"/>
      <c r="S59" s="123"/>
      <c r="T59" s="123"/>
      <c r="U59" s="123"/>
      <c r="V59" s="123"/>
      <c r="W59" s="123"/>
      <c r="X59" s="123"/>
      <c r="Y59" s="123"/>
      <c r="Z59" s="123"/>
      <c r="AA59" s="123"/>
      <c r="AB59" s="123"/>
      <c r="AC59" s="123"/>
      <c r="AD59" s="123"/>
      <c r="AE59" s="123"/>
      <c r="AF59" s="123"/>
      <c r="AG59" s="123"/>
      <c r="AH59" s="123"/>
      <c r="AI59" s="123"/>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c r="BM59" s="123"/>
      <c r="BN59" s="123"/>
      <c r="BO59" s="123"/>
      <c r="BP59" s="123"/>
      <c r="BQ59" s="123"/>
      <c r="BR59" s="123"/>
      <c r="BS59" s="123"/>
      <c r="BT59" s="123"/>
      <c r="BU59" s="123"/>
      <c r="BV59" s="123"/>
      <c r="BW59" s="123"/>
      <c r="BX59" s="123"/>
      <c r="BY59" s="123"/>
      <c r="BZ59" s="123"/>
      <c r="CA59" s="123"/>
      <c r="CB59" s="123"/>
      <c r="CC59" s="123"/>
      <c r="CD59" s="123"/>
      <c r="CE59" s="123"/>
      <c r="CF59" s="123"/>
      <c r="CG59" s="123"/>
      <c r="CH59" s="123"/>
      <c r="CI59" s="123"/>
      <c r="CJ59" s="123"/>
      <c r="CK59" s="123"/>
      <c r="CL59" s="123"/>
      <c r="CM59" s="123"/>
      <c r="CN59" s="123"/>
      <c r="CO59" s="123"/>
      <c r="CP59" s="123"/>
      <c r="CQ59" s="123"/>
      <c r="CR59" s="123"/>
      <c r="CS59" s="123"/>
      <c r="CT59" s="123"/>
      <c r="CU59" s="123"/>
      <c r="CV59" s="123"/>
      <c r="CW59" s="123"/>
      <c r="CX59" s="123"/>
      <c r="CY59" s="123"/>
      <c r="CZ59" s="123"/>
      <c r="DA59" s="123"/>
      <c r="DB59" s="123"/>
      <c r="DC59" s="123"/>
      <c r="DD59" s="123"/>
      <c r="DE59" s="123"/>
    </row>
    <row r="60" customFormat="false" ht="13.5" hidden="false" customHeight="true" outlineLevel="0" collapsed="false">
      <c r="E60" s="123"/>
      <c r="F60" s="123"/>
      <c r="G60" s="123"/>
      <c r="H60" s="123"/>
      <c r="I60" s="123"/>
      <c r="J60" s="123"/>
      <c r="K60" s="123"/>
      <c r="L60" s="123"/>
      <c r="M60" s="123"/>
      <c r="N60" s="123"/>
      <c r="O60" s="123"/>
      <c r="P60" s="123"/>
      <c r="Q60" s="123"/>
      <c r="R60" s="123"/>
      <c r="S60" s="123"/>
      <c r="T60" s="123"/>
      <c r="U60" s="123"/>
      <c r="V60" s="123"/>
      <c r="W60" s="123"/>
      <c r="X60" s="123"/>
      <c r="Y60" s="123"/>
      <c r="Z60" s="123"/>
      <c r="AA60" s="123"/>
      <c r="AB60" s="123"/>
      <c r="AC60" s="123"/>
      <c r="AD60" s="123"/>
      <c r="AE60" s="123"/>
      <c r="AF60" s="123"/>
      <c r="AG60" s="123"/>
      <c r="AH60" s="123"/>
      <c r="AI60" s="123"/>
      <c r="AJ60" s="123"/>
      <c r="AK60" s="123"/>
      <c r="AL60" s="123"/>
      <c r="AM60" s="123"/>
      <c r="AN60" s="123"/>
      <c r="AO60" s="123"/>
      <c r="AP60" s="123"/>
      <c r="AQ60" s="123"/>
      <c r="AR60" s="123"/>
      <c r="AS60" s="123"/>
      <c r="AT60" s="123"/>
      <c r="AU60" s="123"/>
      <c r="AV60" s="123"/>
      <c r="AW60" s="123"/>
      <c r="AX60" s="123"/>
      <c r="AY60" s="123"/>
      <c r="AZ60" s="123"/>
      <c r="BA60" s="123"/>
      <c r="BB60" s="123"/>
      <c r="BC60" s="123"/>
      <c r="BD60" s="123"/>
      <c r="BE60" s="123"/>
      <c r="BF60" s="123"/>
      <c r="BG60" s="123"/>
      <c r="BH60" s="123"/>
      <c r="BI60" s="123"/>
      <c r="BJ60" s="123"/>
      <c r="BK60" s="123"/>
      <c r="BL60" s="123"/>
      <c r="BM60" s="123"/>
      <c r="BN60" s="123"/>
      <c r="BO60" s="123"/>
      <c r="BP60" s="123"/>
      <c r="BQ60" s="123"/>
      <c r="BR60" s="123"/>
      <c r="BS60" s="123"/>
      <c r="BT60" s="123"/>
      <c r="BU60" s="123"/>
      <c r="BV60" s="123"/>
      <c r="BW60" s="123"/>
      <c r="BX60" s="123"/>
      <c r="BY60" s="123"/>
      <c r="BZ60" s="123"/>
      <c r="CA60" s="123"/>
      <c r="CB60" s="123"/>
      <c r="CC60" s="123"/>
      <c r="CD60" s="123"/>
      <c r="CE60" s="123"/>
      <c r="CF60" s="123"/>
      <c r="CG60" s="123"/>
      <c r="CH60" s="123"/>
      <c r="CI60" s="123"/>
      <c r="CJ60" s="123"/>
      <c r="CK60" s="123"/>
      <c r="CL60" s="123"/>
      <c r="CM60" s="123"/>
      <c r="CN60" s="123"/>
      <c r="CO60" s="123"/>
      <c r="CP60" s="123"/>
      <c r="CQ60" s="123"/>
      <c r="CR60" s="123"/>
      <c r="CS60" s="123"/>
      <c r="CT60" s="123"/>
      <c r="CU60" s="123"/>
      <c r="CV60" s="123"/>
      <c r="CW60" s="123"/>
      <c r="CX60" s="123"/>
      <c r="CY60" s="123"/>
      <c r="CZ60" s="123"/>
      <c r="DA60" s="123"/>
      <c r="DB60" s="123"/>
      <c r="DC60" s="123"/>
      <c r="DD60" s="123"/>
      <c r="DE60" s="123"/>
    </row>
    <row r="61" customFormat="false" ht="13.5" hidden="false" customHeight="true" outlineLevel="0" collapsed="false">
      <c r="A61" s="109" t="s">
        <v>1227</v>
      </c>
      <c r="B61" s="225" t="n">
        <f aca="false">$B$28</f>
        <v>130000</v>
      </c>
      <c r="E61" s="368" t="n">
        <f aca="false">IF(1&lt;5,0,IF(MAX(E39)&gt;E44+0+$B$18,1,0))</f>
        <v>0</v>
      </c>
      <c r="F61" s="368" t="n">
        <f aca="false">IF(2&lt;5,0,IF(MAX(E39:F39)&gt;F44+0+$B$18,1,0))</f>
        <v>0</v>
      </c>
      <c r="G61" s="368" t="n">
        <f aca="false">IF(3&lt;5,0,IF(MAX(E39:G39)&gt;G44+0+$B$18,1,0))</f>
        <v>0</v>
      </c>
      <c r="H61" s="368" t="n">
        <f aca="false">IF(4&lt;5,0,IF(MAX(E39:H39)&gt;H44+0+$B$18,1,0))</f>
        <v>0</v>
      </c>
      <c r="I61" s="368" t="n">
        <f aca="false">IF(5&lt;5,0,IF(MAX(E39:I39)&gt;I44+0+$B$18,1,0))</f>
        <v>0</v>
      </c>
      <c r="J61" s="368" t="n">
        <f aca="false">IF(6&lt;5,0,IF(MAX(E39:J39)&gt;J44+0+$B$18,1,0))</f>
        <v>0</v>
      </c>
      <c r="K61" s="368" t="n">
        <f aca="false">IF(7&lt;5,0,IF(MAX(F39:K39)&gt;K44+0+$B$18,1,0))</f>
        <v>0</v>
      </c>
      <c r="L61" s="368" t="n">
        <f aca="false">IF(8&lt;5,0,IF(MAX(G39:L39)&gt;L44+0+$B$18,1,0))</f>
        <v>0</v>
      </c>
      <c r="M61" s="368" t="n">
        <f aca="false">IF(9&lt;5,0,IF(MAX(H39:M39)&gt;M44+0+$B$18,1,0))</f>
        <v>0</v>
      </c>
      <c r="N61" s="368" t="n">
        <f aca="false">IF(10&lt;5,0,IF(MAX(I39:N39)&gt;N44+0+$B$18,1,0))</f>
        <v>0</v>
      </c>
      <c r="O61" s="368" t="n">
        <f aca="false">IF(11&lt;5,0,IF(MAX(J39:O39)&gt;O44+0+$B$18,1,0))</f>
        <v>0</v>
      </c>
      <c r="P61" s="368" t="n">
        <f aca="false">IF(12&lt;5,0,IF(MAX(K39:P39)&gt;P44+0+$B$18,1,0))</f>
        <v>0</v>
      </c>
      <c r="Q61" s="368" t="n">
        <f aca="false">IF(13&lt;5,0,IF(MAX(L39:Q39)&gt;Q44+0+$B$18,1,0))</f>
        <v>0</v>
      </c>
      <c r="R61" s="368" t="n">
        <f aca="false">IF(14&lt;5,0,IF(MAX(M39:R39)&gt;R44+0+$B$18,1,0))</f>
        <v>0</v>
      </c>
      <c r="S61" s="368" t="n">
        <f aca="false">IF(15&lt;5,0,IF(MAX(N39:S39)&gt;S44+0+$B$18,1,0))</f>
        <v>1</v>
      </c>
      <c r="T61" s="368" t="n">
        <f aca="false">IF(16&lt;5,0,IF(MAX(O39:T39)&gt;T44+0+$B$18,1,0))</f>
        <v>1</v>
      </c>
      <c r="U61" s="368" t="n">
        <f aca="false">IF(17&lt;5,0,IF(MAX(P39:U39)&gt;U44+0+$B$18,1,0))</f>
        <v>1</v>
      </c>
      <c r="V61" s="368" t="n">
        <f aca="false">IF(18&lt;5,0,IF(MAX(Q39:V39)&gt;V44+0+$B$18,1,0))</f>
        <v>1</v>
      </c>
      <c r="W61" s="368" t="n">
        <f aca="false">IF(19&lt;5,0,IF(MAX(R39:W39)&gt;W44+0+$B$18,1,0))</f>
        <v>1</v>
      </c>
      <c r="X61" s="368" t="n">
        <f aca="false">IF(20&lt;5,0,IF(MAX(S39:X39)&gt;X44+0+$B$18,1,0))</f>
        <v>1</v>
      </c>
      <c r="Y61" s="368" t="n">
        <f aca="false">IF(21&lt;5,0,IF(MAX(T39:Y39)&gt;Y44+0+$B$18,1,0))</f>
        <v>1</v>
      </c>
      <c r="Z61" s="368" t="n">
        <f aca="false">IF(22&lt;5,0,IF(MAX(U39:Z39)&gt;Z44+0+$B$18,1,0))</f>
        <v>1</v>
      </c>
      <c r="AA61" s="368" t="n">
        <f aca="false">IF(23&lt;5,0,IF(MAX(V39:AA39)&gt;AA44+0+$B$18,1,0))</f>
        <v>1</v>
      </c>
      <c r="AB61" s="368" t="n">
        <f aca="false">IF(24&lt;5,0,IF(MAX(W39:AB39)&gt;AB44+0+$B$18,1,0))</f>
        <v>1</v>
      </c>
      <c r="AC61" s="368" t="n">
        <f aca="false">IF(25&lt;5,0,IF(MAX(X39:AC39)&gt;AC44+0+$B$18,1,0))</f>
        <v>1</v>
      </c>
      <c r="AD61" s="368" t="n">
        <f aca="false">IF(26&lt;5,0,IF(MAX(Y39:AD39)&gt;AD44+0+$B$18,1,0))</f>
        <v>1</v>
      </c>
      <c r="AE61" s="368" t="n">
        <f aca="false">IF(27&lt;5,0,IF(MAX(Z39:AE39)&gt;AE44+0+$B$18,1,0))</f>
        <v>1</v>
      </c>
      <c r="AF61" s="368" t="n">
        <f aca="false">IF(28&lt;5,0,IF(MAX(AA39:AF39)&gt;AF44+0+$B$18,1,0))</f>
        <v>1</v>
      </c>
      <c r="AG61" s="368" t="n">
        <f aca="false">IF(29&lt;5,0,IF(MAX(AB39:AG39)&gt;AG44+0+$B$18,1,0))</f>
        <v>1</v>
      </c>
      <c r="AH61" s="368" t="n">
        <f aca="false">IF(30&lt;5,0,IF(MAX(AC39:AH39)&gt;AH44+0+$B$18,1,0))</f>
        <v>1</v>
      </c>
      <c r="AI61" s="368" t="n">
        <f aca="false">IF(31&lt;5,0,IF(MAX(AD39:AI39)&gt;AI44+0+$B$18,1,0))</f>
        <v>1</v>
      </c>
      <c r="AJ61" s="368" t="n">
        <f aca="false">IF(32&lt;5,0,IF(MAX(AE39:AJ39)&gt;AJ44+0+$B$18,1,0))</f>
        <v>1</v>
      </c>
      <c r="AK61" s="368" t="n">
        <f aca="false">IF(33&lt;5,0,IF(MAX(AF39:AK39)&gt;AK44+0+$B$18,1,0))</f>
        <v>1</v>
      </c>
      <c r="AL61" s="368" t="n">
        <f aca="false">IF(34&lt;5,0,IF(MAX(AG39:AL39)&gt;AL44+0+$B$18,1,0))</f>
        <v>1</v>
      </c>
      <c r="AM61" s="368" t="n">
        <f aca="false">IF(35&lt;5,0,IF(MAX(AH39:AM39)&gt;AM44+0+$B$18,1,0))</f>
        <v>1</v>
      </c>
      <c r="AN61" s="368" t="n">
        <f aca="false">IF(36&lt;5,0,IF(MAX(AI39:AN39)&gt;AN44+0+$B$18,1,0))</f>
        <v>1</v>
      </c>
      <c r="AO61" s="368" t="n">
        <f aca="false">IF(37&lt;5,0,IF(MAX(AJ39:AO39)&gt;AO44+0+$B$18,1,0))</f>
        <v>0</v>
      </c>
      <c r="AP61" s="368" t="n">
        <f aca="false">IF(38&lt;5,0,IF(MAX(AK39:AP39)&gt;AP44+0+$B$18,1,0))</f>
        <v>0</v>
      </c>
      <c r="AQ61" s="368" t="n">
        <f aca="false">IF(39&lt;5,0,IF(MAX(AL39:AQ39)&gt;AQ44+0+$B$18,1,0))</f>
        <v>0</v>
      </c>
      <c r="AR61" s="368" t="n">
        <f aca="false">IF(40&lt;5,0,IF(MAX(AM39:AR39)&gt;AR44+0+$B$18,1,0))</f>
        <v>0</v>
      </c>
      <c r="AS61" s="368" t="n">
        <f aca="false">IF(41&lt;5,0,IF(MAX(AN39:AS39)&gt;AS44+0+$B$18,1,0))</f>
        <v>0</v>
      </c>
      <c r="AT61" s="368" t="n">
        <f aca="false">IF(42&lt;5,0,IF(MAX(AO39:AT39)&gt;AT44+0+$B$18,1,0))</f>
        <v>0</v>
      </c>
      <c r="AU61" s="368" t="n">
        <f aca="false">IF(43&lt;5,0,IF(MAX(AP39:AU39)&gt;AU44+0+$B$18,1,0))</f>
        <v>0</v>
      </c>
      <c r="AV61" s="368" t="n">
        <f aca="false">IF(44&lt;5,0,IF(MAX(AQ39:AV39)&gt;AV44+0+$B$18,1,0))</f>
        <v>0</v>
      </c>
      <c r="AW61" s="368" t="n">
        <f aca="false">IF(45&lt;5,0,IF(MAX(AR39:AW39)&gt;AW44+0+$B$18,1,0))</f>
        <v>0</v>
      </c>
      <c r="AX61" s="368" t="n">
        <f aca="false">IF(46&lt;5,0,IF(MAX(AS39:AX39)&gt;AX44+0+$B$18,1,0))</f>
        <v>0</v>
      </c>
      <c r="AY61" s="368" t="n">
        <f aca="false">IF(47&lt;5,0,IF(MAX(AT39:AY39)&gt;AY44+0+$B$18,1,0))</f>
        <v>0</v>
      </c>
      <c r="AZ61" s="368" t="n">
        <f aca="false">IF(48&lt;5,0,IF(MAX(AU39:AZ39)&gt;AZ44+0+$B$18,1,0))</f>
        <v>0</v>
      </c>
      <c r="BA61" s="368" t="n">
        <f aca="false">IF(49&lt;5,0,IF(MAX(AV39:BA39)&gt;BA44+0+$B$18,1,0))</f>
        <v>0</v>
      </c>
      <c r="BB61" s="368" t="n">
        <f aca="false">IF(50&lt;5,0,IF(MAX(AW39:BB39)&gt;BB44+0+$B$18,1,0))</f>
        <v>0</v>
      </c>
      <c r="BC61" s="368" t="n">
        <f aca="false">IF(51&lt;5,0,IF(MAX(AX39:BC39)&gt;BC44+0+$B$18,1,0))</f>
        <v>0</v>
      </c>
      <c r="BD61" s="368" t="n">
        <f aca="false">IF(52&lt;5,0,IF(MAX(AY39:BD39)&gt;BD44+0+$B$18,1,0))</f>
        <v>0</v>
      </c>
      <c r="BE61" s="368" t="n">
        <f aca="false">IF(53&lt;5,0,IF(MAX(AZ39:BE39)&gt;BE44+0+$B$18,1,0))</f>
        <v>0</v>
      </c>
      <c r="BF61" s="368" t="n">
        <f aca="false">IF(54&lt;5,0,IF(MAX(BA39:BF39)&gt;BF44+0+$B$18,1,0))</f>
        <v>0</v>
      </c>
      <c r="BG61" s="368" t="n">
        <f aca="false">IF(55&lt;5,0,IF(MAX(BB39:BG39)&gt;BG44+0+$B$18,1,0))</f>
        <v>0</v>
      </c>
      <c r="BH61" s="368" t="n">
        <f aca="false">IF(56&lt;5,0,IF(MAX(BC39:BH39)&gt;BH44+0+$B$18,1,0))</f>
        <v>0</v>
      </c>
      <c r="BI61" s="368" t="n">
        <f aca="false">IF(57&lt;5,0,IF(MAX(BD39:BI39)&gt;BI44+0+$B$18,1,0))</f>
        <v>0</v>
      </c>
      <c r="BJ61" s="368" t="n">
        <f aca="false">IF(58&lt;5,0,IF(MAX(BE39:BJ39)&gt;BJ44+0+$B$18,1,0))</f>
        <v>0</v>
      </c>
      <c r="BK61" s="368" t="n">
        <f aca="false">IF(59&lt;5,0,IF(MAX(BF39:BK39)&gt;BK44+0+$B$18,1,0))</f>
        <v>0</v>
      </c>
      <c r="BL61" s="368" t="n">
        <f aca="false">IF(60&lt;5,0,IF(MAX(BG39:BL39)&gt;BL44+0+$B$18,1,0))</f>
        <v>0</v>
      </c>
      <c r="BM61" s="368" t="n">
        <f aca="false">IF(61&lt;5,0,IF(MAX(BH39:BM39)&gt;BM44+0+$B$18,1,0))</f>
        <v>0</v>
      </c>
      <c r="BN61" s="368" t="n">
        <f aca="false">IF(62&lt;5,0,IF(MAX(BI39:BN39)&gt;BN44+0+$B$18,1,0))</f>
        <v>0</v>
      </c>
      <c r="BO61" s="368" t="n">
        <f aca="false">IF(63&lt;5,0,IF(MAX(BJ39:BO39)&gt;BO44+0+$B$18,1,0))</f>
        <v>0</v>
      </c>
      <c r="BP61" s="368" t="n">
        <f aca="false">IF(64&lt;5,0,IF(MAX(BK39:BP39)&gt;BP44+0+$B$18,1,0))</f>
        <v>0</v>
      </c>
      <c r="BQ61" s="368" t="n">
        <f aca="false">IF(65&lt;5,0,IF(MAX(BL39:BQ39)&gt;BQ44+0+$B$18,1,0))</f>
        <v>0</v>
      </c>
      <c r="BR61" s="368" t="n">
        <f aca="false">IF(66&lt;5,0,IF(MAX(BM39:BR39)&gt;BR44+0+$B$18,1,0))</f>
        <v>0</v>
      </c>
      <c r="BS61" s="368" t="n">
        <f aca="false">IF(67&lt;5,0,IF(MAX(BN39:BS39)&gt;BS44+0+$B$18,1,0))</f>
        <v>0</v>
      </c>
      <c r="BT61" s="368" t="n">
        <f aca="false">IF(68&lt;5,0,IF(MAX(BO39:BT39)&gt;BT44+0+$B$18,1,0))</f>
        <v>0</v>
      </c>
      <c r="BU61" s="368" t="n">
        <f aca="false">IF(69&lt;5,0,IF(MAX(BP39:BU39)&gt;BU44+0+$B$18,1,0))</f>
        <v>0</v>
      </c>
      <c r="BV61" s="368" t="n">
        <f aca="false">IF(70&lt;5,0,IF(MAX(BQ39:BV39)&gt;BV44+0+$B$18,1,0))</f>
        <v>0</v>
      </c>
      <c r="BW61" s="368" t="n">
        <f aca="false">IF(71&lt;5,0,IF(MAX(BR39:BW39)&gt;BW44+0+$B$18,1,0))</f>
        <v>0</v>
      </c>
      <c r="BX61" s="368" t="n">
        <f aca="false">IF(72&lt;5,0,IF(MAX(BS39:BX39)&gt;BX44+0+$B$18,1,0))</f>
        <v>0</v>
      </c>
      <c r="BY61" s="368" t="n">
        <f aca="false">IF(73&lt;5,0,IF(MAX(BT39:BY39)&gt;BY44+0+$B$18,1,0))</f>
        <v>0</v>
      </c>
      <c r="BZ61" s="368" t="n">
        <f aca="false">IF(74&lt;5,0,IF(MAX(BU39:BZ39)&gt;BZ44+0+$B$18,1,0))</f>
        <v>0</v>
      </c>
      <c r="CA61" s="368" t="n">
        <f aca="false">IF(75&lt;5,0,IF(MAX(BV39:CA39)&gt;CA44+0+$B$18,1,0))</f>
        <v>0</v>
      </c>
      <c r="CB61" s="368" t="n">
        <f aca="false">IF(76&lt;5,0,IF(MAX(BW39:CB39)&gt;CB44+0+$B$18,1,0))</f>
        <v>0</v>
      </c>
      <c r="CC61" s="368" t="n">
        <f aca="false">IF(77&lt;5,0,IF(MAX(BX39:CC39)&gt;CC44+0+$B$18,1,0))</f>
        <v>0</v>
      </c>
      <c r="CD61" s="368" t="n">
        <f aca="false">IF(78&lt;5,0,IF(MAX(BY39:CD39)&gt;CD44+0+$B$18,1,0))</f>
        <v>0</v>
      </c>
      <c r="CE61" s="368" t="n">
        <f aca="false">IF(79&lt;5,0,IF(MAX(BZ39:CE39)&gt;CE44+0+$B$18,1,0))</f>
        <v>0</v>
      </c>
      <c r="CF61" s="368" t="n">
        <f aca="false">IF(80&lt;5,0,IF(MAX(CA39:CF39)&gt;CF44+0+$B$18,1,0))</f>
        <v>0</v>
      </c>
      <c r="CG61" s="368" t="n">
        <f aca="false">IF(81&lt;5,0,IF(MAX(CB39:CG39)&gt;CG44+0+$B$18,1,0))</f>
        <v>0</v>
      </c>
      <c r="CH61" s="368" t="n">
        <f aca="false">IF(82&lt;5,0,IF(MAX(CC39:CH39)&gt;CH44+0+$B$18,1,0))</f>
        <v>0</v>
      </c>
      <c r="CI61" s="368" t="n">
        <f aca="false">IF(83&lt;5,0,IF(MAX(CD39:CI39)&gt;CI44+0+$B$18,1,0))</f>
        <v>0</v>
      </c>
      <c r="CJ61" s="368" t="n">
        <f aca="false">IF(84&lt;5,0,IF(MAX(CE39:CJ39)&gt;CJ44+0+$B$18,1,0))</f>
        <v>0</v>
      </c>
      <c r="CK61" s="368" t="n">
        <f aca="false">IF(85&lt;5,0,IF(MAX(CF39:CK39)&gt;CK44+0+$B$18,1,0))</f>
        <v>0</v>
      </c>
      <c r="CL61" s="368" t="n">
        <f aca="false">IF(86&lt;5,0,IF(MAX(CG39:CL39)&gt;CL44+0+$B$18,1,0))</f>
        <v>0</v>
      </c>
      <c r="CM61" s="368" t="n">
        <f aca="false">IF(87&lt;5,0,IF(MAX(CH39:CM39)&gt;CM44+0+$B$18,1,0))</f>
        <v>0</v>
      </c>
      <c r="CN61" s="368" t="n">
        <f aca="false">IF(88&lt;5,0,IF(MAX(CI39:CN39)&gt;CN44+0+$B$18,1,0))</f>
        <v>0</v>
      </c>
      <c r="CO61" s="368" t="n">
        <f aca="false">IF(89&lt;5,0,IF(MAX(CJ39:CO39)&gt;CO44+0+$B$18,1,0))</f>
        <v>0</v>
      </c>
      <c r="CP61" s="368" t="n">
        <f aca="false">IF(90&lt;5,0,IF(MAX(CK39:CP39)&gt;CP44+0+$B$18,1,0))</f>
        <v>0</v>
      </c>
      <c r="CQ61" s="368" t="n">
        <f aca="false">IF(91&lt;5,0,IF(MAX(CL39:CQ39)&gt;CQ44+0+$B$18,1,0))</f>
        <v>0</v>
      </c>
      <c r="CR61" s="368" t="n">
        <f aca="false">IF(92&lt;5,0,IF(MAX(CM39:CR39)&gt;CR44+0+$B$18,1,0))</f>
        <v>0</v>
      </c>
      <c r="CS61" s="368" t="n">
        <f aca="false">IF(93&lt;5,0,IF(MAX(CN39:CS39)&gt;CS44+0+$B$18,1,0))</f>
        <v>0</v>
      </c>
      <c r="CT61" s="368" t="n">
        <f aca="false">IF(94&lt;5,0,IF(MAX(CO39:CT39)&gt;CT44+0+$B$18,1,0))</f>
        <v>0</v>
      </c>
      <c r="CU61" s="368" t="n">
        <f aca="false">IF(95&lt;5,0,IF(MAX(CP39:CU39)&gt;CU44+0+$B$18,1,0))</f>
        <v>0</v>
      </c>
      <c r="CV61" s="368" t="n">
        <f aca="false">IF(96&lt;5,0,IF(MAX(CQ39:CV39)&gt;CV44+0+$B$18,1,0))</f>
        <v>0</v>
      </c>
      <c r="CW61" s="368" t="n">
        <f aca="false">IF(97&lt;5,0,IF(MAX(CR39:CW39)&gt;CW44+0+$B$18,1,0))</f>
        <v>0</v>
      </c>
      <c r="CX61" s="368" t="n">
        <f aca="false">IF(98&lt;5,0,IF(MAX(CS39:CX39)&gt;CX44+0+$B$18,1,0))</f>
        <v>0</v>
      </c>
      <c r="CY61" s="368" t="n">
        <f aca="false">IF(99&lt;5,0,IF(MAX(CT39:CY39)&gt;CY44+0+$B$18,1,0))</f>
        <v>0</v>
      </c>
      <c r="CZ61" s="368" t="n">
        <f aca="false">IF(100&lt;5,0,IF(MAX(CU39:CZ39)&gt;CZ44+0+$B$18,1,0))</f>
        <v>0</v>
      </c>
      <c r="DA61" s="368" t="n">
        <f aca="false">IF(101&lt;5,0,IF(MAX(CV39:DA39)&gt;DA44+0+$B$18,1,0))</f>
        <v>0</v>
      </c>
      <c r="DB61" s="368" t="n">
        <f aca="false">IF(102&lt;5,0,IF(MAX(CW39:DB39)&gt;DB44+0+$B$18,1,0))</f>
        <v>0</v>
      </c>
      <c r="DC61" s="368" t="n">
        <f aca="false">IF(103&lt;5,0,IF(MAX(CX39:DC39)&gt;DC44+0+$B$18,1,0))</f>
        <v>0</v>
      </c>
      <c r="DD61" s="368" t="n">
        <f aca="false">IF(104&lt;5,0,IF(MAX(CY39:DD39)&gt;DD44+0+$B$18,1,0))</f>
        <v>0</v>
      </c>
      <c r="DE61" s="368" t="n">
        <f aca="false">IF(105&lt;5,0,IF(MAX(CZ39:DE39)&gt;DE44+0+$B$18,1,0))</f>
        <v>0</v>
      </c>
    </row>
    <row r="62" customFormat="false" ht="13.5" hidden="false" customHeight="true" outlineLevel="0" collapsed="false">
      <c r="A62" s="109" t="s">
        <v>1228</v>
      </c>
      <c r="B62" s="225" t="n">
        <f aca="false">$B$28</f>
        <v>130000</v>
      </c>
      <c r="E62" s="368" t="n">
        <f aca="false">IF(1&lt;5,0,IF(MAX(E39)&gt;E44+1+$B$18,1,0))</f>
        <v>0</v>
      </c>
      <c r="F62" s="368" t="n">
        <f aca="false">IF(2&lt;5,0,IF(MAX(E39:F39)&gt;F44+1+$B$18,1,0))</f>
        <v>0</v>
      </c>
      <c r="G62" s="368" t="n">
        <f aca="false">IF(3&lt;5,0,IF(MAX(E39:G39)&gt;G44+1+$B$18,1,0))</f>
        <v>0</v>
      </c>
      <c r="H62" s="368" t="n">
        <f aca="false">IF(4&lt;5,0,IF(MAX(E39:H39)&gt;H44+1+$B$18,1,0))</f>
        <v>0</v>
      </c>
      <c r="I62" s="368" t="n">
        <f aca="false">IF(5&lt;5,0,IF(MAX(E39:I39)&gt;I44+1+$B$18,1,0))</f>
        <v>0</v>
      </c>
      <c r="J62" s="368" t="n">
        <f aca="false">IF(6&lt;5,0,IF(MAX(E39:J39)&gt;J44+1+$B$18,1,0))</f>
        <v>0</v>
      </c>
      <c r="K62" s="368" t="n">
        <f aca="false">IF(7&lt;5,0,IF(MAX(F39:K39)&gt;K44+1+$B$18,1,0))</f>
        <v>0</v>
      </c>
      <c r="L62" s="368" t="n">
        <f aca="false">IF(8&lt;5,0,IF(MAX(G39:L39)&gt;L44+1+$B$18,1,0))</f>
        <v>0</v>
      </c>
      <c r="M62" s="368" t="n">
        <f aca="false">IF(9&lt;5,0,IF(MAX(H39:M39)&gt;M44+1+$B$18,1,0))</f>
        <v>0</v>
      </c>
      <c r="N62" s="368" t="n">
        <f aca="false">IF(10&lt;5,0,IF(MAX(I39:N39)&gt;N44+1+$B$18,1,0))</f>
        <v>0</v>
      </c>
      <c r="O62" s="368" t="n">
        <f aca="false">IF(11&lt;5,0,IF(MAX(J39:O39)&gt;O44+1+$B$18,1,0))</f>
        <v>0</v>
      </c>
      <c r="P62" s="368" t="n">
        <f aca="false">IF(12&lt;5,0,IF(MAX(K39:P39)&gt;P44+1+$B$18,1,0))</f>
        <v>0</v>
      </c>
      <c r="Q62" s="368" t="n">
        <f aca="false">IF(13&lt;5,0,IF(MAX(L39:Q39)&gt;Q44+1+$B$18,1,0))</f>
        <v>0</v>
      </c>
      <c r="R62" s="368" t="n">
        <f aca="false">IF(14&lt;5,0,IF(MAX(M39:R39)&gt;R44+1+$B$18,1,0))</f>
        <v>0</v>
      </c>
      <c r="S62" s="368" t="n">
        <f aca="false">IF(15&lt;5,0,IF(MAX(N39:S39)&gt;S44+1+$B$18,1,0))</f>
        <v>0</v>
      </c>
      <c r="T62" s="368" t="n">
        <f aca="false">IF(16&lt;5,0,IF(MAX(O39:T39)&gt;T44+1+$B$18,1,0))</f>
        <v>0</v>
      </c>
      <c r="U62" s="368" t="n">
        <f aca="false">IF(17&lt;5,0,IF(MAX(P39:U39)&gt;U44+1+$B$18,1,0))</f>
        <v>0</v>
      </c>
      <c r="V62" s="368" t="n">
        <f aca="false">IF(18&lt;5,0,IF(MAX(Q39:V39)&gt;V44+1+$B$18,1,0))</f>
        <v>0</v>
      </c>
      <c r="W62" s="368" t="n">
        <f aca="false">IF(19&lt;5,0,IF(MAX(R39:W39)&gt;W44+1+$B$18,1,0))</f>
        <v>1</v>
      </c>
      <c r="X62" s="368" t="n">
        <f aca="false">IF(20&lt;5,0,IF(MAX(S39:X39)&gt;X44+1+$B$18,1,0))</f>
        <v>1</v>
      </c>
      <c r="Y62" s="368" t="n">
        <f aca="false">IF(21&lt;5,0,IF(MAX(T39:Y39)&gt;Y44+1+$B$18,1,0))</f>
        <v>1</v>
      </c>
      <c r="Z62" s="368" t="n">
        <f aca="false">IF(22&lt;5,0,IF(MAX(U39:Z39)&gt;Z44+1+$B$18,1,0))</f>
        <v>1</v>
      </c>
      <c r="AA62" s="368" t="n">
        <f aca="false">IF(23&lt;5,0,IF(MAX(V39:AA39)&gt;AA44+1+$B$18,1,0))</f>
        <v>1</v>
      </c>
      <c r="AB62" s="368" t="n">
        <f aca="false">IF(24&lt;5,0,IF(MAX(W39:AB39)&gt;AB44+1+$B$18,1,0))</f>
        <v>1</v>
      </c>
      <c r="AC62" s="368" t="n">
        <f aca="false">IF(25&lt;5,0,IF(MAX(X39:AC39)&gt;AC44+1+$B$18,1,0))</f>
        <v>0</v>
      </c>
      <c r="AD62" s="368" t="n">
        <f aca="false">IF(26&lt;5,0,IF(MAX(Y39:AD39)&gt;AD44+1+$B$18,1,0))</f>
        <v>0</v>
      </c>
      <c r="AE62" s="368" t="n">
        <f aca="false">IF(27&lt;5,0,IF(MAX(Z39:AE39)&gt;AE44+1+$B$18,1,0))</f>
        <v>0</v>
      </c>
      <c r="AF62" s="368" t="n">
        <f aca="false">IF(28&lt;5,0,IF(MAX(AA39:AF39)&gt;AF44+1+$B$18,1,0))</f>
        <v>0</v>
      </c>
      <c r="AG62" s="368" t="n">
        <f aca="false">IF(29&lt;5,0,IF(MAX(AB39:AG39)&gt;AG44+1+$B$18,1,0))</f>
        <v>0</v>
      </c>
      <c r="AH62" s="368" t="n">
        <f aca="false">IF(30&lt;5,0,IF(MAX(AC39:AH39)&gt;AH44+1+$B$18,1,0))</f>
        <v>0</v>
      </c>
      <c r="AI62" s="368" t="n">
        <f aca="false">IF(31&lt;5,0,IF(MAX(AD39:AI39)&gt;AI44+1+$B$18,1,0))</f>
        <v>0</v>
      </c>
      <c r="AJ62" s="368" t="n">
        <f aca="false">IF(32&lt;5,0,IF(MAX(AE39:AJ39)&gt;AJ44+1+$B$18,1,0))</f>
        <v>0</v>
      </c>
      <c r="AK62" s="368" t="n">
        <f aca="false">IF(33&lt;5,0,IF(MAX(AF39:AK39)&gt;AK44+1+$B$18,1,0))</f>
        <v>0</v>
      </c>
      <c r="AL62" s="368" t="n">
        <f aca="false">IF(34&lt;5,0,IF(MAX(AG39:AL39)&gt;AL44+1+$B$18,1,0))</f>
        <v>0</v>
      </c>
      <c r="AM62" s="368" t="n">
        <f aca="false">IF(35&lt;5,0,IF(MAX(AH39:AM39)&gt;AM44+1+$B$18,1,0))</f>
        <v>0</v>
      </c>
      <c r="AN62" s="368" t="n">
        <f aca="false">IF(36&lt;5,0,IF(MAX(AI39:AN39)&gt;AN44+1+$B$18,1,0))</f>
        <v>0</v>
      </c>
      <c r="AO62" s="368" t="n">
        <f aca="false">IF(37&lt;5,0,IF(MAX(AJ39:AO39)&gt;AO44+1+$B$18,1,0))</f>
        <v>0</v>
      </c>
      <c r="AP62" s="368" t="n">
        <f aca="false">IF(38&lt;5,0,IF(MAX(AK39:AP39)&gt;AP44+1+$B$18,1,0))</f>
        <v>0</v>
      </c>
      <c r="AQ62" s="368" t="n">
        <f aca="false">IF(39&lt;5,0,IF(MAX(AL39:AQ39)&gt;AQ44+1+$B$18,1,0))</f>
        <v>0</v>
      </c>
      <c r="AR62" s="368" t="n">
        <f aca="false">IF(40&lt;5,0,IF(MAX(AM39:AR39)&gt;AR44+1+$B$18,1,0))</f>
        <v>0</v>
      </c>
      <c r="AS62" s="368" t="n">
        <f aca="false">IF(41&lt;5,0,IF(MAX(AN39:AS39)&gt;AS44+1+$B$18,1,0))</f>
        <v>0</v>
      </c>
      <c r="AT62" s="368" t="n">
        <f aca="false">IF(42&lt;5,0,IF(MAX(AO39:AT39)&gt;AT44+1+$B$18,1,0))</f>
        <v>0</v>
      </c>
      <c r="AU62" s="368" t="n">
        <f aca="false">IF(43&lt;5,0,IF(MAX(AP39:AU39)&gt;AU44+1+$B$18,1,0))</f>
        <v>0</v>
      </c>
      <c r="AV62" s="368" t="n">
        <f aca="false">IF(44&lt;5,0,IF(MAX(AQ39:AV39)&gt;AV44+1+$B$18,1,0))</f>
        <v>0</v>
      </c>
      <c r="AW62" s="368" t="n">
        <f aca="false">IF(45&lt;5,0,IF(MAX(AR39:AW39)&gt;AW44+1+$B$18,1,0))</f>
        <v>0</v>
      </c>
      <c r="AX62" s="368" t="n">
        <f aca="false">IF(46&lt;5,0,IF(MAX(AS39:AX39)&gt;AX44+1+$B$18,1,0))</f>
        <v>0</v>
      </c>
      <c r="AY62" s="368" t="n">
        <f aca="false">IF(47&lt;5,0,IF(MAX(AT39:AY39)&gt;AY44+1+$B$18,1,0))</f>
        <v>0</v>
      </c>
      <c r="AZ62" s="368" t="n">
        <f aca="false">IF(48&lt;5,0,IF(MAX(AU39:AZ39)&gt;AZ44+1+$B$18,1,0))</f>
        <v>0</v>
      </c>
      <c r="BA62" s="368" t="n">
        <f aca="false">IF(49&lt;5,0,IF(MAX(AV39:BA39)&gt;BA44+1+$B$18,1,0))</f>
        <v>0</v>
      </c>
      <c r="BB62" s="368" t="n">
        <f aca="false">IF(50&lt;5,0,IF(MAX(AW39:BB39)&gt;BB44+1+$B$18,1,0))</f>
        <v>0</v>
      </c>
      <c r="BC62" s="368" t="n">
        <f aca="false">IF(51&lt;5,0,IF(MAX(AX39:BC39)&gt;BC44+1+$B$18,1,0))</f>
        <v>0</v>
      </c>
      <c r="BD62" s="368" t="n">
        <f aca="false">IF(52&lt;5,0,IF(MAX(AY39:BD39)&gt;BD44+1+$B$18,1,0))</f>
        <v>0</v>
      </c>
      <c r="BE62" s="368" t="n">
        <f aca="false">IF(53&lt;5,0,IF(MAX(AZ39:BE39)&gt;BE44+1+$B$18,1,0))</f>
        <v>0</v>
      </c>
      <c r="BF62" s="368" t="n">
        <f aca="false">IF(54&lt;5,0,IF(MAX(BA39:BF39)&gt;BF44+1+$B$18,1,0))</f>
        <v>0</v>
      </c>
      <c r="BG62" s="368" t="n">
        <f aca="false">IF(55&lt;5,0,IF(MAX(BB39:BG39)&gt;BG44+1+$B$18,1,0))</f>
        <v>0</v>
      </c>
      <c r="BH62" s="368" t="n">
        <f aca="false">IF(56&lt;5,0,IF(MAX(BC39:BH39)&gt;BH44+1+$B$18,1,0))</f>
        <v>0</v>
      </c>
      <c r="BI62" s="368" t="n">
        <f aca="false">IF(57&lt;5,0,IF(MAX(BD39:BI39)&gt;BI44+1+$B$18,1,0))</f>
        <v>0</v>
      </c>
      <c r="BJ62" s="368" t="n">
        <f aca="false">IF(58&lt;5,0,IF(MAX(BE39:BJ39)&gt;BJ44+1+$B$18,1,0))</f>
        <v>0</v>
      </c>
      <c r="BK62" s="368" t="n">
        <f aca="false">IF(59&lt;5,0,IF(MAX(BF39:BK39)&gt;BK44+1+$B$18,1,0))</f>
        <v>0</v>
      </c>
      <c r="BL62" s="368" t="n">
        <f aca="false">IF(60&lt;5,0,IF(MAX(BG39:BL39)&gt;BL44+1+$B$18,1,0))</f>
        <v>0</v>
      </c>
      <c r="BM62" s="368" t="n">
        <f aca="false">IF(61&lt;5,0,IF(MAX(BH39:BM39)&gt;BM44+1+$B$18,1,0))</f>
        <v>0</v>
      </c>
      <c r="BN62" s="368" t="n">
        <f aca="false">IF(62&lt;5,0,IF(MAX(BI39:BN39)&gt;BN44+1+$B$18,1,0))</f>
        <v>0</v>
      </c>
      <c r="BO62" s="368" t="n">
        <f aca="false">IF(63&lt;5,0,IF(MAX(BJ39:BO39)&gt;BO44+1+$B$18,1,0))</f>
        <v>0</v>
      </c>
      <c r="BP62" s="368" t="n">
        <f aca="false">IF(64&lt;5,0,IF(MAX(BK39:BP39)&gt;BP44+1+$B$18,1,0))</f>
        <v>0</v>
      </c>
      <c r="BQ62" s="368" t="n">
        <f aca="false">IF(65&lt;5,0,IF(MAX(BL39:BQ39)&gt;BQ44+1+$B$18,1,0))</f>
        <v>0</v>
      </c>
      <c r="BR62" s="368" t="n">
        <f aca="false">IF(66&lt;5,0,IF(MAX(BM39:BR39)&gt;BR44+1+$B$18,1,0))</f>
        <v>0</v>
      </c>
      <c r="BS62" s="368" t="n">
        <f aca="false">IF(67&lt;5,0,IF(MAX(BN39:BS39)&gt;BS44+1+$B$18,1,0))</f>
        <v>0</v>
      </c>
      <c r="BT62" s="368" t="n">
        <f aca="false">IF(68&lt;5,0,IF(MAX(BO39:BT39)&gt;BT44+1+$B$18,1,0))</f>
        <v>0</v>
      </c>
      <c r="BU62" s="368" t="n">
        <f aca="false">IF(69&lt;5,0,IF(MAX(BP39:BU39)&gt;BU44+1+$B$18,1,0))</f>
        <v>0</v>
      </c>
      <c r="BV62" s="368" t="n">
        <f aca="false">IF(70&lt;5,0,IF(MAX(BQ39:BV39)&gt;BV44+1+$B$18,1,0))</f>
        <v>0</v>
      </c>
      <c r="BW62" s="368" t="n">
        <f aca="false">IF(71&lt;5,0,IF(MAX(BR39:BW39)&gt;BW44+1+$B$18,1,0))</f>
        <v>0</v>
      </c>
      <c r="BX62" s="368" t="n">
        <f aca="false">IF(72&lt;5,0,IF(MAX(BS39:BX39)&gt;BX44+1+$B$18,1,0))</f>
        <v>0</v>
      </c>
      <c r="BY62" s="368" t="n">
        <f aca="false">IF(73&lt;5,0,IF(MAX(BT39:BY39)&gt;BY44+1+$B$18,1,0))</f>
        <v>0</v>
      </c>
      <c r="BZ62" s="368" t="n">
        <f aca="false">IF(74&lt;5,0,IF(MAX(BU39:BZ39)&gt;BZ44+1+$B$18,1,0))</f>
        <v>0</v>
      </c>
      <c r="CA62" s="368" t="n">
        <f aca="false">IF(75&lt;5,0,IF(MAX(BV39:CA39)&gt;CA44+1+$B$18,1,0))</f>
        <v>0</v>
      </c>
      <c r="CB62" s="368" t="n">
        <f aca="false">IF(76&lt;5,0,IF(MAX(BW39:CB39)&gt;CB44+1+$B$18,1,0))</f>
        <v>0</v>
      </c>
      <c r="CC62" s="368" t="n">
        <f aca="false">IF(77&lt;5,0,IF(MAX(BX39:CC39)&gt;CC44+1+$B$18,1,0))</f>
        <v>0</v>
      </c>
      <c r="CD62" s="368" t="n">
        <f aca="false">IF(78&lt;5,0,IF(MAX(BY39:CD39)&gt;CD44+1+$B$18,1,0))</f>
        <v>0</v>
      </c>
      <c r="CE62" s="368" t="n">
        <f aca="false">IF(79&lt;5,0,IF(MAX(BZ39:CE39)&gt;CE44+1+$B$18,1,0))</f>
        <v>0</v>
      </c>
      <c r="CF62" s="368" t="n">
        <f aca="false">IF(80&lt;5,0,IF(MAX(CA39:CF39)&gt;CF44+1+$B$18,1,0))</f>
        <v>0</v>
      </c>
      <c r="CG62" s="368" t="n">
        <f aca="false">IF(81&lt;5,0,IF(MAX(CB39:CG39)&gt;CG44+1+$B$18,1,0))</f>
        <v>0</v>
      </c>
      <c r="CH62" s="368" t="n">
        <f aca="false">IF(82&lt;5,0,IF(MAX(CC39:CH39)&gt;CH44+1+$B$18,1,0))</f>
        <v>0</v>
      </c>
      <c r="CI62" s="368" t="n">
        <f aca="false">IF(83&lt;5,0,IF(MAX(CD39:CI39)&gt;CI44+1+$B$18,1,0))</f>
        <v>0</v>
      </c>
      <c r="CJ62" s="368" t="n">
        <f aca="false">IF(84&lt;5,0,IF(MAX(CE39:CJ39)&gt;CJ44+1+$B$18,1,0))</f>
        <v>0</v>
      </c>
      <c r="CK62" s="368" t="n">
        <f aca="false">IF(85&lt;5,0,IF(MAX(CF39:CK39)&gt;CK44+1+$B$18,1,0))</f>
        <v>0</v>
      </c>
      <c r="CL62" s="368" t="n">
        <f aca="false">IF(86&lt;5,0,IF(MAX(CG39:CL39)&gt;CL44+1+$B$18,1,0))</f>
        <v>0</v>
      </c>
      <c r="CM62" s="368" t="n">
        <f aca="false">IF(87&lt;5,0,IF(MAX(CH39:CM39)&gt;CM44+1+$B$18,1,0))</f>
        <v>0</v>
      </c>
      <c r="CN62" s="368" t="n">
        <f aca="false">IF(88&lt;5,0,IF(MAX(CI39:CN39)&gt;CN44+1+$B$18,1,0))</f>
        <v>0</v>
      </c>
      <c r="CO62" s="368" t="n">
        <f aca="false">IF(89&lt;5,0,IF(MAX(CJ39:CO39)&gt;CO44+1+$B$18,1,0))</f>
        <v>0</v>
      </c>
      <c r="CP62" s="368" t="n">
        <f aca="false">IF(90&lt;5,0,IF(MAX(CK39:CP39)&gt;CP44+1+$B$18,1,0))</f>
        <v>0</v>
      </c>
      <c r="CQ62" s="368" t="n">
        <f aca="false">IF(91&lt;5,0,IF(MAX(CL39:CQ39)&gt;CQ44+1+$B$18,1,0))</f>
        <v>0</v>
      </c>
      <c r="CR62" s="368" t="n">
        <f aca="false">IF(92&lt;5,0,IF(MAX(CM39:CR39)&gt;CR44+1+$B$18,1,0))</f>
        <v>0</v>
      </c>
      <c r="CS62" s="368" t="n">
        <f aca="false">IF(93&lt;5,0,IF(MAX(CN39:CS39)&gt;CS44+1+$B$18,1,0))</f>
        <v>0</v>
      </c>
      <c r="CT62" s="368" t="n">
        <f aca="false">IF(94&lt;5,0,IF(MAX(CO39:CT39)&gt;CT44+1+$B$18,1,0))</f>
        <v>0</v>
      </c>
      <c r="CU62" s="368" t="n">
        <f aca="false">IF(95&lt;5,0,IF(MAX(CP39:CU39)&gt;CU44+1+$B$18,1,0))</f>
        <v>0</v>
      </c>
      <c r="CV62" s="368" t="n">
        <f aca="false">IF(96&lt;5,0,IF(MAX(CQ39:CV39)&gt;CV44+1+$B$18,1,0))</f>
        <v>0</v>
      </c>
      <c r="CW62" s="368" t="n">
        <f aca="false">IF(97&lt;5,0,IF(MAX(CR39:CW39)&gt;CW44+1+$B$18,1,0))</f>
        <v>0</v>
      </c>
      <c r="CX62" s="368" t="n">
        <f aca="false">IF(98&lt;5,0,IF(MAX(CS39:CX39)&gt;CX44+1+$B$18,1,0))</f>
        <v>0</v>
      </c>
      <c r="CY62" s="368" t="n">
        <f aca="false">IF(99&lt;5,0,IF(MAX(CT39:CY39)&gt;CY44+1+$B$18,1,0))</f>
        <v>0</v>
      </c>
      <c r="CZ62" s="368" t="n">
        <f aca="false">IF(100&lt;5,0,IF(MAX(CU39:CZ39)&gt;CZ44+1+$B$18,1,0))</f>
        <v>0</v>
      </c>
      <c r="DA62" s="368" t="n">
        <f aca="false">IF(101&lt;5,0,IF(MAX(CV39:DA39)&gt;DA44+1+$B$18,1,0))</f>
        <v>0</v>
      </c>
      <c r="DB62" s="368" t="n">
        <f aca="false">IF(102&lt;5,0,IF(MAX(CW39:DB39)&gt;DB44+1+$B$18,1,0))</f>
        <v>0</v>
      </c>
      <c r="DC62" s="368" t="n">
        <f aca="false">IF(103&lt;5,0,IF(MAX(CX39:DC39)&gt;DC44+1+$B$18,1,0))</f>
        <v>0</v>
      </c>
      <c r="DD62" s="368" t="n">
        <f aca="false">IF(104&lt;5,0,IF(MAX(CY39:DD39)&gt;DD44+1+$B$18,1,0))</f>
        <v>0</v>
      </c>
      <c r="DE62" s="368" t="n">
        <f aca="false">IF(105&lt;5,0,IF(MAX(CZ39:DE39)&gt;DE44+1+$B$18,1,0))</f>
        <v>0</v>
      </c>
    </row>
    <row r="63" customFormat="false" ht="13.5" hidden="false" customHeight="true" outlineLevel="0" collapsed="false">
      <c r="A63" s="109" t="s">
        <v>1229</v>
      </c>
      <c r="B63" s="225" t="n">
        <f aca="false">$B$28</f>
        <v>130000</v>
      </c>
      <c r="E63" s="368" t="n">
        <f aca="false">IF(1&lt;5,0,IF(MAX(E39)&gt;E44+2+$B$18,1,0))</f>
        <v>0</v>
      </c>
      <c r="F63" s="368" t="n">
        <f aca="false">IF(2&lt;5,0,IF(MAX(E39:F39)&gt;F44+2+$B$18,1,0))</f>
        <v>0</v>
      </c>
      <c r="G63" s="368" t="n">
        <f aca="false">IF(3&lt;5,0,IF(MAX(E39:G39)&gt;G44+2+$B$18,1,0))</f>
        <v>0</v>
      </c>
      <c r="H63" s="368" t="n">
        <f aca="false">IF(4&lt;5,0,IF(MAX(E39:H39)&gt;H44+2+$B$18,1,0))</f>
        <v>0</v>
      </c>
      <c r="I63" s="368" t="n">
        <f aca="false">IF(5&lt;5,0,IF(MAX(E39:I39)&gt;I44+2+$B$18,1,0))</f>
        <v>0</v>
      </c>
      <c r="J63" s="368" t="n">
        <f aca="false">IF(6&lt;5,0,IF(MAX(E39:J39)&gt;J44+2+$B$18,1,0))</f>
        <v>0</v>
      </c>
      <c r="K63" s="368" t="n">
        <f aca="false">IF(7&lt;5,0,IF(MAX(F39:K39)&gt;K44+2+$B$18,1,0))</f>
        <v>0</v>
      </c>
      <c r="L63" s="368" t="n">
        <f aca="false">IF(8&lt;5,0,IF(MAX(G39:L39)&gt;L44+2+$B$18,1,0))</f>
        <v>0</v>
      </c>
      <c r="M63" s="368" t="n">
        <f aca="false">IF(9&lt;5,0,IF(MAX(H39:M39)&gt;M44+2+$B$18,1,0))</f>
        <v>0</v>
      </c>
      <c r="N63" s="368" t="n">
        <f aca="false">IF(10&lt;5,0,IF(MAX(I39:N39)&gt;N44+2+$B$18,1,0))</f>
        <v>0</v>
      </c>
      <c r="O63" s="368" t="n">
        <f aca="false">IF(11&lt;5,0,IF(MAX(J39:O39)&gt;O44+2+$B$18,1,0))</f>
        <v>0</v>
      </c>
      <c r="P63" s="368" t="n">
        <f aca="false">IF(12&lt;5,0,IF(MAX(K39:P39)&gt;P44+2+$B$18,1,0))</f>
        <v>0</v>
      </c>
      <c r="Q63" s="368" t="n">
        <f aca="false">IF(13&lt;5,0,IF(MAX(L39:Q39)&gt;Q44+2+$B$18,1,0))</f>
        <v>0</v>
      </c>
      <c r="R63" s="368" t="n">
        <f aca="false">IF(14&lt;5,0,IF(MAX(M39:R39)&gt;R44+2+$B$18,1,0))</f>
        <v>0</v>
      </c>
      <c r="S63" s="368" t="n">
        <f aca="false">IF(15&lt;5,0,IF(MAX(N39:S39)&gt;S44+2+$B$18,1,0))</f>
        <v>0</v>
      </c>
      <c r="T63" s="368" t="n">
        <f aca="false">IF(16&lt;5,0,IF(MAX(O39:T39)&gt;T44+2+$B$18,1,0))</f>
        <v>0</v>
      </c>
      <c r="U63" s="368" t="n">
        <f aca="false">IF(17&lt;5,0,IF(MAX(P39:U39)&gt;U44+2+$B$18,1,0))</f>
        <v>0</v>
      </c>
      <c r="V63" s="368" t="n">
        <f aca="false">IF(18&lt;5,0,IF(MAX(Q39:V39)&gt;V44+2+$B$18,1,0))</f>
        <v>0</v>
      </c>
      <c r="W63" s="368" t="n">
        <f aca="false">IF(19&lt;5,0,IF(MAX(R39:W39)&gt;W44+2+$B$18,1,0))</f>
        <v>0</v>
      </c>
      <c r="X63" s="368" t="n">
        <f aca="false">IF(20&lt;5,0,IF(MAX(S39:X39)&gt;X44+2+$B$18,1,0))</f>
        <v>0</v>
      </c>
      <c r="Y63" s="368" t="n">
        <f aca="false">IF(21&lt;5,0,IF(MAX(T39:Y39)&gt;Y44+2+$B$18,1,0))</f>
        <v>0</v>
      </c>
      <c r="Z63" s="368" t="n">
        <f aca="false">IF(22&lt;5,0,IF(MAX(U39:Z39)&gt;Z44+2+$B$18,1,0))</f>
        <v>0</v>
      </c>
      <c r="AA63" s="368" t="n">
        <f aca="false">IF(23&lt;5,0,IF(MAX(V39:AA39)&gt;AA44+2+$B$18,1,0))</f>
        <v>0</v>
      </c>
      <c r="AB63" s="368" t="n">
        <f aca="false">IF(24&lt;5,0,IF(MAX(W39:AB39)&gt;AB44+2+$B$18,1,0))</f>
        <v>0</v>
      </c>
      <c r="AC63" s="368" t="n">
        <f aca="false">IF(25&lt;5,0,IF(MAX(X39:AC39)&gt;AC44+2+$B$18,1,0))</f>
        <v>0</v>
      </c>
      <c r="AD63" s="368" t="n">
        <f aca="false">IF(26&lt;5,0,IF(MAX(Y39:AD39)&gt;AD44+2+$B$18,1,0))</f>
        <v>0</v>
      </c>
      <c r="AE63" s="368" t="n">
        <f aca="false">IF(27&lt;5,0,IF(MAX(Z39:AE39)&gt;AE44+2+$B$18,1,0))</f>
        <v>0</v>
      </c>
      <c r="AF63" s="368" t="n">
        <f aca="false">IF(28&lt;5,0,IF(MAX(AA39:AF39)&gt;AF44+2+$B$18,1,0))</f>
        <v>0</v>
      </c>
      <c r="AG63" s="368" t="n">
        <f aca="false">IF(29&lt;5,0,IF(MAX(AB39:AG39)&gt;AG44+2+$B$18,1,0))</f>
        <v>0</v>
      </c>
      <c r="AH63" s="368" t="n">
        <f aca="false">IF(30&lt;5,0,IF(MAX(AC39:AH39)&gt;AH44+2+$B$18,1,0))</f>
        <v>0</v>
      </c>
      <c r="AI63" s="368" t="n">
        <f aca="false">IF(31&lt;5,0,IF(MAX(AD39:AI39)&gt;AI44+2+$B$18,1,0))</f>
        <v>0</v>
      </c>
      <c r="AJ63" s="368" t="n">
        <f aca="false">IF(32&lt;5,0,IF(MAX(AE39:AJ39)&gt;AJ44+2+$B$18,1,0))</f>
        <v>0</v>
      </c>
      <c r="AK63" s="368" t="n">
        <f aca="false">IF(33&lt;5,0,IF(MAX(AF39:AK39)&gt;AK44+2+$B$18,1,0))</f>
        <v>0</v>
      </c>
      <c r="AL63" s="368" t="n">
        <f aca="false">IF(34&lt;5,0,IF(MAX(AG39:AL39)&gt;AL44+2+$B$18,1,0))</f>
        <v>0</v>
      </c>
      <c r="AM63" s="368" t="n">
        <f aca="false">IF(35&lt;5,0,IF(MAX(AH39:AM39)&gt;AM44+2+$B$18,1,0))</f>
        <v>0</v>
      </c>
      <c r="AN63" s="368" t="n">
        <f aca="false">IF(36&lt;5,0,IF(MAX(AI39:AN39)&gt;AN44+2+$B$18,1,0))</f>
        <v>0</v>
      </c>
      <c r="AO63" s="368" t="n">
        <f aca="false">IF(37&lt;5,0,IF(MAX(AJ39:AO39)&gt;AO44+2+$B$18,1,0))</f>
        <v>0</v>
      </c>
      <c r="AP63" s="368" t="n">
        <f aca="false">IF(38&lt;5,0,IF(MAX(AK39:AP39)&gt;AP44+2+$B$18,1,0))</f>
        <v>0</v>
      </c>
      <c r="AQ63" s="368" t="n">
        <f aca="false">IF(39&lt;5,0,IF(MAX(AL39:AQ39)&gt;AQ44+2+$B$18,1,0))</f>
        <v>0</v>
      </c>
      <c r="AR63" s="368" t="n">
        <f aca="false">IF(40&lt;5,0,IF(MAX(AM39:AR39)&gt;AR44+2+$B$18,1,0))</f>
        <v>0</v>
      </c>
      <c r="AS63" s="368" t="n">
        <f aca="false">IF(41&lt;5,0,IF(MAX(AN39:AS39)&gt;AS44+2+$B$18,1,0))</f>
        <v>0</v>
      </c>
      <c r="AT63" s="368" t="n">
        <f aca="false">IF(42&lt;5,0,IF(MAX(AO39:AT39)&gt;AT44+2+$B$18,1,0))</f>
        <v>0</v>
      </c>
      <c r="AU63" s="368" t="n">
        <f aca="false">IF(43&lt;5,0,IF(MAX(AP39:AU39)&gt;AU44+2+$B$18,1,0))</f>
        <v>0</v>
      </c>
      <c r="AV63" s="368" t="n">
        <f aca="false">IF(44&lt;5,0,IF(MAX(AQ39:AV39)&gt;AV44+2+$B$18,1,0))</f>
        <v>0</v>
      </c>
      <c r="AW63" s="368" t="n">
        <f aca="false">IF(45&lt;5,0,IF(MAX(AR39:AW39)&gt;AW44+2+$B$18,1,0))</f>
        <v>0</v>
      </c>
      <c r="AX63" s="368" t="n">
        <f aca="false">IF(46&lt;5,0,IF(MAX(AS39:AX39)&gt;AX44+2+$B$18,1,0))</f>
        <v>0</v>
      </c>
      <c r="AY63" s="368" t="n">
        <f aca="false">IF(47&lt;5,0,IF(MAX(AT39:AY39)&gt;AY44+2+$B$18,1,0))</f>
        <v>0</v>
      </c>
      <c r="AZ63" s="368" t="n">
        <f aca="false">IF(48&lt;5,0,IF(MAX(AU39:AZ39)&gt;AZ44+2+$B$18,1,0))</f>
        <v>0</v>
      </c>
      <c r="BA63" s="368" t="n">
        <f aca="false">IF(49&lt;5,0,IF(MAX(AV39:BA39)&gt;BA44+2+$B$18,1,0))</f>
        <v>0</v>
      </c>
      <c r="BB63" s="368" t="n">
        <f aca="false">IF(50&lt;5,0,IF(MAX(AW39:BB39)&gt;BB44+2+$B$18,1,0))</f>
        <v>0</v>
      </c>
      <c r="BC63" s="368" t="n">
        <f aca="false">IF(51&lt;5,0,IF(MAX(AX39:BC39)&gt;BC44+2+$B$18,1,0))</f>
        <v>0</v>
      </c>
      <c r="BD63" s="368" t="n">
        <f aca="false">IF(52&lt;5,0,IF(MAX(AY39:BD39)&gt;BD44+2+$B$18,1,0))</f>
        <v>0</v>
      </c>
      <c r="BE63" s="368" t="n">
        <f aca="false">IF(53&lt;5,0,IF(MAX(AZ39:BE39)&gt;BE44+2+$B$18,1,0))</f>
        <v>0</v>
      </c>
      <c r="BF63" s="368" t="n">
        <f aca="false">IF(54&lt;5,0,IF(MAX(BA39:BF39)&gt;BF44+2+$B$18,1,0))</f>
        <v>0</v>
      </c>
      <c r="BG63" s="368" t="n">
        <f aca="false">IF(55&lt;5,0,IF(MAX(BB39:BG39)&gt;BG44+2+$B$18,1,0))</f>
        <v>0</v>
      </c>
      <c r="BH63" s="368" t="n">
        <f aca="false">IF(56&lt;5,0,IF(MAX(BC39:BH39)&gt;BH44+2+$B$18,1,0))</f>
        <v>0</v>
      </c>
      <c r="BI63" s="368" t="n">
        <f aca="false">IF(57&lt;5,0,IF(MAX(BD39:BI39)&gt;BI44+2+$B$18,1,0))</f>
        <v>0</v>
      </c>
      <c r="BJ63" s="368" t="n">
        <f aca="false">IF(58&lt;5,0,IF(MAX(BE39:BJ39)&gt;BJ44+2+$B$18,1,0))</f>
        <v>0</v>
      </c>
      <c r="BK63" s="368" t="n">
        <f aca="false">IF(59&lt;5,0,IF(MAX(BF39:BK39)&gt;BK44+2+$B$18,1,0))</f>
        <v>0</v>
      </c>
      <c r="BL63" s="368" t="n">
        <f aca="false">IF(60&lt;5,0,IF(MAX(BG39:BL39)&gt;BL44+2+$B$18,1,0))</f>
        <v>0</v>
      </c>
      <c r="BM63" s="368" t="n">
        <f aca="false">IF(61&lt;5,0,IF(MAX(BH39:BM39)&gt;BM44+2+$B$18,1,0))</f>
        <v>0</v>
      </c>
      <c r="BN63" s="368" t="n">
        <f aca="false">IF(62&lt;5,0,IF(MAX(BI39:BN39)&gt;BN44+2+$B$18,1,0))</f>
        <v>0</v>
      </c>
      <c r="BO63" s="368" t="n">
        <f aca="false">IF(63&lt;5,0,IF(MAX(BJ39:BO39)&gt;BO44+2+$B$18,1,0))</f>
        <v>0</v>
      </c>
      <c r="BP63" s="368" t="n">
        <f aca="false">IF(64&lt;5,0,IF(MAX(BK39:BP39)&gt;BP44+2+$B$18,1,0))</f>
        <v>0</v>
      </c>
      <c r="BQ63" s="368" t="n">
        <f aca="false">IF(65&lt;5,0,IF(MAX(BL39:BQ39)&gt;BQ44+2+$B$18,1,0))</f>
        <v>0</v>
      </c>
      <c r="BR63" s="368" t="n">
        <f aca="false">IF(66&lt;5,0,IF(MAX(BM39:BR39)&gt;BR44+2+$B$18,1,0))</f>
        <v>0</v>
      </c>
      <c r="BS63" s="368" t="n">
        <f aca="false">IF(67&lt;5,0,IF(MAX(BN39:BS39)&gt;BS44+2+$B$18,1,0))</f>
        <v>0</v>
      </c>
      <c r="BT63" s="368" t="n">
        <f aca="false">IF(68&lt;5,0,IF(MAX(BO39:BT39)&gt;BT44+2+$B$18,1,0))</f>
        <v>0</v>
      </c>
      <c r="BU63" s="368" t="n">
        <f aca="false">IF(69&lt;5,0,IF(MAX(BP39:BU39)&gt;BU44+2+$B$18,1,0))</f>
        <v>0</v>
      </c>
      <c r="BV63" s="368" t="n">
        <f aca="false">IF(70&lt;5,0,IF(MAX(BQ39:BV39)&gt;BV44+2+$B$18,1,0))</f>
        <v>0</v>
      </c>
      <c r="BW63" s="368" t="n">
        <f aca="false">IF(71&lt;5,0,IF(MAX(BR39:BW39)&gt;BW44+2+$B$18,1,0))</f>
        <v>0</v>
      </c>
      <c r="BX63" s="368" t="n">
        <f aca="false">IF(72&lt;5,0,IF(MAX(BS39:BX39)&gt;BX44+2+$B$18,1,0))</f>
        <v>0</v>
      </c>
      <c r="BY63" s="368" t="n">
        <f aca="false">IF(73&lt;5,0,IF(MAX(BT39:BY39)&gt;BY44+2+$B$18,1,0))</f>
        <v>0</v>
      </c>
      <c r="BZ63" s="368" t="n">
        <f aca="false">IF(74&lt;5,0,IF(MAX(BU39:BZ39)&gt;BZ44+2+$B$18,1,0))</f>
        <v>0</v>
      </c>
      <c r="CA63" s="368" t="n">
        <f aca="false">IF(75&lt;5,0,IF(MAX(BV39:CA39)&gt;CA44+2+$B$18,1,0))</f>
        <v>0</v>
      </c>
      <c r="CB63" s="368" t="n">
        <f aca="false">IF(76&lt;5,0,IF(MAX(BW39:CB39)&gt;CB44+2+$B$18,1,0))</f>
        <v>0</v>
      </c>
      <c r="CC63" s="368" t="n">
        <f aca="false">IF(77&lt;5,0,IF(MAX(BX39:CC39)&gt;CC44+2+$B$18,1,0))</f>
        <v>0</v>
      </c>
      <c r="CD63" s="368" t="n">
        <f aca="false">IF(78&lt;5,0,IF(MAX(BY39:CD39)&gt;CD44+2+$B$18,1,0))</f>
        <v>0</v>
      </c>
      <c r="CE63" s="368" t="n">
        <f aca="false">IF(79&lt;5,0,IF(MAX(BZ39:CE39)&gt;CE44+2+$B$18,1,0))</f>
        <v>0</v>
      </c>
      <c r="CF63" s="368" t="n">
        <f aca="false">IF(80&lt;5,0,IF(MAX(CA39:CF39)&gt;CF44+2+$B$18,1,0))</f>
        <v>0</v>
      </c>
      <c r="CG63" s="368" t="n">
        <f aca="false">IF(81&lt;5,0,IF(MAX(CB39:CG39)&gt;CG44+2+$B$18,1,0))</f>
        <v>0</v>
      </c>
      <c r="CH63" s="368" t="n">
        <f aca="false">IF(82&lt;5,0,IF(MAX(CC39:CH39)&gt;CH44+2+$B$18,1,0))</f>
        <v>0</v>
      </c>
      <c r="CI63" s="368" t="n">
        <f aca="false">IF(83&lt;5,0,IF(MAX(CD39:CI39)&gt;CI44+2+$B$18,1,0))</f>
        <v>0</v>
      </c>
      <c r="CJ63" s="368" t="n">
        <f aca="false">IF(84&lt;5,0,IF(MAX(CE39:CJ39)&gt;CJ44+2+$B$18,1,0))</f>
        <v>0</v>
      </c>
      <c r="CK63" s="368" t="n">
        <f aca="false">IF(85&lt;5,0,IF(MAX(CF39:CK39)&gt;CK44+2+$B$18,1,0))</f>
        <v>0</v>
      </c>
      <c r="CL63" s="368" t="n">
        <f aca="false">IF(86&lt;5,0,IF(MAX(CG39:CL39)&gt;CL44+2+$B$18,1,0))</f>
        <v>0</v>
      </c>
      <c r="CM63" s="368" t="n">
        <f aca="false">IF(87&lt;5,0,IF(MAX(CH39:CM39)&gt;CM44+2+$B$18,1,0))</f>
        <v>0</v>
      </c>
      <c r="CN63" s="368" t="n">
        <f aca="false">IF(88&lt;5,0,IF(MAX(CI39:CN39)&gt;CN44+2+$B$18,1,0))</f>
        <v>0</v>
      </c>
      <c r="CO63" s="368" t="n">
        <f aca="false">IF(89&lt;5,0,IF(MAX(CJ39:CO39)&gt;CO44+2+$B$18,1,0))</f>
        <v>0</v>
      </c>
      <c r="CP63" s="368" t="n">
        <f aca="false">IF(90&lt;5,0,IF(MAX(CK39:CP39)&gt;CP44+2+$B$18,1,0))</f>
        <v>0</v>
      </c>
      <c r="CQ63" s="368" t="n">
        <f aca="false">IF(91&lt;5,0,IF(MAX(CL39:CQ39)&gt;CQ44+2+$B$18,1,0))</f>
        <v>0</v>
      </c>
      <c r="CR63" s="368" t="n">
        <f aca="false">IF(92&lt;5,0,IF(MAX(CM39:CR39)&gt;CR44+2+$B$18,1,0))</f>
        <v>0</v>
      </c>
      <c r="CS63" s="368" t="n">
        <f aca="false">IF(93&lt;5,0,IF(MAX(CN39:CS39)&gt;CS44+2+$B$18,1,0))</f>
        <v>0</v>
      </c>
      <c r="CT63" s="368" t="n">
        <f aca="false">IF(94&lt;5,0,IF(MAX(CO39:CT39)&gt;CT44+2+$B$18,1,0))</f>
        <v>0</v>
      </c>
      <c r="CU63" s="368" t="n">
        <f aca="false">IF(95&lt;5,0,IF(MAX(CP39:CU39)&gt;CU44+2+$B$18,1,0))</f>
        <v>0</v>
      </c>
      <c r="CV63" s="368" t="n">
        <f aca="false">IF(96&lt;5,0,IF(MAX(CQ39:CV39)&gt;CV44+2+$B$18,1,0))</f>
        <v>0</v>
      </c>
      <c r="CW63" s="368" t="n">
        <f aca="false">IF(97&lt;5,0,IF(MAX(CR39:CW39)&gt;CW44+2+$B$18,1,0))</f>
        <v>0</v>
      </c>
      <c r="CX63" s="368" t="n">
        <f aca="false">IF(98&lt;5,0,IF(MAX(CS39:CX39)&gt;CX44+2+$B$18,1,0))</f>
        <v>0</v>
      </c>
      <c r="CY63" s="368" t="n">
        <f aca="false">IF(99&lt;5,0,IF(MAX(CT39:CY39)&gt;CY44+2+$B$18,1,0))</f>
        <v>0</v>
      </c>
      <c r="CZ63" s="368" t="n">
        <f aca="false">IF(100&lt;5,0,IF(MAX(CU39:CZ39)&gt;CZ44+2+$B$18,1,0))</f>
        <v>0</v>
      </c>
      <c r="DA63" s="368" t="n">
        <f aca="false">IF(101&lt;5,0,IF(MAX(CV39:DA39)&gt;DA44+2+$B$18,1,0))</f>
        <v>0</v>
      </c>
      <c r="DB63" s="368" t="n">
        <f aca="false">IF(102&lt;5,0,IF(MAX(CW39:DB39)&gt;DB44+2+$B$18,1,0))</f>
        <v>0</v>
      </c>
      <c r="DC63" s="368" t="n">
        <f aca="false">IF(103&lt;5,0,IF(MAX(CX39:DC39)&gt;DC44+2+$B$18,1,0))</f>
        <v>0</v>
      </c>
      <c r="DD63" s="368" t="n">
        <f aca="false">IF(104&lt;5,0,IF(MAX(CY39:DD39)&gt;DD44+2+$B$18,1,0))</f>
        <v>0</v>
      </c>
      <c r="DE63" s="368" t="n">
        <f aca="false">IF(105&lt;5,0,IF(MAX(CZ39:DE39)&gt;DE44+2+$B$18,1,0))</f>
        <v>0</v>
      </c>
    </row>
    <row r="64" customFormat="false" ht="13.5" hidden="false" customHeight="true" outlineLevel="0" collapsed="false">
      <c r="A64" s="109" t="s">
        <v>1230</v>
      </c>
      <c r="B64" s="225" t="n">
        <f aca="false">$B$28</f>
        <v>130000</v>
      </c>
      <c r="E64" s="368" t="n">
        <f aca="false">IF(1&lt;5,0,IF(MAX(E39)&gt;E44+3+$B$18,1,0))</f>
        <v>0</v>
      </c>
      <c r="F64" s="368" t="n">
        <f aca="false">IF(2&lt;5,0,IF(MAX(E39:F39)&gt;F44+3+$B$18,1,0))</f>
        <v>0</v>
      </c>
      <c r="G64" s="368" t="n">
        <f aca="false">IF(3&lt;5,0,IF(MAX(E39:G39)&gt;G44+3+$B$18,1,0))</f>
        <v>0</v>
      </c>
      <c r="H64" s="368" t="n">
        <f aca="false">IF(4&lt;5,0,IF(MAX(E39:H39)&gt;H44+3+$B$18,1,0))</f>
        <v>0</v>
      </c>
      <c r="I64" s="368" t="n">
        <f aca="false">IF(5&lt;5,0,IF(MAX(E39:I39)&gt;I44+3+$B$18,1,0))</f>
        <v>0</v>
      </c>
      <c r="J64" s="368" t="n">
        <f aca="false">IF(6&lt;5,0,IF(MAX(E39:J39)&gt;J44+3+$B$18,1,0))</f>
        <v>0</v>
      </c>
      <c r="K64" s="368" t="n">
        <f aca="false">IF(7&lt;5,0,IF(MAX(F39:K39)&gt;K44+3+$B$18,1,0))</f>
        <v>0</v>
      </c>
      <c r="L64" s="368" t="n">
        <f aca="false">IF(8&lt;5,0,IF(MAX(G39:L39)&gt;L44+3+$B$18,1,0))</f>
        <v>0</v>
      </c>
      <c r="M64" s="368" t="n">
        <f aca="false">IF(9&lt;5,0,IF(MAX(H39:M39)&gt;M44+3+$B$18,1,0))</f>
        <v>0</v>
      </c>
      <c r="N64" s="368" t="n">
        <f aca="false">IF(10&lt;5,0,IF(MAX(I39:N39)&gt;N44+3+$B$18,1,0))</f>
        <v>0</v>
      </c>
      <c r="O64" s="368" t="n">
        <f aca="false">IF(11&lt;5,0,IF(MAX(J39:O39)&gt;O44+3+$B$18,1,0))</f>
        <v>0</v>
      </c>
      <c r="P64" s="368" t="n">
        <f aca="false">IF(12&lt;5,0,IF(MAX(K39:P39)&gt;P44+3+$B$18,1,0))</f>
        <v>0</v>
      </c>
      <c r="Q64" s="368" t="n">
        <f aca="false">IF(13&lt;5,0,IF(MAX(L39:Q39)&gt;Q44+3+$B$18,1,0))</f>
        <v>0</v>
      </c>
      <c r="R64" s="368" t="n">
        <f aca="false">IF(14&lt;5,0,IF(MAX(M39:R39)&gt;R44+3+$B$18,1,0))</f>
        <v>0</v>
      </c>
      <c r="S64" s="368" t="n">
        <f aca="false">IF(15&lt;5,0,IF(MAX(N39:S39)&gt;S44+3+$B$18,1,0))</f>
        <v>0</v>
      </c>
      <c r="T64" s="368" t="n">
        <f aca="false">IF(16&lt;5,0,IF(MAX(O39:T39)&gt;T44+3+$B$18,1,0))</f>
        <v>0</v>
      </c>
      <c r="U64" s="368" t="n">
        <f aca="false">IF(17&lt;5,0,IF(MAX(P39:U39)&gt;U44+3+$B$18,1,0))</f>
        <v>0</v>
      </c>
      <c r="V64" s="368" t="n">
        <f aca="false">IF(18&lt;5,0,IF(MAX(Q39:V39)&gt;V44+3+$B$18,1,0))</f>
        <v>0</v>
      </c>
      <c r="W64" s="368" t="n">
        <f aca="false">IF(19&lt;5,0,IF(MAX(R39:W39)&gt;W44+3+$B$18,1,0))</f>
        <v>0</v>
      </c>
      <c r="X64" s="368" t="n">
        <f aca="false">IF(20&lt;5,0,IF(MAX(S39:X39)&gt;X44+3+$B$18,1,0))</f>
        <v>0</v>
      </c>
      <c r="Y64" s="368" t="n">
        <f aca="false">IF(21&lt;5,0,IF(MAX(T39:Y39)&gt;Y44+3+$B$18,1,0))</f>
        <v>0</v>
      </c>
      <c r="Z64" s="368" t="n">
        <f aca="false">IF(22&lt;5,0,IF(MAX(U39:Z39)&gt;Z44+3+$B$18,1,0))</f>
        <v>0</v>
      </c>
      <c r="AA64" s="368" t="n">
        <f aca="false">IF(23&lt;5,0,IF(MAX(V39:AA39)&gt;AA44+3+$B$18,1,0))</f>
        <v>0</v>
      </c>
      <c r="AB64" s="368" t="n">
        <f aca="false">IF(24&lt;5,0,IF(MAX(W39:AB39)&gt;AB44+3+$B$18,1,0))</f>
        <v>0</v>
      </c>
      <c r="AC64" s="368" t="n">
        <f aca="false">IF(25&lt;5,0,IF(MAX(X39:AC39)&gt;AC44+3+$B$18,1,0))</f>
        <v>0</v>
      </c>
      <c r="AD64" s="368" t="n">
        <f aca="false">IF(26&lt;5,0,IF(MAX(Y39:AD39)&gt;AD44+3+$B$18,1,0))</f>
        <v>0</v>
      </c>
      <c r="AE64" s="368" t="n">
        <f aca="false">IF(27&lt;5,0,IF(MAX(Z39:AE39)&gt;AE44+3+$B$18,1,0))</f>
        <v>0</v>
      </c>
      <c r="AF64" s="368" t="n">
        <f aca="false">IF(28&lt;5,0,IF(MAX(AA39:AF39)&gt;AF44+3+$B$18,1,0))</f>
        <v>0</v>
      </c>
      <c r="AG64" s="368" t="n">
        <f aca="false">IF(29&lt;5,0,IF(MAX(AB39:AG39)&gt;AG44+3+$B$18,1,0))</f>
        <v>0</v>
      </c>
      <c r="AH64" s="368" t="n">
        <f aca="false">IF(30&lt;5,0,IF(MAX(AC39:AH39)&gt;AH44+3+$B$18,1,0))</f>
        <v>0</v>
      </c>
      <c r="AI64" s="368" t="n">
        <f aca="false">IF(31&lt;5,0,IF(MAX(AD39:AI39)&gt;AI44+3+$B$18,1,0))</f>
        <v>0</v>
      </c>
      <c r="AJ64" s="368" t="n">
        <f aca="false">IF(32&lt;5,0,IF(MAX(AE39:AJ39)&gt;AJ44+3+$B$18,1,0))</f>
        <v>0</v>
      </c>
      <c r="AK64" s="368" t="n">
        <f aca="false">IF(33&lt;5,0,IF(MAX(AF39:AK39)&gt;AK44+3+$B$18,1,0))</f>
        <v>0</v>
      </c>
      <c r="AL64" s="368" t="n">
        <f aca="false">IF(34&lt;5,0,IF(MAX(AG39:AL39)&gt;AL44+3+$B$18,1,0))</f>
        <v>0</v>
      </c>
      <c r="AM64" s="368" t="n">
        <f aca="false">IF(35&lt;5,0,IF(MAX(AH39:AM39)&gt;AM44+3+$B$18,1,0))</f>
        <v>0</v>
      </c>
      <c r="AN64" s="368" t="n">
        <f aca="false">IF(36&lt;5,0,IF(MAX(AI39:AN39)&gt;AN44+3+$B$18,1,0))</f>
        <v>0</v>
      </c>
      <c r="AO64" s="368" t="n">
        <f aca="false">IF(37&lt;5,0,IF(MAX(AJ39:AO39)&gt;AO44+3+$B$18,1,0))</f>
        <v>0</v>
      </c>
      <c r="AP64" s="368" t="n">
        <f aca="false">IF(38&lt;5,0,IF(MAX(AK39:AP39)&gt;AP44+3+$B$18,1,0))</f>
        <v>0</v>
      </c>
      <c r="AQ64" s="368" t="n">
        <f aca="false">IF(39&lt;5,0,IF(MAX(AL39:AQ39)&gt;AQ44+3+$B$18,1,0))</f>
        <v>0</v>
      </c>
      <c r="AR64" s="368" t="n">
        <f aca="false">IF(40&lt;5,0,IF(MAX(AM39:AR39)&gt;AR44+3+$B$18,1,0))</f>
        <v>0</v>
      </c>
      <c r="AS64" s="368" t="n">
        <f aca="false">IF(41&lt;5,0,IF(MAX(AN39:AS39)&gt;AS44+3+$B$18,1,0))</f>
        <v>0</v>
      </c>
      <c r="AT64" s="368" t="n">
        <f aca="false">IF(42&lt;5,0,IF(MAX(AO39:AT39)&gt;AT44+3+$B$18,1,0))</f>
        <v>0</v>
      </c>
      <c r="AU64" s="368" t="n">
        <f aca="false">IF(43&lt;5,0,IF(MAX(AP39:AU39)&gt;AU44+3+$B$18,1,0))</f>
        <v>0</v>
      </c>
      <c r="AV64" s="368" t="n">
        <f aca="false">IF(44&lt;5,0,IF(MAX(AQ39:AV39)&gt;AV44+3+$B$18,1,0))</f>
        <v>0</v>
      </c>
      <c r="AW64" s="368" t="n">
        <f aca="false">IF(45&lt;5,0,IF(MAX(AR39:AW39)&gt;AW44+3+$B$18,1,0))</f>
        <v>0</v>
      </c>
      <c r="AX64" s="368" t="n">
        <f aca="false">IF(46&lt;5,0,IF(MAX(AS39:AX39)&gt;AX44+3+$B$18,1,0))</f>
        <v>0</v>
      </c>
      <c r="AY64" s="368" t="n">
        <f aca="false">IF(47&lt;5,0,IF(MAX(AT39:AY39)&gt;AY44+3+$B$18,1,0))</f>
        <v>0</v>
      </c>
      <c r="AZ64" s="368" t="n">
        <f aca="false">IF(48&lt;5,0,IF(MAX(AU39:AZ39)&gt;AZ44+3+$B$18,1,0))</f>
        <v>0</v>
      </c>
      <c r="BA64" s="368" t="n">
        <f aca="false">IF(49&lt;5,0,IF(MAX(AV39:BA39)&gt;BA44+3+$B$18,1,0))</f>
        <v>0</v>
      </c>
      <c r="BB64" s="368" t="n">
        <f aca="false">IF(50&lt;5,0,IF(MAX(AW39:BB39)&gt;BB44+3+$B$18,1,0))</f>
        <v>0</v>
      </c>
      <c r="BC64" s="368" t="n">
        <f aca="false">IF(51&lt;5,0,IF(MAX(AX39:BC39)&gt;BC44+3+$B$18,1,0))</f>
        <v>0</v>
      </c>
      <c r="BD64" s="368" t="n">
        <f aca="false">IF(52&lt;5,0,IF(MAX(AY39:BD39)&gt;BD44+3+$B$18,1,0))</f>
        <v>0</v>
      </c>
      <c r="BE64" s="368" t="n">
        <f aca="false">IF(53&lt;5,0,IF(MAX(AZ39:BE39)&gt;BE44+3+$B$18,1,0))</f>
        <v>0</v>
      </c>
      <c r="BF64" s="368" t="n">
        <f aca="false">IF(54&lt;5,0,IF(MAX(BA39:BF39)&gt;BF44+3+$B$18,1,0))</f>
        <v>0</v>
      </c>
      <c r="BG64" s="368" t="n">
        <f aca="false">IF(55&lt;5,0,IF(MAX(BB39:BG39)&gt;BG44+3+$B$18,1,0))</f>
        <v>0</v>
      </c>
      <c r="BH64" s="368" t="n">
        <f aca="false">IF(56&lt;5,0,IF(MAX(BC39:BH39)&gt;BH44+3+$B$18,1,0))</f>
        <v>0</v>
      </c>
      <c r="BI64" s="368" t="n">
        <f aca="false">IF(57&lt;5,0,IF(MAX(BD39:BI39)&gt;BI44+3+$B$18,1,0))</f>
        <v>0</v>
      </c>
      <c r="BJ64" s="368" t="n">
        <f aca="false">IF(58&lt;5,0,IF(MAX(BE39:BJ39)&gt;BJ44+3+$B$18,1,0))</f>
        <v>0</v>
      </c>
      <c r="BK64" s="368" t="n">
        <f aca="false">IF(59&lt;5,0,IF(MAX(BF39:BK39)&gt;BK44+3+$B$18,1,0))</f>
        <v>0</v>
      </c>
      <c r="BL64" s="368" t="n">
        <f aca="false">IF(60&lt;5,0,IF(MAX(BG39:BL39)&gt;BL44+3+$B$18,1,0))</f>
        <v>0</v>
      </c>
      <c r="BM64" s="368" t="n">
        <f aca="false">IF(61&lt;5,0,IF(MAX(BH39:BM39)&gt;BM44+3+$B$18,1,0))</f>
        <v>0</v>
      </c>
      <c r="BN64" s="368" t="n">
        <f aca="false">IF(62&lt;5,0,IF(MAX(BI39:BN39)&gt;BN44+3+$B$18,1,0))</f>
        <v>0</v>
      </c>
      <c r="BO64" s="368" t="n">
        <f aca="false">IF(63&lt;5,0,IF(MAX(BJ39:BO39)&gt;BO44+3+$B$18,1,0))</f>
        <v>0</v>
      </c>
      <c r="BP64" s="368" t="n">
        <f aca="false">IF(64&lt;5,0,IF(MAX(BK39:BP39)&gt;BP44+3+$B$18,1,0))</f>
        <v>0</v>
      </c>
      <c r="BQ64" s="368" t="n">
        <f aca="false">IF(65&lt;5,0,IF(MAX(BL39:BQ39)&gt;BQ44+3+$B$18,1,0))</f>
        <v>0</v>
      </c>
      <c r="BR64" s="368" t="n">
        <f aca="false">IF(66&lt;5,0,IF(MAX(BM39:BR39)&gt;BR44+3+$B$18,1,0))</f>
        <v>0</v>
      </c>
      <c r="BS64" s="368" t="n">
        <f aca="false">IF(67&lt;5,0,IF(MAX(BN39:BS39)&gt;BS44+3+$B$18,1,0))</f>
        <v>0</v>
      </c>
      <c r="BT64" s="368" t="n">
        <f aca="false">IF(68&lt;5,0,IF(MAX(BO39:BT39)&gt;BT44+3+$B$18,1,0))</f>
        <v>0</v>
      </c>
      <c r="BU64" s="368" t="n">
        <f aca="false">IF(69&lt;5,0,IF(MAX(BP39:BU39)&gt;BU44+3+$B$18,1,0))</f>
        <v>0</v>
      </c>
      <c r="BV64" s="368" t="n">
        <f aca="false">IF(70&lt;5,0,IF(MAX(BQ39:BV39)&gt;BV44+3+$B$18,1,0))</f>
        <v>0</v>
      </c>
      <c r="BW64" s="368" t="n">
        <f aca="false">IF(71&lt;5,0,IF(MAX(BR39:BW39)&gt;BW44+3+$B$18,1,0))</f>
        <v>0</v>
      </c>
      <c r="BX64" s="368" t="n">
        <f aca="false">IF(72&lt;5,0,IF(MAX(BS39:BX39)&gt;BX44+3+$B$18,1,0))</f>
        <v>0</v>
      </c>
      <c r="BY64" s="368" t="n">
        <f aca="false">IF(73&lt;5,0,IF(MAX(BT39:BY39)&gt;BY44+3+$B$18,1,0))</f>
        <v>0</v>
      </c>
      <c r="BZ64" s="368" t="n">
        <f aca="false">IF(74&lt;5,0,IF(MAX(BU39:BZ39)&gt;BZ44+3+$B$18,1,0))</f>
        <v>0</v>
      </c>
      <c r="CA64" s="368" t="n">
        <f aca="false">IF(75&lt;5,0,IF(MAX(BV39:CA39)&gt;CA44+3+$B$18,1,0))</f>
        <v>0</v>
      </c>
      <c r="CB64" s="368" t="n">
        <f aca="false">IF(76&lt;5,0,IF(MAX(BW39:CB39)&gt;CB44+3+$B$18,1,0))</f>
        <v>0</v>
      </c>
      <c r="CC64" s="368" t="n">
        <f aca="false">IF(77&lt;5,0,IF(MAX(BX39:CC39)&gt;CC44+3+$B$18,1,0))</f>
        <v>0</v>
      </c>
      <c r="CD64" s="368" t="n">
        <f aca="false">IF(78&lt;5,0,IF(MAX(BY39:CD39)&gt;CD44+3+$B$18,1,0))</f>
        <v>0</v>
      </c>
      <c r="CE64" s="368" t="n">
        <f aca="false">IF(79&lt;5,0,IF(MAX(BZ39:CE39)&gt;CE44+3+$B$18,1,0))</f>
        <v>0</v>
      </c>
      <c r="CF64" s="368" t="n">
        <f aca="false">IF(80&lt;5,0,IF(MAX(CA39:CF39)&gt;CF44+3+$B$18,1,0))</f>
        <v>0</v>
      </c>
      <c r="CG64" s="368" t="n">
        <f aca="false">IF(81&lt;5,0,IF(MAX(CB39:CG39)&gt;CG44+3+$B$18,1,0))</f>
        <v>0</v>
      </c>
      <c r="CH64" s="368" t="n">
        <f aca="false">IF(82&lt;5,0,IF(MAX(CC39:CH39)&gt;CH44+3+$B$18,1,0))</f>
        <v>0</v>
      </c>
      <c r="CI64" s="368" t="n">
        <f aca="false">IF(83&lt;5,0,IF(MAX(CD39:CI39)&gt;CI44+3+$B$18,1,0))</f>
        <v>0</v>
      </c>
      <c r="CJ64" s="368" t="n">
        <f aca="false">IF(84&lt;5,0,IF(MAX(CE39:CJ39)&gt;CJ44+3+$B$18,1,0))</f>
        <v>0</v>
      </c>
      <c r="CK64" s="368" t="n">
        <f aca="false">IF(85&lt;5,0,IF(MAX(CF39:CK39)&gt;CK44+3+$B$18,1,0))</f>
        <v>0</v>
      </c>
      <c r="CL64" s="368" t="n">
        <f aca="false">IF(86&lt;5,0,IF(MAX(CG39:CL39)&gt;CL44+3+$B$18,1,0))</f>
        <v>0</v>
      </c>
      <c r="CM64" s="368" t="n">
        <f aca="false">IF(87&lt;5,0,IF(MAX(CH39:CM39)&gt;CM44+3+$B$18,1,0))</f>
        <v>0</v>
      </c>
      <c r="CN64" s="368" t="n">
        <f aca="false">IF(88&lt;5,0,IF(MAX(CI39:CN39)&gt;CN44+3+$B$18,1,0))</f>
        <v>0</v>
      </c>
      <c r="CO64" s="368" t="n">
        <f aca="false">IF(89&lt;5,0,IF(MAX(CJ39:CO39)&gt;CO44+3+$B$18,1,0))</f>
        <v>0</v>
      </c>
      <c r="CP64" s="368" t="n">
        <f aca="false">IF(90&lt;5,0,IF(MAX(CK39:CP39)&gt;CP44+3+$B$18,1,0))</f>
        <v>0</v>
      </c>
      <c r="CQ64" s="368" t="n">
        <f aca="false">IF(91&lt;5,0,IF(MAX(CL39:CQ39)&gt;CQ44+3+$B$18,1,0))</f>
        <v>0</v>
      </c>
      <c r="CR64" s="368" t="n">
        <f aca="false">IF(92&lt;5,0,IF(MAX(CM39:CR39)&gt;CR44+3+$B$18,1,0))</f>
        <v>0</v>
      </c>
      <c r="CS64" s="368" t="n">
        <f aca="false">IF(93&lt;5,0,IF(MAX(CN39:CS39)&gt;CS44+3+$B$18,1,0))</f>
        <v>0</v>
      </c>
      <c r="CT64" s="368" t="n">
        <f aca="false">IF(94&lt;5,0,IF(MAX(CO39:CT39)&gt;CT44+3+$B$18,1,0))</f>
        <v>0</v>
      </c>
      <c r="CU64" s="368" t="n">
        <f aca="false">IF(95&lt;5,0,IF(MAX(CP39:CU39)&gt;CU44+3+$B$18,1,0))</f>
        <v>0</v>
      </c>
      <c r="CV64" s="368" t="n">
        <f aca="false">IF(96&lt;5,0,IF(MAX(CQ39:CV39)&gt;CV44+3+$B$18,1,0))</f>
        <v>0</v>
      </c>
      <c r="CW64" s="368" t="n">
        <f aca="false">IF(97&lt;5,0,IF(MAX(CR39:CW39)&gt;CW44+3+$B$18,1,0))</f>
        <v>0</v>
      </c>
      <c r="CX64" s="368" t="n">
        <f aca="false">IF(98&lt;5,0,IF(MAX(CS39:CX39)&gt;CX44+3+$B$18,1,0))</f>
        <v>0</v>
      </c>
      <c r="CY64" s="368" t="n">
        <f aca="false">IF(99&lt;5,0,IF(MAX(CT39:CY39)&gt;CY44+3+$B$18,1,0))</f>
        <v>0</v>
      </c>
      <c r="CZ64" s="368" t="n">
        <f aca="false">IF(100&lt;5,0,IF(MAX(CU39:CZ39)&gt;CZ44+3+$B$18,1,0))</f>
        <v>0</v>
      </c>
      <c r="DA64" s="368" t="n">
        <f aca="false">IF(101&lt;5,0,IF(MAX(CV39:DA39)&gt;DA44+3+$B$18,1,0))</f>
        <v>0</v>
      </c>
      <c r="DB64" s="368" t="n">
        <f aca="false">IF(102&lt;5,0,IF(MAX(CW39:DB39)&gt;DB44+3+$B$18,1,0))</f>
        <v>0</v>
      </c>
      <c r="DC64" s="368" t="n">
        <f aca="false">IF(103&lt;5,0,IF(MAX(CX39:DC39)&gt;DC44+3+$B$18,1,0))</f>
        <v>0</v>
      </c>
      <c r="DD64" s="368" t="n">
        <f aca="false">IF(104&lt;5,0,IF(MAX(CY39:DD39)&gt;DD44+3+$B$18,1,0))</f>
        <v>0</v>
      </c>
      <c r="DE64" s="368" t="n">
        <f aca="false">IF(105&lt;5,0,IF(MAX(CZ39:DE39)&gt;DE44+3+$B$18,1,0))</f>
        <v>0</v>
      </c>
    </row>
    <row r="65" customFormat="false" ht="13.5" hidden="false" customHeight="true" outlineLevel="0" collapsed="false">
      <c r="A65" s="109" t="s">
        <v>1231</v>
      </c>
      <c r="B65" s="225" t="n">
        <f aca="false">$B$28</f>
        <v>130000</v>
      </c>
      <c r="E65" s="368" t="n">
        <f aca="false">IF(1&lt;5,0,IF(MAX(E39)&gt;E44+4+$B$18,1,0))</f>
        <v>0</v>
      </c>
      <c r="F65" s="368" t="n">
        <f aca="false">IF(2&lt;5,0,IF(MAX(E39:F39)&gt;F44+4+$B$18,1,0))</f>
        <v>0</v>
      </c>
      <c r="G65" s="368" t="n">
        <f aca="false">IF(3&lt;5,0,IF(MAX(E39:G39)&gt;G44+4+$B$18,1,0))</f>
        <v>0</v>
      </c>
      <c r="H65" s="368" t="n">
        <f aca="false">IF(4&lt;5,0,IF(MAX(E39:H39)&gt;H44+4+$B$18,1,0))</f>
        <v>0</v>
      </c>
      <c r="I65" s="368" t="n">
        <f aca="false">IF(5&lt;5,0,IF(MAX(E39:I39)&gt;I44+4+$B$18,1,0))</f>
        <v>0</v>
      </c>
      <c r="J65" s="368" t="n">
        <f aca="false">IF(6&lt;5,0,IF(MAX(E39:J39)&gt;J44+4+$B$18,1,0))</f>
        <v>0</v>
      </c>
      <c r="K65" s="368" t="n">
        <f aca="false">IF(7&lt;5,0,IF(MAX(F39:K39)&gt;K44+4+$B$18,1,0))</f>
        <v>0</v>
      </c>
      <c r="L65" s="368" t="n">
        <f aca="false">IF(8&lt;5,0,IF(MAX(G39:L39)&gt;L44+4+$B$18,1,0))</f>
        <v>0</v>
      </c>
      <c r="M65" s="368" t="n">
        <f aca="false">IF(9&lt;5,0,IF(MAX(H39:M39)&gt;M44+4+$B$18,1,0))</f>
        <v>0</v>
      </c>
      <c r="N65" s="368" t="n">
        <f aca="false">IF(10&lt;5,0,IF(MAX(I39:N39)&gt;N44+4+$B$18,1,0))</f>
        <v>0</v>
      </c>
      <c r="O65" s="368" t="n">
        <f aca="false">IF(11&lt;5,0,IF(MAX(J39:O39)&gt;O44+4+$B$18,1,0))</f>
        <v>0</v>
      </c>
      <c r="P65" s="368" t="n">
        <f aca="false">IF(12&lt;5,0,IF(MAX(K39:P39)&gt;P44+4+$B$18,1,0))</f>
        <v>0</v>
      </c>
      <c r="Q65" s="368" t="n">
        <f aca="false">IF(13&lt;5,0,IF(MAX(L39:Q39)&gt;Q44+4+$B$18,1,0))</f>
        <v>0</v>
      </c>
      <c r="R65" s="368" t="n">
        <f aca="false">IF(14&lt;5,0,IF(MAX(M39:R39)&gt;R44+4+$B$18,1,0))</f>
        <v>0</v>
      </c>
      <c r="S65" s="368" t="n">
        <f aca="false">IF(15&lt;5,0,IF(MAX(N39:S39)&gt;S44+4+$B$18,1,0))</f>
        <v>0</v>
      </c>
      <c r="T65" s="368" t="n">
        <f aca="false">IF(16&lt;5,0,IF(MAX(O39:T39)&gt;T44+4+$B$18,1,0))</f>
        <v>0</v>
      </c>
      <c r="U65" s="368" t="n">
        <f aca="false">IF(17&lt;5,0,IF(MAX(P39:U39)&gt;U44+4+$B$18,1,0))</f>
        <v>0</v>
      </c>
      <c r="V65" s="368" t="n">
        <f aca="false">IF(18&lt;5,0,IF(MAX(Q39:V39)&gt;V44+4+$B$18,1,0))</f>
        <v>0</v>
      </c>
      <c r="W65" s="368" t="n">
        <f aca="false">IF(19&lt;5,0,IF(MAX(R39:W39)&gt;W44+4+$B$18,1,0))</f>
        <v>0</v>
      </c>
      <c r="X65" s="368" t="n">
        <f aca="false">IF(20&lt;5,0,IF(MAX(S39:X39)&gt;X44+4+$B$18,1,0))</f>
        <v>0</v>
      </c>
      <c r="Y65" s="368" t="n">
        <f aca="false">IF(21&lt;5,0,IF(MAX(T39:Y39)&gt;Y44+4+$B$18,1,0))</f>
        <v>0</v>
      </c>
      <c r="Z65" s="368" t="n">
        <f aca="false">IF(22&lt;5,0,IF(MAX(U39:Z39)&gt;Z44+4+$B$18,1,0))</f>
        <v>0</v>
      </c>
      <c r="AA65" s="368" t="n">
        <f aca="false">IF(23&lt;5,0,IF(MAX(V39:AA39)&gt;AA44+4+$B$18,1,0))</f>
        <v>0</v>
      </c>
      <c r="AB65" s="368" t="n">
        <f aca="false">IF(24&lt;5,0,IF(MAX(W39:AB39)&gt;AB44+4+$B$18,1,0))</f>
        <v>0</v>
      </c>
      <c r="AC65" s="368" t="n">
        <f aca="false">IF(25&lt;5,0,IF(MAX(X39:AC39)&gt;AC44+4+$B$18,1,0))</f>
        <v>0</v>
      </c>
      <c r="AD65" s="368" t="n">
        <f aca="false">IF(26&lt;5,0,IF(MAX(Y39:AD39)&gt;AD44+4+$B$18,1,0))</f>
        <v>0</v>
      </c>
      <c r="AE65" s="368" t="n">
        <f aca="false">IF(27&lt;5,0,IF(MAX(Z39:AE39)&gt;AE44+4+$B$18,1,0))</f>
        <v>0</v>
      </c>
      <c r="AF65" s="368" t="n">
        <f aca="false">IF(28&lt;5,0,IF(MAX(AA39:AF39)&gt;AF44+4+$B$18,1,0))</f>
        <v>0</v>
      </c>
      <c r="AG65" s="368" t="n">
        <f aca="false">IF(29&lt;5,0,IF(MAX(AB39:AG39)&gt;AG44+4+$B$18,1,0))</f>
        <v>0</v>
      </c>
      <c r="AH65" s="368" t="n">
        <f aca="false">IF(30&lt;5,0,IF(MAX(AC39:AH39)&gt;AH44+4+$B$18,1,0))</f>
        <v>0</v>
      </c>
      <c r="AI65" s="368" t="n">
        <f aca="false">IF(31&lt;5,0,IF(MAX(AD39:AI39)&gt;AI44+4+$B$18,1,0))</f>
        <v>0</v>
      </c>
      <c r="AJ65" s="368" t="n">
        <f aca="false">IF(32&lt;5,0,IF(MAX(AE39:AJ39)&gt;AJ44+4+$B$18,1,0))</f>
        <v>0</v>
      </c>
      <c r="AK65" s="368" t="n">
        <f aca="false">IF(33&lt;5,0,IF(MAX(AF39:AK39)&gt;AK44+4+$B$18,1,0))</f>
        <v>0</v>
      </c>
      <c r="AL65" s="368" t="n">
        <f aca="false">IF(34&lt;5,0,IF(MAX(AG39:AL39)&gt;AL44+4+$B$18,1,0))</f>
        <v>0</v>
      </c>
      <c r="AM65" s="368" t="n">
        <f aca="false">IF(35&lt;5,0,IF(MAX(AH39:AM39)&gt;AM44+4+$B$18,1,0))</f>
        <v>0</v>
      </c>
      <c r="AN65" s="368" t="n">
        <f aca="false">IF(36&lt;5,0,IF(MAX(AI39:AN39)&gt;AN44+4+$B$18,1,0))</f>
        <v>0</v>
      </c>
      <c r="AO65" s="368" t="n">
        <f aca="false">IF(37&lt;5,0,IF(MAX(AJ39:AO39)&gt;AO44+4+$B$18,1,0))</f>
        <v>0</v>
      </c>
      <c r="AP65" s="368" t="n">
        <f aca="false">IF(38&lt;5,0,IF(MAX(AK39:AP39)&gt;AP44+4+$B$18,1,0))</f>
        <v>0</v>
      </c>
      <c r="AQ65" s="368" t="n">
        <f aca="false">IF(39&lt;5,0,IF(MAX(AL39:AQ39)&gt;AQ44+4+$B$18,1,0))</f>
        <v>0</v>
      </c>
      <c r="AR65" s="368" t="n">
        <f aca="false">IF(40&lt;5,0,IF(MAX(AM39:AR39)&gt;AR44+4+$B$18,1,0))</f>
        <v>0</v>
      </c>
      <c r="AS65" s="368" t="n">
        <f aca="false">IF(41&lt;5,0,IF(MAX(AN39:AS39)&gt;AS44+4+$B$18,1,0))</f>
        <v>0</v>
      </c>
      <c r="AT65" s="368" t="n">
        <f aca="false">IF(42&lt;5,0,IF(MAX(AO39:AT39)&gt;AT44+4+$B$18,1,0))</f>
        <v>0</v>
      </c>
      <c r="AU65" s="368" t="n">
        <f aca="false">IF(43&lt;5,0,IF(MAX(AP39:AU39)&gt;AU44+4+$B$18,1,0))</f>
        <v>0</v>
      </c>
      <c r="AV65" s="368" t="n">
        <f aca="false">IF(44&lt;5,0,IF(MAX(AQ39:AV39)&gt;AV44+4+$B$18,1,0))</f>
        <v>0</v>
      </c>
      <c r="AW65" s="368" t="n">
        <f aca="false">IF(45&lt;5,0,IF(MAX(AR39:AW39)&gt;AW44+4+$B$18,1,0))</f>
        <v>0</v>
      </c>
      <c r="AX65" s="368" t="n">
        <f aca="false">IF(46&lt;5,0,IF(MAX(AS39:AX39)&gt;AX44+4+$B$18,1,0))</f>
        <v>0</v>
      </c>
      <c r="AY65" s="368" t="n">
        <f aca="false">IF(47&lt;5,0,IF(MAX(AT39:AY39)&gt;AY44+4+$B$18,1,0))</f>
        <v>0</v>
      </c>
      <c r="AZ65" s="368" t="n">
        <f aca="false">IF(48&lt;5,0,IF(MAX(AU39:AZ39)&gt;AZ44+4+$B$18,1,0))</f>
        <v>0</v>
      </c>
      <c r="BA65" s="368" t="n">
        <f aca="false">IF(49&lt;5,0,IF(MAX(AV39:BA39)&gt;BA44+4+$B$18,1,0))</f>
        <v>0</v>
      </c>
      <c r="BB65" s="368" t="n">
        <f aca="false">IF(50&lt;5,0,IF(MAX(AW39:BB39)&gt;BB44+4+$B$18,1,0))</f>
        <v>0</v>
      </c>
      <c r="BC65" s="368" t="n">
        <f aca="false">IF(51&lt;5,0,IF(MAX(AX39:BC39)&gt;BC44+4+$B$18,1,0))</f>
        <v>0</v>
      </c>
      <c r="BD65" s="368" t="n">
        <f aca="false">IF(52&lt;5,0,IF(MAX(AY39:BD39)&gt;BD44+4+$B$18,1,0))</f>
        <v>0</v>
      </c>
      <c r="BE65" s="368" t="n">
        <f aca="false">IF(53&lt;5,0,IF(MAX(AZ39:BE39)&gt;BE44+4+$B$18,1,0))</f>
        <v>0</v>
      </c>
      <c r="BF65" s="368" t="n">
        <f aca="false">IF(54&lt;5,0,IF(MAX(BA39:BF39)&gt;BF44+4+$B$18,1,0))</f>
        <v>0</v>
      </c>
      <c r="BG65" s="368" t="n">
        <f aca="false">IF(55&lt;5,0,IF(MAX(BB39:BG39)&gt;BG44+4+$B$18,1,0))</f>
        <v>0</v>
      </c>
      <c r="BH65" s="368" t="n">
        <f aca="false">IF(56&lt;5,0,IF(MAX(BC39:BH39)&gt;BH44+4+$B$18,1,0))</f>
        <v>0</v>
      </c>
      <c r="BI65" s="368" t="n">
        <f aca="false">IF(57&lt;5,0,IF(MAX(BD39:BI39)&gt;BI44+4+$B$18,1,0))</f>
        <v>0</v>
      </c>
      <c r="BJ65" s="368" t="n">
        <f aca="false">IF(58&lt;5,0,IF(MAX(BE39:BJ39)&gt;BJ44+4+$B$18,1,0))</f>
        <v>0</v>
      </c>
      <c r="BK65" s="368" t="n">
        <f aca="false">IF(59&lt;5,0,IF(MAX(BF39:BK39)&gt;BK44+4+$B$18,1,0))</f>
        <v>0</v>
      </c>
      <c r="BL65" s="368" t="n">
        <f aca="false">IF(60&lt;5,0,IF(MAX(BG39:BL39)&gt;BL44+4+$B$18,1,0))</f>
        <v>0</v>
      </c>
      <c r="BM65" s="368" t="n">
        <f aca="false">IF(61&lt;5,0,IF(MAX(BH39:BM39)&gt;BM44+4+$B$18,1,0))</f>
        <v>0</v>
      </c>
      <c r="BN65" s="368" t="n">
        <f aca="false">IF(62&lt;5,0,IF(MAX(BI39:BN39)&gt;BN44+4+$B$18,1,0))</f>
        <v>0</v>
      </c>
      <c r="BO65" s="368" t="n">
        <f aca="false">IF(63&lt;5,0,IF(MAX(BJ39:BO39)&gt;BO44+4+$B$18,1,0))</f>
        <v>0</v>
      </c>
      <c r="BP65" s="368" t="n">
        <f aca="false">IF(64&lt;5,0,IF(MAX(BK39:BP39)&gt;BP44+4+$B$18,1,0))</f>
        <v>0</v>
      </c>
      <c r="BQ65" s="368" t="n">
        <f aca="false">IF(65&lt;5,0,IF(MAX(BL39:BQ39)&gt;BQ44+4+$B$18,1,0))</f>
        <v>0</v>
      </c>
      <c r="BR65" s="368" t="n">
        <f aca="false">IF(66&lt;5,0,IF(MAX(BM39:BR39)&gt;BR44+4+$B$18,1,0))</f>
        <v>0</v>
      </c>
      <c r="BS65" s="368" t="n">
        <f aca="false">IF(67&lt;5,0,IF(MAX(BN39:BS39)&gt;BS44+4+$B$18,1,0))</f>
        <v>0</v>
      </c>
      <c r="BT65" s="368" t="n">
        <f aca="false">IF(68&lt;5,0,IF(MAX(BO39:BT39)&gt;BT44+4+$B$18,1,0))</f>
        <v>0</v>
      </c>
      <c r="BU65" s="368" t="n">
        <f aca="false">IF(69&lt;5,0,IF(MAX(BP39:BU39)&gt;BU44+4+$B$18,1,0))</f>
        <v>0</v>
      </c>
      <c r="BV65" s="368" t="n">
        <f aca="false">IF(70&lt;5,0,IF(MAX(BQ39:BV39)&gt;BV44+4+$B$18,1,0))</f>
        <v>0</v>
      </c>
      <c r="BW65" s="368" t="n">
        <f aca="false">IF(71&lt;5,0,IF(MAX(BR39:BW39)&gt;BW44+4+$B$18,1,0))</f>
        <v>0</v>
      </c>
      <c r="BX65" s="368" t="n">
        <f aca="false">IF(72&lt;5,0,IF(MAX(BS39:BX39)&gt;BX44+4+$B$18,1,0))</f>
        <v>0</v>
      </c>
      <c r="BY65" s="368" t="n">
        <f aca="false">IF(73&lt;5,0,IF(MAX(BT39:BY39)&gt;BY44+4+$B$18,1,0))</f>
        <v>0</v>
      </c>
      <c r="BZ65" s="368" t="n">
        <f aca="false">IF(74&lt;5,0,IF(MAX(BU39:BZ39)&gt;BZ44+4+$B$18,1,0))</f>
        <v>0</v>
      </c>
      <c r="CA65" s="368" t="n">
        <f aca="false">IF(75&lt;5,0,IF(MAX(BV39:CA39)&gt;CA44+4+$B$18,1,0))</f>
        <v>0</v>
      </c>
      <c r="CB65" s="368" t="n">
        <f aca="false">IF(76&lt;5,0,IF(MAX(BW39:CB39)&gt;CB44+4+$B$18,1,0))</f>
        <v>0</v>
      </c>
      <c r="CC65" s="368" t="n">
        <f aca="false">IF(77&lt;5,0,IF(MAX(BX39:CC39)&gt;CC44+4+$B$18,1,0))</f>
        <v>0</v>
      </c>
      <c r="CD65" s="368" t="n">
        <f aca="false">IF(78&lt;5,0,IF(MAX(BY39:CD39)&gt;CD44+4+$B$18,1,0))</f>
        <v>0</v>
      </c>
      <c r="CE65" s="368" t="n">
        <f aca="false">IF(79&lt;5,0,IF(MAX(BZ39:CE39)&gt;CE44+4+$B$18,1,0))</f>
        <v>0</v>
      </c>
      <c r="CF65" s="368" t="n">
        <f aca="false">IF(80&lt;5,0,IF(MAX(CA39:CF39)&gt;CF44+4+$B$18,1,0))</f>
        <v>0</v>
      </c>
      <c r="CG65" s="368" t="n">
        <f aca="false">IF(81&lt;5,0,IF(MAX(CB39:CG39)&gt;CG44+4+$B$18,1,0))</f>
        <v>0</v>
      </c>
      <c r="CH65" s="368" t="n">
        <f aca="false">IF(82&lt;5,0,IF(MAX(CC39:CH39)&gt;CH44+4+$B$18,1,0))</f>
        <v>0</v>
      </c>
      <c r="CI65" s="368" t="n">
        <f aca="false">IF(83&lt;5,0,IF(MAX(CD39:CI39)&gt;CI44+4+$B$18,1,0))</f>
        <v>0</v>
      </c>
      <c r="CJ65" s="368" t="n">
        <f aca="false">IF(84&lt;5,0,IF(MAX(CE39:CJ39)&gt;CJ44+4+$B$18,1,0))</f>
        <v>0</v>
      </c>
      <c r="CK65" s="368" t="n">
        <f aca="false">IF(85&lt;5,0,IF(MAX(CF39:CK39)&gt;CK44+4+$B$18,1,0))</f>
        <v>0</v>
      </c>
      <c r="CL65" s="368" t="n">
        <f aca="false">IF(86&lt;5,0,IF(MAX(CG39:CL39)&gt;CL44+4+$B$18,1,0))</f>
        <v>0</v>
      </c>
      <c r="CM65" s="368" t="n">
        <f aca="false">IF(87&lt;5,0,IF(MAX(CH39:CM39)&gt;CM44+4+$B$18,1,0))</f>
        <v>0</v>
      </c>
      <c r="CN65" s="368" t="n">
        <f aca="false">IF(88&lt;5,0,IF(MAX(CI39:CN39)&gt;CN44+4+$B$18,1,0))</f>
        <v>0</v>
      </c>
      <c r="CO65" s="368" t="n">
        <f aca="false">IF(89&lt;5,0,IF(MAX(CJ39:CO39)&gt;CO44+4+$B$18,1,0))</f>
        <v>0</v>
      </c>
      <c r="CP65" s="368" t="n">
        <f aca="false">IF(90&lt;5,0,IF(MAX(CK39:CP39)&gt;CP44+4+$B$18,1,0))</f>
        <v>0</v>
      </c>
      <c r="CQ65" s="368" t="n">
        <f aca="false">IF(91&lt;5,0,IF(MAX(CL39:CQ39)&gt;CQ44+4+$B$18,1,0))</f>
        <v>0</v>
      </c>
      <c r="CR65" s="368" t="n">
        <f aca="false">IF(92&lt;5,0,IF(MAX(CM39:CR39)&gt;CR44+4+$B$18,1,0))</f>
        <v>0</v>
      </c>
      <c r="CS65" s="368" t="n">
        <f aca="false">IF(93&lt;5,0,IF(MAX(CN39:CS39)&gt;CS44+4+$B$18,1,0))</f>
        <v>0</v>
      </c>
      <c r="CT65" s="368" t="n">
        <f aca="false">IF(94&lt;5,0,IF(MAX(CO39:CT39)&gt;CT44+4+$B$18,1,0))</f>
        <v>0</v>
      </c>
      <c r="CU65" s="368" t="n">
        <f aca="false">IF(95&lt;5,0,IF(MAX(CP39:CU39)&gt;CU44+4+$B$18,1,0))</f>
        <v>0</v>
      </c>
      <c r="CV65" s="368" t="n">
        <f aca="false">IF(96&lt;5,0,IF(MAX(CQ39:CV39)&gt;CV44+4+$B$18,1,0))</f>
        <v>0</v>
      </c>
      <c r="CW65" s="368" t="n">
        <f aca="false">IF(97&lt;5,0,IF(MAX(CR39:CW39)&gt;CW44+4+$B$18,1,0))</f>
        <v>0</v>
      </c>
      <c r="CX65" s="368" t="n">
        <f aca="false">IF(98&lt;5,0,IF(MAX(CS39:CX39)&gt;CX44+4+$B$18,1,0))</f>
        <v>0</v>
      </c>
      <c r="CY65" s="368" t="n">
        <f aca="false">IF(99&lt;5,0,IF(MAX(CT39:CY39)&gt;CY44+4+$B$18,1,0))</f>
        <v>0</v>
      </c>
      <c r="CZ65" s="368" t="n">
        <f aca="false">IF(100&lt;5,0,IF(MAX(CU39:CZ39)&gt;CZ44+4+$B$18,1,0))</f>
        <v>0</v>
      </c>
      <c r="DA65" s="368" t="n">
        <f aca="false">IF(101&lt;5,0,IF(MAX(CV39:DA39)&gt;DA44+4+$B$18,1,0))</f>
        <v>0</v>
      </c>
      <c r="DB65" s="368" t="n">
        <f aca="false">IF(102&lt;5,0,IF(MAX(CW39:DB39)&gt;DB44+4+$B$18,1,0))</f>
        <v>0</v>
      </c>
      <c r="DC65" s="368" t="n">
        <f aca="false">IF(103&lt;5,0,IF(MAX(CX39:DC39)&gt;DC44+4+$B$18,1,0))</f>
        <v>0</v>
      </c>
      <c r="DD65" s="368" t="n">
        <f aca="false">IF(104&lt;5,0,IF(MAX(CY39:DD39)&gt;DD44+4+$B$18,1,0))</f>
        <v>0</v>
      </c>
      <c r="DE65" s="368" t="n">
        <f aca="false">IF(105&lt;5,0,IF(MAX(CZ39:DE39)&gt;DE44+4+$B$18,1,0))</f>
        <v>0</v>
      </c>
    </row>
    <row r="66" customFormat="false" ht="13.5" hidden="false" customHeight="true" outlineLevel="0" collapsed="false">
      <c r="A66" s="109" t="s">
        <v>1232</v>
      </c>
      <c r="B66" s="225" t="n">
        <f aca="false">$B$28</f>
        <v>130000</v>
      </c>
      <c r="E66" s="368" t="n">
        <f aca="false">IF(1&lt;5,0,IF(MAX(E39)&gt;E44+5+$B$18,1,0))</f>
        <v>0</v>
      </c>
      <c r="F66" s="368" t="n">
        <f aca="false">IF(2&lt;5,0,IF(MAX(E39:F39)&gt;F44+5+$B$18,1,0))</f>
        <v>0</v>
      </c>
      <c r="G66" s="368" t="n">
        <f aca="false">IF(3&lt;5,0,IF(MAX(E39:G39)&gt;G44+5+$B$18,1,0))</f>
        <v>0</v>
      </c>
      <c r="H66" s="368" t="n">
        <f aca="false">IF(4&lt;5,0,IF(MAX(E39:H39)&gt;H44+5+$B$18,1,0))</f>
        <v>0</v>
      </c>
      <c r="I66" s="368" t="n">
        <f aca="false">IF(5&lt;5,0,IF(MAX(E39:I39)&gt;I44+5+$B$18,1,0))</f>
        <v>0</v>
      </c>
      <c r="J66" s="368" t="n">
        <f aca="false">IF(6&lt;5,0,IF(MAX(E39:J39)&gt;J44+5+$B$18,1,0))</f>
        <v>0</v>
      </c>
      <c r="K66" s="368" t="n">
        <f aca="false">IF(7&lt;5,0,IF(MAX(F39:K39)&gt;K44+5+$B$18,1,0))</f>
        <v>0</v>
      </c>
      <c r="L66" s="368" t="n">
        <f aca="false">IF(8&lt;5,0,IF(MAX(G39:L39)&gt;L44+5+$B$18,1,0))</f>
        <v>0</v>
      </c>
      <c r="M66" s="368" t="n">
        <f aca="false">IF(9&lt;5,0,IF(MAX(H39:M39)&gt;M44+5+$B$18,1,0))</f>
        <v>0</v>
      </c>
      <c r="N66" s="368" t="n">
        <f aca="false">IF(10&lt;5,0,IF(MAX(I39:N39)&gt;N44+5+$B$18,1,0))</f>
        <v>0</v>
      </c>
      <c r="O66" s="368" t="n">
        <f aca="false">IF(11&lt;5,0,IF(MAX(J39:O39)&gt;O44+5+$B$18,1,0))</f>
        <v>0</v>
      </c>
      <c r="P66" s="368" t="n">
        <f aca="false">IF(12&lt;5,0,IF(MAX(K39:P39)&gt;P44+5+$B$18,1,0))</f>
        <v>0</v>
      </c>
      <c r="Q66" s="368" t="n">
        <f aca="false">IF(13&lt;5,0,IF(MAX(L39:Q39)&gt;Q44+5+$B$18,1,0))</f>
        <v>0</v>
      </c>
      <c r="R66" s="368" t="n">
        <f aca="false">IF(14&lt;5,0,IF(MAX(M39:R39)&gt;R44+5+$B$18,1,0))</f>
        <v>0</v>
      </c>
      <c r="S66" s="368" t="n">
        <f aca="false">IF(15&lt;5,0,IF(MAX(N39:S39)&gt;S44+5+$B$18,1,0))</f>
        <v>0</v>
      </c>
      <c r="T66" s="368" t="n">
        <f aca="false">IF(16&lt;5,0,IF(MAX(O39:T39)&gt;T44+5+$B$18,1,0))</f>
        <v>0</v>
      </c>
      <c r="U66" s="368" t="n">
        <f aca="false">IF(17&lt;5,0,IF(MAX(P39:U39)&gt;U44+5+$B$18,1,0))</f>
        <v>0</v>
      </c>
      <c r="V66" s="368" t="n">
        <f aca="false">IF(18&lt;5,0,IF(MAX(Q39:V39)&gt;V44+5+$B$18,1,0))</f>
        <v>0</v>
      </c>
      <c r="W66" s="368" t="n">
        <f aca="false">IF(19&lt;5,0,IF(MAX(R39:W39)&gt;W44+5+$B$18,1,0))</f>
        <v>0</v>
      </c>
      <c r="X66" s="368" t="n">
        <f aca="false">IF(20&lt;5,0,IF(MAX(S39:X39)&gt;X44+5+$B$18,1,0))</f>
        <v>0</v>
      </c>
      <c r="Y66" s="368" t="n">
        <f aca="false">IF(21&lt;5,0,IF(MAX(T39:Y39)&gt;Y44+5+$B$18,1,0))</f>
        <v>0</v>
      </c>
      <c r="Z66" s="368" t="n">
        <f aca="false">IF(22&lt;5,0,IF(MAX(U39:Z39)&gt;Z44+5+$B$18,1,0))</f>
        <v>0</v>
      </c>
      <c r="AA66" s="368" t="n">
        <f aca="false">IF(23&lt;5,0,IF(MAX(V39:AA39)&gt;AA44+5+$B$18,1,0))</f>
        <v>0</v>
      </c>
      <c r="AB66" s="368" t="n">
        <f aca="false">IF(24&lt;5,0,IF(MAX(W39:AB39)&gt;AB44+5+$B$18,1,0))</f>
        <v>0</v>
      </c>
      <c r="AC66" s="368" t="n">
        <f aca="false">IF(25&lt;5,0,IF(MAX(X39:AC39)&gt;AC44+5+$B$18,1,0))</f>
        <v>0</v>
      </c>
      <c r="AD66" s="368" t="n">
        <f aca="false">IF(26&lt;5,0,IF(MAX(Y39:AD39)&gt;AD44+5+$B$18,1,0))</f>
        <v>0</v>
      </c>
      <c r="AE66" s="368" t="n">
        <f aca="false">IF(27&lt;5,0,IF(MAX(Z39:AE39)&gt;AE44+5+$B$18,1,0))</f>
        <v>0</v>
      </c>
      <c r="AF66" s="368" t="n">
        <f aca="false">IF(28&lt;5,0,IF(MAX(AA39:AF39)&gt;AF44+5+$B$18,1,0))</f>
        <v>0</v>
      </c>
      <c r="AG66" s="368" t="n">
        <f aca="false">IF(29&lt;5,0,IF(MAX(AB39:AG39)&gt;AG44+5+$B$18,1,0))</f>
        <v>0</v>
      </c>
      <c r="AH66" s="368" t="n">
        <f aca="false">IF(30&lt;5,0,IF(MAX(AC39:AH39)&gt;AH44+5+$B$18,1,0))</f>
        <v>0</v>
      </c>
      <c r="AI66" s="368" t="n">
        <f aca="false">IF(31&lt;5,0,IF(MAX(AD39:AI39)&gt;AI44+5+$B$18,1,0))</f>
        <v>0</v>
      </c>
      <c r="AJ66" s="368" t="n">
        <f aca="false">IF(32&lt;5,0,IF(MAX(AE39:AJ39)&gt;AJ44+5+$B$18,1,0))</f>
        <v>0</v>
      </c>
      <c r="AK66" s="368" t="n">
        <f aca="false">IF(33&lt;5,0,IF(MAX(AF39:AK39)&gt;AK44+5+$B$18,1,0))</f>
        <v>0</v>
      </c>
      <c r="AL66" s="368" t="n">
        <f aca="false">IF(34&lt;5,0,IF(MAX(AG39:AL39)&gt;AL44+5+$B$18,1,0))</f>
        <v>0</v>
      </c>
      <c r="AM66" s="368" t="n">
        <f aca="false">IF(35&lt;5,0,IF(MAX(AH39:AM39)&gt;AM44+5+$B$18,1,0))</f>
        <v>0</v>
      </c>
      <c r="AN66" s="368" t="n">
        <f aca="false">IF(36&lt;5,0,IF(MAX(AI39:AN39)&gt;AN44+5+$B$18,1,0))</f>
        <v>0</v>
      </c>
      <c r="AO66" s="368" t="n">
        <f aca="false">IF(37&lt;5,0,IF(MAX(AJ39:AO39)&gt;AO44+5+$B$18,1,0))</f>
        <v>0</v>
      </c>
      <c r="AP66" s="368" t="n">
        <f aca="false">IF(38&lt;5,0,IF(MAX(AK39:AP39)&gt;AP44+5+$B$18,1,0))</f>
        <v>0</v>
      </c>
      <c r="AQ66" s="368" t="n">
        <f aca="false">IF(39&lt;5,0,IF(MAX(AL39:AQ39)&gt;AQ44+5+$B$18,1,0))</f>
        <v>0</v>
      </c>
      <c r="AR66" s="368" t="n">
        <f aca="false">IF(40&lt;5,0,IF(MAX(AM39:AR39)&gt;AR44+5+$B$18,1,0))</f>
        <v>0</v>
      </c>
      <c r="AS66" s="368" t="n">
        <f aca="false">IF(41&lt;5,0,IF(MAX(AN39:AS39)&gt;AS44+5+$B$18,1,0))</f>
        <v>0</v>
      </c>
      <c r="AT66" s="368" t="n">
        <f aca="false">IF(42&lt;5,0,IF(MAX(AO39:AT39)&gt;AT44+5+$B$18,1,0))</f>
        <v>0</v>
      </c>
      <c r="AU66" s="368" t="n">
        <f aca="false">IF(43&lt;5,0,IF(MAX(AP39:AU39)&gt;AU44+5+$B$18,1,0))</f>
        <v>0</v>
      </c>
      <c r="AV66" s="368" t="n">
        <f aca="false">IF(44&lt;5,0,IF(MAX(AQ39:AV39)&gt;AV44+5+$B$18,1,0))</f>
        <v>0</v>
      </c>
      <c r="AW66" s="368" t="n">
        <f aca="false">IF(45&lt;5,0,IF(MAX(AR39:AW39)&gt;AW44+5+$B$18,1,0))</f>
        <v>0</v>
      </c>
      <c r="AX66" s="368" t="n">
        <f aca="false">IF(46&lt;5,0,IF(MAX(AS39:AX39)&gt;AX44+5+$B$18,1,0))</f>
        <v>0</v>
      </c>
      <c r="AY66" s="368" t="n">
        <f aca="false">IF(47&lt;5,0,IF(MAX(AT39:AY39)&gt;AY44+5+$B$18,1,0))</f>
        <v>0</v>
      </c>
      <c r="AZ66" s="368" t="n">
        <f aca="false">IF(48&lt;5,0,IF(MAX(AU39:AZ39)&gt;AZ44+5+$B$18,1,0))</f>
        <v>0</v>
      </c>
      <c r="BA66" s="368" t="n">
        <f aca="false">IF(49&lt;5,0,IF(MAX(AV39:BA39)&gt;BA44+5+$B$18,1,0))</f>
        <v>0</v>
      </c>
      <c r="BB66" s="368" t="n">
        <f aca="false">IF(50&lt;5,0,IF(MAX(AW39:BB39)&gt;BB44+5+$B$18,1,0))</f>
        <v>0</v>
      </c>
      <c r="BC66" s="368" t="n">
        <f aca="false">IF(51&lt;5,0,IF(MAX(AX39:BC39)&gt;BC44+5+$B$18,1,0))</f>
        <v>0</v>
      </c>
      <c r="BD66" s="368" t="n">
        <f aca="false">IF(52&lt;5,0,IF(MAX(AY39:BD39)&gt;BD44+5+$B$18,1,0))</f>
        <v>0</v>
      </c>
      <c r="BE66" s="368" t="n">
        <f aca="false">IF(53&lt;5,0,IF(MAX(AZ39:BE39)&gt;BE44+5+$B$18,1,0))</f>
        <v>0</v>
      </c>
      <c r="BF66" s="368" t="n">
        <f aca="false">IF(54&lt;5,0,IF(MAX(BA39:BF39)&gt;BF44+5+$B$18,1,0))</f>
        <v>0</v>
      </c>
      <c r="BG66" s="368" t="n">
        <f aca="false">IF(55&lt;5,0,IF(MAX(BB39:BG39)&gt;BG44+5+$B$18,1,0))</f>
        <v>0</v>
      </c>
      <c r="BH66" s="368" t="n">
        <f aca="false">IF(56&lt;5,0,IF(MAX(BC39:BH39)&gt;BH44+5+$B$18,1,0))</f>
        <v>0</v>
      </c>
      <c r="BI66" s="368" t="n">
        <f aca="false">IF(57&lt;5,0,IF(MAX(BD39:BI39)&gt;BI44+5+$B$18,1,0))</f>
        <v>0</v>
      </c>
      <c r="BJ66" s="368" t="n">
        <f aca="false">IF(58&lt;5,0,IF(MAX(BE39:BJ39)&gt;BJ44+5+$B$18,1,0))</f>
        <v>0</v>
      </c>
      <c r="BK66" s="368" t="n">
        <f aca="false">IF(59&lt;5,0,IF(MAX(BF39:BK39)&gt;BK44+5+$B$18,1,0))</f>
        <v>0</v>
      </c>
      <c r="BL66" s="368" t="n">
        <f aca="false">IF(60&lt;5,0,IF(MAX(BG39:BL39)&gt;BL44+5+$B$18,1,0))</f>
        <v>0</v>
      </c>
      <c r="BM66" s="368" t="n">
        <f aca="false">IF(61&lt;5,0,IF(MAX(BH39:BM39)&gt;BM44+5+$B$18,1,0))</f>
        <v>0</v>
      </c>
      <c r="BN66" s="368" t="n">
        <f aca="false">IF(62&lt;5,0,IF(MAX(BI39:BN39)&gt;BN44+5+$B$18,1,0))</f>
        <v>0</v>
      </c>
      <c r="BO66" s="368" t="n">
        <f aca="false">IF(63&lt;5,0,IF(MAX(BJ39:BO39)&gt;BO44+5+$B$18,1,0))</f>
        <v>0</v>
      </c>
      <c r="BP66" s="368" t="n">
        <f aca="false">IF(64&lt;5,0,IF(MAX(BK39:BP39)&gt;BP44+5+$B$18,1,0))</f>
        <v>0</v>
      </c>
      <c r="BQ66" s="368" t="n">
        <f aca="false">IF(65&lt;5,0,IF(MAX(BL39:BQ39)&gt;BQ44+5+$B$18,1,0))</f>
        <v>0</v>
      </c>
      <c r="BR66" s="368" t="n">
        <f aca="false">IF(66&lt;5,0,IF(MAX(BM39:BR39)&gt;BR44+5+$B$18,1,0))</f>
        <v>0</v>
      </c>
      <c r="BS66" s="368" t="n">
        <f aca="false">IF(67&lt;5,0,IF(MAX(BN39:BS39)&gt;BS44+5+$B$18,1,0))</f>
        <v>0</v>
      </c>
      <c r="BT66" s="368" t="n">
        <f aca="false">IF(68&lt;5,0,IF(MAX(BO39:BT39)&gt;BT44+5+$B$18,1,0))</f>
        <v>0</v>
      </c>
      <c r="BU66" s="368" t="n">
        <f aca="false">IF(69&lt;5,0,IF(MAX(BP39:BU39)&gt;BU44+5+$B$18,1,0))</f>
        <v>0</v>
      </c>
      <c r="BV66" s="368" t="n">
        <f aca="false">IF(70&lt;5,0,IF(MAX(BQ39:BV39)&gt;BV44+5+$B$18,1,0))</f>
        <v>0</v>
      </c>
      <c r="BW66" s="368" t="n">
        <f aca="false">IF(71&lt;5,0,IF(MAX(BR39:BW39)&gt;BW44+5+$B$18,1,0))</f>
        <v>0</v>
      </c>
      <c r="BX66" s="368" t="n">
        <f aca="false">IF(72&lt;5,0,IF(MAX(BS39:BX39)&gt;BX44+5+$B$18,1,0))</f>
        <v>0</v>
      </c>
      <c r="BY66" s="368" t="n">
        <f aca="false">IF(73&lt;5,0,IF(MAX(BT39:BY39)&gt;BY44+5+$B$18,1,0))</f>
        <v>0</v>
      </c>
      <c r="BZ66" s="368" t="n">
        <f aca="false">IF(74&lt;5,0,IF(MAX(BU39:BZ39)&gt;BZ44+5+$B$18,1,0))</f>
        <v>0</v>
      </c>
      <c r="CA66" s="368" t="n">
        <f aca="false">IF(75&lt;5,0,IF(MAX(BV39:CA39)&gt;CA44+5+$B$18,1,0))</f>
        <v>0</v>
      </c>
      <c r="CB66" s="368" t="n">
        <f aca="false">IF(76&lt;5,0,IF(MAX(BW39:CB39)&gt;CB44+5+$B$18,1,0))</f>
        <v>0</v>
      </c>
      <c r="CC66" s="368" t="n">
        <f aca="false">IF(77&lt;5,0,IF(MAX(BX39:CC39)&gt;CC44+5+$B$18,1,0))</f>
        <v>0</v>
      </c>
      <c r="CD66" s="368" t="n">
        <f aca="false">IF(78&lt;5,0,IF(MAX(BY39:CD39)&gt;CD44+5+$B$18,1,0))</f>
        <v>0</v>
      </c>
      <c r="CE66" s="368" t="n">
        <f aca="false">IF(79&lt;5,0,IF(MAX(BZ39:CE39)&gt;CE44+5+$B$18,1,0))</f>
        <v>0</v>
      </c>
      <c r="CF66" s="368" t="n">
        <f aca="false">IF(80&lt;5,0,IF(MAX(CA39:CF39)&gt;CF44+5+$B$18,1,0))</f>
        <v>0</v>
      </c>
      <c r="CG66" s="368" t="n">
        <f aca="false">IF(81&lt;5,0,IF(MAX(CB39:CG39)&gt;CG44+5+$B$18,1,0))</f>
        <v>0</v>
      </c>
      <c r="CH66" s="368" t="n">
        <f aca="false">IF(82&lt;5,0,IF(MAX(CC39:CH39)&gt;CH44+5+$B$18,1,0))</f>
        <v>0</v>
      </c>
      <c r="CI66" s="368" t="n">
        <f aca="false">IF(83&lt;5,0,IF(MAX(CD39:CI39)&gt;CI44+5+$B$18,1,0))</f>
        <v>0</v>
      </c>
      <c r="CJ66" s="368" t="n">
        <f aca="false">IF(84&lt;5,0,IF(MAX(CE39:CJ39)&gt;CJ44+5+$B$18,1,0))</f>
        <v>0</v>
      </c>
      <c r="CK66" s="368" t="n">
        <f aca="false">IF(85&lt;5,0,IF(MAX(CF39:CK39)&gt;CK44+5+$B$18,1,0))</f>
        <v>0</v>
      </c>
      <c r="CL66" s="368" t="n">
        <f aca="false">IF(86&lt;5,0,IF(MAX(CG39:CL39)&gt;CL44+5+$B$18,1,0))</f>
        <v>0</v>
      </c>
      <c r="CM66" s="368" t="n">
        <f aca="false">IF(87&lt;5,0,IF(MAX(CH39:CM39)&gt;CM44+5+$B$18,1,0))</f>
        <v>0</v>
      </c>
      <c r="CN66" s="368" t="n">
        <f aca="false">IF(88&lt;5,0,IF(MAX(CI39:CN39)&gt;CN44+5+$B$18,1,0))</f>
        <v>0</v>
      </c>
      <c r="CO66" s="368" t="n">
        <f aca="false">IF(89&lt;5,0,IF(MAX(CJ39:CO39)&gt;CO44+5+$B$18,1,0))</f>
        <v>0</v>
      </c>
      <c r="CP66" s="368" t="n">
        <f aca="false">IF(90&lt;5,0,IF(MAX(CK39:CP39)&gt;CP44+5+$B$18,1,0))</f>
        <v>0</v>
      </c>
      <c r="CQ66" s="368" t="n">
        <f aca="false">IF(91&lt;5,0,IF(MAX(CL39:CQ39)&gt;CQ44+5+$B$18,1,0))</f>
        <v>0</v>
      </c>
      <c r="CR66" s="368" t="n">
        <f aca="false">IF(92&lt;5,0,IF(MAX(CM39:CR39)&gt;CR44+5+$B$18,1,0))</f>
        <v>0</v>
      </c>
      <c r="CS66" s="368" t="n">
        <f aca="false">IF(93&lt;5,0,IF(MAX(CN39:CS39)&gt;CS44+5+$B$18,1,0))</f>
        <v>0</v>
      </c>
      <c r="CT66" s="368" t="n">
        <f aca="false">IF(94&lt;5,0,IF(MAX(CO39:CT39)&gt;CT44+5+$B$18,1,0))</f>
        <v>0</v>
      </c>
      <c r="CU66" s="368" t="n">
        <f aca="false">IF(95&lt;5,0,IF(MAX(CP39:CU39)&gt;CU44+5+$B$18,1,0))</f>
        <v>0</v>
      </c>
      <c r="CV66" s="368" t="n">
        <f aca="false">IF(96&lt;5,0,IF(MAX(CQ39:CV39)&gt;CV44+5+$B$18,1,0))</f>
        <v>0</v>
      </c>
      <c r="CW66" s="368" t="n">
        <f aca="false">IF(97&lt;5,0,IF(MAX(CR39:CW39)&gt;CW44+5+$B$18,1,0))</f>
        <v>0</v>
      </c>
      <c r="CX66" s="368" t="n">
        <f aca="false">IF(98&lt;5,0,IF(MAX(CS39:CX39)&gt;CX44+5+$B$18,1,0))</f>
        <v>0</v>
      </c>
      <c r="CY66" s="368" t="n">
        <f aca="false">IF(99&lt;5,0,IF(MAX(CT39:CY39)&gt;CY44+5+$B$18,1,0))</f>
        <v>0</v>
      </c>
      <c r="CZ66" s="368" t="n">
        <f aca="false">IF(100&lt;5,0,IF(MAX(CU39:CZ39)&gt;CZ44+5+$B$18,1,0))</f>
        <v>0</v>
      </c>
      <c r="DA66" s="368" t="n">
        <f aca="false">IF(101&lt;5,0,IF(MAX(CV39:DA39)&gt;DA44+5+$B$18,1,0))</f>
        <v>0</v>
      </c>
      <c r="DB66" s="368" t="n">
        <f aca="false">IF(102&lt;5,0,IF(MAX(CW39:DB39)&gt;DB44+5+$B$18,1,0))</f>
        <v>0</v>
      </c>
      <c r="DC66" s="368" t="n">
        <f aca="false">IF(103&lt;5,0,IF(MAX(CX39:DC39)&gt;DC44+5+$B$18,1,0))</f>
        <v>0</v>
      </c>
      <c r="DD66" s="368" t="n">
        <f aca="false">IF(104&lt;5,0,IF(MAX(CY39:DD39)&gt;DD44+5+$B$18,1,0))</f>
        <v>0</v>
      </c>
      <c r="DE66" s="368" t="n">
        <f aca="false">IF(105&lt;5,0,IF(MAX(CZ39:DE39)&gt;DE44+5+$B$18,1,0))</f>
        <v>0</v>
      </c>
    </row>
    <row r="67" customFormat="false" ht="13.5" hidden="false" customHeight="true" outlineLevel="0" collapsed="false">
      <c r="A67" s="109" t="s">
        <v>1233</v>
      </c>
      <c r="B67" s="225" t="n">
        <f aca="false">$B$28</f>
        <v>130000</v>
      </c>
      <c r="E67" s="368" t="n">
        <f aca="false">IF(1&lt;5,0,IF(MAX(E39)&gt;E44+6+$B$18,1,0))</f>
        <v>0</v>
      </c>
      <c r="F67" s="368" t="n">
        <f aca="false">IF(2&lt;5,0,IF(MAX(E39:F39)&gt;F44+6+$B$18,1,0))</f>
        <v>0</v>
      </c>
      <c r="G67" s="368" t="n">
        <f aca="false">IF(3&lt;5,0,IF(MAX(E39:G39)&gt;G44+6+$B$18,1,0))</f>
        <v>0</v>
      </c>
      <c r="H67" s="368" t="n">
        <f aca="false">IF(4&lt;5,0,IF(MAX(E39:H39)&gt;H44+6+$B$18,1,0))</f>
        <v>0</v>
      </c>
      <c r="I67" s="368" t="n">
        <f aca="false">IF(5&lt;5,0,IF(MAX(E39:I39)&gt;I44+6+$B$18,1,0))</f>
        <v>0</v>
      </c>
      <c r="J67" s="368" t="n">
        <f aca="false">IF(6&lt;5,0,IF(MAX(E39:J39)&gt;J44+6+$B$18,1,0))</f>
        <v>0</v>
      </c>
      <c r="K67" s="368" t="n">
        <f aca="false">IF(7&lt;5,0,IF(MAX(F39:K39)&gt;K44+6+$B$18,1,0))</f>
        <v>0</v>
      </c>
      <c r="L67" s="368" t="n">
        <f aca="false">IF(8&lt;5,0,IF(MAX(G39:L39)&gt;L44+6+$B$18,1,0))</f>
        <v>0</v>
      </c>
      <c r="M67" s="368" t="n">
        <f aca="false">IF(9&lt;5,0,IF(MAX(H39:M39)&gt;M44+6+$B$18,1,0))</f>
        <v>0</v>
      </c>
      <c r="N67" s="368" t="n">
        <f aca="false">IF(10&lt;5,0,IF(MAX(I39:N39)&gt;N44+6+$B$18,1,0))</f>
        <v>0</v>
      </c>
      <c r="O67" s="368" t="n">
        <f aca="false">IF(11&lt;5,0,IF(MAX(J39:O39)&gt;O44+6+$B$18,1,0))</f>
        <v>0</v>
      </c>
      <c r="P67" s="368" t="n">
        <f aca="false">IF(12&lt;5,0,IF(MAX(K39:P39)&gt;P44+6+$B$18,1,0))</f>
        <v>0</v>
      </c>
      <c r="Q67" s="368" t="n">
        <f aca="false">IF(13&lt;5,0,IF(MAX(L39:Q39)&gt;Q44+6+$B$18,1,0))</f>
        <v>0</v>
      </c>
      <c r="R67" s="368" t="n">
        <f aca="false">IF(14&lt;5,0,IF(MAX(M39:R39)&gt;R44+6+$B$18,1,0))</f>
        <v>0</v>
      </c>
      <c r="S67" s="368" t="n">
        <f aca="false">IF(15&lt;5,0,IF(MAX(N39:S39)&gt;S44+6+$B$18,1,0))</f>
        <v>0</v>
      </c>
      <c r="T67" s="368" t="n">
        <f aca="false">IF(16&lt;5,0,IF(MAX(O39:T39)&gt;T44+6+$B$18,1,0))</f>
        <v>0</v>
      </c>
      <c r="U67" s="368" t="n">
        <f aca="false">IF(17&lt;5,0,IF(MAX(P39:U39)&gt;U44+6+$B$18,1,0))</f>
        <v>0</v>
      </c>
      <c r="V67" s="368" t="n">
        <f aca="false">IF(18&lt;5,0,IF(MAX(Q39:V39)&gt;V44+6+$B$18,1,0))</f>
        <v>0</v>
      </c>
      <c r="W67" s="368" t="n">
        <f aca="false">IF(19&lt;5,0,IF(MAX(R39:W39)&gt;W44+6+$B$18,1,0))</f>
        <v>0</v>
      </c>
      <c r="X67" s="368" t="n">
        <f aca="false">IF(20&lt;5,0,IF(MAX(S39:X39)&gt;X44+6+$B$18,1,0))</f>
        <v>0</v>
      </c>
      <c r="Y67" s="368" t="n">
        <f aca="false">IF(21&lt;5,0,IF(MAX(T39:Y39)&gt;Y44+6+$B$18,1,0))</f>
        <v>0</v>
      </c>
      <c r="Z67" s="368" t="n">
        <f aca="false">IF(22&lt;5,0,IF(MAX(U39:Z39)&gt;Z44+6+$B$18,1,0))</f>
        <v>0</v>
      </c>
      <c r="AA67" s="368" t="n">
        <f aca="false">IF(23&lt;5,0,IF(MAX(V39:AA39)&gt;AA44+6+$B$18,1,0))</f>
        <v>0</v>
      </c>
      <c r="AB67" s="368" t="n">
        <f aca="false">IF(24&lt;5,0,IF(MAX(W39:AB39)&gt;AB44+6+$B$18,1,0))</f>
        <v>0</v>
      </c>
      <c r="AC67" s="368" t="n">
        <f aca="false">IF(25&lt;5,0,IF(MAX(X39:AC39)&gt;AC44+6+$B$18,1,0))</f>
        <v>0</v>
      </c>
      <c r="AD67" s="368" t="n">
        <f aca="false">IF(26&lt;5,0,IF(MAX(Y39:AD39)&gt;AD44+6+$B$18,1,0))</f>
        <v>0</v>
      </c>
      <c r="AE67" s="368" t="n">
        <f aca="false">IF(27&lt;5,0,IF(MAX(Z39:AE39)&gt;AE44+6+$B$18,1,0))</f>
        <v>0</v>
      </c>
      <c r="AF67" s="368" t="n">
        <f aca="false">IF(28&lt;5,0,IF(MAX(AA39:AF39)&gt;AF44+6+$B$18,1,0))</f>
        <v>0</v>
      </c>
      <c r="AG67" s="368" t="n">
        <f aca="false">IF(29&lt;5,0,IF(MAX(AB39:AG39)&gt;AG44+6+$B$18,1,0))</f>
        <v>0</v>
      </c>
      <c r="AH67" s="368" t="n">
        <f aca="false">IF(30&lt;5,0,IF(MAX(AC39:AH39)&gt;AH44+6+$B$18,1,0))</f>
        <v>0</v>
      </c>
      <c r="AI67" s="368" t="n">
        <f aca="false">IF(31&lt;5,0,IF(MAX(AD39:AI39)&gt;AI44+6+$B$18,1,0))</f>
        <v>0</v>
      </c>
      <c r="AJ67" s="368" t="n">
        <f aca="false">IF(32&lt;5,0,IF(MAX(AE39:AJ39)&gt;AJ44+6+$B$18,1,0))</f>
        <v>0</v>
      </c>
      <c r="AK67" s="368" t="n">
        <f aca="false">IF(33&lt;5,0,IF(MAX(AF39:AK39)&gt;AK44+6+$B$18,1,0))</f>
        <v>0</v>
      </c>
      <c r="AL67" s="368" t="n">
        <f aca="false">IF(34&lt;5,0,IF(MAX(AG39:AL39)&gt;AL44+6+$B$18,1,0))</f>
        <v>0</v>
      </c>
      <c r="AM67" s="368" t="n">
        <f aca="false">IF(35&lt;5,0,IF(MAX(AH39:AM39)&gt;AM44+6+$B$18,1,0))</f>
        <v>0</v>
      </c>
      <c r="AN67" s="368" t="n">
        <f aca="false">IF(36&lt;5,0,IF(MAX(AI39:AN39)&gt;AN44+6+$B$18,1,0))</f>
        <v>0</v>
      </c>
      <c r="AO67" s="368" t="n">
        <f aca="false">IF(37&lt;5,0,IF(MAX(AJ39:AO39)&gt;AO44+6+$B$18,1,0))</f>
        <v>0</v>
      </c>
      <c r="AP67" s="368" t="n">
        <f aca="false">IF(38&lt;5,0,IF(MAX(AK39:AP39)&gt;AP44+6+$B$18,1,0))</f>
        <v>0</v>
      </c>
      <c r="AQ67" s="368" t="n">
        <f aca="false">IF(39&lt;5,0,IF(MAX(AL39:AQ39)&gt;AQ44+6+$B$18,1,0))</f>
        <v>0</v>
      </c>
      <c r="AR67" s="368" t="n">
        <f aca="false">IF(40&lt;5,0,IF(MAX(AM39:AR39)&gt;AR44+6+$B$18,1,0))</f>
        <v>0</v>
      </c>
      <c r="AS67" s="368" t="n">
        <f aca="false">IF(41&lt;5,0,IF(MAX(AN39:AS39)&gt;AS44+6+$B$18,1,0))</f>
        <v>0</v>
      </c>
      <c r="AT67" s="368" t="n">
        <f aca="false">IF(42&lt;5,0,IF(MAX(AO39:AT39)&gt;AT44+6+$B$18,1,0))</f>
        <v>0</v>
      </c>
      <c r="AU67" s="368" t="n">
        <f aca="false">IF(43&lt;5,0,IF(MAX(AP39:AU39)&gt;AU44+6+$B$18,1,0))</f>
        <v>0</v>
      </c>
      <c r="AV67" s="368" t="n">
        <f aca="false">IF(44&lt;5,0,IF(MAX(AQ39:AV39)&gt;AV44+6+$B$18,1,0))</f>
        <v>0</v>
      </c>
      <c r="AW67" s="368" t="n">
        <f aca="false">IF(45&lt;5,0,IF(MAX(AR39:AW39)&gt;AW44+6+$B$18,1,0))</f>
        <v>0</v>
      </c>
      <c r="AX67" s="368" t="n">
        <f aca="false">IF(46&lt;5,0,IF(MAX(AS39:AX39)&gt;AX44+6+$B$18,1,0))</f>
        <v>0</v>
      </c>
      <c r="AY67" s="368" t="n">
        <f aca="false">IF(47&lt;5,0,IF(MAX(AT39:AY39)&gt;AY44+6+$B$18,1,0))</f>
        <v>0</v>
      </c>
      <c r="AZ67" s="368" t="n">
        <f aca="false">IF(48&lt;5,0,IF(MAX(AU39:AZ39)&gt;AZ44+6+$B$18,1,0))</f>
        <v>0</v>
      </c>
      <c r="BA67" s="368" t="n">
        <f aca="false">IF(49&lt;5,0,IF(MAX(AV39:BA39)&gt;BA44+6+$B$18,1,0))</f>
        <v>0</v>
      </c>
      <c r="BB67" s="368" t="n">
        <f aca="false">IF(50&lt;5,0,IF(MAX(AW39:BB39)&gt;BB44+6+$B$18,1,0))</f>
        <v>0</v>
      </c>
      <c r="BC67" s="368" t="n">
        <f aca="false">IF(51&lt;5,0,IF(MAX(AX39:BC39)&gt;BC44+6+$B$18,1,0))</f>
        <v>0</v>
      </c>
      <c r="BD67" s="368" t="n">
        <f aca="false">IF(52&lt;5,0,IF(MAX(AY39:BD39)&gt;BD44+6+$B$18,1,0))</f>
        <v>0</v>
      </c>
      <c r="BE67" s="368" t="n">
        <f aca="false">IF(53&lt;5,0,IF(MAX(AZ39:BE39)&gt;BE44+6+$B$18,1,0))</f>
        <v>0</v>
      </c>
      <c r="BF67" s="368" t="n">
        <f aca="false">IF(54&lt;5,0,IF(MAX(BA39:BF39)&gt;BF44+6+$B$18,1,0))</f>
        <v>0</v>
      </c>
      <c r="BG67" s="368" t="n">
        <f aca="false">IF(55&lt;5,0,IF(MAX(BB39:BG39)&gt;BG44+6+$B$18,1,0))</f>
        <v>0</v>
      </c>
      <c r="BH67" s="368" t="n">
        <f aca="false">IF(56&lt;5,0,IF(MAX(BC39:BH39)&gt;BH44+6+$B$18,1,0))</f>
        <v>0</v>
      </c>
      <c r="BI67" s="368" t="n">
        <f aca="false">IF(57&lt;5,0,IF(MAX(BD39:BI39)&gt;BI44+6+$B$18,1,0))</f>
        <v>0</v>
      </c>
      <c r="BJ67" s="368" t="n">
        <f aca="false">IF(58&lt;5,0,IF(MAX(BE39:BJ39)&gt;BJ44+6+$B$18,1,0))</f>
        <v>0</v>
      </c>
      <c r="BK67" s="368" t="n">
        <f aca="false">IF(59&lt;5,0,IF(MAX(BF39:BK39)&gt;BK44+6+$B$18,1,0))</f>
        <v>0</v>
      </c>
      <c r="BL67" s="368" t="n">
        <f aca="false">IF(60&lt;5,0,IF(MAX(BG39:BL39)&gt;BL44+6+$B$18,1,0))</f>
        <v>0</v>
      </c>
      <c r="BM67" s="368" t="n">
        <f aca="false">IF(61&lt;5,0,IF(MAX(BH39:BM39)&gt;BM44+6+$B$18,1,0))</f>
        <v>0</v>
      </c>
      <c r="BN67" s="368" t="n">
        <f aca="false">IF(62&lt;5,0,IF(MAX(BI39:BN39)&gt;BN44+6+$B$18,1,0))</f>
        <v>0</v>
      </c>
      <c r="BO67" s="368" t="n">
        <f aca="false">IF(63&lt;5,0,IF(MAX(BJ39:BO39)&gt;BO44+6+$B$18,1,0))</f>
        <v>0</v>
      </c>
      <c r="BP67" s="368" t="n">
        <f aca="false">IF(64&lt;5,0,IF(MAX(BK39:BP39)&gt;BP44+6+$B$18,1,0))</f>
        <v>0</v>
      </c>
      <c r="BQ67" s="368" t="n">
        <f aca="false">IF(65&lt;5,0,IF(MAX(BL39:BQ39)&gt;BQ44+6+$B$18,1,0))</f>
        <v>0</v>
      </c>
      <c r="BR67" s="368" t="n">
        <f aca="false">IF(66&lt;5,0,IF(MAX(BM39:BR39)&gt;BR44+6+$B$18,1,0))</f>
        <v>0</v>
      </c>
      <c r="BS67" s="368" t="n">
        <f aca="false">IF(67&lt;5,0,IF(MAX(BN39:BS39)&gt;BS44+6+$B$18,1,0))</f>
        <v>0</v>
      </c>
      <c r="BT67" s="368" t="n">
        <f aca="false">IF(68&lt;5,0,IF(MAX(BO39:BT39)&gt;BT44+6+$B$18,1,0))</f>
        <v>0</v>
      </c>
      <c r="BU67" s="368" t="n">
        <f aca="false">IF(69&lt;5,0,IF(MAX(BP39:BU39)&gt;BU44+6+$B$18,1,0))</f>
        <v>0</v>
      </c>
      <c r="BV67" s="368" t="n">
        <f aca="false">IF(70&lt;5,0,IF(MAX(BQ39:BV39)&gt;BV44+6+$B$18,1,0))</f>
        <v>0</v>
      </c>
      <c r="BW67" s="368" t="n">
        <f aca="false">IF(71&lt;5,0,IF(MAX(BR39:BW39)&gt;BW44+6+$B$18,1,0))</f>
        <v>0</v>
      </c>
      <c r="BX67" s="368" t="n">
        <f aca="false">IF(72&lt;5,0,IF(MAX(BS39:BX39)&gt;BX44+6+$B$18,1,0))</f>
        <v>0</v>
      </c>
      <c r="BY67" s="368" t="n">
        <f aca="false">IF(73&lt;5,0,IF(MAX(BT39:BY39)&gt;BY44+6+$B$18,1,0))</f>
        <v>0</v>
      </c>
      <c r="BZ67" s="368" t="n">
        <f aca="false">IF(74&lt;5,0,IF(MAX(BU39:BZ39)&gt;BZ44+6+$B$18,1,0))</f>
        <v>0</v>
      </c>
      <c r="CA67" s="368" t="n">
        <f aca="false">IF(75&lt;5,0,IF(MAX(BV39:CA39)&gt;CA44+6+$B$18,1,0))</f>
        <v>0</v>
      </c>
      <c r="CB67" s="368" t="n">
        <f aca="false">IF(76&lt;5,0,IF(MAX(BW39:CB39)&gt;CB44+6+$B$18,1,0))</f>
        <v>0</v>
      </c>
      <c r="CC67" s="368" t="n">
        <f aca="false">IF(77&lt;5,0,IF(MAX(BX39:CC39)&gt;CC44+6+$B$18,1,0))</f>
        <v>0</v>
      </c>
      <c r="CD67" s="368" t="n">
        <f aca="false">IF(78&lt;5,0,IF(MAX(BY39:CD39)&gt;CD44+6+$B$18,1,0))</f>
        <v>0</v>
      </c>
      <c r="CE67" s="368" t="n">
        <f aca="false">IF(79&lt;5,0,IF(MAX(BZ39:CE39)&gt;CE44+6+$B$18,1,0))</f>
        <v>0</v>
      </c>
      <c r="CF67" s="368" t="n">
        <f aca="false">IF(80&lt;5,0,IF(MAX(CA39:CF39)&gt;CF44+6+$B$18,1,0))</f>
        <v>0</v>
      </c>
      <c r="CG67" s="368" t="n">
        <f aca="false">IF(81&lt;5,0,IF(MAX(CB39:CG39)&gt;CG44+6+$B$18,1,0))</f>
        <v>0</v>
      </c>
      <c r="CH67" s="368" t="n">
        <f aca="false">IF(82&lt;5,0,IF(MAX(CC39:CH39)&gt;CH44+6+$B$18,1,0))</f>
        <v>0</v>
      </c>
      <c r="CI67" s="368" t="n">
        <f aca="false">IF(83&lt;5,0,IF(MAX(CD39:CI39)&gt;CI44+6+$B$18,1,0))</f>
        <v>0</v>
      </c>
      <c r="CJ67" s="368" t="n">
        <f aca="false">IF(84&lt;5,0,IF(MAX(CE39:CJ39)&gt;CJ44+6+$B$18,1,0))</f>
        <v>0</v>
      </c>
      <c r="CK67" s="368" t="n">
        <f aca="false">IF(85&lt;5,0,IF(MAX(CF39:CK39)&gt;CK44+6+$B$18,1,0))</f>
        <v>0</v>
      </c>
      <c r="CL67" s="368" t="n">
        <f aca="false">IF(86&lt;5,0,IF(MAX(CG39:CL39)&gt;CL44+6+$B$18,1,0))</f>
        <v>0</v>
      </c>
      <c r="CM67" s="368" t="n">
        <f aca="false">IF(87&lt;5,0,IF(MAX(CH39:CM39)&gt;CM44+6+$B$18,1,0))</f>
        <v>0</v>
      </c>
      <c r="CN67" s="368" t="n">
        <f aca="false">IF(88&lt;5,0,IF(MAX(CI39:CN39)&gt;CN44+6+$B$18,1,0))</f>
        <v>0</v>
      </c>
      <c r="CO67" s="368" t="n">
        <f aca="false">IF(89&lt;5,0,IF(MAX(CJ39:CO39)&gt;CO44+6+$B$18,1,0))</f>
        <v>0</v>
      </c>
      <c r="CP67" s="368" t="n">
        <f aca="false">IF(90&lt;5,0,IF(MAX(CK39:CP39)&gt;CP44+6+$B$18,1,0))</f>
        <v>0</v>
      </c>
      <c r="CQ67" s="368" t="n">
        <f aca="false">IF(91&lt;5,0,IF(MAX(CL39:CQ39)&gt;CQ44+6+$B$18,1,0))</f>
        <v>0</v>
      </c>
      <c r="CR67" s="368" t="n">
        <f aca="false">IF(92&lt;5,0,IF(MAX(CM39:CR39)&gt;CR44+6+$B$18,1,0))</f>
        <v>0</v>
      </c>
      <c r="CS67" s="368" t="n">
        <f aca="false">IF(93&lt;5,0,IF(MAX(CN39:CS39)&gt;CS44+6+$B$18,1,0))</f>
        <v>0</v>
      </c>
      <c r="CT67" s="368" t="n">
        <f aca="false">IF(94&lt;5,0,IF(MAX(CO39:CT39)&gt;CT44+6+$B$18,1,0))</f>
        <v>0</v>
      </c>
      <c r="CU67" s="368" t="n">
        <f aca="false">IF(95&lt;5,0,IF(MAX(CP39:CU39)&gt;CU44+6+$B$18,1,0))</f>
        <v>0</v>
      </c>
      <c r="CV67" s="368" t="n">
        <f aca="false">IF(96&lt;5,0,IF(MAX(CQ39:CV39)&gt;CV44+6+$B$18,1,0))</f>
        <v>0</v>
      </c>
      <c r="CW67" s="368" t="n">
        <f aca="false">IF(97&lt;5,0,IF(MAX(CR39:CW39)&gt;CW44+6+$B$18,1,0))</f>
        <v>0</v>
      </c>
      <c r="CX67" s="368" t="n">
        <f aca="false">IF(98&lt;5,0,IF(MAX(CS39:CX39)&gt;CX44+6+$B$18,1,0))</f>
        <v>0</v>
      </c>
      <c r="CY67" s="368" t="n">
        <f aca="false">IF(99&lt;5,0,IF(MAX(CT39:CY39)&gt;CY44+6+$B$18,1,0))</f>
        <v>0</v>
      </c>
      <c r="CZ67" s="368" t="n">
        <f aca="false">IF(100&lt;5,0,IF(MAX(CU39:CZ39)&gt;CZ44+6+$B$18,1,0))</f>
        <v>0</v>
      </c>
      <c r="DA67" s="368" t="n">
        <f aca="false">IF(101&lt;5,0,IF(MAX(CV39:DA39)&gt;DA44+6+$B$18,1,0))</f>
        <v>0</v>
      </c>
      <c r="DB67" s="368" t="n">
        <f aca="false">IF(102&lt;5,0,IF(MAX(CW39:DB39)&gt;DB44+6+$B$18,1,0))</f>
        <v>0</v>
      </c>
      <c r="DC67" s="368" t="n">
        <f aca="false">IF(103&lt;5,0,IF(MAX(CX39:DC39)&gt;DC44+6+$B$18,1,0))</f>
        <v>0</v>
      </c>
      <c r="DD67" s="368" t="n">
        <f aca="false">IF(104&lt;5,0,IF(MAX(CY39:DD39)&gt;DD44+6+$B$18,1,0))</f>
        <v>0</v>
      </c>
      <c r="DE67" s="368" t="n">
        <f aca="false">IF(105&lt;5,0,IF(MAX(CZ39:DE39)&gt;DE44+6+$B$18,1,0))</f>
        <v>0</v>
      </c>
    </row>
    <row r="68" customFormat="false" ht="13.5" hidden="false" customHeight="true" outlineLevel="0" collapsed="false">
      <c r="A68" s="109" t="s">
        <v>1234</v>
      </c>
      <c r="B68" s="225" t="n">
        <f aca="false">$B$28</f>
        <v>130000</v>
      </c>
      <c r="E68" s="368" t="n">
        <f aca="false">IF(1&lt;5,0,IF(MAX(E39)&gt;E44+7+$B$18,1,0))</f>
        <v>0</v>
      </c>
      <c r="F68" s="368" t="n">
        <f aca="false">IF(2&lt;5,0,IF(MAX(E39:F39)&gt;F44+7+$B$18,1,0))</f>
        <v>0</v>
      </c>
      <c r="G68" s="368" t="n">
        <f aca="false">IF(3&lt;5,0,IF(MAX(E39:G39)&gt;G44+7+$B$18,1,0))</f>
        <v>0</v>
      </c>
      <c r="H68" s="368" t="n">
        <f aca="false">IF(4&lt;5,0,IF(MAX(E39:H39)&gt;H44+7+$B$18,1,0))</f>
        <v>0</v>
      </c>
      <c r="I68" s="368" t="n">
        <f aca="false">IF(5&lt;5,0,IF(MAX(E39:I39)&gt;I44+7+$B$18,1,0))</f>
        <v>0</v>
      </c>
      <c r="J68" s="368" t="n">
        <f aca="false">IF(6&lt;5,0,IF(MAX(E39:J39)&gt;J44+7+$B$18,1,0))</f>
        <v>0</v>
      </c>
      <c r="K68" s="368" t="n">
        <f aca="false">IF(7&lt;5,0,IF(MAX(F39:K39)&gt;K44+7+$B$18,1,0))</f>
        <v>0</v>
      </c>
      <c r="L68" s="368" t="n">
        <f aca="false">IF(8&lt;5,0,IF(MAX(G39:L39)&gt;L44+7+$B$18,1,0))</f>
        <v>0</v>
      </c>
      <c r="M68" s="368" t="n">
        <f aca="false">IF(9&lt;5,0,IF(MAX(H39:M39)&gt;M44+7+$B$18,1,0))</f>
        <v>0</v>
      </c>
      <c r="N68" s="368" t="n">
        <f aca="false">IF(10&lt;5,0,IF(MAX(I39:N39)&gt;N44+7+$B$18,1,0))</f>
        <v>0</v>
      </c>
      <c r="O68" s="368" t="n">
        <f aca="false">IF(11&lt;5,0,IF(MAX(J39:O39)&gt;O44+7+$B$18,1,0))</f>
        <v>0</v>
      </c>
      <c r="P68" s="368" t="n">
        <f aca="false">IF(12&lt;5,0,IF(MAX(K39:P39)&gt;P44+7+$B$18,1,0))</f>
        <v>0</v>
      </c>
      <c r="Q68" s="368" t="n">
        <f aca="false">IF(13&lt;5,0,IF(MAX(L39:Q39)&gt;Q44+7+$B$18,1,0))</f>
        <v>0</v>
      </c>
      <c r="R68" s="368" t="n">
        <f aca="false">IF(14&lt;5,0,IF(MAX(M39:R39)&gt;R44+7+$B$18,1,0))</f>
        <v>0</v>
      </c>
      <c r="S68" s="368" t="n">
        <f aca="false">IF(15&lt;5,0,IF(MAX(N39:S39)&gt;S44+7+$B$18,1,0))</f>
        <v>0</v>
      </c>
      <c r="T68" s="368" t="n">
        <f aca="false">IF(16&lt;5,0,IF(MAX(O39:T39)&gt;T44+7+$B$18,1,0))</f>
        <v>0</v>
      </c>
      <c r="U68" s="368" t="n">
        <f aca="false">IF(17&lt;5,0,IF(MAX(P39:U39)&gt;U44+7+$B$18,1,0))</f>
        <v>0</v>
      </c>
      <c r="V68" s="368" t="n">
        <f aca="false">IF(18&lt;5,0,IF(MAX(Q39:V39)&gt;V44+7+$B$18,1,0))</f>
        <v>0</v>
      </c>
      <c r="W68" s="368" t="n">
        <f aca="false">IF(19&lt;5,0,IF(MAX(R39:W39)&gt;W44+7+$B$18,1,0))</f>
        <v>0</v>
      </c>
      <c r="X68" s="368" t="n">
        <f aca="false">IF(20&lt;5,0,IF(MAX(S39:X39)&gt;X44+7+$B$18,1,0))</f>
        <v>0</v>
      </c>
      <c r="Y68" s="368" t="n">
        <f aca="false">IF(21&lt;5,0,IF(MAX(T39:Y39)&gt;Y44+7+$B$18,1,0))</f>
        <v>0</v>
      </c>
      <c r="Z68" s="368" t="n">
        <f aca="false">IF(22&lt;5,0,IF(MAX(U39:Z39)&gt;Z44+7+$B$18,1,0))</f>
        <v>0</v>
      </c>
      <c r="AA68" s="368" t="n">
        <f aca="false">IF(23&lt;5,0,IF(MAX(V39:AA39)&gt;AA44+7+$B$18,1,0))</f>
        <v>0</v>
      </c>
      <c r="AB68" s="368" t="n">
        <f aca="false">IF(24&lt;5,0,IF(MAX(W39:AB39)&gt;AB44+7+$B$18,1,0))</f>
        <v>0</v>
      </c>
      <c r="AC68" s="368" t="n">
        <f aca="false">IF(25&lt;5,0,IF(MAX(X39:AC39)&gt;AC44+7+$B$18,1,0))</f>
        <v>0</v>
      </c>
      <c r="AD68" s="368" t="n">
        <f aca="false">IF(26&lt;5,0,IF(MAX(Y39:AD39)&gt;AD44+7+$B$18,1,0))</f>
        <v>0</v>
      </c>
      <c r="AE68" s="368" t="n">
        <f aca="false">IF(27&lt;5,0,IF(MAX(Z39:AE39)&gt;AE44+7+$B$18,1,0))</f>
        <v>0</v>
      </c>
      <c r="AF68" s="368" t="n">
        <f aca="false">IF(28&lt;5,0,IF(MAX(AA39:AF39)&gt;AF44+7+$B$18,1,0))</f>
        <v>0</v>
      </c>
      <c r="AG68" s="368" t="n">
        <f aca="false">IF(29&lt;5,0,IF(MAX(AB39:AG39)&gt;AG44+7+$B$18,1,0))</f>
        <v>0</v>
      </c>
      <c r="AH68" s="368" t="n">
        <f aca="false">IF(30&lt;5,0,IF(MAX(AC39:AH39)&gt;AH44+7+$B$18,1,0))</f>
        <v>0</v>
      </c>
      <c r="AI68" s="368" t="n">
        <f aca="false">IF(31&lt;5,0,IF(MAX(AD39:AI39)&gt;AI44+7+$B$18,1,0))</f>
        <v>0</v>
      </c>
      <c r="AJ68" s="368" t="n">
        <f aca="false">IF(32&lt;5,0,IF(MAX(AE39:AJ39)&gt;AJ44+7+$B$18,1,0))</f>
        <v>0</v>
      </c>
      <c r="AK68" s="368" t="n">
        <f aca="false">IF(33&lt;5,0,IF(MAX(AF39:AK39)&gt;AK44+7+$B$18,1,0))</f>
        <v>0</v>
      </c>
      <c r="AL68" s="368" t="n">
        <f aca="false">IF(34&lt;5,0,IF(MAX(AG39:AL39)&gt;AL44+7+$B$18,1,0))</f>
        <v>0</v>
      </c>
      <c r="AM68" s="368" t="n">
        <f aca="false">IF(35&lt;5,0,IF(MAX(AH39:AM39)&gt;AM44+7+$B$18,1,0))</f>
        <v>0</v>
      </c>
      <c r="AN68" s="368" t="n">
        <f aca="false">IF(36&lt;5,0,IF(MAX(AI39:AN39)&gt;AN44+7+$B$18,1,0))</f>
        <v>0</v>
      </c>
      <c r="AO68" s="368" t="n">
        <f aca="false">IF(37&lt;5,0,IF(MAX(AJ39:AO39)&gt;AO44+7+$B$18,1,0))</f>
        <v>0</v>
      </c>
      <c r="AP68" s="368" t="n">
        <f aca="false">IF(38&lt;5,0,IF(MAX(AK39:AP39)&gt;AP44+7+$B$18,1,0))</f>
        <v>0</v>
      </c>
      <c r="AQ68" s="368" t="n">
        <f aca="false">IF(39&lt;5,0,IF(MAX(AL39:AQ39)&gt;AQ44+7+$B$18,1,0))</f>
        <v>0</v>
      </c>
      <c r="AR68" s="368" t="n">
        <f aca="false">IF(40&lt;5,0,IF(MAX(AM39:AR39)&gt;AR44+7+$B$18,1,0))</f>
        <v>0</v>
      </c>
      <c r="AS68" s="368" t="n">
        <f aca="false">IF(41&lt;5,0,IF(MAX(AN39:AS39)&gt;AS44+7+$B$18,1,0))</f>
        <v>0</v>
      </c>
      <c r="AT68" s="368" t="n">
        <f aca="false">IF(42&lt;5,0,IF(MAX(AO39:AT39)&gt;AT44+7+$B$18,1,0))</f>
        <v>0</v>
      </c>
      <c r="AU68" s="368" t="n">
        <f aca="false">IF(43&lt;5,0,IF(MAX(AP39:AU39)&gt;AU44+7+$B$18,1,0))</f>
        <v>0</v>
      </c>
      <c r="AV68" s="368" t="n">
        <f aca="false">IF(44&lt;5,0,IF(MAX(AQ39:AV39)&gt;AV44+7+$B$18,1,0))</f>
        <v>0</v>
      </c>
      <c r="AW68" s="368" t="n">
        <f aca="false">IF(45&lt;5,0,IF(MAX(AR39:AW39)&gt;AW44+7+$B$18,1,0))</f>
        <v>0</v>
      </c>
      <c r="AX68" s="368" t="n">
        <f aca="false">IF(46&lt;5,0,IF(MAX(AS39:AX39)&gt;AX44+7+$B$18,1,0))</f>
        <v>0</v>
      </c>
      <c r="AY68" s="368" t="n">
        <f aca="false">IF(47&lt;5,0,IF(MAX(AT39:AY39)&gt;AY44+7+$B$18,1,0))</f>
        <v>0</v>
      </c>
      <c r="AZ68" s="368" t="n">
        <f aca="false">IF(48&lt;5,0,IF(MAX(AU39:AZ39)&gt;AZ44+7+$B$18,1,0))</f>
        <v>0</v>
      </c>
      <c r="BA68" s="368" t="n">
        <f aca="false">IF(49&lt;5,0,IF(MAX(AV39:BA39)&gt;BA44+7+$B$18,1,0))</f>
        <v>0</v>
      </c>
      <c r="BB68" s="368" t="n">
        <f aca="false">IF(50&lt;5,0,IF(MAX(AW39:BB39)&gt;BB44+7+$B$18,1,0))</f>
        <v>0</v>
      </c>
      <c r="BC68" s="368" t="n">
        <f aca="false">IF(51&lt;5,0,IF(MAX(AX39:BC39)&gt;BC44+7+$B$18,1,0))</f>
        <v>0</v>
      </c>
      <c r="BD68" s="368" t="n">
        <f aca="false">IF(52&lt;5,0,IF(MAX(AY39:BD39)&gt;BD44+7+$B$18,1,0))</f>
        <v>0</v>
      </c>
      <c r="BE68" s="368" t="n">
        <f aca="false">IF(53&lt;5,0,IF(MAX(AZ39:BE39)&gt;BE44+7+$B$18,1,0))</f>
        <v>0</v>
      </c>
      <c r="BF68" s="368" t="n">
        <f aca="false">IF(54&lt;5,0,IF(MAX(BA39:BF39)&gt;BF44+7+$B$18,1,0))</f>
        <v>0</v>
      </c>
      <c r="BG68" s="368" t="n">
        <f aca="false">IF(55&lt;5,0,IF(MAX(BB39:BG39)&gt;BG44+7+$B$18,1,0))</f>
        <v>0</v>
      </c>
      <c r="BH68" s="368" t="n">
        <f aca="false">IF(56&lt;5,0,IF(MAX(BC39:BH39)&gt;BH44+7+$B$18,1,0))</f>
        <v>0</v>
      </c>
      <c r="BI68" s="368" t="n">
        <f aca="false">IF(57&lt;5,0,IF(MAX(BD39:BI39)&gt;BI44+7+$B$18,1,0))</f>
        <v>0</v>
      </c>
      <c r="BJ68" s="368" t="n">
        <f aca="false">IF(58&lt;5,0,IF(MAX(BE39:BJ39)&gt;BJ44+7+$B$18,1,0))</f>
        <v>0</v>
      </c>
      <c r="BK68" s="368" t="n">
        <f aca="false">IF(59&lt;5,0,IF(MAX(BF39:BK39)&gt;BK44+7+$B$18,1,0))</f>
        <v>0</v>
      </c>
      <c r="BL68" s="368" t="n">
        <f aca="false">IF(60&lt;5,0,IF(MAX(BG39:BL39)&gt;BL44+7+$B$18,1,0))</f>
        <v>0</v>
      </c>
      <c r="BM68" s="368" t="n">
        <f aca="false">IF(61&lt;5,0,IF(MAX(BH39:BM39)&gt;BM44+7+$B$18,1,0))</f>
        <v>0</v>
      </c>
      <c r="BN68" s="368" t="n">
        <f aca="false">IF(62&lt;5,0,IF(MAX(BI39:BN39)&gt;BN44+7+$B$18,1,0))</f>
        <v>0</v>
      </c>
      <c r="BO68" s="368" t="n">
        <f aca="false">IF(63&lt;5,0,IF(MAX(BJ39:BO39)&gt;BO44+7+$B$18,1,0))</f>
        <v>0</v>
      </c>
      <c r="BP68" s="368" t="n">
        <f aca="false">IF(64&lt;5,0,IF(MAX(BK39:BP39)&gt;BP44+7+$B$18,1,0))</f>
        <v>0</v>
      </c>
      <c r="BQ68" s="368" t="n">
        <f aca="false">IF(65&lt;5,0,IF(MAX(BL39:BQ39)&gt;BQ44+7+$B$18,1,0))</f>
        <v>0</v>
      </c>
      <c r="BR68" s="368" t="n">
        <f aca="false">IF(66&lt;5,0,IF(MAX(BM39:BR39)&gt;BR44+7+$B$18,1,0))</f>
        <v>0</v>
      </c>
      <c r="BS68" s="368" t="n">
        <f aca="false">IF(67&lt;5,0,IF(MAX(BN39:BS39)&gt;BS44+7+$B$18,1,0))</f>
        <v>0</v>
      </c>
      <c r="BT68" s="368" t="n">
        <f aca="false">IF(68&lt;5,0,IF(MAX(BO39:BT39)&gt;BT44+7+$B$18,1,0))</f>
        <v>0</v>
      </c>
      <c r="BU68" s="368" t="n">
        <f aca="false">IF(69&lt;5,0,IF(MAX(BP39:BU39)&gt;BU44+7+$B$18,1,0))</f>
        <v>0</v>
      </c>
      <c r="BV68" s="368" t="n">
        <f aca="false">IF(70&lt;5,0,IF(MAX(BQ39:BV39)&gt;BV44+7+$B$18,1,0))</f>
        <v>0</v>
      </c>
      <c r="BW68" s="368" t="n">
        <f aca="false">IF(71&lt;5,0,IF(MAX(BR39:BW39)&gt;BW44+7+$B$18,1,0))</f>
        <v>0</v>
      </c>
      <c r="BX68" s="368" t="n">
        <f aca="false">IF(72&lt;5,0,IF(MAX(BS39:BX39)&gt;BX44+7+$B$18,1,0))</f>
        <v>0</v>
      </c>
      <c r="BY68" s="368" t="n">
        <f aca="false">IF(73&lt;5,0,IF(MAX(BT39:BY39)&gt;BY44+7+$B$18,1,0))</f>
        <v>0</v>
      </c>
      <c r="BZ68" s="368" t="n">
        <f aca="false">IF(74&lt;5,0,IF(MAX(BU39:BZ39)&gt;BZ44+7+$B$18,1,0))</f>
        <v>0</v>
      </c>
      <c r="CA68" s="368" t="n">
        <f aca="false">IF(75&lt;5,0,IF(MAX(BV39:CA39)&gt;CA44+7+$B$18,1,0))</f>
        <v>0</v>
      </c>
      <c r="CB68" s="368" t="n">
        <f aca="false">IF(76&lt;5,0,IF(MAX(BW39:CB39)&gt;CB44+7+$B$18,1,0))</f>
        <v>0</v>
      </c>
      <c r="CC68" s="368" t="n">
        <f aca="false">IF(77&lt;5,0,IF(MAX(BX39:CC39)&gt;CC44+7+$B$18,1,0))</f>
        <v>0</v>
      </c>
      <c r="CD68" s="368" t="n">
        <f aca="false">IF(78&lt;5,0,IF(MAX(BY39:CD39)&gt;CD44+7+$B$18,1,0))</f>
        <v>0</v>
      </c>
      <c r="CE68" s="368" t="n">
        <f aca="false">IF(79&lt;5,0,IF(MAX(BZ39:CE39)&gt;CE44+7+$B$18,1,0))</f>
        <v>0</v>
      </c>
      <c r="CF68" s="368" t="n">
        <f aca="false">IF(80&lt;5,0,IF(MAX(CA39:CF39)&gt;CF44+7+$B$18,1,0))</f>
        <v>0</v>
      </c>
      <c r="CG68" s="368" t="n">
        <f aca="false">IF(81&lt;5,0,IF(MAX(CB39:CG39)&gt;CG44+7+$B$18,1,0))</f>
        <v>0</v>
      </c>
      <c r="CH68" s="368" t="n">
        <f aca="false">IF(82&lt;5,0,IF(MAX(CC39:CH39)&gt;CH44+7+$B$18,1,0))</f>
        <v>0</v>
      </c>
      <c r="CI68" s="368" t="n">
        <f aca="false">IF(83&lt;5,0,IF(MAX(CD39:CI39)&gt;CI44+7+$B$18,1,0))</f>
        <v>0</v>
      </c>
      <c r="CJ68" s="368" t="n">
        <f aca="false">IF(84&lt;5,0,IF(MAX(CE39:CJ39)&gt;CJ44+7+$B$18,1,0))</f>
        <v>0</v>
      </c>
      <c r="CK68" s="368" t="n">
        <f aca="false">IF(85&lt;5,0,IF(MAX(CF39:CK39)&gt;CK44+7+$B$18,1,0))</f>
        <v>0</v>
      </c>
      <c r="CL68" s="368" t="n">
        <f aca="false">IF(86&lt;5,0,IF(MAX(CG39:CL39)&gt;CL44+7+$B$18,1,0))</f>
        <v>0</v>
      </c>
      <c r="CM68" s="368" t="n">
        <f aca="false">IF(87&lt;5,0,IF(MAX(CH39:CM39)&gt;CM44+7+$B$18,1,0))</f>
        <v>0</v>
      </c>
      <c r="CN68" s="368" t="n">
        <f aca="false">IF(88&lt;5,0,IF(MAX(CI39:CN39)&gt;CN44+7+$B$18,1,0))</f>
        <v>0</v>
      </c>
      <c r="CO68" s="368" t="n">
        <f aca="false">IF(89&lt;5,0,IF(MAX(CJ39:CO39)&gt;CO44+7+$B$18,1,0))</f>
        <v>0</v>
      </c>
      <c r="CP68" s="368" t="n">
        <f aca="false">IF(90&lt;5,0,IF(MAX(CK39:CP39)&gt;CP44+7+$B$18,1,0))</f>
        <v>0</v>
      </c>
      <c r="CQ68" s="368" t="n">
        <f aca="false">IF(91&lt;5,0,IF(MAX(CL39:CQ39)&gt;CQ44+7+$B$18,1,0))</f>
        <v>0</v>
      </c>
      <c r="CR68" s="368" t="n">
        <f aca="false">IF(92&lt;5,0,IF(MAX(CM39:CR39)&gt;CR44+7+$B$18,1,0))</f>
        <v>0</v>
      </c>
      <c r="CS68" s="368" t="n">
        <f aca="false">IF(93&lt;5,0,IF(MAX(CN39:CS39)&gt;CS44+7+$B$18,1,0))</f>
        <v>0</v>
      </c>
      <c r="CT68" s="368" t="n">
        <f aca="false">IF(94&lt;5,0,IF(MAX(CO39:CT39)&gt;CT44+7+$B$18,1,0))</f>
        <v>0</v>
      </c>
      <c r="CU68" s="368" t="n">
        <f aca="false">IF(95&lt;5,0,IF(MAX(CP39:CU39)&gt;CU44+7+$B$18,1,0))</f>
        <v>0</v>
      </c>
      <c r="CV68" s="368" t="n">
        <f aca="false">IF(96&lt;5,0,IF(MAX(CQ39:CV39)&gt;CV44+7+$B$18,1,0))</f>
        <v>0</v>
      </c>
      <c r="CW68" s="368" t="n">
        <f aca="false">IF(97&lt;5,0,IF(MAX(CR39:CW39)&gt;CW44+7+$B$18,1,0))</f>
        <v>0</v>
      </c>
      <c r="CX68" s="368" t="n">
        <f aca="false">IF(98&lt;5,0,IF(MAX(CS39:CX39)&gt;CX44+7+$B$18,1,0))</f>
        <v>0</v>
      </c>
      <c r="CY68" s="368" t="n">
        <f aca="false">IF(99&lt;5,0,IF(MAX(CT39:CY39)&gt;CY44+7+$B$18,1,0))</f>
        <v>0</v>
      </c>
      <c r="CZ68" s="368" t="n">
        <f aca="false">IF(100&lt;5,0,IF(MAX(CU39:CZ39)&gt;CZ44+7+$B$18,1,0))</f>
        <v>0</v>
      </c>
      <c r="DA68" s="368" t="n">
        <f aca="false">IF(101&lt;5,0,IF(MAX(CV39:DA39)&gt;DA44+7+$B$18,1,0))</f>
        <v>0</v>
      </c>
      <c r="DB68" s="368" t="n">
        <f aca="false">IF(102&lt;5,0,IF(MAX(CW39:DB39)&gt;DB44+7+$B$18,1,0))</f>
        <v>0</v>
      </c>
      <c r="DC68" s="368" t="n">
        <f aca="false">IF(103&lt;5,0,IF(MAX(CX39:DC39)&gt;DC44+7+$B$18,1,0))</f>
        <v>0</v>
      </c>
      <c r="DD68" s="368" t="n">
        <f aca="false">IF(104&lt;5,0,IF(MAX(CY39:DD39)&gt;DD44+7+$B$18,1,0))</f>
        <v>0</v>
      </c>
      <c r="DE68" s="368" t="n">
        <f aca="false">IF(105&lt;5,0,IF(MAX(CZ39:DE39)&gt;DE44+7+$B$18,1,0))</f>
        <v>0</v>
      </c>
    </row>
    <row r="69" customFormat="false" ht="13.5" hidden="false" customHeight="true" outlineLevel="0" collapsed="false">
      <c r="E69" s="123"/>
      <c r="F69" s="123"/>
      <c r="G69" s="123"/>
      <c r="H69" s="123"/>
      <c r="I69" s="123"/>
      <c r="J69" s="123"/>
      <c r="K69" s="123"/>
      <c r="L69" s="123"/>
      <c r="M69" s="123"/>
      <c r="N69" s="123"/>
      <c r="O69" s="123"/>
      <c r="P69" s="123"/>
      <c r="Q69" s="123"/>
      <c r="R69" s="123"/>
      <c r="S69" s="123"/>
      <c r="T69" s="123"/>
      <c r="U69" s="123"/>
      <c r="V69" s="123"/>
      <c r="W69" s="123"/>
      <c r="X69" s="123"/>
      <c r="Y69" s="123"/>
      <c r="Z69" s="123"/>
      <c r="AA69" s="123"/>
      <c r="AB69" s="123"/>
      <c r="AC69" s="123"/>
      <c r="AD69" s="123"/>
      <c r="AE69" s="123"/>
      <c r="AF69" s="123"/>
      <c r="AG69" s="123"/>
      <c r="AH69" s="123"/>
      <c r="AI69" s="123"/>
      <c r="AJ69" s="123"/>
      <c r="AK69" s="123"/>
      <c r="AL69" s="123"/>
      <c r="AM69" s="123"/>
      <c r="AN69" s="123"/>
      <c r="AO69" s="123"/>
      <c r="AP69" s="123"/>
      <c r="AQ69" s="123"/>
      <c r="AR69" s="123"/>
      <c r="AS69" s="123"/>
      <c r="AT69" s="123"/>
      <c r="AU69" s="123"/>
      <c r="AV69" s="123"/>
      <c r="AW69" s="123"/>
      <c r="AX69" s="123"/>
      <c r="AY69" s="123"/>
      <c r="AZ69" s="123"/>
      <c r="BA69" s="123"/>
      <c r="BB69" s="123"/>
      <c r="BC69" s="123"/>
      <c r="BD69" s="123"/>
      <c r="BE69" s="123"/>
      <c r="BF69" s="123"/>
      <c r="BG69" s="123"/>
      <c r="BH69" s="123"/>
      <c r="BI69" s="123"/>
      <c r="BJ69" s="123"/>
      <c r="BK69" s="123"/>
      <c r="BL69" s="123"/>
      <c r="BM69" s="123"/>
      <c r="BN69" s="123"/>
      <c r="BO69" s="123"/>
      <c r="BP69" s="123"/>
      <c r="BQ69" s="123"/>
      <c r="BR69" s="123"/>
      <c r="BS69" s="123"/>
      <c r="BT69" s="123"/>
      <c r="BU69" s="123"/>
      <c r="BV69" s="123"/>
      <c r="BW69" s="123"/>
      <c r="BX69" s="123"/>
      <c r="BY69" s="123"/>
      <c r="BZ69" s="123"/>
      <c r="CA69" s="123"/>
      <c r="CB69" s="123"/>
      <c r="CC69" s="123"/>
      <c r="CD69" s="123"/>
      <c r="CE69" s="123"/>
      <c r="CF69" s="123"/>
      <c r="CG69" s="123"/>
      <c r="CH69" s="123"/>
      <c r="CI69" s="123"/>
      <c r="CJ69" s="123"/>
      <c r="CK69" s="123"/>
      <c r="CL69" s="123"/>
      <c r="CM69" s="123"/>
      <c r="CN69" s="123"/>
      <c r="CO69" s="123"/>
      <c r="CP69" s="123"/>
      <c r="CQ69" s="123"/>
      <c r="CR69" s="123"/>
      <c r="CS69" s="123"/>
      <c r="CT69" s="123"/>
      <c r="CU69" s="123"/>
      <c r="CV69" s="123"/>
      <c r="CW69" s="123"/>
      <c r="CX69" s="123"/>
      <c r="CY69" s="123"/>
      <c r="CZ69" s="123"/>
      <c r="DA69" s="123"/>
      <c r="DB69" s="123"/>
      <c r="DC69" s="123"/>
      <c r="DD69" s="123"/>
      <c r="DE69" s="123"/>
    </row>
    <row r="70" customFormat="false" ht="13.5" hidden="false" customHeight="true" outlineLevel="0" collapsed="false">
      <c r="E70" s="123"/>
      <c r="F70" s="123"/>
      <c r="G70" s="123"/>
      <c r="H70" s="123"/>
      <c r="I70" s="123"/>
      <c r="J70" s="123"/>
      <c r="K70" s="123"/>
      <c r="L70" s="123"/>
      <c r="M70" s="123"/>
      <c r="N70" s="123"/>
      <c r="O70" s="123"/>
      <c r="P70" s="123"/>
      <c r="Q70" s="123"/>
      <c r="R70" s="123"/>
      <c r="S70" s="123"/>
      <c r="T70" s="123"/>
      <c r="U70" s="123"/>
      <c r="V70" s="123"/>
      <c r="W70" s="123"/>
      <c r="X70" s="123"/>
      <c r="Y70" s="123"/>
      <c r="Z70" s="123"/>
      <c r="AA70" s="123"/>
      <c r="AB70" s="123"/>
      <c r="AC70" s="123"/>
      <c r="AD70" s="123"/>
      <c r="AE70" s="123"/>
      <c r="AF70" s="123"/>
      <c r="AG70" s="123"/>
      <c r="AH70" s="123"/>
      <c r="AI70" s="123"/>
      <c r="AJ70" s="123"/>
      <c r="AK70" s="123"/>
      <c r="AL70" s="123"/>
      <c r="AM70" s="123"/>
      <c r="AN70" s="123"/>
      <c r="AO70" s="123"/>
      <c r="AP70" s="123"/>
      <c r="AQ70" s="123"/>
      <c r="AR70" s="123"/>
      <c r="AS70" s="123"/>
      <c r="AT70" s="123"/>
      <c r="AU70" s="123"/>
      <c r="AV70" s="123"/>
      <c r="AW70" s="123"/>
      <c r="AX70" s="123"/>
      <c r="AY70" s="123"/>
      <c r="AZ70" s="123"/>
      <c r="BA70" s="123"/>
      <c r="BB70" s="123"/>
      <c r="BC70" s="123"/>
      <c r="BD70" s="123"/>
      <c r="BE70" s="123"/>
      <c r="BF70" s="123"/>
      <c r="BG70" s="123"/>
      <c r="BH70" s="123"/>
      <c r="BI70" s="123"/>
      <c r="BJ70" s="123"/>
      <c r="BK70" s="123"/>
      <c r="BL70" s="123"/>
      <c r="BM70" s="123"/>
      <c r="BN70" s="123"/>
      <c r="BO70" s="123"/>
      <c r="BP70" s="123"/>
      <c r="BQ70" s="123"/>
      <c r="BR70" s="123"/>
      <c r="BS70" s="123"/>
      <c r="BT70" s="123"/>
      <c r="BU70" s="123"/>
      <c r="BV70" s="123"/>
      <c r="BW70" s="123"/>
      <c r="BX70" s="123"/>
      <c r="BY70" s="123"/>
      <c r="BZ70" s="123"/>
      <c r="CA70" s="123"/>
      <c r="CB70" s="123"/>
      <c r="CC70" s="123"/>
      <c r="CD70" s="123"/>
      <c r="CE70" s="123"/>
      <c r="CF70" s="123"/>
      <c r="CG70" s="123"/>
      <c r="CH70" s="123"/>
      <c r="CI70" s="123"/>
      <c r="CJ70" s="123"/>
      <c r="CK70" s="123"/>
      <c r="CL70" s="123"/>
      <c r="CM70" s="123"/>
      <c r="CN70" s="123"/>
      <c r="CO70" s="123"/>
      <c r="CP70" s="123"/>
      <c r="CQ70" s="123"/>
      <c r="CR70" s="123"/>
      <c r="CS70" s="123"/>
      <c r="CT70" s="123"/>
      <c r="CU70" s="123"/>
      <c r="CV70" s="123"/>
      <c r="CW70" s="123"/>
      <c r="CX70" s="123"/>
      <c r="CY70" s="123"/>
      <c r="CZ70" s="123"/>
      <c r="DA70" s="123"/>
      <c r="DB70" s="123"/>
      <c r="DC70" s="123"/>
      <c r="DD70" s="123"/>
      <c r="DE70" s="123"/>
    </row>
    <row r="71" customFormat="false" ht="13.5" hidden="false" customHeight="true" outlineLevel="0" collapsed="false">
      <c r="A71" s="109" t="s">
        <v>1235</v>
      </c>
      <c r="B71" s="225" t="n">
        <f aca="false">$B$29</f>
        <v>180000</v>
      </c>
      <c r="E71" s="368" t="n">
        <f aca="false">IF(1&lt;5,0,IF(MAX(E40)&gt;E45+0+$B$18,1,0))</f>
        <v>0</v>
      </c>
      <c r="F71" s="368" t="n">
        <f aca="false">IF(2&lt;5,0,IF(MAX(E40:F40)&gt;F45+0+$B$18,1,0))</f>
        <v>0</v>
      </c>
      <c r="G71" s="368" t="n">
        <f aca="false">IF(3&lt;5,0,IF(MAX(E40:G40)&gt;G45+0+$B$18,1,0))</f>
        <v>0</v>
      </c>
      <c r="H71" s="368" t="n">
        <f aca="false">IF(4&lt;5,0,IF(MAX(E40:H40)&gt;H45+0+$B$18,1,0))</f>
        <v>0</v>
      </c>
      <c r="I71" s="368" t="n">
        <f aca="false">IF(5&lt;5,0,IF(MAX(E40:I40)&gt;I45+0+$B$18,1,0))</f>
        <v>0</v>
      </c>
      <c r="J71" s="368" t="n">
        <f aca="false">IF(6&lt;5,0,IF(MAX(E40:J40)&gt;J45+0+$B$18,1,0))</f>
        <v>0</v>
      </c>
      <c r="K71" s="368" t="n">
        <f aca="false">IF(7&lt;5,0,IF(MAX(F40:K40)&gt;K45+0+$B$18,1,0))</f>
        <v>0</v>
      </c>
      <c r="L71" s="368" t="n">
        <f aca="false">IF(8&lt;5,0,IF(MAX(G40:L40)&gt;L45+0+$B$18,1,0))</f>
        <v>0</v>
      </c>
      <c r="M71" s="368" t="n">
        <f aca="false">IF(9&lt;5,0,IF(MAX(H40:M40)&gt;M45+0+$B$18,1,0))</f>
        <v>0</v>
      </c>
      <c r="N71" s="368" t="n">
        <f aca="false">IF(10&lt;5,0,IF(MAX(I40:N40)&gt;N45+0+$B$18,1,0))</f>
        <v>0</v>
      </c>
      <c r="O71" s="368" t="n">
        <f aca="false">IF(11&lt;5,0,IF(MAX(J40:O40)&gt;O45+0+$B$18,1,0))</f>
        <v>0</v>
      </c>
      <c r="P71" s="368" t="n">
        <f aca="false">IF(12&lt;5,0,IF(MAX(K40:P40)&gt;P45+0+$B$18,1,0))</f>
        <v>0</v>
      </c>
      <c r="Q71" s="368" t="n">
        <f aca="false">IF(13&lt;5,0,IF(MAX(L40:Q40)&gt;Q45+0+$B$18,1,0))</f>
        <v>0</v>
      </c>
      <c r="R71" s="368" t="n">
        <f aca="false">IF(14&lt;5,0,IF(MAX(M40:R40)&gt;R45+0+$B$18,1,0))</f>
        <v>0</v>
      </c>
      <c r="S71" s="368" t="n">
        <f aca="false">IF(15&lt;5,0,IF(MAX(N40:S40)&gt;S45+0+$B$18,1,0))</f>
        <v>0</v>
      </c>
      <c r="T71" s="368" t="n">
        <f aca="false">IF(16&lt;5,0,IF(MAX(O40:T40)&gt;T45+0+$B$18,1,0))</f>
        <v>0</v>
      </c>
      <c r="U71" s="368" t="n">
        <f aca="false">IF(17&lt;5,0,IF(MAX(P40:U40)&gt;U45+0+$B$18,1,0))</f>
        <v>0</v>
      </c>
      <c r="V71" s="368" t="n">
        <f aca="false">IF(18&lt;5,0,IF(MAX(Q40:V40)&gt;V45+0+$B$18,1,0))</f>
        <v>0</v>
      </c>
      <c r="W71" s="368" t="n">
        <f aca="false">IF(19&lt;5,0,IF(MAX(R40:W40)&gt;W45+0+$B$18,1,0))</f>
        <v>1</v>
      </c>
      <c r="X71" s="368" t="n">
        <f aca="false">IF(20&lt;5,0,IF(MAX(S40:X40)&gt;X45+0+$B$18,1,0))</f>
        <v>1</v>
      </c>
      <c r="Y71" s="368" t="n">
        <f aca="false">IF(21&lt;5,0,IF(MAX(T40:Y40)&gt;Y45+0+$B$18,1,0))</f>
        <v>1</v>
      </c>
      <c r="Z71" s="368" t="n">
        <f aca="false">IF(22&lt;5,0,IF(MAX(U40:Z40)&gt;Z45+0+$B$18,1,0))</f>
        <v>1</v>
      </c>
      <c r="AA71" s="368" t="n">
        <f aca="false">IF(23&lt;5,0,IF(MAX(V40:AA40)&gt;AA45+0+$B$18,1,0))</f>
        <v>1</v>
      </c>
      <c r="AB71" s="368" t="n">
        <f aca="false">IF(24&lt;5,0,IF(MAX(W40:AB40)&gt;AB45+0+$B$18,1,0))</f>
        <v>1</v>
      </c>
      <c r="AC71" s="368" t="n">
        <f aca="false">IF(25&lt;5,0,IF(MAX(X40:AC40)&gt;AC45+0+$B$18,1,0))</f>
        <v>1</v>
      </c>
      <c r="AD71" s="368" t="n">
        <f aca="false">IF(26&lt;5,0,IF(MAX(Y40:AD40)&gt;AD45+0+$B$18,1,0))</f>
        <v>1</v>
      </c>
      <c r="AE71" s="368" t="n">
        <f aca="false">IF(27&lt;5,0,IF(MAX(Z40:AE40)&gt;AE45+0+$B$18,1,0))</f>
        <v>1</v>
      </c>
      <c r="AF71" s="368" t="n">
        <f aca="false">IF(28&lt;5,0,IF(MAX(AA40:AF40)&gt;AF45+0+$B$18,1,0))</f>
        <v>1</v>
      </c>
      <c r="AG71" s="368" t="n">
        <f aca="false">IF(29&lt;5,0,IF(MAX(AB40:AG40)&gt;AG45+0+$B$18,1,0))</f>
        <v>0</v>
      </c>
      <c r="AH71" s="368" t="n">
        <f aca="false">IF(30&lt;5,0,IF(MAX(AC40:AH40)&gt;AH45+0+$B$18,1,0))</f>
        <v>0</v>
      </c>
      <c r="AI71" s="368" t="n">
        <f aca="false">IF(31&lt;5,0,IF(MAX(AD40:AI40)&gt;AI45+0+$B$18,1,0))</f>
        <v>0</v>
      </c>
      <c r="AJ71" s="368" t="n">
        <f aca="false">IF(32&lt;5,0,IF(MAX(AE40:AJ40)&gt;AJ45+0+$B$18,1,0))</f>
        <v>0</v>
      </c>
      <c r="AK71" s="368" t="n">
        <f aca="false">IF(33&lt;5,0,IF(MAX(AF40:AK40)&gt;AK45+0+$B$18,1,0))</f>
        <v>0</v>
      </c>
      <c r="AL71" s="368" t="n">
        <f aca="false">IF(34&lt;5,0,IF(MAX(AG40:AL40)&gt;AL45+0+$B$18,1,0))</f>
        <v>0</v>
      </c>
      <c r="AM71" s="368" t="n">
        <f aca="false">IF(35&lt;5,0,IF(MAX(AH40:AM40)&gt;AM45+0+$B$18,1,0))</f>
        <v>0</v>
      </c>
      <c r="AN71" s="368" t="n">
        <f aca="false">IF(36&lt;5,0,IF(MAX(AI40:AN40)&gt;AN45+0+$B$18,1,0))</f>
        <v>0</v>
      </c>
      <c r="AO71" s="368" t="n">
        <f aca="false">IF(37&lt;5,0,IF(MAX(AJ40:AO40)&gt;AO45+0+$B$18,1,0))</f>
        <v>0</v>
      </c>
      <c r="AP71" s="368" t="n">
        <f aca="false">IF(38&lt;5,0,IF(MAX(AK40:AP40)&gt;AP45+0+$B$18,1,0))</f>
        <v>0</v>
      </c>
      <c r="AQ71" s="368" t="n">
        <f aca="false">IF(39&lt;5,0,IF(MAX(AL40:AQ40)&gt;AQ45+0+$B$18,1,0))</f>
        <v>0</v>
      </c>
      <c r="AR71" s="368" t="n">
        <f aca="false">IF(40&lt;5,0,IF(MAX(AM40:AR40)&gt;AR45+0+$B$18,1,0))</f>
        <v>0</v>
      </c>
      <c r="AS71" s="368" t="n">
        <f aca="false">IF(41&lt;5,0,IF(MAX(AN40:AS40)&gt;AS45+0+$B$18,1,0))</f>
        <v>0</v>
      </c>
      <c r="AT71" s="368" t="n">
        <f aca="false">IF(42&lt;5,0,IF(MAX(AO40:AT40)&gt;AT45+0+$B$18,1,0))</f>
        <v>0</v>
      </c>
      <c r="AU71" s="368" t="n">
        <f aca="false">IF(43&lt;5,0,IF(MAX(AP40:AU40)&gt;AU45+0+$B$18,1,0))</f>
        <v>0</v>
      </c>
      <c r="AV71" s="368" t="n">
        <f aca="false">IF(44&lt;5,0,IF(MAX(AQ40:AV40)&gt;AV45+0+$B$18,1,0))</f>
        <v>0</v>
      </c>
      <c r="AW71" s="368" t="n">
        <f aca="false">IF(45&lt;5,0,IF(MAX(AR40:AW40)&gt;AW45+0+$B$18,1,0))</f>
        <v>0</v>
      </c>
      <c r="AX71" s="368" t="n">
        <f aca="false">IF(46&lt;5,0,IF(MAX(AS40:AX40)&gt;AX45+0+$B$18,1,0))</f>
        <v>0</v>
      </c>
      <c r="AY71" s="368" t="n">
        <f aca="false">IF(47&lt;5,0,IF(MAX(AT40:AY40)&gt;AY45+0+$B$18,1,0))</f>
        <v>0</v>
      </c>
      <c r="AZ71" s="368" t="n">
        <f aca="false">IF(48&lt;5,0,IF(MAX(AU40:AZ40)&gt;AZ45+0+$B$18,1,0))</f>
        <v>0</v>
      </c>
      <c r="BA71" s="368" t="n">
        <f aca="false">IF(49&lt;5,0,IF(MAX(AV40:BA40)&gt;BA45+0+$B$18,1,0))</f>
        <v>0</v>
      </c>
      <c r="BB71" s="368" t="n">
        <f aca="false">IF(50&lt;5,0,IF(MAX(AW40:BB40)&gt;BB45+0+$B$18,1,0))</f>
        <v>0</v>
      </c>
      <c r="BC71" s="368" t="n">
        <f aca="false">IF(51&lt;5,0,IF(MAX(AX40:BC40)&gt;BC45+0+$B$18,1,0))</f>
        <v>0</v>
      </c>
      <c r="BD71" s="368" t="n">
        <f aca="false">IF(52&lt;5,0,IF(MAX(AY40:BD40)&gt;BD45+0+$B$18,1,0))</f>
        <v>0</v>
      </c>
      <c r="BE71" s="368" t="n">
        <f aca="false">IF(53&lt;5,0,IF(MAX(AZ40:BE40)&gt;BE45+0+$B$18,1,0))</f>
        <v>0</v>
      </c>
      <c r="BF71" s="368" t="n">
        <f aca="false">IF(54&lt;5,0,IF(MAX(BA40:BF40)&gt;BF45+0+$B$18,1,0))</f>
        <v>0</v>
      </c>
      <c r="BG71" s="368" t="n">
        <f aca="false">IF(55&lt;5,0,IF(MAX(BB40:BG40)&gt;BG45+0+$B$18,1,0))</f>
        <v>0</v>
      </c>
      <c r="BH71" s="368" t="n">
        <f aca="false">IF(56&lt;5,0,IF(MAX(BC40:BH40)&gt;BH45+0+$B$18,1,0))</f>
        <v>0</v>
      </c>
      <c r="BI71" s="368" t="n">
        <f aca="false">IF(57&lt;5,0,IF(MAX(BD40:BI40)&gt;BI45+0+$B$18,1,0))</f>
        <v>0</v>
      </c>
      <c r="BJ71" s="368" t="n">
        <f aca="false">IF(58&lt;5,0,IF(MAX(BE40:BJ40)&gt;BJ45+0+$B$18,1,0))</f>
        <v>0</v>
      </c>
      <c r="BK71" s="368" t="n">
        <f aca="false">IF(59&lt;5,0,IF(MAX(BF40:BK40)&gt;BK45+0+$B$18,1,0))</f>
        <v>0</v>
      </c>
      <c r="BL71" s="368" t="n">
        <f aca="false">IF(60&lt;5,0,IF(MAX(BG40:BL40)&gt;BL45+0+$B$18,1,0))</f>
        <v>0</v>
      </c>
      <c r="BM71" s="368" t="n">
        <f aca="false">IF(61&lt;5,0,IF(MAX(BH40:BM40)&gt;BM45+0+$B$18,1,0))</f>
        <v>0</v>
      </c>
      <c r="BN71" s="368" t="n">
        <f aca="false">IF(62&lt;5,0,IF(MAX(BI40:BN40)&gt;BN45+0+$B$18,1,0))</f>
        <v>0</v>
      </c>
      <c r="BO71" s="368" t="n">
        <f aca="false">IF(63&lt;5,0,IF(MAX(BJ40:BO40)&gt;BO45+0+$B$18,1,0))</f>
        <v>0</v>
      </c>
      <c r="BP71" s="368" t="n">
        <f aca="false">IF(64&lt;5,0,IF(MAX(BK40:BP40)&gt;BP45+0+$B$18,1,0))</f>
        <v>0</v>
      </c>
      <c r="BQ71" s="368" t="n">
        <f aca="false">IF(65&lt;5,0,IF(MAX(BL40:BQ40)&gt;BQ45+0+$B$18,1,0))</f>
        <v>0</v>
      </c>
      <c r="BR71" s="368" t="n">
        <f aca="false">IF(66&lt;5,0,IF(MAX(BM40:BR40)&gt;BR45+0+$B$18,1,0))</f>
        <v>0</v>
      </c>
      <c r="BS71" s="368" t="n">
        <f aca="false">IF(67&lt;5,0,IF(MAX(BN40:BS40)&gt;BS45+0+$B$18,1,0))</f>
        <v>0</v>
      </c>
      <c r="BT71" s="368" t="n">
        <f aca="false">IF(68&lt;5,0,IF(MAX(BO40:BT40)&gt;BT45+0+$B$18,1,0))</f>
        <v>0</v>
      </c>
      <c r="BU71" s="368" t="n">
        <f aca="false">IF(69&lt;5,0,IF(MAX(BP40:BU40)&gt;BU45+0+$B$18,1,0))</f>
        <v>0</v>
      </c>
      <c r="BV71" s="368" t="n">
        <f aca="false">IF(70&lt;5,0,IF(MAX(BQ40:BV40)&gt;BV45+0+$B$18,1,0))</f>
        <v>0</v>
      </c>
      <c r="BW71" s="368" t="n">
        <f aca="false">IF(71&lt;5,0,IF(MAX(BR40:BW40)&gt;BW45+0+$B$18,1,0))</f>
        <v>0</v>
      </c>
      <c r="BX71" s="368" t="n">
        <f aca="false">IF(72&lt;5,0,IF(MAX(BS40:BX40)&gt;BX45+0+$B$18,1,0))</f>
        <v>0</v>
      </c>
      <c r="BY71" s="368" t="n">
        <f aca="false">IF(73&lt;5,0,IF(MAX(BT40:BY40)&gt;BY45+0+$B$18,1,0))</f>
        <v>0</v>
      </c>
      <c r="BZ71" s="368" t="n">
        <f aca="false">IF(74&lt;5,0,IF(MAX(BU40:BZ40)&gt;BZ45+0+$B$18,1,0))</f>
        <v>0</v>
      </c>
      <c r="CA71" s="368" t="n">
        <f aca="false">IF(75&lt;5,0,IF(MAX(BV40:CA40)&gt;CA45+0+$B$18,1,0))</f>
        <v>0</v>
      </c>
      <c r="CB71" s="368" t="n">
        <f aca="false">IF(76&lt;5,0,IF(MAX(BW40:CB40)&gt;CB45+0+$B$18,1,0))</f>
        <v>0</v>
      </c>
      <c r="CC71" s="368" t="n">
        <f aca="false">IF(77&lt;5,0,IF(MAX(BX40:CC40)&gt;CC45+0+$B$18,1,0))</f>
        <v>0</v>
      </c>
      <c r="CD71" s="368" t="n">
        <f aca="false">IF(78&lt;5,0,IF(MAX(BY40:CD40)&gt;CD45+0+$B$18,1,0))</f>
        <v>0</v>
      </c>
      <c r="CE71" s="368" t="n">
        <f aca="false">IF(79&lt;5,0,IF(MAX(BZ40:CE40)&gt;CE45+0+$B$18,1,0))</f>
        <v>0</v>
      </c>
      <c r="CF71" s="368" t="n">
        <f aca="false">IF(80&lt;5,0,IF(MAX(CA40:CF40)&gt;CF45+0+$B$18,1,0))</f>
        <v>0</v>
      </c>
      <c r="CG71" s="368" t="n">
        <f aca="false">IF(81&lt;5,0,IF(MAX(CB40:CG40)&gt;CG45+0+$B$18,1,0))</f>
        <v>0</v>
      </c>
      <c r="CH71" s="368" t="n">
        <f aca="false">IF(82&lt;5,0,IF(MAX(CC40:CH40)&gt;CH45+0+$B$18,1,0))</f>
        <v>0</v>
      </c>
      <c r="CI71" s="368" t="n">
        <f aca="false">IF(83&lt;5,0,IF(MAX(CD40:CI40)&gt;CI45+0+$B$18,1,0))</f>
        <v>0</v>
      </c>
      <c r="CJ71" s="368" t="n">
        <f aca="false">IF(84&lt;5,0,IF(MAX(CE40:CJ40)&gt;CJ45+0+$B$18,1,0))</f>
        <v>0</v>
      </c>
      <c r="CK71" s="368" t="n">
        <f aca="false">IF(85&lt;5,0,IF(MAX(CF40:CK40)&gt;CK45+0+$B$18,1,0))</f>
        <v>0</v>
      </c>
      <c r="CL71" s="368" t="n">
        <f aca="false">IF(86&lt;5,0,IF(MAX(CG40:CL40)&gt;CL45+0+$B$18,1,0))</f>
        <v>0</v>
      </c>
      <c r="CM71" s="368" t="n">
        <f aca="false">IF(87&lt;5,0,IF(MAX(CH40:CM40)&gt;CM45+0+$B$18,1,0))</f>
        <v>0</v>
      </c>
      <c r="CN71" s="368" t="n">
        <f aca="false">IF(88&lt;5,0,IF(MAX(CI40:CN40)&gt;CN45+0+$B$18,1,0))</f>
        <v>0</v>
      </c>
      <c r="CO71" s="368" t="n">
        <f aca="false">IF(89&lt;5,0,IF(MAX(CJ40:CO40)&gt;CO45+0+$B$18,1,0))</f>
        <v>0</v>
      </c>
      <c r="CP71" s="368" t="n">
        <f aca="false">IF(90&lt;5,0,IF(MAX(CK40:CP40)&gt;CP45+0+$B$18,1,0))</f>
        <v>0</v>
      </c>
      <c r="CQ71" s="368" t="n">
        <f aca="false">IF(91&lt;5,0,IF(MAX(CL40:CQ40)&gt;CQ45+0+$B$18,1,0))</f>
        <v>0</v>
      </c>
      <c r="CR71" s="368" t="n">
        <f aca="false">IF(92&lt;5,0,IF(MAX(CM40:CR40)&gt;CR45+0+$B$18,1,0))</f>
        <v>0</v>
      </c>
      <c r="CS71" s="368" t="n">
        <f aca="false">IF(93&lt;5,0,IF(MAX(CN40:CS40)&gt;CS45+0+$B$18,1,0))</f>
        <v>0</v>
      </c>
      <c r="CT71" s="368" t="n">
        <f aca="false">IF(94&lt;5,0,IF(MAX(CO40:CT40)&gt;CT45+0+$B$18,1,0))</f>
        <v>0</v>
      </c>
      <c r="CU71" s="368" t="n">
        <f aca="false">IF(95&lt;5,0,IF(MAX(CP40:CU40)&gt;CU45+0+$B$18,1,0))</f>
        <v>0</v>
      </c>
      <c r="CV71" s="368" t="n">
        <f aca="false">IF(96&lt;5,0,IF(MAX(CQ40:CV40)&gt;CV45+0+$B$18,1,0))</f>
        <v>0</v>
      </c>
      <c r="CW71" s="368" t="n">
        <f aca="false">IF(97&lt;5,0,IF(MAX(CR40:CW40)&gt;CW45+0+$B$18,1,0))</f>
        <v>0</v>
      </c>
      <c r="CX71" s="368" t="n">
        <f aca="false">IF(98&lt;5,0,IF(MAX(CS40:CX40)&gt;CX45+0+$B$18,1,0))</f>
        <v>0</v>
      </c>
      <c r="CY71" s="368" t="n">
        <f aca="false">IF(99&lt;5,0,IF(MAX(CT40:CY40)&gt;CY45+0+$B$18,1,0))</f>
        <v>0</v>
      </c>
      <c r="CZ71" s="368" t="n">
        <f aca="false">IF(100&lt;5,0,IF(MAX(CU40:CZ40)&gt;CZ45+0+$B$18,1,0))</f>
        <v>0</v>
      </c>
      <c r="DA71" s="368" t="n">
        <f aca="false">IF(101&lt;5,0,IF(MAX(CV40:DA40)&gt;DA45+0+$B$18,1,0))</f>
        <v>0</v>
      </c>
      <c r="DB71" s="368" t="n">
        <f aca="false">IF(102&lt;5,0,IF(MAX(CW40:DB40)&gt;DB45+0+$B$18,1,0))</f>
        <v>0</v>
      </c>
      <c r="DC71" s="368" t="n">
        <f aca="false">IF(103&lt;5,0,IF(MAX(CX40:DC40)&gt;DC45+0+$B$18,1,0))</f>
        <v>0</v>
      </c>
      <c r="DD71" s="368" t="n">
        <f aca="false">IF(104&lt;5,0,IF(MAX(CY40:DD40)&gt;DD45+0+$B$18,1,0))</f>
        <v>0</v>
      </c>
      <c r="DE71" s="368" t="n">
        <f aca="false">IF(105&lt;5,0,IF(MAX(CZ40:DE40)&gt;DE45+0+$B$18,1,0))</f>
        <v>0</v>
      </c>
    </row>
    <row r="72" customFormat="false" ht="13.5" hidden="false" customHeight="true" outlineLevel="0" collapsed="false">
      <c r="A72" s="109" t="s">
        <v>1236</v>
      </c>
      <c r="B72" s="225" t="n">
        <f aca="false">$B$29</f>
        <v>180000</v>
      </c>
      <c r="E72" s="368" t="n">
        <f aca="false">IF(1&lt;5,0,IF(MAX(E40)&gt;E45+1+$B$18,1,0))</f>
        <v>0</v>
      </c>
      <c r="F72" s="368" t="n">
        <f aca="false">IF(2&lt;5,0,IF(MAX(E40:F40)&gt;F45+1+$B$18,1,0))</f>
        <v>0</v>
      </c>
      <c r="G72" s="368" t="n">
        <f aca="false">IF(3&lt;5,0,IF(MAX(E40:G40)&gt;G45+1+$B$18,1,0))</f>
        <v>0</v>
      </c>
      <c r="H72" s="368" t="n">
        <f aca="false">IF(4&lt;5,0,IF(MAX(E40:H40)&gt;H45+1+$B$18,1,0))</f>
        <v>0</v>
      </c>
      <c r="I72" s="368" t="n">
        <f aca="false">IF(5&lt;5,0,IF(MAX(E40:I40)&gt;I45+1+$B$18,1,0))</f>
        <v>0</v>
      </c>
      <c r="J72" s="368" t="n">
        <f aca="false">IF(6&lt;5,0,IF(MAX(E40:J40)&gt;J45+1+$B$18,1,0))</f>
        <v>0</v>
      </c>
      <c r="K72" s="368" t="n">
        <f aca="false">IF(7&lt;5,0,IF(MAX(F40:K40)&gt;K45+1+$B$18,1,0))</f>
        <v>0</v>
      </c>
      <c r="L72" s="368" t="n">
        <f aca="false">IF(8&lt;5,0,IF(MAX(G40:L40)&gt;L45+1+$B$18,1,0))</f>
        <v>0</v>
      </c>
      <c r="M72" s="368" t="n">
        <f aca="false">IF(9&lt;5,0,IF(MAX(H40:M40)&gt;M45+1+$B$18,1,0))</f>
        <v>0</v>
      </c>
      <c r="N72" s="368" t="n">
        <f aca="false">IF(10&lt;5,0,IF(MAX(I40:N40)&gt;N45+1+$B$18,1,0))</f>
        <v>0</v>
      </c>
      <c r="O72" s="368" t="n">
        <f aca="false">IF(11&lt;5,0,IF(MAX(J40:O40)&gt;O45+1+$B$18,1,0))</f>
        <v>0</v>
      </c>
      <c r="P72" s="368" t="n">
        <f aca="false">IF(12&lt;5,0,IF(MAX(K40:P40)&gt;P45+1+$B$18,1,0))</f>
        <v>0</v>
      </c>
      <c r="Q72" s="368" t="n">
        <f aca="false">IF(13&lt;5,0,IF(MAX(L40:Q40)&gt;Q45+1+$B$18,1,0))</f>
        <v>0</v>
      </c>
      <c r="R72" s="368" t="n">
        <f aca="false">IF(14&lt;5,0,IF(MAX(M40:R40)&gt;R45+1+$B$18,1,0))</f>
        <v>0</v>
      </c>
      <c r="S72" s="368" t="n">
        <f aca="false">IF(15&lt;5,0,IF(MAX(N40:S40)&gt;S45+1+$B$18,1,0))</f>
        <v>0</v>
      </c>
      <c r="T72" s="368" t="n">
        <f aca="false">IF(16&lt;5,0,IF(MAX(O40:T40)&gt;T45+1+$B$18,1,0))</f>
        <v>0</v>
      </c>
      <c r="U72" s="368" t="n">
        <f aca="false">IF(17&lt;5,0,IF(MAX(P40:U40)&gt;U45+1+$B$18,1,0))</f>
        <v>0</v>
      </c>
      <c r="V72" s="368" t="n">
        <f aca="false">IF(18&lt;5,0,IF(MAX(Q40:V40)&gt;V45+1+$B$18,1,0))</f>
        <v>0</v>
      </c>
      <c r="W72" s="368" t="n">
        <f aca="false">IF(19&lt;5,0,IF(MAX(R40:W40)&gt;W45+1+$B$18,1,0))</f>
        <v>0</v>
      </c>
      <c r="X72" s="368" t="n">
        <f aca="false">IF(20&lt;5,0,IF(MAX(S40:X40)&gt;X45+1+$B$18,1,0))</f>
        <v>0</v>
      </c>
      <c r="Y72" s="368" t="n">
        <f aca="false">IF(21&lt;5,0,IF(MAX(T40:Y40)&gt;Y45+1+$B$18,1,0))</f>
        <v>0</v>
      </c>
      <c r="Z72" s="368" t="n">
        <f aca="false">IF(22&lt;5,0,IF(MAX(U40:Z40)&gt;Z45+1+$B$18,1,0))</f>
        <v>0</v>
      </c>
      <c r="AA72" s="368" t="n">
        <f aca="false">IF(23&lt;5,0,IF(MAX(V40:AA40)&gt;AA45+1+$B$18,1,0))</f>
        <v>0</v>
      </c>
      <c r="AB72" s="368" t="n">
        <f aca="false">IF(24&lt;5,0,IF(MAX(W40:AB40)&gt;AB45+1+$B$18,1,0))</f>
        <v>0</v>
      </c>
      <c r="AC72" s="368" t="n">
        <f aca="false">IF(25&lt;5,0,IF(MAX(X40:AC40)&gt;AC45+1+$B$18,1,0))</f>
        <v>0</v>
      </c>
      <c r="AD72" s="368" t="n">
        <f aca="false">IF(26&lt;5,0,IF(MAX(Y40:AD40)&gt;AD45+1+$B$18,1,0))</f>
        <v>0</v>
      </c>
      <c r="AE72" s="368" t="n">
        <f aca="false">IF(27&lt;5,0,IF(MAX(Z40:AE40)&gt;AE45+1+$B$18,1,0))</f>
        <v>0</v>
      </c>
      <c r="AF72" s="368" t="n">
        <f aca="false">IF(28&lt;5,0,IF(MAX(AA40:AF40)&gt;AF45+1+$B$18,1,0))</f>
        <v>0</v>
      </c>
      <c r="AG72" s="368" t="n">
        <f aca="false">IF(29&lt;5,0,IF(MAX(AB40:AG40)&gt;AG45+1+$B$18,1,0))</f>
        <v>0</v>
      </c>
      <c r="AH72" s="368" t="n">
        <f aca="false">IF(30&lt;5,0,IF(MAX(AC40:AH40)&gt;AH45+1+$B$18,1,0))</f>
        <v>0</v>
      </c>
      <c r="AI72" s="368" t="n">
        <f aca="false">IF(31&lt;5,0,IF(MAX(AD40:AI40)&gt;AI45+1+$B$18,1,0))</f>
        <v>0</v>
      </c>
      <c r="AJ72" s="368" t="n">
        <f aca="false">IF(32&lt;5,0,IF(MAX(AE40:AJ40)&gt;AJ45+1+$B$18,1,0))</f>
        <v>0</v>
      </c>
      <c r="AK72" s="368" t="n">
        <f aca="false">IF(33&lt;5,0,IF(MAX(AF40:AK40)&gt;AK45+1+$B$18,1,0))</f>
        <v>0</v>
      </c>
      <c r="AL72" s="368" t="n">
        <f aca="false">IF(34&lt;5,0,IF(MAX(AG40:AL40)&gt;AL45+1+$B$18,1,0))</f>
        <v>0</v>
      </c>
      <c r="AM72" s="368" t="n">
        <f aca="false">IF(35&lt;5,0,IF(MAX(AH40:AM40)&gt;AM45+1+$B$18,1,0))</f>
        <v>0</v>
      </c>
      <c r="AN72" s="368" t="n">
        <f aca="false">IF(36&lt;5,0,IF(MAX(AI40:AN40)&gt;AN45+1+$B$18,1,0))</f>
        <v>0</v>
      </c>
      <c r="AO72" s="368" t="n">
        <f aca="false">IF(37&lt;5,0,IF(MAX(AJ40:AO40)&gt;AO45+1+$B$18,1,0))</f>
        <v>0</v>
      </c>
      <c r="AP72" s="368" t="n">
        <f aca="false">IF(38&lt;5,0,IF(MAX(AK40:AP40)&gt;AP45+1+$B$18,1,0))</f>
        <v>0</v>
      </c>
      <c r="AQ72" s="368" t="n">
        <f aca="false">IF(39&lt;5,0,IF(MAX(AL40:AQ40)&gt;AQ45+1+$B$18,1,0))</f>
        <v>0</v>
      </c>
      <c r="AR72" s="368" t="n">
        <f aca="false">IF(40&lt;5,0,IF(MAX(AM40:AR40)&gt;AR45+1+$B$18,1,0))</f>
        <v>0</v>
      </c>
      <c r="AS72" s="368" t="n">
        <f aca="false">IF(41&lt;5,0,IF(MAX(AN40:AS40)&gt;AS45+1+$B$18,1,0))</f>
        <v>0</v>
      </c>
      <c r="AT72" s="368" t="n">
        <f aca="false">IF(42&lt;5,0,IF(MAX(AO40:AT40)&gt;AT45+1+$B$18,1,0))</f>
        <v>0</v>
      </c>
      <c r="AU72" s="368" t="n">
        <f aca="false">IF(43&lt;5,0,IF(MAX(AP40:AU40)&gt;AU45+1+$B$18,1,0))</f>
        <v>0</v>
      </c>
      <c r="AV72" s="368" t="n">
        <f aca="false">IF(44&lt;5,0,IF(MAX(AQ40:AV40)&gt;AV45+1+$B$18,1,0))</f>
        <v>0</v>
      </c>
      <c r="AW72" s="368" t="n">
        <f aca="false">IF(45&lt;5,0,IF(MAX(AR40:AW40)&gt;AW45+1+$B$18,1,0))</f>
        <v>0</v>
      </c>
      <c r="AX72" s="368" t="n">
        <f aca="false">IF(46&lt;5,0,IF(MAX(AS40:AX40)&gt;AX45+1+$B$18,1,0))</f>
        <v>0</v>
      </c>
      <c r="AY72" s="368" t="n">
        <f aca="false">IF(47&lt;5,0,IF(MAX(AT40:AY40)&gt;AY45+1+$B$18,1,0))</f>
        <v>0</v>
      </c>
      <c r="AZ72" s="368" t="n">
        <f aca="false">IF(48&lt;5,0,IF(MAX(AU40:AZ40)&gt;AZ45+1+$B$18,1,0))</f>
        <v>0</v>
      </c>
      <c r="BA72" s="368" t="n">
        <f aca="false">IF(49&lt;5,0,IF(MAX(AV40:BA40)&gt;BA45+1+$B$18,1,0))</f>
        <v>0</v>
      </c>
      <c r="BB72" s="368" t="n">
        <f aca="false">IF(50&lt;5,0,IF(MAX(AW40:BB40)&gt;BB45+1+$B$18,1,0))</f>
        <v>0</v>
      </c>
      <c r="BC72" s="368" t="n">
        <f aca="false">IF(51&lt;5,0,IF(MAX(AX40:BC40)&gt;BC45+1+$B$18,1,0))</f>
        <v>0</v>
      </c>
      <c r="BD72" s="368" t="n">
        <f aca="false">IF(52&lt;5,0,IF(MAX(AY40:BD40)&gt;BD45+1+$B$18,1,0))</f>
        <v>0</v>
      </c>
      <c r="BE72" s="368" t="n">
        <f aca="false">IF(53&lt;5,0,IF(MAX(AZ40:BE40)&gt;BE45+1+$B$18,1,0))</f>
        <v>0</v>
      </c>
      <c r="BF72" s="368" t="n">
        <f aca="false">IF(54&lt;5,0,IF(MAX(BA40:BF40)&gt;BF45+1+$B$18,1,0))</f>
        <v>0</v>
      </c>
      <c r="BG72" s="368" t="n">
        <f aca="false">IF(55&lt;5,0,IF(MAX(BB40:BG40)&gt;BG45+1+$B$18,1,0))</f>
        <v>0</v>
      </c>
      <c r="BH72" s="368" t="n">
        <f aca="false">IF(56&lt;5,0,IF(MAX(BC40:BH40)&gt;BH45+1+$B$18,1,0))</f>
        <v>0</v>
      </c>
      <c r="BI72" s="368" t="n">
        <f aca="false">IF(57&lt;5,0,IF(MAX(BD40:BI40)&gt;BI45+1+$B$18,1,0))</f>
        <v>0</v>
      </c>
      <c r="BJ72" s="368" t="n">
        <f aca="false">IF(58&lt;5,0,IF(MAX(BE40:BJ40)&gt;BJ45+1+$B$18,1,0))</f>
        <v>0</v>
      </c>
      <c r="BK72" s="368" t="n">
        <f aca="false">IF(59&lt;5,0,IF(MAX(BF40:BK40)&gt;BK45+1+$B$18,1,0))</f>
        <v>0</v>
      </c>
      <c r="BL72" s="368" t="n">
        <f aca="false">IF(60&lt;5,0,IF(MAX(BG40:BL40)&gt;BL45+1+$B$18,1,0))</f>
        <v>0</v>
      </c>
      <c r="BM72" s="368" t="n">
        <f aca="false">IF(61&lt;5,0,IF(MAX(BH40:BM40)&gt;BM45+1+$B$18,1,0))</f>
        <v>0</v>
      </c>
      <c r="BN72" s="368" t="n">
        <f aca="false">IF(62&lt;5,0,IF(MAX(BI40:BN40)&gt;BN45+1+$B$18,1,0))</f>
        <v>0</v>
      </c>
      <c r="BO72" s="368" t="n">
        <f aca="false">IF(63&lt;5,0,IF(MAX(BJ40:BO40)&gt;BO45+1+$B$18,1,0))</f>
        <v>0</v>
      </c>
      <c r="BP72" s="368" t="n">
        <f aca="false">IF(64&lt;5,0,IF(MAX(BK40:BP40)&gt;BP45+1+$B$18,1,0))</f>
        <v>0</v>
      </c>
      <c r="BQ72" s="368" t="n">
        <f aca="false">IF(65&lt;5,0,IF(MAX(BL40:BQ40)&gt;BQ45+1+$B$18,1,0))</f>
        <v>0</v>
      </c>
      <c r="BR72" s="368" t="n">
        <f aca="false">IF(66&lt;5,0,IF(MAX(BM40:BR40)&gt;BR45+1+$B$18,1,0))</f>
        <v>0</v>
      </c>
      <c r="BS72" s="368" t="n">
        <f aca="false">IF(67&lt;5,0,IF(MAX(BN40:BS40)&gt;BS45+1+$B$18,1,0))</f>
        <v>0</v>
      </c>
      <c r="BT72" s="368" t="n">
        <f aca="false">IF(68&lt;5,0,IF(MAX(BO40:BT40)&gt;BT45+1+$B$18,1,0))</f>
        <v>0</v>
      </c>
      <c r="BU72" s="368" t="n">
        <f aca="false">IF(69&lt;5,0,IF(MAX(BP40:BU40)&gt;BU45+1+$B$18,1,0))</f>
        <v>0</v>
      </c>
      <c r="BV72" s="368" t="n">
        <f aca="false">IF(70&lt;5,0,IF(MAX(BQ40:BV40)&gt;BV45+1+$B$18,1,0))</f>
        <v>0</v>
      </c>
      <c r="BW72" s="368" t="n">
        <f aca="false">IF(71&lt;5,0,IF(MAX(BR40:BW40)&gt;BW45+1+$B$18,1,0))</f>
        <v>0</v>
      </c>
      <c r="BX72" s="368" t="n">
        <f aca="false">IF(72&lt;5,0,IF(MAX(BS40:BX40)&gt;BX45+1+$B$18,1,0))</f>
        <v>0</v>
      </c>
      <c r="BY72" s="368" t="n">
        <f aca="false">IF(73&lt;5,0,IF(MAX(BT40:BY40)&gt;BY45+1+$B$18,1,0))</f>
        <v>0</v>
      </c>
      <c r="BZ72" s="368" t="n">
        <f aca="false">IF(74&lt;5,0,IF(MAX(BU40:BZ40)&gt;BZ45+1+$B$18,1,0))</f>
        <v>0</v>
      </c>
      <c r="CA72" s="368" t="n">
        <f aca="false">IF(75&lt;5,0,IF(MAX(BV40:CA40)&gt;CA45+1+$B$18,1,0))</f>
        <v>0</v>
      </c>
      <c r="CB72" s="368" t="n">
        <f aca="false">IF(76&lt;5,0,IF(MAX(BW40:CB40)&gt;CB45+1+$B$18,1,0))</f>
        <v>0</v>
      </c>
      <c r="CC72" s="368" t="n">
        <f aca="false">IF(77&lt;5,0,IF(MAX(BX40:CC40)&gt;CC45+1+$B$18,1,0))</f>
        <v>0</v>
      </c>
      <c r="CD72" s="368" t="n">
        <f aca="false">IF(78&lt;5,0,IF(MAX(BY40:CD40)&gt;CD45+1+$B$18,1,0))</f>
        <v>0</v>
      </c>
      <c r="CE72" s="368" t="n">
        <f aca="false">IF(79&lt;5,0,IF(MAX(BZ40:CE40)&gt;CE45+1+$B$18,1,0))</f>
        <v>0</v>
      </c>
      <c r="CF72" s="368" t="n">
        <f aca="false">IF(80&lt;5,0,IF(MAX(CA40:CF40)&gt;CF45+1+$B$18,1,0))</f>
        <v>0</v>
      </c>
      <c r="CG72" s="368" t="n">
        <f aca="false">IF(81&lt;5,0,IF(MAX(CB40:CG40)&gt;CG45+1+$B$18,1,0))</f>
        <v>0</v>
      </c>
      <c r="CH72" s="368" t="n">
        <f aca="false">IF(82&lt;5,0,IF(MAX(CC40:CH40)&gt;CH45+1+$B$18,1,0))</f>
        <v>0</v>
      </c>
      <c r="CI72" s="368" t="n">
        <f aca="false">IF(83&lt;5,0,IF(MAX(CD40:CI40)&gt;CI45+1+$B$18,1,0))</f>
        <v>0</v>
      </c>
      <c r="CJ72" s="368" t="n">
        <f aca="false">IF(84&lt;5,0,IF(MAX(CE40:CJ40)&gt;CJ45+1+$B$18,1,0))</f>
        <v>0</v>
      </c>
      <c r="CK72" s="368" t="n">
        <f aca="false">IF(85&lt;5,0,IF(MAX(CF40:CK40)&gt;CK45+1+$B$18,1,0))</f>
        <v>0</v>
      </c>
      <c r="CL72" s="368" t="n">
        <f aca="false">IF(86&lt;5,0,IF(MAX(CG40:CL40)&gt;CL45+1+$B$18,1,0))</f>
        <v>0</v>
      </c>
      <c r="CM72" s="368" t="n">
        <f aca="false">IF(87&lt;5,0,IF(MAX(CH40:CM40)&gt;CM45+1+$B$18,1,0))</f>
        <v>0</v>
      </c>
      <c r="CN72" s="368" t="n">
        <f aca="false">IF(88&lt;5,0,IF(MAX(CI40:CN40)&gt;CN45+1+$B$18,1,0))</f>
        <v>0</v>
      </c>
      <c r="CO72" s="368" t="n">
        <f aca="false">IF(89&lt;5,0,IF(MAX(CJ40:CO40)&gt;CO45+1+$B$18,1,0))</f>
        <v>0</v>
      </c>
      <c r="CP72" s="368" t="n">
        <f aca="false">IF(90&lt;5,0,IF(MAX(CK40:CP40)&gt;CP45+1+$B$18,1,0))</f>
        <v>0</v>
      </c>
      <c r="CQ72" s="368" t="n">
        <f aca="false">IF(91&lt;5,0,IF(MAX(CL40:CQ40)&gt;CQ45+1+$B$18,1,0))</f>
        <v>0</v>
      </c>
      <c r="CR72" s="368" t="n">
        <f aca="false">IF(92&lt;5,0,IF(MAX(CM40:CR40)&gt;CR45+1+$B$18,1,0))</f>
        <v>0</v>
      </c>
      <c r="CS72" s="368" t="n">
        <f aca="false">IF(93&lt;5,0,IF(MAX(CN40:CS40)&gt;CS45+1+$B$18,1,0))</f>
        <v>0</v>
      </c>
      <c r="CT72" s="368" t="n">
        <f aca="false">IF(94&lt;5,0,IF(MAX(CO40:CT40)&gt;CT45+1+$B$18,1,0))</f>
        <v>0</v>
      </c>
      <c r="CU72" s="368" t="n">
        <f aca="false">IF(95&lt;5,0,IF(MAX(CP40:CU40)&gt;CU45+1+$B$18,1,0))</f>
        <v>0</v>
      </c>
      <c r="CV72" s="368" t="n">
        <f aca="false">IF(96&lt;5,0,IF(MAX(CQ40:CV40)&gt;CV45+1+$B$18,1,0))</f>
        <v>0</v>
      </c>
      <c r="CW72" s="368" t="n">
        <f aca="false">IF(97&lt;5,0,IF(MAX(CR40:CW40)&gt;CW45+1+$B$18,1,0))</f>
        <v>0</v>
      </c>
      <c r="CX72" s="368" t="n">
        <f aca="false">IF(98&lt;5,0,IF(MAX(CS40:CX40)&gt;CX45+1+$B$18,1,0))</f>
        <v>0</v>
      </c>
      <c r="CY72" s="368" t="n">
        <f aca="false">IF(99&lt;5,0,IF(MAX(CT40:CY40)&gt;CY45+1+$B$18,1,0))</f>
        <v>0</v>
      </c>
      <c r="CZ72" s="368" t="n">
        <f aca="false">IF(100&lt;5,0,IF(MAX(CU40:CZ40)&gt;CZ45+1+$B$18,1,0))</f>
        <v>0</v>
      </c>
      <c r="DA72" s="368" t="n">
        <f aca="false">IF(101&lt;5,0,IF(MAX(CV40:DA40)&gt;DA45+1+$B$18,1,0))</f>
        <v>0</v>
      </c>
      <c r="DB72" s="368" t="n">
        <f aca="false">IF(102&lt;5,0,IF(MAX(CW40:DB40)&gt;DB45+1+$B$18,1,0))</f>
        <v>0</v>
      </c>
      <c r="DC72" s="368" t="n">
        <f aca="false">IF(103&lt;5,0,IF(MAX(CX40:DC40)&gt;DC45+1+$B$18,1,0))</f>
        <v>0</v>
      </c>
      <c r="DD72" s="368" t="n">
        <f aca="false">IF(104&lt;5,0,IF(MAX(CY40:DD40)&gt;DD45+1+$B$18,1,0))</f>
        <v>0</v>
      </c>
      <c r="DE72" s="368" t="n">
        <f aca="false">IF(105&lt;5,0,IF(MAX(CZ40:DE40)&gt;DE45+1+$B$18,1,0))</f>
        <v>0</v>
      </c>
    </row>
    <row r="73" customFormat="false" ht="13.5" hidden="false" customHeight="true" outlineLevel="0" collapsed="false">
      <c r="A73" s="109" t="s">
        <v>1237</v>
      </c>
      <c r="B73" s="225" t="n">
        <f aca="false">$B$29</f>
        <v>180000</v>
      </c>
      <c r="E73" s="368" t="n">
        <f aca="false">IF(1&lt;5,0,IF(MAX(E40)&gt;E45+2+$B$18,1,0))</f>
        <v>0</v>
      </c>
      <c r="F73" s="368" t="n">
        <f aca="false">IF(2&lt;5,0,IF(MAX(E40:F40)&gt;F45+2+$B$18,1,0))</f>
        <v>0</v>
      </c>
      <c r="G73" s="368" t="n">
        <f aca="false">IF(3&lt;5,0,IF(MAX(E40:G40)&gt;G45+2+$B$18,1,0))</f>
        <v>0</v>
      </c>
      <c r="H73" s="368" t="n">
        <f aca="false">IF(4&lt;5,0,IF(MAX(E40:H40)&gt;H45+2+$B$18,1,0))</f>
        <v>0</v>
      </c>
      <c r="I73" s="368" t="n">
        <f aca="false">IF(5&lt;5,0,IF(MAX(E40:I40)&gt;I45+2+$B$18,1,0))</f>
        <v>0</v>
      </c>
      <c r="J73" s="368" t="n">
        <f aca="false">IF(6&lt;5,0,IF(MAX(E40:J40)&gt;J45+2+$B$18,1,0))</f>
        <v>0</v>
      </c>
      <c r="K73" s="368" t="n">
        <f aca="false">IF(7&lt;5,0,IF(MAX(F40:K40)&gt;K45+2+$B$18,1,0))</f>
        <v>0</v>
      </c>
      <c r="L73" s="368" t="n">
        <f aca="false">IF(8&lt;5,0,IF(MAX(G40:L40)&gt;L45+2+$B$18,1,0))</f>
        <v>0</v>
      </c>
      <c r="M73" s="368" t="n">
        <f aca="false">IF(9&lt;5,0,IF(MAX(H40:M40)&gt;M45+2+$B$18,1,0))</f>
        <v>0</v>
      </c>
      <c r="N73" s="368" t="n">
        <f aca="false">IF(10&lt;5,0,IF(MAX(I40:N40)&gt;N45+2+$B$18,1,0))</f>
        <v>0</v>
      </c>
      <c r="O73" s="368" t="n">
        <f aca="false">IF(11&lt;5,0,IF(MAX(J40:O40)&gt;O45+2+$B$18,1,0))</f>
        <v>0</v>
      </c>
      <c r="P73" s="368" t="n">
        <f aca="false">IF(12&lt;5,0,IF(MAX(K40:P40)&gt;P45+2+$B$18,1,0))</f>
        <v>0</v>
      </c>
      <c r="Q73" s="368" t="n">
        <f aca="false">IF(13&lt;5,0,IF(MAX(L40:Q40)&gt;Q45+2+$B$18,1,0))</f>
        <v>0</v>
      </c>
      <c r="R73" s="368" t="n">
        <f aca="false">IF(14&lt;5,0,IF(MAX(M40:R40)&gt;R45+2+$B$18,1,0))</f>
        <v>0</v>
      </c>
      <c r="S73" s="368" t="n">
        <f aca="false">IF(15&lt;5,0,IF(MAX(N40:S40)&gt;S45+2+$B$18,1,0))</f>
        <v>0</v>
      </c>
      <c r="T73" s="368" t="n">
        <f aca="false">IF(16&lt;5,0,IF(MAX(O40:T40)&gt;T45+2+$B$18,1,0))</f>
        <v>0</v>
      </c>
      <c r="U73" s="368" t="n">
        <f aca="false">IF(17&lt;5,0,IF(MAX(P40:U40)&gt;U45+2+$B$18,1,0))</f>
        <v>0</v>
      </c>
      <c r="V73" s="368" t="n">
        <f aca="false">IF(18&lt;5,0,IF(MAX(Q40:V40)&gt;V45+2+$B$18,1,0))</f>
        <v>0</v>
      </c>
      <c r="W73" s="368" t="n">
        <f aca="false">IF(19&lt;5,0,IF(MAX(R40:W40)&gt;W45+2+$B$18,1,0))</f>
        <v>0</v>
      </c>
      <c r="X73" s="368" t="n">
        <f aca="false">IF(20&lt;5,0,IF(MAX(S40:X40)&gt;X45+2+$B$18,1,0))</f>
        <v>0</v>
      </c>
      <c r="Y73" s="368" t="n">
        <f aca="false">IF(21&lt;5,0,IF(MAX(T40:Y40)&gt;Y45+2+$B$18,1,0))</f>
        <v>0</v>
      </c>
      <c r="Z73" s="368" t="n">
        <f aca="false">IF(22&lt;5,0,IF(MAX(U40:Z40)&gt;Z45+2+$B$18,1,0))</f>
        <v>0</v>
      </c>
      <c r="AA73" s="368" t="n">
        <f aca="false">IF(23&lt;5,0,IF(MAX(V40:AA40)&gt;AA45+2+$B$18,1,0))</f>
        <v>0</v>
      </c>
      <c r="AB73" s="368" t="n">
        <f aca="false">IF(24&lt;5,0,IF(MAX(W40:AB40)&gt;AB45+2+$B$18,1,0))</f>
        <v>0</v>
      </c>
      <c r="AC73" s="368" t="n">
        <f aca="false">IF(25&lt;5,0,IF(MAX(X40:AC40)&gt;AC45+2+$B$18,1,0))</f>
        <v>0</v>
      </c>
      <c r="AD73" s="368" t="n">
        <f aca="false">IF(26&lt;5,0,IF(MAX(Y40:AD40)&gt;AD45+2+$B$18,1,0))</f>
        <v>0</v>
      </c>
      <c r="AE73" s="368" t="n">
        <f aca="false">IF(27&lt;5,0,IF(MAX(Z40:AE40)&gt;AE45+2+$B$18,1,0))</f>
        <v>0</v>
      </c>
      <c r="AF73" s="368" t="n">
        <f aca="false">IF(28&lt;5,0,IF(MAX(AA40:AF40)&gt;AF45+2+$B$18,1,0))</f>
        <v>0</v>
      </c>
      <c r="AG73" s="368" t="n">
        <f aca="false">IF(29&lt;5,0,IF(MAX(AB40:AG40)&gt;AG45+2+$B$18,1,0))</f>
        <v>0</v>
      </c>
      <c r="AH73" s="368" t="n">
        <f aca="false">IF(30&lt;5,0,IF(MAX(AC40:AH40)&gt;AH45+2+$B$18,1,0))</f>
        <v>0</v>
      </c>
      <c r="AI73" s="368" t="n">
        <f aca="false">IF(31&lt;5,0,IF(MAX(AD40:AI40)&gt;AI45+2+$B$18,1,0))</f>
        <v>0</v>
      </c>
      <c r="AJ73" s="368" t="n">
        <f aca="false">IF(32&lt;5,0,IF(MAX(AE40:AJ40)&gt;AJ45+2+$B$18,1,0))</f>
        <v>0</v>
      </c>
      <c r="AK73" s="368" t="n">
        <f aca="false">IF(33&lt;5,0,IF(MAX(AF40:AK40)&gt;AK45+2+$B$18,1,0))</f>
        <v>0</v>
      </c>
      <c r="AL73" s="368" t="n">
        <f aca="false">IF(34&lt;5,0,IF(MAX(AG40:AL40)&gt;AL45+2+$B$18,1,0))</f>
        <v>0</v>
      </c>
      <c r="AM73" s="368" t="n">
        <f aca="false">IF(35&lt;5,0,IF(MAX(AH40:AM40)&gt;AM45+2+$B$18,1,0))</f>
        <v>0</v>
      </c>
      <c r="AN73" s="368" t="n">
        <f aca="false">IF(36&lt;5,0,IF(MAX(AI40:AN40)&gt;AN45+2+$B$18,1,0))</f>
        <v>0</v>
      </c>
      <c r="AO73" s="368" t="n">
        <f aca="false">IF(37&lt;5,0,IF(MAX(AJ40:AO40)&gt;AO45+2+$B$18,1,0))</f>
        <v>0</v>
      </c>
      <c r="AP73" s="368" t="n">
        <f aca="false">IF(38&lt;5,0,IF(MAX(AK40:AP40)&gt;AP45+2+$B$18,1,0))</f>
        <v>0</v>
      </c>
      <c r="AQ73" s="368" t="n">
        <f aca="false">IF(39&lt;5,0,IF(MAX(AL40:AQ40)&gt;AQ45+2+$B$18,1,0))</f>
        <v>0</v>
      </c>
      <c r="AR73" s="368" t="n">
        <f aca="false">IF(40&lt;5,0,IF(MAX(AM40:AR40)&gt;AR45+2+$B$18,1,0))</f>
        <v>0</v>
      </c>
      <c r="AS73" s="368" t="n">
        <f aca="false">IF(41&lt;5,0,IF(MAX(AN40:AS40)&gt;AS45+2+$B$18,1,0))</f>
        <v>0</v>
      </c>
      <c r="AT73" s="368" t="n">
        <f aca="false">IF(42&lt;5,0,IF(MAX(AO40:AT40)&gt;AT45+2+$B$18,1,0))</f>
        <v>0</v>
      </c>
      <c r="AU73" s="368" t="n">
        <f aca="false">IF(43&lt;5,0,IF(MAX(AP40:AU40)&gt;AU45+2+$B$18,1,0))</f>
        <v>0</v>
      </c>
      <c r="AV73" s="368" t="n">
        <f aca="false">IF(44&lt;5,0,IF(MAX(AQ40:AV40)&gt;AV45+2+$B$18,1,0))</f>
        <v>0</v>
      </c>
      <c r="AW73" s="368" t="n">
        <f aca="false">IF(45&lt;5,0,IF(MAX(AR40:AW40)&gt;AW45+2+$B$18,1,0))</f>
        <v>0</v>
      </c>
      <c r="AX73" s="368" t="n">
        <f aca="false">IF(46&lt;5,0,IF(MAX(AS40:AX40)&gt;AX45+2+$B$18,1,0))</f>
        <v>0</v>
      </c>
      <c r="AY73" s="368" t="n">
        <f aca="false">IF(47&lt;5,0,IF(MAX(AT40:AY40)&gt;AY45+2+$B$18,1,0))</f>
        <v>0</v>
      </c>
      <c r="AZ73" s="368" t="n">
        <f aca="false">IF(48&lt;5,0,IF(MAX(AU40:AZ40)&gt;AZ45+2+$B$18,1,0))</f>
        <v>0</v>
      </c>
      <c r="BA73" s="368" t="n">
        <f aca="false">IF(49&lt;5,0,IF(MAX(AV40:BA40)&gt;BA45+2+$B$18,1,0))</f>
        <v>0</v>
      </c>
      <c r="BB73" s="368" t="n">
        <f aca="false">IF(50&lt;5,0,IF(MAX(AW40:BB40)&gt;BB45+2+$B$18,1,0))</f>
        <v>0</v>
      </c>
      <c r="BC73" s="368" t="n">
        <f aca="false">IF(51&lt;5,0,IF(MAX(AX40:BC40)&gt;BC45+2+$B$18,1,0))</f>
        <v>0</v>
      </c>
      <c r="BD73" s="368" t="n">
        <f aca="false">IF(52&lt;5,0,IF(MAX(AY40:BD40)&gt;BD45+2+$B$18,1,0))</f>
        <v>0</v>
      </c>
      <c r="BE73" s="368" t="n">
        <f aca="false">IF(53&lt;5,0,IF(MAX(AZ40:BE40)&gt;BE45+2+$B$18,1,0))</f>
        <v>0</v>
      </c>
      <c r="BF73" s="368" t="n">
        <f aca="false">IF(54&lt;5,0,IF(MAX(BA40:BF40)&gt;BF45+2+$B$18,1,0))</f>
        <v>0</v>
      </c>
      <c r="BG73" s="368" t="n">
        <f aca="false">IF(55&lt;5,0,IF(MAX(BB40:BG40)&gt;BG45+2+$B$18,1,0))</f>
        <v>0</v>
      </c>
      <c r="BH73" s="368" t="n">
        <f aca="false">IF(56&lt;5,0,IF(MAX(BC40:BH40)&gt;BH45+2+$B$18,1,0))</f>
        <v>0</v>
      </c>
      <c r="BI73" s="368" t="n">
        <f aca="false">IF(57&lt;5,0,IF(MAX(BD40:BI40)&gt;BI45+2+$B$18,1,0))</f>
        <v>0</v>
      </c>
      <c r="BJ73" s="368" t="n">
        <f aca="false">IF(58&lt;5,0,IF(MAX(BE40:BJ40)&gt;BJ45+2+$B$18,1,0))</f>
        <v>0</v>
      </c>
      <c r="BK73" s="368" t="n">
        <f aca="false">IF(59&lt;5,0,IF(MAX(BF40:BK40)&gt;BK45+2+$B$18,1,0))</f>
        <v>0</v>
      </c>
      <c r="BL73" s="368" t="n">
        <f aca="false">IF(60&lt;5,0,IF(MAX(BG40:BL40)&gt;BL45+2+$B$18,1,0))</f>
        <v>0</v>
      </c>
      <c r="BM73" s="368" t="n">
        <f aca="false">IF(61&lt;5,0,IF(MAX(BH40:BM40)&gt;BM45+2+$B$18,1,0))</f>
        <v>0</v>
      </c>
      <c r="BN73" s="368" t="n">
        <f aca="false">IF(62&lt;5,0,IF(MAX(BI40:BN40)&gt;BN45+2+$B$18,1,0))</f>
        <v>0</v>
      </c>
      <c r="BO73" s="368" t="n">
        <f aca="false">IF(63&lt;5,0,IF(MAX(BJ40:BO40)&gt;BO45+2+$B$18,1,0))</f>
        <v>0</v>
      </c>
      <c r="BP73" s="368" t="n">
        <f aca="false">IF(64&lt;5,0,IF(MAX(BK40:BP40)&gt;BP45+2+$B$18,1,0))</f>
        <v>0</v>
      </c>
      <c r="BQ73" s="368" t="n">
        <f aca="false">IF(65&lt;5,0,IF(MAX(BL40:BQ40)&gt;BQ45+2+$B$18,1,0))</f>
        <v>0</v>
      </c>
      <c r="BR73" s="368" t="n">
        <f aca="false">IF(66&lt;5,0,IF(MAX(BM40:BR40)&gt;BR45+2+$B$18,1,0))</f>
        <v>0</v>
      </c>
      <c r="BS73" s="368" t="n">
        <f aca="false">IF(67&lt;5,0,IF(MAX(BN40:BS40)&gt;BS45+2+$B$18,1,0))</f>
        <v>0</v>
      </c>
      <c r="BT73" s="368" t="n">
        <f aca="false">IF(68&lt;5,0,IF(MAX(BO40:BT40)&gt;BT45+2+$B$18,1,0))</f>
        <v>0</v>
      </c>
      <c r="BU73" s="368" t="n">
        <f aca="false">IF(69&lt;5,0,IF(MAX(BP40:BU40)&gt;BU45+2+$B$18,1,0))</f>
        <v>0</v>
      </c>
      <c r="BV73" s="368" t="n">
        <f aca="false">IF(70&lt;5,0,IF(MAX(BQ40:BV40)&gt;BV45+2+$B$18,1,0))</f>
        <v>0</v>
      </c>
      <c r="BW73" s="368" t="n">
        <f aca="false">IF(71&lt;5,0,IF(MAX(BR40:BW40)&gt;BW45+2+$B$18,1,0))</f>
        <v>0</v>
      </c>
      <c r="BX73" s="368" t="n">
        <f aca="false">IF(72&lt;5,0,IF(MAX(BS40:BX40)&gt;BX45+2+$B$18,1,0))</f>
        <v>0</v>
      </c>
      <c r="BY73" s="368" t="n">
        <f aca="false">IF(73&lt;5,0,IF(MAX(BT40:BY40)&gt;BY45+2+$B$18,1,0))</f>
        <v>0</v>
      </c>
      <c r="BZ73" s="368" t="n">
        <f aca="false">IF(74&lt;5,0,IF(MAX(BU40:BZ40)&gt;BZ45+2+$B$18,1,0))</f>
        <v>0</v>
      </c>
      <c r="CA73" s="368" t="n">
        <f aca="false">IF(75&lt;5,0,IF(MAX(BV40:CA40)&gt;CA45+2+$B$18,1,0))</f>
        <v>0</v>
      </c>
      <c r="CB73" s="368" t="n">
        <f aca="false">IF(76&lt;5,0,IF(MAX(BW40:CB40)&gt;CB45+2+$B$18,1,0))</f>
        <v>0</v>
      </c>
      <c r="CC73" s="368" t="n">
        <f aca="false">IF(77&lt;5,0,IF(MAX(BX40:CC40)&gt;CC45+2+$B$18,1,0))</f>
        <v>0</v>
      </c>
      <c r="CD73" s="368" t="n">
        <f aca="false">IF(78&lt;5,0,IF(MAX(BY40:CD40)&gt;CD45+2+$B$18,1,0))</f>
        <v>0</v>
      </c>
      <c r="CE73" s="368" t="n">
        <f aca="false">IF(79&lt;5,0,IF(MAX(BZ40:CE40)&gt;CE45+2+$B$18,1,0))</f>
        <v>0</v>
      </c>
      <c r="CF73" s="368" t="n">
        <f aca="false">IF(80&lt;5,0,IF(MAX(CA40:CF40)&gt;CF45+2+$B$18,1,0))</f>
        <v>0</v>
      </c>
      <c r="CG73" s="368" t="n">
        <f aca="false">IF(81&lt;5,0,IF(MAX(CB40:CG40)&gt;CG45+2+$B$18,1,0))</f>
        <v>0</v>
      </c>
      <c r="CH73" s="368" t="n">
        <f aca="false">IF(82&lt;5,0,IF(MAX(CC40:CH40)&gt;CH45+2+$B$18,1,0))</f>
        <v>0</v>
      </c>
      <c r="CI73" s="368" t="n">
        <f aca="false">IF(83&lt;5,0,IF(MAX(CD40:CI40)&gt;CI45+2+$B$18,1,0))</f>
        <v>0</v>
      </c>
      <c r="CJ73" s="368" t="n">
        <f aca="false">IF(84&lt;5,0,IF(MAX(CE40:CJ40)&gt;CJ45+2+$B$18,1,0))</f>
        <v>0</v>
      </c>
      <c r="CK73" s="368" t="n">
        <f aca="false">IF(85&lt;5,0,IF(MAX(CF40:CK40)&gt;CK45+2+$B$18,1,0))</f>
        <v>0</v>
      </c>
      <c r="CL73" s="368" t="n">
        <f aca="false">IF(86&lt;5,0,IF(MAX(CG40:CL40)&gt;CL45+2+$B$18,1,0))</f>
        <v>0</v>
      </c>
      <c r="CM73" s="368" t="n">
        <f aca="false">IF(87&lt;5,0,IF(MAX(CH40:CM40)&gt;CM45+2+$B$18,1,0))</f>
        <v>0</v>
      </c>
      <c r="CN73" s="368" t="n">
        <f aca="false">IF(88&lt;5,0,IF(MAX(CI40:CN40)&gt;CN45+2+$B$18,1,0))</f>
        <v>0</v>
      </c>
      <c r="CO73" s="368" t="n">
        <f aca="false">IF(89&lt;5,0,IF(MAX(CJ40:CO40)&gt;CO45+2+$B$18,1,0))</f>
        <v>0</v>
      </c>
      <c r="CP73" s="368" t="n">
        <f aca="false">IF(90&lt;5,0,IF(MAX(CK40:CP40)&gt;CP45+2+$B$18,1,0))</f>
        <v>0</v>
      </c>
      <c r="CQ73" s="368" t="n">
        <f aca="false">IF(91&lt;5,0,IF(MAX(CL40:CQ40)&gt;CQ45+2+$B$18,1,0))</f>
        <v>0</v>
      </c>
      <c r="CR73" s="368" t="n">
        <f aca="false">IF(92&lt;5,0,IF(MAX(CM40:CR40)&gt;CR45+2+$B$18,1,0))</f>
        <v>0</v>
      </c>
      <c r="CS73" s="368" t="n">
        <f aca="false">IF(93&lt;5,0,IF(MAX(CN40:CS40)&gt;CS45+2+$B$18,1,0))</f>
        <v>0</v>
      </c>
      <c r="CT73" s="368" t="n">
        <f aca="false">IF(94&lt;5,0,IF(MAX(CO40:CT40)&gt;CT45+2+$B$18,1,0))</f>
        <v>0</v>
      </c>
      <c r="CU73" s="368" t="n">
        <f aca="false">IF(95&lt;5,0,IF(MAX(CP40:CU40)&gt;CU45+2+$B$18,1,0))</f>
        <v>0</v>
      </c>
      <c r="CV73" s="368" t="n">
        <f aca="false">IF(96&lt;5,0,IF(MAX(CQ40:CV40)&gt;CV45+2+$B$18,1,0))</f>
        <v>0</v>
      </c>
      <c r="CW73" s="368" t="n">
        <f aca="false">IF(97&lt;5,0,IF(MAX(CR40:CW40)&gt;CW45+2+$B$18,1,0))</f>
        <v>0</v>
      </c>
      <c r="CX73" s="368" t="n">
        <f aca="false">IF(98&lt;5,0,IF(MAX(CS40:CX40)&gt;CX45+2+$B$18,1,0))</f>
        <v>0</v>
      </c>
      <c r="CY73" s="368" t="n">
        <f aca="false">IF(99&lt;5,0,IF(MAX(CT40:CY40)&gt;CY45+2+$B$18,1,0))</f>
        <v>0</v>
      </c>
      <c r="CZ73" s="368" t="n">
        <f aca="false">IF(100&lt;5,0,IF(MAX(CU40:CZ40)&gt;CZ45+2+$B$18,1,0))</f>
        <v>0</v>
      </c>
      <c r="DA73" s="368" t="n">
        <f aca="false">IF(101&lt;5,0,IF(MAX(CV40:DA40)&gt;DA45+2+$B$18,1,0))</f>
        <v>0</v>
      </c>
      <c r="DB73" s="368" t="n">
        <f aca="false">IF(102&lt;5,0,IF(MAX(CW40:DB40)&gt;DB45+2+$B$18,1,0))</f>
        <v>0</v>
      </c>
      <c r="DC73" s="368" t="n">
        <f aca="false">IF(103&lt;5,0,IF(MAX(CX40:DC40)&gt;DC45+2+$B$18,1,0))</f>
        <v>0</v>
      </c>
      <c r="DD73" s="368" t="n">
        <f aca="false">IF(104&lt;5,0,IF(MAX(CY40:DD40)&gt;DD45+2+$B$18,1,0))</f>
        <v>0</v>
      </c>
      <c r="DE73" s="368" t="n">
        <f aca="false">IF(105&lt;5,0,IF(MAX(CZ40:DE40)&gt;DE45+2+$B$18,1,0))</f>
        <v>0</v>
      </c>
    </row>
    <row r="74" customFormat="false" ht="13.5" hidden="false" customHeight="true" outlineLevel="0" collapsed="false">
      <c r="A74" s="109" t="s">
        <v>1238</v>
      </c>
      <c r="B74" s="225" t="n">
        <f aca="false">$B$29</f>
        <v>180000</v>
      </c>
      <c r="E74" s="368" t="n">
        <f aca="false">IF(1&lt;5,0,IF(MAX(E40)&gt;E45+3+$B$18,1,0))</f>
        <v>0</v>
      </c>
      <c r="F74" s="368" t="n">
        <f aca="false">IF(2&lt;5,0,IF(MAX(E40:F40)&gt;F45+3+$B$18,1,0))</f>
        <v>0</v>
      </c>
      <c r="G74" s="368" t="n">
        <f aca="false">IF(3&lt;5,0,IF(MAX(E40:G40)&gt;G45+3+$B$18,1,0))</f>
        <v>0</v>
      </c>
      <c r="H74" s="368" t="n">
        <f aca="false">IF(4&lt;5,0,IF(MAX(E40:H40)&gt;H45+3+$B$18,1,0))</f>
        <v>0</v>
      </c>
      <c r="I74" s="368" t="n">
        <f aca="false">IF(5&lt;5,0,IF(MAX(E40:I40)&gt;I45+3+$B$18,1,0))</f>
        <v>0</v>
      </c>
      <c r="J74" s="368" t="n">
        <f aca="false">IF(6&lt;5,0,IF(MAX(E40:J40)&gt;J45+3+$B$18,1,0))</f>
        <v>0</v>
      </c>
      <c r="K74" s="368" t="n">
        <f aca="false">IF(7&lt;5,0,IF(MAX(F40:K40)&gt;K45+3+$B$18,1,0))</f>
        <v>0</v>
      </c>
      <c r="L74" s="368" t="n">
        <f aca="false">IF(8&lt;5,0,IF(MAX(G40:L40)&gt;L45+3+$B$18,1,0))</f>
        <v>0</v>
      </c>
      <c r="M74" s="368" t="n">
        <f aca="false">IF(9&lt;5,0,IF(MAX(H40:M40)&gt;M45+3+$B$18,1,0))</f>
        <v>0</v>
      </c>
      <c r="N74" s="368" t="n">
        <f aca="false">IF(10&lt;5,0,IF(MAX(I40:N40)&gt;N45+3+$B$18,1,0))</f>
        <v>0</v>
      </c>
      <c r="O74" s="368" t="n">
        <f aca="false">IF(11&lt;5,0,IF(MAX(J40:O40)&gt;O45+3+$B$18,1,0))</f>
        <v>0</v>
      </c>
      <c r="P74" s="368" t="n">
        <f aca="false">IF(12&lt;5,0,IF(MAX(K40:P40)&gt;P45+3+$B$18,1,0))</f>
        <v>0</v>
      </c>
      <c r="Q74" s="368" t="n">
        <f aca="false">IF(13&lt;5,0,IF(MAX(L40:Q40)&gt;Q45+3+$B$18,1,0))</f>
        <v>0</v>
      </c>
      <c r="R74" s="368" t="n">
        <f aca="false">IF(14&lt;5,0,IF(MAX(M40:R40)&gt;R45+3+$B$18,1,0))</f>
        <v>0</v>
      </c>
      <c r="S74" s="368" t="n">
        <f aca="false">IF(15&lt;5,0,IF(MAX(N40:S40)&gt;S45+3+$B$18,1,0))</f>
        <v>0</v>
      </c>
      <c r="T74" s="368" t="n">
        <f aca="false">IF(16&lt;5,0,IF(MAX(O40:T40)&gt;T45+3+$B$18,1,0))</f>
        <v>0</v>
      </c>
      <c r="U74" s="368" t="n">
        <f aca="false">IF(17&lt;5,0,IF(MAX(P40:U40)&gt;U45+3+$B$18,1,0))</f>
        <v>0</v>
      </c>
      <c r="V74" s="368" t="n">
        <f aca="false">IF(18&lt;5,0,IF(MAX(Q40:V40)&gt;V45+3+$B$18,1,0))</f>
        <v>0</v>
      </c>
      <c r="W74" s="368" t="n">
        <f aca="false">IF(19&lt;5,0,IF(MAX(R40:W40)&gt;W45+3+$B$18,1,0))</f>
        <v>0</v>
      </c>
      <c r="X74" s="368" t="n">
        <f aca="false">IF(20&lt;5,0,IF(MAX(S40:X40)&gt;X45+3+$B$18,1,0))</f>
        <v>0</v>
      </c>
      <c r="Y74" s="368" t="n">
        <f aca="false">IF(21&lt;5,0,IF(MAX(T40:Y40)&gt;Y45+3+$B$18,1,0))</f>
        <v>0</v>
      </c>
      <c r="Z74" s="368" t="n">
        <f aca="false">IF(22&lt;5,0,IF(MAX(U40:Z40)&gt;Z45+3+$B$18,1,0))</f>
        <v>0</v>
      </c>
      <c r="AA74" s="368" t="n">
        <f aca="false">IF(23&lt;5,0,IF(MAX(V40:AA40)&gt;AA45+3+$B$18,1,0))</f>
        <v>0</v>
      </c>
      <c r="AB74" s="368" t="n">
        <f aca="false">IF(24&lt;5,0,IF(MAX(W40:AB40)&gt;AB45+3+$B$18,1,0))</f>
        <v>0</v>
      </c>
      <c r="AC74" s="368" t="n">
        <f aca="false">IF(25&lt;5,0,IF(MAX(X40:AC40)&gt;AC45+3+$B$18,1,0))</f>
        <v>0</v>
      </c>
      <c r="AD74" s="368" t="n">
        <f aca="false">IF(26&lt;5,0,IF(MAX(Y40:AD40)&gt;AD45+3+$B$18,1,0))</f>
        <v>0</v>
      </c>
      <c r="AE74" s="368" t="n">
        <f aca="false">IF(27&lt;5,0,IF(MAX(Z40:AE40)&gt;AE45+3+$B$18,1,0))</f>
        <v>0</v>
      </c>
      <c r="AF74" s="368" t="n">
        <f aca="false">IF(28&lt;5,0,IF(MAX(AA40:AF40)&gt;AF45+3+$B$18,1,0))</f>
        <v>0</v>
      </c>
      <c r="AG74" s="368" t="n">
        <f aca="false">IF(29&lt;5,0,IF(MAX(AB40:AG40)&gt;AG45+3+$B$18,1,0))</f>
        <v>0</v>
      </c>
      <c r="AH74" s="368" t="n">
        <f aca="false">IF(30&lt;5,0,IF(MAX(AC40:AH40)&gt;AH45+3+$B$18,1,0))</f>
        <v>0</v>
      </c>
      <c r="AI74" s="368" t="n">
        <f aca="false">IF(31&lt;5,0,IF(MAX(AD40:AI40)&gt;AI45+3+$B$18,1,0))</f>
        <v>0</v>
      </c>
      <c r="AJ74" s="368" t="n">
        <f aca="false">IF(32&lt;5,0,IF(MAX(AE40:AJ40)&gt;AJ45+3+$B$18,1,0))</f>
        <v>0</v>
      </c>
      <c r="AK74" s="368" t="n">
        <f aca="false">IF(33&lt;5,0,IF(MAX(AF40:AK40)&gt;AK45+3+$B$18,1,0))</f>
        <v>0</v>
      </c>
      <c r="AL74" s="368" t="n">
        <f aca="false">IF(34&lt;5,0,IF(MAX(AG40:AL40)&gt;AL45+3+$B$18,1,0))</f>
        <v>0</v>
      </c>
      <c r="AM74" s="368" t="n">
        <f aca="false">IF(35&lt;5,0,IF(MAX(AH40:AM40)&gt;AM45+3+$B$18,1,0))</f>
        <v>0</v>
      </c>
      <c r="AN74" s="368" t="n">
        <f aca="false">IF(36&lt;5,0,IF(MAX(AI40:AN40)&gt;AN45+3+$B$18,1,0))</f>
        <v>0</v>
      </c>
      <c r="AO74" s="368" t="n">
        <f aca="false">IF(37&lt;5,0,IF(MAX(AJ40:AO40)&gt;AO45+3+$B$18,1,0))</f>
        <v>0</v>
      </c>
      <c r="AP74" s="368" t="n">
        <f aca="false">IF(38&lt;5,0,IF(MAX(AK40:AP40)&gt;AP45+3+$B$18,1,0))</f>
        <v>0</v>
      </c>
      <c r="AQ74" s="368" t="n">
        <f aca="false">IF(39&lt;5,0,IF(MAX(AL40:AQ40)&gt;AQ45+3+$B$18,1,0))</f>
        <v>0</v>
      </c>
      <c r="AR74" s="368" t="n">
        <f aca="false">IF(40&lt;5,0,IF(MAX(AM40:AR40)&gt;AR45+3+$B$18,1,0))</f>
        <v>0</v>
      </c>
      <c r="AS74" s="368" t="n">
        <f aca="false">IF(41&lt;5,0,IF(MAX(AN40:AS40)&gt;AS45+3+$B$18,1,0))</f>
        <v>0</v>
      </c>
      <c r="AT74" s="368" t="n">
        <f aca="false">IF(42&lt;5,0,IF(MAX(AO40:AT40)&gt;AT45+3+$B$18,1,0))</f>
        <v>0</v>
      </c>
      <c r="AU74" s="368" t="n">
        <f aca="false">IF(43&lt;5,0,IF(MAX(AP40:AU40)&gt;AU45+3+$B$18,1,0))</f>
        <v>0</v>
      </c>
      <c r="AV74" s="368" t="n">
        <f aca="false">IF(44&lt;5,0,IF(MAX(AQ40:AV40)&gt;AV45+3+$B$18,1,0))</f>
        <v>0</v>
      </c>
      <c r="AW74" s="368" t="n">
        <f aca="false">IF(45&lt;5,0,IF(MAX(AR40:AW40)&gt;AW45+3+$B$18,1,0))</f>
        <v>0</v>
      </c>
      <c r="AX74" s="368" t="n">
        <f aca="false">IF(46&lt;5,0,IF(MAX(AS40:AX40)&gt;AX45+3+$B$18,1,0))</f>
        <v>0</v>
      </c>
      <c r="AY74" s="368" t="n">
        <f aca="false">IF(47&lt;5,0,IF(MAX(AT40:AY40)&gt;AY45+3+$B$18,1,0))</f>
        <v>0</v>
      </c>
      <c r="AZ74" s="368" t="n">
        <f aca="false">IF(48&lt;5,0,IF(MAX(AU40:AZ40)&gt;AZ45+3+$B$18,1,0))</f>
        <v>0</v>
      </c>
      <c r="BA74" s="368" t="n">
        <f aca="false">IF(49&lt;5,0,IF(MAX(AV40:BA40)&gt;BA45+3+$B$18,1,0))</f>
        <v>0</v>
      </c>
      <c r="BB74" s="368" t="n">
        <f aca="false">IF(50&lt;5,0,IF(MAX(AW40:BB40)&gt;BB45+3+$B$18,1,0))</f>
        <v>0</v>
      </c>
      <c r="BC74" s="368" t="n">
        <f aca="false">IF(51&lt;5,0,IF(MAX(AX40:BC40)&gt;BC45+3+$B$18,1,0))</f>
        <v>0</v>
      </c>
      <c r="BD74" s="368" t="n">
        <f aca="false">IF(52&lt;5,0,IF(MAX(AY40:BD40)&gt;BD45+3+$B$18,1,0))</f>
        <v>0</v>
      </c>
      <c r="BE74" s="368" t="n">
        <f aca="false">IF(53&lt;5,0,IF(MAX(AZ40:BE40)&gt;BE45+3+$B$18,1,0))</f>
        <v>0</v>
      </c>
      <c r="BF74" s="368" t="n">
        <f aca="false">IF(54&lt;5,0,IF(MAX(BA40:BF40)&gt;BF45+3+$B$18,1,0))</f>
        <v>0</v>
      </c>
      <c r="BG74" s="368" t="n">
        <f aca="false">IF(55&lt;5,0,IF(MAX(BB40:BG40)&gt;BG45+3+$B$18,1,0))</f>
        <v>0</v>
      </c>
      <c r="BH74" s="368" t="n">
        <f aca="false">IF(56&lt;5,0,IF(MAX(BC40:BH40)&gt;BH45+3+$B$18,1,0))</f>
        <v>0</v>
      </c>
      <c r="BI74" s="368" t="n">
        <f aca="false">IF(57&lt;5,0,IF(MAX(BD40:BI40)&gt;BI45+3+$B$18,1,0))</f>
        <v>0</v>
      </c>
      <c r="BJ74" s="368" t="n">
        <f aca="false">IF(58&lt;5,0,IF(MAX(BE40:BJ40)&gt;BJ45+3+$B$18,1,0))</f>
        <v>0</v>
      </c>
      <c r="BK74" s="368" t="n">
        <f aca="false">IF(59&lt;5,0,IF(MAX(BF40:BK40)&gt;BK45+3+$B$18,1,0))</f>
        <v>0</v>
      </c>
      <c r="BL74" s="368" t="n">
        <f aca="false">IF(60&lt;5,0,IF(MAX(BG40:BL40)&gt;BL45+3+$B$18,1,0))</f>
        <v>0</v>
      </c>
      <c r="BM74" s="368" t="n">
        <f aca="false">IF(61&lt;5,0,IF(MAX(BH40:BM40)&gt;BM45+3+$B$18,1,0))</f>
        <v>0</v>
      </c>
      <c r="BN74" s="368" t="n">
        <f aca="false">IF(62&lt;5,0,IF(MAX(BI40:BN40)&gt;BN45+3+$B$18,1,0))</f>
        <v>0</v>
      </c>
      <c r="BO74" s="368" t="n">
        <f aca="false">IF(63&lt;5,0,IF(MAX(BJ40:BO40)&gt;BO45+3+$B$18,1,0))</f>
        <v>0</v>
      </c>
      <c r="BP74" s="368" t="n">
        <f aca="false">IF(64&lt;5,0,IF(MAX(BK40:BP40)&gt;BP45+3+$B$18,1,0))</f>
        <v>0</v>
      </c>
      <c r="BQ74" s="368" t="n">
        <f aca="false">IF(65&lt;5,0,IF(MAX(BL40:BQ40)&gt;BQ45+3+$B$18,1,0))</f>
        <v>0</v>
      </c>
      <c r="BR74" s="368" t="n">
        <f aca="false">IF(66&lt;5,0,IF(MAX(BM40:BR40)&gt;BR45+3+$B$18,1,0))</f>
        <v>0</v>
      </c>
      <c r="BS74" s="368" t="n">
        <f aca="false">IF(67&lt;5,0,IF(MAX(BN40:BS40)&gt;BS45+3+$B$18,1,0))</f>
        <v>0</v>
      </c>
      <c r="BT74" s="368" t="n">
        <f aca="false">IF(68&lt;5,0,IF(MAX(BO40:BT40)&gt;BT45+3+$B$18,1,0))</f>
        <v>0</v>
      </c>
      <c r="BU74" s="368" t="n">
        <f aca="false">IF(69&lt;5,0,IF(MAX(BP40:BU40)&gt;BU45+3+$B$18,1,0))</f>
        <v>0</v>
      </c>
      <c r="BV74" s="368" t="n">
        <f aca="false">IF(70&lt;5,0,IF(MAX(BQ40:BV40)&gt;BV45+3+$B$18,1,0))</f>
        <v>0</v>
      </c>
      <c r="BW74" s="368" t="n">
        <f aca="false">IF(71&lt;5,0,IF(MAX(BR40:BW40)&gt;BW45+3+$B$18,1,0))</f>
        <v>0</v>
      </c>
      <c r="BX74" s="368" t="n">
        <f aca="false">IF(72&lt;5,0,IF(MAX(BS40:BX40)&gt;BX45+3+$B$18,1,0))</f>
        <v>0</v>
      </c>
      <c r="BY74" s="368" t="n">
        <f aca="false">IF(73&lt;5,0,IF(MAX(BT40:BY40)&gt;BY45+3+$B$18,1,0))</f>
        <v>0</v>
      </c>
      <c r="BZ74" s="368" t="n">
        <f aca="false">IF(74&lt;5,0,IF(MAX(BU40:BZ40)&gt;BZ45+3+$B$18,1,0))</f>
        <v>0</v>
      </c>
      <c r="CA74" s="368" t="n">
        <f aca="false">IF(75&lt;5,0,IF(MAX(BV40:CA40)&gt;CA45+3+$B$18,1,0))</f>
        <v>0</v>
      </c>
      <c r="CB74" s="368" t="n">
        <f aca="false">IF(76&lt;5,0,IF(MAX(BW40:CB40)&gt;CB45+3+$B$18,1,0))</f>
        <v>0</v>
      </c>
      <c r="CC74" s="368" t="n">
        <f aca="false">IF(77&lt;5,0,IF(MAX(BX40:CC40)&gt;CC45+3+$B$18,1,0))</f>
        <v>0</v>
      </c>
      <c r="CD74" s="368" t="n">
        <f aca="false">IF(78&lt;5,0,IF(MAX(BY40:CD40)&gt;CD45+3+$B$18,1,0))</f>
        <v>0</v>
      </c>
      <c r="CE74" s="368" t="n">
        <f aca="false">IF(79&lt;5,0,IF(MAX(BZ40:CE40)&gt;CE45+3+$B$18,1,0))</f>
        <v>0</v>
      </c>
      <c r="CF74" s="368" t="n">
        <f aca="false">IF(80&lt;5,0,IF(MAX(CA40:CF40)&gt;CF45+3+$B$18,1,0))</f>
        <v>0</v>
      </c>
      <c r="CG74" s="368" t="n">
        <f aca="false">IF(81&lt;5,0,IF(MAX(CB40:CG40)&gt;CG45+3+$B$18,1,0))</f>
        <v>0</v>
      </c>
      <c r="CH74" s="368" t="n">
        <f aca="false">IF(82&lt;5,0,IF(MAX(CC40:CH40)&gt;CH45+3+$B$18,1,0))</f>
        <v>0</v>
      </c>
      <c r="CI74" s="368" t="n">
        <f aca="false">IF(83&lt;5,0,IF(MAX(CD40:CI40)&gt;CI45+3+$B$18,1,0))</f>
        <v>0</v>
      </c>
      <c r="CJ74" s="368" t="n">
        <f aca="false">IF(84&lt;5,0,IF(MAX(CE40:CJ40)&gt;CJ45+3+$B$18,1,0))</f>
        <v>0</v>
      </c>
      <c r="CK74" s="368" t="n">
        <f aca="false">IF(85&lt;5,0,IF(MAX(CF40:CK40)&gt;CK45+3+$B$18,1,0))</f>
        <v>0</v>
      </c>
      <c r="CL74" s="368" t="n">
        <f aca="false">IF(86&lt;5,0,IF(MAX(CG40:CL40)&gt;CL45+3+$B$18,1,0))</f>
        <v>0</v>
      </c>
      <c r="CM74" s="368" t="n">
        <f aca="false">IF(87&lt;5,0,IF(MAX(CH40:CM40)&gt;CM45+3+$B$18,1,0))</f>
        <v>0</v>
      </c>
      <c r="CN74" s="368" t="n">
        <f aca="false">IF(88&lt;5,0,IF(MAX(CI40:CN40)&gt;CN45+3+$B$18,1,0))</f>
        <v>0</v>
      </c>
      <c r="CO74" s="368" t="n">
        <f aca="false">IF(89&lt;5,0,IF(MAX(CJ40:CO40)&gt;CO45+3+$B$18,1,0))</f>
        <v>0</v>
      </c>
      <c r="CP74" s="368" t="n">
        <f aca="false">IF(90&lt;5,0,IF(MAX(CK40:CP40)&gt;CP45+3+$B$18,1,0))</f>
        <v>0</v>
      </c>
      <c r="CQ74" s="368" t="n">
        <f aca="false">IF(91&lt;5,0,IF(MAX(CL40:CQ40)&gt;CQ45+3+$B$18,1,0))</f>
        <v>0</v>
      </c>
      <c r="CR74" s="368" t="n">
        <f aca="false">IF(92&lt;5,0,IF(MAX(CM40:CR40)&gt;CR45+3+$B$18,1,0))</f>
        <v>0</v>
      </c>
      <c r="CS74" s="368" t="n">
        <f aca="false">IF(93&lt;5,0,IF(MAX(CN40:CS40)&gt;CS45+3+$B$18,1,0))</f>
        <v>0</v>
      </c>
      <c r="CT74" s="368" t="n">
        <f aca="false">IF(94&lt;5,0,IF(MAX(CO40:CT40)&gt;CT45+3+$B$18,1,0))</f>
        <v>0</v>
      </c>
      <c r="CU74" s="368" t="n">
        <f aca="false">IF(95&lt;5,0,IF(MAX(CP40:CU40)&gt;CU45+3+$B$18,1,0))</f>
        <v>0</v>
      </c>
      <c r="CV74" s="368" t="n">
        <f aca="false">IF(96&lt;5,0,IF(MAX(CQ40:CV40)&gt;CV45+3+$B$18,1,0))</f>
        <v>0</v>
      </c>
      <c r="CW74" s="368" t="n">
        <f aca="false">IF(97&lt;5,0,IF(MAX(CR40:CW40)&gt;CW45+3+$B$18,1,0))</f>
        <v>0</v>
      </c>
      <c r="CX74" s="368" t="n">
        <f aca="false">IF(98&lt;5,0,IF(MAX(CS40:CX40)&gt;CX45+3+$B$18,1,0))</f>
        <v>0</v>
      </c>
      <c r="CY74" s="368" t="n">
        <f aca="false">IF(99&lt;5,0,IF(MAX(CT40:CY40)&gt;CY45+3+$B$18,1,0))</f>
        <v>0</v>
      </c>
      <c r="CZ74" s="368" t="n">
        <f aca="false">IF(100&lt;5,0,IF(MAX(CU40:CZ40)&gt;CZ45+3+$B$18,1,0))</f>
        <v>0</v>
      </c>
      <c r="DA74" s="368" t="n">
        <f aca="false">IF(101&lt;5,0,IF(MAX(CV40:DA40)&gt;DA45+3+$B$18,1,0))</f>
        <v>0</v>
      </c>
      <c r="DB74" s="368" t="n">
        <f aca="false">IF(102&lt;5,0,IF(MAX(CW40:DB40)&gt;DB45+3+$B$18,1,0))</f>
        <v>0</v>
      </c>
      <c r="DC74" s="368" t="n">
        <f aca="false">IF(103&lt;5,0,IF(MAX(CX40:DC40)&gt;DC45+3+$B$18,1,0))</f>
        <v>0</v>
      </c>
      <c r="DD74" s="368" t="n">
        <f aca="false">IF(104&lt;5,0,IF(MAX(CY40:DD40)&gt;DD45+3+$B$18,1,0))</f>
        <v>0</v>
      </c>
      <c r="DE74" s="368" t="n">
        <f aca="false">IF(105&lt;5,0,IF(MAX(CZ40:DE40)&gt;DE45+3+$B$18,1,0))</f>
        <v>0</v>
      </c>
    </row>
    <row r="75" customFormat="false" ht="13.5" hidden="false" customHeight="true" outlineLevel="0" collapsed="false">
      <c r="E75" s="123"/>
      <c r="F75" s="123"/>
      <c r="G75" s="123"/>
      <c r="H75" s="123"/>
      <c r="I75" s="123"/>
      <c r="J75" s="123"/>
      <c r="K75" s="123"/>
      <c r="L75" s="123"/>
      <c r="M75" s="123"/>
      <c r="N75" s="123"/>
      <c r="O75" s="123"/>
      <c r="P75" s="123"/>
      <c r="Q75" s="123"/>
      <c r="R75" s="123"/>
      <c r="S75" s="123"/>
      <c r="T75" s="123"/>
      <c r="U75" s="123"/>
      <c r="V75" s="123"/>
      <c r="W75" s="123"/>
      <c r="X75" s="123"/>
      <c r="Y75" s="123"/>
      <c r="Z75" s="123"/>
      <c r="AA75" s="123"/>
      <c r="AB75" s="123"/>
      <c r="AC75" s="123"/>
      <c r="AD75" s="123"/>
      <c r="AE75" s="123"/>
      <c r="AF75" s="123"/>
      <c r="AG75" s="123"/>
      <c r="AH75" s="123"/>
      <c r="AI75" s="123"/>
      <c r="AJ75" s="123"/>
      <c r="AK75" s="123"/>
      <c r="AL75" s="123"/>
      <c r="AM75" s="123"/>
      <c r="AN75" s="123"/>
      <c r="AO75" s="123"/>
      <c r="AP75" s="123"/>
      <c r="AQ75" s="123"/>
      <c r="AR75" s="123"/>
      <c r="AS75" s="123"/>
      <c r="AT75" s="123"/>
      <c r="AU75" s="123"/>
      <c r="AV75" s="123"/>
      <c r="AW75" s="123"/>
      <c r="AX75" s="123"/>
      <c r="AY75" s="123"/>
      <c r="AZ75" s="123"/>
      <c r="BA75" s="123"/>
      <c r="BB75" s="123"/>
      <c r="BC75" s="123"/>
      <c r="BD75" s="123"/>
      <c r="BE75" s="123"/>
      <c r="BF75" s="123"/>
      <c r="BG75" s="123"/>
      <c r="BH75" s="123"/>
      <c r="BI75" s="123"/>
      <c r="BJ75" s="123"/>
      <c r="BK75" s="123"/>
      <c r="BL75" s="123"/>
      <c r="BM75" s="123"/>
      <c r="BN75" s="123"/>
      <c r="BO75" s="123"/>
      <c r="BP75" s="123"/>
      <c r="BQ75" s="123"/>
      <c r="BR75" s="123"/>
      <c r="BS75" s="123"/>
      <c r="BT75" s="123"/>
      <c r="BU75" s="123"/>
      <c r="BV75" s="123"/>
      <c r="BW75" s="123"/>
      <c r="BX75" s="123"/>
      <c r="BY75" s="123"/>
      <c r="BZ75" s="123"/>
      <c r="CA75" s="123"/>
      <c r="CB75" s="123"/>
      <c r="CC75" s="123"/>
      <c r="CD75" s="123"/>
      <c r="CE75" s="123"/>
      <c r="CF75" s="123"/>
      <c r="CG75" s="123"/>
      <c r="CH75" s="123"/>
      <c r="CI75" s="123"/>
      <c r="CJ75" s="123"/>
      <c r="CK75" s="123"/>
      <c r="CL75" s="123"/>
      <c r="CM75" s="123"/>
      <c r="CN75" s="123"/>
      <c r="CO75" s="123"/>
      <c r="CP75" s="123"/>
      <c r="CQ75" s="123"/>
      <c r="CR75" s="123"/>
      <c r="CS75" s="123"/>
      <c r="CT75" s="123"/>
      <c r="CU75" s="123"/>
      <c r="CV75" s="123"/>
      <c r="CW75" s="123"/>
      <c r="CX75" s="123"/>
      <c r="CY75" s="123"/>
      <c r="CZ75" s="123"/>
      <c r="DA75" s="123"/>
      <c r="DB75" s="123"/>
      <c r="DC75" s="123"/>
      <c r="DD75" s="123"/>
      <c r="DE75" s="123"/>
    </row>
    <row r="76" customFormat="false" ht="13.5" hidden="false" customHeight="true" outlineLevel="0" collapsed="false">
      <c r="E76" s="123"/>
      <c r="F76" s="123"/>
      <c r="G76" s="123"/>
      <c r="H76" s="123"/>
      <c r="I76" s="123"/>
      <c r="J76" s="123"/>
      <c r="K76" s="123"/>
      <c r="L76" s="123"/>
      <c r="M76" s="123"/>
      <c r="N76" s="123"/>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c r="AM76" s="123"/>
      <c r="AN76" s="123"/>
      <c r="AO76" s="123"/>
      <c r="AP76" s="123"/>
      <c r="AQ76" s="123"/>
      <c r="AR76" s="123"/>
      <c r="AS76" s="123"/>
      <c r="AT76" s="123"/>
      <c r="AU76" s="123"/>
      <c r="AV76" s="123"/>
      <c r="AW76" s="123"/>
      <c r="AX76" s="123"/>
      <c r="AY76" s="123"/>
      <c r="AZ76" s="123"/>
      <c r="BA76" s="123"/>
      <c r="BB76" s="123"/>
      <c r="BC76" s="123"/>
      <c r="BD76" s="123"/>
      <c r="BE76" s="123"/>
      <c r="BF76" s="123"/>
      <c r="BG76" s="123"/>
      <c r="BH76" s="123"/>
      <c r="BI76" s="123"/>
      <c r="BJ76" s="123"/>
      <c r="BK76" s="123"/>
      <c r="BL76" s="123"/>
      <c r="BM76" s="123"/>
      <c r="BN76" s="123"/>
      <c r="BO76" s="123"/>
      <c r="BP76" s="123"/>
      <c r="BQ76" s="123"/>
      <c r="BR76" s="123"/>
      <c r="BS76" s="123"/>
      <c r="BT76" s="123"/>
      <c r="BU76" s="123"/>
      <c r="BV76" s="123"/>
      <c r="BW76" s="123"/>
      <c r="BX76" s="123"/>
      <c r="BY76" s="123"/>
      <c r="BZ76" s="123"/>
      <c r="CA76" s="123"/>
      <c r="CB76" s="123"/>
      <c r="CC76" s="123"/>
      <c r="CD76" s="123"/>
      <c r="CE76" s="123"/>
      <c r="CF76" s="123"/>
      <c r="CG76" s="123"/>
      <c r="CH76" s="123"/>
      <c r="CI76" s="123"/>
      <c r="CJ76" s="123"/>
      <c r="CK76" s="123"/>
      <c r="CL76" s="123"/>
      <c r="CM76" s="123"/>
      <c r="CN76" s="123"/>
      <c r="CO76" s="123"/>
      <c r="CP76" s="123"/>
      <c r="CQ76" s="123"/>
      <c r="CR76" s="123"/>
      <c r="CS76" s="123"/>
      <c r="CT76" s="123"/>
      <c r="CU76" s="123"/>
      <c r="CV76" s="123"/>
      <c r="CW76" s="123"/>
      <c r="CX76" s="123"/>
      <c r="CY76" s="123"/>
      <c r="CZ76" s="123"/>
      <c r="DA76" s="123"/>
      <c r="DB76" s="123"/>
      <c r="DC76" s="123"/>
      <c r="DD76" s="123"/>
      <c r="DE76" s="123"/>
    </row>
    <row r="77" customFormat="false" ht="13.5" hidden="false" customHeight="true" outlineLevel="0" collapsed="false">
      <c r="A77" s="109" t="s">
        <v>1239</v>
      </c>
      <c r="B77" s="225" t="n">
        <f aca="false">$B$30</f>
        <v>80000</v>
      </c>
      <c r="E77" s="368" t="n">
        <f aca="false">IF(1&lt;5,0,IF(MAX(E37)&gt;=$B$22,1,0))</f>
        <v>0</v>
      </c>
      <c r="F77" s="368" t="n">
        <f aca="false">IF(2&lt;5,0,IF(MAX(E37:F37)&gt;=$B$22,1,0))</f>
        <v>0</v>
      </c>
      <c r="G77" s="368" t="n">
        <f aca="false">IF(3&lt;5,0,IF(MAX(E37:G37)&gt;=$B$22,1,0))</f>
        <v>0</v>
      </c>
      <c r="H77" s="368" t="n">
        <f aca="false">IF(4&lt;5,0,IF(MAX(E37:H37)&gt;=$B$22,1,0))</f>
        <v>0</v>
      </c>
      <c r="I77" s="368" t="n">
        <f aca="false">IF(5&lt;5,0,IF(MAX(E37:I37)&gt;=$B$22,1,0))</f>
        <v>0</v>
      </c>
      <c r="J77" s="368" t="n">
        <f aca="false">IF(6&lt;5,0,IF(MAX(E37:J37)&gt;=$B$22,1,0))</f>
        <v>0</v>
      </c>
      <c r="K77" s="368" t="n">
        <f aca="false">IF(7&lt;5,0,IF(MAX(F37:K37)&gt;=$B$22,1,0))</f>
        <v>0</v>
      </c>
      <c r="L77" s="368" t="n">
        <f aca="false">IF(8&lt;5,0,IF(MAX(G37:L37)&gt;=$B$22,1,0))</f>
        <v>0</v>
      </c>
      <c r="M77" s="368" t="n">
        <f aca="false">IF(9&lt;5,0,IF(MAX(H37:M37)&gt;=$B$22,1,0))</f>
        <v>0</v>
      </c>
      <c r="N77" s="368" t="n">
        <f aca="false">IF(10&lt;5,0,IF(MAX(I37:N37)&gt;=$B$22,1,0))</f>
        <v>0</v>
      </c>
      <c r="O77" s="368" t="n">
        <f aca="false">IF(11&lt;5,0,IF(MAX(J37:O37)&gt;=$B$22,1,0))</f>
        <v>0</v>
      </c>
      <c r="P77" s="368" t="n">
        <f aca="false">IF(12&lt;5,0,IF(MAX(K37:P37)&gt;=$B$22,1,0))</f>
        <v>0</v>
      </c>
      <c r="Q77" s="368" t="n">
        <f aca="false">IF(13&lt;5,0,IF(MAX(L37:Q37)&gt;=$B$22,1,0))</f>
        <v>0</v>
      </c>
      <c r="R77" s="368" t="n">
        <f aca="false">IF(14&lt;5,0,IF(MAX(M37:R37)&gt;=$B$22,1,0))</f>
        <v>0</v>
      </c>
      <c r="S77" s="368" t="n">
        <f aca="false">IF(15&lt;5,0,IF(MAX(N37:S37)&gt;=$B$22,1,0))</f>
        <v>0</v>
      </c>
      <c r="T77" s="368" t="n">
        <f aca="false">IF(16&lt;5,0,IF(MAX(O37:T37)&gt;=$B$22,1,0))</f>
        <v>0</v>
      </c>
      <c r="U77" s="368" t="n">
        <f aca="false">IF(17&lt;5,0,IF(MAX(P37:U37)&gt;=$B$22,1,0))</f>
        <v>0</v>
      </c>
      <c r="V77" s="368" t="n">
        <f aca="false">IF(18&lt;5,0,IF(MAX(Q37:V37)&gt;=$B$22,1,0))</f>
        <v>0</v>
      </c>
      <c r="W77" s="368" t="n">
        <f aca="false">IF(19&lt;5,0,IF(MAX(R37:W37)&gt;=$B$22,1,0))</f>
        <v>0</v>
      </c>
      <c r="X77" s="368" t="n">
        <f aca="false">IF(20&lt;5,0,IF(MAX(S37:X37)&gt;=$B$22,1,0))</f>
        <v>0</v>
      </c>
      <c r="Y77" s="368" t="n">
        <f aca="false">IF(21&lt;5,0,IF(MAX(T37:Y37)&gt;=$B$22,1,0))</f>
        <v>0</v>
      </c>
      <c r="Z77" s="368" t="n">
        <f aca="false">IF(22&lt;5,0,IF(MAX(U37:Z37)&gt;=$B$22,1,0))</f>
        <v>0</v>
      </c>
      <c r="AA77" s="368" t="n">
        <f aca="false">IF(23&lt;5,0,IF(MAX(V37:AA37)&gt;=$B$22,1,0))</f>
        <v>0</v>
      </c>
      <c r="AB77" s="368" t="n">
        <f aca="false">IF(24&lt;5,0,IF(MAX(W37:AB37)&gt;=$B$22,1,0))</f>
        <v>0</v>
      </c>
      <c r="AC77" s="368" t="n">
        <f aca="false">IF(25&lt;5,0,IF(MAX(X37:AC37)&gt;=$B$22,1,0))</f>
        <v>0</v>
      </c>
      <c r="AD77" s="368" t="n">
        <f aca="false">IF(26&lt;5,0,IF(MAX(Y37:AD37)&gt;=$B$22,1,0))</f>
        <v>0</v>
      </c>
      <c r="AE77" s="368" t="n">
        <f aca="false">IF(27&lt;5,0,IF(MAX(Z37:AE37)&gt;=$B$22,1,0))</f>
        <v>0</v>
      </c>
      <c r="AF77" s="368" t="n">
        <f aca="false">IF(28&lt;5,0,IF(MAX(AA37:AF37)&gt;=$B$22,1,0))</f>
        <v>0</v>
      </c>
      <c r="AG77" s="368" t="n">
        <f aca="false">IF(29&lt;5,0,IF(MAX(AB37:AG37)&gt;=$B$22,1,0))</f>
        <v>0</v>
      </c>
      <c r="AH77" s="368" t="n">
        <f aca="false">IF(30&lt;5,0,IF(MAX(AC37:AH37)&gt;=$B$22,1,0))</f>
        <v>0</v>
      </c>
      <c r="AI77" s="368" t="n">
        <f aca="false">IF(31&lt;5,0,IF(MAX(AD37:AI37)&gt;=$B$22,1,0))</f>
        <v>0</v>
      </c>
      <c r="AJ77" s="368" t="n">
        <f aca="false">IF(32&lt;5,0,IF(MAX(AE37:AJ37)&gt;=$B$22,1,0))</f>
        <v>0</v>
      </c>
      <c r="AK77" s="368" t="n">
        <f aca="false">IF(33&lt;5,0,IF(MAX(AF37:AK37)&gt;=$B$22,1,0))</f>
        <v>0</v>
      </c>
      <c r="AL77" s="368" t="n">
        <f aca="false">IF(34&lt;5,0,IF(MAX(AG37:AL37)&gt;=$B$22,1,0))</f>
        <v>0</v>
      </c>
      <c r="AM77" s="368" t="n">
        <f aca="false">IF(35&lt;5,0,IF(MAX(AH37:AM37)&gt;=$B$22,1,0))</f>
        <v>0</v>
      </c>
      <c r="AN77" s="368" t="n">
        <f aca="false">IF(36&lt;5,0,IF(MAX(AI37:AN37)&gt;=$B$22,1,0))</f>
        <v>0</v>
      </c>
      <c r="AO77" s="368" t="n">
        <f aca="false">IF(37&lt;5,0,IF(MAX(AJ37:AO37)&gt;=$B$22,1,0))</f>
        <v>0</v>
      </c>
      <c r="AP77" s="368" t="n">
        <f aca="false">IF(38&lt;5,0,IF(MAX(AK37:AP37)&gt;=$B$22,1,0))</f>
        <v>0</v>
      </c>
      <c r="AQ77" s="368" t="n">
        <f aca="false">IF(39&lt;5,0,IF(MAX(AL37:AQ37)&gt;=$B$22,1,0))</f>
        <v>0</v>
      </c>
      <c r="AR77" s="368" t="n">
        <f aca="false">IF(40&lt;5,0,IF(MAX(AM37:AR37)&gt;=$B$22,1,0))</f>
        <v>0</v>
      </c>
      <c r="AS77" s="368" t="n">
        <f aca="false">IF(41&lt;5,0,IF(MAX(AN37:AS37)&gt;=$B$22,1,0))</f>
        <v>0</v>
      </c>
      <c r="AT77" s="368" t="n">
        <f aca="false">IF(42&lt;5,0,IF(MAX(AO37:AT37)&gt;=$B$22,1,0))</f>
        <v>0</v>
      </c>
      <c r="AU77" s="368" t="n">
        <f aca="false">IF(43&lt;5,0,IF(MAX(AP37:AU37)&gt;=$B$22,1,0))</f>
        <v>0</v>
      </c>
      <c r="AV77" s="368" t="n">
        <f aca="false">IF(44&lt;5,0,IF(MAX(AQ37:AV37)&gt;=$B$22,1,0))</f>
        <v>0</v>
      </c>
      <c r="AW77" s="368" t="n">
        <f aca="false">IF(45&lt;5,0,IF(MAX(AR37:AW37)&gt;=$B$22,1,0))</f>
        <v>0</v>
      </c>
      <c r="AX77" s="368" t="n">
        <f aca="false">IF(46&lt;5,0,IF(MAX(AS37:AX37)&gt;=$B$22,1,0))</f>
        <v>0</v>
      </c>
      <c r="AY77" s="368" t="n">
        <f aca="false">IF(47&lt;5,0,IF(MAX(AT37:AY37)&gt;=$B$22,1,0))</f>
        <v>0</v>
      </c>
      <c r="AZ77" s="368" t="n">
        <f aca="false">IF(48&lt;5,0,IF(MAX(AU37:AZ37)&gt;=$B$22,1,0))</f>
        <v>0</v>
      </c>
      <c r="BA77" s="368" t="n">
        <f aca="false">IF(49&lt;5,0,IF(MAX(AV37:BA37)&gt;=$B$22,1,0))</f>
        <v>0</v>
      </c>
      <c r="BB77" s="368" t="n">
        <f aca="false">IF(50&lt;5,0,IF(MAX(AW37:BB37)&gt;=$B$22,1,0))</f>
        <v>0</v>
      </c>
      <c r="BC77" s="368" t="n">
        <f aca="false">IF(51&lt;5,0,IF(MAX(AX37:BC37)&gt;=$B$22,1,0))</f>
        <v>0</v>
      </c>
      <c r="BD77" s="368" t="n">
        <f aca="false">IF(52&lt;5,0,IF(MAX(AY37:BD37)&gt;=$B$22,1,0))</f>
        <v>0</v>
      </c>
      <c r="BE77" s="368" t="n">
        <f aca="false">IF(53&lt;5,0,IF(MAX(AZ37:BE37)&gt;=$B$22,1,0))</f>
        <v>0</v>
      </c>
      <c r="BF77" s="368" t="n">
        <f aca="false">IF(54&lt;5,0,IF(MAX(BA37:BF37)&gt;=$B$22,1,0))</f>
        <v>0</v>
      </c>
      <c r="BG77" s="368" t="n">
        <f aca="false">IF(55&lt;5,0,IF(MAX(BB37:BG37)&gt;=$B$22,1,0))</f>
        <v>0</v>
      </c>
      <c r="BH77" s="368" t="n">
        <f aca="false">IF(56&lt;5,0,IF(MAX(BC37:BH37)&gt;=$B$22,1,0))</f>
        <v>0</v>
      </c>
      <c r="BI77" s="368" t="n">
        <f aca="false">IF(57&lt;5,0,IF(MAX(BD37:BI37)&gt;=$B$22,1,0))</f>
        <v>0</v>
      </c>
      <c r="BJ77" s="368" t="n">
        <f aca="false">IF(58&lt;5,0,IF(MAX(BE37:BJ37)&gt;=$B$22,1,0))</f>
        <v>0</v>
      </c>
      <c r="BK77" s="368" t="n">
        <f aca="false">IF(59&lt;5,0,IF(MAX(BF37:BK37)&gt;=$B$22,1,0))</f>
        <v>0</v>
      </c>
      <c r="BL77" s="368" t="n">
        <f aca="false">IF(60&lt;5,0,IF(MAX(BG37:BL37)&gt;=$B$22,1,0))</f>
        <v>0</v>
      </c>
      <c r="BM77" s="368" t="n">
        <f aca="false">IF(61&lt;5,0,IF(MAX(BH37:BM37)&gt;=$B$22,1,0))</f>
        <v>0</v>
      </c>
      <c r="BN77" s="368" t="n">
        <f aca="false">IF(62&lt;5,0,IF(MAX(BI37:BN37)&gt;=$B$22,1,0))</f>
        <v>0</v>
      </c>
      <c r="BO77" s="368" t="n">
        <f aca="false">IF(63&lt;5,0,IF(MAX(BJ37:BO37)&gt;=$B$22,1,0))</f>
        <v>0</v>
      </c>
      <c r="BP77" s="368" t="n">
        <f aca="false">IF(64&lt;5,0,IF(MAX(BK37:BP37)&gt;=$B$22,1,0))</f>
        <v>0</v>
      </c>
      <c r="BQ77" s="368" t="n">
        <f aca="false">IF(65&lt;5,0,IF(MAX(BL37:BQ37)&gt;=$B$22,1,0))</f>
        <v>0</v>
      </c>
      <c r="BR77" s="368" t="n">
        <f aca="false">IF(66&lt;5,0,IF(MAX(BM37:BR37)&gt;=$B$22,1,0))</f>
        <v>0</v>
      </c>
      <c r="BS77" s="368" t="n">
        <f aca="false">IF(67&lt;5,0,IF(MAX(BN37:BS37)&gt;=$B$22,1,0))</f>
        <v>0</v>
      </c>
      <c r="BT77" s="368" t="n">
        <f aca="false">IF(68&lt;5,0,IF(MAX(BO37:BT37)&gt;=$B$22,1,0))</f>
        <v>0</v>
      </c>
      <c r="BU77" s="368" t="n">
        <f aca="false">IF(69&lt;5,0,IF(MAX(BP37:BU37)&gt;=$B$22,1,0))</f>
        <v>0</v>
      </c>
      <c r="BV77" s="368" t="n">
        <f aca="false">IF(70&lt;5,0,IF(MAX(BQ37:BV37)&gt;=$B$22,1,0))</f>
        <v>0</v>
      </c>
      <c r="BW77" s="368" t="n">
        <f aca="false">IF(71&lt;5,0,IF(MAX(BR37:BW37)&gt;=$B$22,1,0))</f>
        <v>0</v>
      </c>
      <c r="BX77" s="368" t="n">
        <f aca="false">IF(72&lt;5,0,IF(MAX(BS37:BX37)&gt;=$B$22,1,0))</f>
        <v>0</v>
      </c>
      <c r="BY77" s="368" t="n">
        <f aca="false">IF(73&lt;5,0,IF(MAX(BT37:BY37)&gt;=$B$22,1,0))</f>
        <v>0</v>
      </c>
      <c r="BZ77" s="368" t="n">
        <f aca="false">IF(74&lt;5,0,IF(MAX(BU37:BZ37)&gt;=$B$22,1,0))</f>
        <v>0</v>
      </c>
      <c r="CA77" s="368" t="n">
        <f aca="false">IF(75&lt;5,0,IF(MAX(BV37:CA37)&gt;=$B$22,1,0))</f>
        <v>0</v>
      </c>
      <c r="CB77" s="368" t="n">
        <f aca="false">IF(76&lt;5,0,IF(MAX(BW37:CB37)&gt;=$B$22,1,0))</f>
        <v>0</v>
      </c>
      <c r="CC77" s="368" t="n">
        <f aca="false">IF(77&lt;5,0,IF(MAX(BX37:CC37)&gt;=$B$22,1,0))</f>
        <v>0</v>
      </c>
      <c r="CD77" s="368" t="n">
        <f aca="false">IF(78&lt;5,0,IF(MAX(BY37:CD37)&gt;=$B$22,1,0))</f>
        <v>0</v>
      </c>
      <c r="CE77" s="368" t="n">
        <f aca="false">IF(79&lt;5,0,IF(MAX(BZ37:CE37)&gt;=$B$22,1,0))</f>
        <v>0</v>
      </c>
      <c r="CF77" s="368" t="n">
        <f aca="false">IF(80&lt;5,0,IF(MAX(CA37:CF37)&gt;=$B$22,1,0))</f>
        <v>0</v>
      </c>
      <c r="CG77" s="368" t="n">
        <f aca="false">IF(81&lt;5,0,IF(MAX(CB37:CG37)&gt;=$B$22,1,0))</f>
        <v>0</v>
      </c>
      <c r="CH77" s="368" t="n">
        <f aca="false">IF(82&lt;5,0,IF(MAX(CC37:CH37)&gt;=$B$22,1,0))</f>
        <v>0</v>
      </c>
      <c r="CI77" s="368" t="n">
        <f aca="false">IF(83&lt;5,0,IF(MAX(CD37:CI37)&gt;=$B$22,1,0))</f>
        <v>0</v>
      </c>
      <c r="CJ77" s="368" t="n">
        <f aca="false">IF(84&lt;5,0,IF(MAX(CE37:CJ37)&gt;=$B$22,1,0))</f>
        <v>0</v>
      </c>
      <c r="CK77" s="368" t="n">
        <f aca="false">IF(85&lt;5,0,IF(MAX(CF37:CK37)&gt;=$B$22,1,0))</f>
        <v>0</v>
      </c>
      <c r="CL77" s="368" t="n">
        <f aca="false">IF(86&lt;5,0,IF(MAX(CG37:CL37)&gt;=$B$22,1,0))</f>
        <v>0</v>
      </c>
      <c r="CM77" s="368" t="n">
        <f aca="false">IF(87&lt;5,0,IF(MAX(CH37:CM37)&gt;=$B$22,1,0))</f>
        <v>0</v>
      </c>
      <c r="CN77" s="368" t="n">
        <f aca="false">IF(88&lt;5,0,IF(MAX(CI37:CN37)&gt;=$B$22,1,0))</f>
        <v>0</v>
      </c>
      <c r="CO77" s="368" t="n">
        <f aca="false">IF(89&lt;5,0,IF(MAX(CJ37:CO37)&gt;=$B$22,1,0))</f>
        <v>0</v>
      </c>
      <c r="CP77" s="368" t="n">
        <f aca="false">IF(90&lt;5,0,IF(MAX(CK37:CP37)&gt;=$B$22,1,0))</f>
        <v>0</v>
      </c>
      <c r="CQ77" s="368" t="n">
        <f aca="false">IF(91&lt;5,0,IF(MAX(CL37:CQ37)&gt;=$B$22,1,0))</f>
        <v>0</v>
      </c>
      <c r="CR77" s="368" t="n">
        <f aca="false">IF(92&lt;5,0,IF(MAX(CM37:CR37)&gt;=$B$22,1,0))</f>
        <v>0</v>
      </c>
      <c r="CS77" s="368" t="n">
        <f aca="false">IF(93&lt;5,0,IF(MAX(CN37:CS37)&gt;=$B$22,1,0))</f>
        <v>0</v>
      </c>
      <c r="CT77" s="368" t="n">
        <f aca="false">IF(94&lt;5,0,IF(MAX(CO37:CT37)&gt;=$B$22,1,0))</f>
        <v>0</v>
      </c>
      <c r="CU77" s="368" t="n">
        <f aca="false">IF(95&lt;5,0,IF(MAX(CP37:CU37)&gt;=$B$22,1,0))</f>
        <v>0</v>
      </c>
      <c r="CV77" s="368" t="n">
        <f aca="false">IF(96&lt;5,0,IF(MAX(CQ37:CV37)&gt;=$B$22,1,0))</f>
        <v>0</v>
      </c>
      <c r="CW77" s="368" t="n">
        <f aca="false">IF(97&lt;5,0,IF(MAX(CR37:CW37)&gt;=$B$22,1,0))</f>
        <v>0</v>
      </c>
      <c r="CX77" s="368" t="n">
        <f aca="false">IF(98&lt;5,0,IF(MAX(CS37:CX37)&gt;=$B$22,1,0))</f>
        <v>0</v>
      </c>
      <c r="CY77" s="368" t="n">
        <f aca="false">IF(99&lt;5,0,IF(MAX(CT37:CY37)&gt;=$B$22,1,0))</f>
        <v>0</v>
      </c>
      <c r="CZ77" s="368" t="n">
        <f aca="false">IF(100&lt;5,0,IF(MAX(CU37:CZ37)&gt;=$B$22,1,0))</f>
        <v>0</v>
      </c>
      <c r="DA77" s="368" t="n">
        <f aca="false">IF(101&lt;5,0,IF(MAX(CV37:DA37)&gt;=$B$22,1,0))</f>
        <v>0</v>
      </c>
      <c r="DB77" s="368" t="n">
        <f aca="false">IF(102&lt;5,0,IF(MAX(CW37:DB37)&gt;=$B$22,1,0))</f>
        <v>0</v>
      </c>
      <c r="DC77" s="368" t="n">
        <f aca="false">IF(103&lt;5,0,IF(MAX(CX37:DC37)&gt;=$B$22,1,0))</f>
        <v>0</v>
      </c>
      <c r="DD77" s="368" t="n">
        <f aca="false">IF(104&lt;5,0,IF(MAX(CY37:DD37)&gt;=$B$22,1,0))</f>
        <v>0</v>
      </c>
      <c r="DE77" s="368" t="n">
        <f aca="false">IF(105&lt;5,0,IF(MAX(CZ37:DE37)&gt;=$B$22,1,0))</f>
        <v>0</v>
      </c>
    </row>
    <row r="78" customFormat="false" ht="13.5" hidden="false" customHeight="true" outlineLevel="0" collapsed="false">
      <c r="A78" s="109" t="s">
        <v>1240</v>
      </c>
      <c r="B78" s="225" t="n">
        <f aca="false">$B$30</f>
        <v>80000</v>
      </c>
      <c r="E78" s="368" t="n">
        <f aca="false">IF(1&lt;5,0,IF(MAX(E37)&gt;=$B$23,1,0))</f>
        <v>0</v>
      </c>
      <c r="F78" s="368" t="n">
        <f aca="false">IF(2&lt;5,0,IF(MAX(E37:F37)&gt;=$B$23,1,0))</f>
        <v>0</v>
      </c>
      <c r="G78" s="368" t="n">
        <f aca="false">IF(3&lt;5,0,IF(MAX(E37:G37)&gt;=$B$23,1,0))</f>
        <v>0</v>
      </c>
      <c r="H78" s="368" t="n">
        <f aca="false">IF(4&lt;5,0,IF(MAX(E37:H37)&gt;=$B$23,1,0))</f>
        <v>0</v>
      </c>
      <c r="I78" s="368" t="n">
        <f aca="false">IF(5&lt;5,0,IF(MAX(E37:I37)&gt;=$B$23,1,0))</f>
        <v>0</v>
      </c>
      <c r="J78" s="368" t="n">
        <f aca="false">IF(6&lt;5,0,IF(MAX(E37:J37)&gt;=$B$23,1,0))</f>
        <v>0</v>
      </c>
      <c r="K78" s="368" t="n">
        <f aca="false">IF(7&lt;5,0,IF(MAX(F37:K37)&gt;=$B$23,1,0))</f>
        <v>0</v>
      </c>
      <c r="L78" s="368" t="n">
        <f aca="false">IF(8&lt;5,0,IF(MAX(G37:L37)&gt;=$B$23,1,0))</f>
        <v>0</v>
      </c>
      <c r="M78" s="368" t="n">
        <f aca="false">IF(9&lt;5,0,IF(MAX(H37:M37)&gt;=$B$23,1,0))</f>
        <v>0</v>
      </c>
      <c r="N78" s="368" t="n">
        <f aca="false">IF(10&lt;5,0,IF(MAX(I37:N37)&gt;=$B$23,1,0))</f>
        <v>0</v>
      </c>
      <c r="O78" s="368" t="n">
        <f aca="false">IF(11&lt;5,0,IF(MAX(J37:O37)&gt;=$B$23,1,0))</f>
        <v>0</v>
      </c>
      <c r="P78" s="368" t="n">
        <f aca="false">IF(12&lt;5,0,IF(MAX(K37:P37)&gt;=$B$23,1,0))</f>
        <v>0</v>
      </c>
      <c r="Q78" s="368" t="n">
        <f aca="false">IF(13&lt;5,0,IF(MAX(L37:Q37)&gt;=$B$23,1,0))</f>
        <v>0</v>
      </c>
      <c r="R78" s="368" t="n">
        <f aca="false">IF(14&lt;5,0,IF(MAX(M37:R37)&gt;=$B$23,1,0))</f>
        <v>0</v>
      </c>
      <c r="S78" s="368" t="n">
        <f aca="false">IF(15&lt;5,0,IF(MAX(N37:S37)&gt;=$B$23,1,0))</f>
        <v>0</v>
      </c>
      <c r="T78" s="368" t="n">
        <f aca="false">IF(16&lt;5,0,IF(MAX(O37:T37)&gt;=$B$23,1,0))</f>
        <v>0</v>
      </c>
      <c r="U78" s="368" t="n">
        <f aca="false">IF(17&lt;5,0,IF(MAX(P37:U37)&gt;=$B$23,1,0))</f>
        <v>0</v>
      </c>
      <c r="V78" s="368" t="n">
        <f aca="false">IF(18&lt;5,0,IF(MAX(Q37:V37)&gt;=$B$23,1,0))</f>
        <v>0</v>
      </c>
      <c r="W78" s="368" t="n">
        <f aca="false">IF(19&lt;5,0,IF(MAX(R37:W37)&gt;=$B$23,1,0))</f>
        <v>0</v>
      </c>
      <c r="X78" s="368" t="n">
        <f aca="false">IF(20&lt;5,0,IF(MAX(S37:X37)&gt;=$B$23,1,0))</f>
        <v>0</v>
      </c>
      <c r="Y78" s="368" t="n">
        <f aca="false">IF(21&lt;5,0,IF(MAX(T37:Y37)&gt;=$B$23,1,0))</f>
        <v>0</v>
      </c>
      <c r="Z78" s="368" t="n">
        <f aca="false">IF(22&lt;5,0,IF(MAX(U37:Z37)&gt;=$B$23,1,0))</f>
        <v>0</v>
      </c>
      <c r="AA78" s="368" t="n">
        <f aca="false">IF(23&lt;5,0,IF(MAX(V37:AA37)&gt;=$B$23,1,0))</f>
        <v>0</v>
      </c>
      <c r="AB78" s="368" t="n">
        <f aca="false">IF(24&lt;5,0,IF(MAX(W37:AB37)&gt;=$B$23,1,0))</f>
        <v>0</v>
      </c>
      <c r="AC78" s="368" t="n">
        <f aca="false">IF(25&lt;5,0,IF(MAX(X37:AC37)&gt;=$B$23,1,0))</f>
        <v>0</v>
      </c>
      <c r="AD78" s="368" t="n">
        <f aca="false">IF(26&lt;5,0,IF(MAX(Y37:AD37)&gt;=$B$23,1,0))</f>
        <v>0</v>
      </c>
      <c r="AE78" s="368" t="n">
        <f aca="false">IF(27&lt;5,0,IF(MAX(Z37:AE37)&gt;=$B$23,1,0))</f>
        <v>0</v>
      </c>
      <c r="AF78" s="368" t="n">
        <f aca="false">IF(28&lt;5,0,IF(MAX(AA37:AF37)&gt;=$B$23,1,0))</f>
        <v>0</v>
      </c>
      <c r="AG78" s="368" t="n">
        <f aca="false">IF(29&lt;5,0,IF(MAX(AB37:AG37)&gt;=$B$23,1,0))</f>
        <v>0</v>
      </c>
      <c r="AH78" s="368" t="n">
        <f aca="false">IF(30&lt;5,0,IF(MAX(AC37:AH37)&gt;=$B$23,1,0))</f>
        <v>0</v>
      </c>
      <c r="AI78" s="368" t="n">
        <f aca="false">IF(31&lt;5,0,IF(MAX(AD37:AI37)&gt;=$B$23,1,0))</f>
        <v>0</v>
      </c>
      <c r="AJ78" s="368" t="n">
        <f aca="false">IF(32&lt;5,0,IF(MAX(AE37:AJ37)&gt;=$B$23,1,0))</f>
        <v>0</v>
      </c>
      <c r="AK78" s="368" t="n">
        <f aca="false">IF(33&lt;5,0,IF(MAX(AF37:AK37)&gt;=$B$23,1,0))</f>
        <v>0</v>
      </c>
      <c r="AL78" s="368" t="n">
        <f aca="false">IF(34&lt;5,0,IF(MAX(AG37:AL37)&gt;=$B$23,1,0))</f>
        <v>0</v>
      </c>
      <c r="AM78" s="368" t="n">
        <f aca="false">IF(35&lt;5,0,IF(MAX(AH37:AM37)&gt;=$B$23,1,0))</f>
        <v>0</v>
      </c>
      <c r="AN78" s="368" t="n">
        <f aca="false">IF(36&lt;5,0,IF(MAX(AI37:AN37)&gt;=$B$23,1,0))</f>
        <v>0</v>
      </c>
      <c r="AO78" s="368" t="n">
        <f aca="false">IF(37&lt;5,0,IF(MAX(AJ37:AO37)&gt;=$B$23,1,0))</f>
        <v>0</v>
      </c>
      <c r="AP78" s="368" t="n">
        <f aca="false">IF(38&lt;5,0,IF(MAX(AK37:AP37)&gt;=$B$23,1,0))</f>
        <v>0</v>
      </c>
      <c r="AQ78" s="368" t="n">
        <f aca="false">IF(39&lt;5,0,IF(MAX(AL37:AQ37)&gt;=$B$23,1,0))</f>
        <v>0</v>
      </c>
      <c r="AR78" s="368" t="n">
        <f aca="false">IF(40&lt;5,0,IF(MAX(AM37:AR37)&gt;=$B$23,1,0))</f>
        <v>0</v>
      </c>
      <c r="AS78" s="368" t="n">
        <f aca="false">IF(41&lt;5,0,IF(MAX(AN37:AS37)&gt;=$B$23,1,0))</f>
        <v>0</v>
      </c>
      <c r="AT78" s="368" t="n">
        <f aca="false">IF(42&lt;5,0,IF(MAX(AO37:AT37)&gt;=$B$23,1,0))</f>
        <v>0</v>
      </c>
      <c r="AU78" s="368" t="n">
        <f aca="false">IF(43&lt;5,0,IF(MAX(AP37:AU37)&gt;=$B$23,1,0))</f>
        <v>0</v>
      </c>
      <c r="AV78" s="368" t="n">
        <f aca="false">IF(44&lt;5,0,IF(MAX(AQ37:AV37)&gt;=$B$23,1,0))</f>
        <v>0</v>
      </c>
      <c r="AW78" s="368" t="n">
        <f aca="false">IF(45&lt;5,0,IF(MAX(AR37:AW37)&gt;=$B$23,1,0))</f>
        <v>0</v>
      </c>
      <c r="AX78" s="368" t="n">
        <f aca="false">IF(46&lt;5,0,IF(MAX(AS37:AX37)&gt;=$B$23,1,0))</f>
        <v>0</v>
      </c>
      <c r="AY78" s="368" t="n">
        <f aca="false">IF(47&lt;5,0,IF(MAX(AT37:AY37)&gt;=$B$23,1,0))</f>
        <v>0</v>
      </c>
      <c r="AZ78" s="368" t="n">
        <f aca="false">IF(48&lt;5,0,IF(MAX(AU37:AZ37)&gt;=$B$23,1,0))</f>
        <v>0</v>
      </c>
      <c r="BA78" s="368" t="n">
        <f aca="false">IF(49&lt;5,0,IF(MAX(AV37:BA37)&gt;=$B$23,1,0))</f>
        <v>0</v>
      </c>
      <c r="BB78" s="368" t="n">
        <f aca="false">IF(50&lt;5,0,IF(MAX(AW37:BB37)&gt;=$B$23,1,0))</f>
        <v>0</v>
      </c>
      <c r="BC78" s="368" t="n">
        <f aca="false">IF(51&lt;5,0,IF(MAX(AX37:BC37)&gt;=$B$23,1,0))</f>
        <v>0</v>
      </c>
      <c r="BD78" s="368" t="n">
        <f aca="false">IF(52&lt;5,0,IF(MAX(AY37:BD37)&gt;=$B$23,1,0))</f>
        <v>0</v>
      </c>
      <c r="BE78" s="368" t="n">
        <f aca="false">IF(53&lt;5,0,IF(MAX(AZ37:BE37)&gt;=$B$23,1,0))</f>
        <v>0</v>
      </c>
      <c r="BF78" s="368" t="n">
        <f aca="false">IF(54&lt;5,0,IF(MAX(BA37:BF37)&gt;=$B$23,1,0))</f>
        <v>0</v>
      </c>
      <c r="BG78" s="368" t="n">
        <f aca="false">IF(55&lt;5,0,IF(MAX(BB37:BG37)&gt;=$B$23,1,0))</f>
        <v>0</v>
      </c>
      <c r="BH78" s="368" t="n">
        <f aca="false">IF(56&lt;5,0,IF(MAX(BC37:BH37)&gt;=$B$23,1,0))</f>
        <v>0</v>
      </c>
      <c r="BI78" s="368" t="n">
        <f aca="false">IF(57&lt;5,0,IF(MAX(BD37:BI37)&gt;=$B$23,1,0))</f>
        <v>0</v>
      </c>
      <c r="BJ78" s="368" t="n">
        <f aca="false">IF(58&lt;5,0,IF(MAX(BE37:BJ37)&gt;=$B$23,1,0))</f>
        <v>0</v>
      </c>
      <c r="BK78" s="368" t="n">
        <f aca="false">IF(59&lt;5,0,IF(MAX(BF37:BK37)&gt;=$B$23,1,0))</f>
        <v>0</v>
      </c>
      <c r="BL78" s="368" t="n">
        <f aca="false">IF(60&lt;5,0,IF(MAX(BG37:BL37)&gt;=$B$23,1,0))</f>
        <v>0</v>
      </c>
      <c r="BM78" s="368" t="n">
        <f aca="false">IF(61&lt;5,0,IF(MAX(BH37:BM37)&gt;=$B$23,1,0))</f>
        <v>0</v>
      </c>
      <c r="BN78" s="368" t="n">
        <f aca="false">IF(62&lt;5,0,IF(MAX(BI37:BN37)&gt;=$B$23,1,0))</f>
        <v>0</v>
      </c>
      <c r="BO78" s="368" t="n">
        <f aca="false">IF(63&lt;5,0,IF(MAX(BJ37:BO37)&gt;=$B$23,1,0))</f>
        <v>0</v>
      </c>
      <c r="BP78" s="368" t="n">
        <f aca="false">IF(64&lt;5,0,IF(MAX(BK37:BP37)&gt;=$B$23,1,0))</f>
        <v>0</v>
      </c>
      <c r="BQ78" s="368" t="n">
        <f aca="false">IF(65&lt;5,0,IF(MAX(BL37:BQ37)&gt;=$B$23,1,0))</f>
        <v>0</v>
      </c>
      <c r="BR78" s="368" t="n">
        <f aca="false">IF(66&lt;5,0,IF(MAX(BM37:BR37)&gt;=$B$23,1,0))</f>
        <v>0</v>
      </c>
      <c r="BS78" s="368" t="n">
        <f aca="false">IF(67&lt;5,0,IF(MAX(BN37:BS37)&gt;=$B$23,1,0))</f>
        <v>0</v>
      </c>
      <c r="BT78" s="368" t="n">
        <f aca="false">IF(68&lt;5,0,IF(MAX(BO37:BT37)&gt;=$B$23,1,0))</f>
        <v>0</v>
      </c>
      <c r="BU78" s="368" t="n">
        <f aca="false">IF(69&lt;5,0,IF(MAX(BP37:BU37)&gt;=$B$23,1,0))</f>
        <v>0</v>
      </c>
      <c r="BV78" s="368" t="n">
        <f aca="false">IF(70&lt;5,0,IF(MAX(BQ37:BV37)&gt;=$B$23,1,0))</f>
        <v>0</v>
      </c>
      <c r="BW78" s="368" t="n">
        <f aca="false">IF(71&lt;5,0,IF(MAX(BR37:BW37)&gt;=$B$23,1,0))</f>
        <v>0</v>
      </c>
      <c r="BX78" s="368" t="n">
        <f aca="false">IF(72&lt;5,0,IF(MAX(BS37:BX37)&gt;=$B$23,1,0))</f>
        <v>0</v>
      </c>
      <c r="BY78" s="368" t="n">
        <f aca="false">IF(73&lt;5,0,IF(MAX(BT37:BY37)&gt;=$B$23,1,0))</f>
        <v>0</v>
      </c>
      <c r="BZ78" s="368" t="n">
        <f aca="false">IF(74&lt;5,0,IF(MAX(BU37:BZ37)&gt;=$B$23,1,0))</f>
        <v>0</v>
      </c>
      <c r="CA78" s="368" t="n">
        <f aca="false">IF(75&lt;5,0,IF(MAX(BV37:CA37)&gt;=$B$23,1,0))</f>
        <v>0</v>
      </c>
      <c r="CB78" s="368" t="n">
        <f aca="false">IF(76&lt;5,0,IF(MAX(BW37:CB37)&gt;=$B$23,1,0))</f>
        <v>0</v>
      </c>
      <c r="CC78" s="368" t="n">
        <f aca="false">IF(77&lt;5,0,IF(MAX(BX37:CC37)&gt;=$B$23,1,0))</f>
        <v>0</v>
      </c>
      <c r="CD78" s="368" t="n">
        <f aca="false">IF(78&lt;5,0,IF(MAX(BY37:CD37)&gt;=$B$23,1,0))</f>
        <v>0</v>
      </c>
      <c r="CE78" s="368" t="n">
        <f aca="false">IF(79&lt;5,0,IF(MAX(BZ37:CE37)&gt;=$B$23,1,0))</f>
        <v>0</v>
      </c>
      <c r="CF78" s="368" t="n">
        <f aca="false">IF(80&lt;5,0,IF(MAX(CA37:CF37)&gt;=$B$23,1,0))</f>
        <v>0</v>
      </c>
      <c r="CG78" s="368" t="n">
        <f aca="false">IF(81&lt;5,0,IF(MAX(CB37:CG37)&gt;=$B$23,1,0))</f>
        <v>0</v>
      </c>
      <c r="CH78" s="368" t="n">
        <f aca="false">IF(82&lt;5,0,IF(MAX(CC37:CH37)&gt;=$B$23,1,0))</f>
        <v>0</v>
      </c>
      <c r="CI78" s="368" t="n">
        <f aca="false">IF(83&lt;5,0,IF(MAX(CD37:CI37)&gt;=$B$23,1,0))</f>
        <v>0</v>
      </c>
      <c r="CJ78" s="368" t="n">
        <f aca="false">IF(84&lt;5,0,IF(MAX(CE37:CJ37)&gt;=$B$23,1,0))</f>
        <v>0</v>
      </c>
      <c r="CK78" s="368" t="n">
        <f aca="false">IF(85&lt;5,0,IF(MAX(CF37:CK37)&gt;=$B$23,1,0))</f>
        <v>0</v>
      </c>
      <c r="CL78" s="368" t="n">
        <f aca="false">IF(86&lt;5,0,IF(MAX(CG37:CL37)&gt;=$B$23,1,0))</f>
        <v>0</v>
      </c>
      <c r="CM78" s="368" t="n">
        <f aca="false">IF(87&lt;5,0,IF(MAX(CH37:CM37)&gt;=$B$23,1,0))</f>
        <v>0</v>
      </c>
      <c r="CN78" s="368" t="n">
        <f aca="false">IF(88&lt;5,0,IF(MAX(CI37:CN37)&gt;=$B$23,1,0))</f>
        <v>0</v>
      </c>
      <c r="CO78" s="368" t="n">
        <f aca="false">IF(89&lt;5,0,IF(MAX(CJ37:CO37)&gt;=$B$23,1,0))</f>
        <v>0</v>
      </c>
      <c r="CP78" s="368" t="n">
        <f aca="false">IF(90&lt;5,0,IF(MAX(CK37:CP37)&gt;=$B$23,1,0))</f>
        <v>0</v>
      </c>
      <c r="CQ78" s="368" t="n">
        <f aca="false">IF(91&lt;5,0,IF(MAX(CL37:CQ37)&gt;=$B$23,1,0))</f>
        <v>0</v>
      </c>
      <c r="CR78" s="368" t="n">
        <f aca="false">IF(92&lt;5,0,IF(MAX(CM37:CR37)&gt;=$B$23,1,0))</f>
        <v>0</v>
      </c>
      <c r="CS78" s="368" t="n">
        <f aca="false">IF(93&lt;5,0,IF(MAX(CN37:CS37)&gt;=$B$23,1,0))</f>
        <v>0</v>
      </c>
      <c r="CT78" s="368" t="n">
        <f aca="false">IF(94&lt;5,0,IF(MAX(CO37:CT37)&gt;=$B$23,1,0))</f>
        <v>0</v>
      </c>
      <c r="CU78" s="368" t="n">
        <f aca="false">IF(95&lt;5,0,IF(MAX(CP37:CU37)&gt;=$B$23,1,0))</f>
        <v>0</v>
      </c>
      <c r="CV78" s="368" t="n">
        <f aca="false">IF(96&lt;5,0,IF(MAX(CQ37:CV37)&gt;=$B$23,1,0))</f>
        <v>0</v>
      </c>
      <c r="CW78" s="368" t="n">
        <f aca="false">IF(97&lt;5,0,IF(MAX(CR37:CW37)&gt;=$B$23,1,0))</f>
        <v>0</v>
      </c>
      <c r="CX78" s="368" t="n">
        <f aca="false">IF(98&lt;5,0,IF(MAX(CS37:CX37)&gt;=$B$23,1,0))</f>
        <v>0</v>
      </c>
      <c r="CY78" s="368" t="n">
        <f aca="false">IF(99&lt;5,0,IF(MAX(CT37:CY37)&gt;=$B$23,1,0))</f>
        <v>0</v>
      </c>
      <c r="CZ78" s="368" t="n">
        <f aca="false">IF(100&lt;5,0,IF(MAX(CU37:CZ37)&gt;=$B$23,1,0))</f>
        <v>0</v>
      </c>
      <c r="DA78" s="368" t="n">
        <f aca="false">IF(101&lt;5,0,IF(MAX(CV37:DA37)&gt;=$B$23,1,0))</f>
        <v>0</v>
      </c>
      <c r="DB78" s="368" t="n">
        <f aca="false">IF(102&lt;5,0,IF(MAX(CW37:DB37)&gt;=$B$23,1,0))</f>
        <v>0</v>
      </c>
      <c r="DC78" s="368" t="n">
        <f aca="false">IF(103&lt;5,0,IF(MAX(CX37:DC37)&gt;=$B$23,1,0))</f>
        <v>0</v>
      </c>
      <c r="DD78" s="368" t="n">
        <f aca="false">IF(104&lt;5,0,IF(MAX(CY37:DD37)&gt;=$B$23,1,0))</f>
        <v>0</v>
      </c>
      <c r="DE78" s="368" t="n">
        <f aca="false">IF(105&lt;5,0,IF(MAX(CZ37:DE37)&gt;=$B$23,1,0))</f>
        <v>0</v>
      </c>
    </row>
    <row r="80" customFormat="false" ht="13.5" hidden="false" customHeight="true" outlineLevel="0" collapsed="false">
      <c r="A80" s="223" t="s">
        <v>1241</v>
      </c>
      <c r="B80" s="224"/>
      <c r="C80" s="224"/>
      <c r="D80" s="224"/>
      <c r="E80" s="224"/>
      <c r="F80" s="224"/>
    </row>
    <row r="81" customFormat="false" ht="13.5" hidden="false" customHeight="true" outlineLevel="0" collapsed="false">
      <c r="A81" s="109" t="s">
        <v>1242</v>
      </c>
      <c r="E81" s="369" t="n">
        <f aca="false">(SUMPRODUCT($B$49:$B$58,E49:E58)+SUMPRODUCT($B$61:$B$68,E61:E68)+SUMPRODUCT($B$71:$B$74,E71:E74)+SUMPRODUCT($B$77:$B$78,E77:E78)+SUMPRODUCT($B$99:$B$104,E99:E104))/12</f>
        <v>0</v>
      </c>
      <c r="F81" s="369" t="n">
        <f aca="false">(SUMPRODUCT($B$49:$B$58,F49:F58)+SUMPRODUCT($B$61:$B$68,F61:F68)+SUMPRODUCT($B$71:$B$74,F71:F74)+SUMPRODUCT($B$77:$B$78,F77:F78)+SUMPRODUCT($B$99:$B$104,F99:F104))/12</f>
        <v>0</v>
      </c>
      <c r="G81" s="369" t="n">
        <f aca="false">(SUMPRODUCT($B$49:$B$58,G49:G58)+SUMPRODUCT($B$61:$B$68,G61:G68)+SUMPRODUCT($B$71:$B$74,G71:G74)+SUMPRODUCT($B$77:$B$78,G77:G78)+SUMPRODUCT($B$99:$B$104,G99:G104))/12</f>
        <v>0</v>
      </c>
      <c r="H81" s="369" t="n">
        <f aca="false">(SUMPRODUCT($B$49:$B$58,H49:H58)+SUMPRODUCT($B$61:$B$68,H61:H68)+SUMPRODUCT($B$71:$B$74,H71:H74)+SUMPRODUCT($B$77:$B$78,H77:H78)+SUMPRODUCT($B$99:$B$104,H99:H104))/12</f>
        <v>0</v>
      </c>
      <c r="I81" s="369" t="n">
        <f aca="false">(SUMPRODUCT($B$49:$B$58,I49:I58)+SUMPRODUCT($B$61:$B$68,I61:I68)+SUMPRODUCT($B$71:$B$74,I71:I74)+SUMPRODUCT($B$77:$B$78,I77:I78)+SUMPRODUCT($B$99:$B$104,I99:I104))/12</f>
        <v>0</v>
      </c>
      <c r="J81" s="369" t="n">
        <f aca="false">(SUMPRODUCT($B$49:$B$58,J49:J58)+SUMPRODUCT($B$61:$B$68,J61:J68)+SUMPRODUCT($B$71:$B$74,J71:J74)+SUMPRODUCT($B$77:$B$78,J77:J78)+SUMPRODUCT($B$99:$B$104,J99:J104))/12</f>
        <v>0</v>
      </c>
      <c r="K81" s="369" t="n">
        <f aca="false">(SUMPRODUCT($B$49:$B$58,K49:K58)+SUMPRODUCT($B$61:$B$68,K61:K68)+SUMPRODUCT($B$71:$B$74,K71:K74)+SUMPRODUCT($B$77:$B$78,K77:K78)+SUMPRODUCT($B$99:$B$104,K99:K104))/12</f>
        <v>0</v>
      </c>
      <c r="L81" s="369" t="n">
        <f aca="false">(SUMPRODUCT($B$49:$B$58,L49:L58)+SUMPRODUCT($B$61:$B$68,L61:L68)+SUMPRODUCT($B$71:$B$74,L71:L74)+SUMPRODUCT($B$77:$B$78,L77:L78)+SUMPRODUCT($B$99:$B$104,L99:L104))/12</f>
        <v>0</v>
      </c>
      <c r="M81" s="369" t="n">
        <f aca="false">(SUMPRODUCT($B$49:$B$58,M49:M58)+SUMPRODUCT($B$61:$B$68,M61:M68)+SUMPRODUCT($B$71:$B$74,M71:M74)+SUMPRODUCT($B$77:$B$78,M77:M78)+SUMPRODUCT($B$99:$B$104,M99:M104))/12</f>
        <v>13333.3333333333</v>
      </c>
      <c r="N81" s="369" t="n">
        <f aca="false">(SUMPRODUCT($B$49:$B$58,N49:N58)+SUMPRODUCT($B$61:$B$68,N61:N68)+SUMPRODUCT($B$71:$B$74,N71:N74)+SUMPRODUCT($B$77:$B$78,N77:N78)+SUMPRODUCT($B$99:$B$104,N99:N104))/12</f>
        <v>13333.3333333333</v>
      </c>
      <c r="O81" s="369" t="n">
        <f aca="false">(SUMPRODUCT($B$49:$B$58,O49:O58)+SUMPRODUCT($B$61:$B$68,O61:O68)+SUMPRODUCT($B$71:$B$74,O71:O74)+SUMPRODUCT($B$77:$B$78,O77:O78)+SUMPRODUCT($B$99:$B$104,O99:O104))/12</f>
        <v>23750</v>
      </c>
      <c r="P81" s="369" t="n">
        <f aca="false">(SUMPRODUCT($B$49:$B$58,P49:P58)+SUMPRODUCT($B$61:$B$68,P61:P68)+SUMPRODUCT($B$71:$B$74,P71:P74)+SUMPRODUCT($B$77:$B$78,P77:P78)+SUMPRODUCT($B$99:$B$104,P99:P104))/12</f>
        <v>23750</v>
      </c>
      <c r="Q81" s="369" t="n">
        <f aca="false">(SUMPRODUCT($B$49:$B$58,Q49:Q58)+SUMPRODUCT($B$61:$B$68,Q61:Q68)+SUMPRODUCT($B$71:$B$74,Q71:Q74)+SUMPRODUCT($B$77:$B$78,Q77:Q78)+SUMPRODUCT($B$99:$B$104,Q99:Q104))/12</f>
        <v>37083.3333333333</v>
      </c>
      <c r="R81" s="369" t="n">
        <f aca="false">(SUMPRODUCT($B$49:$B$58,R49:R58)+SUMPRODUCT($B$61:$B$68,R61:R68)+SUMPRODUCT($B$71:$B$74,R71:R74)+SUMPRODUCT($B$77:$B$78,R77:R78)+SUMPRODUCT($B$99:$B$104,R99:R104))/12</f>
        <v>60833.3333333333</v>
      </c>
      <c r="S81" s="369" t="n">
        <f aca="false">(SUMPRODUCT($B$49:$B$58,S49:S58)+SUMPRODUCT($B$61:$B$68,S61:S68)+SUMPRODUCT($B$71:$B$74,S71:S74)+SUMPRODUCT($B$77:$B$78,S77:S78)+SUMPRODUCT($B$99:$B$104,S99:S104))/12</f>
        <v>108750</v>
      </c>
      <c r="T81" s="369" t="n">
        <f aca="false">(SUMPRODUCT($B$49:$B$58,T49:T58)+SUMPRODUCT($B$61:$B$68,T61:T68)+SUMPRODUCT($B$71:$B$74,T71:T74)+SUMPRODUCT($B$77:$B$78,T77:T78)+SUMPRODUCT($B$99:$B$104,T99:T104))/12</f>
        <v>108750</v>
      </c>
      <c r="U81" s="369" t="n">
        <f aca="false">(SUMPRODUCT($B$49:$B$58,U49:U58)+SUMPRODUCT($B$61:$B$68,U61:U68)+SUMPRODUCT($B$71:$B$74,U71:U74)+SUMPRODUCT($B$77:$B$78,U77:U78)+SUMPRODUCT($B$99:$B$104,U99:U104))/12</f>
        <v>108750</v>
      </c>
      <c r="V81" s="369" t="n">
        <f aca="false">(SUMPRODUCT($B$49:$B$58,V49:V58)+SUMPRODUCT($B$61:$B$68,V61:V68)+SUMPRODUCT($B$71:$B$74,V71:V74)+SUMPRODUCT($B$77:$B$78,V77:V78)+SUMPRODUCT($B$99:$B$104,V99:V104))/12</f>
        <v>108750</v>
      </c>
      <c r="W81" s="369" t="n">
        <f aca="false">(SUMPRODUCT($B$49:$B$58,W49:W58)+SUMPRODUCT($B$61:$B$68,W61:W68)+SUMPRODUCT($B$71:$B$74,W71:W74)+SUMPRODUCT($B$77:$B$78,W77:W78)+SUMPRODUCT($B$99:$B$104,W99:W104))/12</f>
        <v>155416.666666667</v>
      </c>
      <c r="X81" s="369" t="n">
        <f aca="false">(SUMPRODUCT($B$49:$B$58,X49:X58)+SUMPRODUCT($B$61:$B$68,X61:X68)+SUMPRODUCT($B$71:$B$74,X71:X74)+SUMPRODUCT($B$77:$B$78,X77:X78)+SUMPRODUCT($B$99:$B$104,X99:X104))/12</f>
        <v>155416.666666667</v>
      </c>
      <c r="Y81" s="369" t="n">
        <f aca="false">(SUMPRODUCT($B$49:$B$58,Y49:Y58)+SUMPRODUCT($B$61:$B$68,Y61:Y68)+SUMPRODUCT($B$71:$B$74,Y71:Y74)+SUMPRODUCT($B$77:$B$78,Y77:Y78)+SUMPRODUCT($B$99:$B$104,Y99:Y104))/12</f>
        <v>155416.666666667</v>
      </c>
      <c r="Z81" s="369" t="n">
        <f aca="false">(SUMPRODUCT($B$49:$B$58,Z49:Z58)+SUMPRODUCT($B$61:$B$68,Z61:Z68)+SUMPRODUCT($B$71:$B$74,Z71:Z74)+SUMPRODUCT($B$77:$B$78,Z77:Z78)+SUMPRODUCT($B$99:$B$104,Z99:Z104))/12</f>
        <v>155416.666666667</v>
      </c>
      <c r="AA81" s="369" t="n">
        <f aca="false">(SUMPRODUCT($B$49:$B$58,AA49:AA58)+SUMPRODUCT($B$61:$B$68,AA61:AA68)+SUMPRODUCT($B$71:$B$74,AA71:AA74)+SUMPRODUCT($B$77:$B$78,AA77:AA78)+SUMPRODUCT($B$99:$B$104,AA99:AA104))/12</f>
        <v>155416.666666667</v>
      </c>
      <c r="AB81" s="369" t="n">
        <f aca="false">(SUMPRODUCT($B$49:$B$58,AB49:AB58)+SUMPRODUCT($B$61:$B$68,AB61:AB68)+SUMPRODUCT($B$71:$B$74,AB71:AB74)+SUMPRODUCT($B$77:$B$78,AB77:AB78)+SUMPRODUCT($B$99:$B$104,AB99:AB104))/12</f>
        <v>155416.666666667</v>
      </c>
      <c r="AC81" s="369" t="n">
        <f aca="false">(SUMPRODUCT($B$49:$B$58,AC49:AC58)+SUMPRODUCT($B$61:$B$68,AC61:AC68)+SUMPRODUCT($B$71:$B$74,AC71:AC74)+SUMPRODUCT($B$77:$B$78,AC77:AC78)+SUMPRODUCT($B$99:$B$104,AC99:AC104))/12</f>
        <v>134166.666666667</v>
      </c>
      <c r="AD81" s="369" t="n">
        <f aca="false">(SUMPRODUCT($B$49:$B$58,AD49:AD58)+SUMPRODUCT($B$61:$B$68,AD61:AD68)+SUMPRODUCT($B$71:$B$74,AD71:AD74)+SUMPRODUCT($B$77:$B$78,AD77:AD78)+SUMPRODUCT($B$99:$B$104,AD99:AD104))/12</f>
        <v>110416.666666667</v>
      </c>
      <c r="AE81" s="369" t="n">
        <f aca="false">(SUMPRODUCT($B$49:$B$58,AE49:AE58)+SUMPRODUCT($B$61:$B$68,AE61:AE68)+SUMPRODUCT($B$71:$B$74,AE71:AE74)+SUMPRODUCT($B$77:$B$78,AE77:AE78)+SUMPRODUCT($B$99:$B$104,AE99:AE104))/12</f>
        <v>110416.666666667</v>
      </c>
      <c r="AF81" s="369" t="n">
        <f aca="false">(SUMPRODUCT($B$49:$B$58,AF49:AF58)+SUMPRODUCT($B$61:$B$68,AF61:AF68)+SUMPRODUCT($B$71:$B$74,AF71:AF74)+SUMPRODUCT($B$77:$B$78,AF77:AF78)+SUMPRODUCT($B$99:$B$104,AF99:AF104))/12</f>
        <v>110416.666666667</v>
      </c>
      <c r="AG81" s="369" t="n">
        <f aca="false">(SUMPRODUCT($B$49:$B$58,AG49:AG58)+SUMPRODUCT($B$61:$B$68,AG61:AG68)+SUMPRODUCT($B$71:$B$74,AG71:AG74)+SUMPRODUCT($B$77:$B$78,AG77:AG78)+SUMPRODUCT($B$99:$B$104,AG99:AG104))/12</f>
        <v>95416.6666666667</v>
      </c>
      <c r="AH81" s="369" t="n">
        <f aca="false">(SUMPRODUCT($B$49:$B$58,AH49:AH58)+SUMPRODUCT($B$61:$B$68,AH61:AH68)+SUMPRODUCT($B$71:$B$74,AH71:AH74)+SUMPRODUCT($B$77:$B$78,AH77:AH78)+SUMPRODUCT($B$99:$B$104,AH99:AH104))/12</f>
        <v>82083.3333333333</v>
      </c>
      <c r="AI81" s="369" t="n">
        <f aca="false">(SUMPRODUCT($B$49:$B$58,AI49:AI58)+SUMPRODUCT($B$61:$B$68,AI61:AI68)+SUMPRODUCT($B$71:$B$74,AI71:AI74)+SUMPRODUCT($B$77:$B$78,AI77:AI78)+SUMPRODUCT($B$99:$B$104,AI99:AI104))/12</f>
        <v>82083.3333333333</v>
      </c>
      <c r="AJ81" s="369" t="n">
        <f aca="false">(SUMPRODUCT($B$49:$B$58,AJ49:AJ58)+SUMPRODUCT($B$61:$B$68,AJ61:AJ68)+SUMPRODUCT($B$71:$B$74,AJ71:AJ74)+SUMPRODUCT($B$77:$B$78,AJ77:AJ78)+SUMPRODUCT($B$99:$B$104,AJ99:AJ104))/12</f>
        <v>82083.3333333333</v>
      </c>
      <c r="AK81" s="369" t="n">
        <f aca="false">(SUMPRODUCT($B$49:$B$58,AK49:AK58)+SUMPRODUCT($B$61:$B$68,AK61:AK68)+SUMPRODUCT($B$71:$B$74,AK71:AK74)+SUMPRODUCT($B$77:$B$78,AK77:AK78)+SUMPRODUCT($B$99:$B$104,AK99:AK104))/12</f>
        <v>82083.3333333333</v>
      </c>
      <c r="AL81" s="369" t="n">
        <f aca="false">(SUMPRODUCT($B$49:$B$58,AL49:AL58)+SUMPRODUCT($B$61:$B$68,AL61:AL68)+SUMPRODUCT($B$71:$B$74,AL71:AL74)+SUMPRODUCT($B$77:$B$78,AL77:AL78)+SUMPRODUCT($B$99:$B$104,AL99:AL104))/12</f>
        <v>82083.3333333333</v>
      </c>
      <c r="AM81" s="369" t="n">
        <f aca="false">(SUMPRODUCT($B$49:$B$58,AM49:AM58)+SUMPRODUCT($B$61:$B$68,AM61:AM68)+SUMPRODUCT($B$71:$B$74,AM71:AM74)+SUMPRODUCT($B$77:$B$78,AM77:AM78)+SUMPRODUCT($B$99:$B$104,AM99:AM104))/12</f>
        <v>55416.6666666667</v>
      </c>
      <c r="AN81" s="369" t="n">
        <f aca="false">(SUMPRODUCT($B$49:$B$58,AN49:AN58)+SUMPRODUCT($B$61:$B$68,AN61:AN68)+SUMPRODUCT($B$71:$B$74,AN71:AN74)+SUMPRODUCT($B$77:$B$78,AN77:AN78)+SUMPRODUCT($B$99:$B$104,AN99:AN104))/12</f>
        <v>45000</v>
      </c>
      <c r="AO81" s="369" t="n">
        <f aca="false">(SUMPRODUCT($B$49:$B$58,AO49:AO58)+SUMPRODUCT($B$61:$B$68,AO61:AO68)+SUMPRODUCT($B$71:$B$74,AO71:AO74)+SUMPRODUCT($B$77:$B$78,AO77:AO78)+SUMPRODUCT($B$99:$B$104,AO99:AO104))/12</f>
        <v>20833.3333333333</v>
      </c>
      <c r="AP81" s="369" t="n">
        <f aca="false">(SUMPRODUCT($B$49:$B$58,AP49:AP58)+SUMPRODUCT($B$61:$B$68,AP61:AP68)+SUMPRODUCT($B$71:$B$74,AP71:AP74)+SUMPRODUCT($B$77:$B$78,AP77:AP78)+SUMPRODUCT($B$99:$B$104,AP99:AP104))/12</f>
        <v>20833.3333333333</v>
      </c>
      <c r="AQ81" s="369" t="n">
        <f aca="false">(SUMPRODUCT($B$49:$B$58,AQ49:AQ58)+SUMPRODUCT($B$61:$B$68,AQ61:AQ68)+SUMPRODUCT($B$71:$B$74,AQ71:AQ74)+SUMPRODUCT($B$77:$B$78,AQ77:AQ78)+SUMPRODUCT($B$99:$B$104,AQ99:AQ104))/12</f>
        <v>10416.6666666667</v>
      </c>
      <c r="AR81" s="369" t="n">
        <f aca="false">(SUMPRODUCT($B$49:$B$58,AR49:AR58)+SUMPRODUCT($B$61:$B$68,AR61:AR68)+SUMPRODUCT($B$71:$B$74,AR71:AR74)+SUMPRODUCT($B$77:$B$78,AR77:AR78)+SUMPRODUCT($B$99:$B$104,AR99:AR104))/12</f>
        <v>10416.6666666667</v>
      </c>
      <c r="AS81" s="369" t="n">
        <f aca="false">(SUMPRODUCT($B$49:$B$58,AS49:AS58)+SUMPRODUCT($B$61:$B$68,AS61:AS68)+SUMPRODUCT($B$71:$B$74,AS71:AS74)+SUMPRODUCT($B$77:$B$78,AS77:AS78)+SUMPRODUCT($B$99:$B$104,AS99:AS104))/12</f>
        <v>10416.6666666667</v>
      </c>
      <c r="AT81" s="369" t="n">
        <f aca="false">(SUMPRODUCT($B$49:$B$58,AT49:AT58)+SUMPRODUCT($B$61:$B$68,AT61:AT68)+SUMPRODUCT($B$71:$B$74,AT71:AT74)+SUMPRODUCT($B$77:$B$78,AT77:AT78)+SUMPRODUCT($B$99:$B$104,AT99:AT104))/12</f>
        <v>10416.6666666667</v>
      </c>
      <c r="AU81" s="369" t="n">
        <f aca="false">(SUMPRODUCT($B$49:$B$58,AU49:AU58)+SUMPRODUCT($B$61:$B$68,AU61:AU68)+SUMPRODUCT($B$71:$B$74,AU71:AU74)+SUMPRODUCT($B$77:$B$78,AU77:AU78)+SUMPRODUCT($B$99:$B$104,AU99:AU104))/12</f>
        <v>0</v>
      </c>
      <c r="AV81" s="369" t="n">
        <f aca="false">(SUMPRODUCT($B$49:$B$58,AV49:AV58)+SUMPRODUCT($B$61:$B$68,AV61:AV68)+SUMPRODUCT($B$71:$B$74,AV71:AV74)+SUMPRODUCT($B$77:$B$78,AV77:AV78)+SUMPRODUCT($B$99:$B$104,AV99:AV104))/12</f>
        <v>0</v>
      </c>
      <c r="AW81" s="369" t="n">
        <f aca="false">(SUMPRODUCT($B$49:$B$58,AW49:AW58)+SUMPRODUCT($B$61:$B$68,AW61:AW68)+SUMPRODUCT($B$71:$B$74,AW71:AW74)+SUMPRODUCT($B$77:$B$78,AW77:AW78)+SUMPRODUCT($B$99:$B$104,AW99:AW104))/12</f>
        <v>0</v>
      </c>
      <c r="AX81" s="369" t="n">
        <f aca="false">(SUMPRODUCT($B$49:$B$58,AX49:AX58)+SUMPRODUCT($B$61:$B$68,AX61:AX68)+SUMPRODUCT($B$71:$B$74,AX71:AX74)+SUMPRODUCT($B$77:$B$78,AX77:AX78)+SUMPRODUCT($B$99:$B$104,AX99:AX104))/12</f>
        <v>0</v>
      </c>
      <c r="AY81" s="369" t="n">
        <f aca="false">(SUMPRODUCT($B$49:$B$58,AY49:AY58)+SUMPRODUCT($B$61:$B$68,AY61:AY68)+SUMPRODUCT($B$71:$B$74,AY71:AY74)+SUMPRODUCT($B$77:$B$78,AY77:AY78)+SUMPRODUCT($B$99:$B$104,AY99:AY104))/12</f>
        <v>0</v>
      </c>
      <c r="AZ81" s="369" t="n">
        <f aca="false">(SUMPRODUCT($B$49:$B$58,AZ49:AZ58)+SUMPRODUCT($B$61:$B$68,AZ61:AZ68)+SUMPRODUCT($B$71:$B$74,AZ71:AZ74)+SUMPRODUCT($B$77:$B$78,AZ77:AZ78)+SUMPRODUCT($B$99:$B$104,AZ99:AZ104))/12</f>
        <v>0</v>
      </c>
      <c r="BA81" s="369" t="n">
        <f aca="false">(SUMPRODUCT($B$49:$B$58,BA49:BA58)+SUMPRODUCT($B$61:$B$68,BA61:BA68)+SUMPRODUCT($B$71:$B$74,BA71:BA74)+SUMPRODUCT($B$77:$B$78,BA77:BA78)+SUMPRODUCT($B$99:$B$104,BA99:BA104))/12</f>
        <v>0</v>
      </c>
      <c r="BB81" s="369" t="n">
        <f aca="false">(SUMPRODUCT($B$49:$B$58,BB49:BB58)+SUMPRODUCT($B$61:$B$68,BB61:BB68)+SUMPRODUCT($B$71:$B$74,BB71:BB74)+SUMPRODUCT($B$77:$B$78,BB77:BB78)+SUMPRODUCT($B$99:$B$104,BB99:BB104))/12</f>
        <v>0</v>
      </c>
      <c r="BC81" s="369" t="n">
        <f aca="false">(SUMPRODUCT($B$49:$B$58,BC49:BC58)+SUMPRODUCT($B$61:$B$68,BC61:BC68)+SUMPRODUCT($B$71:$B$74,BC71:BC74)+SUMPRODUCT($B$77:$B$78,BC77:BC78)+SUMPRODUCT($B$99:$B$104,BC99:BC104))/12</f>
        <v>0</v>
      </c>
      <c r="BD81" s="369" t="n">
        <f aca="false">(SUMPRODUCT($B$49:$B$58,BD49:BD58)+SUMPRODUCT($B$61:$B$68,BD61:BD68)+SUMPRODUCT($B$71:$B$74,BD71:BD74)+SUMPRODUCT($B$77:$B$78,BD77:BD78)+SUMPRODUCT($B$99:$B$104,BD99:BD104))/12</f>
        <v>0</v>
      </c>
      <c r="BE81" s="369" t="n">
        <f aca="false">(SUMPRODUCT($B$49:$B$58,BE49:BE58)+SUMPRODUCT($B$61:$B$68,BE61:BE68)+SUMPRODUCT($B$71:$B$74,BE71:BE74)+SUMPRODUCT($B$77:$B$78,BE77:BE78)+SUMPRODUCT($B$99:$B$104,BE99:BE104))/12</f>
        <v>0</v>
      </c>
      <c r="BF81" s="369" t="n">
        <f aca="false">(SUMPRODUCT($B$49:$B$58,BF49:BF58)+SUMPRODUCT($B$61:$B$68,BF61:BF68)+SUMPRODUCT($B$71:$B$74,BF71:BF74)+SUMPRODUCT($B$77:$B$78,BF77:BF78)+SUMPRODUCT($B$99:$B$104,BF99:BF104))/12</f>
        <v>0</v>
      </c>
      <c r="BG81" s="369" t="n">
        <f aca="false">(SUMPRODUCT($B$49:$B$58,BG49:BG58)+SUMPRODUCT($B$61:$B$68,BG61:BG68)+SUMPRODUCT($B$71:$B$74,BG71:BG74)+SUMPRODUCT($B$77:$B$78,BG77:BG78)+SUMPRODUCT($B$99:$B$104,BG99:BG104))/12</f>
        <v>0</v>
      </c>
      <c r="BH81" s="369" t="n">
        <f aca="false">(SUMPRODUCT($B$49:$B$58,BH49:BH58)+SUMPRODUCT($B$61:$B$68,BH61:BH68)+SUMPRODUCT($B$71:$B$74,BH71:BH74)+SUMPRODUCT($B$77:$B$78,BH77:BH78)+SUMPRODUCT($B$99:$B$104,BH99:BH104))/12</f>
        <v>0</v>
      </c>
      <c r="BI81" s="369" t="n">
        <f aca="false">(SUMPRODUCT($B$49:$B$58,BI49:BI58)+SUMPRODUCT($B$61:$B$68,BI61:BI68)+SUMPRODUCT($B$71:$B$74,BI71:BI74)+SUMPRODUCT($B$77:$B$78,BI77:BI78)+SUMPRODUCT($B$99:$B$104,BI99:BI104))/12</f>
        <v>0</v>
      </c>
      <c r="BJ81" s="369" t="n">
        <f aca="false">(SUMPRODUCT($B$49:$B$58,BJ49:BJ58)+SUMPRODUCT($B$61:$B$68,BJ61:BJ68)+SUMPRODUCT($B$71:$B$74,BJ71:BJ74)+SUMPRODUCT($B$77:$B$78,BJ77:BJ78)+SUMPRODUCT($B$99:$B$104,BJ99:BJ104))/12</f>
        <v>0</v>
      </c>
      <c r="BK81" s="369" t="n">
        <f aca="false">(SUMPRODUCT($B$49:$B$58,BK49:BK58)+SUMPRODUCT($B$61:$B$68,BK61:BK68)+SUMPRODUCT($B$71:$B$74,BK71:BK74)+SUMPRODUCT($B$77:$B$78,BK77:BK78)+SUMPRODUCT($B$99:$B$104,BK99:BK104))/12</f>
        <v>0</v>
      </c>
      <c r="BL81" s="369" t="n">
        <f aca="false">(SUMPRODUCT($B$49:$B$58,BL49:BL58)+SUMPRODUCT($B$61:$B$68,BL61:BL68)+SUMPRODUCT($B$71:$B$74,BL71:BL74)+SUMPRODUCT($B$77:$B$78,BL77:BL78)+SUMPRODUCT($B$99:$B$104,BL99:BL104))/12</f>
        <v>0</v>
      </c>
      <c r="BM81" s="369" t="n">
        <f aca="false">(SUMPRODUCT($B$49:$B$58,BM49:BM58)+SUMPRODUCT($B$61:$B$68,BM61:BM68)+SUMPRODUCT($B$71:$B$74,BM71:BM74)+SUMPRODUCT($B$77:$B$78,BM77:BM78)+SUMPRODUCT($B$99:$B$104,BM99:BM104))/12</f>
        <v>0</v>
      </c>
      <c r="BN81" s="369" t="n">
        <f aca="false">(SUMPRODUCT($B$49:$B$58,BN49:BN58)+SUMPRODUCT($B$61:$B$68,BN61:BN68)+SUMPRODUCT($B$71:$B$74,BN71:BN74)+SUMPRODUCT($B$77:$B$78,BN77:BN78)+SUMPRODUCT($B$99:$B$104,BN99:BN104))/12</f>
        <v>0</v>
      </c>
      <c r="BO81" s="369" t="n">
        <f aca="false">(SUMPRODUCT($B$49:$B$58,BO49:BO58)+SUMPRODUCT($B$61:$B$68,BO61:BO68)+SUMPRODUCT($B$71:$B$74,BO71:BO74)+SUMPRODUCT($B$77:$B$78,BO77:BO78)+SUMPRODUCT($B$99:$B$104,BO99:BO104))/12</f>
        <v>0</v>
      </c>
      <c r="BP81" s="369" t="n">
        <f aca="false">(SUMPRODUCT($B$49:$B$58,BP49:BP58)+SUMPRODUCT($B$61:$B$68,BP61:BP68)+SUMPRODUCT($B$71:$B$74,BP71:BP74)+SUMPRODUCT($B$77:$B$78,BP77:BP78)+SUMPRODUCT($B$99:$B$104,BP99:BP104))/12</f>
        <v>0</v>
      </c>
      <c r="BQ81" s="369" t="n">
        <f aca="false">(SUMPRODUCT($B$49:$B$58,BQ49:BQ58)+SUMPRODUCT($B$61:$B$68,BQ61:BQ68)+SUMPRODUCT($B$71:$B$74,BQ71:BQ74)+SUMPRODUCT($B$77:$B$78,BQ77:BQ78)+SUMPRODUCT($B$99:$B$104,BQ99:BQ104))/12</f>
        <v>0</v>
      </c>
      <c r="BR81" s="369" t="n">
        <f aca="false">(SUMPRODUCT($B$49:$B$58,BR49:BR58)+SUMPRODUCT($B$61:$B$68,BR61:BR68)+SUMPRODUCT($B$71:$B$74,BR71:BR74)+SUMPRODUCT($B$77:$B$78,BR77:BR78)+SUMPRODUCT($B$99:$B$104,BR99:BR104))/12</f>
        <v>0</v>
      </c>
      <c r="BS81" s="369" t="n">
        <f aca="false">(SUMPRODUCT($B$49:$B$58,BS49:BS58)+SUMPRODUCT($B$61:$B$68,BS61:BS68)+SUMPRODUCT($B$71:$B$74,BS71:BS74)+SUMPRODUCT($B$77:$B$78,BS77:BS78)+SUMPRODUCT($B$99:$B$104,BS99:BS104))/12</f>
        <v>0</v>
      </c>
      <c r="BT81" s="369" t="n">
        <f aca="false">(SUMPRODUCT($B$49:$B$58,BT49:BT58)+SUMPRODUCT($B$61:$B$68,BT61:BT68)+SUMPRODUCT($B$71:$B$74,BT71:BT74)+SUMPRODUCT($B$77:$B$78,BT77:BT78)+SUMPRODUCT($B$99:$B$104,BT99:BT104))/12</f>
        <v>0</v>
      </c>
      <c r="BU81" s="369" t="n">
        <f aca="false">(SUMPRODUCT($B$49:$B$58,BU49:BU58)+SUMPRODUCT($B$61:$B$68,BU61:BU68)+SUMPRODUCT($B$71:$B$74,BU71:BU74)+SUMPRODUCT($B$77:$B$78,BU77:BU78)+SUMPRODUCT($B$99:$B$104,BU99:BU104))/12</f>
        <v>0</v>
      </c>
      <c r="BV81" s="369" t="n">
        <f aca="false">(SUMPRODUCT($B$49:$B$58,BV49:BV58)+SUMPRODUCT($B$61:$B$68,BV61:BV68)+SUMPRODUCT($B$71:$B$74,BV71:BV74)+SUMPRODUCT($B$77:$B$78,BV77:BV78)+SUMPRODUCT($B$99:$B$104,BV99:BV104))/12</f>
        <v>0</v>
      </c>
      <c r="BW81" s="369" t="n">
        <f aca="false">(SUMPRODUCT($B$49:$B$58,BW49:BW58)+SUMPRODUCT($B$61:$B$68,BW61:BW68)+SUMPRODUCT($B$71:$B$74,BW71:BW74)+SUMPRODUCT($B$77:$B$78,BW77:BW78)+SUMPRODUCT($B$99:$B$104,BW99:BW104))/12</f>
        <v>0</v>
      </c>
      <c r="BX81" s="369" t="n">
        <f aca="false">(SUMPRODUCT($B$49:$B$58,BX49:BX58)+SUMPRODUCT($B$61:$B$68,BX61:BX68)+SUMPRODUCT($B$71:$B$74,BX71:BX74)+SUMPRODUCT($B$77:$B$78,BX77:BX78)+SUMPRODUCT($B$99:$B$104,BX99:BX104))/12</f>
        <v>0</v>
      </c>
      <c r="BY81" s="369" t="n">
        <f aca="false">(SUMPRODUCT($B$49:$B$58,BY49:BY58)+SUMPRODUCT($B$61:$B$68,BY61:BY68)+SUMPRODUCT($B$71:$B$74,BY71:BY74)+SUMPRODUCT($B$77:$B$78,BY77:BY78)+SUMPRODUCT($B$99:$B$104,BY99:BY104))/12</f>
        <v>0</v>
      </c>
      <c r="BZ81" s="369" t="n">
        <f aca="false">(SUMPRODUCT($B$49:$B$58,BZ49:BZ58)+SUMPRODUCT($B$61:$B$68,BZ61:BZ68)+SUMPRODUCT($B$71:$B$74,BZ71:BZ74)+SUMPRODUCT($B$77:$B$78,BZ77:BZ78)+SUMPRODUCT($B$99:$B$104,BZ99:BZ104))/12</f>
        <v>0</v>
      </c>
      <c r="CA81" s="369" t="n">
        <f aca="false">(SUMPRODUCT($B$49:$B$58,CA49:CA58)+SUMPRODUCT($B$61:$B$68,CA61:CA68)+SUMPRODUCT($B$71:$B$74,CA71:CA74)+SUMPRODUCT($B$77:$B$78,CA77:CA78)+SUMPRODUCT($B$99:$B$104,CA99:CA104))/12</f>
        <v>0</v>
      </c>
      <c r="CB81" s="369" t="n">
        <f aca="false">(SUMPRODUCT($B$49:$B$58,CB49:CB58)+SUMPRODUCT($B$61:$B$68,CB61:CB68)+SUMPRODUCT($B$71:$B$74,CB71:CB74)+SUMPRODUCT($B$77:$B$78,CB77:CB78)+SUMPRODUCT($B$99:$B$104,CB99:CB104))/12</f>
        <v>0</v>
      </c>
      <c r="CC81" s="369" t="n">
        <f aca="false">(SUMPRODUCT($B$49:$B$58,CC49:CC58)+SUMPRODUCT($B$61:$B$68,CC61:CC68)+SUMPRODUCT($B$71:$B$74,CC71:CC74)+SUMPRODUCT($B$77:$B$78,CC77:CC78)+SUMPRODUCT($B$99:$B$104,CC99:CC104))/12</f>
        <v>0</v>
      </c>
      <c r="CD81" s="369" t="n">
        <f aca="false">(SUMPRODUCT($B$49:$B$58,CD49:CD58)+SUMPRODUCT($B$61:$B$68,CD61:CD68)+SUMPRODUCT($B$71:$B$74,CD71:CD74)+SUMPRODUCT($B$77:$B$78,CD77:CD78)+SUMPRODUCT($B$99:$B$104,CD99:CD104))/12</f>
        <v>0</v>
      </c>
      <c r="CE81" s="369" t="n">
        <f aca="false">(SUMPRODUCT($B$49:$B$58,CE49:CE58)+SUMPRODUCT($B$61:$B$68,CE61:CE68)+SUMPRODUCT($B$71:$B$74,CE71:CE74)+SUMPRODUCT($B$77:$B$78,CE77:CE78)+SUMPRODUCT($B$99:$B$104,CE99:CE104))/12</f>
        <v>0</v>
      </c>
      <c r="CF81" s="369" t="n">
        <f aca="false">(SUMPRODUCT($B$49:$B$58,CF49:CF58)+SUMPRODUCT($B$61:$B$68,CF61:CF68)+SUMPRODUCT($B$71:$B$74,CF71:CF74)+SUMPRODUCT($B$77:$B$78,CF77:CF78)+SUMPRODUCT($B$99:$B$104,CF99:CF104))/12</f>
        <v>0</v>
      </c>
      <c r="CG81" s="369" t="n">
        <f aca="false">(SUMPRODUCT($B$49:$B$58,CG49:CG58)+SUMPRODUCT($B$61:$B$68,CG61:CG68)+SUMPRODUCT($B$71:$B$74,CG71:CG74)+SUMPRODUCT($B$77:$B$78,CG77:CG78)+SUMPRODUCT($B$99:$B$104,CG99:CG104))/12</f>
        <v>0</v>
      </c>
      <c r="CH81" s="369" t="n">
        <f aca="false">(SUMPRODUCT($B$49:$B$58,CH49:CH58)+SUMPRODUCT($B$61:$B$68,CH61:CH68)+SUMPRODUCT($B$71:$B$74,CH71:CH74)+SUMPRODUCT($B$77:$B$78,CH77:CH78)+SUMPRODUCT($B$99:$B$104,CH99:CH104))/12</f>
        <v>0</v>
      </c>
      <c r="CI81" s="369" t="n">
        <f aca="false">(SUMPRODUCT($B$49:$B$58,CI49:CI58)+SUMPRODUCT($B$61:$B$68,CI61:CI68)+SUMPRODUCT($B$71:$B$74,CI71:CI74)+SUMPRODUCT($B$77:$B$78,CI77:CI78)+SUMPRODUCT($B$99:$B$104,CI99:CI104))/12</f>
        <v>0</v>
      </c>
      <c r="CJ81" s="369" t="n">
        <f aca="false">(SUMPRODUCT($B$49:$B$58,CJ49:CJ58)+SUMPRODUCT($B$61:$B$68,CJ61:CJ68)+SUMPRODUCT($B$71:$B$74,CJ71:CJ74)+SUMPRODUCT($B$77:$B$78,CJ77:CJ78)+SUMPRODUCT($B$99:$B$104,CJ99:CJ104))/12</f>
        <v>0</v>
      </c>
      <c r="CK81" s="369" t="n">
        <f aca="false">(SUMPRODUCT($B$49:$B$58,CK49:CK58)+SUMPRODUCT($B$61:$B$68,CK61:CK68)+SUMPRODUCT($B$71:$B$74,CK71:CK74)+SUMPRODUCT($B$77:$B$78,CK77:CK78)+SUMPRODUCT($B$99:$B$104,CK99:CK104))/12</f>
        <v>0</v>
      </c>
      <c r="CL81" s="369" t="n">
        <f aca="false">(SUMPRODUCT($B$49:$B$58,CL49:CL58)+SUMPRODUCT($B$61:$B$68,CL61:CL68)+SUMPRODUCT($B$71:$B$74,CL71:CL74)+SUMPRODUCT($B$77:$B$78,CL77:CL78)+SUMPRODUCT($B$99:$B$104,CL99:CL104))/12</f>
        <v>0</v>
      </c>
      <c r="CM81" s="369" t="n">
        <f aca="false">(SUMPRODUCT($B$49:$B$58,CM49:CM58)+SUMPRODUCT($B$61:$B$68,CM61:CM68)+SUMPRODUCT($B$71:$B$74,CM71:CM74)+SUMPRODUCT($B$77:$B$78,CM77:CM78)+SUMPRODUCT($B$99:$B$104,CM99:CM104))/12</f>
        <v>0</v>
      </c>
      <c r="CN81" s="369" t="n">
        <f aca="false">(SUMPRODUCT($B$49:$B$58,CN49:CN58)+SUMPRODUCT($B$61:$B$68,CN61:CN68)+SUMPRODUCT($B$71:$B$74,CN71:CN74)+SUMPRODUCT($B$77:$B$78,CN77:CN78)+SUMPRODUCT($B$99:$B$104,CN99:CN104))/12</f>
        <v>0</v>
      </c>
      <c r="CO81" s="369" t="n">
        <f aca="false">(SUMPRODUCT($B$49:$B$58,CO49:CO58)+SUMPRODUCT($B$61:$B$68,CO61:CO68)+SUMPRODUCT($B$71:$B$74,CO71:CO74)+SUMPRODUCT($B$77:$B$78,CO77:CO78)+SUMPRODUCT($B$99:$B$104,CO99:CO104))/12</f>
        <v>0</v>
      </c>
      <c r="CP81" s="369" t="n">
        <f aca="false">(SUMPRODUCT($B$49:$B$58,CP49:CP58)+SUMPRODUCT($B$61:$B$68,CP61:CP68)+SUMPRODUCT($B$71:$B$74,CP71:CP74)+SUMPRODUCT($B$77:$B$78,CP77:CP78)+SUMPRODUCT($B$99:$B$104,CP99:CP104))/12</f>
        <v>0</v>
      </c>
      <c r="CQ81" s="369" t="n">
        <f aca="false">(SUMPRODUCT($B$49:$B$58,CQ49:CQ58)+SUMPRODUCT($B$61:$B$68,CQ61:CQ68)+SUMPRODUCT($B$71:$B$74,CQ71:CQ74)+SUMPRODUCT($B$77:$B$78,CQ77:CQ78)+SUMPRODUCT($B$99:$B$104,CQ99:CQ104))/12</f>
        <v>0</v>
      </c>
      <c r="CR81" s="369" t="n">
        <f aca="false">(SUMPRODUCT($B$49:$B$58,CR49:CR58)+SUMPRODUCT($B$61:$B$68,CR61:CR68)+SUMPRODUCT($B$71:$B$74,CR71:CR74)+SUMPRODUCT($B$77:$B$78,CR77:CR78)+SUMPRODUCT($B$99:$B$104,CR99:CR104))/12</f>
        <v>0</v>
      </c>
      <c r="CS81" s="369" t="n">
        <f aca="false">(SUMPRODUCT($B$49:$B$58,CS49:CS58)+SUMPRODUCT($B$61:$B$68,CS61:CS68)+SUMPRODUCT($B$71:$B$74,CS71:CS74)+SUMPRODUCT($B$77:$B$78,CS77:CS78)+SUMPRODUCT($B$99:$B$104,CS99:CS104))/12</f>
        <v>0</v>
      </c>
      <c r="CT81" s="369" t="n">
        <f aca="false">(SUMPRODUCT($B$49:$B$58,CT49:CT58)+SUMPRODUCT($B$61:$B$68,CT61:CT68)+SUMPRODUCT($B$71:$B$74,CT71:CT74)+SUMPRODUCT($B$77:$B$78,CT77:CT78)+SUMPRODUCT($B$99:$B$104,CT99:CT104))/12</f>
        <v>0</v>
      </c>
      <c r="CU81" s="369" t="n">
        <f aca="false">(SUMPRODUCT($B$49:$B$58,CU49:CU58)+SUMPRODUCT($B$61:$B$68,CU61:CU68)+SUMPRODUCT($B$71:$B$74,CU71:CU74)+SUMPRODUCT($B$77:$B$78,CU77:CU78)+SUMPRODUCT($B$99:$B$104,CU99:CU104))/12</f>
        <v>0</v>
      </c>
      <c r="CV81" s="369" t="n">
        <f aca="false">(SUMPRODUCT($B$49:$B$58,CV49:CV58)+SUMPRODUCT($B$61:$B$68,CV61:CV68)+SUMPRODUCT($B$71:$B$74,CV71:CV74)+SUMPRODUCT($B$77:$B$78,CV77:CV78)+SUMPRODUCT($B$99:$B$104,CV99:CV104))/12</f>
        <v>0</v>
      </c>
      <c r="CW81" s="369" t="n">
        <f aca="false">(SUMPRODUCT($B$49:$B$58,CW49:CW58)+SUMPRODUCT($B$61:$B$68,CW61:CW68)+SUMPRODUCT($B$71:$B$74,CW71:CW74)+SUMPRODUCT($B$77:$B$78,CW77:CW78)+SUMPRODUCT($B$99:$B$104,CW99:CW104))/12</f>
        <v>0</v>
      </c>
      <c r="CX81" s="369" t="n">
        <f aca="false">(SUMPRODUCT($B$49:$B$58,CX49:CX58)+SUMPRODUCT($B$61:$B$68,CX61:CX68)+SUMPRODUCT($B$71:$B$74,CX71:CX74)+SUMPRODUCT($B$77:$B$78,CX77:CX78)+SUMPRODUCT($B$99:$B$104,CX99:CX104))/12</f>
        <v>0</v>
      </c>
      <c r="CY81" s="369" t="n">
        <f aca="false">(SUMPRODUCT($B$49:$B$58,CY49:CY58)+SUMPRODUCT($B$61:$B$68,CY61:CY68)+SUMPRODUCT($B$71:$B$74,CY71:CY74)+SUMPRODUCT($B$77:$B$78,CY77:CY78)+SUMPRODUCT($B$99:$B$104,CY99:CY104))/12</f>
        <v>0</v>
      </c>
      <c r="CZ81" s="369" t="n">
        <f aca="false">(SUMPRODUCT($B$49:$B$58,CZ49:CZ58)+SUMPRODUCT($B$61:$B$68,CZ61:CZ68)+SUMPRODUCT($B$71:$B$74,CZ71:CZ74)+SUMPRODUCT($B$77:$B$78,CZ77:CZ78)+SUMPRODUCT($B$99:$B$104,CZ99:CZ104))/12</f>
        <v>0</v>
      </c>
      <c r="DA81" s="369" t="n">
        <f aca="false">(SUMPRODUCT($B$49:$B$58,DA49:DA58)+SUMPRODUCT($B$61:$B$68,DA61:DA68)+SUMPRODUCT($B$71:$B$74,DA71:DA74)+SUMPRODUCT($B$77:$B$78,DA77:DA78)+SUMPRODUCT($B$99:$B$104,DA99:DA104))/12</f>
        <v>0</v>
      </c>
      <c r="DB81" s="369" t="n">
        <f aca="false">(SUMPRODUCT($B$49:$B$58,DB49:DB58)+SUMPRODUCT($B$61:$B$68,DB61:DB68)+SUMPRODUCT($B$71:$B$74,DB71:DB74)+SUMPRODUCT($B$77:$B$78,DB77:DB78)+SUMPRODUCT($B$99:$B$104,DB99:DB104))/12</f>
        <v>0</v>
      </c>
      <c r="DC81" s="369" t="n">
        <f aca="false">(SUMPRODUCT($B$49:$B$58,DC49:DC58)+SUMPRODUCT($B$61:$B$68,DC61:DC68)+SUMPRODUCT($B$71:$B$74,DC71:DC74)+SUMPRODUCT($B$77:$B$78,DC77:DC78)+SUMPRODUCT($B$99:$B$104,DC99:DC104))/12</f>
        <v>0</v>
      </c>
      <c r="DD81" s="369" t="n">
        <f aca="false">(SUMPRODUCT($B$49:$B$58,DD49:DD58)+SUMPRODUCT($B$61:$B$68,DD61:DD68)+SUMPRODUCT($B$71:$B$74,DD71:DD74)+SUMPRODUCT($B$77:$B$78,DD77:DD78)+SUMPRODUCT($B$99:$B$104,DD99:DD104))/12</f>
        <v>0</v>
      </c>
      <c r="DE81" s="369" t="n">
        <f aca="false">(SUMPRODUCT($B$49:$B$58,DE49:DE58)+SUMPRODUCT($B$61:$B$68,DE61:DE68)+SUMPRODUCT($B$71:$B$74,DE71:DE74)+SUMPRODUCT($B$77:$B$78,DE77:DE78)+SUMPRODUCT($B$99:$B$104,DE99:DE104))/12</f>
        <v>0</v>
      </c>
    </row>
    <row r="82" customFormat="false" ht="13.5" hidden="false" customHeight="true" outlineLevel="0" collapsed="false">
      <c r="A82" s="109" t="s">
        <v>1243</v>
      </c>
      <c r="E82" s="369" t="n">
        <v>0</v>
      </c>
      <c r="F82" s="369" t="n">
        <f aca="false">(SUMPRODUCT($B$49:$B$58,(F49:F58&gt;E49:E58)*1)+SUMPRODUCT($B$61:$B$68,(F61:F68&gt;E61:E68)*1)+SUMPRODUCT($B$71:$B$74,(F71:F74&gt;E71:E74)*1)+SUMPRODUCT($B$77:$B$78,(F77:F78&gt;E77:E78)*1)+SUMPRODUCT($B$99:$B$104,(F99:F104&gt;E99:E104)*1))*$B$21</f>
        <v>0</v>
      </c>
      <c r="G82" s="369" t="n">
        <f aca="false">(SUMPRODUCT($B$49:$B$58,(G49:G58&gt;F49:F58)*1)+SUMPRODUCT($B$61:$B$68,(G61:G68&gt;F61:F68)*1)+SUMPRODUCT($B$71:$B$74,(G71:G74&gt;F71:F74)*1)+SUMPRODUCT($B$77:$B$78,(G77:G78&gt;F77:F78)*1)+SUMPRODUCT($B$99:$B$104,(G99:G104&gt;F99:F104)*1))*$B$21</f>
        <v>0</v>
      </c>
      <c r="H82" s="369" t="n">
        <f aca="false">(SUMPRODUCT($B$49:$B$58,(H49:H58&gt;G49:G58)*1)+SUMPRODUCT($B$61:$B$68,(H61:H68&gt;G61:G68)*1)+SUMPRODUCT($B$71:$B$74,(H71:H74&gt;G71:G74)*1)+SUMPRODUCT($B$77:$B$78,(H77:H78&gt;G77:G78)*1)+SUMPRODUCT($B$99:$B$104,(H99:H104&gt;G99:G104)*1))*$B$21</f>
        <v>0</v>
      </c>
      <c r="I82" s="369" t="n">
        <f aca="false">(SUMPRODUCT($B$49:$B$58,(I49:I58&gt;H49:H58)*1)+SUMPRODUCT($B$61:$B$68,(I61:I68&gt;H61:H68)*1)+SUMPRODUCT($B$71:$B$74,(I71:I74&gt;H71:H74)*1)+SUMPRODUCT($B$77:$B$78,(I77:I78&gt;H77:H78)*1)+SUMPRODUCT($B$99:$B$104,(I99:I104&gt;H99:H104)*1))*$B$21</f>
        <v>0</v>
      </c>
      <c r="J82" s="369" t="n">
        <f aca="false">(SUMPRODUCT($B$49:$B$58,(J49:J58&gt;I49:I58)*1)+SUMPRODUCT($B$61:$B$68,(J61:J68&gt;I61:I68)*1)+SUMPRODUCT($B$71:$B$74,(J71:J74&gt;I71:I74)*1)+SUMPRODUCT($B$77:$B$78,(J77:J78&gt;I77:I78)*1)+SUMPRODUCT($B$99:$B$104,(J99:J104&gt;I99:I104)*1))*$B$21</f>
        <v>0</v>
      </c>
      <c r="K82" s="369" t="n">
        <f aca="false">(SUMPRODUCT($B$49:$B$58,(K49:K58&gt;J49:J58)*1)+SUMPRODUCT($B$61:$B$68,(K61:K68&gt;J61:J68)*1)+SUMPRODUCT($B$71:$B$74,(K71:K74&gt;J71:J74)*1)+SUMPRODUCT($B$77:$B$78,(K77:K78&gt;J77:J78)*1)+SUMPRODUCT($B$99:$B$104,(K99:K104&gt;J99:J104)*1))*$B$21</f>
        <v>0</v>
      </c>
      <c r="L82" s="369" t="n">
        <f aca="false">(SUMPRODUCT($B$49:$B$58,(L49:L58&gt;K49:K58)*1)+SUMPRODUCT($B$61:$B$68,(L61:L68&gt;K61:K68)*1)+SUMPRODUCT($B$71:$B$74,(L71:L74&gt;K71:K74)*1)+SUMPRODUCT($B$77:$B$78,(L77:L78&gt;K77:K78)*1)+SUMPRODUCT($B$99:$B$104,(L99:L104&gt;K99:K104)*1))*$B$21</f>
        <v>0</v>
      </c>
      <c r="M82" s="369" t="n">
        <f aca="false">(SUMPRODUCT($B$49:$B$58,(M49:M58&gt;L49:L58)*1)+SUMPRODUCT($B$61:$B$68,(M61:M68&gt;L61:L68)*1)+SUMPRODUCT($B$71:$B$74,(M71:M74&gt;L71:L74)*1)+SUMPRODUCT($B$77:$B$78,(M77:M78&gt;L77:L78)*1)+SUMPRODUCT($B$99:$B$104,(M99:M104&gt;L99:L104)*1))*$B$21</f>
        <v>12000</v>
      </c>
      <c r="N82" s="369" t="n">
        <f aca="false">(SUMPRODUCT($B$49:$B$58,(N49:N58&gt;M49:M58)*1)+SUMPRODUCT($B$61:$B$68,(N61:N68&gt;M61:M68)*1)+SUMPRODUCT($B$71:$B$74,(N71:N74&gt;M71:M74)*1)+SUMPRODUCT($B$77:$B$78,(N77:N78&gt;M77:M78)*1)+SUMPRODUCT($B$99:$B$104,(N99:N104&gt;M99:M104)*1))*$B$21</f>
        <v>0</v>
      </c>
      <c r="O82" s="369" t="n">
        <f aca="false">(SUMPRODUCT($B$49:$B$58,(O49:O58&gt;N49:N58)*1)+SUMPRODUCT($B$61:$B$68,(O61:O68&gt;N61:N68)*1)+SUMPRODUCT($B$71:$B$74,(O71:O74&gt;N71:N74)*1)+SUMPRODUCT($B$77:$B$78,(O77:O78&gt;N77:N78)*1)+SUMPRODUCT($B$99:$B$104,(O99:O104&gt;N99:N104)*1))*$B$21</f>
        <v>9375</v>
      </c>
      <c r="P82" s="369" t="n">
        <f aca="false">(SUMPRODUCT($B$49:$B$58,(P49:P58&gt;O49:O58)*1)+SUMPRODUCT($B$61:$B$68,(P61:P68&gt;O61:O68)*1)+SUMPRODUCT($B$71:$B$74,(P71:P74&gt;O71:O74)*1)+SUMPRODUCT($B$77:$B$78,(P77:P78&gt;O77:O78)*1)+SUMPRODUCT($B$99:$B$104,(P99:P104&gt;O99:O104)*1))*$B$21</f>
        <v>0</v>
      </c>
      <c r="Q82" s="369" t="n">
        <f aca="false">(SUMPRODUCT($B$49:$B$58,(Q49:Q58&gt;P49:P58)*1)+SUMPRODUCT($B$61:$B$68,(Q61:Q68&gt;P61:P68)*1)+SUMPRODUCT($B$71:$B$74,(Q71:Q74&gt;P71:P74)*1)+SUMPRODUCT($B$77:$B$78,(Q77:Q78&gt;P77:P78)*1)+SUMPRODUCT($B$99:$B$104,(Q99:Q104&gt;P99:P104)*1))*$B$21</f>
        <v>12000</v>
      </c>
      <c r="R82" s="369" t="n">
        <f aca="false">(SUMPRODUCT($B$49:$B$58,(R49:R58&gt;Q49:Q58)*1)+SUMPRODUCT($B$61:$B$68,(R61:R68&gt;Q61:Q68)*1)+SUMPRODUCT($B$71:$B$74,(R71:R74&gt;Q71:Q74)*1)+SUMPRODUCT($B$77:$B$78,(R77:R78&gt;Q77:Q78)*1)+SUMPRODUCT($B$99:$B$104,(R99:R104&gt;Q99:Q104)*1))*$B$21</f>
        <v>21375</v>
      </c>
      <c r="S82" s="369" t="n">
        <f aca="false">(SUMPRODUCT($B$49:$B$58,(S49:S58&gt;R49:R58)*1)+SUMPRODUCT($B$61:$B$68,(S61:S68&gt;R61:R68)*1)+SUMPRODUCT($B$71:$B$74,(S71:S74&gt;R71:R74)*1)+SUMPRODUCT($B$77:$B$78,(S77:S78&gt;R77:R78)*1)+SUMPRODUCT($B$99:$B$104,(S99:S104&gt;R99:R104)*1))*$B$21</f>
        <v>43125</v>
      </c>
      <c r="T82" s="369" t="n">
        <f aca="false">(SUMPRODUCT($B$49:$B$58,(T49:T58&gt;S49:S58)*1)+SUMPRODUCT($B$61:$B$68,(T61:T68&gt;S61:S68)*1)+SUMPRODUCT($B$71:$B$74,(T71:T74&gt;S71:S74)*1)+SUMPRODUCT($B$77:$B$78,(T77:T78&gt;S77:S78)*1)+SUMPRODUCT($B$99:$B$104,(T99:T104&gt;S99:S104)*1))*$B$21</f>
        <v>0</v>
      </c>
      <c r="U82" s="369" t="n">
        <f aca="false">(SUMPRODUCT($B$49:$B$58,(U49:U58&gt;T49:T58)*1)+SUMPRODUCT($B$61:$B$68,(U61:U68&gt;T61:T68)*1)+SUMPRODUCT($B$71:$B$74,(U71:U74&gt;T71:T74)*1)+SUMPRODUCT($B$77:$B$78,(U77:U78&gt;T77:T78)*1)+SUMPRODUCT($B$99:$B$104,(U99:U104&gt;T99:T104)*1))*$B$21</f>
        <v>0</v>
      </c>
      <c r="V82" s="369" t="n">
        <f aca="false">(SUMPRODUCT($B$49:$B$58,(V49:V58&gt;U49:U58)*1)+SUMPRODUCT($B$61:$B$68,(V61:V68&gt;U61:U68)*1)+SUMPRODUCT($B$71:$B$74,(V71:V74&gt;U71:U74)*1)+SUMPRODUCT($B$77:$B$78,(V77:V78&gt;U77:U78)*1)+SUMPRODUCT($B$99:$B$104,(V99:V104&gt;U99:U104)*1))*$B$21</f>
        <v>0</v>
      </c>
      <c r="W82" s="369" t="n">
        <f aca="false">(SUMPRODUCT($B$49:$B$58,(W49:W58&gt;V49:V58)*1)+SUMPRODUCT($B$61:$B$68,(W61:W68&gt;V61:V68)*1)+SUMPRODUCT($B$71:$B$74,(W71:W74&gt;V71:V74)*1)+SUMPRODUCT($B$77:$B$78,(W77:W78&gt;V77:V78)*1)+SUMPRODUCT($B$99:$B$104,(W99:W104&gt;V99:V104)*1))*$B$21</f>
        <v>42000</v>
      </c>
      <c r="X82" s="369" t="n">
        <f aca="false">(SUMPRODUCT($B$49:$B$58,(X49:X58&gt;W49:W58)*1)+SUMPRODUCT($B$61:$B$68,(X61:X68&gt;W61:W68)*1)+SUMPRODUCT($B$71:$B$74,(X71:X74&gt;W71:W74)*1)+SUMPRODUCT($B$77:$B$78,(X77:X78&gt;W77:W78)*1)+SUMPRODUCT($B$99:$B$104,(X99:X104&gt;W99:W104)*1))*$B$21</f>
        <v>0</v>
      </c>
      <c r="Y82" s="369" t="n">
        <f aca="false">(SUMPRODUCT($B$49:$B$58,(Y49:Y58&gt;X49:X58)*1)+SUMPRODUCT($B$61:$B$68,(Y61:Y68&gt;X61:X68)*1)+SUMPRODUCT($B$71:$B$74,(Y71:Y74&gt;X71:X74)*1)+SUMPRODUCT($B$77:$B$78,(Y77:Y78&gt;X77:X78)*1)+SUMPRODUCT($B$99:$B$104,(Y99:Y104&gt;X99:X104)*1))*$B$21</f>
        <v>0</v>
      </c>
      <c r="Z82" s="369" t="n">
        <f aca="false">(SUMPRODUCT($B$49:$B$58,(Z49:Z58&gt;Y49:Y58)*1)+SUMPRODUCT($B$61:$B$68,(Z61:Z68&gt;Y61:Y68)*1)+SUMPRODUCT($B$71:$B$74,(Z71:Z74&gt;Y71:Y74)*1)+SUMPRODUCT($B$77:$B$78,(Z77:Z78&gt;Y77:Y78)*1)+SUMPRODUCT($B$99:$B$104,(Z99:Z104&gt;Y99:Y104)*1))*$B$21</f>
        <v>0</v>
      </c>
      <c r="AA82" s="369" t="n">
        <f aca="false">(SUMPRODUCT($B$49:$B$58,(AA49:AA58&gt;Z49:Z58)*1)+SUMPRODUCT($B$61:$B$68,(AA61:AA68&gt;Z61:Z68)*1)+SUMPRODUCT($B$71:$B$74,(AA71:AA74&gt;Z71:Z74)*1)+SUMPRODUCT($B$77:$B$78,(AA77:AA78&gt;Z77:Z78)*1)+SUMPRODUCT($B$99:$B$104,(AA99:AA104&gt;Z99:Z104)*1))*$B$21</f>
        <v>0</v>
      </c>
      <c r="AB82" s="369" t="n">
        <f aca="false">(SUMPRODUCT($B$49:$B$58,(AB49:AB58&gt;AA49:AA58)*1)+SUMPRODUCT($B$61:$B$68,(AB61:AB68&gt;AA61:AA68)*1)+SUMPRODUCT($B$71:$B$74,(AB71:AB74&gt;AA71:AA74)*1)+SUMPRODUCT($B$77:$B$78,(AB77:AB78&gt;AA77:AA78)*1)+SUMPRODUCT($B$99:$B$104,(AB99:AB104&gt;AA99:AA104)*1))*$B$21</f>
        <v>0</v>
      </c>
      <c r="AC82" s="369" t="n">
        <f aca="false">(SUMPRODUCT($B$49:$B$58,(AC49:AC58&gt;AB49:AB58)*1)+SUMPRODUCT($B$61:$B$68,(AC61:AC68&gt;AB61:AB68)*1)+SUMPRODUCT($B$71:$B$74,(AC71:AC74&gt;AB71:AB74)*1)+SUMPRODUCT($B$77:$B$78,(AC77:AC78&gt;AB77:AB78)*1)+SUMPRODUCT($B$99:$B$104,(AC99:AC104&gt;AB99:AB104)*1))*$B$21</f>
        <v>0</v>
      </c>
      <c r="AD82" s="369" t="n">
        <f aca="false">(SUMPRODUCT($B$49:$B$58,(AD49:AD58&gt;AC49:AC58)*1)+SUMPRODUCT($B$61:$B$68,(AD61:AD68&gt;AC61:AC68)*1)+SUMPRODUCT($B$71:$B$74,(AD71:AD74&gt;AC71:AC74)*1)+SUMPRODUCT($B$77:$B$78,(AD77:AD78&gt;AC77:AC78)*1)+SUMPRODUCT($B$99:$B$104,(AD99:AD104&gt;AC99:AC104)*1))*$B$21</f>
        <v>0</v>
      </c>
      <c r="AE82" s="369" t="n">
        <f aca="false">(SUMPRODUCT($B$49:$B$58,(AE49:AE58&gt;AD49:AD58)*1)+SUMPRODUCT($B$61:$B$68,(AE61:AE68&gt;AD61:AD68)*1)+SUMPRODUCT($B$71:$B$74,(AE71:AE74&gt;AD71:AD74)*1)+SUMPRODUCT($B$77:$B$78,(AE77:AE78&gt;AD77:AD78)*1)+SUMPRODUCT($B$99:$B$104,(AE99:AE104&gt;AD99:AD104)*1))*$B$21</f>
        <v>0</v>
      </c>
      <c r="AF82" s="369" t="n">
        <f aca="false">(SUMPRODUCT($B$49:$B$58,(AF49:AF58&gt;AE49:AE58)*1)+SUMPRODUCT($B$61:$B$68,(AF61:AF68&gt;AE61:AE68)*1)+SUMPRODUCT($B$71:$B$74,(AF71:AF74&gt;AE71:AE74)*1)+SUMPRODUCT($B$77:$B$78,(AF77:AF78&gt;AE77:AE78)*1)+SUMPRODUCT($B$99:$B$104,(AF99:AF104&gt;AE99:AE104)*1))*$B$21</f>
        <v>0</v>
      </c>
      <c r="AG82" s="369" t="n">
        <f aca="false">(SUMPRODUCT($B$49:$B$58,(AG49:AG58&gt;AF49:AF58)*1)+SUMPRODUCT($B$61:$B$68,(AG61:AG68&gt;AF61:AF68)*1)+SUMPRODUCT($B$71:$B$74,(AG71:AG74&gt;AF71:AF74)*1)+SUMPRODUCT($B$77:$B$78,(AG77:AG78&gt;AF77:AF78)*1)+SUMPRODUCT($B$99:$B$104,(AG99:AG104&gt;AF99:AF104)*1))*$B$21</f>
        <v>0</v>
      </c>
      <c r="AH82" s="369" t="n">
        <f aca="false">(SUMPRODUCT($B$49:$B$58,(AH49:AH58&gt;AG49:AG58)*1)+SUMPRODUCT($B$61:$B$68,(AH61:AH68&gt;AG61:AG68)*1)+SUMPRODUCT($B$71:$B$74,(AH71:AH74&gt;AG71:AG74)*1)+SUMPRODUCT($B$77:$B$78,(AH77:AH78&gt;AG77:AG78)*1)+SUMPRODUCT($B$99:$B$104,(AH99:AH104&gt;AG99:AG104)*1))*$B$21</f>
        <v>0</v>
      </c>
      <c r="AI82" s="369" t="n">
        <f aca="false">(SUMPRODUCT($B$49:$B$58,(AI49:AI58&gt;AH49:AH58)*1)+SUMPRODUCT($B$61:$B$68,(AI61:AI68&gt;AH61:AH68)*1)+SUMPRODUCT($B$71:$B$74,(AI71:AI74&gt;AH71:AH74)*1)+SUMPRODUCT($B$77:$B$78,(AI77:AI78&gt;AH77:AH78)*1)+SUMPRODUCT($B$99:$B$104,(AI99:AI104&gt;AH99:AH104)*1))*$B$21</f>
        <v>0</v>
      </c>
      <c r="AJ82" s="369" t="n">
        <f aca="false">(SUMPRODUCT($B$49:$B$58,(AJ49:AJ58&gt;AI49:AI58)*1)+SUMPRODUCT($B$61:$B$68,(AJ61:AJ68&gt;AI61:AI68)*1)+SUMPRODUCT($B$71:$B$74,(AJ71:AJ74&gt;AI71:AI74)*1)+SUMPRODUCT($B$77:$B$78,(AJ77:AJ78&gt;AI77:AI78)*1)+SUMPRODUCT($B$99:$B$104,(AJ99:AJ104&gt;AI99:AI104)*1))*$B$21</f>
        <v>0</v>
      </c>
      <c r="AK82" s="369" t="n">
        <f aca="false">(SUMPRODUCT($B$49:$B$58,(AK49:AK58&gt;AJ49:AJ58)*1)+SUMPRODUCT($B$61:$B$68,(AK61:AK68&gt;AJ61:AJ68)*1)+SUMPRODUCT($B$71:$B$74,(AK71:AK74&gt;AJ71:AJ74)*1)+SUMPRODUCT($B$77:$B$78,(AK77:AK78&gt;AJ77:AJ78)*1)+SUMPRODUCT($B$99:$B$104,(AK99:AK104&gt;AJ99:AJ104)*1))*$B$21</f>
        <v>0</v>
      </c>
      <c r="AL82" s="369" t="n">
        <f aca="false">(SUMPRODUCT($B$49:$B$58,(AL49:AL58&gt;AK49:AK58)*1)+SUMPRODUCT($B$61:$B$68,(AL61:AL68&gt;AK61:AK68)*1)+SUMPRODUCT($B$71:$B$74,(AL71:AL74&gt;AK71:AK74)*1)+SUMPRODUCT($B$77:$B$78,(AL77:AL78&gt;AK77:AK78)*1)+SUMPRODUCT($B$99:$B$104,(AL99:AL104&gt;AK99:AK104)*1))*$B$21</f>
        <v>0</v>
      </c>
      <c r="AM82" s="369" t="n">
        <f aca="false">(SUMPRODUCT($B$49:$B$58,(AM49:AM58&gt;AL49:AL58)*1)+SUMPRODUCT($B$61:$B$68,(AM61:AM68&gt;AL61:AL68)*1)+SUMPRODUCT($B$71:$B$74,(AM71:AM74&gt;AL71:AL74)*1)+SUMPRODUCT($B$77:$B$78,(AM77:AM78&gt;AL77:AL78)*1)+SUMPRODUCT($B$99:$B$104,(AM99:AM104&gt;AL99:AL104)*1))*$B$21</f>
        <v>0</v>
      </c>
      <c r="AN82" s="369" t="n">
        <f aca="false">(SUMPRODUCT($B$49:$B$58,(AN49:AN58&gt;AM49:AM58)*1)+SUMPRODUCT($B$61:$B$68,(AN61:AN68&gt;AM61:AM68)*1)+SUMPRODUCT($B$71:$B$74,(AN71:AN74&gt;AM71:AM74)*1)+SUMPRODUCT($B$77:$B$78,(AN77:AN78&gt;AM77:AM78)*1)+SUMPRODUCT($B$99:$B$104,(AN99:AN104&gt;AM99:AM104)*1))*$B$21</f>
        <v>0</v>
      </c>
      <c r="AO82" s="369" t="n">
        <f aca="false">(SUMPRODUCT($B$49:$B$58,(AO49:AO58&gt;AN49:AN58)*1)+SUMPRODUCT($B$61:$B$68,(AO61:AO68&gt;AN61:AN68)*1)+SUMPRODUCT($B$71:$B$74,(AO71:AO74&gt;AN71:AN74)*1)+SUMPRODUCT($B$77:$B$78,(AO77:AO78&gt;AN77:AN78)*1)+SUMPRODUCT($B$99:$B$104,(AO99:AO104&gt;AN99:AN104)*1))*$B$21</f>
        <v>0</v>
      </c>
      <c r="AP82" s="369" t="n">
        <f aca="false">(SUMPRODUCT($B$49:$B$58,(AP49:AP58&gt;AO49:AO58)*1)+SUMPRODUCT($B$61:$B$68,(AP61:AP68&gt;AO61:AO68)*1)+SUMPRODUCT($B$71:$B$74,(AP71:AP74&gt;AO71:AO74)*1)+SUMPRODUCT($B$77:$B$78,(AP77:AP78&gt;AO77:AO78)*1)+SUMPRODUCT($B$99:$B$104,(AP99:AP104&gt;AO99:AO104)*1))*$B$21</f>
        <v>0</v>
      </c>
      <c r="AQ82" s="369" t="n">
        <f aca="false">(SUMPRODUCT($B$49:$B$58,(AQ49:AQ58&gt;AP49:AP58)*1)+SUMPRODUCT($B$61:$B$68,(AQ61:AQ68&gt;AP61:AP68)*1)+SUMPRODUCT($B$71:$B$74,(AQ71:AQ74&gt;AP71:AP74)*1)+SUMPRODUCT($B$77:$B$78,(AQ77:AQ78&gt;AP77:AP78)*1)+SUMPRODUCT($B$99:$B$104,(AQ99:AQ104&gt;AP99:AP104)*1))*$B$21</f>
        <v>0</v>
      </c>
      <c r="AR82" s="369" t="n">
        <f aca="false">(SUMPRODUCT($B$49:$B$58,(AR49:AR58&gt;AQ49:AQ58)*1)+SUMPRODUCT($B$61:$B$68,(AR61:AR68&gt;AQ61:AQ68)*1)+SUMPRODUCT($B$71:$B$74,(AR71:AR74&gt;AQ71:AQ74)*1)+SUMPRODUCT($B$77:$B$78,(AR77:AR78&gt;AQ77:AQ78)*1)+SUMPRODUCT($B$99:$B$104,(AR99:AR104&gt;AQ99:AQ104)*1))*$B$21</f>
        <v>0</v>
      </c>
      <c r="AS82" s="369" t="n">
        <f aca="false">(SUMPRODUCT($B$49:$B$58,(AS49:AS58&gt;AR49:AR58)*1)+SUMPRODUCT($B$61:$B$68,(AS61:AS68&gt;AR61:AR68)*1)+SUMPRODUCT($B$71:$B$74,(AS71:AS74&gt;AR71:AR74)*1)+SUMPRODUCT($B$77:$B$78,(AS77:AS78&gt;AR77:AR78)*1)+SUMPRODUCT($B$99:$B$104,(AS99:AS104&gt;AR99:AR104)*1))*$B$21</f>
        <v>0</v>
      </c>
      <c r="AT82" s="369" t="n">
        <f aca="false">(SUMPRODUCT($B$49:$B$58,(AT49:AT58&gt;AS49:AS58)*1)+SUMPRODUCT($B$61:$B$68,(AT61:AT68&gt;AS61:AS68)*1)+SUMPRODUCT($B$71:$B$74,(AT71:AT74&gt;AS71:AS74)*1)+SUMPRODUCT($B$77:$B$78,(AT77:AT78&gt;AS77:AS78)*1)+SUMPRODUCT($B$99:$B$104,(AT99:AT104&gt;AS99:AS104)*1))*$B$21</f>
        <v>0</v>
      </c>
      <c r="AU82" s="369" t="n">
        <f aca="false">(SUMPRODUCT($B$49:$B$58,(AU49:AU58&gt;AT49:AT58)*1)+SUMPRODUCT($B$61:$B$68,(AU61:AU68&gt;AT61:AT68)*1)+SUMPRODUCT($B$71:$B$74,(AU71:AU74&gt;AT71:AT74)*1)+SUMPRODUCT($B$77:$B$78,(AU77:AU78&gt;AT77:AT78)*1)+SUMPRODUCT($B$99:$B$104,(AU99:AU104&gt;AT99:AT104)*1))*$B$21</f>
        <v>0</v>
      </c>
      <c r="AV82" s="369" t="n">
        <f aca="false">(SUMPRODUCT($B$49:$B$58,(AV49:AV58&gt;AU49:AU58)*1)+SUMPRODUCT($B$61:$B$68,(AV61:AV68&gt;AU61:AU68)*1)+SUMPRODUCT($B$71:$B$74,(AV71:AV74&gt;AU71:AU74)*1)+SUMPRODUCT($B$77:$B$78,(AV77:AV78&gt;AU77:AU78)*1)+SUMPRODUCT($B$99:$B$104,(AV99:AV104&gt;AU99:AU104)*1))*$B$21</f>
        <v>0</v>
      </c>
      <c r="AW82" s="369" t="n">
        <f aca="false">(SUMPRODUCT($B$49:$B$58,(AW49:AW58&gt;AV49:AV58)*1)+SUMPRODUCT($B$61:$B$68,(AW61:AW68&gt;AV61:AV68)*1)+SUMPRODUCT($B$71:$B$74,(AW71:AW74&gt;AV71:AV74)*1)+SUMPRODUCT($B$77:$B$78,(AW77:AW78&gt;AV77:AV78)*1)+SUMPRODUCT($B$99:$B$104,(AW99:AW104&gt;AV99:AV104)*1))*$B$21</f>
        <v>0</v>
      </c>
      <c r="AX82" s="369" t="n">
        <f aca="false">(SUMPRODUCT($B$49:$B$58,(AX49:AX58&gt;AW49:AW58)*1)+SUMPRODUCT($B$61:$B$68,(AX61:AX68&gt;AW61:AW68)*1)+SUMPRODUCT($B$71:$B$74,(AX71:AX74&gt;AW71:AW74)*1)+SUMPRODUCT($B$77:$B$78,(AX77:AX78&gt;AW77:AW78)*1)+SUMPRODUCT($B$99:$B$104,(AX99:AX104&gt;AW99:AW104)*1))*$B$21</f>
        <v>0</v>
      </c>
      <c r="AY82" s="369" t="n">
        <f aca="false">(SUMPRODUCT($B$49:$B$58,(AY49:AY58&gt;AX49:AX58)*1)+SUMPRODUCT($B$61:$B$68,(AY61:AY68&gt;AX61:AX68)*1)+SUMPRODUCT($B$71:$B$74,(AY71:AY74&gt;AX71:AX74)*1)+SUMPRODUCT($B$77:$B$78,(AY77:AY78&gt;AX77:AX78)*1)+SUMPRODUCT($B$99:$B$104,(AY99:AY104&gt;AX99:AX104)*1))*$B$21</f>
        <v>0</v>
      </c>
      <c r="AZ82" s="369" t="n">
        <f aca="false">(SUMPRODUCT($B$49:$B$58,(AZ49:AZ58&gt;AY49:AY58)*1)+SUMPRODUCT($B$61:$B$68,(AZ61:AZ68&gt;AY61:AY68)*1)+SUMPRODUCT($B$71:$B$74,(AZ71:AZ74&gt;AY71:AY74)*1)+SUMPRODUCT($B$77:$B$78,(AZ77:AZ78&gt;AY77:AY78)*1)+SUMPRODUCT($B$99:$B$104,(AZ99:AZ104&gt;AY99:AY104)*1))*$B$21</f>
        <v>0</v>
      </c>
      <c r="BA82" s="369" t="n">
        <f aca="false">(SUMPRODUCT($B$49:$B$58,(BA49:BA58&gt;AZ49:AZ58)*1)+SUMPRODUCT($B$61:$B$68,(BA61:BA68&gt;AZ61:AZ68)*1)+SUMPRODUCT($B$71:$B$74,(BA71:BA74&gt;AZ71:AZ74)*1)+SUMPRODUCT($B$77:$B$78,(BA77:BA78&gt;AZ77:AZ78)*1)+SUMPRODUCT($B$99:$B$104,(BA99:BA104&gt;AZ99:AZ104)*1))*$B$21</f>
        <v>0</v>
      </c>
      <c r="BB82" s="369" t="n">
        <f aca="false">(SUMPRODUCT($B$49:$B$58,(BB49:BB58&gt;BA49:BA58)*1)+SUMPRODUCT($B$61:$B$68,(BB61:BB68&gt;BA61:BA68)*1)+SUMPRODUCT($B$71:$B$74,(BB71:BB74&gt;BA71:BA74)*1)+SUMPRODUCT($B$77:$B$78,(BB77:BB78&gt;BA77:BA78)*1)+SUMPRODUCT($B$99:$B$104,(BB99:BB104&gt;BA99:BA104)*1))*$B$21</f>
        <v>0</v>
      </c>
      <c r="BC82" s="369" t="n">
        <f aca="false">(SUMPRODUCT($B$49:$B$58,(BC49:BC58&gt;BB49:BB58)*1)+SUMPRODUCT($B$61:$B$68,(BC61:BC68&gt;BB61:BB68)*1)+SUMPRODUCT($B$71:$B$74,(BC71:BC74&gt;BB71:BB74)*1)+SUMPRODUCT($B$77:$B$78,(BC77:BC78&gt;BB77:BB78)*1)+SUMPRODUCT($B$99:$B$104,(BC99:BC104&gt;BB99:BB104)*1))*$B$21</f>
        <v>0</v>
      </c>
      <c r="BD82" s="369" t="n">
        <f aca="false">(SUMPRODUCT($B$49:$B$58,(BD49:BD58&gt;BC49:BC58)*1)+SUMPRODUCT($B$61:$B$68,(BD61:BD68&gt;BC61:BC68)*1)+SUMPRODUCT($B$71:$B$74,(BD71:BD74&gt;BC71:BC74)*1)+SUMPRODUCT($B$77:$B$78,(BD77:BD78&gt;BC77:BC78)*1)+SUMPRODUCT($B$99:$B$104,(BD99:BD104&gt;BC99:BC104)*1))*$B$21</f>
        <v>0</v>
      </c>
      <c r="BE82" s="369" t="n">
        <f aca="false">(SUMPRODUCT($B$49:$B$58,(BE49:BE58&gt;BD49:BD58)*1)+SUMPRODUCT($B$61:$B$68,(BE61:BE68&gt;BD61:BD68)*1)+SUMPRODUCT($B$71:$B$74,(BE71:BE74&gt;BD71:BD74)*1)+SUMPRODUCT($B$77:$B$78,(BE77:BE78&gt;BD77:BD78)*1)+SUMPRODUCT($B$99:$B$104,(BE99:BE104&gt;BD99:BD104)*1))*$B$21</f>
        <v>0</v>
      </c>
      <c r="BF82" s="369" t="n">
        <f aca="false">(SUMPRODUCT($B$49:$B$58,(BF49:BF58&gt;BE49:BE58)*1)+SUMPRODUCT($B$61:$B$68,(BF61:BF68&gt;BE61:BE68)*1)+SUMPRODUCT($B$71:$B$74,(BF71:BF74&gt;BE71:BE74)*1)+SUMPRODUCT($B$77:$B$78,(BF77:BF78&gt;BE77:BE78)*1)+SUMPRODUCT($B$99:$B$104,(BF99:BF104&gt;BE99:BE104)*1))*$B$21</f>
        <v>0</v>
      </c>
      <c r="BG82" s="369" t="n">
        <f aca="false">(SUMPRODUCT($B$49:$B$58,(BG49:BG58&gt;BF49:BF58)*1)+SUMPRODUCT($B$61:$B$68,(BG61:BG68&gt;BF61:BF68)*1)+SUMPRODUCT($B$71:$B$74,(BG71:BG74&gt;BF71:BF74)*1)+SUMPRODUCT($B$77:$B$78,(BG77:BG78&gt;BF77:BF78)*1)+SUMPRODUCT($B$99:$B$104,(BG99:BG104&gt;BF99:BF104)*1))*$B$21</f>
        <v>0</v>
      </c>
      <c r="BH82" s="369" t="n">
        <f aca="false">(SUMPRODUCT($B$49:$B$58,(BH49:BH58&gt;BG49:BG58)*1)+SUMPRODUCT($B$61:$B$68,(BH61:BH68&gt;BG61:BG68)*1)+SUMPRODUCT($B$71:$B$74,(BH71:BH74&gt;BG71:BG74)*1)+SUMPRODUCT($B$77:$B$78,(BH77:BH78&gt;BG77:BG78)*1)+SUMPRODUCT($B$99:$B$104,(BH99:BH104&gt;BG99:BG104)*1))*$B$21</f>
        <v>0</v>
      </c>
      <c r="BI82" s="369" t="n">
        <f aca="false">(SUMPRODUCT($B$49:$B$58,(BI49:BI58&gt;BH49:BH58)*1)+SUMPRODUCT($B$61:$B$68,(BI61:BI68&gt;BH61:BH68)*1)+SUMPRODUCT($B$71:$B$74,(BI71:BI74&gt;BH71:BH74)*1)+SUMPRODUCT($B$77:$B$78,(BI77:BI78&gt;BH77:BH78)*1)+SUMPRODUCT($B$99:$B$104,(BI99:BI104&gt;BH99:BH104)*1))*$B$21</f>
        <v>0</v>
      </c>
      <c r="BJ82" s="369" t="n">
        <f aca="false">(SUMPRODUCT($B$49:$B$58,(BJ49:BJ58&gt;BI49:BI58)*1)+SUMPRODUCT($B$61:$B$68,(BJ61:BJ68&gt;BI61:BI68)*1)+SUMPRODUCT($B$71:$B$74,(BJ71:BJ74&gt;BI71:BI74)*1)+SUMPRODUCT($B$77:$B$78,(BJ77:BJ78&gt;BI77:BI78)*1)+SUMPRODUCT($B$99:$B$104,(BJ99:BJ104&gt;BI99:BI104)*1))*$B$21</f>
        <v>0</v>
      </c>
      <c r="BK82" s="369" t="n">
        <f aca="false">(SUMPRODUCT($B$49:$B$58,(BK49:BK58&gt;BJ49:BJ58)*1)+SUMPRODUCT($B$61:$B$68,(BK61:BK68&gt;BJ61:BJ68)*1)+SUMPRODUCT($B$71:$B$74,(BK71:BK74&gt;BJ71:BJ74)*1)+SUMPRODUCT($B$77:$B$78,(BK77:BK78&gt;BJ77:BJ78)*1)+SUMPRODUCT($B$99:$B$104,(BK99:BK104&gt;BJ99:BJ104)*1))*$B$21</f>
        <v>0</v>
      </c>
      <c r="BL82" s="369" t="n">
        <f aca="false">(SUMPRODUCT($B$49:$B$58,(BL49:BL58&gt;BK49:BK58)*1)+SUMPRODUCT($B$61:$B$68,(BL61:BL68&gt;BK61:BK68)*1)+SUMPRODUCT($B$71:$B$74,(BL71:BL74&gt;BK71:BK74)*1)+SUMPRODUCT($B$77:$B$78,(BL77:BL78&gt;BK77:BK78)*1)+SUMPRODUCT($B$99:$B$104,(BL99:BL104&gt;BK99:BK104)*1))*$B$21</f>
        <v>0</v>
      </c>
      <c r="BM82" s="369" t="n">
        <f aca="false">(SUMPRODUCT($B$49:$B$58,(BM49:BM58&gt;BL49:BL58)*1)+SUMPRODUCT($B$61:$B$68,(BM61:BM68&gt;BL61:BL68)*1)+SUMPRODUCT($B$71:$B$74,(BM71:BM74&gt;BL71:BL74)*1)+SUMPRODUCT($B$77:$B$78,(BM77:BM78&gt;BL77:BL78)*1)+SUMPRODUCT($B$99:$B$104,(BM99:BM104&gt;BL99:BL104)*1))*$B$21</f>
        <v>0</v>
      </c>
      <c r="BN82" s="369" t="n">
        <f aca="false">(SUMPRODUCT($B$49:$B$58,(BN49:BN58&gt;BM49:BM58)*1)+SUMPRODUCT($B$61:$B$68,(BN61:BN68&gt;BM61:BM68)*1)+SUMPRODUCT($B$71:$B$74,(BN71:BN74&gt;BM71:BM74)*1)+SUMPRODUCT($B$77:$B$78,(BN77:BN78&gt;BM77:BM78)*1)+SUMPRODUCT($B$99:$B$104,(BN99:BN104&gt;BM99:BM104)*1))*$B$21</f>
        <v>0</v>
      </c>
      <c r="BO82" s="369" t="n">
        <f aca="false">(SUMPRODUCT($B$49:$B$58,(BO49:BO58&gt;BN49:BN58)*1)+SUMPRODUCT($B$61:$B$68,(BO61:BO68&gt;BN61:BN68)*1)+SUMPRODUCT($B$71:$B$74,(BO71:BO74&gt;BN71:BN74)*1)+SUMPRODUCT($B$77:$B$78,(BO77:BO78&gt;BN77:BN78)*1)+SUMPRODUCT($B$99:$B$104,(BO99:BO104&gt;BN99:BN104)*1))*$B$21</f>
        <v>0</v>
      </c>
      <c r="BP82" s="369" t="n">
        <f aca="false">(SUMPRODUCT($B$49:$B$58,(BP49:BP58&gt;BO49:BO58)*1)+SUMPRODUCT($B$61:$B$68,(BP61:BP68&gt;BO61:BO68)*1)+SUMPRODUCT($B$71:$B$74,(BP71:BP74&gt;BO71:BO74)*1)+SUMPRODUCT($B$77:$B$78,(BP77:BP78&gt;BO77:BO78)*1)+SUMPRODUCT($B$99:$B$104,(BP99:BP104&gt;BO99:BO104)*1))*$B$21</f>
        <v>0</v>
      </c>
      <c r="BQ82" s="369" t="n">
        <f aca="false">(SUMPRODUCT($B$49:$B$58,(BQ49:BQ58&gt;BP49:BP58)*1)+SUMPRODUCT($B$61:$B$68,(BQ61:BQ68&gt;BP61:BP68)*1)+SUMPRODUCT($B$71:$B$74,(BQ71:BQ74&gt;BP71:BP74)*1)+SUMPRODUCT($B$77:$B$78,(BQ77:BQ78&gt;BP77:BP78)*1)+SUMPRODUCT($B$99:$B$104,(BQ99:BQ104&gt;BP99:BP104)*1))*$B$21</f>
        <v>0</v>
      </c>
      <c r="BR82" s="369" t="n">
        <f aca="false">(SUMPRODUCT($B$49:$B$58,(BR49:BR58&gt;BQ49:BQ58)*1)+SUMPRODUCT($B$61:$B$68,(BR61:BR68&gt;BQ61:BQ68)*1)+SUMPRODUCT($B$71:$B$74,(BR71:BR74&gt;BQ71:BQ74)*1)+SUMPRODUCT($B$77:$B$78,(BR77:BR78&gt;BQ77:BQ78)*1)+SUMPRODUCT($B$99:$B$104,(BR99:BR104&gt;BQ99:BQ104)*1))*$B$21</f>
        <v>0</v>
      </c>
      <c r="BS82" s="369" t="n">
        <f aca="false">(SUMPRODUCT($B$49:$B$58,(BS49:BS58&gt;BR49:BR58)*1)+SUMPRODUCT($B$61:$B$68,(BS61:BS68&gt;BR61:BR68)*1)+SUMPRODUCT($B$71:$B$74,(BS71:BS74&gt;BR71:BR74)*1)+SUMPRODUCT($B$77:$B$78,(BS77:BS78&gt;BR77:BR78)*1)+SUMPRODUCT($B$99:$B$104,(BS99:BS104&gt;BR99:BR104)*1))*$B$21</f>
        <v>0</v>
      </c>
      <c r="BT82" s="369" t="n">
        <f aca="false">(SUMPRODUCT($B$49:$B$58,(BT49:BT58&gt;BS49:BS58)*1)+SUMPRODUCT($B$61:$B$68,(BT61:BT68&gt;BS61:BS68)*1)+SUMPRODUCT($B$71:$B$74,(BT71:BT74&gt;BS71:BS74)*1)+SUMPRODUCT($B$77:$B$78,(BT77:BT78&gt;BS77:BS78)*1)+SUMPRODUCT($B$99:$B$104,(BT99:BT104&gt;BS99:BS104)*1))*$B$21</f>
        <v>0</v>
      </c>
      <c r="BU82" s="369" t="n">
        <f aca="false">(SUMPRODUCT($B$49:$B$58,(BU49:BU58&gt;BT49:BT58)*1)+SUMPRODUCT($B$61:$B$68,(BU61:BU68&gt;BT61:BT68)*1)+SUMPRODUCT($B$71:$B$74,(BU71:BU74&gt;BT71:BT74)*1)+SUMPRODUCT($B$77:$B$78,(BU77:BU78&gt;BT77:BT78)*1)+SUMPRODUCT($B$99:$B$104,(BU99:BU104&gt;BT99:BT104)*1))*$B$21</f>
        <v>0</v>
      </c>
      <c r="BV82" s="369" t="n">
        <f aca="false">(SUMPRODUCT($B$49:$B$58,(BV49:BV58&gt;BU49:BU58)*1)+SUMPRODUCT($B$61:$B$68,(BV61:BV68&gt;BU61:BU68)*1)+SUMPRODUCT($B$71:$B$74,(BV71:BV74&gt;BU71:BU74)*1)+SUMPRODUCT($B$77:$B$78,(BV77:BV78&gt;BU77:BU78)*1)+SUMPRODUCT($B$99:$B$104,(BV99:BV104&gt;BU99:BU104)*1))*$B$21</f>
        <v>0</v>
      </c>
      <c r="BW82" s="369" t="n">
        <f aca="false">(SUMPRODUCT($B$49:$B$58,(BW49:BW58&gt;BV49:BV58)*1)+SUMPRODUCT($B$61:$B$68,(BW61:BW68&gt;BV61:BV68)*1)+SUMPRODUCT($B$71:$B$74,(BW71:BW74&gt;BV71:BV74)*1)+SUMPRODUCT($B$77:$B$78,(BW77:BW78&gt;BV77:BV78)*1)+SUMPRODUCT($B$99:$B$104,(BW99:BW104&gt;BV99:BV104)*1))*$B$21</f>
        <v>0</v>
      </c>
      <c r="BX82" s="369" t="n">
        <f aca="false">(SUMPRODUCT($B$49:$B$58,(BX49:BX58&gt;BW49:BW58)*1)+SUMPRODUCT($B$61:$B$68,(BX61:BX68&gt;BW61:BW68)*1)+SUMPRODUCT($B$71:$B$74,(BX71:BX74&gt;BW71:BW74)*1)+SUMPRODUCT($B$77:$B$78,(BX77:BX78&gt;BW77:BW78)*1)+SUMPRODUCT($B$99:$B$104,(BX99:BX104&gt;BW99:BW104)*1))*$B$21</f>
        <v>0</v>
      </c>
      <c r="BY82" s="369" t="n">
        <f aca="false">(SUMPRODUCT($B$49:$B$58,(BY49:BY58&gt;BX49:BX58)*1)+SUMPRODUCT($B$61:$B$68,(BY61:BY68&gt;BX61:BX68)*1)+SUMPRODUCT($B$71:$B$74,(BY71:BY74&gt;BX71:BX74)*1)+SUMPRODUCT($B$77:$B$78,(BY77:BY78&gt;BX77:BX78)*1)+SUMPRODUCT($B$99:$B$104,(BY99:BY104&gt;BX99:BX104)*1))*$B$21</f>
        <v>0</v>
      </c>
      <c r="BZ82" s="369" t="n">
        <f aca="false">(SUMPRODUCT($B$49:$B$58,(BZ49:BZ58&gt;BY49:BY58)*1)+SUMPRODUCT($B$61:$B$68,(BZ61:BZ68&gt;BY61:BY68)*1)+SUMPRODUCT($B$71:$B$74,(BZ71:BZ74&gt;BY71:BY74)*1)+SUMPRODUCT($B$77:$B$78,(BZ77:BZ78&gt;BY77:BY78)*1)+SUMPRODUCT($B$99:$B$104,(BZ99:BZ104&gt;BY99:BY104)*1))*$B$21</f>
        <v>0</v>
      </c>
      <c r="CA82" s="369" t="n">
        <f aca="false">(SUMPRODUCT($B$49:$B$58,(CA49:CA58&gt;BZ49:BZ58)*1)+SUMPRODUCT($B$61:$B$68,(CA61:CA68&gt;BZ61:BZ68)*1)+SUMPRODUCT($B$71:$B$74,(CA71:CA74&gt;BZ71:BZ74)*1)+SUMPRODUCT($B$77:$B$78,(CA77:CA78&gt;BZ77:BZ78)*1)+SUMPRODUCT($B$99:$B$104,(CA99:CA104&gt;BZ99:BZ104)*1))*$B$21</f>
        <v>0</v>
      </c>
      <c r="CB82" s="369" t="n">
        <f aca="false">(SUMPRODUCT($B$49:$B$58,(CB49:CB58&gt;CA49:CA58)*1)+SUMPRODUCT($B$61:$B$68,(CB61:CB68&gt;CA61:CA68)*1)+SUMPRODUCT($B$71:$B$74,(CB71:CB74&gt;CA71:CA74)*1)+SUMPRODUCT($B$77:$B$78,(CB77:CB78&gt;CA77:CA78)*1)+SUMPRODUCT($B$99:$B$104,(CB99:CB104&gt;CA99:CA104)*1))*$B$21</f>
        <v>0</v>
      </c>
      <c r="CC82" s="369" t="n">
        <f aca="false">(SUMPRODUCT($B$49:$B$58,(CC49:CC58&gt;CB49:CB58)*1)+SUMPRODUCT($B$61:$B$68,(CC61:CC68&gt;CB61:CB68)*1)+SUMPRODUCT($B$71:$B$74,(CC71:CC74&gt;CB71:CB74)*1)+SUMPRODUCT($B$77:$B$78,(CC77:CC78&gt;CB77:CB78)*1)+SUMPRODUCT($B$99:$B$104,(CC99:CC104&gt;CB99:CB104)*1))*$B$21</f>
        <v>0</v>
      </c>
      <c r="CD82" s="369" t="n">
        <f aca="false">(SUMPRODUCT($B$49:$B$58,(CD49:CD58&gt;CC49:CC58)*1)+SUMPRODUCT($B$61:$B$68,(CD61:CD68&gt;CC61:CC68)*1)+SUMPRODUCT($B$71:$B$74,(CD71:CD74&gt;CC71:CC74)*1)+SUMPRODUCT($B$77:$B$78,(CD77:CD78&gt;CC77:CC78)*1)+SUMPRODUCT($B$99:$B$104,(CD99:CD104&gt;CC99:CC104)*1))*$B$21</f>
        <v>0</v>
      </c>
      <c r="CE82" s="369" t="n">
        <f aca="false">(SUMPRODUCT($B$49:$B$58,(CE49:CE58&gt;CD49:CD58)*1)+SUMPRODUCT($B$61:$B$68,(CE61:CE68&gt;CD61:CD68)*1)+SUMPRODUCT($B$71:$B$74,(CE71:CE74&gt;CD71:CD74)*1)+SUMPRODUCT($B$77:$B$78,(CE77:CE78&gt;CD77:CD78)*1)+SUMPRODUCT($B$99:$B$104,(CE99:CE104&gt;CD99:CD104)*1))*$B$21</f>
        <v>0</v>
      </c>
      <c r="CF82" s="369" t="n">
        <f aca="false">(SUMPRODUCT($B$49:$B$58,(CF49:CF58&gt;CE49:CE58)*1)+SUMPRODUCT($B$61:$B$68,(CF61:CF68&gt;CE61:CE68)*1)+SUMPRODUCT($B$71:$B$74,(CF71:CF74&gt;CE71:CE74)*1)+SUMPRODUCT($B$77:$B$78,(CF77:CF78&gt;CE77:CE78)*1)+SUMPRODUCT($B$99:$B$104,(CF99:CF104&gt;CE99:CE104)*1))*$B$21</f>
        <v>0</v>
      </c>
      <c r="CG82" s="369" t="n">
        <f aca="false">(SUMPRODUCT($B$49:$B$58,(CG49:CG58&gt;CF49:CF58)*1)+SUMPRODUCT($B$61:$B$68,(CG61:CG68&gt;CF61:CF68)*1)+SUMPRODUCT($B$71:$B$74,(CG71:CG74&gt;CF71:CF74)*1)+SUMPRODUCT($B$77:$B$78,(CG77:CG78&gt;CF77:CF78)*1)+SUMPRODUCT($B$99:$B$104,(CG99:CG104&gt;CF99:CF104)*1))*$B$21</f>
        <v>0</v>
      </c>
      <c r="CH82" s="369" t="n">
        <f aca="false">(SUMPRODUCT($B$49:$B$58,(CH49:CH58&gt;CG49:CG58)*1)+SUMPRODUCT($B$61:$B$68,(CH61:CH68&gt;CG61:CG68)*1)+SUMPRODUCT($B$71:$B$74,(CH71:CH74&gt;CG71:CG74)*1)+SUMPRODUCT($B$77:$B$78,(CH77:CH78&gt;CG77:CG78)*1)+SUMPRODUCT($B$99:$B$104,(CH99:CH104&gt;CG99:CG104)*1))*$B$21</f>
        <v>0</v>
      </c>
      <c r="CI82" s="369" t="n">
        <f aca="false">(SUMPRODUCT($B$49:$B$58,(CI49:CI58&gt;CH49:CH58)*1)+SUMPRODUCT($B$61:$B$68,(CI61:CI68&gt;CH61:CH68)*1)+SUMPRODUCT($B$71:$B$74,(CI71:CI74&gt;CH71:CH74)*1)+SUMPRODUCT($B$77:$B$78,(CI77:CI78&gt;CH77:CH78)*1)+SUMPRODUCT($B$99:$B$104,(CI99:CI104&gt;CH99:CH104)*1))*$B$21</f>
        <v>0</v>
      </c>
      <c r="CJ82" s="369" t="n">
        <f aca="false">(SUMPRODUCT($B$49:$B$58,(CJ49:CJ58&gt;CI49:CI58)*1)+SUMPRODUCT($B$61:$B$68,(CJ61:CJ68&gt;CI61:CI68)*1)+SUMPRODUCT($B$71:$B$74,(CJ71:CJ74&gt;CI71:CI74)*1)+SUMPRODUCT($B$77:$B$78,(CJ77:CJ78&gt;CI77:CI78)*1)+SUMPRODUCT($B$99:$B$104,(CJ99:CJ104&gt;CI99:CI104)*1))*$B$21</f>
        <v>0</v>
      </c>
      <c r="CK82" s="369" t="n">
        <f aca="false">(SUMPRODUCT($B$49:$B$58,(CK49:CK58&gt;CJ49:CJ58)*1)+SUMPRODUCT($B$61:$B$68,(CK61:CK68&gt;CJ61:CJ68)*1)+SUMPRODUCT($B$71:$B$74,(CK71:CK74&gt;CJ71:CJ74)*1)+SUMPRODUCT($B$77:$B$78,(CK77:CK78&gt;CJ77:CJ78)*1)+SUMPRODUCT($B$99:$B$104,(CK99:CK104&gt;CJ99:CJ104)*1))*$B$21</f>
        <v>0</v>
      </c>
      <c r="CL82" s="369" t="n">
        <f aca="false">(SUMPRODUCT($B$49:$B$58,(CL49:CL58&gt;CK49:CK58)*1)+SUMPRODUCT($B$61:$B$68,(CL61:CL68&gt;CK61:CK68)*1)+SUMPRODUCT($B$71:$B$74,(CL71:CL74&gt;CK71:CK74)*1)+SUMPRODUCT($B$77:$B$78,(CL77:CL78&gt;CK77:CK78)*1)+SUMPRODUCT($B$99:$B$104,(CL99:CL104&gt;CK99:CK104)*1))*$B$21</f>
        <v>0</v>
      </c>
      <c r="CM82" s="369" t="n">
        <f aca="false">(SUMPRODUCT($B$49:$B$58,(CM49:CM58&gt;CL49:CL58)*1)+SUMPRODUCT($B$61:$B$68,(CM61:CM68&gt;CL61:CL68)*1)+SUMPRODUCT($B$71:$B$74,(CM71:CM74&gt;CL71:CL74)*1)+SUMPRODUCT($B$77:$B$78,(CM77:CM78&gt;CL77:CL78)*1)+SUMPRODUCT($B$99:$B$104,(CM99:CM104&gt;CL99:CL104)*1))*$B$21</f>
        <v>0</v>
      </c>
      <c r="CN82" s="369" t="n">
        <f aca="false">(SUMPRODUCT($B$49:$B$58,(CN49:CN58&gt;CM49:CM58)*1)+SUMPRODUCT($B$61:$B$68,(CN61:CN68&gt;CM61:CM68)*1)+SUMPRODUCT($B$71:$B$74,(CN71:CN74&gt;CM71:CM74)*1)+SUMPRODUCT($B$77:$B$78,(CN77:CN78&gt;CM77:CM78)*1)+SUMPRODUCT($B$99:$B$104,(CN99:CN104&gt;CM99:CM104)*1))*$B$21</f>
        <v>0</v>
      </c>
      <c r="CO82" s="369" t="n">
        <f aca="false">(SUMPRODUCT($B$49:$B$58,(CO49:CO58&gt;CN49:CN58)*1)+SUMPRODUCT($B$61:$B$68,(CO61:CO68&gt;CN61:CN68)*1)+SUMPRODUCT($B$71:$B$74,(CO71:CO74&gt;CN71:CN74)*1)+SUMPRODUCT($B$77:$B$78,(CO77:CO78&gt;CN77:CN78)*1)+SUMPRODUCT($B$99:$B$104,(CO99:CO104&gt;CN99:CN104)*1))*$B$21</f>
        <v>0</v>
      </c>
      <c r="CP82" s="369" t="n">
        <f aca="false">(SUMPRODUCT($B$49:$B$58,(CP49:CP58&gt;CO49:CO58)*1)+SUMPRODUCT($B$61:$B$68,(CP61:CP68&gt;CO61:CO68)*1)+SUMPRODUCT($B$71:$B$74,(CP71:CP74&gt;CO71:CO74)*1)+SUMPRODUCT($B$77:$B$78,(CP77:CP78&gt;CO77:CO78)*1)+SUMPRODUCT($B$99:$B$104,(CP99:CP104&gt;CO99:CO104)*1))*$B$21</f>
        <v>0</v>
      </c>
      <c r="CQ82" s="369" t="n">
        <f aca="false">(SUMPRODUCT($B$49:$B$58,(CQ49:CQ58&gt;CP49:CP58)*1)+SUMPRODUCT($B$61:$B$68,(CQ61:CQ68&gt;CP61:CP68)*1)+SUMPRODUCT($B$71:$B$74,(CQ71:CQ74&gt;CP71:CP74)*1)+SUMPRODUCT($B$77:$B$78,(CQ77:CQ78&gt;CP77:CP78)*1)+SUMPRODUCT($B$99:$B$104,(CQ99:CQ104&gt;CP99:CP104)*1))*$B$21</f>
        <v>0</v>
      </c>
      <c r="CR82" s="369" t="n">
        <f aca="false">(SUMPRODUCT($B$49:$B$58,(CR49:CR58&gt;CQ49:CQ58)*1)+SUMPRODUCT($B$61:$B$68,(CR61:CR68&gt;CQ61:CQ68)*1)+SUMPRODUCT($B$71:$B$74,(CR71:CR74&gt;CQ71:CQ74)*1)+SUMPRODUCT($B$77:$B$78,(CR77:CR78&gt;CQ77:CQ78)*1)+SUMPRODUCT($B$99:$B$104,(CR99:CR104&gt;CQ99:CQ104)*1))*$B$21</f>
        <v>0</v>
      </c>
      <c r="CS82" s="369" t="n">
        <f aca="false">(SUMPRODUCT($B$49:$B$58,(CS49:CS58&gt;CR49:CR58)*1)+SUMPRODUCT($B$61:$B$68,(CS61:CS68&gt;CR61:CR68)*1)+SUMPRODUCT($B$71:$B$74,(CS71:CS74&gt;CR71:CR74)*1)+SUMPRODUCT($B$77:$B$78,(CS77:CS78&gt;CR77:CR78)*1)+SUMPRODUCT($B$99:$B$104,(CS99:CS104&gt;CR99:CR104)*1))*$B$21</f>
        <v>0</v>
      </c>
      <c r="CT82" s="369" t="n">
        <f aca="false">(SUMPRODUCT($B$49:$B$58,(CT49:CT58&gt;CS49:CS58)*1)+SUMPRODUCT($B$61:$B$68,(CT61:CT68&gt;CS61:CS68)*1)+SUMPRODUCT($B$71:$B$74,(CT71:CT74&gt;CS71:CS74)*1)+SUMPRODUCT($B$77:$B$78,(CT77:CT78&gt;CS77:CS78)*1)+SUMPRODUCT($B$99:$B$104,(CT99:CT104&gt;CS99:CS104)*1))*$B$21</f>
        <v>0</v>
      </c>
      <c r="CU82" s="369" t="n">
        <f aca="false">(SUMPRODUCT($B$49:$B$58,(CU49:CU58&gt;CT49:CT58)*1)+SUMPRODUCT($B$61:$B$68,(CU61:CU68&gt;CT61:CT68)*1)+SUMPRODUCT($B$71:$B$74,(CU71:CU74&gt;CT71:CT74)*1)+SUMPRODUCT($B$77:$B$78,(CU77:CU78&gt;CT77:CT78)*1)+SUMPRODUCT($B$99:$B$104,(CU99:CU104&gt;CT99:CT104)*1))*$B$21</f>
        <v>0</v>
      </c>
      <c r="CV82" s="369" t="n">
        <f aca="false">(SUMPRODUCT($B$49:$B$58,(CV49:CV58&gt;CU49:CU58)*1)+SUMPRODUCT($B$61:$B$68,(CV61:CV68&gt;CU61:CU68)*1)+SUMPRODUCT($B$71:$B$74,(CV71:CV74&gt;CU71:CU74)*1)+SUMPRODUCT($B$77:$B$78,(CV77:CV78&gt;CU77:CU78)*1)+SUMPRODUCT($B$99:$B$104,(CV99:CV104&gt;CU99:CU104)*1))*$B$21</f>
        <v>0</v>
      </c>
      <c r="CW82" s="369" t="n">
        <f aca="false">(SUMPRODUCT($B$49:$B$58,(CW49:CW58&gt;CV49:CV58)*1)+SUMPRODUCT($B$61:$B$68,(CW61:CW68&gt;CV61:CV68)*1)+SUMPRODUCT($B$71:$B$74,(CW71:CW74&gt;CV71:CV74)*1)+SUMPRODUCT($B$77:$B$78,(CW77:CW78&gt;CV77:CV78)*1)+SUMPRODUCT($B$99:$B$104,(CW99:CW104&gt;CV99:CV104)*1))*$B$21</f>
        <v>0</v>
      </c>
      <c r="CX82" s="369" t="n">
        <f aca="false">(SUMPRODUCT($B$49:$B$58,(CX49:CX58&gt;CW49:CW58)*1)+SUMPRODUCT($B$61:$B$68,(CX61:CX68&gt;CW61:CW68)*1)+SUMPRODUCT($B$71:$B$74,(CX71:CX74&gt;CW71:CW74)*1)+SUMPRODUCT($B$77:$B$78,(CX77:CX78&gt;CW77:CW78)*1)+SUMPRODUCT($B$99:$B$104,(CX99:CX104&gt;CW99:CW104)*1))*$B$21</f>
        <v>0</v>
      </c>
      <c r="CY82" s="369" t="n">
        <f aca="false">(SUMPRODUCT($B$49:$B$58,(CY49:CY58&gt;CX49:CX58)*1)+SUMPRODUCT($B$61:$B$68,(CY61:CY68&gt;CX61:CX68)*1)+SUMPRODUCT($B$71:$B$74,(CY71:CY74&gt;CX71:CX74)*1)+SUMPRODUCT($B$77:$B$78,(CY77:CY78&gt;CX77:CX78)*1)+SUMPRODUCT($B$99:$B$104,(CY99:CY104&gt;CX99:CX104)*1))*$B$21</f>
        <v>0</v>
      </c>
      <c r="CZ82" s="369" t="n">
        <f aca="false">(SUMPRODUCT($B$49:$B$58,(CZ49:CZ58&gt;CY49:CY58)*1)+SUMPRODUCT($B$61:$B$68,(CZ61:CZ68&gt;CY61:CY68)*1)+SUMPRODUCT($B$71:$B$74,(CZ71:CZ74&gt;CY71:CY74)*1)+SUMPRODUCT($B$77:$B$78,(CZ77:CZ78&gt;CY77:CY78)*1)+SUMPRODUCT($B$99:$B$104,(CZ99:CZ104&gt;CY99:CY104)*1))*$B$21</f>
        <v>0</v>
      </c>
      <c r="DA82" s="369" t="n">
        <f aca="false">(SUMPRODUCT($B$49:$B$58,(DA49:DA58&gt;CZ49:CZ58)*1)+SUMPRODUCT($B$61:$B$68,(DA61:DA68&gt;CZ61:CZ68)*1)+SUMPRODUCT($B$71:$B$74,(DA71:DA74&gt;CZ71:CZ74)*1)+SUMPRODUCT($B$77:$B$78,(DA77:DA78&gt;CZ77:CZ78)*1)+SUMPRODUCT($B$99:$B$104,(DA99:DA104&gt;CZ99:CZ104)*1))*$B$21</f>
        <v>0</v>
      </c>
      <c r="DB82" s="369" t="n">
        <f aca="false">(SUMPRODUCT($B$49:$B$58,(DB49:DB58&gt;DA49:DA58)*1)+SUMPRODUCT($B$61:$B$68,(DB61:DB68&gt;DA61:DA68)*1)+SUMPRODUCT($B$71:$B$74,(DB71:DB74&gt;DA71:DA74)*1)+SUMPRODUCT($B$77:$B$78,(DB77:DB78&gt;DA77:DA78)*1)+SUMPRODUCT($B$99:$B$104,(DB99:DB104&gt;DA99:DA104)*1))*$B$21</f>
        <v>0</v>
      </c>
      <c r="DC82" s="369" t="n">
        <f aca="false">(SUMPRODUCT($B$49:$B$58,(DC49:DC58&gt;DB49:DB58)*1)+SUMPRODUCT($B$61:$B$68,(DC61:DC68&gt;DB61:DB68)*1)+SUMPRODUCT($B$71:$B$74,(DC71:DC74&gt;DB71:DB74)*1)+SUMPRODUCT($B$77:$B$78,(DC77:DC78&gt;DB77:DB78)*1)+SUMPRODUCT($B$99:$B$104,(DC99:DC104&gt;DB99:DB104)*1))*$B$21</f>
        <v>0</v>
      </c>
      <c r="DD82" s="369" t="n">
        <f aca="false">(SUMPRODUCT($B$49:$B$58,(DD49:DD58&gt;DC49:DC58)*1)+SUMPRODUCT($B$61:$B$68,(DD61:DD68&gt;DC61:DC68)*1)+SUMPRODUCT($B$71:$B$74,(DD71:DD74&gt;DC71:DC74)*1)+SUMPRODUCT($B$77:$B$78,(DD77:DD78&gt;DC77:DC78)*1)+SUMPRODUCT($B$99:$B$104,(DD99:DD104&gt;DC99:DC104)*1))*$B$21</f>
        <v>0</v>
      </c>
      <c r="DE82" s="369"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09" t="s">
        <v>1244</v>
      </c>
      <c r="E83" s="369" t="n">
        <v>0</v>
      </c>
      <c r="F83" s="369" t="n">
        <f aca="false">(SUMPRODUCT($B$49:$B$58,(E49:E58&gt;F49:F58)*1)+SUMPRODUCT($B$61:$B$68,(E61:E68&gt;F61:F68)*1)+SUMPRODUCT($B$71:$B$74,(E71:E74&gt;F71:F74)*1)+SUMPRODUCT($B$77:$B$78,(E77:E78&gt;F77:F78)*1)+SUMPRODUCT($B$99:$B$104,(E99:E104&gt;F99:F104)*1))*$B$20/52</f>
        <v>0</v>
      </c>
      <c r="G83" s="369" t="n">
        <f aca="false">(SUMPRODUCT($B$49:$B$58,(F49:F58&gt;G49:G58)*1)+SUMPRODUCT($B$61:$B$68,(F61:F68&gt;G61:G68)*1)+SUMPRODUCT($B$71:$B$74,(F71:F74&gt;G71:G74)*1)+SUMPRODUCT($B$77:$B$78,(F77:F78&gt;G77:G78)*1)+SUMPRODUCT($B$99:$B$104,(F99:F104&gt;G99:G104)*1))*$B$20/52</f>
        <v>0</v>
      </c>
      <c r="H83" s="369" t="n">
        <f aca="false">(SUMPRODUCT($B$49:$B$58,(G49:G58&gt;H49:H58)*1)+SUMPRODUCT($B$61:$B$68,(G61:G68&gt;H61:H68)*1)+SUMPRODUCT($B$71:$B$74,(G71:G74&gt;H71:H74)*1)+SUMPRODUCT($B$77:$B$78,(G77:G78&gt;H77:H78)*1)+SUMPRODUCT($B$99:$B$104,(G99:G104&gt;H99:H104)*1))*$B$20/52</f>
        <v>0</v>
      </c>
      <c r="I83" s="369" t="n">
        <f aca="false">(SUMPRODUCT($B$49:$B$58,(H49:H58&gt;I49:I58)*1)+SUMPRODUCT($B$61:$B$68,(H61:H68&gt;I61:I68)*1)+SUMPRODUCT($B$71:$B$74,(H71:H74&gt;I71:I74)*1)+SUMPRODUCT($B$77:$B$78,(H77:H78&gt;I77:I78)*1)+SUMPRODUCT($B$99:$B$104,(H99:H104&gt;I99:I104)*1))*$B$20/52</f>
        <v>0</v>
      </c>
      <c r="J83" s="369" t="n">
        <f aca="false">(SUMPRODUCT($B$49:$B$58,(I49:I58&gt;J49:J58)*1)+SUMPRODUCT($B$61:$B$68,(I61:I68&gt;J61:J68)*1)+SUMPRODUCT($B$71:$B$74,(I71:I74&gt;J71:J74)*1)+SUMPRODUCT($B$77:$B$78,(I77:I78&gt;J77:J78)*1)+SUMPRODUCT($B$99:$B$104,(I99:I104&gt;J99:J104)*1))*$B$20/52</f>
        <v>0</v>
      </c>
      <c r="K83" s="369" t="n">
        <f aca="false">(SUMPRODUCT($B$49:$B$58,(J49:J58&gt;K49:K58)*1)+SUMPRODUCT($B$61:$B$68,(J61:J68&gt;K61:K68)*1)+SUMPRODUCT($B$71:$B$74,(J71:J74&gt;K71:K74)*1)+SUMPRODUCT($B$77:$B$78,(J77:J78&gt;K77:K78)*1)+SUMPRODUCT($B$99:$B$104,(J99:J104&gt;K99:K104)*1))*$B$20/52</f>
        <v>0</v>
      </c>
      <c r="L83" s="369" t="n">
        <f aca="false">(SUMPRODUCT($B$49:$B$58,(K49:K58&gt;L49:L58)*1)+SUMPRODUCT($B$61:$B$68,(K61:K68&gt;L61:L68)*1)+SUMPRODUCT($B$71:$B$74,(K71:K74&gt;L71:L74)*1)+SUMPRODUCT($B$77:$B$78,(K77:K78&gt;L77:L78)*1)+SUMPRODUCT($B$99:$B$104,(K99:K104&gt;L99:L104)*1))*$B$20/52</f>
        <v>0</v>
      </c>
      <c r="M83" s="369" t="n">
        <f aca="false">(SUMPRODUCT($B$49:$B$58,(L49:L58&gt;M49:M58)*1)+SUMPRODUCT($B$61:$B$68,(L61:L68&gt;M61:M68)*1)+SUMPRODUCT($B$71:$B$74,(L71:L74&gt;M71:M74)*1)+SUMPRODUCT($B$77:$B$78,(L77:L78&gt;M77:M78)*1)+SUMPRODUCT($B$99:$B$104,(L99:L104&gt;M99:M104)*1))*$B$20/52</f>
        <v>0</v>
      </c>
      <c r="N83" s="369" t="n">
        <f aca="false">(SUMPRODUCT($B$49:$B$58,(M49:M58&gt;N49:N58)*1)+SUMPRODUCT($B$61:$B$68,(M61:M68&gt;N61:N68)*1)+SUMPRODUCT($B$71:$B$74,(M71:M74&gt;N71:N74)*1)+SUMPRODUCT($B$77:$B$78,(M77:M78&gt;N77:N78)*1)+SUMPRODUCT($B$99:$B$104,(M99:M104&gt;N99:N104)*1))*$B$20/52</f>
        <v>0</v>
      </c>
      <c r="O83" s="369" t="n">
        <f aca="false">(SUMPRODUCT($B$49:$B$58,(N49:N58&gt;O49:O58)*1)+SUMPRODUCT($B$61:$B$68,(N61:N68&gt;O61:O68)*1)+SUMPRODUCT($B$71:$B$74,(N71:N74&gt;O71:O74)*1)+SUMPRODUCT($B$77:$B$78,(N77:N78&gt;O77:O78)*1)+SUMPRODUCT($B$99:$B$104,(N99:N104&gt;O99:O104)*1))*$B$20/52</f>
        <v>0</v>
      </c>
      <c r="P83" s="369" t="n">
        <f aca="false">(SUMPRODUCT($B$49:$B$58,(O49:O58&gt;P49:P58)*1)+SUMPRODUCT($B$61:$B$68,(O61:O68&gt;P61:P68)*1)+SUMPRODUCT($B$71:$B$74,(O71:O74&gt;P71:P74)*1)+SUMPRODUCT($B$77:$B$78,(O77:O78&gt;P77:P78)*1)+SUMPRODUCT($B$99:$B$104,(O99:O104&gt;P99:P104)*1))*$B$20/52</f>
        <v>0</v>
      </c>
      <c r="Q83" s="369" t="n">
        <f aca="false">(SUMPRODUCT($B$49:$B$58,(P49:P58&gt;Q49:Q58)*1)+SUMPRODUCT($B$61:$B$68,(P61:P68&gt;Q61:Q68)*1)+SUMPRODUCT($B$71:$B$74,(P71:P74&gt;Q71:Q74)*1)+SUMPRODUCT($B$77:$B$78,(P77:P78&gt;Q77:Q78)*1)+SUMPRODUCT($B$99:$B$104,(P99:P104&gt;Q99:Q104)*1))*$B$20/52</f>
        <v>0</v>
      </c>
      <c r="R83" s="369" t="n">
        <f aca="false">(SUMPRODUCT($B$49:$B$58,(Q49:Q58&gt;R49:R58)*1)+SUMPRODUCT($B$61:$B$68,(Q61:Q68&gt;R61:R68)*1)+SUMPRODUCT($B$71:$B$74,(Q71:Q74&gt;R71:R74)*1)+SUMPRODUCT($B$77:$B$78,(Q77:Q78&gt;R77:R78)*1)+SUMPRODUCT($B$99:$B$104,(Q99:Q104&gt;R99:R104)*1))*$B$20/52</f>
        <v>0</v>
      </c>
      <c r="S83" s="369" t="n">
        <f aca="false">(SUMPRODUCT($B$49:$B$58,(R49:R58&gt;S49:S58)*1)+SUMPRODUCT($B$61:$B$68,(R61:R68&gt;S61:S68)*1)+SUMPRODUCT($B$71:$B$74,(R71:R74&gt;S71:S74)*1)+SUMPRODUCT($B$77:$B$78,(R77:R78&gt;S77:S78)*1)+SUMPRODUCT($B$99:$B$104,(R99:R104&gt;S99:S104)*1))*$B$20/52</f>
        <v>0</v>
      </c>
      <c r="T83" s="369" t="n">
        <f aca="false">(SUMPRODUCT($B$49:$B$58,(S49:S58&gt;T49:T58)*1)+SUMPRODUCT($B$61:$B$68,(S61:S68&gt;T61:T68)*1)+SUMPRODUCT($B$71:$B$74,(S71:S74&gt;T71:T74)*1)+SUMPRODUCT($B$77:$B$78,(S77:S78&gt;T77:T78)*1)+SUMPRODUCT($B$99:$B$104,(S99:S104&gt;T99:T104)*1))*$B$20/52</f>
        <v>0</v>
      </c>
      <c r="U83" s="369" t="n">
        <f aca="false">(SUMPRODUCT($B$49:$B$58,(T49:T58&gt;U49:U58)*1)+SUMPRODUCT($B$61:$B$68,(T61:T68&gt;U61:U68)*1)+SUMPRODUCT($B$71:$B$74,(T71:T74&gt;U71:U74)*1)+SUMPRODUCT($B$77:$B$78,(T77:T78&gt;U77:U78)*1)+SUMPRODUCT($B$99:$B$104,(T99:T104&gt;U99:U104)*1))*$B$20/52</f>
        <v>0</v>
      </c>
      <c r="V83" s="369" t="n">
        <f aca="false">(SUMPRODUCT($B$49:$B$58,(U49:U58&gt;V49:V58)*1)+SUMPRODUCT($B$61:$B$68,(U61:U68&gt;V61:V68)*1)+SUMPRODUCT($B$71:$B$74,(U71:U74&gt;V71:V74)*1)+SUMPRODUCT($B$77:$B$78,(U77:U78&gt;V77:V78)*1)+SUMPRODUCT($B$99:$B$104,(U99:U104&gt;V99:V104)*1))*$B$20/52</f>
        <v>0</v>
      </c>
      <c r="W83" s="369" t="n">
        <f aca="false">(SUMPRODUCT($B$49:$B$58,(V49:V58&gt;W49:W58)*1)+SUMPRODUCT($B$61:$B$68,(V61:V68&gt;W61:W68)*1)+SUMPRODUCT($B$71:$B$74,(V71:V74&gt;W71:W74)*1)+SUMPRODUCT($B$77:$B$78,(V77:V78&gt;W77:W78)*1)+SUMPRODUCT($B$99:$B$104,(V99:V104&gt;W99:W104)*1))*$B$20/52</f>
        <v>0</v>
      </c>
      <c r="X83" s="369" t="n">
        <f aca="false">(SUMPRODUCT($B$49:$B$58,(W49:W58&gt;X49:X58)*1)+SUMPRODUCT($B$61:$B$68,(W61:W68&gt;X61:X68)*1)+SUMPRODUCT($B$71:$B$74,(W71:W74&gt;X71:X74)*1)+SUMPRODUCT($B$77:$B$78,(W77:W78&gt;X77:X78)*1)+SUMPRODUCT($B$99:$B$104,(W99:W104&gt;X99:X104)*1))*$B$20/52</f>
        <v>0</v>
      </c>
      <c r="Y83" s="369" t="n">
        <f aca="false">(SUMPRODUCT($B$49:$B$58,(X49:X58&gt;Y49:Y58)*1)+SUMPRODUCT($B$61:$B$68,(X61:X68&gt;Y61:Y68)*1)+SUMPRODUCT($B$71:$B$74,(X71:X74&gt;Y71:Y74)*1)+SUMPRODUCT($B$77:$B$78,(X77:X78&gt;Y77:Y78)*1)+SUMPRODUCT($B$99:$B$104,(X99:X104&gt;Y99:Y104)*1))*$B$20/52</f>
        <v>0</v>
      </c>
      <c r="Z83" s="369" t="n">
        <f aca="false">(SUMPRODUCT($B$49:$B$58,(Y49:Y58&gt;Z49:Z58)*1)+SUMPRODUCT($B$61:$B$68,(Y61:Y68&gt;Z61:Z68)*1)+SUMPRODUCT($B$71:$B$74,(Y71:Y74&gt;Z71:Z74)*1)+SUMPRODUCT($B$77:$B$78,(Y77:Y78&gt;Z77:Z78)*1)+SUMPRODUCT($B$99:$B$104,(Y99:Y104&gt;Z99:Z104)*1))*$B$20/52</f>
        <v>0</v>
      </c>
      <c r="AA83" s="369" t="n">
        <f aca="false">(SUMPRODUCT($B$49:$B$58,(Z49:Z58&gt;AA49:AA58)*1)+SUMPRODUCT($B$61:$B$68,(Z61:Z68&gt;AA61:AA68)*1)+SUMPRODUCT($B$71:$B$74,(Z71:Z74&gt;AA71:AA74)*1)+SUMPRODUCT($B$77:$B$78,(Z77:Z78&gt;AA77:AA78)*1)+SUMPRODUCT($B$99:$B$104,(Z99:Z104&gt;AA99:AA104)*1))*$B$20/52</f>
        <v>0</v>
      </c>
      <c r="AB83" s="369" t="n">
        <f aca="false">(SUMPRODUCT($B$49:$B$58,(AA49:AA58&gt;AB49:AB58)*1)+SUMPRODUCT($B$61:$B$68,(AA61:AA68&gt;AB61:AB68)*1)+SUMPRODUCT($B$71:$B$74,(AA71:AA74&gt;AB71:AB74)*1)+SUMPRODUCT($B$77:$B$78,(AA77:AA78&gt;AB77:AB78)*1)+SUMPRODUCT($B$99:$B$104,(AA99:AA104&gt;AB99:AB104)*1))*$B$20/52</f>
        <v>0</v>
      </c>
      <c r="AC83" s="369" t="n">
        <f aca="false">(SUMPRODUCT($B$49:$B$58,(AB49:AB58&gt;AC49:AC58)*1)+SUMPRODUCT($B$61:$B$68,(AB61:AB68&gt;AC61:AC68)*1)+SUMPRODUCT($B$71:$B$74,(AB71:AB74&gt;AC71:AC74)*1)+SUMPRODUCT($B$77:$B$78,(AB77:AB78&gt;AC77:AC78)*1)+SUMPRODUCT($B$99:$B$104,(AB99:AB104&gt;AC99:AC104)*1))*$B$20/52</f>
        <v>19615.3846153846</v>
      </c>
      <c r="AD83" s="369" t="n">
        <f aca="false">(SUMPRODUCT($B$49:$B$58,(AC49:AC58&gt;AD49:AD58)*1)+SUMPRODUCT($B$61:$B$68,(AC61:AC68&gt;AD61:AD68)*1)+SUMPRODUCT($B$71:$B$74,(AC71:AC74&gt;AD71:AD74)*1)+SUMPRODUCT($B$77:$B$78,(AC77:AC78&gt;AD77:AD78)*1)+SUMPRODUCT($B$99:$B$104,(AC99:AC104&gt;AD99:AD104)*1))*$B$20/52</f>
        <v>21923.0769230769</v>
      </c>
      <c r="AE83" s="369" t="n">
        <f aca="false">(SUMPRODUCT($B$49:$B$58,(AD49:AD58&gt;AE49:AE58)*1)+SUMPRODUCT($B$61:$B$68,(AD61:AD68&gt;AE61:AE68)*1)+SUMPRODUCT($B$71:$B$74,(AD71:AD74&gt;AE71:AE74)*1)+SUMPRODUCT($B$77:$B$78,(AD77:AD78&gt;AE77:AE78)*1)+SUMPRODUCT($B$99:$B$104,(AD99:AD104&gt;AE99:AE104)*1))*$B$20/52</f>
        <v>0</v>
      </c>
      <c r="AF83" s="369" t="n">
        <f aca="false">(SUMPRODUCT($B$49:$B$58,(AE49:AE58&gt;AF49:AF58)*1)+SUMPRODUCT($B$61:$B$68,(AE61:AE68&gt;AF61:AF68)*1)+SUMPRODUCT($B$71:$B$74,(AE71:AE74&gt;AF71:AF74)*1)+SUMPRODUCT($B$77:$B$78,(AE77:AE78&gt;AF77:AF78)*1)+SUMPRODUCT($B$99:$B$104,(AE99:AE104&gt;AF99:AF104)*1))*$B$20/52</f>
        <v>0</v>
      </c>
      <c r="AG83" s="369" t="n">
        <f aca="false">(SUMPRODUCT($B$49:$B$58,(AF49:AF58&gt;AG49:AG58)*1)+SUMPRODUCT($B$61:$B$68,(AF61:AF68&gt;AG61:AG68)*1)+SUMPRODUCT($B$71:$B$74,(AF71:AF74&gt;AG71:AG74)*1)+SUMPRODUCT($B$77:$B$78,(AF77:AF78&gt;AG77:AG78)*1)+SUMPRODUCT($B$99:$B$104,(AF99:AF104&gt;AG99:AG104)*1))*$B$20/52</f>
        <v>13846.1538461538</v>
      </c>
      <c r="AH83" s="369" t="n">
        <f aca="false">(SUMPRODUCT($B$49:$B$58,(AG49:AG58&gt;AH49:AH58)*1)+SUMPRODUCT($B$61:$B$68,(AG61:AG68&gt;AH61:AH68)*1)+SUMPRODUCT($B$71:$B$74,(AG71:AG74&gt;AH71:AH74)*1)+SUMPRODUCT($B$77:$B$78,(AG77:AG78&gt;AH77:AH78)*1)+SUMPRODUCT($B$99:$B$104,(AG99:AG104&gt;AH99:AH104)*1))*$B$20/52</f>
        <v>12307.6923076923</v>
      </c>
      <c r="AI83" s="369" t="n">
        <f aca="false">(SUMPRODUCT($B$49:$B$58,(AH49:AH58&gt;AI49:AI58)*1)+SUMPRODUCT($B$61:$B$68,(AH61:AH68&gt;AI61:AI68)*1)+SUMPRODUCT($B$71:$B$74,(AH71:AH74&gt;AI71:AI74)*1)+SUMPRODUCT($B$77:$B$78,(AH77:AH78&gt;AI77:AI78)*1)+SUMPRODUCT($B$99:$B$104,(AH99:AH104&gt;AI99:AI104)*1))*$B$20/52</f>
        <v>0</v>
      </c>
      <c r="AJ83" s="369" t="n">
        <f aca="false">(SUMPRODUCT($B$49:$B$58,(AI49:AI58&gt;AJ49:AJ58)*1)+SUMPRODUCT($B$61:$B$68,(AI61:AI68&gt;AJ61:AJ68)*1)+SUMPRODUCT($B$71:$B$74,(AI71:AI74&gt;AJ71:AJ74)*1)+SUMPRODUCT($B$77:$B$78,(AI77:AI78&gt;AJ77:AJ78)*1)+SUMPRODUCT($B$99:$B$104,(AI99:AI104&gt;AJ99:AJ104)*1))*$B$20/52</f>
        <v>0</v>
      </c>
      <c r="AK83" s="369" t="n">
        <f aca="false">(SUMPRODUCT($B$49:$B$58,(AJ49:AJ58&gt;AK49:AK58)*1)+SUMPRODUCT($B$61:$B$68,(AJ61:AJ68&gt;AK61:AK68)*1)+SUMPRODUCT($B$71:$B$74,(AJ71:AJ74&gt;AK71:AK74)*1)+SUMPRODUCT($B$77:$B$78,(AJ77:AJ78&gt;AK77:AK78)*1)+SUMPRODUCT($B$99:$B$104,(AJ99:AJ104&gt;AK99:AK104)*1))*$B$20/52</f>
        <v>0</v>
      </c>
      <c r="AL83" s="369" t="n">
        <f aca="false">(SUMPRODUCT($B$49:$B$58,(AK49:AK58&gt;AL49:AL58)*1)+SUMPRODUCT($B$61:$B$68,(AK61:AK68&gt;AL61:AL68)*1)+SUMPRODUCT($B$71:$B$74,(AK71:AK74&gt;AL71:AL74)*1)+SUMPRODUCT($B$77:$B$78,(AK77:AK78&gt;AL77:AL78)*1)+SUMPRODUCT($B$99:$B$104,(AK99:AK104&gt;AL99:AL104)*1))*$B$20/52</f>
        <v>0</v>
      </c>
      <c r="AM83" s="369" t="n">
        <f aca="false">(SUMPRODUCT($B$49:$B$58,(AL49:AL58&gt;AM49:AM58)*1)+SUMPRODUCT($B$61:$B$68,(AL61:AL68&gt;AM61:AM68)*1)+SUMPRODUCT($B$71:$B$74,(AL71:AL74&gt;AM71:AM74)*1)+SUMPRODUCT($B$77:$B$78,(AL77:AL78&gt;AM77:AM78)*1)+SUMPRODUCT($B$99:$B$104,(AL99:AL104&gt;AM99:AM104)*1))*$B$20/52</f>
        <v>24615.3846153846</v>
      </c>
      <c r="AN83" s="369" t="n">
        <f aca="false">(SUMPRODUCT($B$49:$B$58,(AM49:AM58&gt;AN49:AN58)*1)+SUMPRODUCT($B$61:$B$68,(AM61:AM68&gt;AN61:AN68)*1)+SUMPRODUCT($B$71:$B$74,(AM71:AM74&gt;AN71:AN74)*1)+SUMPRODUCT($B$77:$B$78,(AM77:AM78&gt;AN77:AN78)*1)+SUMPRODUCT($B$99:$B$104,(AM99:AM104&gt;AN99:AN104)*1))*$B$20/52</f>
        <v>9615.38461538462</v>
      </c>
      <c r="AO83" s="369" t="n">
        <f aca="false">(SUMPRODUCT($B$49:$B$58,(AN49:AN58&gt;AO49:AO58)*1)+SUMPRODUCT($B$61:$B$68,(AN61:AN68&gt;AO61:AO68)*1)+SUMPRODUCT($B$71:$B$74,(AN71:AN74&gt;AO71:AO74)*1)+SUMPRODUCT($B$77:$B$78,(AN77:AN78&gt;AO77:AO78)*1)+SUMPRODUCT($B$99:$B$104,(AN99:AN104&gt;AO99:AO104)*1))*$B$20/52</f>
        <v>22307.6923076923</v>
      </c>
      <c r="AP83" s="369" t="n">
        <f aca="false">(SUMPRODUCT($B$49:$B$58,(AO49:AO58&gt;AP49:AP58)*1)+SUMPRODUCT($B$61:$B$68,(AO61:AO68&gt;AP61:AP68)*1)+SUMPRODUCT($B$71:$B$74,(AO71:AO74&gt;AP71:AP74)*1)+SUMPRODUCT($B$77:$B$78,(AO77:AO78&gt;AP77:AP78)*1)+SUMPRODUCT($B$99:$B$104,(AO99:AO104&gt;AP99:AP104)*1))*$B$20/52</f>
        <v>0</v>
      </c>
      <c r="AQ83" s="369" t="n">
        <f aca="false">(SUMPRODUCT($B$49:$B$58,(AP49:AP58&gt;AQ49:AQ58)*1)+SUMPRODUCT($B$61:$B$68,(AP61:AP68&gt;AQ61:AQ68)*1)+SUMPRODUCT($B$71:$B$74,(AP71:AP74&gt;AQ71:AQ74)*1)+SUMPRODUCT($B$77:$B$78,(AP77:AP78&gt;AQ77:AQ78)*1)+SUMPRODUCT($B$99:$B$104,(AP99:AP104&gt;AQ99:AQ104)*1))*$B$20/52</f>
        <v>9615.38461538462</v>
      </c>
      <c r="AR83" s="369" t="n">
        <f aca="false">(SUMPRODUCT($B$49:$B$58,(AQ49:AQ58&gt;AR49:AR58)*1)+SUMPRODUCT($B$61:$B$68,(AQ61:AQ68&gt;AR61:AR68)*1)+SUMPRODUCT($B$71:$B$74,(AQ71:AQ74&gt;AR71:AR74)*1)+SUMPRODUCT($B$77:$B$78,(AQ77:AQ78&gt;AR77:AR78)*1)+SUMPRODUCT($B$99:$B$104,(AQ99:AQ104&gt;AR99:AR104)*1))*$B$20/52</f>
        <v>0</v>
      </c>
      <c r="AS83" s="369" t="n">
        <f aca="false">(SUMPRODUCT($B$49:$B$58,(AR49:AR58&gt;AS49:AS58)*1)+SUMPRODUCT($B$61:$B$68,(AR61:AR68&gt;AS61:AS68)*1)+SUMPRODUCT($B$71:$B$74,(AR71:AR74&gt;AS71:AS74)*1)+SUMPRODUCT($B$77:$B$78,(AR77:AR78&gt;AS77:AS78)*1)+SUMPRODUCT($B$99:$B$104,(AR99:AR104&gt;AS99:AS104)*1))*$B$20/52</f>
        <v>0</v>
      </c>
      <c r="AT83" s="369" t="n">
        <f aca="false">(SUMPRODUCT($B$49:$B$58,(AS49:AS58&gt;AT49:AT58)*1)+SUMPRODUCT($B$61:$B$68,(AS61:AS68&gt;AT61:AT68)*1)+SUMPRODUCT($B$71:$B$74,(AS71:AS74&gt;AT71:AT74)*1)+SUMPRODUCT($B$77:$B$78,(AS77:AS78&gt;AT77:AT78)*1)+SUMPRODUCT($B$99:$B$104,(AS99:AS104&gt;AT99:AT104)*1))*$B$20/52</f>
        <v>0</v>
      </c>
      <c r="AU83" s="369" t="n">
        <f aca="false">(SUMPRODUCT($B$49:$B$58,(AT49:AT58&gt;AU49:AU58)*1)+SUMPRODUCT($B$61:$B$68,(AT61:AT68&gt;AU61:AU68)*1)+SUMPRODUCT($B$71:$B$74,(AT71:AT74&gt;AU71:AU74)*1)+SUMPRODUCT($B$77:$B$78,(AT77:AT78&gt;AU77:AU78)*1)+SUMPRODUCT($B$99:$B$104,(AT99:AT104&gt;AU99:AU104)*1))*$B$20/52</f>
        <v>9615.38461538462</v>
      </c>
      <c r="AV83" s="369" t="n">
        <f aca="false">(SUMPRODUCT($B$49:$B$58,(AU49:AU58&gt;AV49:AV58)*1)+SUMPRODUCT($B$61:$B$68,(AU61:AU68&gt;AV61:AV68)*1)+SUMPRODUCT($B$71:$B$74,(AU71:AU74&gt;AV71:AV74)*1)+SUMPRODUCT($B$77:$B$78,(AU77:AU78&gt;AV77:AV78)*1)+SUMPRODUCT($B$99:$B$104,(AU99:AU104&gt;AV99:AV104)*1))*$B$20/52</f>
        <v>0</v>
      </c>
      <c r="AW83" s="369" t="n">
        <f aca="false">(SUMPRODUCT($B$49:$B$58,(AV49:AV58&gt;AW49:AW58)*1)+SUMPRODUCT($B$61:$B$68,(AV61:AV68&gt;AW61:AW68)*1)+SUMPRODUCT($B$71:$B$74,(AV71:AV74&gt;AW71:AW74)*1)+SUMPRODUCT($B$77:$B$78,(AV77:AV78&gt;AW77:AW78)*1)+SUMPRODUCT($B$99:$B$104,(AV99:AV104&gt;AW99:AW104)*1))*$B$20/52</f>
        <v>0</v>
      </c>
      <c r="AX83" s="369" t="n">
        <f aca="false">(SUMPRODUCT($B$49:$B$58,(AW49:AW58&gt;AX49:AX58)*1)+SUMPRODUCT($B$61:$B$68,(AW61:AW68&gt;AX61:AX68)*1)+SUMPRODUCT($B$71:$B$74,(AW71:AW74&gt;AX71:AX74)*1)+SUMPRODUCT($B$77:$B$78,(AW77:AW78&gt;AX77:AX78)*1)+SUMPRODUCT($B$99:$B$104,(AW99:AW104&gt;AX99:AX104)*1))*$B$20/52</f>
        <v>0</v>
      </c>
      <c r="AY83" s="369" t="n">
        <f aca="false">(SUMPRODUCT($B$49:$B$58,(AX49:AX58&gt;AY49:AY58)*1)+SUMPRODUCT($B$61:$B$68,(AX61:AX68&gt;AY61:AY68)*1)+SUMPRODUCT($B$71:$B$74,(AX71:AX74&gt;AY71:AY74)*1)+SUMPRODUCT($B$77:$B$78,(AX77:AX78&gt;AY77:AY78)*1)+SUMPRODUCT($B$99:$B$104,(AX99:AX104&gt;AY99:AY104)*1))*$B$20/52</f>
        <v>0</v>
      </c>
      <c r="AZ83" s="369" t="n">
        <f aca="false">(SUMPRODUCT($B$49:$B$58,(AY49:AY58&gt;AZ49:AZ58)*1)+SUMPRODUCT($B$61:$B$68,(AY61:AY68&gt;AZ61:AZ68)*1)+SUMPRODUCT($B$71:$B$74,(AY71:AY74&gt;AZ71:AZ74)*1)+SUMPRODUCT($B$77:$B$78,(AY77:AY78&gt;AZ77:AZ78)*1)+SUMPRODUCT($B$99:$B$104,(AY99:AY104&gt;AZ99:AZ104)*1))*$B$20/52</f>
        <v>0</v>
      </c>
      <c r="BA83" s="369" t="n">
        <f aca="false">(SUMPRODUCT($B$49:$B$58,(AZ49:AZ58&gt;BA49:BA58)*1)+SUMPRODUCT($B$61:$B$68,(AZ61:AZ68&gt;BA61:BA68)*1)+SUMPRODUCT($B$71:$B$74,(AZ71:AZ74&gt;BA71:BA74)*1)+SUMPRODUCT($B$77:$B$78,(AZ77:AZ78&gt;BA77:BA78)*1)+SUMPRODUCT($B$99:$B$104,(AZ99:AZ104&gt;BA99:BA104)*1))*$B$20/52</f>
        <v>0</v>
      </c>
      <c r="BB83" s="369" t="n">
        <f aca="false">(SUMPRODUCT($B$49:$B$58,(BA49:BA58&gt;BB49:BB58)*1)+SUMPRODUCT($B$61:$B$68,(BA61:BA68&gt;BB61:BB68)*1)+SUMPRODUCT($B$71:$B$74,(BA71:BA74&gt;BB71:BB74)*1)+SUMPRODUCT($B$77:$B$78,(BA77:BA78&gt;BB77:BB78)*1)+SUMPRODUCT($B$99:$B$104,(BA99:BA104&gt;BB99:BB104)*1))*$B$20/52</f>
        <v>0</v>
      </c>
      <c r="BC83" s="369" t="n">
        <f aca="false">(SUMPRODUCT($B$49:$B$58,(BB49:BB58&gt;BC49:BC58)*1)+SUMPRODUCT($B$61:$B$68,(BB61:BB68&gt;BC61:BC68)*1)+SUMPRODUCT($B$71:$B$74,(BB71:BB74&gt;BC71:BC74)*1)+SUMPRODUCT($B$77:$B$78,(BB77:BB78&gt;BC77:BC78)*1)+SUMPRODUCT($B$99:$B$104,(BB99:BB104&gt;BC99:BC104)*1))*$B$20/52</f>
        <v>0</v>
      </c>
      <c r="BD83" s="369" t="n">
        <f aca="false">(SUMPRODUCT($B$49:$B$58,(BC49:BC58&gt;BD49:BD58)*1)+SUMPRODUCT($B$61:$B$68,(BC61:BC68&gt;BD61:BD68)*1)+SUMPRODUCT($B$71:$B$74,(BC71:BC74&gt;BD71:BD74)*1)+SUMPRODUCT($B$77:$B$78,(BC77:BC78&gt;BD77:BD78)*1)+SUMPRODUCT($B$99:$B$104,(BC99:BC104&gt;BD99:BD104)*1))*$B$20/52</f>
        <v>0</v>
      </c>
      <c r="BE83" s="369" t="n">
        <f aca="false">(SUMPRODUCT($B$49:$B$58,(BD49:BD58&gt;BE49:BE58)*1)+SUMPRODUCT($B$61:$B$68,(BD61:BD68&gt;BE61:BE68)*1)+SUMPRODUCT($B$71:$B$74,(BD71:BD74&gt;BE71:BE74)*1)+SUMPRODUCT($B$77:$B$78,(BD77:BD78&gt;BE77:BE78)*1)+SUMPRODUCT($B$99:$B$104,(BD99:BD104&gt;BE99:BE104)*1))*$B$20/52</f>
        <v>0</v>
      </c>
      <c r="BF83" s="369" t="n">
        <f aca="false">(SUMPRODUCT($B$49:$B$58,(BE49:BE58&gt;BF49:BF58)*1)+SUMPRODUCT($B$61:$B$68,(BE61:BE68&gt;BF61:BF68)*1)+SUMPRODUCT($B$71:$B$74,(BE71:BE74&gt;BF71:BF74)*1)+SUMPRODUCT($B$77:$B$78,(BE77:BE78&gt;BF77:BF78)*1)+SUMPRODUCT($B$99:$B$104,(BE99:BE104&gt;BF99:BF104)*1))*$B$20/52</f>
        <v>0</v>
      </c>
      <c r="BG83" s="369" t="n">
        <f aca="false">(SUMPRODUCT($B$49:$B$58,(BF49:BF58&gt;BG49:BG58)*1)+SUMPRODUCT($B$61:$B$68,(BF61:BF68&gt;BG61:BG68)*1)+SUMPRODUCT($B$71:$B$74,(BF71:BF74&gt;BG71:BG74)*1)+SUMPRODUCT($B$77:$B$78,(BF77:BF78&gt;BG77:BG78)*1)+SUMPRODUCT($B$99:$B$104,(BF99:BF104&gt;BG99:BG104)*1))*$B$20/52</f>
        <v>0</v>
      </c>
      <c r="BH83" s="369" t="n">
        <f aca="false">(SUMPRODUCT($B$49:$B$58,(BG49:BG58&gt;BH49:BH58)*1)+SUMPRODUCT($B$61:$B$68,(BG61:BG68&gt;BH61:BH68)*1)+SUMPRODUCT($B$71:$B$74,(BG71:BG74&gt;BH71:BH74)*1)+SUMPRODUCT($B$77:$B$78,(BG77:BG78&gt;BH77:BH78)*1)+SUMPRODUCT($B$99:$B$104,(BG99:BG104&gt;BH99:BH104)*1))*$B$20/52</f>
        <v>0</v>
      </c>
      <c r="BI83" s="369" t="n">
        <f aca="false">(SUMPRODUCT($B$49:$B$58,(BH49:BH58&gt;BI49:BI58)*1)+SUMPRODUCT($B$61:$B$68,(BH61:BH68&gt;BI61:BI68)*1)+SUMPRODUCT($B$71:$B$74,(BH71:BH74&gt;BI71:BI74)*1)+SUMPRODUCT($B$77:$B$78,(BH77:BH78&gt;BI77:BI78)*1)+SUMPRODUCT($B$99:$B$104,(BH99:BH104&gt;BI99:BI104)*1))*$B$20/52</f>
        <v>0</v>
      </c>
      <c r="BJ83" s="369" t="n">
        <f aca="false">(SUMPRODUCT($B$49:$B$58,(BI49:BI58&gt;BJ49:BJ58)*1)+SUMPRODUCT($B$61:$B$68,(BI61:BI68&gt;BJ61:BJ68)*1)+SUMPRODUCT($B$71:$B$74,(BI71:BI74&gt;BJ71:BJ74)*1)+SUMPRODUCT($B$77:$B$78,(BI77:BI78&gt;BJ77:BJ78)*1)+SUMPRODUCT($B$99:$B$104,(BI99:BI104&gt;BJ99:BJ104)*1))*$B$20/52</f>
        <v>0</v>
      </c>
      <c r="BK83" s="369" t="n">
        <f aca="false">(SUMPRODUCT($B$49:$B$58,(BJ49:BJ58&gt;BK49:BK58)*1)+SUMPRODUCT($B$61:$B$68,(BJ61:BJ68&gt;BK61:BK68)*1)+SUMPRODUCT($B$71:$B$74,(BJ71:BJ74&gt;BK71:BK74)*1)+SUMPRODUCT($B$77:$B$78,(BJ77:BJ78&gt;BK77:BK78)*1)+SUMPRODUCT($B$99:$B$104,(BJ99:BJ104&gt;BK99:BK104)*1))*$B$20/52</f>
        <v>0</v>
      </c>
      <c r="BL83" s="369" t="n">
        <f aca="false">(SUMPRODUCT($B$49:$B$58,(BK49:BK58&gt;BL49:BL58)*1)+SUMPRODUCT($B$61:$B$68,(BK61:BK68&gt;BL61:BL68)*1)+SUMPRODUCT($B$71:$B$74,(BK71:BK74&gt;BL71:BL74)*1)+SUMPRODUCT($B$77:$B$78,(BK77:BK78&gt;BL77:BL78)*1)+SUMPRODUCT($B$99:$B$104,(BK99:BK104&gt;BL99:BL104)*1))*$B$20/52</f>
        <v>0</v>
      </c>
      <c r="BM83" s="369" t="n">
        <f aca="false">(SUMPRODUCT($B$49:$B$58,(BL49:BL58&gt;BM49:BM58)*1)+SUMPRODUCT($B$61:$B$68,(BL61:BL68&gt;BM61:BM68)*1)+SUMPRODUCT($B$71:$B$74,(BL71:BL74&gt;BM71:BM74)*1)+SUMPRODUCT($B$77:$B$78,(BL77:BL78&gt;BM77:BM78)*1)+SUMPRODUCT($B$99:$B$104,(BL99:BL104&gt;BM99:BM104)*1))*$B$20/52</f>
        <v>0</v>
      </c>
      <c r="BN83" s="369" t="n">
        <f aca="false">(SUMPRODUCT($B$49:$B$58,(BM49:BM58&gt;BN49:BN58)*1)+SUMPRODUCT($B$61:$B$68,(BM61:BM68&gt;BN61:BN68)*1)+SUMPRODUCT($B$71:$B$74,(BM71:BM74&gt;BN71:BN74)*1)+SUMPRODUCT($B$77:$B$78,(BM77:BM78&gt;BN77:BN78)*1)+SUMPRODUCT($B$99:$B$104,(BM99:BM104&gt;BN99:BN104)*1))*$B$20/52</f>
        <v>0</v>
      </c>
      <c r="BO83" s="369" t="n">
        <f aca="false">(SUMPRODUCT($B$49:$B$58,(BN49:BN58&gt;BO49:BO58)*1)+SUMPRODUCT($B$61:$B$68,(BN61:BN68&gt;BO61:BO68)*1)+SUMPRODUCT($B$71:$B$74,(BN71:BN74&gt;BO71:BO74)*1)+SUMPRODUCT($B$77:$B$78,(BN77:BN78&gt;BO77:BO78)*1)+SUMPRODUCT($B$99:$B$104,(BN99:BN104&gt;BO99:BO104)*1))*$B$20/52</f>
        <v>0</v>
      </c>
      <c r="BP83" s="369" t="n">
        <f aca="false">(SUMPRODUCT($B$49:$B$58,(BO49:BO58&gt;BP49:BP58)*1)+SUMPRODUCT($B$61:$B$68,(BO61:BO68&gt;BP61:BP68)*1)+SUMPRODUCT($B$71:$B$74,(BO71:BO74&gt;BP71:BP74)*1)+SUMPRODUCT($B$77:$B$78,(BO77:BO78&gt;BP77:BP78)*1)+SUMPRODUCT($B$99:$B$104,(BO99:BO104&gt;BP99:BP104)*1))*$B$20/52</f>
        <v>0</v>
      </c>
      <c r="BQ83" s="369" t="n">
        <f aca="false">(SUMPRODUCT($B$49:$B$58,(BP49:BP58&gt;BQ49:BQ58)*1)+SUMPRODUCT($B$61:$B$68,(BP61:BP68&gt;BQ61:BQ68)*1)+SUMPRODUCT($B$71:$B$74,(BP71:BP74&gt;BQ71:BQ74)*1)+SUMPRODUCT($B$77:$B$78,(BP77:BP78&gt;BQ77:BQ78)*1)+SUMPRODUCT($B$99:$B$104,(BP99:BP104&gt;BQ99:BQ104)*1))*$B$20/52</f>
        <v>0</v>
      </c>
      <c r="BR83" s="369" t="n">
        <f aca="false">(SUMPRODUCT($B$49:$B$58,(BQ49:BQ58&gt;BR49:BR58)*1)+SUMPRODUCT($B$61:$B$68,(BQ61:BQ68&gt;BR61:BR68)*1)+SUMPRODUCT($B$71:$B$74,(BQ71:BQ74&gt;BR71:BR74)*1)+SUMPRODUCT($B$77:$B$78,(BQ77:BQ78&gt;BR77:BR78)*1)+SUMPRODUCT($B$99:$B$104,(BQ99:BQ104&gt;BR99:BR104)*1))*$B$20/52</f>
        <v>0</v>
      </c>
      <c r="BS83" s="369" t="n">
        <f aca="false">(SUMPRODUCT($B$49:$B$58,(BR49:BR58&gt;BS49:BS58)*1)+SUMPRODUCT($B$61:$B$68,(BR61:BR68&gt;BS61:BS68)*1)+SUMPRODUCT($B$71:$B$74,(BR71:BR74&gt;BS71:BS74)*1)+SUMPRODUCT($B$77:$B$78,(BR77:BR78&gt;BS77:BS78)*1)+SUMPRODUCT($B$99:$B$104,(BR99:BR104&gt;BS99:BS104)*1))*$B$20/52</f>
        <v>0</v>
      </c>
      <c r="BT83" s="369" t="n">
        <f aca="false">(SUMPRODUCT($B$49:$B$58,(BS49:BS58&gt;BT49:BT58)*1)+SUMPRODUCT($B$61:$B$68,(BS61:BS68&gt;BT61:BT68)*1)+SUMPRODUCT($B$71:$B$74,(BS71:BS74&gt;BT71:BT74)*1)+SUMPRODUCT($B$77:$B$78,(BS77:BS78&gt;BT77:BT78)*1)+SUMPRODUCT($B$99:$B$104,(BS99:BS104&gt;BT99:BT104)*1))*$B$20/52</f>
        <v>0</v>
      </c>
      <c r="BU83" s="369" t="n">
        <f aca="false">(SUMPRODUCT($B$49:$B$58,(BT49:BT58&gt;BU49:BU58)*1)+SUMPRODUCT($B$61:$B$68,(BT61:BT68&gt;BU61:BU68)*1)+SUMPRODUCT($B$71:$B$74,(BT71:BT74&gt;BU71:BU74)*1)+SUMPRODUCT($B$77:$B$78,(BT77:BT78&gt;BU77:BU78)*1)+SUMPRODUCT($B$99:$B$104,(BT99:BT104&gt;BU99:BU104)*1))*$B$20/52</f>
        <v>0</v>
      </c>
      <c r="BV83" s="369" t="n">
        <f aca="false">(SUMPRODUCT($B$49:$B$58,(BU49:BU58&gt;BV49:BV58)*1)+SUMPRODUCT($B$61:$B$68,(BU61:BU68&gt;BV61:BV68)*1)+SUMPRODUCT($B$71:$B$74,(BU71:BU74&gt;BV71:BV74)*1)+SUMPRODUCT($B$77:$B$78,(BU77:BU78&gt;BV77:BV78)*1)+SUMPRODUCT($B$99:$B$104,(BU99:BU104&gt;BV99:BV104)*1))*$B$20/52</f>
        <v>0</v>
      </c>
      <c r="BW83" s="369" t="n">
        <f aca="false">(SUMPRODUCT($B$49:$B$58,(BV49:BV58&gt;BW49:BW58)*1)+SUMPRODUCT($B$61:$B$68,(BV61:BV68&gt;BW61:BW68)*1)+SUMPRODUCT($B$71:$B$74,(BV71:BV74&gt;BW71:BW74)*1)+SUMPRODUCT($B$77:$B$78,(BV77:BV78&gt;BW77:BW78)*1)+SUMPRODUCT($B$99:$B$104,(BV99:BV104&gt;BW99:BW104)*1))*$B$20/52</f>
        <v>0</v>
      </c>
      <c r="BX83" s="369" t="n">
        <f aca="false">(SUMPRODUCT($B$49:$B$58,(BW49:BW58&gt;BX49:BX58)*1)+SUMPRODUCT($B$61:$B$68,(BW61:BW68&gt;BX61:BX68)*1)+SUMPRODUCT($B$71:$B$74,(BW71:BW74&gt;BX71:BX74)*1)+SUMPRODUCT($B$77:$B$78,(BW77:BW78&gt;BX77:BX78)*1)+SUMPRODUCT($B$99:$B$104,(BW99:BW104&gt;BX99:BX104)*1))*$B$20/52</f>
        <v>0</v>
      </c>
      <c r="BY83" s="369" t="n">
        <f aca="false">(SUMPRODUCT($B$49:$B$58,(BX49:BX58&gt;BY49:BY58)*1)+SUMPRODUCT($B$61:$B$68,(BX61:BX68&gt;BY61:BY68)*1)+SUMPRODUCT($B$71:$B$74,(BX71:BX74&gt;BY71:BY74)*1)+SUMPRODUCT($B$77:$B$78,(BX77:BX78&gt;BY77:BY78)*1)+SUMPRODUCT($B$99:$B$104,(BX99:BX104&gt;BY99:BY104)*1))*$B$20/52</f>
        <v>0</v>
      </c>
      <c r="BZ83" s="369" t="n">
        <f aca="false">(SUMPRODUCT($B$49:$B$58,(BY49:BY58&gt;BZ49:BZ58)*1)+SUMPRODUCT($B$61:$B$68,(BY61:BY68&gt;BZ61:BZ68)*1)+SUMPRODUCT($B$71:$B$74,(BY71:BY74&gt;BZ71:BZ74)*1)+SUMPRODUCT($B$77:$B$78,(BY77:BY78&gt;BZ77:BZ78)*1)+SUMPRODUCT($B$99:$B$104,(BY99:BY104&gt;BZ99:BZ104)*1))*$B$20/52</f>
        <v>0</v>
      </c>
      <c r="CA83" s="369" t="n">
        <f aca="false">(SUMPRODUCT($B$49:$B$58,(BZ49:BZ58&gt;CA49:CA58)*1)+SUMPRODUCT($B$61:$B$68,(BZ61:BZ68&gt;CA61:CA68)*1)+SUMPRODUCT($B$71:$B$74,(BZ71:BZ74&gt;CA71:CA74)*1)+SUMPRODUCT($B$77:$B$78,(BZ77:BZ78&gt;CA77:CA78)*1)+SUMPRODUCT($B$99:$B$104,(BZ99:BZ104&gt;CA99:CA104)*1))*$B$20/52</f>
        <v>0</v>
      </c>
      <c r="CB83" s="369" t="n">
        <f aca="false">(SUMPRODUCT($B$49:$B$58,(CA49:CA58&gt;CB49:CB58)*1)+SUMPRODUCT($B$61:$B$68,(CA61:CA68&gt;CB61:CB68)*1)+SUMPRODUCT($B$71:$B$74,(CA71:CA74&gt;CB71:CB74)*1)+SUMPRODUCT($B$77:$B$78,(CA77:CA78&gt;CB77:CB78)*1)+SUMPRODUCT($B$99:$B$104,(CA99:CA104&gt;CB99:CB104)*1))*$B$20/52</f>
        <v>0</v>
      </c>
      <c r="CC83" s="369" t="n">
        <f aca="false">(SUMPRODUCT($B$49:$B$58,(CB49:CB58&gt;CC49:CC58)*1)+SUMPRODUCT($B$61:$B$68,(CB61:CB68&gt;CC61:CC68)*1)+SUMPRODUCT($B$71:$B$74,(CB71:CB74&gt;CC71:CC74)*1)+SUMPRODUCT($B$77:$B$78,(CB77:CB78&gt;CC77:CC78)*1)+SUMPRODUCT($B$99:$B$104,(CB99:CB104&gt;CC99:CC104)*1))*$B$20/52</f>
        <v>0</v>
      </c>
      <c r="CD83" s="369" t="n">
        <f aca="false">(SUMPRODUCT($B$49:$B$58,(CC49:CC58&gt;CD49:CD58)*1)+SUMPRODUCT($B$61:$B$68,(CC61:CC68&gt;CD61:CD68)*1)+SUMPRODUCT($B$71:$B$74,(CC71:CC74&gt;CD71:CD74)*1)+SUMPRODUCT($B$77:$B$78,(CC77:CC78&gt;CD77:CD78)*1)+SUMPRODUCT($B$99:$B$104,(CC99:CC104&gt;CD99:CD104)*1))*$B$20/52</f>
        <v>0</v>
      </c>
      <c r="CE83" s="369" t="n">
        <f aca="false">(SUMPRODUCT($B$49:$B$58,(CD49:CD58&gt;CE49:CE58)*1)+SUMPRODUCT($B$61:$B$68,(CD61:CD68&gt;CE61:CE68)*1)+SUMPRODUCT($B$71:$B$74,(CD71:CD74&gt;CE71:CE74)*1)+SUMPRODUCT($B$77:$B$78,(CD77:CD78&gt;CE77:CE78)*1)+SUMPRODUCT($B$99:$B$104,(CD99:CD104&gt;CE99:CE104)*1))*$B$20/52</f>
        <v>0</v>
      </c>
      <c r="CF83" s="369" t="n">
        <f aca="false">(SUMPRODUCT($B$49:$B$58,(CE49:CE58&gt;CF49:CF58)*1)+SUMPRODUCT($B$61:$B$68,(CE61:CE68&gt;CF61:CF68)*1)+SUMPRODUCT($B$71:$B$74,(CE71:CE74&gt;CF71:CF74)*1)+SUMPRODUCT($B$77:$B$78,(CE77:CE78&gt;CF77:CF78)*1)+SUMPRODUCT($B$99:$B$104,(CE99:CE104&gt;CF99:CF104)*1))*$B$20/52</f>
        <v>0</v>
      </c>
      <c r="CG83" s="369" t="n">
        <f aca="false">(SUMPRODUCT($B$49:$B$58,(CF49:CF58&gt;CG49:CG58)*1)+SUMPRODUCT($B$61:$B$68,(CF61:CF68&gt;CG61:CG68)*1)+SUMPRODUCT($B$71:$B$74,(CF71:CF74&gt;CG71:CG74)*1)+SUMPRODUCT($B$77:$B$78,(CF77:CF78&gt;CG77:CG78)*1)+SUMPRODUCT($B$99:$B$104,(CF99:CF104&gt;CG99:CG104)*1))*$B$20/52</f>
        <v>0</v>
      </c>
      <c r="CH83" s="369" t="n">
        <f aca="false">(SUMPRODUCT($B$49:$B$58,(CG49:CG58&gt;CH49:CH58)*1)+SUMPRODUCT($B$61:$B$68,(CG61:CG68&gt;CH61:CH68)*1)+SUMPRODUCT($B$71:$B$74,(CG71:CG74&gt;CH71:CH74)*1)+SUMPRODUCT($B$77:$B$78,(CG77:CG78&gt;CH77:CH78)*1)+SUMPRODUCT($B$99:$B$104,(CG99:CG104&gt;CH99:CH104)*1))*$B$20/52</f>
        <v>0</v>
      </c>
      <c r="CI83" s="369" t="n">
        <f aca="false">(SUMPRODUCT($B$49:$B$58,(CH49:CH58&gt;CI49:CI58)*1)+SUMPRODUCT($B$61:$B$68,(CH61:CH68&gt;CI61:CI68)*1)+SUMPRODUCT($B$71:$B$74,(CH71:CH74&gt;CI71:CI74)*1)+SUMPRODUCT($B$77:$B$78,(CH77:CH78&gt;CI77:CI78)*1)+SUMPRODUCT($B$99:$B$104,(CH99:CH104&gt;CI99:CI104)*1))*$B$20/52</f>
        <v>0</v>
      </c>
      <c r="CJ83" s="369" t="n">
        <f aca="false">(SUMPRODUCT($B$49:$B$58,(CI49:CI58&gt;CJ49:CJ58)*1)+SUMPRODUCT($B$61:$B$68,(CI61:CI68&gt;CJ61:CJ68)*1)+SUMPRODUCT($B$71:$B$74,(CI71:CI74&gt;CJ71:CJ74)*1)+SUMPRODUCT($B$77:$B$78,(CI77:CI78&gt;CJ77:CJ78)*1)+SUMPRODUCT($B$99:$B$104,(CI99:CI104&gt;CJ99:CJ104)*1))*$B$20/52</f>
        <v>0</v>
      </c>
      <c r="CK83" s="369" t="n">
        <f aca="false">(SUMPRODUCT($B$49:$B$58,(CJ49:CJ58&gt;CK49:CK58)*1)+SUMPRODUCT($B$61:$B$68,(CJ61:CJ68&gt;CK61:CK68)*1)+SUMPRODUCT($B$71:$B$74,(CJ71:CJ74&gt;CK71:CK74)*1)+SUMPRODUCT($B$77:$B$78,(CJ77:CJ78&gt;CK77:CK78)*1)+SUMPRODUCT($B$99:$B$104,(CJ99:CJ104&gt;CK99:CK104)*1))*$B$20/52</f>
        <v>0</v>
      </c>
      <c r="CL83" s="369" t="n">
        <f aca="false">(SUMPRODUCT($B$49:$B$58,(CK49:CK58&gt;CL49:CL58)*1)+SUMPRODUCT($B$61:$B$68,(CK61:CK68&gt;CL61:CL68)*1)+SUMPRODUCT($B$71:$B$74,(CK71:CK74&gt;CL71:CL74)*1)+SUMPRODUCT($B$77:$B$78,(CK77:CK78&gt;CL77:CL78)*1)+SUMPRODUCT($B$99:$B$104,(CK99:CK104&gt;CL99:CL104)*1))*$B$20/52</f>
        <v>0</v>
      </c>
      <c r="CM83" s="369" t="n">
        <f aca="false">(SUMPRODUCT($B$49:$B$58,(CL49:CL58&gt;CM49:CM58)*1)+SUMPRODUCT($B$61:$B$68,(CL61:CL68&gt;CM61:CM68)*1)+SUMPRODUCT($B$71:$B$74,(CL71:CL74&gt;CM71:CM74)*1)+SUMPRODUCT($B$77:$B$78,(CL77:CL78&gt;CM77:CM78)*1)+SUMPRODUCT($B$99:$B$104,(CL99:CL104&gt;CM99:CM104)*1))*$B$20/52</f>
        <v>0</v>
      </c>
      <c r="CN83" s="369" t="n">
        <f aca="false">(SUMPRODUCT($B$49:$B$58,(CM49:CM58&gt;CN49:CN58)*1)+SUMPRODUCT($B$61:$B$68,(CM61:CM68&gt;CN61:CN68)*1)+SUMPRODUCT($B$71:$B$74,(CM71:CM74&gt;CN71:CN74)*1)+SUMPRODUCT($B$77:$B$78,(CM77:CM78&gt;CN77:CN78)*1)+SUMPRODUCT($B$99:$B$104,(CM99:CM104&gt;CN99:CN104)*1))*$B$20/52</f>
        <v>0</v>
      </c>
      <c r="CO83" s="369" t="n">
        <f aca="false">(SUMPRODUCT($B$49:$B$58,(CN49:CN58&gt;CO49:CO58)*1)+SUMPRODUCT($B$61:$B$68,(CN61:CN68&gt;CO61:CO68)*1)+SUMPRODUCT($B$71:$B$74,(CN71:CN74&gt;CO71:CO74)*1)+SUMPRODUCT($B$77:$B$78,(CN77:CN78&gt;CO77:CO78)*1)+SUMPRODUCT($B$99:$B$104,(CN99:CN104&gt;CO99:CO104)*1))*$B$20/52</f>
        <v>0</v>
      </c>
      <c r="CP83" s="369" t="n">
        <f aca="false">(SUMPRODUCT($B$49:$B$58,(CO49:CO58&gt;CP49:CP58)*1)+SUMPRODUCT($B$61:$B$68,(CO61:CO68&gt;CP61:CP68)*1)+SUMPRODUCT($B$71:$B$74,(CO71:CO74&gt;CP71:CP74)*1)+SUMPRODUCT($B$77:$B$78,(CO77:CO78&gt;CP77:CP78)*1)+SUMPRODUCT($B$99:$B$104,(CO99:CO104&gt;CP99:CP104)*1))*$B$20/52</f>
        <v>0</v>
      </c>
      <c r="CQ83" s="369" t="n">
        <f aca="false">(SUMPRODUCT($B$49:$B$58,(CP49:CP58&gt;CQ49:CQ58)*1)+SUMPRODUCT($B$61:$B$68,(CP61:CP68&gt;CQ61:CQ68)*1)+SUMPRODUCT($B$71:$B$74,(CP71:CP74&gt;CQ71:CQ74)*1)+SUMPRODUCT($B$77:$B$78,(CP77:CP78&gt;CQ77:CQ78)*1)+SUMPRODUCT($B$99:$B$104,(CP99:CP104&gt;CQ99:CQ104)*1))*$B$20/52</f>
        <v>0</v>
      </c>
      <c r="CR83" s="369" t="n">
        <f aca="false">(SUMPRODUCT($B$49:$B$58,(CQ49:CQ58&gt;CR49:CR58)*1)+SUMPRODUCT($B$61:$B$68,(CQ61:CQ68&gt;CR61:CR68)*1)+SUMPRODUCT($B$71:$B$74,(CQ71:CQ74&gt;CR71:CR74)*1)+SUMPRODUCT($B$77:$B$78,(CQ77:CQ78&gt;CR77:CR78)*1)+SUMPRODUCT($B$99:$B$104,(CQ99:CQ104&gt;CR99:CR104)*1))*$B$20/52</f>
        <v>0</v>
      </c>
      <c r="CS83" s="369" t="n">
        <f aca="false">(SUMPRODUCT($B$49:$B$58,(CR49:CR58&gt;CS49:CS58)*1)+SUMPRODUCT($B$61:$B$68,(CR61:CR68&gt;CS61:CS68)*1)+SUMPRODUCT($B$71:$B$74,(CR71:CR74&gt;CS71:CS74)*1)+SUMPRODUCT($B$77:$B$78,(CR77:CR78&gt;CS77:CS78)*1)+SUMPRODUCT($B$99:$B$104,(CR99:CR104&gt;CS99:CS104)*1))*$B$20/52</f>
        <v>0</v>
      </c>
      <c r="CT83" s="369" t="n">
        <f aca="false">(SUMPRODUCT($B$49:$B$58,(CS49:CS58&gt;CT49:CT58)*1)+SUMPRODUCT($B$61:$B$68,(CS61:CS68&gt;CT61:CT68)*1)+SUMPRODUCT($B$71:$B$74,(CS71:CS74&gt;CT71:CT74)*1)+SUMPRODUCT($B$77:$B$78,(CS77:CS78&gt;CT77:CT78)*1)+SUMPRODUCT($B$99:$B$104,(CS99:CS104&gt;CT99:CT104)*1))*$B$20/52</f>
        <v>0</v>
      </c>
      <c r="CU83" s="369" t="n">
        <f aca="false">(SUMPRODUCT($B$49:$B$58,(CT49:CT58&gt;CU49:CU58)*1)+SUMPRODUCT($B$61:$B$68,(CT61:CT68&gt;CU61:CU68)*1)+SUMPRODUCT($B$71:$B$74,(CT71:CT74&gt;CU71:CU74)*1)+SUMPRODUCT($B$77:$B$78,(CT77:CT78&gt;CU77:CU78)*1)+SUMPRODUCT($B$99:$B$104,(CT99:CT104&gt;CU99:CU104)*1))*$B$20/52</f>
        <v>0</v>
      </c>
      <c r="CV83" s="369" t="n">
        <f aca="false">(SUMPRODUCT($B$49:$B$58,(CU49:CU58&gt;CV49:CV58)*1)+SUMPRODUCT($B$61:$B$68,(CU61:CU68&gt;CV61:CV68)*1)+SUMPRODUCT($B$71:$B$74,(CU71:CU74&gt;CV71:CV74)*1)+SUMPRODUCT($B$77:$B$78,(CU77:CU78&gt;CV77:CV78)*1)+SUMPRODUCT($B$99:$B$104,(CU99:CU104&gt;CV99:CV104)*1))*$B$20/52</f>
        <v>0</v>
      </c>
      <c r="CW83" s="369" t="n">
        <f aca="false">(SUMPRODUCT($B$49:$B$58,(CV49:CV58&gt;CW49:CW58)*1)+SUMPRODUCT($B$61:$B$68,(CV61:CV68&gt;CW61:CW68)*1)+SUMPRODUCT($B$71:$B$74,(CV71:CV74&gt;CW71:CW74)*1)+SUMPRODUCT($B$77:$B$78,(CV77:CV78&gt;CW77:CW78)*1)+SUMPRODUCT($B$99:$B$104,(CV99:CV104&gt;CW99:CW104)*1))*$B$20/52</f>
        <v>0</v>
      </c>
      <c r="CX83" s="369" t="n">
        <f aca="false">(SUMPRODUCT($B$49:$B$58,(CW49:CW58&gt;CX49:CX58)*1)+SUMPRODUCT($B$61:$B$68,(CW61:CW68&gt;CX61:CX68)*1)+SUMPRODUCT($B$71:$B$74,(CW71:CW74&gt;CX71:CX74)*1)+SUMPRODUCT($B$77:$B$78,(CW77:CW78&gt;CX77:CX78)*1)+SUMPRODUCT($B$99:$B$104,(CW99:CW104&gt;CX99:CX104)*1))*$B$20/52</f>
        <v>0</v>
      </c>
      <c r="CY83" s="369" t="n">
        <f aca="false">(SUMPRODUCT($B$49:$B$58,(CX49:CX58&gt;CY49:CY58)*1)+SUMPRODUCT($B$61:$B$68,(CX61:CX68&gt;CY61:CY68)*1)+SUMPRODUCT($B$71:$B$74,(CX71:CX74&gt;CY71:CY74)*1)+SUMPRODUCT($B$77:$B$78,(CX77:CX78&gt;CY77:CY78)*1)+SUMPRODUCT($B$99:$B$104,(CX99:CX104&gt;CY99:CY104)*1))*$B$20/52</f>
        <v>0</v>
      </c>
      <c r="CZ83" s="369" t="n">
        <f aca="false">(SUMPRODUCT($B$49:$B$58,(CY49:CY58&gt;CZ49:CZ58)*1)+SUMPRODUCT($B$61:$B$68,(CY61:CY68&gt;CZ61:CZ68)*1)+SUMPRODUCT($B$71:$B$74,(CY71:CY74&gt;CZ71:CZ74)*1)+SUMPRODUCT($B$77:$B$78,(CY77:CY78&gt;CZ77:CZ78)*1)+SUMPRODUCT($B$99:$B$104,(CY99:CY104&gt;CZ99:CZ104)*1))*$B$20/52</f>
        <v>0</v>
      </c>
      <c r="DA83" s="369" t="n">
        <f aca="false">(SUMPRODUCT($B$49:$B$58,(CZ49:CZ58&gt;DA49:DA58)*1)+SUMPRODUCT($B$61:$B$68,(CZ61:CZ68&gt;DA61:DA68)*1)+SUMPRODUCT($B$71:$B$74,(CZ71:CZ74&gt;DA71:DA74)*1)+SUMPRODUCT($B$77:$B$78,(CZ77:CZ78&gt;DA77:DA78)*1)+SUMPRODUCT($B$99:$B$104,(CZ99:CZ104&gt;DA99:DA104)*1))*$B$20/52</f>
        <v>0</v>
      </c>
      <c r="DB83" s="369" t="n">
        <f aca="false">(SUMPRODUCT($B$49:$B$58,(DA49:DA58&gt;DB49:DB58)*1)+SUMPRODUCT($B$61:$B$68,(DA61:DA68&gt;DB61:DB68)*1)+SUMPRODUCT($B$71:$B$74,(DA71:DA74&gt;DB71:DB74)*1)+SUMPRODUCT($B$77:$B$78,(DA77:DA78&gt;DB77:DB78)*1)+SUMPRODUCT($B$99:$B$104,(DA99:DA104&gt;DB99:DB104)*1))*$B$20/52</f>
        <v>0</v>
      </c>
      <c r="DC83" s="369" t="n">
        <f aca="false">(SUMPRODUCT($B$49:$B$58,(DB49:DB58&gt;DC49:DC58)*1)+SUMPRODUCT($B$61:$B$68,(DB61:DB68&gt;DC61:DC68)*1)+SUMPRODUCT($B$71:$B$74,(DB71:DB74&gt;DC71:DC74)*1)+SUMPRODUCT($B$77:$B$78,(DB77:DB78&gt;DC77:DC78)*1)+SUMPRODUCT($B$99:$B$104,(DB99:DB104&gt;DC99:DC104)*1))*$B$20/52</f>
        <v>0</v>
      </c>
      <c r="DD83" s="369" t="n">
        <f aca="false">(SUMPRODUCT($B$49:$B$58,(DC49:DC58&gt;DD49:DD58)*1)+SUMPRODUCT($B$61:$B$68,(DC61:DC68&gt;DD61:DD68)*1)+SUMPRODUCT($B$71:$B$74,(DC71:DC74&gt;DD71:DD74)*1)+SUMPRODUCT($B$77:$B$78,(DC77:DC78&gt;DD77:DD78)*1)+SUMPRODUCT($B$99:$B$104,(DC99:DC104&gt;DD99:DD104)*1))*$B$20/52</f>
        <v>0</v>
      </c>
      <c r="DE83" s="369"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09" t="s">
        <v>1245</v>
      </c>
      <c r="E84" s="369" t="n">
        <f aca="false">E82+E83</f>
        <v>0</v>
      </c>
      <c r="F84" s="369" t="n">
        <f aca="false">F82+F83</f>
        <v>0</v>
      </c>
      <c r="G84" s="369" t="n">
        <f aca="false">G82+G83</f>
        <v>0</v>
      </c>
      <c r="H84" s="369" t="n">
        <f aca="false">H82+H83</f>
        <v>0</v>
      </c>
      <c r="I84" s="369" t="n">
        <f aca="false">I82+I83</f>
        <v>0</v>
      </c>
      <c r="J84" s="369" t="n">
        <f aca="false">J82+J83</f>
        <v>0</v>
      </c>
      <c r="K84" s="369" t="n">
        <f aca="false">K82+K83</f>
        <v>0</v>
      </c>
      <c r="L84" s="369" t="n">
        <f aca="false">L82+L83</f>
        <v>0</v>
      </c>
      <c r="M84" s="369" t="n">
        <f aca="false">M82+M83</f>
        <v>12000</v>
      </c>
      <c r="N84" s="369" t="n">
        <f aca="false">N82+N83</f>
        <v>0</v>
      </c>
      <c r="O84" s="369" t="n">
        <f aca="false">O82+O83</f>
        <v>9375</v>
      </c>
      <c r="P84" s="369" t="n">
        <f aca="false">P82+P83</f>
        <v>0</v>
      </c>
      <c r="Q84" s="369" t="n">
        <f aca="false">Q82+Q83</f>
        <v>12000</v>
      </c>
      <c r="R84" s="369" t="n">
        <f aca="false">R82+R83</f>
        <v>21375</v>
      </c>
      <c r="S84" s="369" t="n">
        <f aca="false">S82+S83</f>
        <v>43125</v>
      </c>
      <c r="T84" s="369" t="n">
        <f aca="false">T82+T83</f>
        <v>0</v>
      </c>
      <c r="U84" s="369" t="n">
        <f aca="false">U82+U83</f>
        <v>0</v>
      </c>
      <c r="V84" s="369" t="n">
        <f aca="false">V82+V83</f>
        <v>0</v>
      </c>
      <c r="W84" s="369" t="n">
        <f aca="false">W82+W83</f>
        <v>42000</v>
      </c>
      <c r="X84" s="369" t="n">
        <f aca="false">X82+X83</f>
        <v>0</v>
      </c>
      <c r="Y84" s="369" t="n">
        <f aca="false">Y82+Y83</f>
        <v>0</v>
      </c>
      <c r="Z84" s="369" t="n">
        <f aca="false">Z82+Z83</f>
        <v>0</v>
      </c>
      <c r="AA84" s="369" t="n">
        <f aca="false">AA82+AA83</f>
        <v>0</v>
      </c>
      <c r="AB84" s="369" t="n">
        <f aca="false">AB82+AB83</f>
        <v>0</v>
      </c>
      <c r="AC84" s="369" t="n">
        <f aca="false">AC82+AC83</f>
        <v>19615.3846153846</v>
      </c>
      <c r="AD84" s="369" t="n">
        <f aca="false">AD82+AD83</f>
        <v>21923.0769230769</v>
      </c>
      <c r="AE84" s="369" t="n">
        <f aca="false">AE82+AE83</f>
        <v>0</v>
      </c>
      <c r="AF84" s="369" t="n">
        <f aca="false">AF82+AF83</f>
        <v>0</v>
      </c>
      <c r="AG84" s="369" t="n">
        <f aca="false">AG82+AG83</f>
        <v>13846.1538461538</v>
      </c>
      <c r="AH84" s="369" t="n">
        <f aca="false">AH82+AH83</f>
        <v>12307.6923076923</v>
      </c>
      <c r="AI84" s="369" t="n">
        <f aca="false">AI82+AI83</f>
        <v>0</v>
      </c>
      <c r="AJ84" s="369" t="n">
        <f aca="false">AJ82+AJ83</f>
        <v>0</v>
      </c>
      <c r="AK84" s="369" t="n">
        <f aca="false">AK82+AK83</f>
        <v>0</v>
      </c>
      <c r="AL84" s="369" t="n">
        <f aca="false">AL82+AL83</f>
        <v>0</v>
      </c>
      <c r="AM84" s="369" t="n">
        <f aca="false">AM82+AM83</f>
        <v>24615.3846153846</v>
      </c>
      <c r="AN84" s="369" t="n">
        <f aca="false">AN82+AN83</f>
        <v>9615.38461538462</v>
      </c>
      <c r="AO84" s="369" t="n">
        <f aca="false">AO82+AO83</f>
        <v>22307.6923076923</v>
      </c>
      <c r="AP84" s="369" t="n">
        <f aca="false">AP82+AP83</f>
        <v>0</v>
      </c>
      <c r="AQ84" s="369" t="n">
        <f aca="false">AQ82+AQ83</f>
        <v>9615.38461538462</v>
      </c>
      <c r="AR84" s="369" t="n">
        <f aca="false">AR82+AR83</f>
        <v>0</v>
      </c>
      <c r="AS84" s="369" t="n">
        <f aca="false">AS82+AS83</f>
        <v>0</v>
      </c>
      <c r="AT84" s="369" t="n">
        <f aca="false">AT82+AT83</f>
        <v>0</v>
      </c>
      <c r="AU84" s="369" t="n">
        <f aca="false">AU82+AU83</f>
        <v>9615.38461538462</v>
      </c>
      <c r="AV84" s="369" t="n">
        <f aca="false">AV82+AV83</f>
        <v>0</v>
      </c>
      <c r="AW84" s="369" t="n">
        <f aca="false">AW82+AW83</f>
        <v>0</v>
      </c>
      <c r="AX84" s="369" t="n">
        <f aca="false">AX82+AX83</f>
        <v>0</v>
      </c>
      <c r="AY84" s="369" t="n">
        <f aca="false">AY82+AY83</f>
        <v>0</v>
      </c>
      <c r="AZ84" s="369" t="n">
        <f aca="false">AZ82+AZ83</f>
        <v>0</v>
      </c>
      <c r="BA84" s="369" t="n">
        <f aca="false">BA82+BA83</f>
        <v>0</v>
      </c>
      <c r="BB84" s="369" t="n">
        <f aca="false">BB82+BB83</f>
        <v>0</v>
      </c>
      <c r="BC84" s="369" t="n">
        <f aca="false">BC82+BC83</f>
        <v>0</v>
      </c>
      <c r="BD84" s="369" t="n">
        <f aca="false">BD82+BD83</f>
        <v>0</v>
      </c>
      <c r="BE84" s="369" t="n">
        <f aca="false">BE82+BE83</f>
        <v>0</v>
      </c>
      <c r="BF84" s="369" t="n">
        <f aca="false">BF82+BF83</f>
        <v>0</v>
      </c>
      <c r="BG84" s="369" t="n">
        <f aca="false">BG82+BG83</f>
        <v>0</v>
      </c>
      <c r="BH84" s="369" t="n">
        <f aca="false">BH82+BH83</f>
        <v>0</v>
      </c>
      <c r="BI84" s="369" t="n">
        <f aca="false">BI82+BI83</f>
        <v>0</v>
      </c>
      <c r="BJ84" s="369" t="n">
        <f aca="false">BJ82+BJ83</f>
        <v>0</v>
      </c>
      <c r="BK84" s="369" t="n">
        <f aca="false">BK82+BK83</f>
        <v>0</v>
      </c>
      <c r="BL84" s="369" t="n">
        <f aca="false">BL82+BL83</f>
        <v>0</v>
      </c>
      <c r="BM84" s="369" t="n">
        <f aca="false">BM82+BM83</f>
        <v>0</v>
      </c>
      <c r="BN84" s="369" t="n">
        <f aca="false">BN82+BN83</f>
        <v>0</v>
      </c>
      <c r="BO84" s="369" t="n">
        <f aca="false">BO82+BO83</f>
        <v>0</v>
      </c>
      <c r="BP84" s="369" t="n">
        <f aca="false">BP82+BP83</f>
        <v>0</v>
      </c>
      <c r="BQ84" s="369" t="n">
        <f aca="false">BQ82+BQ83</f>
        <v>0</v>
      </c>
      <c r="BR84" s="369" t="n">
        <f aca="false">BR82+BR83</f>
        <v>0</v>
      </c>
      <c r="BS84" s="369" t="n">
        <f aca="false">BS82+BS83</f>
        <v>0</v>
      </c>
      <c r="BT84" s="369" t="n">
        <f aca="false">BT82+BT83</f>
        <v>0</v>
      </c>
      <c r="BU84" s="369" t="n">
        <f aca="false">BU82+BU83</f>
        <v>0</v>
      </c>
      <c r="BV84" s="369" t="n">
        <f aca="false">BV82+BV83</f>
        <v>0</v>
      </c>
      <c r="BW84" s="369" t="n">
        <f aca="false">BW82+BW83</f>
        <v>0</v>
      </c>
      <c r="BX84" s="369" t="n">
        <f aca="false">BX82+BX83</f>
        <v>0</v>
      </c>
      <c r="BY84" s="369" t="n">
        <f aca="false">BY82+BY83</f>
        <v>0</v>
      </c>
      <c r="BZ84" s="369" t="n">
        <f aca="false">BZ82+BZ83</f>
        <v>0</v>
      </c>
      <c r="CA84" s="369" t="n">
        <f aca="false">CA82+CA83</f>
        <v>0</v>
      </c>
      <c r="CB84" s="369" t="n">
        <f aca="false">CB82+CB83</f>
        <v>0</v>
      </c>
      <c r="CC84" s="369" t="n">
        <f aca="false">CC82+CC83</f>
        <v>0</v>
      </c>
      <c r="CD84" s="369" t="n">
        <f aca="false">CD82+CD83</f>
        <v>0</v>
      </c>
      <c r="CE84" s="369" t="n">
        <f aca="false">CE82+CE83</f>
        <v>0</v>
      </c>
      <c r="CF84" s="369" t="n">
        <f aca="false">CF82+CF83</f>
        <v>0</v>
      </c>
      <c r="CG84" s="369" t="n">
        <f aca="false">CG82+CG83</f>
        <v>0</v>
      </c>
      <c r="CH84" s="369" t="n">
        <f aca="false">CH82+CH83</f>
        <v>0</v>
      </c>
      <c r="CI84" s="369" t="n">
        <f aca="false">CI82+CI83</f>
        <v>0</v>
      </c>
      <c r="CJ84" s="369" t="n">
        <f aca="false">CJ82+CJ83</f>
        <v>0</v>
      </c>
      <c r="CK84" s="369" t="n">
        <f aca="false">CK82+CK83</f>
        <v>0</v>
      </c>
      <c r="CL84" s="369" t="n">
        <f aca="false">CL82+CL83</f>
        <v>0</v>
      </c>
      <c r="CM84" s="369" t="n">
        <f aca="false">CM82+CM83</f>
        <v>0</v>
      </c>
      <c r="CN84" s="369" t="n">
        <f aca="false">CN82+CN83</f>
        <v>0</v>
      </c>
      <c r="CO84" s="369" t="n">
        <f aca="false">CO82+CO83</f>
        <v>0</v>
      </c>
      <c r="CP84" s="369" t="n">
        <f aca="false">CP82+CP83</f>
        <v>0</v>
      </c>
      <c r="CQ84" s="369" t="n">
        <f aca="false">CQ82+CQ83</f>
        <v>0</v>
      </c>
      <c r="CR84" s="369" t="n">
        <f aca="false">CR82+CR83</f>
        <v>0</v>
      </c>
      <c r="CS84" s="369" t="n">
        <f aca="false">CS82+CS83</f>
        <v>0</v>
      </c>
      <c r="CT84" s="369" t="n">
        <f aca="false">CT82+CT83</f>
        <v>0</v>
      </c>
      <c r="CU84" s="369" t="n">
        <f aca="false">CU82+CU83</f>
        <v>0</v>
      </c>
      <c r="CV84" s="369" t="n">
        <f aca="false">CV82+CV83</f>
        <v>0</v>
      </c>
      <c r="CW84" s="369" t="n">
        <f aca="false">CW82+CW83</f>
        <v>0</v>
      </c>
      <c r="CX84" s="369" t="n">
        <f aca="false">CX82+CX83</f>
        <v>0</v>
      </c>
      <c r="CY84" s="369" t="n">
        <f aca="false">CY82+CY83</f>
        <v>0</v>
      </c>
      <c r="CZ84" s="369" t="n">
        <f aca="false">CZ82+CZ83</f>
        <v>0</v>
      </c>
      <c r="DA84" s="369" t="n">
        <f aca="false">DA82+DA83</f>
        <v>0</v>
      </c>
      <c r="DB84" s="369" t="n">
        <f aca="false">DB82+DB83</f>
        <v>0</v>
      </c>
      <c r="DC84" s="369" t="n">
        <f aca="false">DC82+DC83</f>
        <v>0</v>
      </c>
      <c r="DD84" s="369" t="n">
        <f aca="false">DD82+DD83</f>
        <v>0</v>
      </c>
      <c r="DE84" s="369" t="n">
        <f aca="false">DE82+DE83</f>
        <v>0</v>
      </c>
    </row>
    <row r="86" customFormat="false" ht="13.5" hidden="false" customHeight="true" outlineLevel="0" collapsed="false">
      <c r="A86" s="223" t="s">
        <v>1246</v>
      </c>
      <c r="B86" s="224"/>
      <c r="C86" s="224"/>
      <c r="D86" s="224"/>
      <c r="E86" s="224"/>
      <c r="F86" s="224"/>
    </row>
    <row r="87" customFormat="false" ht="13.5" hidden="false" customHeight="true" outlineLevel="0" collapsed="false">
      <c r="A87" s="109" t="s">
        <v>1247</v>
      </c>
      <c r="E87" s="367" t="n">
        <f aca="false">E43+SUM(E49:E58)</f>
        <v>4</v>
      </c>
      <c r="F87" s="367" t="n">
        <f aca="false">F43+SUM(F49:F58)</f>
        <v>5</v>
      </c>
      <c r="G87" s="367" t="n">
        <f aca="false">G43+SUM(G49:G58)</f>
        <v>5</v>
      </c>
      <c r="H87" s="367" t="n">
        <f aca="false">H43+SUM(H49:H58)</f>
        <v>6</v>
      </c>
      <c r="I87" s="367" t="n">
        <f aca="false">I43+SUM(I49:I58)</f>
        <v>6</v>
      </c>
      <c r="J87" s="367" t="n">
        <f aca="false">J43+SUM(J49:J58)</f>
        <v>7</v>
      </c>
      <c r="K87" s="367" t="n">
        <f aca="false">K43+SUM(K49:K58)</f>
        <v>7</v>
      </c>
      <c r="L87" s="367" t="n">
        <f aca="false">L43+SUM(L49:L58)</f>
        <v>7</v>
      </c>
      <c r="M87" s="367" t="n">
        <f aca="false">M43+SUM(M49:M58)</f>
        <v>8</v>
      </c>
      <c r="N87" s="367" t="n">
        <f aca="false">N43+SUM(N49:N58)</f>
        <v>8</v>
      </c>
      <c r="O87" s="367" t="n">
        <f aca="false">O43+SUM(O49:O58)</f>
        <v>8</v>
      </c>
      <c r="P87" s="367" t="n">
        <f aca="false">P43+SUM(P49:P58)</f>
        <v>8</v>
      </c>
      <c r="Q87" s="367" t="n">
        <f aca="false">Q43+SUM(Q49:Q58)</f>
        <v>9</v>
      </c>
      <c r="R87" s="367" t="n">
        <f aca="false">R43+SUM(R49:R58)</f>
        <v>10</v>
      </c>
      <c r="S87" s="367" t="n">
        <f aca="false">S43+SUM(S49:S58)</f>
        <v>12</v>
      </c>
      <c r="T87" s="367" t="n">
        <f aca="false">T43+SUM(T49:T58)</f>
        <v>12</v>
      </c>
      <c r="U87" s="367" t="n">
        <f aca="false">U43+SUM(U49:U58)</f>
        <v>12</v>
      </c>
      <c r="V87" s="367" t="n">
        <f aca="false">V43+SUM(V49:V58)</f>
        <v>12</v>
      </c>
      <c r="W87" s="367" t="n">
        <f aca="false">W43+SUM(W49:W58)</f>
        <v>13</v>
      </c>
      <c r="X87" s="367" t="n">
        <f aca="false">X43+SUM(X49:X58)</f>
        <v>13</v>
      </c>
      <c r="Y87" s="367" t="n">
        <f aca="false">Y43+SUM(Y49:Y58)</f>
        <v>13</v>
      </c>
      <c r="Z87" s="367" t="n">
        <f aca="false">Z43+SUM(Z49:Z58)</f>
        <v>13</v>
      </c>
      <c r="AA87" s="367" t="n">
        <f aca="false">AA43+SUM(AA49:AA58)</f>
        <v>13</v>
      </c>
      <c r="AB87" s="367" t="n">
        <f aca="false">AB43+SUM(AB49:AB58)</f>
        <v>13</v>
      </c>
      <c r="AC87" s="367" t="n">
        <f aca="false">AC43+SUM(AC49:AC58)</f>
        <v>12</v>
      </c>
      <c r="AD87" s="367" t="n">
        <f aca="false">AD43+SUM(AD49:AD58)</f>
        <v>11</v>
      </c>
      <c r="AE87" s="367" t="n">
        <f aca="false">AE43+SUM(AE49:AE58)</f>
        <v>11</v>
      </c>
      <c r="AF87" s="367" t="n">
        <f aca="false">AF43+SUM(AF49:AF58)</f>
        <v>11</v>
      </c>
      <c r="AG87" s="367" t="n">
        <f aca="false">AG43+SUM(AG49:AG58)</f>
        <v>11</v>
      </c>
      <c r="AH87" s="367" t="n">
        <f aca="false">AH43+SUM(AH49:AH58)</f>
        <v>10</v>
      </c>
      <c r="AI87" s="367" t="n">
        <f aca="false">AI43+SUM(AI49:AI58)</f>
        <v>10</v>
      </c>
      <c r="AJ87" s="367" t="n">
        <f aca="false">AJ43+SUM(AJ49:AJ58)</f>
        <v>10</v>
      </c>
      <c r="AK87" s="367" t="n">
        <f aca="false">AK43+SUM(AK49:AK58)</f>
        <v>10</v>
      </c>
      <c r="AL87" s="367" t="n">
        <f aca="false">AL43+SUM(AL49:AL58)</f>
        <v>10</v>
      </c>
      <c r="AM87" s="367" t="n">
        <f aca="false">AM43+SUM(AM49:AM58)</f>
        <v>8</v>
      </c>
      <c r="AN87" s="367" t="n">
        <f aca="false">AN43+SUM(AN49:AN58)</f>
        <v>8</v>
      </c>
      <c r="AO87" s="367" t="n">
        <f aca="false">AO43+SUM(AO49:AO58)</f>
        <v>7</v>
      </c>
      <c r="AP87" s="367" t="n">
        <f aca="false">AP43+SUM(AP49:AP58)</f>
        <v>7</v>
      </c>
      <c r="AQ87" s="367" t="n">
        <f aca="false">AQ43+SUM(AQ49:AQ58)</f>
        <v>7</v>
      </c>
      <c r="AR87" s="367" t="n">
        <f aca="false">AR43+SUM(AR49:AR58)</f>
        <v>7</v>
      </c>
      <c r="AS87" s="367" t="n">
        <f aca="false">AS43+SUM(AS49:AS58)</f>
        <v>7</v>
      </c>
      <c r="AT87" s="367" t="n">
        <f aca="false">AT43+SUM(AT49:AT58)</f>
        <v>7</v>
      </c>
      <c r="AU87" s="367" t="n">
        <f aca="false">AU43+SUM(AU49:AU58)</f>
        <v>7</v>
      </c>
      <c r="AV87" s="367" t="n">
        <f aca="false">AV43+SUM(AV49:AV58)</f>
        <v>7</v>
      </c>
      <c r="AW87" s="367" t="n">
        <f aca="false">AW43+SUM(AW49:AW58)</f>
        <v>7</v>
      </c>
      <c r="AX87" s="367" t="n">
        <f aca="false">AX43+SUM(AX49:AX58)</f>
        <v>7</v>
      </c>
      <c r="AY87" s="367" t="n">
        <f aca="false">AY43+SUM(AY49:AY58)</f>
        <v>7</v>
      </c>
      <c r="AZ87" s="367" t="n">
        <f aca="false">AZ43+SUM(AZ49:AZ58)</f>
        <v>7</v>
      </c>
      <c r="BA87" s="367" t="n">
        <f aca="false">BA43+SUM(BA49:BA58)</f>
        <v>7</v>
      </c>
      <c r="BB87" s="367" t="n">
        <f aca="false">BB43+SUM(BB49:BB58)</f>
        <v>7</v>
      </c>
      <c r="BC87" s="367" t="n">
        <f aca="false">BC43+SUM(BC49:BC58)</f>
        <v>7</v>
      </c>
      <c r="BD87" s="367" t="n">
        <f aca="false">BD43+SUM(BD49:BD58)</f>
        <v>7</v>
      </c>
      <c r="BE87" s="367" t="n">
        <f aca="false">BE43+SUM(BE49:BE58)</f>
        <v>7</v>
      </c>
      <c r="BF87" s="367" t="n">
        <f aca="false">BF43+SUM(BF49:BF58)</f>
        <v>7</v>
      </c>
      <c r="BG87" s="367" t="n">
        <f aca="false">BG43+SUM(BG49:BG58)</f>
        <v>7</v>
      </c>
      <c r="BH87" s="367" t="n">
        <f aca="false">BH43+SUM(BH49:BH58)</f>
        <v>7</v>
      </c>
      <c r="BI87" s="367" t="n">
        <f aca="false">BI43+SUM(BI49:BI58)</f>
        <v>7</v>
      </c>
      <c r="BJ87" s="367" t="n">
        <f aca="false">BJ43+SUM(BJ49:BJ58)</f>
        <v>7</v>
      </c>
      <c r="BK87" s="367" t="n">
        <f aca="false">BK43+SUM(BK49:BK58)</f>
        <v>7</v>
      </c>
      <c r="BL87" s="367" t="n">
        <f aca="false">BL43+SUM(BL49:BL58)</f>
        <v>7</v>
      </c>
      <c r="BM87" s="367" t="n">
        <f aca="false">BM43+SUM(BM49:BM58)</f>
        <v>7</v>
      </c>
      <c r="BN87" s="367" t="n">
        <f aca="false">BN43+SUM(BN49:BN58)</f>
        <v>7</v>
      </c>
      <c r="BO87" s="367" t="n">
        <f aca="false">BO43+SUM(BO49:BO58)</f>
        <v>7</v>
      </c>
      <c r="BP87" s="367" t="n">
        <f aca="false">BP43+SUM(BP49:BP58)</f>
        <v>7</v>
      </c>
      <c r="BQ87" s="367" t="n">
        <f aca="false">BQ43+SUM(BQ49:BQ58)</f>
        <v>7</v>
      </c>
      <c r="BR87" s="367" t="n">
        <f aca="false">BR43+SUM(BR49:BR58)</f>
        <v>7</v>
      </c>
      <c r="BS87" s="367" t="n">
        <f aca="false">BS43+SUM(BS49:BS58)</f>
        <v>7</v>
      </c>
      <c r="BT87" s="367" t="n">
        <f aca="false">BT43+SUM(BT49:BT58)</f>
        <v>7</v>
      </c>
      <c r="BU87" s="367" t="n">
        <f aca="false">BU43+SUM(BU49:BU58)</f>
        <v>7</v>
      </c>
      <c r="BV87" s="367" t="n">
        <f aca="false">BV43+SUM(BV49:BV58)</f>
        <v>7</v>
      </c>
      <c r="BW87" s="367" t="n">
        <f aca="false">BW43+SUM(BW49:BW58)</f>
        <v>7</v>
      </c>
      <c r="BX87" s="367" t="n">
        <f aca="false">BX43+SUM(BX49:BX58)</f>
        <v>7</v>
      </c>
      <c r="BY87" s="367" t="n">
        <f aca="false">BY43+SUM(BY49:BY58)</f>
        <v>7</v>
      </c>
      <c r="BZ87" s="367" t="n">
        <f aca="false">BZ43+SUM(BZ49:BZ58)</f>
        <v>7</v>
      </c>
      <c r="CA87" s="367" t="n">
        <f aca="false">CA43+SUM(CA49:CA58)</f>
        <v>7</v>
      </c>
      <c r="CB87" s="367" t="n">
        <f aca="false">CB43+SUM(CB49:CB58)</f>
        <v>7</v>
      </c>
      <c r="CC87" s="367" t="n">
        <f aca="false">CC43+SUM(CC49:CC58)</f>
        <v>7</v>
      </c>
      <c r="CD87" s="367" t="n">
        <f aca="false">CD43+SUM(CD49:CD58)</f>
        <v>7</v>
      </c>
      <c r="CE87" s="367" t="n">
        <f aca="false">CE43+SUM(CE49:CE58)</f>
        <v>7</v>
      </c>
      <c r="CF87" s="367" t="n">
        <f aca="false">CF43+SUM(CF49:CF58)</f>
        <v>7</v>
      </c>
      <c r="CG87" s="367" t="n">
        <f aca="false">CG43+SUM(CG49:CG58)</f>
        <v>7</v>
      </c>
      <c r="CH87" s="367" t="n">
        <f aca="false">CH43+SUM(CH49:CH58)</f>
        <v>7</v>
      </c>
      <c r="CI87" s="367" t="n">
        <f aca="false">CI43+SUM(CI49:CI58)</f>
        <v>7</v>
      </c>
      <c r="CJ87" s="367" t="n">
        <f aca="false">CJ43+SUM(CJ49:CJ58)</f>
        <v>7</v>
      </c>
      <c r="CK87" s="367" t="n">
        <f aca="false">CK43+SUM(CK49:CK58)</f>
        <v>7</v>
      </c>
      <c r="CL87" s="367" t="n">
        <f aca="false">CL43+SUM(CL49:CL58)</f>
        <v>7</v>
      </c>
      <c r="CM87" s="367" t="n">
        <f aca="false">CM43+SUM(CM49:CM58)</f>
        <v>7</v>
      </c>
      <c r="CN87" s="367" t="n">
        <f aca="false">CN43+SUM(CN49:CN58)</f>
        <v>7</v>
      </c>
      <c r="CO87" s="367" t="n">
        <f aca="false">CO43+SUM(CO49:CO58)</f>
        <v>7</v>
      </c>
      <c r="CP87" s="367" t="n">
        <f aca="false">CP43+SUM(CP49:CP58)</f>
        <v>7</v>
      </c>
      <c r="CQ87" s="367" t="n">
        <f aca="false">CQ43+SUM(CQ49:CQ58)</f>
        <v>7</v>
      </c>
      <c r="CR87" s="367" t="n">
        <f aca="false">CR43+SUM(CR49:CR58)</f>
        <v>7</v>
      </c>
      <c r="CS87" s="367" t="n">
        <f aca="false">CS43+SUM(CS49:CS58)</f>
        <v>7</v>
      </c>
      <c r="CT87" s="367" t="n">
        <f aca="false">CT43+SUM(CT49:CT58)</f>
        <v>7</v>
      </c>
      <c r="CU87" s="367" t="n">
        <f aca="false">CU43+SUM(CU49:CU58)</f>
        <v>7</v>
      </c>
      <c r="CV87" s="367" t="n">
        <f aca="false">CV43+SUM(CV49:CV58)</f>
        <v>7</v>
      </c>
      <c r="CW87" s="367" t="n">
        <f aca="false">CW43+SUM(CW49:CW58)</f>
        <v>7</v>
      </c>
      <c r="CX87" s="367" t="n">
        <f aca="false">CX43+SUM(CX49:CX58)</f>
        <v>7</v>
      </c>
      <c r="CY87" s="367" t="n">
        <f aca="false">CY43+SUM(CY49:CY58)</f>
        <v>7</v>
      </c>
      <c r="CZ87" s="367" t="n">
        <f aca="false">CZ43+SUM(CZ49:CZ58)</f>
        <v>7</v>
      </c>
      <c r="DA87" s="367" t="n">
        <f aca="false">DA43+SUM(DA49:DA58)</f>
        <v>7</v>
      </c>
      <c r="DB87" s="367" t="n">
        <f aca="false">DB43+SUM(DB49:DB58)</f>
        <v>7</v>
      </c>
      <c r="DC87" s="367" t="n">
        <f aca="false">DC43+SUM(DC49:DC58)</f>
        <v>7</v>
      </c>
      <c r="DD87" s="367" t="n">
        <f aca="false">DD43+SUM(DD49:DD58)</f>
        <v>7</v>
      </c>
      <c r="DE87" s="367" t="n">
        <f aca="false">DE43+SUM(DE49:DE58)</f>
        <v>7</v>
      </c>
    </row>
    <row r="88" customFormat="false" ht="13.5" hidden="false" customHeight="true" outlineLevel="0" collapsed="false">
      <c r="A88" s="109" t="s">
        <v>1248</v>
      </c>
      <c r="E88" s="367" t="n">
        <f aca="false">E37-E87</f>
        <v>1</v>
      </c>
      <c r="F88" s="367" t="n">
        <f aca="false">F37-F87</f>
        <v>0</v>
      </c>
      <c r="G88" s="367" t="n">
        <f aca="false">G37-G87</f>
        <v>0</v>
      </c>
      <c r="H88" s="367" t="n">
        <f aca="false">H37-H87</f>
        <v>-1</v>
      </c>
      <c r="I88" s="367" t="n">
        <f aca="false">I37-I87</f>
        <v>1</v>
      </c>
      <c r="J88" s="367" t="n">
        <f aca="false">J37-J87</f>
        <v>1</v>
      </c>
      <c r="K88" s="367" t="n">
        <f aca="false">K37-K87</f>
        <v>1</v>
      </c>
      <c r="L88" s="367" t="n">
        <f aca="false">L37-L87</f>
        <v>1</v>
      </c>
      <c r="M88" s="367" t="n">
        <f aca="false">M37-M87</f>
        <v>0</v>
      </c>
      <c r="N88" s="367" t="n">
        <f aca="false">N37-N87</f>
        <v>1</v>
      </c>
      <c r="O88" s="367" t="n">
        <f aca="false">O37-O87</f>
        <v>2</v>
      </c>
      <c r="P88" s="367" t="n">
        <f aca="false">P37-P87</f>
        <v>2</v>
      </c>
      <c r="Q88" s="367" t="n">
        <f aca="false">Q37-Q87</f>
        <v>2</v>
      </c>
      <c r="R88" s="367" t="n">
        <f aca="false">R37-R87</f>
        <v>2</v>
      </c>
      <c r="S88" s="367" t="n">
        <f aca="false">S37-S87</f>
        <v>2</v>
      </c>
      <c r="T88" s="367" t="n">
        <f aca="false">T37-T87</f>
        <v>1</v>
      </c>
      <c r="U88" s="367" t="n">
        <f aca="false">U37-U87</f>
        <v>1</v>
      </c>
      <c r="V88" s="367" t="n">
        <f aca="false">V37-V87</f>
        <v>1</v>
      </c>
      <c r="W88" s="367" t="n">
        <f aca="false">W37-W87</f>
        <v>1</v>
      </c>
      <c r="X88" s="367" t="n">
        <f aca="false">X37-X87</f>
        <v>0</v>
      </c>
      <c r="Y88" s="367" t="n">
        <f aca="false">Y37-Y87</f>
        <v>0</v>
      </c>
      <c r="Z88" s="367" t="n">
        <f aca="false">Z37-Z87</f>
        <v>0</v>
      </c>
      <c r="AA88" s="367" t="n">
        <f aca="false">AA37-AA87</f>
        <v>0</v>
      </c>
      <c r="AB88" s="367" t="n">
        <f aca="false">AB37-AB87</f>
        <v>-1</v>
      </c>
      <c r="AC88" s="367" t="n">
        <f aca="false">AC37-AC87</f>
        <v>-1</v>
      </c>
      <c r="AD88" s="367" t="n">
        <f aca="false">AD37-AD87</f>
        <v>0</v>
      </c>
      <c r="AE88" s="367" t="n">
        <f aca="false">AE37-AE87</f>
        <v>1</v>
      </c>
      <c r="AF88" s="367" t="n">
        <f aca="false">AF37-AF87</f>
        <v>1</v>
      </c>
      <c r="AG88" s="367" t="n">
        <f aca="false">AG37-AG87</f>
        <v>-1</v>
      </c>
      <c r="AH88" s="367" t="n">
        <f aca="false">AH37-AH87</f>
        <v>-1</v>
      </c>
      <c r="AI88" s="367" t="n">
        <f aca="false">AI37-AI87</f>
        <v>-2</v>
      </c>
      <c r="AJ88" s="367" t="n">
        <f aca="false">AJ37-AJ87</f>
        <v>-2</v>
      </c>
      <c r="AK88" s="367" t="n">
        <f aca="false">AK37-AK87</f>
        <v>-3</v>
      </c>
      <c r="AL88" s="367" t="n">
        <f aca="false">AL37-AL87</f>
        <v>-3</v>
      </c>
      <c r="AM88" s="367" t="n">
        <f aca="false">AM37-AM87</f>
        <v>-1</v>
      </c>
      <c r="AN88" s="367" t="n">
        <f aca="false">AN37-AN87</f>
        <v>-1</v>
      </c>
      <c r="AO88" s="367" t="n">
        <f aca="false">AO37-AO87</f>
        <v>-2</v>
      </c>
      <c r="AP88" s="367" t="n">
        <f aca="false">AP37-AP87</f>
        <v>-3</v>
      </c>
      <c r="AQ88" s="367" t="n">
        <f aca="false">AQ37-AQ87</f>
        <v>-4</v>
      </c>
      <c r="AR88" s="367" t="n">
        <f aca="false">AR37-AR87</f>
        <v>-4</v>
      </c>
      <c r="AS88" s="367" t="n">
        <f aca="false">AS37-AS87</f>
        <v>-4</v>
      </c>
      <c r="AT88" s="367" t="n">
        <f aca="false">AT37-AT87</f>
        <v>-4</v>
      </c>
      <c r="AU88" s="367" t="n">
        <f aca="false">AU37-AU87</f>
        <v>-5</v>
      </c>
      <c r="AV88" s="367" t="n">
        <f aca="false">AV37-AV87</f>
        <v>-5</v>
      </c>
      <c r="AW88" s="367" t="n">
        <f aca="false">AW37-AW87</f>
        <v>-6</v>
      </c>
      <c r="AX88" s="367" t="n">
        <f aca="false">AX37-AX87</f>
        <v>-6</v>
      </c>
      <c r="AY88" s="367" t="n">
        <f aca="false">AY37-AY87</f>
        <v>-6</v>
      </c>
      <c r="AZ88" s="367" t="n">
        <f aca="false">AZ37-AZ87</f>
        <v>-6</v>
      </c>
      <c r="BA88" s="367" t="n">
        <f aca="false">BA37-BA87</f>
        <v>-6</v>
      </c>
      <c r="BB88" s="367" t="n">
        <f aca="false">BB37-BB87</f>
        <v>-6</v>
      </c>
      <c r="BC88" s="367" t="n">
        <f aca="false">BC37-BC87</f>
        <v>-6</v>
      </c>
      <c r="BD88" s="367" t="n">
        <f aca="false">BD37-BD87</f>
        <v>-6</v>
      </c>
      <c r="BE88" s="367" t="n">
        <f aca="false">BE37-BE87</f>
        <v>-6</v>
      </c>
      <c r="BF88" s="367" t="n">
        <f aca="false">BF37-BF87</f>
        <v>-6</v>
      </c>
      <c r="BG88" s="367" t="n">
        <f aca="false">BG37-BG87</f>
        <v>-6</v>
      </c>
      <c r="BH88" s="367" t="n">
        <f aca="false">BH37-BH87</f>
        <v>-6</v>
      </c>
      <c r="BI88" s="367" t="n">
        <f aca="false">BI37-BI87</f>
        <v>-7</v>
      </c>
      <c r="BJ88" s="367" t="n">
        <f aca="false">BJ37-BJ87</f>
        <v>-7</v>
      </c>
      <c r="BK88" s="367" t="n">
        <f aca="false">BK37-BK87</f>
        <v>-7</v>
      </c>
      <c r="BL88" s="367" t="n">
        <f aca="false">BL37-BL87</f>
        <v>-7</v>
      </c>
      <c r="BM88" s="367" t="n">
        <f aca="false">BM37-BM87</f>
        <v>-7</v>
      </c>
      <c r="BN88" s="367" t="n">
        <f aca="false">BN37-BN87</f>
        <v>-7</v>
      </c>
      <c r="BO88" s="367" t="n">
        <f aca="false">BO37-BO87</f>
        <v>-7</v>
      </c>
      <c r="BP88" s="367" t="n">
        <f aca="false">BP37-BP87</f>
        <v>-7</v>
      </c>
      <c r="BQ88" s="367" t="n">
        <f aca="false">BQ37-BQ87</f>
        <v>-7</v>
      </c>
      <c r="BR88" s="367" t="n">
        <f aca="false">BR37-BR87</f>
        <v>-7</v>
      </c>
      <c r="BS88" s="367" t="n">
        <f aca="false">BS37-BS87</f>
        <v>-7</v>
      </c>
      <c r="BT88" s="367" t="n">
        <f aca="false">BT37-BT87</f>
        <v>-7</v>
      </c>
      <c r="BU88" s="367" t="n">
        <f aca="false">BU37-BU87</f>
        <v>-7</v>
      </c>
      <c r="BV88" s="367" t="n">
        <f aca="false">BV37-BV87</f>
        <v>-7</v>
      </c>
      <c r="BW88" s="367" t="n">
        <f aca="false">BW37-BW87</f>
        <v>-7</v>
      </c>
      <c r="BX88" s="367" t="n">
        <f aca="false">BX37-BX87</f>
        <v>-7</v>
      </c>
      <c r="BY88" s="367" t="n">
        <f aca="false">BY37-BY87</f>
        <v>-7</v>
      </c>
      <c r="BZ88" s="367" t="n">
        <f aca="false">BZ37-BZ87</f>
        <v>-7</v>
      </c>
      <c r="CA88" s="367" t="n">
        <f aca="false">CA37-CA87</f>
        <v>-7</v>
      </c>
      <c r="CB88" s="367" t="n">
        <f aca="false">CB37-CB87</f>
        <v>-7</v>
      </c>
      <c r="CC88" s="367" t="n">
        <f aca="false">CC37-CC87</f>
        <v>-7</v>
      </c>
      <c r="CD88" s="367" t="n">
        <f aca="false">CD37-CD87</f>
        <v>-7</v>
      </c>
      <c r="CE88" s="367" t="n">
        <f aca="false">CE37-CE87</f>
        <v>-7</v>
      </c>
      <c r="CF88" s="367" t="n">
        <f aca="false">CF37-CF87</f>
        <v>-7</v>
      </c>
      <c r="CG88" s="367" t="n">
        <f aca="false">CG37-CG87</f>
        <v>-7</v>
      </c>
      <c r="CH88" s="367" t="n">
        <f aca="false">CH37-CH87</f>
        <v>-7</v>
      </c>
      <c r="CI88" s="367" t="n">
        <f aca="false">CI37-CI87</f>
        <v>-7</v>
      </c>
      <c r="CJ88" s="367" t="n">
        <f aca="false">CJ37-CJ87</f>
        <v>-7</v>
      </c>
      <c r="CK88" s="367" t="n">
        <f aca="false">CK37-CK87</f>
        <v>-7</v>
      </c>
      <c r="CL88" s="367" t="n">
        <f aca="false">CL37-CL87</f>
        <v>-7</v>
      </c>
      <c r="CM88" s="367" t="n">
        <f aca="false">CM37-CM87</f>
        <v>-7</v>
      </c>
      <c r="CN88" s="367" t="n">
        <f aca="false">CN37-CN87</f>
        <v>-7</v>
      </c>
      <c r="CO88" s="367" t="n">
        <f aca="false">CO37-CO87</f>
        <v>-7</v>
      </c>
      <c r="CP88" s="367" t="n">
        <f aca="false">CP37-CP87</f>
        <v>-7</v>
      </c>
      <c r="CQ88" s="367" t="n">
        <f aca="false">CQ37-CQ87</f>
        <v>-7</v>
      </c>
      <c r="CR88" s="367" t="n">
        <f aca="false">CR37-CR87</f>
        <v>-7</v>
      </c>
      <c r="CS88" s="367" t="n">
        <f aca="false">CS37-CS87</f>
        <v>-7</v>
      </c>
      <c r="CT88" s="367" t="n">
        <f aca="false">CT37-CT87</f>
        <v>-7</v>
      </c>
      <c r="CU88" s="367" t="n">
        <f aca="false">CU37-CU87</f>
        <v>-7</v>
      </c>
      <c r="CV88" s="367" t="n">
        <f aca="false">CV37-CV87</f>
        <v>-7</v>
      </c>
      <c r="CW88" s="367" t="n">
        <f aca="false">CW37-CW87</f>
        <v>-7</v>
      </c>
      <c r="CX88" s="367" t="n">
        <f aca="false">CX37-CX87</f>
        <v>-7</v>
      </c>
      <c r="CY88" s="367" t="n">
        <f aca="false">CY37-CY87</f>
        <v>-7</v>
      </c>
      <c r="CZ88" s="367" t="n">
        <f aca="false">CZ37-CZ87</f>
        <v>-7</v>
      </c>
      <c r="DA88" s="367" t="n">
        <f aca="false">DA37-DA87</f>
        <v>-7</v>
      </c>
      <c r="DB88" s="367" t="n">
        <f aca="false">DB37-DB87</f>
        <v>-7</v>
      </c>
      <c r="DC88" s="367" t="n">
        <f aca="false">DC37-DC87</f>
        <v>-7</v>
      </c>
      <c r="DD88" s="367" t="n">
        <f aca="false">DD37-DD87</f>
        <v>-7</v>
      </c>
      <c r="DE88" s="367" t="n">
        <f aca="false">DE37-DE87</f>
        <v>-7</v>
      </c>
    </row>
    <row r="89" customFormat="false" ht="13.5" hidden="false" customHeight="true" outlineLevel="0" collapsed="false">
      <c r="A89" s="109" t="s">
        <v>1249</v>
      </c>
      <c r="E89" s="367" t="n">
        <f aca="false">(E87+E44+SUM(E61:E68)+E45+SUM(E71:E74))-(E38+E39+E40)</f>
        <v>0.945</v>
      </c>
      <c r="F89" s="367" t="n">
        <f aca="false">(F87+F44+SUM(F61:F68)+F45+SUM(F71:F74))-(F38+F39+F40)</f>
        <v>2.945</v>
      </c>
      <c r="G89" s="367" t="n">
        <f aca="false">(G87+G44+SUM(G61:G68)+G45+SUM(G71:G74))-(G38+G39+G40)</f>
        <v>2.945</v>
      </c>
      <c r="H89" s="367" t="n">
        <f aca="false">(H87+H44+SUM(H61:H68)+H45+SUM(H71:H74))-(H38+H39+H40)</f>
        <v>4.2775</v>
      </c>
      <c r="I89" s="367" t="n">
        <f aca="false">(I87+I44+SUM(I61:I68)+I45+SUM(I71:I74))-(I38+I39+I40)</f>
        <v>0.0775000000000006</v>
      </c>
      <c r="J89" s="367" t="n">
        <f aca="false">(J87+J44+SUM(J61:J68)+J45+SUM(J71:J74))-(J38+J39+J40)</f>
        <v>0.7525</v>
      </c>
      <c r="K89" s="367" t="n">
        <f aca="false">(K87+K44+SUM(K61:K68)+K45+SUM(K71:K74))-(K38+K39+K40)</f>
        <v>0.7525</v>
      </c>
      <c r="L89" s="367" t="n">
        <f aca="false">(L87+L44+SUM(L61:L68)+L45+SUM(L71:L74))-(L38+L39+L40)</f>
        <v>0.7525</v>
      </c>
      <c r="M89" s="367" t="n">
        <f aca="false">(M87+M44+SUM(M61:M68)+M45+SUM(M71:M74))-(M38+M39+M40)</f>
        <v>0.427499999999998</v>
      </c>
      <c r="N89" s="367" t="n">
        <f aca="false">(N87+N44+SUM(N61:N68)+N45+SUM(N71:N74))-(N38+N39+N40)</f>
        <v>0.0949999999999989</v>
      </c>
      <c r="O89" s="367" t="n">
        <f aca="false">(O87+O44+SUM(O61:O68)+O45+SUM(O71:O74))-(O38+O39+O40)</f>
        <v>-1.1125</v>
      </c>
      <c r="P89" s="367" t="n">
        <f aca="false">(P87+P44+SUM(P61:P68)+P45+SUM(P71:P74))-(P38+P39+P40)</f>
        <v>-1.1125</v>
      </c>
      <c r="Q89" s="367" t="n">
        <f aca="false">(Q87+Q44+SUM(Q61:Q68)+Q45+SUM(Q71:Q74))-(Q38+Q39+Q40)</f>
        <v>-1.2125</v>
      </c>
      <c r="R89" s="367" t="n">
        <f aca="false">(R87+R44+SUM(R61:R68)+R45+SUM(R71:R74))-(R38+R39+R40)</f>
        <v>-1.3125</v>
      </c>
      <c r="S89" s="367" t="n">
        <f aca="false">(S87+S44+SUM(S61:S68)+S45+SUM(S71:S74))-(S38+S39+S40)</f>
        <v>-1.2875</v>
      </c>
      <c r="T89" s="367" t="n">
        <f aca="false">(T87+T44+SUM(T61:T68)+T45+SUM(T71:T74))-(T38+T39+T40)</f>
        <v>-1.2875</v>
      </c>
      <c r="U89" s="367" t="n">
        <f aca="false">(U87+U44+SUM(U61:U68)+U45+SUM(U71:U74))-(U38+U39+U40)</f>
        <v>-0.0799999999999983</v>
      </c>
      <c r="V89" s="367" t="n">
        <f aca="false">(V87+V44+SUM(V61:V68)+V45+SUM(V71:V74))-(V38+V39+V40)</f>
        <v>-1.405</v>
      </c>
      <c r="W89" s="367" t="n">
        <f aca="false">(W87+W44+SUM(W61:W68)+W45+SUM(W71:W74))-(W38+W39+W40)</f>
        <v>-0.279999999999998</v>
      </c>
      <c r="X89" s="367" t="n">
        <f aca="false">(X87+X44+SUM(X61:X68)+X45+SUM(X71:X74))-(X38+X39+X40)</f>
        <v>1.045</v>
      </c>
      <c r="Y89" s="367" t="n">
        <f aca="false">(Y87+Y44+SUM(Y61:Y68)+Y45+SUM(Y71:Y74))-(Y38+Y39+Y40)</f>
        <v>2.145</v>
      </c>
      <c r="Z89" s="367" t="n">
        <f aca="false">(Z87+Z44+SUM(Z61:Z68)+Z45+SUM(Z71:Z74))-(Z38+Z39+Z40)</f>
        <v>2.145</v>
      </c>
      <c r="AA89" s="367" t="n">
        <f aca="false">(AA87+AA44+SUM(AA61:AA68)+AA45+SUM(AA71:AA74))-(AA38+AA39+AA40)</f>
        <v>2.145</v>
      </c>
      <c r="AB89" s="367" t="n">
        <f aca="false">(AB87+AB44+SUM(AB61:AB68)+AB45+SUM(AB71:AB74))-(AB38+AB39+AB40)</f>
        <v>2.7025</v>
      </c>
      <c r="AC89" s="367" t="n">
        <f aca="false">(AC87+AC44+SUM(AC61:AC68)+AC45+SUM(AC71:AC74))-(AC38+AC39+AC40)</f>
        <v>2.135</v>
      </c>
      <c r="AD89" s="367" t="n">
        <f aca="false">(AD87+AD44+SUM(AD61:AD68)+AD45+SUM(AD71:AD74))-(AD38+AD39+AD40)</f>
        <v>2.46</v>
      </c>
      <c r="AE89" s="367" t="n">
        <f aca="false">(AE87+AE44+SUM(AE61:AE68)+AE45+SUM(AE71:AE74))-(AE38+AE39+AE40)</f>
        <v>0.585000000000001</v>
      </c>
      <c r="AF89" s="367" t="n">
        <f aca="false">(AF87+AF44+SUM(AF61:AF68)+AF45+SUM(AF71:AF74))-(AF38+AF39+AF40)</f>
        <v>0.810000000000002</v>
      </c>
      <c r="AG89" s="367" t="n">
        <f aca="false">(AG87+AG44+SUM(AG61:AG68)+AG45+SUM(AG71:AG74))-(AG38+AG39+AG40)</f>
        <v>-0.189999999999998</v>
      </c>
      <c r="AH89" s="367" t="n">
        <f aca="false">(AH87+AH44+SUM(AH61:AH68)+AH45+SUM(AH71:AH74))-(AH38+AH39+AH40)</f>
        <v>1.1175</v>
      </c>
      <c r="AI89" s="367" t="n">
        <f aca="false">(AI87+AI44+SUM(AI61:AI68)+AI45+SUM(AI71:AI74))-(AI38+AI39+AI40)</f>
        <v>2.325</v>
      </c>
      <c r="AJ89" s="367" t="n">
        <f aca="false">(AJ87+AJ44+SUM(AJ61:AJ68)+AJ45+SUM(AJ71:AJ74))-(AJ38+AJ39+AJ40)</f>
        <v>4.15</v>
      </c>
      <c r="AK89" s="367" t="n">
        <f aca="false">(AK87+AK44+SUM(AK61:AK68)+AK45+SUM(AK71:AK74))-(AK38+AK39+AK40)</f>
        <v>4.375</v>
      </c>
      <c r="AL89" s="367" t="n">
        <f aca="false">(AL87+AL44+SUM(AL61:AL68)+AL45+SUM(AL71:AL74))-(AL38+AL39+AL40)</f>
        <v>5.7</v>
      </c>
      <c r="AM89" s="367" t="n">
        <f aca="false">(AM87+AM44+SUM(AM61:AM68)+AM45+SUM(AM71:AM74))-(AM38+AM39+AM40)</f>
        <v>3.7</v>
      </c>
      <c r="AN89" s="367" t="n">
        <f aca="false">(AN87+AN44+SUM(AN61:AN68)+AN45+SUM(AN71:AN74))-(AN38+AN39+AN40)</f>
        <v>3.7</v>
      </c>
      <c r="AO89" s="367" t="n">
        <f aca="false">(AO87+AO44+SUM(AO61:AO68)+AO45+SUM(AO71:AO74))-(AO38+AO39+AO40)</f>
        <v>1.7</v>
      </c>
      <c r="AP89" s="367" t="n">
        <f aca="false">(AP87+AP44+SUM(AP61:AP68)+AP45+SUM(AP71:AP74))-(AP38+AP39+AP40)</f>
        <v>4.675</v>
      </c>
      <c r="AQ89" s="367" t="n">
        <f aca="false">(AQ87+AQ44+SUM(AQ61:AQ68)+AQ45+SUM(AQ71:AQ74))-(AQ38+AQ39+AQ40)</f>
        <v>5.775</v>
      </c>
      <c r="AR89" s="367" t="n">
        <f aca="false">(AR87+AR44+SUM(AR61:AR68)+AR45+SUM(AR71:AR74))-(AR38+AR39+AR40)</f>
        <v>7.375</v>
      </c>
      <c r="AS89" s="367" t="n">
        <f aca="false">(AS87+AS44+SUM(AS61:AS68)+AS45+SUM(AS71:AS74))-(AS38+AS39+AS40)</f>
        <v>7.375</v>
      </c>
      <c r="AT89" s="367" t="n">
        <f aca="false">(AT87+AT44+SUM(AT61:AT68)+AT45+SUM(AT71:AT74))-(AT38+AT39+AT40)</f>
        <v>7.375</v>
      </c>
      <c r="AU89" s="367" t="n">
        <f aca="false">(AU87+AU44+SUM(AU61:AU68)+AU45+SUM(AU71:AU74))-(AU38+AU39+AU40)</f>
        <v>7.375</v>
      </c>
      <c r="AV89" s="367" t="n">
        <f aca="false">(AV87+AV44+SUM(AV61:AV68)+AV45+SUM(AV71:AV74))-(AV38+AV39+AV40)</f>
        <v>8.75</v>
      </c>
      <c r="AW89" s="367" t="n">
        <f aca="false">(AW87+AW44+SUM(AW61:AW68)+AW45+SUM(AW71:AW74))-(AW38+AW39+AW40)</f>
        <v>8.75</v>
      </c>
      <c r="AX89" s="367" t="n">
        <f aca="false">(AX87+AX44+SUM(AX61:AX68)+AX45+SUM(AX71:AX74))-(AX38+AX39+AX40)</f>
        <v>10.125</v>
      </c>
      <c r="AY89" s="367" t="n">
        <f aca="false">(AY87+AY44+SUM(AY61:AY68)+AY45+SUM(AY71:AY74))-(AY38+AY39+AY40)</f>
        <v>10.125</v>
      </c>
      <c r="AZ89" s="367" t="n">
        <f aca="false">(AZ87+AZ44+SUM(AZ61:AZ68)+AZ45+SUM(AZ71:AZ74))-(AZ38+AZ39+AZ40)</f>
        <v>10.125</v>
      </c>
      <c r="BA89" s="367" t="n">
        <f aca="false">(BA87+BA44+SUM(BA61:BA68)+BA45+SUM(BA71:BA74))-(BA38+BA39+BA40)</f>
        <v>10.125</v>
      </c>
      <c r="BB89" s="367" t="n">
        <f aca="false">(BB87+BB44+SUM(BB61:BB68)+BB45+SUM(BB71:BB74))-(BB38+BB39+BB40)</f>
        <v>10.125</v>
      </c>
      <c r="BC89" s="367" t="n">
        <f aca="false">(BC87+BC44+SUM(BC61:BC68)+BC45+SUM(BC71:BC74))-(BC38+BC39+BC40)</f>
        <v>10.125</v>
      </c>
      <c r="BD89" s="367" t="n">
        <f aca="false">(BD87+BD44+SUM(BD61:BD68)+BD45+SUM(BD71:BD74))-(BD38+BD39+BD40)</f>
        <v>10.625</v>
      </c>
      <c r="BE89" s="367" t="n">
        <f aca="false">(BE87+BE44+SUM(BE61:BE68)+BE45+SUM(BE71:BE74))-(BE38+BE39+BE40)</f>
        <v>10.625</v>
      </c>
      <c r="BF89" s="367" t="n">
        <f aca="false">(BF87+BF44+SUM(BF61:BF68)+BF45+SUM(BF71:BF74))-(BF38+BF39+BF40)</f>
        <v>10.625</v>
      </c>
      <c r="BG89" s="367" t="n">
        <f aca="false">(BG87+BG44+SUM(BG61:BG68)+BG45+SUM(BG71:BG74))-(BG38+BG39+BG40)</f>
        <v>10.625</v>
      </c>
      <c r="BH89" s="367" t="n">
        <f aca="false">(BH87+BH44+SUM(BH61:BH68)+BH45+SUM(BH71:BH74))-(BH38+BH39+BH40)</f>
        <v>10.625</v>
      </c>
      <c r="BI89" s="367" t="n">
        <f aca="false">(BI87+BI44+SUM(BI61:BI68)+BI45+SUM(BI71:BI74))-(BI38+BI39+BI40)</f>
        <v>10.625</v>
      </c>
      <c r="BJ89" s="367" t="n">
        <f aca="false">(BJ87+BJ44+SUM(BJ61:BJ68)+BJ45+SUM(BJ71:BJ74))-(BJ38+BJ39+BJ40)</f>
        <v>12</v>
      </c>
      <c r="BK89" s="367" t="n">
        <f aca="false">(BK87+BK44+SUM(BK61:BK68)+BK45+SUM(BK71:BK74))-(BK38+BK39+BK40)</f>
        <v>12</v>
      </c>
      <c r="BL89" s="367" t="n">
        <f aca="false">(BL87+BL44+SUM(BL61:BL68)+BL45+SUM(BL71:BL74))-(BL38+BL39+BL40)</f>
        <v>12</v>
      </c>
      <c r="BM89" s="367" t="n">
        <f aca="false">(BM87+BM44+SUM(BM61:BM68)+BM45+SUM(BM71:BM74))-(BM38+BM39+BM40)</f>
        <v>12</v>
      </c>
      <c r="BN89" s="367" t="n">
        <f aca="false">(BN87+BN44+SUM(BN61:BN68)+BN45+SUM(BN71:BN74))-(BN38+BN39+BN40)</f>
        <v>12</v>
      </c>
      <c r="BO89" s="367" t="n">
        <f aca="false">(BO87+BO44+SUM(BO61:BO68)+BO45+SUM(BO71:BO74))-(BO38+BO39+BO40)</f>
        <v>12</v>
      </c>
      <c r="BP89" s="367" t="n">
        <f aca="false">(BP87+BP44+SUM(BP61:BP68)+BP45+SUM(BP71:BP74))-(BP38+BP39+BP40)</f>
        <v>12</v>
      </c>
      <c r="BQ89" s="367" t="n">
        <f aca="false">(BQ87+BQ44+SUM(BQ61:BQ68)+BQ45+SUM(BQ71:BQ74))-(BQ38+BQ39+BQ40)</f>
        <v>12</v>
      </c>
      <c r="BR89" s="367" t="n">
        <f aca="false">(BR87+BR44+SUM(BR61:BR68)+BR45+SUM(BR71:BR74))-(BR38+BR39+BR40)</f>
        <v>12</v>
      </c>
      <c r="BS89" s="367" t="n">
        <f aca="false">(BS87+BS44+SUM(BS61:BS68)+BS45+SUM(BS71:BS74))-(BS38+BS39+BS40)</f>
        <v>12</v>
      </c>
      <c r="BT89" s="367" t="n">
        <f aca="false">(BT87+BT44+SUM(BT61:BT68)+BT45+SUM(BT71:BT74))-(BT38+BT39+BT40)</f>
        <v>12</v>
      </c>
      <c r="BU89" s="367" t="n">
        <f aca="false">(BU87+BU44+SUM(BU61:BU68)+BU45+SUM(BU71:BU74))-(BU38+BU39+BU40)</f>
        <v>12</v>
      </c>
      <c r="BV89" s="367" t="n">
        <f aca="false">(BV87+BV44+SUM(BV61:BV68)+BV45+SUM(BV71:BV74))-(BV38+BV39+BV40)</f>
        <v>12</v>
      </c>
      <c r="BW89" s="367" t="n">
        <f aca="false">(BW87+BW44+SUM(BW61:BW68)+BW45+SUM(BW71:BW74))-(BW38+BW39+BW40)</f>
        <v>12</v>
      </c>
      <c r="BX89" s="367" t="n">
        <f aca="false">(BX87+BX44+SUM(BX61:BX68)+BX45+SUM(BX71:BX74))-(BX38+BX39+BX40)</f>
        <v>12</v>
      </c>
      <c r="BY89" s="367" t="n">
        <f aca="false">(BY87+BY44+SUM(BY61:BY68)+BY45+SUM(BY71:BY74))-(BY38+BY39+BY40)</f>
        <v>12</v>
      </c>
      <c r="BZ89" s="367" t="n">
        <f aca="false">(BZ87+BZ44+SUM(BZ61:BZ68)+BZ45+SUM(BZ71:BZ74))-(BZ38+BZ39+BZ40)</f>
        <v>12</v>
      </c>
      <c r="CA89" s="367" t="n">
        <f aca="false">(CA87+CA44+SUM(CA61:CA68)+CA45+SUM(CA71:CA74))-(CA38+CA39+CA40)</f>
        <v>12</v>
      </c>
      <c r="CB89" s="367" t="n">
        <f aca="false">(CB87+CB44+SUM(CB61:CB68)+CB45+SUM(CB71:CB74))-(CB38+CB39+CB40)</f>
        <v>12</v>
      </c>
      <c r="CC89" s="367" t="n">
        <f aca="false">(CC87+CC44+SUM(CC61:CC68)+CC45+SUM(CC71:CC74))-(CC38+CC39+CC40)</f>
        <v>12</v>
      </c>
      <c r="CD89" s="367" t="n">
        <f aca="false">(CD87+CD44+SUM(CD61:CD68)+CD45+SUM(CD71:CD74))-(CD38+CD39+CD40)</f>
        <v>12</v>
      </c>
      <c r="CE89" s="367" t="n">
        <f aca="false">(CE87+CE44+SUM(CE61:CE68)+CE45+SUM(CE71:CE74))-(CE38+CE39+CE40)</f>
        <v>12</v>
      </c>
      <c r="CF89" s="367" t="n">
        <f aca="false">(CF87+CF44+SUM(CF61:CF68)+CF45+SUM(CF71:CF74))-(CF38+CF39+CF40)</f>
        <v>12</v>
      </c>
      <c r="CG89" s="367" t="n">
        <f aca="false">(CG87+CG44+SUM(CG61:CG68)+CG45+SUM(CG71:CG74))-(CG38+CG39+CG40)</f>
        <v>12</v>
      </c>
      <c r="CH89" s="367" t="n">
        <f aca="false">(CH87+CH44+SUM(CH61:CH68)+CH45+SUM(CH71:CH74))-(CH38+CH39+CH40)</f>
        <v>12</v>
      </c>
      <c r="CI89" s="367" t="n">
        <f aca="false">(CI87+CI44+SUM(CI61:CI68)+CI45+SUM(CI71:CI74))-(CI38+CI39+CI40)</f>
        <v>12</v>
      </c>
      <c r="CJ89" s="367" t="n">
        <f aca="false">(CJ87+CJ44+SUM(CJ61:CJ68)+CJ45+SUM(CJ71:CJ74))-(CJ38+CJ39+CJ40)</f>
        <v>12</v>
      </c>
      <c r="CK89" s="367" t="n">
        <f aca="false">(CK87+CK44+SUM(CK61:CK68)+CK45+SUM(CK71:CK74))-(CK38+CK39+CK40)</f>
        <v>12</v>
      </c>
      <c r="CL89" s="367" t="n">
        <f aca="false">(CL87+CL44+SUM(CL61:CL68)+CL45+SUM(CL71:CL74))-(CL38+CL39+CL40)</f>
        <v>12</v>
      </c>
      <c r="CM89" s="367" t="n">
        <f aca="false">(CM87+CM44+SUM(CM61:CM68)+CM45+SUM(CM71:CM74))-(CM38+CM39+CM40)</f>
        <v>12</v>
      </c>
      <c r="CN89" s="367" t="n">
        <f aca="false">(CN87+CN44+SUM(CN61:CN68)+CN45+SUM(CN71:CN74))-(CN38+CN39+CN40)</f>
        <v>12</v>
      </c>
      <c r="CO89" s="367" t="n">
        <f aca="false">(CO87+CO44+SUM(CO61:CO68)+CO45+SUM(CO71:CO74))-(CO38+CO39+CO40)</f>
        <v>12</v>
      </c>
      <c r="CP89" s="367" t="n">
        <f aca="false">(CP87+CP44+SUM(CP61:CP68)+CP45+SUM(CP71:CP74))-(CP38+CP39+CP40)</f>
        <v>12</v>
      </c>
      <c r="CQ89" s="367" t="n">
        <f aca="false">(CQ87+CQ44+SUM(CQ61:CQ68)+CQ45+SUM(CQ71:CQ74))-(CQ38+CQ39+CQ40)</f>
        <v>12</v>
      </c>
      <c r="CR89" s="367" t="n">
        <f aca="false">(CR87+CR44+SUM(CR61:CR68)+CR45+SUM(CR71:CR74))-(CR38+CR39+CR40)</f>
        <v>12</v>
      </c>
      <c r="CS89" s="367" t="n">
        <f aca="false">(CS87+CS44+SUM(CS61:CS68)+CS45+SUM(CS71:CS74))-(CS38+CS39+CS40)</f>
        <v>12</v>
      </c>
      <c r="CT89" s="367" t="n">
        <f aca="false">(CT87+CT44+SUM(CT61:CT68)+CT45+SUM(CT71:CT74))-(CT38+CT39+CT40)</f>
        <v>12</v>
      </c>
      <c r="CU89" s="367" t="n">
        <f aca="false">(CU87+CU44+SUM(CU61:CU68)+CU45+SUM(CU71:CU74))-(CU38+CU39+CU40)</f>
        <v>12</v>
      </c>
      <c r="CV89" s="367" t="n">
        <f aca="false">(CV87+CV44+SUM(CV61:CV68)+CV45+SUM(CV71:CV74))-(CV38+CV39+CV40)</f>
        <v>12</v>
      </c>
      <c r="CW89" s="367" t="n">
        <f aca="false">(CW87+CW44+SUM(CW61:CW68)+CW45+SUM(CW71:CW74))-(CW38+CW39+CW40)</f>
        <v>12</v>
      </c>
      <c r="CX89" s="367" t="n">
        <f aca="false">(CX87+CX44+SUM(CX61:CX68)+CX45+SUM(CX71:CX74))-(CX38+CX39+CX40)</f>
        <v>12</v>
      </c>
      <c r="CY89" s="367" t="n">
        <f aca="false">(CY87+CY44+SUM(CY61:CY68)+CY45+SUM(CY71:CY74))-(CY38+CY39+CY40)</f>
        <v>12</v>
      </c>
      <c r="CZ89" s="367" t="n">
        <f aca="false">(CZ87+CZ44+SUM(CZ61:CZ68)+CZ45+SUM(CZ71:CZ74))-(CZ38+CZ39+CZ40)</f>
        <v>12</v>
      </c>
      <c r="DA89" s="367" t="n">
        <f aca="false">(DA87+DA44+SUM(DA61:DA68)+DA45+SUM(DA71:DA74))-(DA38+DA39+DA40)</f>
        <v>12</v>
      </c>
      <c r="DB89" s="367" t="n">
        <f aca="false">(DB87+DB44+SUM(DB61:DB68)+DB45+SUM(DB71:DB74))-(DB38+DB39+DB40)</f>
        <v>12</v>
      </c>
      <c r="DC89" s="367" t="n">
        <f aca="false">(DC87+DC44+SUM(DC61:DC68)+DC45+SUM(DC71:DC74))-(DC38+DC39+DC40)</f>
        <v>12</v>
      </c>
      <c r="DD89" s="367" t="n">
        <f aca="false">(DD87+DD44+SUM(DD61:DD68)+DD45+SUM(DD71:DD74))-(DD38+DD39+DD40)</f>
        <v>12</v>
      </c>
      <c r="DE89" s="367" t="n">
        <f aca="false">(DE87+DE44+SUM(DE61:DE68)+DE45+SUM(DE71:DE74))-(DE38+DE39+DE40)</f>
        <v>12</v>
      </c>
    </row>
    <row r="91" customFormat="false" ht="13.5" hidden="false" customHeight="true" outlineLevel="0" collapsed="false">
      <c r="A91" s="223" t="s">
        <v>1250</v>
      </c>
      <c r="B91" s="224"/>
    </row>
    <row r="92" customFormat="false" ht="13.5" hidden="false" customHeight="true" outlineLevel="0" collapsed="false">
      <c r="A92" s="109" t="s">
        <v>1251</v>
      </c>
      <c r="B92" s="364" t="n">
        <v>1</v>
      </c>
    </row>
    <row r="93" customFormat="false" ht="13.5" hidden="false" customHeight="true" outlineLevel="0" collapsed="false">
      <c r="A93" s="109" t="s">
        <v>1252</v>
      </c>
      <c r="B93" s="364" t="n">
        <v>0.5</v>
      </c>
    </row>
    <row r="94" customFormat="false" ht="13.5" hidden="false" customHeight="true" outlineLevel="0" collapsed="false">
      <c r="A94" s="109" t="s">
        <v>1253</v>
      </c>
      <c r="B94" s="364" t="n">
        <v>0.33</v>
      </c>
    </row>
    <row r="96" customFormat="false" ht="13.5" hidden="false" customHeight="true" outlineLevel="0" collapsed="false">
      <c r="A96" s="1" t="s">
        <v>1254</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4.66</v>
      </c>
      <c r="O96" s="1" t="n">
        <f aca="false">SUMPRODUCT((Projects!$G$2:$G$45="Yes")*(11&gt;=Projects!$C$2:$C$45-$B$15)*(11&lt;=Projects!$W$2:$W$45+$B$17)*((Projects!$B$2:$B$45&gt;=$B$12)*$B$92+(Projects!$B$2:$B$45&lt;$B$12)*(Projects!$B$2:$B$45&gt;=$B$13)*$B$93+(Projects!$B$2:$B$45&lt;$B$13)*$B$94))</f>
        <v>4.99</v>
      </c>
      <c r="P96" s="1" t="n">
        <f aca="false">SUMPRODUCT((Projects!$G$2:$G$45="Yes")*(12&gt;=Projects!$C$2:$C$45-$B$15)*(12&lt;=Projects!$W$2:$W$45+$B$17)*((Projects!$B$2:$B$45&gt;=$B$12)*$B$92+(Projects!$B$2:$B$45&lt;$B$12)*(Projects!$B$2:$B$45&gt;=$B$13)*$B$93+(Projects!$B$2:$B$45&lt;$B$13)*$B$94))</f>
        <v>4.99</v>
      </c>
      <c r="Q96" s="1" t="n">
        <f aca="false">SUMPRODUCT((Projects!$G$2:$G$45="Yes")*(13&gt;=Projects!$C$2:$C$45-$B$15)*(13&lt;=Projects!$W$2:$W$45+$B$17)*((Projects!$B$2:$B$45&gt;=$B$12)*$B$92+(Projects!$B$2:$B$45&lt;$B$12)*(Projects!$B$2:$B$45&gt;=$B$13)*$B$93+(Projects!$B$2:$B$45&lt;$B$13)*$B$94))</f>
        <v>5.49</v>
      </c>
      <c r="R96" s="1" t="n">
        <f aca="false">SUMPRODUCT((Projects!$G$2:$G$45="Yes")*(14&gt;=Projects!$C$2:$C$45-$B$15)*(14&lt;=Projects!$W$2:$W$45+$B$17)*((Projects!$B$2:$B$45&gt;=$B$12)*$B$92+(Projects!$B$2:$B$45&lt;$B$12)*(Projects!$B$2:$B$45&gt;=$B$13)*$B$93+(Projects!$B$2:$B$45&lt;$B$13)*$B$94))</f>
        <v>5.99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7.49</v>
      </c>
      <c r="U96" s="1" t="n">
        <f aca="false">SUMPRODUCT((Projects!$G$2:$G$45="Yes")*(17&gt;=Projects!$C$2:$C$45-$B$15)*(17&lt;=Projects!$W$2:$W$45+$B$17)*((Projects!$B$2:$B$45&gt;=$B$12)*$B$92+(Projects!$B$2:$B$45&lt;$B$12)*(Projects!$B$2:$B$45&gt;=$B$13)*$B$93+(Projects!$B$2:$B$45&lt;$B$13)*$B$94))</f>
        <v>7.16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8.66</v>
      </c>
      <c r="X96" s="1" t="n">
        <f aca="false">SUMPRODUCT((Projects!$G$2:$G$45="Yes")*(20&gt;=Projects!$C$2:$C$45-$B$15)*(20&lt;=Projects!$W$2:$W$45+$B$17)*((Projects!$B$2:$B$45&gt;=$B$12)*$B$92+(Projects!$B$2:$B$45&lt;$B$12)*(Projects!$B$2:$B$45&gt;=$B$13)*$B$93+(Projects!$B$2:$B$45&lt;$B$13)*$B$94))</f>
        <v>8.16</v>
      </c>
      <c r="Y96" s="1" t="n">
        <f aca="false">SUMPRODUCT((Projects!$G$2:$G$45="Yes")*(21&gt;=Projects!$C$2:$C$45-$B$15)*(21&lt;=Projects!$W$2:$W$45+$B$17)*((Projects!$B$2:$B$45&gt;=$B$12)*$B$92+(Projects!$B$2:$B$45&lt;$B$12)*(Projects!$B$2:$B$45&gt;=$B$13)*$B$93+(Projects!$B$2:$B$45&lt;$B$13)*$B$94))</f>
        <v>7.66</v>
      </c>
      <c r="Z96" s="1" t="n">
        <f aca="false">SUMPRODUCT((Projects!$G$2:$G$45="Yes")*(22&gt;=Projects!$C$2:$C$45-$B$15)*(22&lt;=Projects!$W$2:$W$45+$B$17)*((Projects!$B$2:$B$45&gt;=$B$12)*$B$92+(Projects!$B$2:$B$45&lt;$B$12)*(Projects!$B$2:$B$45&gt;=$B$13)*$B$93+(Projects!$B$2:$B$45&lt;$B$13)*$B$94))</f>
        <v>7.66</v>
      </c>
      <c r="AA96" s="1" t="n">
        <f aca="false">SUMPRODUCT((Projects!$G$2:$G$45="Yes")*(23&gt;=Projects!$C$2:$C$45-$B$15)*(23&lt;=Projects!$W$2:$W$45+$B$17)*((Projects!$B$2:$B$45&gt;=$B$12)*$B$92+(Projects!$B$2:$B$45&lt;$B$12)*(Projects!$B$2:$B$45&gt;=$B$13)*$B$93+(Projects!$B$2:$B$45&lt;$B$13)*$B$94))</f>
        <v>7.66</v>
      </c>
      <c r="AB96" s="1" t="n">
        <f aca="false">SUMPRODUCT((Projects!$G$2:$G$45="Yes")*(24&gt;=Projects!$C$2:$C$45-$B$15)*(24&lt;=Projects!$W$2:$W$45+$B$17)*((Projects!$B$2:$B$45&gt;=$B$12)*$B$92+(Projects!$B$2:$B$45&lt;$B$12)*(Projects!$B$2:$B$45&gt;=$B$13)*$B$93+(Projects!$B$2:$B$45&lt;$B$13)*$B$94))</f>
        <v>7.66</v>
      </c>
      <c r="AC96" s="1" t="n">
        <f aca="false">SUMPRODUCT((Projects!$G$2:$G$45="Yes")*(25&gt;=Projects!$C$2:$C$45-$B$15)*(25&lt;=Projects!$W$2:$W$45+$B$17)*((Projects!$B$2:$B$45&gt;=$B$12)*$B$92+(Projects!$B$2:$B$45&lt;$B$12)*(Projects!$B$2:$B$45&gt;=$B$13)*$B$93+(Projects!$B$2:$B$45&lt;$B$13)*$B$94))</f>
        <v>7.16</v>
      </c>
      <c r="AD96" s="1" t="n">
        <f aca="false">SUMPRODUCT((Projects!$G$2:$G$45="Yes")*(26&gt;=Projects!$C$2:$C$45-$B$15)*(26&lt;=Projects!$W$2:$W$45+$B$17)*((Projects!$B$2:$B$45&gt;=$B$12)*$B$92+(Projects!$B$2:$B$45&lt;$B$12)*(Projects!$B$2:$B$45&gt;=$B$13)*$B$93+(Projects!$B$2:$B$45&lt;$B$13)*$B$94))</f>
        <v>6.66</v>
      </c>
      <c r="AE96" s="1" t="n">
        <f aca="false">SUMPRODUCT((Projects!$G$2:$G$45="Yes")*(27&gt;=Projects!$C$2:$C$45-$B$15)*(27&lt;=Projects!$W$2:$W$45+$B$17)*((Projects!$B$2:$B$45&gt;=$B$12)*$B$92+(Projects!$B$2:$B$45&lt;$B$12)*(Projects!$B$2:$B$45&gt;=$B$13)*$B$93+(Projects!$B$2:$B$45&lt;$B$13)*$B$94))</f>
        <v>7.66</v>
      </c>
      <c r="AF96" s="1" t="n">
        <f aca="false">SUMPRODUCT((Projects!$G$2:$G$45="Yes")*(28&gt;=Projects!$C$2:$C$45-$B$15)*(28&lt;=Projects!$W$2:$W$45+$B$17)*((Projects!$B$2:$B$45&gt;=$B$12)*$B$92+(Projects!$B$2:$B$45&lt;$B$12)*(Projects!$B$2:$B$45&gt;=$B$13)*$B$93+(Projects!$B$2:$B$45&lt;$B$13)*$B$94))</f>
        <v>7.66</v>
      </c>
      <c r="AG96" s="1" t="n">
        <f aca="false">SUMPRODUCT((Projects!$G$2:$G$45="Yes")*(29&gt;=Projects!$C$2:$C$45-$B$15)*(29&lt;=Projects!$W$2:$W$45+$B$17)*((Projects!$B$2:$B$45&gt;=$B$12)*$B$92+(Projects!$B$2:$B$45&lt;$B$12)*(Projects!$B$2:$B$45&gt;=$B$13)*$B$93+(Projects!$B$2:$B$45&lt;$B$13)*$B$94))</f>
        <v>7.66</v>
      </c>
      <c r="AH96" s="1" t="n">
        <f aca="false">SUMPRODUCT((Projects!$G$2:$G$45="Yes")*(30&gt;=Projects!$C$2:$C$45-$B$15)*(30&lt;=Projects!$W$2:$W$45+$B$17)*((Projects!$B$2:$B$45&gt;=$B$12)*$B$92+(Projects!$B$2:$B$45&lt;$B$12)*(Projects!$B$2:$B$45&gt;=$B$13)*$B$93+(Projects!$B$2:$B$45&lt;$B$13)*$B$94))</f>
        <v>6.83</v>
      </c>
      <c r="AI96" s="1" t="n">
        <f aca="false">SUMPRODUCT((Projects!$G$2:$G$45="Yes")*(31&gt;=Projects!$C$2:$C$45-$B$15)*(31&lt;=Projects!$W$2:$W$45+$B$17)*((Projects!$B$2:$B$45&gt;=$B$12)*$B$92+(Projects!$B$2:$B$45&lt;$B$12)*(Projects!$B$2:$B$45&gt;=$B$13)*$B$93+(Projects!$B$2:$B$45&lt;$B$13)*$B$94))</f>
        <v>6.5</v>
      </c>
      <c r="AJ96" s="1" t="n">
        <f aca="false">SUMPRODUCT((Projects!$G$2:$G$45="Yes")*(32&gt;=Projects!$C$2:$C$45-$B$15)*(32&lt;=Projects!$W$2:$W$45+$B$17)*((Projects!$B$2:$B$45&gt;=$B$12)*$B$92+(Projects!$B$2:$B$45&lt;$B$12)*(Projects!$B$2:$B$45&gt;=$B$13)*$B$93+(Projects!$B$2:$B$45&lt;$B$13)*$B$94))</f>
        <v>6</v>
      </c>
      <c r="AK96" s="1" t="n">
        <f aca="false">SUMPRODUCT((Projects!$G$2:$G$45="Yes")*(33&gt;=Projects!$C$2:$C$45-$B$15)*(33&lt;=Projects!$W$2:$W$45+$B$17)*((Projects!$B$2:$B$45&gt;=$B$12)*$B$92+(Projects!$B$2:$B$45&lt;$B$12)*(Projects!$B$2:$B$45&gt;=$B$13)*$B$93+(Projects!$B$2:$B$45&lt;$B$13)*$B$94))</f>
        <v>6</v>
      </c>
      <c r="AL96" s="1" t="n">
        <f aca="false">SUMPRODUCT((Projects!$G$2:$G$45="Yes")*(34&gt;=Projects!$C$2:$C$45-$B$15)*(34&lt;=Projects!$W$2:$W$45+$B$17)*((Projects!$B$2:$B$45&gt;=$B$12)*$B$92+(Projects!$B$2:$B$45&lt;$B$12)*(Projects!$B$2:$B$45&gt;=$B$13)*$B$93+(Projects!$B$2:$B$45&lt;$B$13)*$B$94))</f>
        <v>5.5</v>
      </c>
      <c r="AM96" s="1" t="n">
        <f aca="false">SUMPRODUCT((Projects!$G$2:$G$45="Yes")*(35&gt;=Projects!$C$2:$C$45-$B$15)*(35&lt;=Projects!$W$2:$W$45+$B$17)*((Projects!$B$2:$B$45&gt;=$B$12)*$B$92+(Projects!$B$2:$B$45&lt;$B$12)*(Projects!$B$2:$B$45&gt;=$B$13)*$B$93+(Projects!$B$2:$B$45&lt;$B$13)*$B$94))</f>
        <v>5.5</v>
      </c>
      <c r="AN96" s="1" t="n">
        <f aca="false">SUMPRODUCT((Projects!$G$2:$G$45="Yes")*(36&gt;=Projects!$C$2:$C$45-$B$15)*(36&lt;=Projects!$W$2:$W$45+$B$17)*((Projects!$B$2:$B$45&gt;=$B$12)*$B$92+(Projects!$B$2:$B$45&lt;$B$12)*(Projects!$B$2:$B$45&gt;=$B$13)*$B$93+(Projects!$B$2:$B$45&lt;$B$13)*$B$94))</f>
        <v>5.5</v>
      </c>
      <c r="AO96" s="1" t="n">
        <f aca="false">SUMPRODUCT((Projects!$G$2:$G$45="Yes")*(37&gt;=Projects!$C$2:$C$45-$B$15)*(37&lt;=Projects!$W$2:$W$45+$B$17)*((Projects!$B$2:$B$45&gt;=$B$12)*$B$92+(Projects!$B$2:$B$45&lt;$B$12)*(Projects!$B$2:$B$45&gt;=$B$13)*$B$93+(Projects!$B$2:$B$45&lt;$B$13)*$B$94))</f>
        <v>5.5</v>
      </c>
      <c r="AP96" s="1" t="n">
        <f aca="false">SUMPRODUCT((Projects!$G$2:$G$45="Yes")*(38&gt;=Projects!$C$2:$C$45-$B$15)*(38&lt;=Projects!$W$2:$W$45+$B$17)*((Projects!$B$2:$B$45&gt;=$B$12)*$B$92+(Projects!$B$2:$B$45&lt;$B$12)*(Projects!$B$2:$B$45&gt;=$B$13)*$B$93+(Projects!$B$2:$B$45&lt;$B$13)*$B$94))</f>
        <v>4</v>
      </c>
      <c r="AQ96" s="1" t="n">
        <f aca="false">SUMPRODUCT((Projects!$G$2:$G$45="Yes")*(39&gt;=Projects!$C$2:$C$45-$B$15)*(39&lt;=Projects!$W$2:$W$45+$B$17)*((Projects!$B$2:$B$45&gt;=$B$12)*$B$92+(Projects!$B$2:$B$45&lt;$B$12)*(Projects!$B$2:$B$45&gt;=$B$13)*$B$93+(Projects!$B$2:$B$45&lt;$B$13)*$B$94))</f>
        <v>3.5</v>
      </c>
      <c r="AR96" s="1" t="n">
        <f aca="false">SUMPRODUCT((Projects!$G$2:$G$45="Yes")*(40&gt;=Projects!$C$2:$C$45-$B$15)*(40&lt;=Projects!$W$2:$W$45+$B$17)*((Projects!$B$2:$B$45&gt;=$B$12)*$B$92+(Projects!$B$2:$B$45&lt;$B$12)*(Projects!$B$2:$B$45&gt;=$B$13)*$B$93+(Projects!$B$2:$B$45&lt;$B$13)*$B$94))</f>
        <v>3</v>
      </c>
      <c r="AS96" s="1" t="n">
        <f aca="false">SUMPRODUCT((Projects!$G$2:$G$45="Yes")*(41&gt;=Projects!$C$2:$C$45-$B$15)*(41&lt;=Projects!$W$2:$W$45+$B$17)*((Projects!$B$2:$B$45&gt;=$B$12)*$B$92+(Projects!$B$2:$B$45&lt;$B$12)*(Projects!$B$2:$B$45&gt;=$B$13)*$B$93+(Projects!$B$2:$B$45&lt;$B$13)*$B$94))</f>
        <v>3</v>
      </c>
      <c r="AT96" s="1" t="n">
        <f aca="false">SUMPRODUCT((Projects!$G$2:$G$45="Yes")*(42&gt;=Projects!$C$2:$C$45-$B$15)*(42&lt;=Projects!$W$2:$W$45+$B$17)*((Projects!$B$2:$B$45&gt;=$B$12)*$B$92+(Projects!$B$2:$B$45&lt;$B$12)*(Projects!$B$2:$B$45&gt;=$B$13)*$B$93+(Projects!$B$2:$B$45&lt;$B$13)*$B$94))</f>
        <v>3</v>
      </c>
      <c r="AU96" s="1" t="n">
        <f aca="false">SUMPRODUCT((Projects!$G$2:$G$45="Yes")*(43&gt;=Projects!$C$2:$C$45-$B$15)*(43&lt;=Projects!$W$2:$W$45+$B$17)*((Projects!$B$2:$B$45&gt;=$B$12)*$B$92+(Projects!$B$2:$B$45&lt;$B$12)*(Projects!$B$2:$B$45&gt;=$B$13)*$B$93+(Projects!$B$2:$B$45&lt;$B$13)*$B$94))</f>
        <v>3</v>
      </c>
      <c r="AV96" s="1" t="n">
        <f aca="false">SUMPRODUCT((Projects!$G$2:$G$45="Yes")*(44&gt;=Projects!$C$2:$C$45-$B$15)*(44&lt;=Projects!$W$2:$W$45+$B$17)*((Projects!$B$2:$B$45&gt;=$B$12)*$B$92+(Projects!$B$2:$B$45&lt;$B$12)*(Projects!$B$2:$B$45&gt;=$B$13)*$B$93+(Projects!$B$2:$B$45&lt;$B$13)*$B$94))</f>
        <v>2</v>
      </c>
      <c r="AW96" s="1" t="n">
        <f aca="false">SUMPRODUCT((Projects!$G$2:$G$45="Yes")*(45&gt;=Projects!$C$2:$C$45-$B$15)*(45&lt;=Projects!$W$2:$W$45+$B$17)*((Projects!$B$2:$B$45&gt;=$B$12)*$B$92+(Projects!$B$2:$B$45&lt;$B$12)*(Projects!$B$2:$B$45&gt;=$B$13)*$B$93+(Projects!$B$2:$B$45&lt;$B$13)*$B$94))</f>
        <v>2</v>
      </c>
      <c r="AX96" s="1" t="n">
        <f aca="false">SUMPRODUCT((Projects!$G$2:$G$45="Yes")*(46&gt;=Projects!$C$2:$C$45-$B$15)*(46&lt;=Projects!$W$2:$W$45+$B$17)*((Projects!$B$2:$B$45&gt;=$B$12)*$B$92+(Projects!$B$2:$B$45&lt;$B$12)*(Projects!$B$2:$B$45&gt;=$B$13)*$B$93+(Projects!$B$2:$B$45&lt;$B$13)*$B$94))</f>
        <v>1</v>
      </c>
      <c r="AY96" s="1" t="n">
        <f aca="false">SUMPRODUCT((Projects!$G$2:$G$45="Yes")*(47&gt;=Projects!$C$2:$C$45-$B$15)*(47&lt;=Projects!$W$2:$W$45+$B$17)*((Projects!$B$2:$B$45&gt;=$B$12)*$B$92+(Projects!$B$2:$B$45&lt;$B$12)*(Projects!$B$2:$B$45&gt;=$B$13)*$B$93+(Projects!$B$2:$B$45&lt;$B$13)*$B$94))</f>
        <v>1</v>
      </c>
      <c r="AZ96" s="1" t="n">
        <f aca="false">SUMPRODUCT((Projects!$G$2:$G$45="Yes")*(48&gt;=Projects!$C$2:$C$45-$B$15)*(48&lt;=Projects!$W$2:$W$45+$B$17)*((Projects!$B$2:$B$45&gt;=$B$12)*$B$92+(Projects!$B$2:$B$45&lt;$B$12)*(Projects!$B$2:$B$45&gt;=$B$13)*$B$93+(Projects!$B$2:$B$45&lt;$B$13)*$B$94))</f>
        <v>1</v>
      </c>
      <c r="BA96" s="1" t="n">
        <f aca="false">SUMPRODUCT((Projects!$G$2:$G$45="Yes")*(49&gt;=Projects!$C$2:$C$45-$B$15)*(49&lt;=Projects!$W$2:$W$45+$B$17)*((Projects!$B$2:$B$45&gt;=$B$12)*$B$92+(Projects!$B$2:$B$45&lt;$B$12)*(Projects!$B$2:$B$45&gt;=$B$13)*$B$93+(Projects!$B$2:$B$45&lt;$B$13)*$B$94))</f>
        <v>1</v>
      </c>
      <c r="BB96" s="1" t="n">
        <f aca="false">SUMPRODUCT((Projects!$G$2:$G$45="Yes")*(50&gt;=Projects!$C$2:$C$45-$B$15)*(50&lt;=Projects!$W$2:$W$45+$B$17)*((Projects!$B$2:$B$45&gt;=$B$12)*$B$92+(Projects!$B$2:$B$45&lt;$B$12)*(Projects!$B$2:$B$45&gt;=$B$13)*$B$93+(Projects!$B$2:$B$45&lt;$B$13)*$B$94))</f>
        <v>1</v>
      </c>
      <c r="BC96" s="1" t="n">
        <f aca="false">SUMPRODUCT((Projects!$G$2:$G$45="Yes")*(51&gt;=Projects!$C$2:$C$45-$B$15)*(51&lt;=Projects!$W$2:$W$45+$B$17)*((Projects!$B$2:$B$45&gt;=$B$12)*$B$92+(Projects!$B$2:$B$45&lt;$B$12)*(Projects!$B$2:$B$45&gt;=$B$13)*$B$93+(Projects!$B$2:$B$45&lt;$B$13)*$B$94))</f>
        <v>1</v>
      </c>
      <c r="BD96" s="1" t="n">
        <f aca="false">SUMPRODUCT((Projects!$G$2:$G$45="Yes")*(52&gt;=Projects!$C$2:$C$45-$B$15)*(52&lt;=Projects!$W$2:$W$45+$B$17)*((Projects!$B$2:$B$45&gt;=$B$12)*$B$92+(Projects!$B$2:$B$45&lt;$B$12)*(Projects!$B$2:$B$45&gt;=$B$13)*$B$93+(Projects!$B$2:$B$45&lt;$B$13)*$B$94))</f>
        <v>1</v>
      </c>
      <c r="BE96" s="1" t="n">
        <f aca="false">SUMPRODUCT((Projects!$G$2:$G$45="Yes")*(53&gt;=Projects!$C$2:$C$45-$B$15)*(53&lt;=Projects!$W$2:$W$45+$B$17)*((Projects!$B$2:$B$45&gt;=$B$12)*$B$92+(Projects!$B$2:$B$45&lt;$B$12)*(Projects!$B$2:$B$45&gt;=$B$13)*$B$93+(Projects!$B$2:$B$45&lt;$B$13)*$B$94))</f>
        <v>1</v>
      </c>
      <c r="BF96" s="1" t="n">
        <f aca="false">SUMPRODUCT((Projects!$G$2:$G$45="Yes")*(54&gt;=Projects!$C$2:$C$45-$B$15)*(54&lt;=Projects!$W$2:$W$45+$B$17)*((Projects!$B$2:$B$45&gt;=$B$12)*$B$92+(Projects!$B$2:$B$45&lt;$B$12)*(Projects!$B$2:$B$45&gt;=$B$13)*$B$93+(Projects!$B$2:$B$45&lt;$B$13)*$B$94))</f>
        <v>1</v>
      </c>
      <c r="BG96" s="1" t="n">
        <f aca="false">SUMPRODUCT((Projects!$G$2:$G$45="Yes")*(55&gt;=Projects!$C$2:$C$45-$B$15)*(55&lt;=Projects!$W$2:$W$45+$B$17)*((Projects!$B$2:$B$45&gt;=$B$12)*$B$92+(Projects!$B$2:$B$45&lt;$B$12)*(Projects!$B$2:$B$45&gt;=$B$13)*$B$93+(Projects!$B$2:$B$45&lt;$B$13)*$B$94))</f>
        <v>1</v>
      </c>
      <c r="BH96" s="1" t="n">
        <f aca="false">SUMPRODUCT((Projects!$G$2:$G$45="Yes")*(56&gt;=Projects!$C$2:$C$45-$B$15)*(56&lt;=Projects!$W$2:$W$45+$B$17)*((Projects!$B$2:$B$45&gt;=$B$12)*$B$92+(Projects!$B$2:$B$45&lt;$B$12)*(Projects!$B$2:$B$45&gt;=$B$13)*$B$93+(Projects!$B$2:$B$45&lt;$B$13)*$B$94))</f>
        <v>1</v>
      </c>
      <c r="BI96" s="1" t="n">
        <f aca="false">SUMPRODUCT((Projects!$G$2:$G$45="Yes")*(57&gt;=Projects!$C$2:$C$45-$B$15)*(57&lt;=Projects!$W$2:$W$45+$B$17)*((Projects!$B$2:$B$45&gt;=$B$12)*$B$92+(Projects!$B$2:$B$45&lt;$B$12)*(Projects!$B$2:$B$45&gt;=$B$13)*$B$93+(Projects!$B$2:$B$45&lt;$B$13)*$B$94))</f>
        <v>1</v>
      </c>
      <c r="BJ96" s="1" t="n">
        <f aca="false">SUMPRODUCT((Projects!$G$2:$G$45="Yes")*(58&gt;=Projects!$C$2:$C$45-$B$15)*(58&lt;=Projects!$W$2:$W$45+$B$17)*((Projects!$B$2:$B$45&gt;=$B$12)*$B$92+(Projects!$B$2:$B$45&lt;$B$12)*(Projects!$B$2:$B$45&gt;=$B$13)*$B$93+(Projects!$B$2:$B$45&lt;$B$13)*$B$94))</f>
        <v>0</v>
      </c>
      <c r="BK96" s="1" t="n">
        <f aca="false">SUMPRODUCT((Projects!$G$2:$G$45="Yes")*(59&gt;=Projects!$C$2:$C$45-$B$15)*(59&lt;=Projects!$W$2:$W$45+$B$17)*((Projects!$B$2:$B$45&gt;=$B$12)*$B$92+(Projects!$B$2:$B$45&lt;$B$12)*(Projects!$B$2:$B$45&gt;=$B$13)*$B$93+(Projects!$B$2:$B$45&lt;$B$13)*$B$94))</f>
        <v>0</v>
      </c>
      <c r="BL96" s="1" t="n">
        <f aca="false">SUMPRODUCT((Projects!$G$2:$G$45="Yes")*(60&gt;=Projects!$C$2:$C$45-$B$15)*(60&lt;=Projects!$W$2:$W$45+$B$17)*((Projects!$B$2:$B$45&gt;=$B$12)*$B$92+(Projects!$B$2:$B$45&lt;$B$12)*(Projects!$B$2:$B$45&gt;=$B$13)*$B$93+(Projects!$B$2:$B$45&lt;$B$13)*$B$94))</f>
        <v>0</v>
      </c>
      <c r="BM96" s="1" t="n">
        <f aca="false">SUMPRODUCT((Projects!$G$2:$G$45="Yes")*(61&gt;=Projects!$C$2:$C$45-$B$15)*(61&lt;=Projects!$W$2:$W$45+$B$17)*((Projects!$B$2:$B$45&gt;=$B$12)*$B$92+(Projects!$B$2:$B$45&lt;$B$12)*(Projects!$B$2:$B$45&gt;=$B$13)*$B$93+(Projects!$B$2:$B$45&lt;$B$13)*$B$94))</f>
        <v>0</v>
      </c>
      <c r="BN96" s="1" t="n">
        <f aca="false">SUMPRODUCT((Projects!$G$2:$G$45="Yes")*(62&gt;=Projects!$C$2:$C$45-$B$15)*(62&lt;=Projects!$W$2:$W$45+$B$17)*((Projects!$B$2:$B$45&gt;=$B$12)*$B$92+(Projects!$B$2:$B$45&lt;$B$12)*(Projects!$B$2:$B$45&gt;=$B$13)*$B$93+(Projects!$B$2:$B$45&lt;$B$13)*$B$94))</f>
        <v>0</v>
      </c>
      <c r="BO96" s="1" t="n">
        <f aca="false">SUMPRODUCT((Projects!$G$2:$G$45="Yes")*(63&gt;=Projects!$C$2:$C$45-$B$15)*(63&lt;=Projects!$W$2:$W$45+$B$17)*((Projects!$B$2:$B$45&gt;=$B$12)*$B$92+(Projects!$B$2:$B$45&lt;$B$12)*(Projects!$B$2:$B$45&gt;=$B$13)*$B$93+(Projects!$B$2:$B$45&lt;$B$13)*$B$94))</f>
        <v>0</v>
      </c>
      <c r="BP96" s="1" t="n">
        <f aca="false">SUMPRODUCT((Projects!$G$2:$G$45="Yes")*(64&gt;=Projects!$C$2:$C$45-$B$15)*(64&lt;=Projects!$W$2:$W$45+$B$17)*((Projects!$B$2:$B$45&gt;=$B$12)*$B$92+(Projects!$B$2:$B$45&lt;$B$12)*(Projects!$B$2:$B$45&gt;=$B$13)*$B$93+(Projects!$B$2:$B$45&lt;$B$13)*$B$94))</f>
        <v>0</v>
      </c>
      <c r="BQ96" s="1" t="n">
        <f aca="false">SUMPRODUCT((Projects!$G$2:$G$45="Yes")*(65&gt;=Projects!$C$2:$C$45-$B$15)*(65&lt;=Projects!$W$2:$W$45+$B$17)*((Projects!$B$2:$B$45&gt;=$B$12)*$B$92+(Projects!$B$2:$B$45&lt;$B$12)*(Projects!$B$2:$B$45&gt;=$B$13)*$B$93+(Projects!$B$2:$B$45&lt;$B$13)*$B$94))</f>
        <v>0</v>
      </c>
      <c r="BR96" s="1" t="n">
        <f aca="false">SUMPRODUCT((Projects!$G$2:$G$45="Yes")*(66&gt;=Projects!$C$2:$C$45-$B$15)*(66&lt;=Projects!$W$2:$W$45+$B$17)*((Projects!$B$2:$B$45&gt;=$B$12)*$B$92+(Projects!$B$2:$B$45&lt;$B$12)*(Projects!$B$2:$B$45&gt;=$B$13)*$B$93+(Projects!$B$2:$B$45&lt;$B$13)*$B$94))</f>
        <v>0</v>
      </c>
      <c r="BS96" s="1" t="n">
        <f aca="false">SUMPRODUCT((Projects!$G$2:$G$45="Yes")*(67&gt;=Projects!$C$2:$C$45-$B$15)*(67&lt;=Projects!$W$2:$W$45+$B$17)*((Projects!$B$2:$B$45&gt;=$B$12)*$B$92+(Projects!$B$2:$B$45&lt;$B$12)*(Projects!$B$2:$B$45&gt;=$B$13)*$B$93+(Projects!$B$2:$B$45&lt;$B$13)*$B$94))</f>
        <v>0</v>
      </c>
      <c r="BT96" s="1" t="n">
        <f aca="false">SUMPRODUCT((Projects!$G$2:$G$45="Yes")*(68&gt;=Projects!$C$2:$C$45-$B$15)*(68&lt;=Projects!$W$2:$W$45+$B$17)*((Projects!$B$2:$B$45&gt;=$B$12)*$B$92+(Projects!$B$2:$B$45&lt;$B$12)*(Projects!$B$2:$B$45&gt;=$B$13)*$B$93+(Projects!$B$2:$B$45&lt;$B$13)*$B$94))</f>
        <v>0</v>
      </c>
      <c r="BU96" s="1" t="n">
        <f aca="false">SUMPRODUCT((Projects!$G$2:$G$45="Yes")*(69&gt;=Projects!$C$2:$C$45-$B$15)*(69&lt;=Projects!$W$2:$W$45+$B$17)*((Projects!$B$2:$B$45&gt;=$B$12)*$B$92+(Projects!$B$2:$B$45&lt;$B$12)*(Projects!$B$2:$B$45&gt;=$B$13)*$B$93+(Projects!$B$2:$B$45&lt;$B$13)*$B$94))</f>
        <v>0</v>
      </c>
      <c r="BV96" s="1" t="n">
        <f aca="false">SUMPRODUCT((Projects!$G$2:$G$45="Yes")*(70&gt;=Projects!$C$2:$C$45-$B$15)*(70&lt;=Projects!$W$2:$W$45+$B$17)*((Projects!$B$2:$B$45&gt;=$B$12)*$B$92+(Projects!$B$2:$B$45&lt;$B$12)*(Projects!$B$2:$B$45&gt;=$B$13)*$B$93+(Projects!$B$2:$B$45&lt;$B$13)*$B$94))</f>
        <v>0</v>
      </c>
      <c r="BW96" s="1" t="n">
        <f aca="false">SUMPRODUCT((Projects!$G$2:$G$45="Yes")*(71&gt;=Projects!$C$2:$C$45-$B$15)*(71&lt;=Projects!$W$2:$W$45+$B$17)*((Projects!$B$2:$B$45&gt;=$B$12)*$B$92+(Projects!$B$2:$B$45&lt;$B$12)*(Projects!$B$2:$B$45&gt;=$B$13)*$B$93+(Projects!$B$2:$B$45&lt;$B$13)*$B$94))</f>
        <v>0</v>
      </c>
      <c r="BX96" s="1" t="n">
        <f aca="false">SUMPRODUCT((Projects!$G$2:$G$45="Yes")*(72&gt;=Projects!$C$2:$C$45-$B$15)*(72&lt;=Projects!$W$2:$W$45+$B$17)*((Projects!$B$2:$B$45&gt;=$B$12)*$B$92+(Projects!$B$2:$B$45&lt;$B$12)*(Projects!$B$2:$B$45&gt;=$B$13)*$B$93+(Projects!$B$2:$B$45&lt;$B$13)*$B$94))</f>
        <v>0</v>
      </c>
      <c r="BY96" s="1" t="n">
        <f aca="false">SUMPRODUCT((Projects!$G$2:$G$45="Yes")*(73&gt;=Projects!$C$2:$C$45-$B$15)*(73&lt;=Projects!$W$2:$W$45+$B$17)*((Projects!$B$2:$B$45&gt;=$B$12)*$B$92+(Projects!$B$2:$B$45&lt;$B$12)*(Projects!$B$2:$B$45&gt;=$B$13)*$B$93+(Projects!$B$2:$B$45&lt;$B$13)*$B$94))</f>
        <v>0</v>
      </c>
      <c r="BZ96" s="1" t="n">
        <f aca="false">SUMPRODUCT((Projects!$G$2:$G$45="Yes")*(74&gt;=Projects!$C$2:$C$45-$B$15)*(74&lt;=Projects!$W$2:$W$45+$B$17)*((Projects!$B$2:$B$45&gt;=$B$12)*$B$92+(Projects!$B$2:$B$45&lt;$B$12)*(Projects!$B$2:$B$45&gt;=$B$13)*$B$93+(Projects!$B$2:$B$45&lt;$B$13)*$B$94))</f>
        <v>0</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1255</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09" t="s">
        <v>1256</v>
      </c>
      <c r="B99" s="225" t="n">
        <f aca="false">$B$27</f>
        <v>125000</v>
      </c>
      <c r="E99" s="368" t="n">
        <f aca="false">IF(1&lt;5,0,IF(MAX(E96)&gt;E97+0+$B$18,1,0))</f>
        <v>0</v>
      </c>
      <c r="F99" s="368" t="n">
        <f aca="false">IF(2&lt;5,0,IF(MAX(E96:F96)&gt;F97+0+$B$18,1,0))</f>
        <v>0</v>
      </c>
      <c r="G99" s="368" t="n">
        <f aca="false">IF(3&lt;5,0,IF(MAX(E96:G96)&gt;G97+0+$B$18,1,0))</f>
        <v>0</v>
      </c>
      <c r="H99" s="368" t="n">
        <f aca="false">IF(4&lt;5,0,IF(MAX(E96:H96)&gt;H97+0+$B$18,1,0))</f>
        <v>0</v>
      </c>
      <c r="I99" s="368" t="n">
        <f aca="false">IF(5&lt;5,0,IF(MAX(E96:I96)&gt;I97+0+$B$18,1,0))</f>
        <v>0</v>
      </c>
      <c r="J99" s="368" t="n">
        <f aca="false">IF(6&lt;5,0,IF(MAX(E96:J96)&gt;J97+0+$B$18,1,0))</f>
        <v>0</v>
      </c>
      <c r="K99" s="368" t="n">
        <f aca="false">IF(7&lt;5,0,IF(MAX(F96:K96)&gt;K97+0+$B$18,1,0))</f>
        <v>0</v>
      </c>
      <c r="L99" s="368" t="n">
        <f aca="false">IF(8&lt;5,0,IF(MAX(G96:L96)&gt;L97+0+$B$18,1,0))</f>
        <v>0</v>
      </c>
      <c r="M99" s="368" t="n">
        <f aca="false">IF(9&lt;5,0,IF(MAX(H96:M96)&gt;M97+0+$B$18,1,0))</f>
        <v>0</v>
      </c>
      <c r="N99" s="368" t="n">
        <f aca="false">IF(10&lt;5,0,IF(MAX(I96:N96)&gt;N97+0+$B$18,1,0))</f>
        <v>0</v>
      </c>
      <c r="O99" s="368" t="n">
        <f aca="false">IF(11&lt;5,0,IF(MAX(J96:O96)&gt;O97+0+$B$18,1,0))</f>
        <v>1</v>
      </c>
      <c r="P99" s="368" t="n">
        <f aca="false">IF(12&lt;5,0,IF(MAX(K96:P96)&gt;P97+0+$B$18,1,0))</f>
        <v>1</v>
      </c>
      <c r="Q99" s="368" t="n">
        <f aca="false">IF(13&lt;5,0,IF(MAX(L96:Q96)&gt;Q97+0+$B$18,1,0))</f>
        <v>1</v>
      </c>
      <c r="R99" s="368" t="n">
        <f aca="false">IF(14&lt;5,0,IF(MAX(M96:R96)&gt;R97+0+$B$18,1,0))</f>
        <v>1</v>
      </c>
      <c r="S99" s="368" t="n">
        <f aca="false">IF(15&lt;5,0,IF(MAX(N96:S96)&gt;S97+0+$B$18,1,0))</f>
        <v>1</v>
      </c>
      <c r="T99" s="368" t="n">
        <f aca="false">IF(16&lt;5,0,IF(MAX(O96:T96)&gt;T97+0+$B$18,1,0))</f>
        <v>1</v>
      </c>
      <c r="U99" s="368" t="n">
        <f aca="false">IF(17&lt;5,0,IF(MAX(P96:U96)&gt;U97+0+$B$18,1,0))</f>
        <v>1</v>
      </c>
      <c r="V99" s="368" t="n">
        <f aca="false">IF(18&lt;5,0,IF(MAX(Q96:V96)&gt;V97+0+$B$18,1,0))</f>
        <v>1</v>
      </c>
      <c r="W99" s="368" t="n">
        <f aca="false">IF(19&lt;5,0,IF(MAX(R96:W96)&gt;W97+0+$B$18,1,0))</f>
        <v>1</v>
      </c>
      <c r="X99" s="368" t="n">
        <f aca="false">IF(20&lt;5,0,IF(MAX(S96:X96)&gt;X97+0+$B$18,1,0))</f>
        <v>1</v>
      </c>
      <c r="Y99" s="368" t="n">
        <f aca="false">IF(21&lt;5,0,IF(MAX(T96:Y96)&gt;Y97+0+$B$18,1,0))</f>
        <v>1</v>
      </c>
      <c r="Z99" s="368" t="n">
        <f aca="false">IF(22&lt;5,0,IF(MAX(U96:Z96)&gt;Z97+0+$B$18,1,0))</f>
        <v>1</v>
      </c>
      <c r="AA99" s="368" t="n">
        <f aca="false">IF(23&lt;5,0,IF(MAX(V96:AA96)&gt;AA97+0+$B$18,1,0))</f>
        <v>1</v>
      </c>
      <c r="AB99" s="368" t="n">
        <f aca="false">IF(24&lt;5,0,IF(MAX(W96:AB96)&gt;AB97+0+$B$18,1,0))</f>
        <v>1</v>
      </c>
      <c r="AC99" s="368" t="n">
        <f aca="false">IF(25&lt;5,0,IF(MAX(X96:AC96)&gt;AC97+0+$B$18,1,0))</f>
        <v>1</v>
      </c>
      <c r="AD99" s="368" t="n">
        <f aca="false">IF(26&lt;5,0,IF(MAX(Y96:AD96)&gt;AD97+0+$B$18,1,0))</f>
        <v>1</v>
      </c>
      <c r="AE99" s="368" t="n">
        <f aca="false">IF(27&lt;5,0,IF(MAX(Z96:AE96)&gt;AE97+0+$B$18,1,0))</f>
        <v>1</v>
      </c>
      <c r="AF99" s="368" t="n">
        <f aca="false">IF(28&lt;5,0,IF(MAX(AA96:AF96)&gt;AF97+0+$B$18,1,0))</f>
        <v>1</v>
      </c>
      <c r="AG99" s="368" t="n">
        <f aca="false">IF(29&lt;5,0,IF(MAX(AB96:AG96)&gt;AG97+0+$B$18,1,0))</f>
        <v>1</v>
      </c>
      <c r="AH99" s="368" t="n">
        <f aca="false">IF(30&lt;5,0,IF(MAX(AC96:AH96)&gt;AH97+0+$B$18,1,0))</f>
        <v>1</v>
      </c>
      <c r="AI99" s="368" t="n">
        <f aca="false">IF(31&lt;5,0,IF(MAX(AD96:AI96)&gt;AI97+0+$B$18,1,0))</f>
        <v>1</v>
      </c>
      <c r="AJ99" s="368" t="n">
        <f aca="false">IF(32&lt;5,0,IF(MAX(AE96:AJ96)&gt;AJ97+0+$B$18,1,0))</f>
        <v>1</v>
      </c>
      <c r="AK99" s="368" t="n">
        <f aca="false">IF(33&lt;5,0,IF(MAX(AF96:AK96)&gt;AK97+0+$B$18,1,0))</f>
        <v>1</v>
      </c>
      <c r="AL99" s="368" t="n">
        <f aca="false">IF(34&lt;5,0,IF(MAX(AG96:AL96)&gt;AL97+0+$B$18,1,0))</f>
        <v>1</v>
      </c>
      <c r="AM99" s="368" t="n">
        <f aca="false">IF(35&lt;5,0,IF(MAX(AH96:AM96)&gt;AM97+0+$B$18,1,0))</f>
        <v>1</v>
      </c>
      <c r="AN99" s="368" t="n">
        <f aca="false">IF(36&lt;5,0,IF(MAX(AI96:AN96)&gt;AN97+0+$B$18,1,0))</f>
        <v>1</v>
      </c>
      <c r="AO99" s="368" t="n">
        <f aca="false">IF(37&lt;5,0,IF(MAX(AJ96:AO96)&gt;AO97+0+$B$18,1,0))</f>
        <v>1</v>
      </c>
      <c r="AP99" s="368" t="n">
        <f aca="false">IF(38&lt;5,0,IF(MAX(AK96:AP96)&gt;AP97+0+$B$18,1,0))</f>
        <v>1</v>
      </c>
      <c r="AQ99" s="368" t="n">
        <f aca="false">IF(39&lt;5,0,IF(MAX(AL96:AQ96)&gt;AQ97+0+$B$18,1,0))</f>
        <v>1</v>
      </c>
      <c r="AR99" s="368" t="n">
        <f aca="false">IF(40&lt;5,0,IF(MAX(AM96:AR96)&gt;AR97+0+$B$18,1,0))</f>
        <v>1</v>
      </c>
      <c r="AS99" s="368" t="n">
        <f aca="false">IF(41&lt;5,0,IF(MAX(AN96:AS96)&gt;AS97+0+$B$18,1,0))</f>
        <v>1</v>
      </c>
      <c r="AT99" s="368" t="n">
        <f aca="false">IF(42&lt;5,0,IF(MAX(AO96:AT96)&gt;AT97+0+$B$18,1,0))</f>
        <v>1</v>
      </c>
      <c r="AU99" s="368" t="n">
        <f aca="false">IF(43&lt;5,0,IF(MAX(AP96:AU96)&gt;AU97+0+$B$18,1,0))</f>
        <v>0</v>
      </c>
      <c r="AV99" s="368" t="n">
        <f aca="false">IF(44&lt;5,0,IF(MAX(AQ96:AV96)&gt;AV97+0+$B$18,1,0))</f>
        <v>0</v>
      </c>
      <c r="AW99" s="368" t="n">
        <f aca="false">IF(45&lt;5,0,IF(MAX(AR96:AW96)&gt;AW97+0+$B$18,1,0))</f>
        <v>0</v>
      </c>
      <c r="AX99" s="368" t="n">
        <f aca="false">IF(46&lt;5,0,IF(MAX(AS96:AX96)&gt;AX97+0+$B$18,1,0))</f>
        <v>0</v>
      </c>
      <c r="AY99" s="368" t="n">
        <f aca="false">IF(47&lt;5,0,IF(MAX(AT96:AY96)&gt;AY97+0+$B$18,1,0))</f>
        <v>0</v>
      </c>
      <c r="AZ99" s="368" t="n">
        <f aca="false">IF(48&lt;5,0,IF(MAX(AU96:AZ96)&gt;AZ97+0+$B$18,1,0))</f>
        <v>0</v>
      </c>
      <c r="BA99" s="368" t="n">
        <f aca="false">IF(49&lt;5,0,IF(MAX(AV96:BA96)&gt;BA97+0+$B$18,1,0))</f>
        <v>0</v>
      </c>
      <c r="BB99" s="368" t="n">
        <f aca="false">IF(50&lt;5,0,IF(MAX(AW96:BB96)&gt;BB97+0+$B$18,1,0))</f>
        <v>0</v>
      </c>
      <c r="BC99" s="368" t="n">
        <f aca="false">IF(51&lt;5,0,IF(MAX(AX96:BC96)&gt;BC97+0+$B$18,1,0))</f>
        <v>0</v>
      </c>
      <c r="BD99" s="368" t="n">
        <f aca="false">IF(52&lt;5,0,IF(MAX(AY96:BD96)&gt;BD97+0+$B$18,1,0))</f>
        <v>0</v>
      </c>
      <c r="BE99" s="368" t="n">
        <f aca="false">IF(53&lt;5,0,IF(MAX(AZ96:BE96)&gt;BE97+0+$B$18,1,0))</f>
        <v>0</v>
      </c>
      <c r="BF99" s="368" t="n">
        <f aca="false">IF(54&lt;5,0,IF(MAX(BA96:BF96)&gt;BF97+0+$B$18,1,0))</f>
        <v>0</v>
      </c>
      <c r="BG99" s="368" t="n">
        <f aca="false">IF(55&lt;5,0,IF(MAX(BB96:BG96)&gt;BG97+0+$B$18,1,0))</f>
        <v>0</v>
      </c>
      <c r="BH99" s="368" t="n">
        <f aca="false">IF(56&lt;5,0,IF(MAX(BC96:BH96)&gt;BH97+0+$B$18,1,0))</f>
        <v>0</v>
      </c>
      <c r="BI99" s="368" t="n">
        <f aca="false">IF(57&lt;5,0,IF(MAX(BD96:BI96)&gt;BI97+0+$B$18,1,0))</f>
        <v>0</v>
      </c>
      <c r="BJ99" s="368" t="n">
        <f aca="false">IF(58&lt;5,0,IF(MAX(BE96:BJ96)&gt;BJ97+0+$B$18,1,0))</f>
        <v>0</v>
      </c>
      <c r="BK99" s="368" t="n">
        <f aca="false">IF(59&lt;5,0,IF(MAX(BF96:BK96)&gt;BK97+0+$B$18,1,0))</f>
        <v>0</v>
      </c>
      <c r="BL99" s="368" t="n">
        <f aca="false">IF(60&lt;5,0,IF(MAX(BG96:BL96)&gt;BL97+0+$B$18,1,0))</f>
        <v>0</v>
      </c>
      <c r="BM99" s="368" t="n">
        <f aca="false">IF(61&lt;5,0,IF(MAX(BH96:BM96)&gt;BM97+0+$B$18,1,0))</f>
        <v>0</v>
      </c>
      <c r="BN99" s="368" t="n">
        <f aca="false">IF(62&lt;5,0,IF(MAX(BI96:BN96)&gt;BN97+0+$B$18,1,0))</f>
        <v>0</v>
      </c>
      <c r="BO99" s="368" t="n">
        <f aca="false">IF(63&lt;5,0,IF(MAX(BJ96:BO96)&gt;BO97+0+$B$18,1,0))</f>
        <v>0</v>
      </c>
      <c r="BP99" s="368" t="n">
        <f aca="false">IF(64&lt;5,0,IF(MAX(BK96:BP96)&gt;BP97+0+$B$18,1,0))</f>
        <v>0</v>
      </c>
      <c r="BQ99" s="368" t="n">
        <f aca="false">IF(65&lt;5,0,IF(MAX(BL96:BQ96)&gt;BQ97+0+$B$18,1,0))</f>
        <v>0</v>
      </c>
      <c r="BR99" s="368" t="n">
        <f aca="false">IF(66&lt;5,0,IF(MAX(BM96:BR96)&gt;BR97+0+$B$18,1,0))</f>
        <v>0</v>
      </c>
      <c r="BS99" s="368" t="n">
        <f aca="false">IF(67&lt;5,0,IF(MAX(BN96:BS96)&gt;BS97+0+$B$18,1,0))</f>
        <v>0</v>
      </c>
      <c r="BT99" s="368" t="n">
        <f aca="false">IF(68&lt;5,0,IF(MAX(BO96:BT96)&gt;BT97+0+$B$18,1,0))</f>
        <v>0</v>
      </c>
      <c r="BU99" s="368" t="n">
        <f aca="false">IF(69&lt;5,0,IF(MAX(BP96:BU96)&gt;BU97+0+$B$18,1,0))</f>
        <v>0</v>
      </c>
      <c r="BV99" s="368" t="n">
        <f aca="false">IF(70&lt;5,0,IF(MAX(BQ96:BV96)&gt;BV97+0+$B$18,1,0))</f>
        <v>0</v>
      </c>
      <c r="BW99" s="368" t="n">
        <f aca="false">IF(71&lt;5,0,IF(MAX(BR96:BW96)&gt;BW97+0+$B$18,1,0))</f>
        <v>0</v>
      </c>
      <c r="BX99" s="368" t="n">
        <f aca="false">IF(72&lt;5,0,IF(MAX(BS96:BX96)&gt;BX97+0+$B$18,1,0))</f>
        <v>0</v>
      </c>
      <c r="BY99" s="368" t="n">
        <f aca="false">IF(73&lt;5,0,IF(MAX(BT96:BY96)&gt;BY97+0+$B$18,1,0))</f>
        <v>0</v>
      </c>
      <c r="BZ99" s="368" t="n">
        <f aca="false">IF(74&lt;5,0,IF(MAX(BU96:BZ96)&gt;BZ97+0+$B$18,1,0))</f>
        <v>0</v>
      </c>
      <c r="CA99" s="368" t="n">
        <f aca="false">IF(75&lt;5,0,IF(MAX(BV96:CA96)&gt;CA97+0+$B$18,1,0))</f>
        <v>0</v>
      </c>
      <c r="CB99" s="368" t="n">
        <f aca="false">IF(76&lt;5,0,IF(MAX(BW96:CB96)&gt;CB97+0+$B$18,1,0))</f>
        <v>0</v>
      </c>
      <c r="CC99" s="368" t="n">
        <f aca="false">IF(77&lt;5,0,IF(MAX(BX96:CC96)&gt;CC97+0+$B$18,1,0))</f>
        <v>0</v>
      </c>
      <c r="CD99" s="368" t="n">
        <f aca="false">IF(78&lt;5,0,IF(MAX(BY96:CD96)&gt;CD97+0+$B$18,1,0))</f>
        <v>0</v>
      </c>
      <c r="CE99" s="368" t="n">
        <f aca="false">IF(79&lt;5,0,IF(MAX(BZ96:CE96)&gt;CE97+0+$B$18,1,0))</f>
        <v>0</v>
      </c>
      <c r="CF99" s="368" t="n">
        <f aca="false">IF(80&lt;5,0,IF(MAX(CA96:CF96)&gt;CF97+0+$B$18,1,0))</f>
        <v>0</v>
      </c>
      <c r="CG99" s="368" t="n">
        <f aca="false">IF(81&lt;5,0,IF(MAX(CB96:CG96)&gt;CG97+0+$B$18,1,0))</f>
        <v>0</v>
      </c>
      <c r="CH99" s="368" t="n">
        <f aca="false">IF(82&lt;5,0,IF(MAX(CC96:CH96)&gt;CH97+0+$B$18,1,0))</f>
        <v>0</v>
      </c>
      <c r="CI99" s="368" t="n">
        <f aca="false">IF(83&lt;5,0,IF(MAX(CD96:CI96)&gt;CI97+0+$B$18,1,0))</f>
        <v>0</v>
      </c>
      <c r="CJ99" s="368" t="n">
        <f aca="false">IF(84&lt;5,0,IF(MAX(CE96:CJ96)&gt;CJ97+0+$B$18,1,0))</f>
        <v>0</v>
      </c>
      <c r="CK99" s="368" t="n">
        <f aca="false">IF(85&lt;5,0,IF(MAX(CF96:CK96)&gt;CK97+0+$B$18,1,0))</f>
        <v>0</v>
      </c>
      <c r="CL99" s="368" t="n">
        <f aca="false">IF(86&lt;5,0,IF(MAX(CG96:CL96)&gt;CL97+0+$B$18,1,0))</f>
        <v>0</v>
      </c>
      <c r="CM99" s="368" t="n">
        <f aca="false">IF(87&lt;5,0,IF(MAX(CH96:CM96)&gt;CM97+0+$B$18,1,0))</f>
        <v>0</v>
      </c>
      <c r="CN99" s="368" t="n">
        <f aca="false">IF(88&lt;5,0,IF(MAX(CI96:CN96)&gt;CN97+0+$B$18,1,0))</f>
        <v>0</v>
      </c>
      <c r="CO99" s="368" t="n">
        <f aca="false">IF(89&lt;5,0,IF(MAX(CJ96:CO96)&gt;CO97+0+$B$18,1,0))</f>
        <v>0</v>
      </c>
      <c r="CP99" s="368" t="n">
        <f aca="false">IF(90&lt;5,0,IF(MAX(CK96:CP96)&gt;CP97+0+$B$18,1,0))</f>
        <v>0</v>
      </c>
      <c r="CQ99" s="368" t="n">
        <f aca="false">IF(91&lt;5,0,IF(MAX(CL96:CQ96)&gt;CQ97+0+$B$18,1,0))</f>
        <v>0</v>
      </c>
      <c r="CR99" s="368" t="n">
        <f aca="false">IF(92&lt;5,0,IF(MAX(CM96:CR96)&gt;CR97+0+$B$18,1,0))</f>
        <v>0</v>
      </c>
      <c r="CS99" s="368" t="n">
        <f aca="false">IF(93&lt;5,0,IF(MAX(CN96:CS96)&gt;CS97+0+$B$18,1,0))</f>
        <v>0</v>
      </c>
      <c r="CT99" s="368" t="n">
        <f aca="false">IF(94&lt;5,0,IF(MAX(CO96:CT96)&gt;CT97+0+$B$18,1,0))</f>
        <v>0</v>
      </c>
      <c r="CU99" s="368" t="n">
        <f aca="false">IF(95&lt;5,0,IF(MAX(CP96:CU96)&gt;CU97+0+$B$18,1,0))</f>
        <v>0</v>
      </c>
      <c r="CV99" s="368" t="n">
        <f aca="false">IF(96&lt;5,0,IF(MAX(CQ96:CV96)&gt;CV97+0+$B$18,1,0))</f>
        <v>0</v>
      </c>
      <c r="CW99" s="368" t="n">
        <f aca="false">IF(97&lt;5,0,IF(MAX(CR96:CW96)&gt;CW97+0+$B$18,1,0))</f>
        <v>0</v>
      </c>
      <c r="CX99" s="368" t="n">
        <f aca="false">IF(98&lt;5,0,IF(MAX(CS96:CX96)&gt;CX97+0+$B$18,1,0))</f>
        <v>0</v>
      </c>
      <c r="CY99" s="368" t="n">
        <f aca="false">IF(99&lt;5,0,IF(MAX(CT96:CY96)&gt;CY97+0+$B$18,1,0))</f>
        <v>0</v>
      </c>
      <c r="CZ99" s="368" t="n">
        <f aca="false">IF(100&lt;5,0,IF(MAX(CU96:CZ96)&gt;CZ97+0+$B$18,1,0))</f>
        <v>0</v>
      </c>
      <c r="DA99" s="368" t="n">
        <f aca="false">IF(101&lt;5,0,IF(MAX(CV96:DA96)&gt;DA97+0+$B$18,1,0))</f>
        <v>0</v>
      </c>
      <c r="DB99" s="368" t="n">
        <f aca="false">IF(102&lt;5,0,IF(MAX(CW96:DB96)&gt;DB97+0+$B$18,1,0))</f>
        <v>0</v>
      </c>
      <c r="DC99" s="368" t="n">
        <f aca="false">IF(103&lt;5,0,IF(MAX(CX96:DC96)&gt;DC97+0+$B$18,1,0))</f>
        <v>0</v>
      </c>
      <c r="DD99" s="368" t="n">
        <f aca="false">IF(104&lt;5,0,IF(MAX(CY96:DD96)&gt;DD97+0+$B$18,1,0))</f>
        <v>0</v>
      </c>
      <c r="DE99" s="368" t="n">
        <f aca="false">IF(105&lt;5,0,IF(MAX(CZ96:DE96)&gt;DE97+0+$B$18,1,0))</f>
        <v>0</v>
      </c>
    </row>
    <row r="100" customFormat="false" ht="13.5" hidden="false" customHeight="true" outlineLevel="0" collapsed="false">
      <c r="A100" s="109" t="s">
        <v>1257</v>
      </c>
      <c r="B100" s="225" t="n">
        <f aca="false">$B$27</f>
        <v>125000</v>
      </c>
      <c r="E100" s="368" t="n">
        <f aca="false">IF(1&lt;5,0,IF(MAX(E96)&gt;E97+1+$B$18,1,0))</f>
        <v>0</v>
      </c>
      <c r="F100" s="368" t="n">
        <f aca="false">IF(2&lt;5,0,IF(MAX(E96:F96)&gt;F97+1+$B$18,1,0))</f>
        <v>0</v>
      </c>
      <c r="G100" s="368" t="n">
        <f aca="false">IF(3&lt;5,0,IF(MAX(E96:G96)&gt;G97+1+$B$18,1,0))</f>
        <v>0</v>
      </c>
      <c r="H100" s="368" t="n">
        <f aca="false">IF(4&lt;5,0,IF(MAX(E96:H96)&gt;H97+1+$B$18,1,0))</f>
        <v>0</v>
      </c>
      <c r="I100" s="368" t="n">
        <f aca="false">IF(5&lt;5,0,IF(MAX(E96:I96)&gt;I97+1+$B$18,1,0))</f>
        <v>0</v>
      </c>
      <c r="J100" s="368" t="n">
        <f aca="false">IF(6&lt;5,0,IF(MAX(E96:J96)&gt;J97+1+$B$18,1,0))</f>
        <v>0</v>
      </c>
      <c r="K100" s="368" t="n">
        <f aca="false">IF(7&lt;5,0,IF(MAX(F96:K96)&gt;K97+1+$B$18,1,0))</f>
        <v>0</v>
      </c>
      <c r="L100" s="368" t="n">
        <f aca="false">IF(8&lt;5,0,IF(MAX(G96:L96)&gt;L97+1+$B$18,1,0))</f>
        <v>0</v>
      </c>
      <c r="M100" s="368" t="n">
        <f aca="false">IF(9&lt;5,0,IF(MAX(H96:M96)&gt;M97+1+$B$18,1,0))</f>
        <v>0</v>
      </c>
      <c r="N100" s="368" t="n">
        <f aca="false">IF(10&lt;5,0,IF(MAX(I96:N96)&gt;N97+1+$B$18,1,0))</f>
        <v>0</v>
      </c>
      <c r="O100" s="368" t="n">
        <f aca="false">IF(11&lt;5,0,IF(MAX(J96:O96)&gt;O97+1+$B$18,1,0))</f>
        <v>0</v>
      </c>
      <c r="P100" s="368" t="n">
        <f aca="false">IF(12&lt;5,0,IF(MAX(K96:P96)&gt;P97+1+$B$18,1,0))</f>
        <v>0</v>
      </c>
      <c r="Q100" s="368" t="n">
        <f aca="false">IF(13&lt;5,0,IF(MAX(L96:Q96)&gt;Q97+1+$B$18,1,0))</f>
        <v>0</v>
      </c>
      <c r="R100" s="368" t="n">
        <f aca="false">IF(14&lt;5,0,IF(MAX(M96:R96)&gt;R97+1+$B$18,1,0))</f>
        <v>1</v>
      </c>
      <c r="S100" s="368" t="n">
        <f aca="false">IF(15&lt;5,0,IF(MAX(N96:S96)&gt;S97+1+$B$18,1,0))</f>
        <v>1</v>
      </c>
      <c r="T100" s="368" t="n">
        <f aca="false">IF(16&lt;5,0,IF(MAX(O96:T96)&gt;T97+1+$B$18,1,0))</f>
        <v>1</v>
      </c>
      <c r="U100" s="368" t="n">
        <f aca="false">IF(17&lt;5,0,IF(MAX(P96:U96)&gt;U97+1+$B$18,1,0))</f>
        <v>1</v>
      </c>
      <c r="V100" s="368" t="n">
        <f aca="false">IF(18&lt;5,0,IF(MAX(Q96:V96)&gt;V97+1+$B$18,1,0))</f>
        <v>1</v>
      </c>
      <c r="W100" s="368" t="n">
        <f aca="false">IF(19&lt;5,0,IF(MAX(R96:W96)&gt;W97+1+$B$18,1,0))</f>
        <v>1</v>
      </c>
      <c r="X100" s="368" t="n">
        <f aca="false">IF(20&lt;5,0,IF(MAX(S96:X96)&gt;X97+1+$B$18,1,0))</f>
        <v>1</v>
      </c>
      <c r="Y100" s="368" t="n">
        <f aca="false">IF(21&lt;5,0,IF(MAX(T96:Y96)&gt;Y97+1+$B$18,1,0))</f>
        <v>1</v>
      </c>
      <c r="Z100" s="368" t="n">
        <f aca="false">IF(22&lt;5,0,IF(MAX(U96:Z96)&gt;Z97+1+$B$18,1,0))</f>
        <v>1</v>
      </c>
      <c r="AA100" s="368" t="n">
        <f aca="false">IF(23&lt;5,0,IF(MAX(V96:AA96)&gt;AA97+1+$B$18,1,0))</f>
        <v>1</v>
      </c>
      <c r="AB100" s="368" t="n">
        <f aca="false">IF(24&lt;5,0,IF(MAX(W96:AB96)&gt;AB97+1+$B$18,1,0))</f>
        <v>1</v>
      </c>
      <c r="AC100" s="368" t="n">
        <f aca="false">IF(25&lt;5,0,IF(MAX(X96:AC96)&gt;AC97+1+$B$18,1,0))</f>
        <v>1</v>
      </c>
      <c r="AD100" s="368" t="n">
        <f aca="false">IF(26&lt;5,0,IF(MAX(Y96:AD96)&gt;AD97+1+$B$18,1,0))</f>
        <v>1</v>
      </c>
      <c r="AE100" s="368" t="n">
        <f aca="false">IF(27&lt;5,0,IF(MAX(Z96:AE96)&gt;AE97+1+$B$18,1,0))</f>
        <v>1</v>
      </c>
      <c r="AF100" s="368" t="n">
        <f aca="false">IF(28&lt;5,0,IF(MAX(AA96:AF96)&gt;AF97+1+$B$18,1,0))</f>
        <v>1</v>
      </c>
      <c r="AG100" s="368" t="n">
        <f aca="false">IF(29&lt;5,0,IF(MAX(AB96:AG96)&gt;AG97+1+$B$18,1,0))</f>
        <v>1</v>
      </c>
      <c r="AH100" s="368" t="n">
        <f aca="false">IF(30&lt;5,0,IF(MAX(AC96:AH96)&gt;AH97+1+$B$18,1,0))</f>
        <v>1</v>
      </c>
      <c r="AI100" s="368" t="n">
        <f aca="false">IF(31&lt;5,0,IF(MAX(AD96:AI96)&gt;AI97+1+$B$18,1,0))</f>
        <v>1</v>
      </c>
      <c r="AJ100" s="368" t="n">
        <f aca="false">IF(32&lt;5,0,IF(MAX(AE96:AJ96)&gt;AJ97+1+$B$18,1,0))</f>
        <v>1</v>
      </c>
      <c r="AK100" s="368" t="n">
        <f aca="false">IF(33&lt;5,0,IF(MAX(AF96:AK96)&gt;AK97+1+$B$18,1,0))</f>
        <v>1</v>
      </c>
      <c r="AL100" s="368" t="n">
        <f aca="false">IF(34&lt;5,0,IF(MAX(AG96:AL96)&gt;AL97+1+$B$18,1,0))</f>
        <v>1</v>
      </c>
      <c r="AM100" s="368" t="n">
        <f aca="false">IF(35&lt;5,0,IF(MAX(AH96:AM96)&gt;AM97+1+$B$18,1,0))</f>
        <v>1</v>
      </c>
      <c r="AN100" s="368" t="n">
        <f aca="false">IF(36&lt;5,0,IF(MAX(AI96:AN96)&gt;AN97+1+$B$18,1,0))</f>
        <v>1</v>
      </c>
      <c r="AO100" s="368" t="n">
        <f aca="false">IF(37&lt;5,0,IF(MAX(AJ96:AO96)&gt;AO97+1+$B$18,1,0))</f>
        <v>1</v>
      </c>
      <c r="AP100" s="368" t="n">
        <f aca="false">IF(38&lt;5,0,IF(MAX(AK96:AP96)&gt;AP97+1+$B$18,1,0))</f>
        <v>1</v>
      </c>
      <c r="AQ100" s="368" t="n">
        <f aca="false">IF(39&lt;5,0,IF(MAX(AL96:AQ96)&gt;AQ97+1+$B$18,1,0))</f>
        <v>0</v>
      </c>
      <c r="AR100" s="368" t="n">
        <f aca="false">IF(40&lt;5,0,IF(MAX(AM96:AR96)&gt;AR97+1+$B$18,1,0))</f>
        <v>0</v>
      </c>
      <c r="AS100" s="368" t="n">
        <f aca="false">IF(41&lt;5,0,IF(MAX(AN96:AS96)&gt;AS97+1+$B$18,1,0))</f>
        <v>0</v>
      </c>
      <c r="AT100" s="368" t="n">
        <f aca="false">IF(42&lt;5,0,IF(MAX(AO96:AT96)&gt;AT97+1+$B$18,1,0))</f>
        <v>0</v>
      </c>
      <c r="AU100" s="368" t="n">
        <f aca="false">IF(43&lt;5,0,IF(MAX(AP96:AU96)&gt;AU97+1+$B$18,1,0))</f>
        <v>0</v>
      </c>
      <c r="AV100" s="368" t="n">
        <f aca="false">IF(44&lt;5,0,IF(MAX(AQ96:AV96)&gt;AV97+1+$B$18,1,0))</f>
        <v>0</v>
      </c>
      <c r="AW100" s="368" t="n">
        <f aca="false">IF(45&lt;5,0,IF(MAX(AR96:AW96)&gt;AW97+1+$B$18,1,0))</f>
        <v>0</v>
      </c>
      <c r="AX100" s="368" t="n">
        <f aca="false">IF(46&lt;5,0,IF(MAX(AS96:AX96)&gt;AX97+1+$B$18,1,0))</f>
        <v>0</v>
      </c>
      <c r="AY100" s="368" t="n">
        <f aca="false">IF(47&lt;5,0,IF(MAX(AT96:AY96)&gt;AY97+1+$B$18,1,0))</f>
        <v>0</v>
      </c>
      <c r="AZ100" s="368" t="n">
        <f aca="false">IF(48&lt;5,0,IF(MAX(AU96:AZ96)&gt;AZ97+1+$B$18,1,0))</f>
        <v>0</v>
      </c>
      <c r="BA100" s="368" t="n">
        <f aca="false">IF(49&lt;5,0,IF(MAX(AV96:BA96)&gt;BA97+1+$B$18,1,0))</f>
        <v>0</v>
      </c>
      <c r="BB100" s="368" t="n">
        <f aca="false">IF(50&lt;5,0,IF(MAX(AW96:BB96)&gt;BB97+1+$B$18,1,0))</f>
        <v>0</v>
      </c>
      <c r="BC100" s="368" t="n">
        <f aca="false">IF(51&lt;5,0,IF(MAX(AX96:BC96)&gt;BC97+1+$B$18,1,0))</f>
        <v>0</v>
      </c>
      <c r="BD100" s="368" t="n">
        <f aca="false">IF(52&lt;5,0,IF(MAX(AY96:BD96)&gt;BD97+1+$B$18,1,0))</f>
        <v>0</v>
      </c>
      <c r="BE100" s="368" t="n">
        <f aca="false">IF(53&lt;5,0,IF(MAX(AZ96:BE96)&gt;BE97+1+$B$18,1,0))</f>
        <v>0</v>
      </c>
      <c r="BF100" s="368" t="n">
        <f aca="false">IF(54&lt;5,0,IF(MAX(BA96:BF96)&gt;BF97+1+$B$18,1,0))</f>
        <v>0</v>
      </c>
      <c r="BG100" s="368" t="n">
        <f aca="false">IF(55&lt;5,0,IF(MAX(BB96:BG96)&gt;BG97+1+$B$18,1,0))</f>
        <v>0</v>
      </c>
      <c r="BH100" s="368" t="n">
        <f aca="false">IF(56&lt;5,0,IF(MAX(BC96:BH96)&gt;BH97+1+$B$18,1,0))</f>
        <v>0</v>
      </c>
      <c r="BI100" s="368" t="n">
        <f aca="false">IF(57&lt;5,0,IF(MAX(BD96:BI96)&gt;BI97+1+$B$18,1,0))</f>
        <v>0</v>
      </c>
      <c r="BJ100" s="368" t="n">
        <f aca="false">IF(58&lt;5,0,IF(MAX(BE96:BJ96)&gt;BJ97+1+$B$18,1,0))</f>
        <v>0</v>
      </c>
      <c r="BK100" s="368" t="n">
        <f aca="false">IF(59&lt;5,0,IF(MAX(BF96:BK96)&gt;BK97+1+$B$18,1,0))</f>
        <v>0</v>
      </c>
      <c r="BL100" s="368" t="n">
        <f aca="false">IF(60&lt;5,0,IF(MAX(BG96:BL96)&gt;BL97+1+$B$18,1,0))</f>
        <v>0</v>
      </c>
      <c r="BM100" s="368" t="n">
        <f aca="false">IF(61&lt;5,0,IF(MAX(BH96:BM96)&gt;BM97+1+$B$18,1,0))</f>
        <v>0</v>
      </c>
      <c r="BN100" s="368" t="n">
        <f aca="false">IF(62&lt;5,0,IF(MAX(BI96:BN96)&gt;BN97+1+$B$18,1,0))</f>
        <v>0</v>
      </c>
      <c r="BO100" s="368" t="n">
        <f aca="false">IF(63&lt;5,0,IF(MAX(BJ96:BO96)&gt;BO97+1+$B$18,1,0))</f>
        <v>0</v>
      </c>
      <c r="BP100" s="368" t="n">
        <f aca="false">IF(64&lt;5,0,IF(MAX(BK96:BP96)&gt;BP97+1+$B$18,1,0))</f>
        <v>0</v>
      </c>
      <c r="BQ100" s="368" t="n">
        <f aca="false">IF(65&lt;5,0,IF(MAX(BL96:BQ96)&gt;BQ97+1+$B$18,1,0))</f>
        <v>0</v>
      </c>
      <c r="BR100" s="368" t="n">
        <f aca="false">IF(66&lt;5,0,IF(MAX(BM96:BR96)&gt;BR97+1+$B$18,1,0))</f>
        <v>0</v>
      </c>
      <c r="BS100" s="368" t="n">
        <f aca="false">IF(67&lt;5,0,IF(MAX(BN96:BS96)&gt;BS97+1+$B$18,1,0))</f>
        <v>0</v>
      </c>
      <c r="BT100" s="368" t="n">
        <f aca="false">IF(68&lt;5,0,IF(MAX(BO96:BT96)&gt;BT97+1+$B$18,1,0))</f>
        <v>0</v>
      </c>
      <c r="BU100" s="368" t="n">
        <f aca="false">IF(69&lt;5,0,IF(MAX(BP96:BU96)&gt;BU97+1+$B$18,1,0))</f>
        <v>0</v>
      </c>
      <c r="BV100" s="368" t="n">
        <f aca="false">IF(70&lt;5,0,IF(MAX(BQ96:BV96)&gt;BV97+1+$B$18,1,0))</f>
        <v>0</v>
      </c>
      <c r="BW100" s="368" t="n">
        <f aca="false">IF(71&lt;5,0,IF(MAX(BR96:BW96)&gt;BW97+1+$B$18,1,0))</f>
        <v>0</v>
      </c>
      <c r="BX100" s="368" t="n">
        <f aca="false">IF(72&lt;5,0,IF(MAX(BS96:BX96)&gt;BX97+1+$B$18,1,0))</f>
        <v>0</v>
      </c>
      <c r="BY100" s="368" t="n">
        <f aca="false">IF(73&lt;5,0,IF(MAX(BT96:BY96)&gt;BY97+1+$B$18,1,0))</f>
        <v>0</v>
      </c>
      <c r="BZ100" s="368" t="n">
        <f aca="false">IF(74&lt;5,0,IF(MAX(BU96:BZ96)&gt;BZ97+1+$B$18,1,0))</f>
        <v>0</v>
      </c>
      <c r="CA100" s="368" t="n">
        <f aca="false">IF(75&lt;5,0,IF(MAX(BV96:CA96)&gt;CA97+1+$B$18,1,0))</f>
        <v>0</v>
      </c>
      <c r="CB100" s="368" t="n">
        <f aca="false">IF(76&lt;5,0,IF(MAX(BW96:CB96)&gt;CB97+1+$B$18,1,0))</f>
        <v>0</v>
      </c>
      <c r="CC100" s="368" t="n">
        <f aca="false">IF(77&lt;5,0,IF(MAX(BX96:CC96)&gt;CC97+1+$B$18,1,0))</f>
        <v>0</v>
      </c>
      <c r="CD100" s="368" t="n">
        <f aca="false">IF(78&lt;5,0,IF(MAX(BY96:CD96)&gt;CD97+1+$B$18,1,0))</f>
        <v>0</v>
      </c>
      <c r="CE100" s="368" t="n">
        <f aca="false">IF(79&lt;5,0,IF(MAX(BZ96:CE96)&gt;CE97+1+$B$18,1,0))</f>
        <v>0</v>
      </c>
      <c r="CF100" s="368" t="n">
        <f aca="false">IF(80&lt;5,0,IF(MAX(CA96:CF96)&gt;CF97+1+$B$18,1,0))</f>
        <v>0</v>
      </c>
      <c r="CG100" s="368" t="n">
        <f aca="false">IF(81&lt;5,0,IF(MAX(CB96:CG96)&gt;CG97+1+$B$18,1,0))</f>
        <v>0</v>
      </c>
      <c r="CH100" s="368" t="n">
        <f aca="false">IF(82&lt;5,0,IF(MAX(CC96:CH96)&gt;CH97+1+$B$18,1,0))</f>
        <v>0</v>
      </c>
      <c r="CI100" s="368" t="n">
        <f aca="false">IF(83&lt;5,0,IF(MAX(CD96:CI96)&gt;CI97+1+$B$18,1,0))</f>
        <v>0</v>
      </c>
      <c r="CJ100" s="368" t="n">
        <f aca="false">IF(84&lt;5,0,IF(MAX(CE96:CJ96)&gt;CJ97+1+$B$18,1,0))</f>
        <v>0</v>
      </c>
      <c r="CK100" s="368" t="n">
        <f aca="false">IF(85&lt;5,0,IF(MAX(CF96:CK96)&gt;CK97+1+$B$18,1,0))</f>
        <v>0</v>
      </c>
      <c r="CL100" s="368" t="n">
        <f aca="false">IF(86&lt;5,0,IF(MAX(CG96:CL96)&gt;CL97+1+$B$18,1,0))</f>
        <v>0</v>
      </c>
      <c r="CM100" s="368" t="n">
        <f aca="false">IF(87&lt;5,0,IF(MAX(CH96:CM96)&gt;CM97+1+$B$18,1,0))</f>
        <v>0</v>
      </c>
      <c r="CN100" s="368" t="n">
        <f aca="false">IF(88&lt;5,0,IF(MAX(CI96:CN96)&gt;CN97+1+$B$18,1,0))</f>
        <v>0</v>
      </c>
      <c r="CO100" s="368" t="n">
        <f aca="false">IF(89&lt;5,0,IF(MAX(CJ96:CO96)&gt;CO97+1+$B$18,1,0))</f>
        <v>0</v>
      </c>
      <c r="CP100" s="368" t="n">
        <f aca="false">IF(90&lt;5,0,IF(MAX(CK96:CP96)&gt;CP97+1+$B$18,1,0))</f>
        <v>0</v>
      </c>
      <c r="CQ100" s="368" t="n">
        <f aca="false">IF(91&lt;5,0,IF(MAX(CL96:CQ96)&gt;CQ97+1+$B$18,1,0))</f>
        <v>0</v>
      </c>
      <c r="CR100" s="368" t="n">
        <f aca="false">IF(92&lt;5,0,IF(MAX(CM96:CR96)&gt;CR97+1+$B$18,1,0))</f>
        <v>0</v>
      </c>
      <c r="CS100" s="368" t="n">
        <f aca="false">IF(93&lt;5,0,IF(MAX(CN96:CS96)&gt;CS97+1+$B$18,1,0))</f>
        <v>0</v>
      </c>
      <c r="CT100" s="368" t="n">
        <f aca="false">IF(94&lt;5,0,IF(MAX(CO96:CT96)&gt;CT97+1+$B$18,1,0))</f>
        <v>0</v>
      </c>
      <c r="CU100" s="368" t="n">
        <f aca="false">IF(95&lt;5,0,IF(MAX(CP96:CU96)&gt;CU97+1+$B$18,1,0))</f>
        <v>0</v>
      </c>
      <c r="CV100" s="368" t="n">
        <f aca="false">IF(96&lt;5,0,IF(MAX(CQ96:CV96)&gt;CV97+1+$B$18,1,0))</f>
        <v>0</v>
      </c>
      <c r="CW100" s="368" t="n">
        <f aca="false">IF(97&lt;5,0,IF(MAX(CR96:CW96)&gt;CW97+1+$B$18,1,0))</f>
        <v>0</v>
      </c>
      <c r="CX100" s="368" t="n">
        <f aca="false">IF(98&lt;5,0,IF(MAX(CS96:CX96)&gt;CX97+1+$B$18,1,0))</f>
        <v>0</v>
      </c>
      <c r="CY100" s="368" t="n">
        <f aca="false">IF(99&lt;5,0,IF(MAX(CT96:CY96)&gt;CY97+1+$B$18,1,0))</f>
        <v>0</v>
      </c>
      <c r="CZ100" s="368" t="n">
        <f aca="false">IF(100&lt;5,0,IF(MAX(CU96:CZ96)&gt;CZ97+1+$B$18,1,0))</f>
        <v>0</v>
      </c>
      <c r="DA100" s="368" t="n">
        <f aca="false">IF(101&lt;5,0,IF(MAX(CV96:DA96)&gt;DA97+1+$B$18,1,0))</f>
        <v>0</v>
      </c>
      <c r="DB100" s="368" t="n">
        <f aca="false">IF(102&lt;5,0,IF(MAX(CW96:DB96)&gt;DB97+1+$B$18,1,0))</f>
        <v>0</v>
      </c>
      <c r="DC100" s="368" t="n">
        <f aca="false">IF(103&lt;5,0,IF(MAX(CX96:DC96)&gt;DC97+1+$B$18,1,0))</f>
        <v>0</v>
      </c>
      <c r="DD100" s="368" t="n">
        <f aca="false">IF(104&lt;5,0,IF(MAX(CY96:DD96)&gt;DD97+1+$B$18,1,0))</f>
        <v>0</v>
      </c>
      <c r="DE100" s="368" t="n">
        <f aca="false">IF(105&lt;5,0,IF(MAX(CZ96:DE96)&gt;DE97+1+$B$18,1,0))</f>
        <v>0</v>
      </c>
    </row>
    <row r="101" customFormat="false" ht="13.5" hidden="false" customHeight="true" outlineLevel="0" collapsed="false">
      <c r="A101" s="109" t="s">
        <v>1258</v>
      </c>
      <c r="B101" s="225" t="n">
        <f aca="false">$B$27</f>
        <v>125000</v>
      </c>
      <c r="E101" s="368" t="n">
        <f aca="false">IF(1&lt;5,0,IF(MAX(E96)&gt;E97+2+$B$18,1,0))</f>
        <v>0</v>
      </c>
      <c r="F101" s="368" t="n">
        <f aca="false">IF(2&lt;5,0,IF(MAX(E96:F96)&gt;F97+2+$B$18,1,0))</f>
        <v>0</v>
      </c>
      <c r="G101" s="368" t="n">
        <f aca="false">IF(3&lt;5,0,IF(MAX(E96:G96)&gt;G97+2+$B$18,1,0))</f>
        <v>0</v>
      </c>
      <c r="H101" s="368" t="n">
        <f aca="false">IF(4&lt;5,0,IF(MAX(E96:H96)&gt;H97+2+$B$18,1,0))</f>
        <v>0</v>
      </c>
      <c r="I101" s="368" t="n">
        <f aca="false">IF(5&lt;5,0,IF(MAX(E96:I96)&gt;I97+2+$B$18,1,0))</f>
        <v>0</v>
      </c>
      <c r="J101" s="368" t="n">
        <f aca="false">IF(6&lt;5,0,IF(MAX(E96:J96)&gt;J97+2+$B$18,1,0))</f>
        <v>0</v>
      </c>
      <c r="K101" s="368" t="n">
        <f aca="false">IF(7&lt;5,0,IF(MAX(F96:K96)&gt;K97+2+$B$18,1,0))</f>
        <v>0</v>
      </c>
      <c r="L101" s="368" t="n">
        <f aca="false">IF(8&lt;5,0,IF(MAX(G96:L96)&gt;L97+2+$B$18,1,0))</f>
        <v>0</v>
      </c>
      <c r="M101" s="368" t="n">
        <f aca="false">IF(9&lt;5,0,IF(MAX(H96:M96)&gt;M97+2+$B$18,1,0))</f>
        <v>0</v>
      </c>
      <c r="N101" s="368" t="n">
        <f aca="false">IF(10&lt;5,0,IF(MAX(I96:N96)&gt;N97+2+$B$18,1,0))</f>
        <v>0</v>
      </c>
      <c r="O101" s="368" t="n">
        <f aca="false">IF(11&lt;5,0,IF(MAX(J96:O96)&gt;O97+2+$B$18,1,0))</f>
        <v>0</v>
      </c>
      <c r="P101" s="368" t="n">
        <f aca="false">IF(12&lt;5,0,IF(MAX(K96:P96)&gt;P97+2+$B$18,1,0))</f>
        <v>0</v>
      </c>
      <c r="Q101" s="368" t="n">
        <f aca="false">IF(13&lt;5,0,IF(MAX(L96:Q96)&gt;Q97+2+$B$18,1,0))</f>
        <v>0</v>
      </c>
      <c r="R101" s="368" t="n">
        <f aca="false">IF(14&lt;5,0,IF(MAX(M96:R96)&gt;R97+2+$B$18,1,0))</f>
        <v>0</v>
      </c>
      <c r="S101" s="368" t="n">
        <f aca="false">IF(15&lt;5,0,IF(MAX(N96:S96)&gt;S97+2+$B$18,1,0))</f>
        <v>1</v>
      </c>
      <c r="T101" s="368" t="n">
        <f aca="false">IF(16&lt;5,0,IF(MAX(O96:T96)&gt;T97+2+$B$18,1,0))</f>
        <v>1</v>
      </c>
      <c r="U101" s="368" t="n">
        <f aca="false">IF(17&lt;5,0,IF(MAX(P96:U96)&gt;U97+2+$B$18,1,0))</f>
        <v>1</v>
      </c>
      <c r="V101" s="368" t="n">
        <f aca="false">IF(18&lt;5,0,IF(MAX(Q96:V96)&gt;V97+2+$B$18,1,0))</f>
        <v>1</v>
      </c>
      <c r="W101" s="368" t="n">
        <f aca="false">IF(19&lt;5,0,IF(MAX(R96:W96)&gt;W97+2+$B$18,1,0))</f>
        <v>1</v>
      </c>
      <c r="X101" s="368" t="n">
        <f aca="false">IF(20&lt;5,0,IF(MAX(S96:X96)&gt;X97+2+$B$18,1,0))</f>
        <v>1</v>
      </c>
      <c r="Y101" s="368" t="n">
        <f aca="false">IF(21&lt;5,0,IF(MAX(T96:Y96)&gt;Y97+2+$B$18,1,0))</f>
        <v>1</v>
      </c>
      <c r="Z101" s="368" t="n">
        <f aca="false">IF(22&lt;5,0,IF(MAX(U96:Z96)&gt;Z97+2+$B$18,1,0))</f>
        <v>1</v>
      </c>
      <c r="AA101" s="368" t="n">
        <f aca="false">IF(23&lt;5,0,IF(MAX(V96:AA96)&gt;AA97+2+$B$18,1,0))</f>
        <v>1</v>
      </c>
      <c r="AB101" s="368" t="n">
        <f aca="false">IF(24&lt;5,0,IF(MAX(W96:AB96)&gt;AB97+2+$B$18,1,0))</f>
        <v>1</v>
      </c>
      <c r="AC101" s="368" t="n">
        <f aca="false">IF(25&lt;5,0,IF(MAX(X96:AC96)&gt;AC97+2+$B$18,1,0))</f>
        <v>1</v>
      </c>
      <c r="AD101" s="368" t="n">
        <f aca="false">IF(26&lt;5,0,IF(MAX(Y96:AD96)&gt;AD97+2+$B$18,1,0))</f>
        <v>1</v>
      </c>
      <c r="AE101" s="368" t="n">
        <f aca="false">IF(27&lt;5,0,IF(MAX(Z96:AE96)&gt;AE97+2+$B$18,1,0))</f>
        <v>1</v>
      </c>
      <c r="AF101" s="368" t="n">
        <f aca="false">IF(28&lt;5,0,IF(MAX(AA96:AF96)&gt;AF97+2+$B$18,1,0))</f>
        <v>1</v>
      </c>
      <c r="AG101" s="368" t="n">
        <f aca="false">IF(29&lt;5,0,IF(MAX(AB96:AG96)&gt;AG97+2+$B$18,1,0))</f>
        <v>1</v>
      </c>
      <c r="AH101" s="368" t="n">
        <f aca="false">IF(30&lt;5,0,IF(MAX(AC96:AH96)&gt;AH97+2+$B$18,1,0))</f>
        <v>1</v>
      </c>
      <c r="AI101" s="368" t="n">
        <f aca="false">IF(31&lt;5,0,IF(MAX(AD96:AI96)&gt;AI97+2+$B$18,1,0))</f>
        <v>1</v>
      </c>
      <c r="AJ101" s="368" t="n">
        <f aca="false">IF(32&lt;5,0,IF(MAX(AE96:AJ96)&gt;AJ97+2+$B$18,1,0))</f>
        <v>1</v>
      </c>
      <c r="AK101" s="368" t="n">
        <f aca="false">IF(33&lt;5,0,IF(MAX(AF96:AK96)&gt;AK97+2+$B$18,1,0))</f>
        <v>1</v>
      </c>
      <c r="AL101" s="368" t="n">
        <f aca="false">IF(34&lt;5,0,IF(MAX(AG96:AL96)&gt;AL97+2+$B$18,1,0))</f>
        <v>1</v>
      </c>
      <c r="AM101" s="368" t="n">
        <f aca="false">IF(35&lt;5,0,IF(MAX(AH96:AM96)&gt;AM97+2+$B$18,1,0))</f>
        <v>1</v>
      </c>
      <c r="AN101" s="368" t="n">
        <f aca="false">IF(36&lt;5,0,IF(MAX(AI96:AN96)&gt;AN97+2+$B$18,1,0))</f>
        <v>0</v>
      </c>
      <c r="AO101" s="368" t="n">
        <f aca="false">IF(37&lt;5,0,IF(MAX(AJ96:AO96)&gt;AO97+2+$B$18,1,0))</f>
        <v>0</v>
      </c>
      <c r="AP101" s="368" t="n">
        <f aca="false">IF(38&lt;5,0,IF(MAX(AK96:AP96)&gt;AP97+2+$B$18,1,0))</f>
        <v>0</v>
      </c>
      <c r="AQ101" s="368" t="n">
        <f aca="false">IF(39&lt;5,0,IF(MAX(AL96:AQ96)&gt;AQ97+2+$B$18,1,0))</f>
        <v>0</v>
      </c>
      <c r="AR101" s="368" t="n">
        <f aca="false">IF(40&lt;5,0,IF(MAX(AM96:AR96)&gt;AR97+2+$B$18,1,0))</f>
        <v>0</v>
      </c>
      <c r="AS101" s="368" t="n">
        <f aca="false">IF(41&lt;5,0,IF(MAX(AN96:AS96)&gt;AS97+2+$B$18,1,0))</f>
        <v>0</v>
      </c>
      <c r="AT101" s="368" t="n">
        <f aca="false">IF(42&lt;5,0,IF(MAX(AO96:AT96)&gt;AT97+2+$B$18,1,0))</f>
        <v>0</v>
      </c>
      <c r="AU101" s="368" t="n">
        <f aca="false">IF(43&lt;5,0,IF(MAX(AP96:AU96)&gt;AU97+2+$B$18,1,0))</f>
        <v>0</v>
      </c>
      <c r="AV101" s="368" t="n">
        <f aca="false">IF(44&lt;5,0,IF(MAX(AQ96:AV96)&gt;AV97+2+$B$18,1,0))</f>
        <v>0</v>
      </c>
      <c r="AW101" s="368" t="n">
        <f aca="false">IF(45&lt;5,0,IF(MAX(AR96:AW96)&gt;AW97+2+$B$18,1,0))</f>
        <v>0</v>
      </c>
      <c r="AX101" s="368" t="n">
        <f aca="false">IF(46&lt;5,0,IF(MAX(AS96:AX96)&gt;AX97+2+$B$18,1,0))</f>
        <v>0</v>
      </c>
      <c r="AY101" s="368" t="n">
        <f aca="false">IF(47&lt;5,0,IF(MAX(AT96:AY96)&gt;AY97+2+$B$18,1,0))</f>
        <v>0</v>
      </c>
      <c r="AZ101" s="368" t="n">
        <f aca="false">IF(48&lt;5,0,IF(MAX(AU96:AZ96)&gt;AZ97+2+$B$18,1,0))</f>
        <v>0</v>
      </c>
      <c r="BA101" s="368" t="n">
        <f aca="false">IF(49&lt;5,0,IF(MAX(AV96:BA96)&gt;BA97+2+$B$18,1,0))</f>
        <v>0</v>
      </c>
      <c r="BB101" s="368" t="n">
        <f aca="false">IF(50&lt;5,0,IF(MAX(AW96:BB96)&gt;BB97+2+$B$18,1,0))</f>
        <v>0</v>
      </c>
      <c r="BC101" s="368" t="n">
        <f aca="false">IF(51&lt;5,0,IF(MAX(AX96:BC96)&gt;BC97+2+$B$18,1,0))</f>
        <v>0</v>
      </c>
      <c r="BD101" s="368" t="n">
        <f aca="false">IF(52&lt;5,0,IF(MAX(AY96:BD96)&gt;BD97+2+$B$18,1,0))</f>
        <v>0</v>
      </c>
      <c r="BE101" s="368" t="n">
        <f aca="false">IF(53&lt;5,0,IF(MAX(AZ96:BE96)&gt;BE97+2+$B$18,1,0))</f>
        <v>0</v>
      </c>
      <c r="BF101" s="368" t="n">
        <f aca="false">IF(54&lt;5,0,IF(MAX(BA96:BF96)&gt;BF97+2+$B$18,1,0))</f>
        <v>0</v>
      </c>
      <c r="BG101" s="368" t="n">
        <f aca="false">IF(55&lt;5,0,IF(MAX(BB96:BG96)&gt;BG97+2+$B$18,1,0))</f>
        <v>0</v>
      </c>
      <c r="BH101" s="368" t="n">
        <f aca="false">IF(56&lt;5,0,IF(MAX(BC96:BH96)&gt;BH97+2+$B$18,1,0))</f>
        <v>0</v>
      </c>
      <c r="BI101" s="368" t="n">
        <f aca="false">IF(57&lt;5,0,IF(MAX(BD96:BI96)&gt;BI97+2+$B$18,1,0))</f>
        <v>0</v>
      </c>
      <c r="BJ101" s="368" t="n">
        <f aca="false">IF(58&lt;5,0,IF(MAX(BE96:BJ96)&gt;BJ97+2+$B$18,1,0))</f>
        <v>0</v>
      </c>
      <c r="BK101" s="368" t="n">
        <f aca="false">IF(59&lt;5,0,IF(MAX(BF96:BK96)&gt;BK97+2+$B$18,1,0))</f>
        <v>0</v>
      </c>
      <c r="BL101" s="368" t="n">
        <f aca="false">IF(60&lt;5,0,IF(MAX(BG96:BL96)&gt;BL97+2+$B$18,1,0))</f>
        <v>0</v>
      </c>
      <c r="BM101" s="368" t="n">
        <f aca="false">IF(61&lt;5,0,IF(MAX(BH96:BM96)&gt;BM97+2+$B$18,1,0))</f>
        <v>0</v>
      </c>
      <c r="BN101" s="368" t="n">
        <f aca="false">IF(62&lt;5,0,IF(MAX(BI96:BN96)&gt;BN97+2+$B$18,1,0))</f>
        <v>0</v>
      </c>
      <c r="BO101" s="368" t="n">
        <f aca="false">IF(63&lt;5,0,IF(MAX(BJ96:BO96)&gt;BO97+2+$B$18,1,0))</f>
        <v>0</v>
      </c>
      <c r="BP101" s="368" t="n">
        <f aca="false">IF(64&lt;5,0,IF(MAX(BK96:BP96)&gt;BP97+2+$B$18,1,0))</f>
        <v>0</v>
      </c>
      <c r="BQ101" s="368" t="n">
        <f aca="false">IF(65&lt;5,0,IF(MAX(BL96:BQ96)&gt;BQ97+2+$B$18,1,0))</f>
        <v>0</v>
      </c>
      <c r="BR101" s="368" t="n">
        <f aca="false">IF(66&lt;5,0,IF(MAX(BM96:BR96)&gt;BR97+2+$B$18,1,0))</f>
        <v>0</v>
      </c>
      <c r="BS101" s="368" t="n">
        <f aca="false">IF(67&lt;5,0,IF(MAX(BN96:BS96)&gt;BS97+2+$B$18,1,0))</f>
        <v>0</v>
      </c>
      <c r="BT101" s="368" t="n">
        <f aca="false">IF(68&lt;5,0,IF(MAX(BO96:BT96)&gt;BT97+2+$B$18,1,0))</f>
        <v>0</v>
      </c>
      <c r="BU101" s="368" t="n">
        <f aca="false">IF(69&lt;5,0,IF(MAX(BP96:BU96)&gt;BU97+2+$B$18,1,0))</f>
        <v>0</v>
      </c>
      <c r="BV101" s="368" t="n">
        <f aca="false">IF(70&lt;5,0,IF(MAX(BQ96:BV96)&gt;BV97+2+$B$18,1,0))</f>
        <v>0</v>
      </c>
      <c r="BW101" s="368" t="n">
        <f aca="false">IF(71&lt;5,0,IF(MAX(BR96:BW96)&gt;BW97+2+$B$18,1,0))</f>
        <v>0</v>
      </c>
      <c r="BX101" s="368" t="n">
        <f aca="false">IF(72&lt;5,0,IF(MAX(BS96:BX96)&gt;BX97+2+$B$18,1,0))</f>
        <v>0</v>
      </c>
      <c r="BY101" s="368" t="n">
        <f aca="false">IF(73&lt;5,0,IF(MAX(BT96:BY96)&gt;BY97+2+$B$18,1,0))</f>
        <v>0</v>
      </c>
      <c r="BZ101" s="368" t="n">
        <f aca="false">IF(74&lt;5,0,IF(MAX(BU96:BZ96)&gt;BZ97+2+$B$18,1,0))</f>
        <v>0</v>
      </c>
      <c r="CA101" s="368" t="n">
        <f aca="false">IF(75&lt;5,0,IF(MAX(BV96:CA96)&gt;CA97+2+$B$18,1,0))</f>
        <v>0</v>
      </c>
      <c r="CB101" s="368" t="n">
        <f aca="false">IF(76&lt;5,0,IF(MAX(BW96:CB96)&gt;CB97+2+$B$18,1,0))</f>
        <v>0</v>
      </c>
      <c r="CC101" s="368" t="n">
        <f aca="false">IF(77&lt;5,0,IF(MAX(BX96:CC96)&gt;CC97+2+$B$18,1,0))</f>
        <v>0</v>
      </c>
      <c r="CD101" s="368" t="n">
        <f aca="false">IF(78&lt;5,0,IF(MAX(BY96:CD96)&gt;CD97+2+$B$18,1,0))</f>
        <v>0</v>
      </c>
      <c r="CE101" s="368" t="n">
        <f aca="false">IF(79&lt;5,0,IF(MAX(BZ96:CE96)&gt;CE97+2+$B$18,1,0))</f>
        <v>0</v>
      </c>
      <c r="CF101" s="368" t="n">
        <f aca="false">IF(80&lt;5,0,IF(MAX(CA96:CF96)&gt;CF97+2+$B$18,1,0))</f>
        <v>0</v>
      </c>
      <c r="CG101" s="368" t="n">
        <f aca="false">IF(81&lt;5,0,IF(MAX(CB96:CG96)&gt;CG97+2+$B$18,1,0))</f>
        <v>0</v>
      </c>
      <c r="CH101" s="368" t="n">
        <f aca="false">IF(82&lt;5,0,IF(MAX(CC96:CH96)&gt;CH97+2+$B$18,1,0))</f>
        <v>0</v>
      </c>
      <c r="CI101" s="368" t="n">
        <f aca="false">IF(83&lt;5,0,IF(MAX(CD96:CI96)&gt;CI97+2+$B$18,1,0))</f>
        <v>0</v>
      </c>
      <c r="CJ101" s="368" t="n">
        <f aca="false">IF(84&lt;5,0,IF(MAX(CE96:CJ96)&gt;CJ97+2+$B$18,1,0))</f>
        <v>0</v>
      </c>
      <c r="CK101" s="368" t="n">
        <f aca="false">IF(85&lt;5,0,IF(MAX(CF96:CK96)&gt;CK97+2+$B$18,1,0))</f>
        <v>0</v>
      </c>
      <c r="CL101" s="368" t="n">
        <f aca="false">IF(86&lt;5,0,IF(MAX(CG96:CL96)&gt;CL97+2+$B$18,1,0))</f>
        <v>0</v>
      </c>
      <c r="CM101" s="368" t="n">
        <f aca="false">IF(87&lt;5,0,IF(MAX(CH96:CM96)&gt;CM97+2+$B$18,1,0))</f>
        <v>0</v>
      </c>
      <c r="CN101" s="368" t="n">
        <f aca="false">IF(88&lt;5,0,IF(MAX(CI96:CN96)&gt;CN97+2+$B$18,1,0))</f>
        <v>0</v>
      </c>
      <c r="CO101" s="368" t="n">
        <f aca="false">IF(89&lt;5,0,IF(MAX(CJ96:CO96)&gt;CO97+2+$B$18,1,0))</f>
        <v>0</v>
      </c>
      <c r="CP101" s="368" t="n">
        <f aca="false">IF(90&lt;5,0,IF(MAX(CK96:CP96)&gt;CP97+2+$B$18,1,0))</f>
        <v>0</v>
      </c>
      <c r="CQ101" s="368" t="n">
        <f aca="false">IF(91&lt;5,0,IF(MAX(CL96:CQ96)&gt;CQ97+2+$B$18,1,0))</f>
        <v>0</v>
      </c>
      <c r="CR101" s="368" t="n">
        <f aca="false">IF(92&lt;5,0,IF(MAX(CM96:CR96)&gt;CR97+2+$B$18,1,0))</f>
        <v>0</v>
      </c>
      <c r="CS101" s="368" t="n">
        <f aca="false">IF(93&lt;5,0,IF(MAX(CN96:CS96)&gt;CS97+2+$B$18,1,0))</f>
        <v>0</v>
      </c>
      <c r="CT101" s="368" t="n">
        <f aca="false">IF(94&lt;5,0,IF(MAX(CO96:CT96)&gt;CT97+2+$B$18,1,0))</f>
        <v>0</v>
      </c>
      <c r="CU101" s="368" t="n">
        <f aca="false">IF(95&lt;5,0,IF(MAX(CP96:CU96)&gt;CU97+2+$B$18,1,0))</f>
        <v>0</v>
      </c>
      <c r="CV101" s="368" t="n">
        <f aca="false">IF(96&lt;5,0,IF(MAX(CQ96:CV96)&gt;CV97+2+$B$18,1,0))</f>
        <v>0</v>
      </c>
      <c r="CW101" s="368" t="n">
        <f aca="false">IF(97&lt;5,0,IF(MAX(CR96:CW96)&gt;CW97+2+$B$18,1,0))</f>
        <v>0</v>
      </c>
      <c r="CX101" s="368" t="n">
        <f aca="false">IF(98&lt;5,0,IF(MAX(CS96:CX96)&gt;CX97+2+$B$18,1,0))</f>
        <v>0</v>
      </c>
      <c r="CY101" s="368" t="n">
        <f aca="false">IF(99&lt;5,0,IF(MAX(CT96:CY96)&gt;CY97+2+$B$18,1,0))</f>
        <v>0</v>
      </c>
      <c r="CZ101" s="368" t="n">
        <f aca="false">IF(100&lt;5,0,IF(MAX(CU96:CZ96)&gt;CZ97+2+$B$18,1,0))</f>
        <v>0</v>
      </c>
      <c r="DA101" s="368" t="n">
        <f aca="false">IF(101&lt;5,0,IF(MAX(CV96:DA96)&gt;DA97+2+$B$18,1,0))</f>
        <v>0</v>
      </c>
      <c r="DB101" s="368" t="n">
        <f aca="false">IF(102&lt;5,0,IF(MAX(CW96:DB96)&gt;DB97+2+$B$18,1,0))</f>
        <v>0</v>
      </c>
      <c r="DC101" s="368" t="n">
        <f aca="false">IF(103&lt;5,0,IF(MAX(CX96:DC96)&gt;DC97+2+$B$18,1,0))</f>
        <v>0</v>
      </c>
      <c r="DD101" s="368" t="n">
        <f aca="false">IF(104&lt;5,0,IF(MAX(CY96:DD96)&gt;DD97+2+$B$18,1,0))</f>
        <v>0</v>
      </c>
      <c r="DE101" s="368" t="n">
        <f aca="false">IF(105&lt;5,0,IF(MAX(CZ96:DE96)&gt;DE97+2+$B$18,1,0))</f>
        <v>0</v>
      </c>
    </row>
    <row r="102" customFormat="false" ht="13.5" hidden="false" customHeight="true" outlineLevel="0" collapsed="false">
      <c r="A102" s="109" t="s">
        <v>1259</v>
      </c>
      <c r="B102" s="225" t="n">
        <f aca="false">$B$27</f>
        <v>125000</v>
      </c>
      <c r="E102" s="368" t="n">
        <f aca="false">IF(1&lt;5,0,IF(MAX(E96)&gt;E97+3+$B$18,1,0))</f>
        <v>0</v>
      </c>
      <c r="F102" s="368" t="n">
        <f aca="false">IF(2&lt;5,0,IF(MAX(E96:F96)&gt;F97+3+$B$18,1,0))</f>
        <v>0</v>
      </c>
      <c r="G102" s="368" t="n">
        <f aca="false">IF(3&lt;5,0,IF(MAX(E96:G96)&gt;G97+3+$B$18,1,0))</f>
        <v>0</v>
      </c>
      <c r="H102" s="368" t="n">
        <f aca="false">IF(4&lt;5,0,IF(MAX(E96:H96)&gt;H97+3+$B$18,1,0))</f>
        <v>0</v>
      </c>
      <c r="I102" s="368" t="n">
        <f aca="false">IF(5&lt;5,0,IF(MAX(E96:I96)&gt;I97+3+$B$18,1,0))</f>
        <v>0</v>
      </c>
      <c r="J102" s="368" t="n">
        <f aca="false">IF(6&lt;5,0,IF(MAX(E96:J96)&gt;J97+3+$B$18,1,0))</f>
        <v>0</v>
      </c>
      <c r="K102" s="368" t="n">
        <f aca="false">IF(7&lt;5,0,IF(MAX(F96:K96)&gt;K97+3+$B$18,1,0))</f>
        <v>0</v>
      </c>
      <c r="L102" s="368" t="n">
        <f aca="false">IF(8&lt;5,0,IF(MAX(G96:L96)&gt;L97+3+$B$18,1,0))</f>
        <v>0</v>
      </c>
      <c r="M102" s="368" t="n">
        <f aca="false">IF(9&lt;5,0,IF(MAX(H96:M96)&gt;M97+3+$B$18,1,0))</f>
        <v>0</v>
      </c>
      <c r="N102" s="368" t="n">
        <f aca="false">IF(10&lt;5,0,IF(MAX(I96:N96)&gt;N97+3+$B$18,1,0))</f>
        <v>0</v>
      </c>
      <c r="O102" s="368" t="n">
        <f aca="false">IF(11&lt;5,0,IF(MAX(J96:O96)&gt;O97+3+$B$18,1,0))</f>
        <v>0</v>
      </c>
      <c r="P102" s="368" t="n">
        <f aca="false">IF(12&lt;5,0,IF(MAX(K96:P96)&gt;P97+3+$B$18,1,0))</f>
        <v>0</v>
      </c>
      <c r="Q102" s="368" t="n">
        <f aca="false">IF(13&lt;5,0,IF(MAX(L96:Q96)&gt;Q97+3+$B$18,1,0))</f>
        <v>0</v>
      </c>
      <c r="R102" s="368" t="n">
        <f aca="false">IF(14&lt;5,0,IF(MAX(M96:R96)&gt;R97+3+$B$18,1,0))</f>
        <v>0</v>
      </c>
      <c r="S102" s="368" t="n">
        <f aca="false">IF(15&lt;5,0,IF(MAX(N96:S96)&gt;S97+3+$B$18,1,0))</f>
        <v>0</v>
      </c>
      <c r="T102" s="368" t="n">
        <f aca="false">IF(16&lt;5,0,IF(MAX(O96:T96)&gt;T97+3+$B$18,1,0))</f>
        <v>0</v>
      </c>
      <c r="U102" s="368" t="n">
        <f aca="false">IF(17&lt;5,0,IF(MAX(P96:U96)&gt;U97+3+$B$18,1,0))</f>
        <v>0</v>
      </c>
      <c r="V102" s="368" t="n">
        <f aca="false">IF(18&lt;5,0,IF(MAX(Q96:V96)&gt;V97+3+$B$18,1,0))</f>
        <v>0</v>
      </c>
      <c r="W102" s="368" t="n">
        <f aca="false">IF(19&lt;5,0,IF(MAX(R96:W96)&gt;W97+3+$B$18,1,0))</f>
        <v>1</v>
      </c>
      <c r="X102" s="368" t="n">
        <f aca="false">IF(20&lt;5,0,IF(MAX(S96:X96)&gt;X97+3+$B$18,1,0))</f>
        <v>1</v>
      </c>
      <c r="Y102" s="368" t="n">
        <f aca="false">IF(21&lt;5,0,IF(MAX(T96:Y96)&gt;Y97+3+$B$18,1,0))</f>
        <v>1</v>
      </c>
      <c r="Z102" s="368" t="n">
        <f aca="false">IF(22&lt;5,0,IF(MAX(U96:Z96)&gt;Z97+3+$B$18,1,0))</f>
        <v>1</v>
      </c>
      <c r="AA102" s="368" t="n">
        <f aca="false">IF(23&lt;5,0,IF(MAX(V96:AA96)&gt;AA97+3+$B$18,1,0))</f>
        <v>1</v>
      </c>
      <c r="AB102" s="368" t="n">
        <f aca="false">IF(24&lt;5,0,IF(MAX(W96:AB96)&gt;AB97+3+$B$18,1,0))</f>
        <v>1</v>
      </c>
      <c r="AC102" s="368" t="n">
        <f aca="false">IF(25&lt;5,0,IF(MAX(X96:AC96)&gt;AC97+3+$B$18,1,0))</f>
        <v>1</v>
      </c>
      <c r="AD102" s="368" t="n">
        <f aca="false">IF(26&lt;5,0,IF(MAX(Y96:AD96)&gt;AD97+3+$B$18,1,0))</f>
        <v>0</v>
      </c>
      <c r="AE102" s="368" t="n">
        <f aca="false">IF(27&lt;5,0,IF(MAX(Z96:AE96)&gt;AE97+3+$B$18,1,0))</f>
        <v>0</v>
      </c>
      <c r="AF102" s="368" t="n">
        <f aca="false">IF(28&lt;5,0,IF(MAX(AA96:AF96)&gt;AF97+3+$B$18,1,0))</f>
        <v>0</v>
      </c>
      <c r="AG102" s="368" t="n">
        <f aca="false">IF(29&lt;5,0,IF(MAX(AB96:AG96)&gt;AG97+3+$B$18,1,0))</f>
        <v>0</v>
      </c>
      <c r="AH102" s="368" t="n">
        <f aca="false">IF(30&lt;5,0,IF(MAX(AC96:AH96)&gt;AH97+3+$B$18,1,0))</f>
        <v>0</v>
      </c>
      <c r="AI102" s="368" t="n">
        <f aca="false">IF(31&lt;5,0,IF(MAX(AD96:AI96)&gt;AI97+3+$B$18,1,0))</f>
        <v>0</v>
      </c>
      <c r="AJ102" s="368" t="n">
        <f aca="false">IF(32&lt;5,0,IF(MAX(AE96:AJ96)&gt;AJ97+3+$B$18,1,0))</f>
        <v>0</v>
      </c>
      <c r="AK102" s="368" t="n">
        <f aca="false">IF(33&lt;5,0,IF(MAX(AF96:AK96)&gt;AK97+3+$B$18,1,0))</f>
        <v>0</v>
      </c>
      <c r="AL102" s="368" t="n">
        <f aca="false">IF(34&lt;5,0,IF(MAX(AG96:AL96)&gt;AL97+3+$B$18,1,0))</f>
        <v>0</v>
      </c>
      <c r="AM102" s="368" t="n">
        <f aca="false">IF(35&lt;5,0,IF(MAX(AH96:AM96)&gt;AM97+3+$B$18,1,0))</f>
        <v>0</v>
      </c>
      <c r="AN102" s="368" t="n">
        <f aca="false">IF(36&lt;5,0,IF(MAX(AI96:AN96)&gt;AN97+3+$B$18,1,0))</f>
        <v>0</v>
      </c>
      <c r="AO102" s="368" t="n">
        <f aca="false">IF(37&lt;5,0,IF(MAX(AJ96:AO96)&gt;AO97+3+$B$18,1,0))</f>
        <v>0</v>
      </c>
      <c r="AP102" s="368" t="n">
        <f aca="false">IF(38&lt;5,0,IF(MAX(AK96:AP96)&gt;AP97+3+$B$18,1,0))</f>
        <v>0</v>
      </c>
      <c r="AQ102" s="368" t="n">
        <f aca="false">IF(39&lt;5,0,IF(MAX(AL96:AQ96)&gt;AQ97+3+$B$18,1,0))</f>
        <v>0</v>
      </c>
      <c r="AR102" s="368" t="n">
        <f aca="false">IF(40&lt;5,0,IF(MAX(AM96:AR96)&gt;AR97+3+$B$18,1,0))</f>
        <v>0</v>
      </c>
      <c r="AS102" s="368" t="n">
        <f aca="false">IF(41&lt;5,0,IF(MAX(AN96:AS96)&gt;AS97+3+$B$18,1,0))</f>
        <v>0</v>
      </c>
      <c r="AT102" s="368" t="n">
        <f aca="false">IF(42&lt;5,0,IF(MAX(AO96:AT96)&gt;AT97+3+$B$18,1,0))</f>
        <v>0</v>
      </c>
      <c r="AU102" s="368" t="n">
        <f aca="false">IF(43&lt;5,0,IF(MAX(AP96:AU96)&gt;AU97+3+$B$18,1,0))</f>
        <v>0</v>
      </c>
      <c r="AV102" s="368" t="n">
        <f aca="false">IF(44&lt;5,0,IF(MAX(AQ96:AV96)&gt;AV97+3+$B$18,1,0))</f>
        <v>0</v>
      </c>
      <c r="AW102" s="368" t="n">
        <f aca="false">IF(45&lt;5,0,IF(MAX(AR96:AW96)&gt;AW97+3+$B$18,1,0))</f>
        <v>0</v>
      </c>
      <c r="AX102" s="368" t="n">
        <f aca="false">IF(46&lt;5,0,IF(MAX(AS96:AX96)&gt;AX97+3+$B$18,1,0))</f>
        <v>0</v>
      </c>
      <c r="AY102" s="368" t="n">
        <f aca="false">IF(47&lt;5,0,IF(MAX(AT96:AY96)&gt;AY97+3+$B$18,1,0))</f>
        <v>0</v>
      </c>
      <c r="AZ102" s="368" t="n">
        <f aca="false">IF(48&lt;5,0,IF(MAX(AU96:AZ96)&gt;AZ97+3+$B$18,1,0))</f>
        <v>0</v>
      </c>
      <c r="BA102" s="368" t="n">
        <f aca="false">IF(49&lt;5,0,IF(MAX(AV96:BA96)&gt;BA97+3+$B$18,1,0))</f>
        <v>0</v>
      </c>
      <c r="BB102" s="368" t="n">
        <f aca="false">IF(50&lt;5,0,IF(MAX(AW96:BB96)&gt;BB97+3+$B$18,1,0))</f>
        <v>0</v>
      </c>
      <c r="BC102" s="368" t="n">
        <f aca="false">IF(51&lt;5,0,IF(MAX(AX96:BC96)&gt;BC97+3+$B$18,1,0))</f>
        <v>0</v>
      </c>
      <c r="BD102" s="368" t="n">
        <f aca="false">IF(52&lt;5,0,IF(MAX(AY96:BD96)&gt;BD97+3+$B$18,1,0))</f>
        <v>0</v>
      </c>
      <c r="BE102" s="368" t="n">
        <f aca="false">IF(53&lt;5,0,IF(MAX(AZ96:BE96)&gt;BE97+3+$B$18,1,0))</f>
        <v>0</v>
      </c>
      <c r="BF102" s="368" t="n">
        <f aca="false">IF(54&lt;5,0,IF(MAX(BA96:BF96)&gt;BF97+3+$B$18,1,0))</f>
        <v>0</v>
      </c>
      <c r="BG102" s="368" t="n">
        <f aca="false">IF(55&lt;5,0,IF(MAX(BB96:BG96)&gt;BG97+3+$B$18,1,0))</f>
        <v>0</v>
      </c>
      <c r="BH102" s="368" t="n">
        <f aca="false">IF(56&lt;5,0,IF(MAX(BC96:BH96)&gt;BH97+3+$B$18,1,0))</f>
        <v>0</v>
      </c>
      <c r="BI102" s="368" t="n">
        <f aca="false">IF(57&lt;5,0,IF(MAX(BD96:BI96)&gt;BI97+3+$B$18,1,0))</f>
        <v>0</v>
      </c>
      <c r="BJ102" s="368" t="n">
        <f aca="false">IF(58&lt;5,0,IF(MAX(BE96:BJ96)&gt;BJ97+3+$B$18,1,0))</f>
        <v>0</v>
      </c>
      <c r="BK102" s="368" t="n">
        <f aca="false">IF(59&lt;5,0,IF(MAX(BF96:BK96)&gt;BK97+3+$B$18,1,0))</f>
        <v>0</v>
      </c>
      <c r="BL102" s="368" t="n">
        <f aca="false">IF(60&lt;5,0,IF(MAX(BG96:BL96)&gt;BL97+3+$B$18,1,0))</f>
        <v>0</v>
      </c>
      <c r="BM102" s="368" t="n">
        <f aca="false">IF(61&lt;5,0,IF(MAX(BH96:BM96)&gt;BM97+3+$B$18,1,0))</f>
        <v>0</v>
      </c>
      <c r="BN102" s="368" t="n">
        <f aca="false">IF(62&lt;5,0,IF(MAX(BI96:BN96)&gt;BN97+3+$B$18,1,0))</f>
        <v>0</v>
      </c>
      <c r="BO102" s="368" t="n">
        <f aca="false">IF(63&lt;5,0,IF(MAX(BJ96:BO96)&gt;BO97+3+$B$18,1,0))</f>
        <v>0</v>
      </c>
      <c r="BP102" s="368" t="n">
        <f aca="false">IF(64&lt;5,0,IF(MAX(BK96:BP96)&gt;BP97+3+$B$18,1,0))</f>
        <v>0</v>
      </c>
      <c r="BQ102" s="368" t="n">
        <f aca="false">IF(65&lt;5,0,IF(MAX(BL96:BQ96)&gt;BQ97+3+$B$18,1,0))</f>
        <v>0</v>
      </c>
      <c r="BR102" s="368" t="n">
        <f aca="false">IF(66&lt;5,0,IF(MAX(BM96:BR96)&gt;BR97+3+$B$18,1,0))</f>
        <v>0</v>
      </c>
      <c r="BS102" s="368" t="n">
        <f aca="false">IF(67&lt;5,0,IF(MAX(BN96:BS96)&gt;BS97+3+$B$18,1,0))</f>
        <v>0</v>
      </c>
      <c r="BT102" s="368" t="n">
        <f aca="false">IF(68&lt;5,0,IF(MAX(BO96:BT96)&gt;BT97+3+$B$18,1,0))</f>
        <v>0</v>
      </c>
      <c r="BU102" s="368" t="n">
        <f aca="false">IF(69&lt;5,0,IF(MAX(BP96:BU96)&gt;BU97+3+$B$18,1,0))</f>
        <v>0</v>
      </c>
      <c r="BV102" s="368" t="n">
        <f aca="false">IF(70&lt;5,0,IF(MAX(BQ96:BV96)&gt;BV97+3+$B$18,1,0))</f>
        <v>0</v>
      </c>
      <c r="BW102" s="368" t="n">
        <f aca="false">IF(71&lt;5,0,IF(MAX(BR96:BW96)&gt;BW97+3+$B$18,1,0))</f>
        <v>0</v>
      </c>
      <c r="BX102" s="368" t="n">
        <f aca="false">IF(72&lt;5,0,IF(MAX(BS96:BX96)&gt;BX97+3+$B$18,1,0))</f>
        <v>0</v>
      </c>
      <c r="BY102" s="368" t="n">
        <f aca="false">IF(73&lt;5,0,IF(MAX(BT96:BY96)&gt;BY97+3+$B$18,1,0))</f>
        <v>0</v>
      </c>
      <c r="BZ102" s="368" t="n">
        <f aca="false">IF(74&lt;5,0,IF(MAX(BU96:BZ96)&gt;BZ97+3+$B$18,1,0))</f>
        <v>0</v>
      </c>
      <c r="CA102" s="368" t="n">
        <f aca="false">IF(75&lt;5,0,IF(MAX(BV96:CA96)&gt;CA97+3+$B$18,1,0))</f>
        <v>0</v>
      </c>
      <c r="CB102" s="368" t="n">
        <f aca="false">IF(76&lt;5,0,IF(MAX(BW96:CB96)&gt;CB97+3+$B$18,1,0))</f>
        <v>0</v>
      </c>
      <c r="CC102" s="368" t="n">
        <f aca="false">IF(77&lt;5,0,IF(MAX(BX96:CC96)&gt;CC97+3+$B$18,1,0))</f>
        <v>0</v>
      </c>
      <c r="CD102" s="368" t="n">
        <f aca="false">IF(78&lt;5,0,IF(MAX(BY96:CD96)&gt;CD97+3+$B$18,1,0))</f>
        <v>0</v>
      </c>
      <c r="CE102" s="368" t="n">
        <f aca="false">IF(79&lt;5,0,IF(MAX(BZ96:CE96)&gt;CE97+3+$B$18,1,0))</f>
        <v>0</v>
      </c>
      <c r="CF102" s="368" t="n">
        <f aca="false">IF(80&lt;5,0,IF(MAX(CA96:CF96)&gt;CF97+3+$B$18,1,0))</f>
        <v>0</v>
      </c>
      <c r="CG102" s="368" t="n">
        <f aca="false">IF(81&lt;5,0,IF(MAX(CB96:CG96)&gt;CG97+3+$B$18,1,0))</f>
        <v>0</v>
      </c>
      <c r="CH102" s="368" t="n">
        <f aca="false">IF(82&lt;5,0,IF(MAX(CC96:CH96)&gt;CH97+3+$B$18,1,0))</f>
        <v>0</v>
      </c>
      <c r="CI102" s="368" t="n">
        <f aca="false">IF(83&lt;5,0,IF(MAX(CD96:CI96)&gt;CI97+3+$B$18,1,0))</f>
        <v>0</v>
      </c>
      <c r="CJ102" s="368" t="n">
        <f aca="false">IF(84&lt;5,0,IF(MAX(CE96:CJ96)&gt;CJ97+3+$B$18,1,0))</f>
        <v>0</v>
      </c>
      <c r="CK102" s="368" t="n">
        <f aca="false">IF(85&lt;5,0,IF(MAX(CF96:CK96)&gt;CK97+3+$B$18,1,0))</f>
        <v>0</v>
      </c>
      <c r="CL102" s="368" t="n">
        <f aca="false">IF(86&lt;5,0,IF(MAX(CG96:CL96)&gt;CL97+3+$B$18,1,0))</f>
        <v>0</v>
      </c>
      <c r="CM102" s="368" t="n">
        <f aca="false">IF(87&lt;5,0,IF(MAX(CH96:CM96)&gt;CM97+3+$B$18,1,0))</f>
        <v>0</v>
      </c>
      <c r="CN102" s="368" t="n">
        <f aca="false">IF(88&lt;5,0,IF(MAX(CI96:CN96)&gt;CN97+3+$B$18,1,0))</f>
        <v>0</v>
      </c>
      <c r="CO102" s="368" t="n">
        <f aca="false">IF(89&lt;5,0,IF(MAX(CJ96:CO96)&gt;CO97+3+$B$18,1,0))</f>
        <v>0</v>
      </c>
      <c r="CP102" s="368" t="n">
        <f aca="false">IF(90&lt;5,0,IF(MAX(CK96:CP96)&gt;CP97+3+$B$18,1,0))</f>
        <v>0</v>
      </c>
      <c r="CQ102" s="368" t="n">
        <f aca="false">IF(91&lt;5,0,IF(MAX(CL96:CQ96)&gt;CQ97+3+$B$18,1,0))</f>
        <v>0</v>
      </c>
      <c r="CR102" s="368" t="n">
        <f aca="false">IF(92&lt;5,0,IF(MAX(CM96:CR96)&gt;CR97+3+$B$18,1,0))</f>
        <v>0</v>
      </c>
      <c r="CS102" s="368" t="n">
        <f aca="false">IF(93&lt;5,0,IF(MAX(CN96:CS96)&gt;CS97+3+$B$18,1,0))</f>
        <v>0</v>
      </c>
      <c r="CT102" s="368" t="n">
        <f aca="false">IF(94&lt;5,0,IF(MAX(CO96:CT96)&gt;CT97+3+$B$18,1,0))</f>
        <v>0</v>
      </c>
      <c r="CU102" s="368" t="n">
        <f aca="false">IF(95&lt;5,0,IF(MAX(CP96:CU96)&gt;CU97+3+$B$18,1,0))</f>
        <v>0</v>
      </c>
      <c r="CV102" s="368" t="n">
        <f aca="false">IF(96&lt;5,0,IF(MAX(CQ96:CV96)&gt;CV97+3+$B$18,1,0))</f>
        <v>0</v>
      </c>
      <c r="CW102" s="368" t="n">
        <f aca="false">IF(97&lt;5,0,IF(MAX(CR96:CW96)&gt;CW97+3+$B$18,1,0))</f>
        <v>0</v>
      </c>
      <c r="CX102" s="368" t="n">
        <f aca="false">IF(98&lt;5,0,IF(MAX(CS96:CX96)&gt;CX97+3+$B$18,1,0))</f>
        <v>0</v>
      </c>
      <c r="CY102" s="368" t="n">
        <f aca="false">IF(99&lt;5,0,IF(MAX(CT96:CY96)&gt;CY97+3+$B$18,1,0))</f>
        <v>0</v>
      </c>
      <c r="CZ102" s="368" t="n">
        <f aca="false">IF(100&lt;5,0,IF(MAX(CU96:CZ96)&gt;CZ97+3+$B$18,1,0))</f>
        <v>0</v>
      </c>
      <c r="DA102" s="368" t="n">
        <f aca="false">IF(101&lt;5,0,IF(MAX(CV96:DA96)&gt;DA97+3+$B$18,1,0))</f>
        <v>0</v>
      </c>
      <c r="DB102" s="368" t="n">
        <f aca="false">IF(102&lt;5,0,IF(MAX(CW96:DB96)&gt;DB97+3+$B$18,1,0))</f>
        <v>0</v>
      </c>
      <c r="DC102" s="368" t="n">
        <f aca="false">IF(103&lt;5,0,IF(MAX(CX96:DC96)&gt;DC97+3+$B$18,1,0))</f>
        <v>0</v>
      </c>
      <c r="DD102" s="368" t="n">
        <f aca="false">IF(104&lt;5,0,IF(MAX(CY96:DD96)&gt;DD97+3+$B$18,1,0))</f>
        <v>0</v>
      </c>
      <c r="DE102" s="368" t="n">
        <f aca="false">IF(105&lt;5,0,IF(MAX(CZ96:DE96)&gt;DE97+3+$B$18,1,0))</f>
        <v>0</v>
      </c>
    </row>
    <row r="103" customFormat="false" ht="13.5" hidden="false" customHeight="true" outlineLevel="0" collapsed="false">
      <c r="A103" s="109" t="s">
        <v>1260</v>
      </c>
      <c r="B103" s="225" t="n">
        <f aca="false">$B$27</f>
        <v>125000</v>
      </c>
      <c r="E103" s="368" t="n">
        <f aca="false">IF(1&lt;5,0,IF(MAX(E96)&gt;E97+4+$B$18,1,0))</f>
        <v>0</v>
      </c>
      <c r="F103" s="368" t="n">
        <f aca="false">IF(2&lt;5,0,IF(MAX(E96:F96)&gt;F97+4+$B$18,1,0))</f>
        <v>0</v>
      </c>
      <c r="G103" s="368" t="n">
        <f aca="false">IF(3&lt;5,0,IF(MAX(E96:G96)&gt;G97+4+$B$18,1,0))</f>
        <v>0</v>
      </c>
      <c r="H103" s="368" t="n">
        <f aca="false">IF(4&lt;5,0,IF(MAX(E96:H96)&gt;H97+4+$B$18,1,0))</f>
        <v>0</v>
      </c>
      <c r="I103" s="368" t="n">
        <f aca="false">IF(5&lt;5,0,IF(MAX(E96:I96)&gt;I97+4+$B$18,1,0))</f>
        <v>0</v>
      </c>
      <c r="J103" s="368" t="n">
        <f aca="false">IF(6&lt;5,0,IF(MAX(E96:J96)&gt;J97+4+$B$18,1,0))</f>
        <v>0</v>
      </c>
      <c r="K103" s="368" t="n">
        <f aca="false">IF(7&lt;5,0,IF(MAX(F96:K96)&gt;K97+4+$B$18,1,0))</f>
        <v>0</v>
      </c>
      <c r="L103" s="368" t="n">
        <f aca="false">IF(8&lt;5,0,IF(MAX(G96:L96)&gt;L97+4+$B$18,1,0))</f>
        <v>0</v>
      </c>
      <c r="M103" s="368" t="n">
        <f aca="false">IF(9&lt;5,0,IF(MAX(H96:M96)&gt;M97+4+$B$18,1,0))</f>
        <v>0</v>
      </c>
      <c r="N103" s="368" t="n">
        <f aca="false">IF(10&lt;5,0,IF(MAX(I96:N96)&gt;N97+4+$B$18,1,0))</f>
        <v>0</v>
      </c>
      <c r="O103" s="368" t="n">
        <f aca="false">IF(11&lt;5,0,IF(MAX(J96:O96)&gt;O97+4+$B$18,1,0))</f>
        <v>0</v>
      </c>
      <c r="P103" s="368" t="n">
        <f aca="false">IF(12&lt;5,0,IF(MAX(K96:P96)&gt;P97+4+$B$18,1,0))</f>
        <v>0</v>
      </c>
      <c r="Q103" s="368" t="n">
        <f aca="false">IF(13&lt;5,0,IF(MAX(L96:Q96)&gt;Q97+4+$B$18,1,0))</f>
        <v>0</v>
      </c>
      <c r="R103" s="368" t="n">
        <f aca="false">IF(14&lt;5,0,IF(MAX(M96:R96)&gt;R97+4+$B$18,1,0))</f>
        <v>0</v>
      </c>
      <c r="S103" s="368" t="n">
        <f aca="false">IF(15&lt;5,0,IF(MAX(N96:S96)&gt;S97+4+$B$18,1,0))</f>
        <v>0</v>
      </c>
      <c r="T103" s="368" t="n">
        <f aca="false">IF(16&lt;5,0,IF(MAX(O96:T96)&gt;T97+4+$B$18,1,0))</f>
        <v>0</v>
      </c>
      <c r="U103" s="368" t="n">
        <f aca="false">IF(17&lt;5,0,IF(MAX(P96:U96)&gt;U97+4+$B$18,1,0))</f>
        <v>0</v>
      </c>
      <c r="V103" s="368" t="n">
        <f aca="false">IF(18&lt;5,0,IF(MAX(Q96:V96)&gt;V97+4+$B$18,1,0))</f>
        <v>0</v>
      </c>
      <c r="W103" s="368" t="n">
        <f aca="false">IF(19&lt;5,0,IF(MAX(R96:W96)&gt;W97+4+$B$18,1,0))</f>
        <v>0</v>
      </c>
      <c r="X103" s="368" t="n">
        <f aca="false">IF(20&lt;5,0,IF(MAX(S96:X96)&gt;X97+4+$B$18,1,0))</f>
        <v>0</v>
      </c>
      <c r="Y103" s="368" t="n">
        <f aca="false">IF(21&lt;5,0,IF(MAX(T96:Y96)&gt;Y97+4+$B$18,1,0))</f>
        <v>0</v>
      </c>
      <c r="Z103" s="368" t="n">
        <f aca="false">IF(22&lt;5,0,IF(MAX(U96:Z96)&gt;Z97+4+$B$18,1,0))</f>
        <v>0</v>
      </c>
      <c r="AA103" s="368" t="n">
        <f aca="false">IF(23&lt;5,0,IF(MAX(V96:AA96)&gt;AA97+4+$B$18,1,0))</f>
        <v>0</v>
      </c>
      <c r="AB103" s="368" t="n">
        <f aca="false">IF(24&lt;5,0,IF(MAX(W96:AB96)&gt;AB97+4+$B$18,1,0))</f>
        <v>0</v>
      </c>
      <c r="AC103" s="368" t="n">
        <f aca="false">IF(25&lt;5,0,IF(MAX(X96:AC96)&gt;AC97+4+$B$18,1,0))</f>
        <v>0</v>
      </c>
      <c r="AD103" s="368" t="n">
        <f aca="false">IF(26&lt;5,0,IF(MAX(Y96:AD96)&gt;AD97+4+$B$18,1,0))</f>
        <v>0</v>
      </c>
      <c r="AE103" s="368" t="n">
        <f aca="false">IF(27&lt;5,0,IF(MAX(Z96:AE96)&gt;AE97+4+$B$18,1,0))</f>
        <v>0</v>
      </c>
      <c r="AF103" s="368" t="n">
        <f aca="false">IF(28&lt;5,0,IF(MAX(AA96:AF96)&gt;AF97+4+$B$18,1,0))</f>
        <v>0</v>
      </c>
      <c r="AG103" s="368" t="n">
        <f aca="false">IF(29&lt;5,0,IF(MAX(AB96:AG96)&gt;AG97+4+$B$18,1,0))</f>
        <v>0</v>
      </c>
      <c r="AH103" s="368" t="n">
        <f aca="false">IF(30&lt;5,0,IF(MAX(AC96:AH96)&gt;AH97+4+$B$18,1,0))</f>
        <v>0</v>
      </c>
      <c r="AI103" s="368" t="n">
        <f aca="false">IF(31&lt;5,0,IF(MAX(AD96:AI96)&gt;AI97+4+$B$18,1,0))</f>
        <v>0</v>
      </c>
      <c r="AJ103" s="368" t="n">
        <f aca="false">IF(32&lt;5,0,IF(MAX(AE96:AJ96)&gt;AJ97+4+$B$18,1,0))</f>
        <v>0</v>
      </c>
      <c r="AK103" s="368" t="n">
        <f aca="false">IF(33&lt;5,0,IF(MAX(AF96:AK96)&gt;AK97+4+$B$18,1,0))</f>
        <v>0</v>
      </c>
      <c r="AL103" s="368" t="n">
        <f aca="false">IF(34&lt;5,0,IF(MAX(AG96:AL96)&gt;AL97+4+$B$18,1,0))</f>
        <v>0</v>
      </c>
      <c r="AM103" s="368" t="n">
        <f aca="false">IF(35&lt;5,0,IF(MAX(AH96:AM96)&gt;AM97+4+$B$18,1,0))</f>
        <v>0</v>
      </c>
      <c r="AN103" s="368" t="n">
        <f aca="false">IF(36&lt;5,0,IF(MAX(AI96:AN96)&gt;AN97+4+$B$18,1,0))</f>
        <v>0</v>
      </c>
      <c r="AO103" s="368" t="n">
        <f aca="false">IF(37&lt;5,0,IF(MAX(AJ96:AO96)&gt;AO97+4+$B$18,1,0))</f>
        <v>0</v>
      </c>
      <c r="AP103" s="368" t="n">
        <f aca="false">IF(38&lt;5,0,IF(MAX(AK96:AP96)&gt;AP97+4+$B$18,1,0))</f>
        <v>0</v>
      </c>
      <c r="AQ103" s="368" t="n">
        <f aca="false">IF(39&lt;5,0,IF(MAX(AL96:AQ96)&gt;AQ97+4+$B$18,1,0))</f>
        <v>0</v>
      </c>
      <c r="AR103" s="368" t="n">
        <f aca="false">IF(40&lt;5,0,IF(MAX(AM96:AR96)&gt;AR97+4+$B$18,1,0))</f>
        <v>0</v>
      </c>
      <c r="AS103" s="368" t="n">
        <f aca="false">IF(41&lt;5,0,IF(MAX(AN96:AS96)&gt;AS97+4+$B$18,1,0))</f>
        <v>0</v>
      </c>
      <c r="AT103" s="368" t="n">
        <f aca="false">IF(42&lt;5,0,IF(MAX(AO96:AT96)&gt;AT97+4+$B$18,1,0))</f>
        <v>0</v>
      </c>
      <c r="AU103" s="368" t="n">
        <f aca="false">IF(43&lt;5,0,IF(MAX(AP96:AU96)&gt;AU97+4+$B$18,1,0))</f>
        <v>0</v>
      </c>
      <c r="AV103" s="368" t="n">
        <f aca="false">IF(44&lt;5,0,IF(MAX(AQ96:AV96)&gt;AV97+4+$B$18,1,0))</f>
        <v>0</v>
      </c>
      <c r="AW103" s="368" t="n">
        <f aca="false">IF(45&lt;5,0,IF(MAX(AR96:AW96)&gt;AW97+4+$B$18,1,0))</f>
        <v>0</v>
      </c>
      <c r="AX103" s="368" t="n">
        <f aca="false">IF(46&lt;5,0,IF(MAX(AS96:AX96)&gt;AX97+4+$B$18,1,0))</f>
        <v>0</v>
      </c>
      <c r="AY103" s="368" t="n">
        <f aca="false">IF(47&lt;5,0,IF(MAX(AT96:AY96)&gt;AY97+4+$B$18,1,0))</f>
        <v>0</v>
      </c>
      <c r="AZ103" s="368" t="n">
        <f aca="false">IF(48&lt;5,0,IF(MAX(AU96:AZ96)&gt;AZ97+4+$B$18,1,0))</f>
        <v>0</v>
      </c>
      <c r="BA103" s="368" t="n">
        <f aca="false">IF(49&lt;5,0,IF(MAX(AV96:BA96)&gt;BA97+4+$B$18,1,0))</f>
        <v>0</v>
      </c>
      <c r="BB103" s="368" t="n">
        <f aca="false">IF(50&lt;5,0,IF(MAX(AW96:BB96)&gt;BB97+4+$B$18,1,0))</f>
        <v>0</v>
      </c>
      <c r="BC103" s="368" t="n">
        <f aca="false">IF(51&lt;5,0,IF(MAX(AX96:BC96)&gt;BC97+4+$B$18,1,0))</f>
        <v>0</v>
      </c>
      <c r="BD103" s="368" t="n">
        <f aca="false">IF(52&lt;5,0,IF(MAX(AY96:BD96)&gt;BD97+4+$B$18,1,0))</f>
        <v>0</v>
      </c>
      <c r="BE103" s="368" t="n">
        <f aca="false">IF(53&lt;5,0,IF(MAX(AZ96:BE96)&gt;BE97+4+$B$18,1,0))</f>
        <v>0</v>
      </c>
      <c r="BF103" s="368" t="n">
        <f aca="false">IF(54&lt;5,0,IF(MAX(BA96:BF96)&gt;BF97+4+$B$18,1,0))</f>
        <v>0</v>
      </c>
      <c r="BG103" s="368" t="n">
        <f aca="false">IF(55&lt;5,0,IF(MAX(BB96:BG96)&gt;BG97+4+$B$18,1,0))</f>
        <v>0</v>
      </c>
      <c r="BH103" s="368" t="n">
        <f aca="false">IF(56&lt;5,0,IF(MAX(BC96:BH96)&gt;BH97+4+$B$18,1,0))</f>
        <v>0</v>
      </c>
      <c r="BI103" s="368" t="n">
        <f aca="false">IF(57&lt;5,0,IF(MAX(BD96:BI96)&gt;BI97+4+$B$18,1,0))</f>
        <v>0</v>
      </c>
      <c r="BJ103" s="368" t="n">
        <f aca="false">IF(58&lt;5,0,IF(MAX(BE96:BJ96)&gt;BJ97+4+$B$18,1,0))</f>
        <v>0</v>
      </c>
      <c r="BK103" s="368" t="n">
        <f aca="false">IF(59&lt;5,0,IF(MAX(BF96:BK96)&gt;BK97+4+$B$18,1,0))</f>
        <v>0</v>
      </c>
      <c r="BL103" s="368" t="n">
        <f aca="false">IF(60&lt;5,0,IF(MAX(BG96:BL96)&gt;BL97+4+$B$18,1,0))</f>
        <v>0</v>
      </c>
      <c r="BM103" s="368" t="n">
        <f aca="false">IF(61&lt;5,0,IF(MAX(BH96:BM96)&gt;BM97+4+$B$18,1,0))</f>
        <v>0</v>
      </c>
      <c r="BN103" s="368" t="n">
        <f aca="false">IF(62&lt;5,0,IF(MAX(BI96:BN96)&gt;BN97+4+$B$18,1,0))</f>
        <v>0</v>
      </c>
      <c r="BO103" s="368" t="n">
        <f aca="false">IF(63&lt;5,0,IF(MAX(BJ96:BO96)&gt;BO97+4+$B$18,1,0))</f>
        <v>0</v>
      </c>
      <c r="BP103" s="368" t="n">
        <f aca="false">IF(64&lt;5,0,IF(MAX(BK96:BP96)&gt;BP97+4+$B$18,1,0))</f>
        <v>0</v>
      </c>
      <c r="BQ103" s="368" t="n">
        <f aca="false">IF(65&lt;5,0,IF(MAX(BL96:BQ96)&gt;BQ97+4+$B$18,1,0))</f>
        <v>0</v>
      </c>
      <c r="BR103" s="368" t="n">
        <f aca="false">IF(66&lt;5,0,IF(MAX(BM96:BR96)&gt;BR97+4+$B$18,1,0))</f>
        <v>0</v>
      </c>
      <c r="BS103" s="368" t="n">
        <f aca="false">IF(67&lt;5,0,IF(MAX(BN96:BS96)&gt;BS97+4+$B$18,1,0))</f>
        <v>0</v>
      </c>
      <c r="BT103" s="368" t="n">
        <f aca="false">IF(68&lt;5,0,IF(MAX(BO96:BT96)&gt;BT97+4+$B$18,1,0))</f>
        <v>0</v>
      </c>
      <c r="BU103" s="368" t="n">
        <f aca="false">IF(69&lt;5,0,IF(MAX(BP96:BU96)&gt;BU97+4+$B$18,1,0))</f>
        <v>0</v>
      </c>
      <c r="BV103" s="368" t="n">
        <f aca="false">IF(70&lt;5,0,IF(MAX(BQ96:BV96)&gt;BV97+4+$B$18,1,0))</f>
        <v>0</v>
      </c>
      <c r="BW103" s="368" t="n">
        <f aca="false">IF(71&lt;5,0,IF(MAX(BR96:BW96)&gt;BW97+4+$B$18,1,0))</f>
        <v>0</v>
      </c>
      <c r="BX103" s="368" t="n">
        <f aca="false">IF(72&lt;5,0,IF(MAX(BS96:BX96)&gt;BX97+4+$B$18,1,0))</f>
        <v>0</v>
      </c>
      <c r="BY103" s="368" t="n">
        <f aca="false">IF(73&lt;5,0,IF(MAX(BT96:BY96)&gt;BY97+4+$B$18,1,0))</f>
        <v>0</v>
      </c>
      <c r="BZ103" s="368" t="n">
        <f aca="false">IF(74&lt;5,0,IF(MAX(BU96:BZ96)&gt;BZ97+4+$B$18,1,0))</f>
        <v>0</v>
      </c>
      <c r="CA103" s="368" t="n">
        <f aca="false">IF(75&lt;5,0,IF(MAX(BV96:CA96)&gt;CA97+4+$B$18,1,0))</f>
        <v>0</v>
      </c>
      <c r="CB103" s="368" t="n">
        <f aca="false">IF(76&lt;5,0,IF(MAX(BW96:CB96)&gt;CB97+4+$B$18,1,0))</f>
        <v>0</v>
      </c>
      <c r="CC103" s="368" t="n">
        <f aca="false">IF(77&lt;5,0,IF(MAX(BX96:CC96)&gt;CC97+4+$B$18,1,0))</f>
        <v>0</v>
      </c>
      <c r="CD103" s="368" t="n">
        <f aca="false">IF(78&lt;5,0,IF(MAX(BY96:CD96)&gt;CD97+4+$B$18,1,0))</f>
        <v>0</v>
      </c>
      <c r="CE103" s="368" t="n">
        <f aca="false">IF(79&lt;5,0,IF(MAX(BZ96:CE96)&gt;CE97+4+$B$18,1,0))</f>
        <v>0</v>
      </c>
      <c r="CF103" s="368" t="n">
        <f aca="false">IF(80&lt;5,0,IF(MAX(CA96:CF96)&gt;CF97+4+$B$18,1,0))</f>
        <v>0</v>
      </c>
      <c r="CG103" s="368" t="n">
        <f aca="false">IF(81&lt;5,0,IF(MAX(CB96:CG96)&gt;CG97+4+$B$18,1,0))</f>
        <v>0</v>
      </c>
      <c r="CH103" s="368" t="n">
        <f aca="false">IF(82&lt;5,0,IF(MAX(CC96:CH96)&gt;CH97+4+$B$18,1,0))</f>
        <v>0</v>
      </c>
      <c r="CI103" s="368" t="n">
        <f aca="false">IF(83&lt;5,0,IF(MAX(CD96:CI96)&gt;CI97+4+$B$18,1,0))</f>
        <v>0</v>
      </c>
      <c r="CJ103" s="368" t="n">
        <f aca="false">IF(84&lt;5,0,IF(MAX(CE96:CJ96)&gt;CJ97+4+$B$18,1,0))</f>
        <v>0</v>
      </c>
      <c r="CK103" s="368" t="n">
        <f aca="false">IF(85&lt;5,0,IF(MAX(CF96:CK96)&gt;CK97+4+$B$18,1,0))</f>
        <v>0</v>
      </c>
      <c r="CL103" s="368" t="n">
        <f aca="false">IF(86&lt;5,0,IF(MAX(CG96:CL96)&gt;CL97+4+$B$18,1,0))</f>
        <v>0</v>
      </c>
      <c r="CM103" s="368" t="n">
        <f aca="false">IF(87&lt;5,0,IF(MAX(CH96:CM96)&gt;CM97+4+$B$18,1,0))</f>
        <v>0</v>
      </c>
      <c r="CN103" s="368" t="n">
        <f aca="false">IF(88&lt;5,0,IF(MAX(CI96:CN96)&gt;CN97+4+$B$18,1,0))</f>
        <v>0</v>
      </c>
      <c r="CO103" s="368" t="n">
        <f aca="false">IF(89&lt;5,0,IF(MAX(CJ96:CO96)&gt;CO97+4+$B$18,1,0))</f>
        <v>0</v>
      </c>
      <c r="CP103" s="368" t="n">
        <f aca="false">IF(90&lt;5,0,IF(MAX(CK96:CP96)&gt;CP97+4+$B$18,1,0))</f>
        <v>0</v>
      </c>
      <c r="CQ103" s="368" t="n">
        <f aca="false">IF(91&lt;5,0,IF(MAX(CL96:CQ96)&gt;CQ97+4+$B$18,1,0))</f>
        <v>0</v>
      </c>
      <c r="CR103" s="368" t="n">
        <f aca="false">IF(92&lt;5,0,IF(MAX(CM96:CR96)&gt;CR97+4+$B$18,1,0))</f>
        <v>0</v>
      </c>
      <c r="CS103" s="368" t="n">
        <f aca="false">IF(93&lt;5,0,IF(MAX(CN96:CS96)&gt;CS97+4+$B$18,1,0))</f>
        <v>0</v>
      </c>
      <c r="CT103" s="368" t="n">
        <f aca="false">IF(94&lt;5,0,IF(MAX(CO96:CT96)&gt;CT97+4+$B$18,1,0))</f>
        <v>0</v>
      </c>
      <c r="CU103" s="368" t="n">
        <f aca="false">IF(95&lt;5,0,IF(MAX(CP96:CU96)&gt;CU97+4+$B$18,1,0))</f>
        <v>0</v>
      </c>
      <c r="CV103" s="368" t="n">
        <f aca="false">IF(96&lt;5,0,IF(MAX(CQ96:CV96)&gt;CV97+4+$B$18,1,0))</f>
        <v>0</v>
      </c>
      <c r="CW103" s="368" t="n">
        <f aca="false">IF(97&lt;5,0,IF(MAX(CR96:CW96)&gt;CW97+4+$B$18,1,0))</f>
        <v>0</v>
      </c>
      <c r="CX103" s="368" t="n">
        <f aca="false">IF(98&lt;5,0,IF(MAX(CS96:CX96)&gt;CX97+4+$B$18,1,0))</f>
        <v>0</v>
      </c>
      <c r="CY103" s="368" t="n">
        <f aca="false">IF(99&lt;5,0,IF(MAX(CT96:CY96)&gt;CY97+4+$B$18,1,0))</f>
        <v>0</v>
      </c>
      <c r="CZ103" s="368" t="n">
        <f aca="false">IF(100&lt;5,0,IF(MAX(CU96:CZ96)&gt;CZ97+4+$B$18,1,0))</f>
        <v>0</v>
      </c>
      <c r="DA103" s="368" t="n">
        <f aca="false">IF(101&lt;5,0,IF(MAX(CV96:DA96)&gt;DA97+4+$B$18,1,0))</f>
        <v>0</v>
      </c>
      <c r="DB103" s="368" t="n">
        <f aca="false">IF(102&lt;5,0,IF(MAX(CW96:DB96)&gt;DB97+4+$B$18,1,0))</f>
        <v>0</v>
      </c>
      <c r="DC103" s="368" t="n">
        <f aca="false">IF(103&lt;5,0,IF(MAX(CX96:DC96)&gt;DC97+4+$B$18,1,0))</f>
        <v>0</v>
      </c>
      <c r="DD103" s="368" t="n">
        <f aca="false">IF(104&lt;5,0,IF(MAX(CY96:DD96)&gt;DD97+4+$B$18,1,0))</f>
        <v>0</v>
      </c>
      <c r="DE103" s="368" t="n">
        <f aca="false">IF(105&lt;5,0,IF(MAX(CZ96:DE96)&gt;DE97+4+$B$18,1,0))</f>
        <v>0</v>
      </c>
    </row>
    <row r="104" customFormat="false" ht="13.5" hidden="false" customHeight="true" outlineLevel="0" collapsed="false">
      <c r="A104" s="109" t="s">
        <v>1261</v>
      </c>
      <c r="B104" s="225" t="n">
        <f aca="false">$B$27</f>
        <v>125000</v>
      </c>
      <c r="E104" s="368" t="n">
        <f aca="false">IF(1&lt;5,0,IF(MAX(E96)&gt;E97+5+$B$18,1,0))</f>
        <v>0</v>
      </c>
      <c r="F104" s="368" t="n">
        <f aca="false">IF(2&lt;5,0,IF(MAX(E96:F96)&gt;F97+5+$B$18,1,0))</f>
        <v>0</v>
      </c>
      <c r="G104" s="368" t="n">
        <f aca="false">IF(3&lt;5,0,IF(MAX(E96:G96)&gt;G97+5+$B$18,1,0))</f>
        <v>0</v>
      </c>
      <c r="H104" s="368" t="n">
        <f aca="false">IF(4&lt;5,0,IF(MAX(E96:H96)&gt;H97+5+$B$18,1,0))</f>
        <v>0</v>
      </c>
      <c r="I104" s="368" t="n">
        <f aca="false">IF(5&lt;5,0,IF(MAX(E96:I96)&gt;I97+5+$B$18,1,0))</f>
        <v>0</v>
      </c>
      <c r="J104" s="368" t="n">
        <f aca="false">IF(6&lt;5,0,IF(MAX(E96:J96)&gt;J97+5+$B$18,1,0))</f>
        <v>0</v>
      </c>
      <c r="K104" s="368" t="n">
        <f aca="false">IF(7&lt;5,0,IF(MAX(F96:K96)&gt;K97+5+$B$18,1,0))</f>
        <v>0</v>
      </c>
      <c r="L104" s="368" t="n">
        <f aca="false">IF(8&lt;5,0,IF(MAX(G96:L96)&gt;L97+5+$B$18,1,0))</f>
        <v>0</v>
      </c>
      <c r="M104" s="368" t="n">
        <f aca="false">IF(9&lt;5,0,IF(MAX(H96:M96)&gt;M97+5+$B$18,1,0))</f>
        <v>0</v>
      </c>
      <c r="N104" s="368" t="n">
        <f aca="false">IF(10&lt;5,0,IF(MAX(I96:N96)&gt;N97+5+$B$18,1,0))</f>
        <v>0</v>
      </c>
      <c r="O104" s="368" t="n">
        <f aca="false">IF(11&lt;5,0,IF(MAX(J96:O96)&gt;O97+5+$B$18,1,0))</f>
        <v>0</v>
      </c>
      <c r="P104" s="368" t="n">
        <f aca="false">IF(12&lt;5,0,IF(MAX(K96:P96)&gt;P97+5+$B$18,1,0))</f>
        <v>0</v>
      </c>
      <c r="Q104" s="368" t="n">
        <f aca="false">IF(13&lt;5,0,IF(MAX(L96:Q96)&gt;Q97+5+$B$18,1,0))</f>
        <v>0</v>
      </c>
      <c r="R104" s="368" t="n">
        <f aca="false">IF(14&lt;5,0,IF(MAX(M96:R96)&gt;R97+5+$B$18,1,0))</f>
        <v>0</v>
      </c>
      <c r="S104" s="368" t="n">
        <f aca="false">IF(15&lt;5,0,IF(MAX(N96:S96)&gt;S97+5+$B$18,1,0))</f>
        <v>0</v>
      </c>
      <c r="T104" s="368" t="n">
        <f aca="false">IF(16&lt;5,0,IF(MAX(O96:T96)&gt;T97+5+$B$18,1,0))</f>
        <v>0</v>
      </c>
      <c r="U104" s="368" t="n">
        <f aca="false">IF(17&lt;5,0,IF(MAX(P96:U96)&gt;U97+5+$B$18,1,0))</f>
        <v>0</v>
      </c>
      <c r="V104" s="368" t="n">
        <f aca="false">IF(18&lt;5,0,IF(MAX(Q96:V96)&gt;V97+5+$B$18,1,0))</f>
        <v>0</v>
      </c>
      <c r="W104" s="368" t="n">
        <f aca="false">IF(19&lt;5,0,IF(MAX(R96:W96)&gt;W97+5+$B$18,1,0))</f>
        <v>0</v>
      </c>
      <c r="X104" s="368" t="n">
        <f aca="false">IF(20&lt;5,0,IF(MAX(S96:X96)&gt;X97+5+$B$18,1,0))</f>
        <v>0</v>
      </c>
      <c r="Y104" s="368" t="n">
        <f aca="false">IF(21&lt;5,0,IF(MAX(T96:Y96)&gt;Y97+5+$B$18,1,0))</f>
        <v>0</v>
      </c>
      <c r="Z104" s="368" t="n">
        <f aca="false">IF(22&lt;5,0,IF(MAX(U96:Z96)&gt;Z97+5+$B$18,1,0))</f>
        <v>0</v>
      </c>
      <c r="AA104" s="368" t="n">
        <f aca="false">IF(23&lt;5,0,IF(MAX(V96:AA96)&gt;AA97+5+$B$18,1,0))</f>
        <v>0</v>
      </c>
      <c r="AB104" s="368" t="n">
        <f aca="false">IF(24&lt;5,0,IF(MAX(W96:AB96)&gt;AB97+5+$B$18,1,0))</f>
        <v>0</v>
      </c>
      <c r="AC104" s="368" t="n">
        <f aca="false">IF(25&lt;5,0,IF(MAX(X96:AC96)&gt;AC97+5+$B$18,1,0))</f>
        <v>0</v>
      </c>
      <c r="AD104" s="368" t="n">
        <f aca="false">IF(26&lt;5,0,IF(MAX(Y96:AD96)&gt;AD97+5+$B$18,1,0))</f>
        <v>0</v>
      </c>
      <c r="AE104" s="368" t="n">
        <f aca="false">IF(27&lt;5,0,IF(MAX(Z96:AE96)&gt;AE97+5+$B$18,1,0))</f>
        <v>0</v>
      </c>
      <c r="AF104" s="368" t="n">
        <f aca="false">IF(28&lt;5,0,IF(MAX(AA96:AF96)&gt;AF97+5+$B$18,1,0))</f>
        <v>0</v>
      </c>
      <c r="AG104" s="368" t="n">
        <f aca="false">IF(29&lt;5,0,IF(MAX(AB96:AG96)&gt;AG97+5+$B$18,1,0))</f>
        <v>0</v>
      </c>
      <c r="AH104" s="368" t="n">
        <f aca="false">IF(30&lt;5,0,IF(MAX(AC96:AH96)&gt;AH97+5+$B$18,1,0))</f>
        <v>0</v>
      </c>
      <c r="AI104" s="368" t="n">
        <f aca="false">IF(31&lt;5,0,IF(MAX(AD96:AI96)&gt;AI97+5+$B$18,1,0))</f>
        <v>0</v>
      </c>
      <c r="AJ104" s="368" t="n">
        <f aca="false">IF(32&lt;5,0,IF(MAX(AE96:AJ96)&gt;AJ97+5+$B$18,1,0))</f>
        <v>0</v>
      </c>
      <c r="AK104" s="368" t="n">
        <f aca="false">IF(33&lt;5,0,IF(MAX(AF96:AK96)&gt;AK97+5+$B$18,1,0))</f>
        <v>0</v>
      </c>
      <c r="AL104" s="368" t="n">
        <f aca="false">IF(34&lt;5,0,IF(MAX(AG96:AL96)&gt;AL97+5+$B$18,1,0))</f>
        <v>0</v>
      </c>
      <c r="AM104" s="368" t="n">
        <f aca="false">IF(35&lt;5,0,IF(MAX(AH96:AM96)&gt;AM97+5+$B$18,1,0))</f>
        <v>0</v>
      </c>
      <c r="AN104" s="368" t="n">
        <f aca="false">IF(36&lt;5,0,IF(MAX(AI96:AN96)&gt;AN97+5+$B$18,1,0))</f>
        <v>0</v>
      </c>
      <c r="AO104" s="368" t="n">
        <f aca="false">IF(37&lt;5,0,IF(MAX(AJ96:AO96)&gt;AO97+5+$B$18,1,0))</f>
        <v>0</v>
      </c>
      <c r="AP104" s="368" t="n">
        <f aca="false">IF(38&lt;5,0,IF(MAX(AK96:AP96)&gt;AP97+5+$B$18,1,0))</f>
        <v>0</v>
      </c>
      <c r="AQ104" s="368" t="n">
        <f aca="false">IF(39&lt;5,0,IF(MAX(AL96:AQ96)&gt;AQ97+5+$B$18,1,0))</f>
        <v>0</v>
      </c>
      <c r="AR104" s="368" t="n">
        <f aca="false">IF(40&lt;5,0,IF(MAX(AM96:AR96)&gt;AR97+5+$B$18,1,0))</f>
        <v>0</v>
      </c>
      <c r="AS104" s="368" t="n">
        <f aca="false">IF(41&lt;5,0,IF(MAX(AN96:AS96)&gt;AS97+5+$B$18,1,0))</f>
        <v>0</v>
      </c>
      <c r="AT104" s="368" t="n">
        <f aca="false">IF(42&lt;5,0,IF(MAX(AO96:AT96)&gt;AT97+5+$B$18,1,0))</f>
        <v>0</v>
      </c>
      <c r="AU104" s="368" t="n">
        <f aca="false">IF(43&lt;5,0,IF(MAX(AP96:AU96)&gt;AU97+5+$B$18,1,0))</f>
        <v>0</v>
      </c>
      <c r="AV104" s="368" t="n">
        <f aca="false">IF(44&lt;5,0,IF(MAX(AQ96:AV96)&gt;AV97+5+$B$18,1,0))</f>
        <v>0</v>
      </c>
      <c r="AW104" s="368" t="n">
        <f aca="false">IF(45&lt;5,0,IF(MAX(AR96:AW96)&gt;AW97+5+$B$18,1,0))</f>
        <v>0</v>
      </c>
      <c r="AX104" s="368" t="n">
        <f aca="false">IF(46&lt;5,0,IF(MAX(AS96:AX96)&gt;AX97+5+$B$18,1,0))</f>
        <v>0</v>
      </c>
      <c r="AY104" s="368" t="n">
        <f aca="false">IF(47&lt;5,0,IF(MAX(AT96:AY96)&gt;AY97+5+$B$18,1,0))</f>
        <v>0</v>
      </c>
      <c r="AZ104" s="368" t="n">
        <f aca="false">IF(48&lt;5,0,IF(MAX(AU96:AZ96)&gt;AZ97+5+$B$18,1,0))</f>
        <v>0</v>
      </c>
      <c r="BA104" s="368" t="n">
        <f aca="false">IF(49&lt;5,0,IF(MAX(AV96:BA96)&gt;BA97+5+$B$18,1,0))</f>
        <v>0</v>
      </c>
      <c r="BB104" s="368" t="n">
        <f aca="false">IF(50&lt;5,0,IF(MAX(AW96:BB96)&gt;BB97+5+$B$18,1,0))</f>
        <v>0</v>
      </c>
      <c r="BC104" s="368" t="n">
        <f aca="false">IF(51&lt;5,0,IF(MAX(AX96:BC96)&gt;BC97+5+$B$18,1,0))</f>
        <v>0</v>
      </c>
      <c r="BD104" s="368" t="n">
        <f aca="false">IF(52&lt;5,0,IF(MAX(AY96:BD96)&gt;BD97+5+$B$18,1,0))</f>
        <v>0</v>
      </c>
      <c r="BE104" s="368" t="n">
        <f aca="false">IF(53&lt;5,0,IF(MAX(AZ96:BE96)&gt;BE97+5+$B$18,1,0))</f>
        <v>0</v>
      </c>
      <c r="BF104" s="368" t="n">
        <f aca="false">IF(54&lt;5,0,IF(MAX(BA96:BF96)&gt;BF97+5+$B$18,1,0))</f>
        <v>0</v>
      </c>
      <c r="BG104" s="368" t="n">
        <f aca="false">IF(55&lt;5,0,IF(MAX(BB96:BG96)&gt;BG97+5+$B$18,1,0))</f>
        <v>0</v>
      </c>
      <c r="BH104" s="368" t="n">
        <f aca="false">IF(56&lt;5,0,IF(MAX(BC96:BH96)&gt;BH97+5+$B$18,1,0))</f>
        <v>0</v>
      </c>
      <c r="BI104" s="368" t="n">
        <f aca="false">IF(57&lt;5,0,IF(MAX(BD96:BI96)&gt;BI97+5+$B$18,1,0))</f>
        <v>0</v>
      </c>
      <c r="BJ104" s="368" t="n">
        <f aca="false">IF(58&lt;5,0,IF(MAX(BE96:BJ96)&gt;BJ97+5+$B$18,1,0))</f>
        <v>0</v>
      </c>
      <c r="BK104" s="368" t="n">
        <f aca="false">IF(59&lt;5,0,IF(MAX(BF96:BK96)&gt;BK97+5+$B$18,1,0))</f>
        <v>0</v>
      </c>
      <c r="BL104" s="368" t="n">
        <f aca="false">IF(60&lt;5,0,IF(MAX(BG96:BL96)&gt;BL97+5+$B$18,1,0))</f>
        <v>0</v>
      </c>
      <c r="BM104" s="368" t="n">
        <f aca="false">IF(61&lt;5,0,IF(MAX(BH96:BM96)&gt;BM97+5+$B$18,1,0))</f>
        <v>0</v>
      </c>
      <c r="BN104" s="368" t="n">
        <f aca="false">IF(62&lt;5,0,IF(MAX(BI96:BN96)&gt;BN97+5+$B$18,1,0))</f>
        <v>0</v>
      </c>
      <c r="BO104" s="368" t="n">
        <f aca="false">IF(63&lt;5,0,IF(MAX(BJ96:BO96)&gt;BO97+5+$B$18,1,0))</f>
        <v>0</v>
      </c>
      <c r="BP104" s="368" t="n">
        <f aca="false">IF(64&lt;5,0,IF(MAX(BK96:BP96)&gt;BP97+5+$B$18,1,0))</f>
        <v>0</v>
      </c>
      <c r="BQ104" s="368" t="n">
        <f aca="false">IF(65&lt;5,0,IF(MAX(BL96:BQ96)&gt;BQ97+5+$B$18,1,0))</f>
        <v>0</v>
      </c>
      <c r="BR104" s="368" t="n">
        <f aca="false">IF(66&lt;5,0,IF(MAX(BM96:BR96)&gt;BR97+5+$B$18,1,0))</f>
        <v>0</v>
      </c>
      <c r="BS104" s="368" t="n">
        <f aca="false">IF(67&lt;5,0,IF(MAX(BN96:BS96)&gt;BS97+5+$B$18,1,0))</f>
        <v>0</v>
      </c>
      <c r="BT104" s="368" t="n">
        <f aca="false">IF(68&lt;5,0,IF(MAX(BO96:BT96)&gt;BT97+5+$B$18,1,0))</f>
        <v>0</v>
      </c>
      <c r="BU104" s="368" t="n">
        <f aca="false">IF(69&lt;5,0,IF(MAX(BP96:BU96)&gt;BU97+5+$B$18,1,0))</f>
        <v>0</v>
      </c>
      <c r="BV104" s="368" t="n">
        <f aca="false">IF(70&lt;5,0,IF(MAX(BQ96:BV96)&gt;BV97+5+$B$18,1,0))</f>
        <v>0</v>
      </c>
      <c r="BW104" s="368" t="n">
        <f aca="false">IF(71&lt;5,0,IF(MAX(BR96:BW96)&gt;BW97+5+$B$18,1,0))</f>
        <v>0</v>
      </c>
      <c r="BX104" s="368" t="n">
        <f aca="false">IF(72&lt;5,0,IF(MAX(BS96:BX96)&gt;BX97+5+$B$18,1,0))</f>
        <v>0</v>
      </c>
      <c r="BY104" s="368" t="n">
        <f aca="false">IF(73&lt;5,0,IF(MAX(BT96:BY96)&gt;BY97+5+$B$18,1,0))</f>
        <v>0</v>
      </c>
      <c r="BZ104" s="368" t="n">
        <f aca="false">IF(74&lt;5,0,IF(MAX(BU96:BZ96)&gt;BZ97+5+$B$18,1,0))</f>
        <v>0</v>
      </c>
      <c r="CA104" s="368" t="n">
        <f aca="false">IF(75&lt;5,0,IF(MAX(BV96:CA96)&gt;CA97+5+$B$18,1,0))</f>
        <v>0</v>
      </c>
      <c r="CB104" s="368" t="n">
        <f aca="false">IF(76&lt;5,0,IF(MAX(BW96:CB96)&gt;CB97+5+$B$18,1,0))</f>
        <v>0</v>
      </c>
      <c r="CC104" s="368" t="n">
        <f aca="false">IF(77&lt;5,0,IF(MAX(BX96:CC96)&gt;CC97+5+$B$18,1,0))</f>
        <v>0</v>
      </c>
      <c r="CD104" s="368" t="n">
        <f aca="false">IF(78&lt;5,0,IF(MAX(BY96:CD96)&gt;CD97+5+$B$18,1,0))</f>
        <v>0</v>
      </c>
      <c r="CE104" s="368" t="n">
        <f aca="false">IF(79&lt;5,0,IF(MAX(BZ96:CE96)&gt;CE97+5+$B$18,1,0))</f>
        <v>0</v>
      </c>
      <c r="CF104" s="368" t="n">
        <f aca="false">IF(80&lt;5,0,IF(MAX(CA96:CF96)&gt;CF97+5+$B$18,1,0))</f>
        <v>0</v>
      </c>
      <c r="CG104" s="368" t="n">
        <f aca="false">IF(81&lt;5,0,IF(MAX(CB96:CG96)&gt;CG97+5+$B$18,1,0))</f>
        <v>0</v>
      </c>
      <c r="CH104" s="368" t="n">
        <f aca="false">IF(82&lt;5,0,IF(MAX(CC96:CH96)&gt;CH97+5+$B$18,1,0))</f>
        <v>0</v>
      </c>
      <c r="CI104" s="368" t="n">
        <f aca="false">IF(83&lt;5,0,IF(MAX(CD96:CI96)&gt;CI97+5+$B$18,1,0))</f>
        <v>0</v>
      </c>
      <c r="CJ104" s="368" t="n">
        <f aca="false">IF(84&lt;5,0,IF(MAX(CE96:CJ96)&gt;CJ97+5+$B$18,1,0))</f>
        <v>0</v>
      </c>
      <c r="CK104" s="368" t="n">
        <f aca="false">IF(85&lt;5,0,IF(MAX(CF96:CK96)&gt;CK97+5+$B$18,1,0))</f>
        <v>0</v>
      </c>
      <c r="CL104" s="368" t="n">
        <f aca="false">IF(86&lt;5,0,IF(MAX(CG96:CL96)&gt;CL97+5+$B$18,1,0))</f>
        <v>0</v>
      </c>
      <c r="CM104" s="368" t="n">
        <f aca="false">IF(87&lt;5,0,IF(MAX(CH96:CM96)&gt;CM97+5+$B$18,1,0))</f>
        <v>0</v>
      </c>
      <c r="CN104" s="368" t="n">
        <f aca="false">IF(88&lt;5,0,IF(MAX(CI96:CN96)&gt;CN97+5+$B$18,1,0))</f>
        <v>0</v>
      </c>
      <c r="CO104" s="368" t="n">
        <f aca="false">IF(89&lt;5,0,IF(MAX(CJ96:CO96)&gt;CO97+5+$B$18,1,0))</f>
        <v>0</v>
      </c>
      <c r="CP104" s="368" t="n">
        <f aca="false">IF(90&lt;5,0,IF(MAX(CK96:CP96)&gt;CP97+5+$B$18,1,0))</f>
        <v>0</v>
      </c>
      <c r="CQ104" s="368" t="n">
        <f aca="false">IF(91&lt;5,0,IF(MAX(CL96:CQ96)&gt;CQ97+5+$B$18,1,0))</f>
        <v>0</v>
      </c>
      <c r="CR104" s="368" t="n">
        <f aca="false">IF(92&lt;5,0,IF(MAX(CM96:CR96)&gt;CR97+5+$B$18,1,0))</f>
        <v>0</v>
      </c>
      <c r="CS104" s="368" t="n">
        <f aca="false">IF(93&lt;5,0,IF(MAX(CN96:CS96)&gt;CS97+5+$B$18,1,0))</f>
        <v>0</v>
      </c>
      <c r="CT104" s="368" t="n">
        <f aca="false">IF(94&lt;5,0,IF(MAX(CO96:CT96)&gt;CT97+5+$B$18,1,0))</f>
        <v>0</v>
      </c>
      <c r="CU104" s="368" t="n">
        <f aca="false">IF(95&lt;5,0,IF(MAX(CP96:CU96)&gt;CU97+5+$B$18,1,0))</f>
        <v>0</v>
      </c>
      <c r="CV104" s="368" t="n">
        <f aca="false">IF(96&lt;5,0,IF(MAX(CQ96:CV96)&gt;CV97+5+$B$18,1,0))</f>
        <v>0</v>
      </c>
      <c r="CW104" s="368" t="n">
        <f aca="false">IF(97&lt;5,0,IF(MAX(CR96:CW96)&gt;CW97+5+$B$18,1,0))</f>
        <v>0</v>
      </c>
      <c r="CX104" s="368" t="n">
        <f aca="false">IF(98&lt;5,0,IF(MAX(CS96:CX96)&gt;CX97+5+$B$18,1,0))</f>
        <v>0</v>
      </c>
      <c r="CY104" s="368" t="n">
        <f aca="false">IF(99&lt;5,0,IF(MAX(CT96:CY96)&gt;CY97+5+$B$18,1,0))</f>
        <v>0</v>
      </c>
      <c r="CZ104" s="368" t="n">
        <f aca="false">IF(100&lt;5,0,IF(MAX(CU96:CZ96)&gt;CZ97+5+$B$18,1,0))</f>
        <v>0</v>
      </c>
      <c r="DA104" s="368" t="n">
        <f aca="false">IF(101&lt;5,0,IF(MAX(CV96:DA96)&gt;DA97+5+$B$18,1,0))</f>
        <v>0</v>
      </c>
      <c r="DB104" s="368" t="n">
        <f aca="false">IF(102&lt;5,0,IF(MAX(CW96:DB96)&gt;DB97+5+$B$18,1,0))</f>
        <v>0</v>
      </c>
      <c r="DC104" s="368" t="n">
        <f aca="false">IF(103&lt;5,0,IF(MAX(CX96:DC96)&gt;DC97+5+$B$18,1,0))</f>
        <v>0</v>
      </c>
      <c r="DD104" s="368" t="n">
        <f aca="false">IF(104&lt;5,0,IF(MAX(CY96:DD96)&gt;DD97+5+$B$18,1,0))</f>
        <v>0</v>
      </c>
      <c r="DE104" s="368" t="n">
        <f aca="false">IF(105&lt;5,0,IF(MAX(CZ96:DE96)&gt;DE97+5+$B$18,1,0))</f>
        <v>0</v>
      </c>
    </row>
    <row r="106" customFormat="false" ht="13.5" hidden="false" customHeight="true" outlineLevel="0" collapsed="false">
      <c r="A106" s="109" t="s">
        <v>1262</v>
      </c>
      <c r="B106" s="364" t="n">
        <v>5</v>
      </c>
    </row>
    <row r="107" customFormat="false" ht="13.5" hidden="false" customHeight="true" outlineLevel="0" collapsed="false">
      <c r="A107" s="109" t="s">
        <v>1263</v>
      </c>
      <c r="B107" s="364" t="n">
        <v>0.5</v>
      </c>
    </row>
    <row r="108" customFormat="false" ht="13.5" hidden="false" customHeight="true" outlineLevel="0" collapsed="false">
      <c r="A108" s="1" t="s">
        <v>1264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609375" defaultRowHeight="15" customHeight="false"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18" t="s">
        <v>1265</v>
      </c>
    </row>
    <row r="2" customFormat="false" ht="13.5" hidden="false" customHeight="true" outlineLevel="0" collapsed="false">
      <c r="A2" s="370" t="s">
        <v>1266</v>
      </c>
    </row>
    <row r="3" customFormat="false" ht="15" hidden="false" customHeight="true" outlineLevel="0" collapsed="false">
      <c r="A3" s="371" t="s">
        <v>1267</v>
      </c>
    </row>
    <row r="4" customFormat="false" ht="15" hidden="false" customHeight="true" outlineLevel="0" collapsed="false">
      <c r="A4" s="118" t="s">
        <v>1268</v>
      </c>
      <c r="C4" s="372" t="n">
        <f aca="false">Assumptions!$B$15</f>
        <v>0.015</v>
      </c>
      <c r="D4" s="373" t="s">
        <v>1269</v>
      </c>
    </row>
    <row r="5" customFormat="false" ht="15" hidden="false" customHeight="true" outlineLevel="0" collapsed="false">
      <c r="A5" s="118" t="s">
        <v>1270</v>
      </c>
      <c r="C5" s="374" t="n">
        <f aca="false">95034/12993776.05</f>
        <v>0.00731380929102591</v>
      </c>
      <c r="D5" s="373" t="s">
        <v>1271</v>
      </c>
      <c r="F5" s="118" t="s">
        <v>1272</v>
      </c>
      <c r="H5" s="375" t="n">
        <f aca="false">IF(S19=1,Z19,0)</f>
        <v>535544.173452153</v>
      </c>
    </row>
    <row r="6" customFormat="false" ht="15" hidden="false" customHeight="true" outlineLevel="0" collapsed="false">
      <c r="A6" s="118" t="s">
        <v>1273</v>
      </c>
      <c r="C6" s="372" t="n">
        <f aca="false">Assumptions!$B$17</f>
        <v>0.0325</v>
      </c>
      <c r="D6" s="373" t="s">
        <v>1274</v>
      </c>
    </row>
    <row r="7" customFormat="false" ht="15" hidden="false" customHeight="true" outlineLevel="0" collapsed="false">
      <c r="A7" s="118" t="s">
        <v>1275</v>
      </c>
      <c r="C7" s="376" t="n">
        <v>1800000</v>
      </c>
      <c r="D7" s="373" t="s">
        <v>1276</v>
      </c>
      <c r="F7" s="118" t="s">
        <v>1277</v>
      </c>
      <c r="H7" s="375" t="n">
        <f aca="false">SUMPRODUCT(($S$11:$S$54=1)*($H$11:$H$54&lt;=$C$8)*$Z$11:$Z$54)</f>
        <v>692876.895125</v>
      </c>
    </row>
    <row r="8" customFormat="false" ht="15" hidden="false" customHeight="true" outlineLevel="0" collapsed="false">
      <c r="A8" s="118" t="s">
        <v>1278</v>
      </c>
      <c r="C8" s="377" t="n">
        <f aca="false">SUMPRODUCT(--(Model!$B$4:$DE$4="Actuals"))-3</f>
        <v>6</v>
      </c>
      <c r="D8" s="373" t="s">
        <v>1279</v>
      </c>
      <c r="F8" s="118" t="s">
        <v>1280</v>
      </c>
      <c r="H8" s="375" t="n">
        <f aca="false">SUMIFS($O$11:$O$54,$H$11:$H$54,"&lt;="&amp;$C$8)</f>
        <v>692876.89</v>
      </c>
    </row>
    <row r="9" customFormat="false" ht="15" hidden="false" customHeight="true" outlineLevel="0" collapsed="false">
      <c r="A9" s="118" t="s">
        <v>1281</v>
      </c>
      <c r="C9" s="378" t="n">
        <f aca="false">SUM(AC11:AC54)</f>
        <v>0.00512500014156103</v>
      </c>
      <c r="D9" s="373" t="s">
        <v>1282</v>
      </c>
      <c r="F9" s="118" t="s">
        <v>1283</v>
      </c>
      <c r="H9" s="379" t="n">
        <v>10</v>
      </c>
    </row>
    <row r="10" customFormat="false" ht="48" hidden="false" customHeight="true" outlineLevel="0" collapsed="false">
      <c r="A10" s="187" t="s">
        <v>470</v>
      </c>
      <c r="B10" s="187" t="s">
        <v>1284</v>
      </c>
      <c r="C10" s="187" t="s">
        <v>594</v>
      </c>
      <c r="D10" s="187" t="s">
        <v>595</v>
      </c>
      <c r="E10" s="187" t="s">
        <v>1285</v>
      </c>
      <c r="F10" s="187" t="s">
        <v>1286</v>
      </c>
      <c r="G10" s="187" t="s">
        <v>1287</v>
      </c>
      <c r="H10" s="187" t="s">
        <v>1288</v>
      </c>
      <c r="I10" s="187" t="s">
        <v>1289</v>
      </c>
      <c r="J10" s="187" t="s">
        <v>1290</v>
      </c>
      <c r="K10" s="187" t="s">
        <v>1291</v>
      </c>
      <c r="L10" s="187" t="s">
        <v>1292</v>
      </c>
      <c r="M10" s="187" t="s">
        <v>1291</v>
      </c>
      <c r="N10" s="187" t="s">
        <v>1293</v>
      </c>
      <c r="O10" s="187" t="s">
        <v>1294</v>
      </c>
      <c r="P10" s="187" t="s">
        <v>1291</v>
      </c>
      <c r="Q10" s="187" t="s">
        <v>1295</v>
      </c>
      <c r="R10" s="187" t="s">
        <v>1296</v>
      </c>
      <c r="S10" s="187" t="s">
        <v>1297</v>
      </c>
      <c r="T10" s="187" t="s">
        <v>1298</v>
      </c>
      <c r="U10" s="187" t="s">
        <v>1299</v>
      </c>
      <c r="V10" s="187" t="s">
        <v>1300</v>
      </c>
      <c r="W10" s="187" t="s">
        <v>1301</v>
      </c>
      <c r="X10" s="187" t="s">
        <v>1302</v>
      </c>
      <c r="Y10" s="187" t="s">
        <v>1303</v>
      </c>
      <c r="Z10" s="187" t="s">
        <v>1304</v>
      </c>
      <c r="AA10" s="187" t="s">
        <v>1305</v>
      </c>
      <c r="AB10" s="187" t="s">
        <v>1306</v>
      </c>
      <c r="AC10" s="187" t="s">
        <v>1307</v>
      </c>
      <c r="AD10" s="187" t="s">
        <v>657</v>
      </c>
    </row>
    <row r="11" customFormat="false" ht="15" hidden="false" customHeight="true" outlineLevel="0" collapsed="false">
      <c r="A11" s="380" t="str">
        <f aca="false">Projects!$A$2</f>
        <v>Crenshaw</v>
      </c>
      <c r="B11" s="381"/>
      <c r="C11" s="382" t="str">
        <f aca="false">Projects!$F$2</f>
        <v>No</v>
      </c>
      <c r="D11" s="382" t="str">
        <f aca="false">Projects!$G$2</f>
        <v>Yes</v>
      </c>
      <c r="E11" s="383"/>
      <c r="F11" s="384" t="n">
        <f aca="false">IF($E11&lt;&gt;"",$E11,Projects!$B$2)</f>
        <v>7126075</v>
      </c>
      <c r="G11" s="381"/>
      <c r="H11" s="385" t="n">
        <f aca="false">IF($G11&lt;&gt;"",$G11,Projects!$C$2)</f>
        <v>1</v>
      </c>
      <c r="I11" s="386"/>
      <c r="J11" s="383"/>
      <c r="K11" s="381"/>
      <c r="L11" s="383"/>
      <c r="M11" s="381"/>
      <c r="N11" s="386"/>
      <c r="O11" s="383"/>
      <c r="P11" s="381"/>
      <c r="Q11" s="383"/>
      <c r="R11" s="381"/>
      <c r="S11" s="385" t="n">
        <f aca="false">IF(AND($C11="Yes",$D11="Yes"),1,0)</f>
        <v>0</v>
      </c>
      <c r="T11" s="384" t="n">
        <f aca="false">$S11*IF($J11&lt;&gt;"",$J11,$F11*IF($I11&lt;&gt;"",$I11,$C$4)/(1+IF($I11&lt;&gt;"",$I11,$C$4)))</f>
        <v>0</v>
      </c>
      <c r="U11" s="384" t="n">
        <f aca="false">$S11*IF($L11&lt;&gt;"",$L11,$F11*$C$5)</f>
        <v>0</v>
      </c>
      <c r="V11" s="384" t="n">
        <f aca="false">$S11*$F11*IF($N11&lt;&gt;"",$N11,$C$6)</f>
        <v>0</v>
      </c>
      <c r="W11" s="384" t="n">
        <f aca="false">MAX(0,$V11-$U11)</f>
        <v>0</v>
      </c>
      <c r="X11" s="385" t="n">
        <f aca="false">IF($B11&lt;&gt;"",$B11,100+$H11)</f>
        <v>101</v>
      </c>
      <c r="Y11" s="384" t="n">
        <f aca="false">$S11*MAX(0,MIN($W11,$C$7-SUMIFS($W$11:$W$54,$X$11:$X$54,"&lt;"&amp;$X11)))</f>
        <v>0</v>
      </c>
      <c r="Z11" s="384" t="n">
        <f aca="false">$W11-$Y11</f>
        <v>0</v>
      </c>
      <c r="AA11" s="387" t="n">
        <f aca="false">$S11*($T11-$U11-$Z11)</f>
        <v>0</v>
      </c>
      <c r="AB11" s="387" t="n">
        <f aca="false">$S11*($T11-$U11)</f>
        <v>0</v>
      </c>
      <c r="AC11" s="384" t="n">
        <f aca="false">IF(AND($S11=1,$H11&lt;=$C$8),$Z11-N($O11),0)</f>
        <v>0</v>
      </c>
      <c r="AD11" s="388"/>
    </row>
    <row r="12" customFormat="false" ht="15" hidden="false" customHeight="true" outlineLevel="0" collapsed="false">
      <c r="A12" s="389" t="str">
        <f aca="false">Projects!$A$3</f>
        <v>Ramsgate</v>
      </c>
      <c r="B12" s="381"/>
      <c r="C12" s="390" t="str">
        <f aca="false">Projects!$F$3</f>
        <v>No</v>
      </c>
      <c r="D12" s="390" t="str">
        <f aca="false">Projects!$G$3</f>
        <v>Yes</v>
      </c>
      <c r="E12" s="383"/>
      <c r="F12" s="391" t="n">
        <f aca="false">IF($E12&lt;&gt;"",$E12,Projects!$B$3)</f>
        <v>20176449</v>
      </c>
      <c r="G12" s="381"/>
      <c r="H12" s="392" t="n">
        <f aca="false">IF($G12&lt;&gt;"",$G12,Projects!$C$3)</f>
        <v>1</v>
      </c>
      <c r="I12" s="386"/>
      <c r="J12" s="383"/>
      <c r="K12" s="381"/>
      <c r="L12" s="383"/>
      <c r="M12" s="381"/>
      <c r="N12" s="386"/>
      <c r="O12" s="383"/>
      <c r="P12" s="381"/>
      <c r="Q12" s="383"/>
      <c r="R12" s="381"/>
      <c r="S12" s="392" t="n">
        <f aca="false">IF(AND($C12="Yes",$D12="Yes"),1,0)</f>
        <v>0</v>
      </c>
      <c r="T12" s="391" t="n">
        <f aca="false">$S12*IF($J12&lt;&gt;"",$J12,$F12*IF($I12&lt;&gt;"",$I12,$C$4)/(1+IF($I12&lt;&gt;"",$I12,$C$4)))</f>
        <v>0</v>
      </c>
      <c r="U12" s="391" t="n">
        <f aca="false">$S12*IF($L12&lt;&gt;"",$L12,$F12*$C$5)</f>
        <v>0</v>
      </c>
      <c r="V12" s="391" t="n">
        <f aca="false">$S12*$F12*IF($N12&lt;&gt;"",$N12,$C$6)</f>
        <v>0</v>
      </c>
      <c r="W12" s="391" t="n">
        <f aca="false">MAX(0,$V12-$U12)</f>
        <v>0</v>
      </c>
      <c r="X12" s="392" t="n">
        <f aca="false">IF($B12&lt;&gt;"",$B12,100+$H12)</f>
        <v>101</v>
      </c>
      <c r="Y12" s="391" t="n">
        <f aca="false">$S12*MAX(0,MIN($W12,$C$7-SUMIFS($W$11:$W$54,$X$11:$X$54,"&lt;"&amp;$X12)))</f>
        <v>0</v>
      </c>
      <c r="Z12" s="391" t="n">
        <f aca="false">$W12-$Y12</f>
        <v>0</v>
      </c>
      <c r="AA12" s="393" t="n">
        <f aca="false">$S12*($T12-$U12-$Z12)</f>
        <v>0</v>
      </c>
      <c r="AB12" s="393" t="n">
        <f aca="false">$S12*($T12-$U12)</f>
        <v>0</v>
      </c>
      <c r="AC12" s="391" t="n">
        <f aca="false">IF(AND($S12=1,$H12&lt;=$C$8),$Z12-N($O12),0)</f>
        <v>0</v>
      </c>
      <c r="AD12" s="394"/>
    </row>
    <row r="13" customFormat="false" ht="15" hidden="false" customHeight="true" outlineLevel="0" collapsed="false">
      <c r="A13" s="380" t="str">
        <f aca="false">Projects!$A$4</f>
        <v>Califa</v>
      </c>
      <c r="B13" s="381" t="n">
        <v>1</v>
      </c>
      <c r="C13" s="382" t="str">
        <f aca="false">Projects!$F$4</f>
        <v>Yes</v>
      </c>
      <c r="D13" s="382" t="str">
        <f aca="false">Projects!$G$4</f>
        <v>Yes</v>
      </c>
      <c r="E13" s="383" t="n">
        <v>13425608</v>
      </c>
      <c r="F13" s="384" t="n">
        <f aca="false">IF($E13&lt;&gt;"",$E13,Projects!$B$4)</f>
        <v>13425608</v>
      </c>
      <c r="G13" s="381" t="n">
        <v>-99</v>
      </c>
      <c r="H13" s="385" t="n">
        <f aca="false">IF($G13&lt;&gt;"",$G13,Projects!$C$4)</f>
        <v>-99</v>
      </c>
      <c r="I13" s="386"/>
      <c r="J13" s="383" t="n">
        <v>198408</v>
      </c>
      <c r="K13" s="381" t="n">
        <v>-99</v>
      </c>
      <c r="L13" s="383" t="n">
        <v>97905</v>
      </c>
      <c r="M13" s="381" t="n">
        <v>-99</v>
      </c>
      <c r="N13" s="386"/>
      <c r="O13" s="383"/>
      <c r="P13" s="381"/>
      <c r="Q13" s="383"/>
      <c r="R13" s="381"/>
      <c r="S13" s="385" t="n">
        <f aca="false">IF(AND($C13="Yes",$D13="Yes"),1,0)</f>
        <v>1</v>
      </c>
      <c r="T13" s="384" t="n">
        <f aca="false">$S13*IF($J13&lt;&gt;"",$J13,$F13*IF($I13&lt;&gt;"",$I13,$C$4)/(1+IF($I13&lt;&gt;"",$I13,$C$4)))</f>
        <v>198408</v>
      </c>
      <c r="U13" s="384" t="n">
        <f aca="false">$S13*IF($L13&lt;&gt;"",$L13,$F13*$C$5)</f>
        <v>97905</v>
      </c>
      <c r="V13" s="384" t="n">
        <f aca="false">$S13*$F13*IF($N13&lt;&gt;"",$N13,$C$6)</f>
        <v>436332.26</v>
      </c>
      <c r="W13" s="384" t="n">
        <f aca="false">MAX(0,$V13-$U13)</f>
        <v>338427.26</v>
      </c>
      <c r="X13" s="385" t="n">
        <f aca="false">IF($B13&lt;&gt;"",$B13,100+$H13)</f>
        <v>1</v>
      </c>
      <c r="Y13" s="384" t="n">
        <f aca="false">$S13*MAX(0,MIN($W13,$C$7-SUMIFS($W$11:$W$54,$X$11:$X$54,"&lt;"&amp;$X13)))</f>
        <v>338427.26</v>
      </c>
      <c r="Z13" s="384" t="n">
        <f aca="false">$W13-$Y13</f>
        <v>0</v>
      </c>
      <c r="AA13" s="387" t="n">
        <f aca="false">$S13*($T13-$U13-$Z13)</f>
        <v>100503</v>
      </c>
      <c r="AB13" s="387" t="n">
        <f aca="false">$S13*($T13-$U13)</f>
        <v>100503</v>
      </c>
      <c r="AC13" s="384" t="n">
        <f aca="false">IF(AND($S13=1,$H13&lt;=$C$8),$Z13-N($O13),0)</f>
        <v>0</v>
      </c>
      <c r="AD13" s="388" t="s">
        <v>1308</v>
      </c>
    </row>
    <row r="14" customFormat="false" ht="15" hidden="false" customHeight="true" outlineLevel="0" collapsed="false">
      <c r="A14" s="389" t="str">
        <f aca="false">Projects!$A$5</f>
        <v>Whipple</v>
      </c>
      <c r="B14" s="381" t="n">
        <v>2</v>
      </c>
      <c r="C14" s="390" t="str">
        <f aca="false">Projects!$F$5</f>
        <v>Yes</v>
      </c>
      <c r="D14" s="390" t="str">
        <f aca="false">Projects!$G$5</f>
        <v>Yes</v>
      </c>
      <c r="E14" s="383" t="n">
        <v>15347360</v>
      </c>
      <c r="F14" s="391" t="n">
        <f aca="false">IF($E14&lt;&gt;"",$E14,Projects!$B$5)</f>
        <v>15347360</v>
      </c>
      <c r="G14" s="381" t="n">
        <v>-99</v>
      </c>
      <c r="H14" s="392" t="n">
        <f aca="false">IF($G14&lt;&gt;"",$G14,Projects!$C$5)</f>
        <v>-99</v>
      </c>
      <c r="I14" s="386"/>
      <c r="J14" s="383" t="n">
        <v>226808</v>
      </c>
      <c r="K14" s="381" t="n">
        <v>-99</v>
      </c>
      <c r="L14" s="383" t="n">
        <v>110685</v>
      </c>
      <c r="M14" s="381" t="n">
        <v>-99</v>
      </c>
      <c r="N14" s="386"/>
      <c r="O14" s="383"/>
      <c r="P14" s="381"/>
      <c r="Q14" s="383"/>
      <c r="R14" s="381"/>
      <c r="S14" s="392" t="n">
        <f aca="false">IF(AND($C14="Yes",$D14="Yes"),1,0)</f>
        <v>1</v>
      </c>
      <c r="T14" s="391" t="n">
        <f aca="false">$S14*IF($J14&lt;&gt;"",$J14,$F14*IF($I14&lt;&gt;"",$I14,$C$4)/(1+IF($I14&lt;&gt;"",$I14,$C$4)))</f>
        <v>226808</v>
      </c>
      <c r="U14" s="391" t="n">
        <f aca="false">$S14*IF($L14&lt;&gt;"",$L14,$F14*$C$5)</f>
        <v>110685</v>
      </c>
      <c r="V14" s="391" t="n">
        <f aca="false">$S14*$F14*IF($N14&lt;&gt;"",$N14,$C$6)</f>
        <v>498789.2</v>
      </c>
      <c r="W14" s="391" t="n">
        <f aca="false">MAX(0,$V14-$U14)</f>
        <v>388104.2</v>
      </c>
      <c r="X14" s="392" t="n">
        <f aca="false">IF($B14&lt;&gt;"",$B14,100+$H14)</f>
        <v>2</v>
      </c>
      <c r="Y14" s="391" t="n">
        <f aca="false">$S14*MAX(0,MIN($W14,$C$7-SUMIFS($W$11:$W$54,$X$11:$X$54,"&lt;"&amp;$X14)))</f>
        <v>388104.2</v>
      </c>
      <c r="Z14" s="391" t="n">
        <f aca="false">$W14-$Y14</f>
        <v>0</v>
      </c>
      <c r="AA14" s="393" t="n">
        <f aca="false">$S14*($T14-$U14-$Z14)</f>
        <v>116123</v>
      </c>
      <c r="AB14" s="393" t="n">
        <f aca="false">$S14*($T14-$U14)</f>
        <v>116123</v>
      </c>
      <c r="AC14" s="391" t="n">
        <f aca="false">IF(AND($S14=1,$H14&lt;=$C$8),$Z14-N($O14),0)</f>
        <v>0</v>
      </c>
      <c r="AD14" s="394" t="s">
        <v>1308</v>
      </c>
    </row>
    <row r="15" customFormat="false" ht="15" hidden="false" customHeight="true" outlineLevel="0" collapsed="false">
      <c r="A15" s="380" t="str">
        <f aca="false">Projects!$A$6</f>
        <v>Nelrose</v>
      </c>
      <c r="B15" s="381"/>
      <c r="C15" s="382" t="str">
        <f aca="false">Projects!$F$6</f>
        <v>No</v>
      </c>
      <c r="D15" s="382" t="str">
        <f aca="false">Projects!$G$6</f>
        <v>Yes</v>
      </c>
      <c r="E15" s="383"/>
      <c r="F15" s="384" t="n">
        <f aca="false">IF($E15&lt;&gt;"",$E15,Projects!$B$6)</f>
        <v>3623245</v>
      </c>
      <c r="G15" s="381"/>
      <c r="H15" s="385" t="n">
        <f aca="false">IF($G15&lt;&gt;"",$G15,Projects!$C$6)</f>
        <v>1</v>
      </c>
      <c r="I15" s="386"/>
      <c r="J15" s="383"/>
      <c r="K15" s="381"/>
      <c r="L15" s="383"/>
      <c r="M15" s="381"/>
      <c r="N15" s="386"/>
      <c r="O15" s="383"/>
      <c r="P15" s="381"/>
      <c r="Q15" s="383"/>
      <c r="R15" s="381"/>
      <c r="S15" s="385" t="n">
        <f aca="false">IF(AND($C15="Yes",$D15="Yes"),1,0)</f>
        <v>0</v>
      </c>
      <c r="T15" s="384" t="n">
        <f aca="false">$S15*IF($J15&lt;&gt;"",$J15,$F15*IF($I15&lt;&gt;"",$I15,$C$4)/(1+IF($I15&lt;&gt;"",$I15,$C$4)))</f>
        <v>0</v>
      </c>
      <c r="U15" s="384" t="n">
        <f aca="false">$S15*IF($L15&lt;&gt;"",$L15,$F15*$C$5)</f>
        <v>0</v>
      </c>
      <c r="V15" s="384" t="n">
        <f aca="false">$S15*$F15*IF($N15&lt;&gt;"",$N15,$C$6)</f>
        <v>0</v>
      </c>
      <c r="W15" s="384" t="n">
        <f aca="false">MAX(0,$V15-$U15)</f>
        <v>0</v>
      </c>
      <c r="X15" s="385" t="n">
        <f aca="false">IF($B15&lt;&gt;"",$B15,100+$H15)</f>
        <v>101</v>
      </c>
      <c r="Y15" s="384" t="n">
        <f aca="false">$S15*MAX(0,MIN($W15,$C$7-SUMIFS($W$11:$W$54,$X$11:$X$54,"&lt;"&amp;$X15)))</f>
        <v>0</v>
      </c>
      <c r="Z15" s="384" t="n">
        <f aca="false">$W15-$Y15</f>
        <v>0</v>
      </c>
      <c r="AA15" s="387" t="n">
        <f aca="false">$S15*($T15-$U15-$Z15)</f>
        <v>0</v>
      </c>
      <c r="AB15" s="387" t="n">
        <f aca="false">$S15*($T15-$U15)</f>
        <v>0</v>
      </c>
      <c r="AC15" s="384" t="n">
        <f aca="false">IF(AND($S15=1,$H15&lt;=$C$8),$Z15-N($O15),0)</f>
        <v>0</v>
      </c>
      <c r="AD15" s="388"/>
    </row>
    <row r="16" customFormat="false" ht="15" hidden="false" customHeight="true" outlineLevel="0" collapsed="false">
      <c r="A16" s="389" t="str">
        <f aca="false">Projects!$A$7</f>
        <v>Francis</v>
      </c>
      <c r="B16" s="381" t="n">
        <v>4</v>
      </c>
      <c r="C16" s="390" t="str">
        <f aca="false">Projects!$F$7</f>
        <v>Yes</v>
      </c>
      <c r="D16" s="390" t="str">
        <f aca="false">Projects!$G$7</f>
        <v>Yes</v>
      </c>
      <c r="E16" s="383"/>
      <c r="F16" s="391" t="n">
        <f aca="false">IF($E16&lt;&gt;"",$E16,Projects!$B$7)</f>
        <v>42794765</v>
      </c>
      <c r="G16" s="381" t="n">
        <v>4</v>
      </c>
      <c r="H16" s="392" t="n">
        <f aca="false">IF($G16&lt;&gt;"",$G16,Projects!$C$7)</f>
        <v>4</v>
      </c>
      <c r="I16" s="386" t="n">
        <v>0.02</v>
      </c>
      <c r="J16" s="383" t="n">
        <v>839113</v>
      </c>
      <c r="K16" s="381" t="n">
        <v>4</v>
      </c>
      <c r="L16" s="383" t="n">
        <v>313735</v>
      </c>
      <c r="M16" s="381" t="n">
        <v>5</v>
      </c>
      <c r="N16" s="386"/>
      <c r="O16" s="383" t="n">
        <v>365613.17</v>
      </c>
      <c r="P16" s="381" t="n">
        <v>6</v>
      </c>
      <c r="Q16" s="383"/>
      <c r="R16" s="381"/>
      <c r="S16" s="392" t="n">
        <f aca="false">IF(AND($C16="Yes",$D16="Yes"),1,0)</f>
        <v>1</v>
      </c>
      <c r="T16" s="391" t="n">
        <f aca="false">$S16*IF($J16&lt;&gt;"",$J16,$F16*IF($I16&lt;&gt;"",$I16,$C$4)/(1+IF($I16&lt;&gt;"",$I16,$C$4)))</f>
        <v>839113</v>
      </c>
      <c r="U16" s="391" t="n">
        <f aca="false">$S16*IF($L16&lt;&gt;"",$L16,$F16*$C$5)</f>
        <v>313735</v>
      </c>
      <c r="V16" s="391" t="n">
        <f aca="false">$S16*$F16*IF($N16&lt;&gt;"",$N16,$C$6)</f>
        <v>1390829.8625</v>
      </c>
      <c r="W16" s="391" t="n">
        <f aca="false">MAX(0,$V16-$U16)</f>
        <v>1077094.8625</v>
      </c>
      <c r="X16" s="392" t="n">
        <f aca="false">IF($B16&lt;&gt;"",$B16,100+$H16)</f>
        <v>4</v>
      </c>
      <c r="Y16" s="391" t="n">
        <f aca="false">$S16*MAX(0,MIN($W16,$C$7-SUMIFS($W$11:$W$54,$X$11:$X$54,"&lt;"&amp;$X16)))</f>
        <v>711481.689</v>
      </c>
      <c r="Z16" s="391" t="n">
        <f aca="false">$W16-$Y16</f>
        <v>365613.1735</v>
      </c>
      <c r="AA16" s="393" t="n">
        <f aca="false">$S16*($T16-$U16-$Z16)</f>
        <v>159764.8265</v>
      </c>
      <c r="AB16" s="393" t="n">
        <f aca="false">$S16*($T16-$U16)</f>
        <v>525378</v>
      </c>
      <c r="AC16" s="391" t="n">
        <f aca="false">IF(AND($S16=1,$H16&lt;=$C$8),$Z16-N($O16),0)</f>
        <v>0.00350000004982576</v>
      </c>
      <c r="AD16" s="394" t="s">
        <v>1309</v>
      </c>
    </row>
    <row r="17" customFormat="false" ht="15" hidden="false" customHeight="true" outlineLevel="0" collapsed="false">
      <c r="A17" s="380" t="str">
        <f aca="false">Projects!$A$8</f>
        <v>Lexington</v>
      </c>
      <c r="B17" s="381" t="n">
        <v>5</v>
      </c>
      <c r="C17" s="382" t="str">
        <f aca="false">Projects!$F$8</f>
        <v>Yes</v>
      </c>
      <c r="D17" s="382" t="str">
        <f aca="false">Projects!$G$8</f>
        <v>Yes</v>
      </c>
      <c r="E17" s="383"/>
      <c r="F17" s="384" t="n">
        <f aca="false">IF($E17&lt;&gt;"",$E17,Projects!$B$8)</f>
        <v>12993776.05</v>
      </c>
      <c r="G17" s="381" t="n">
        <v>5</v>
      </c>
      <c r="H17" s="385" t="n">
        <f aca="false">IF($G17&lt;&gt;"",$G17,Projects!$C$8)</f>
        <v>5</v>
      </c>
      <c r="I17" s="386"/>
      <c r="J17" s="383" t="n">
        <v>192026.25</v>
      </c>
      <c r="K17" s="381" t="n">
        <v>5</v>
      </c>
      <c r="L17" s="383" t="n">
        <v>95034</v>
      </c>
      <c r="M17" s="381" t="n">
        <v>5</v>
      </c>
      <c r="N17" s="386"/>
      <c r="O17" s="383" t="n">
        <v>327263.72</v>
      </c>
      <c r="P17" s="381" t="n">
        <v>6</v>
      </c>
      <c r="Q17" s="383"/>
      <c r="R17" s="381"/>
      <c r="S17" s="385" t="n">
        <f aca="false">IF(AND($C17="Yes",$D17="Yes"),1,0)</f>
        <v>1</v>
      </c>
      <c r="T17" s="384" t="n">
        <f aca="false">$S17*IF($J17&lt;&gt;"",$J17,$F17*IF($I17&lt;&gt;"",$I17,$C$4)/(1+IF($I17&lt;&gt;"",$I17,$C$4)))</f>
        <v>192026.25</v>
      </c>
      <c r="U17" s="384" t="n">
        <f aca="false">$S17*IF($L17&lt;&gt;"",$L17,$F17*$C$5)</f>
        <v>95034</v>
      </c>
      <c r="V17" s="384" t="n">
        <f aca="false">$S17*$F17*IF($N17&lt;&gt;"",$N17,$C$6)</f>
        <v>422297.721625</v>
      </c>
      <c r="W17" s="384" t="n">
        <f aca="false">MAX(0,$V17-$U17)</f>
        <v>327263.721625</v>
      </c>
      <c r="X17" s="385" t="n">
        <f aca="false">IF($B17&lt;&gt;"",$B17,100+$H17)</f>
        <v>5</v>
      </c>
      <c r="Y17" s="384" t="n">
        <f aca="false">$S17*MAX(0,MIN($W17,$C$7-SUMIFS($W$11:$W$54,$X$11:$X$54,"&lt;"&amp;$X17)))</f>
        <v>0</v>
      </c>
      <c r="Z17" s="384" t="n">
        <f aca="false">$W17-$Y17</f>
        <v>327263.721625</v>
      </c>
      <c r="AA17" s="387" t="n">
        <f aca="false">$S17*($T17-$U17-$Z17)</f>
        <v>-230271.471625</v>
      </c>
      <c r="AB17" s="387" t="n">
        <f aca="false">$S17*($T17-$U17)</f>
        <v>96992.25</v>
      </c>
      <c r="AC17" s="384" t="n">
        <f aca="false">IF(AND($S17=1,$H17&lt;=$C$8),$Z17-N($O17),0)</f>
        <v>0.00162500009173527</v>
      </c>
      <c r="AD17" s="388" t="s">
        <v>1310</v>
      </c>
    </row>
    <row r="18" customFormat="false" ht="15" hidden="false" customHeight="true" outlineLevel="0" collapsed="false">
      <c r="A18" s="389" t="str">
        <f aca="false">Projects!$A$9</f>
        <v>Riverton</v>
      </c>
      <c r="B18" s="381" t="n">
        <v>3</v>
      </c>
      <c r="C18" s="390" t="str">
        <f aca="false">Projects!$F$9</f>
        <v>Yes</v>
      </c>
      <c r="D18" s="390" t="str">
        <f aca="false">Projects!$G$9</f>
        <v>Yes</v>
      </c>
      <c r="E18" s="383"/>
      <c r="F18" s="391" t="n">
        <f aca="false">IF($E18&lt;&gt;"",$E18,Projects!$B$9)</f>
        <v>14337010.8</v>
      </c>
      <c r="G18" s="381" t="n">
        <v>4</v>
      </c>
      <c r="H18" s="392" t="n">
        <f aca="false">IF($G18&lt;&gt;"",$G18,Projects!$C$9)</f>
        <v>4</v>
      </c>
      <c r="I18" s="386"/>
      <c r="J18" s="383" t="n">
        <v>211877</v>
      </c>
      <c r="K18" s="381" t="n">
        <v>4</v>
      </c>
      <c r="L18" s="383" t="n">
        <v>103966</v>
      </c>
      <c r="M18" s="381" t="n">
        <v>4</v>
      </c>
      <c r="N18" s="386"/>
      <c r="O18" s="383"/>
      <c r="P18" s="381"/>
      <c r="Q18" s="383"/>
      <c r="R18" s="381"/>
      <c r="S18" s="392" t="n">
        <f aca="false">IF(AND($C18="Yes",$D18="Yes"),1,0)</f>
        <v>1</v>
      </c>
      <c r="T18" s="391" t="n">
        <f aca="false">$S18*IF($J18&lt;&gt;"",$J18,$F18*IF($I18&lt;&gt;"",$I18,$C$4)/(1+IF($I18&lt;&gt;"",$I18,$C$4)))</f>
        <v>211877</v>
      </c>
      <c r="U18" s="391" t="n">
        <f aca="false">$S18*IF($L18&lt;&gt;"",$L18,$F18*$C$5)</f>
        <v>103966</v>
      </c>
      <c r="V18" s="391" t="n">
        <f aca="false">$S18*$F18*IF($N18&lt;&gt;"",$N18,$C$6)</f>
        <v>465952.851</v>
      </c>
      <c r="W18" s="391" t="n">
        <f aca="false">MAX(0,$V18-$U18)</f>
        <v>361986.851</v>
      </c>
      <c r="X18" s="392" t="n">
        <f aca="false">IF($B18&lt;&gt;"",$B18,100+$H18)</f>
        <v>3</v>
      </c>
      <c r="Y18" s="391" t="n">
        <f aca="false">$S18*MAX(0,MIN($W18,$C$7-SUMIFS($W$11:$W$54,$X$11:$X$54,"&lt;"&amp;$X18)))</f>
        <v>361986.851</v>
      </c>
      <c r="Z18" s="391" t="n">
        <f aca="false">$W18-$Y18</f>
        <v>0</v>
      </c>
      <c r="AA18" s="393" t="n">
        <f aca="false">$S18*($T18-$U18-$Z18)</f>
        <v>107911</v>
      </c>
      <c r="AB18" s="393" t="n">
        <f aca="false">$S18*($T18-$U18)</f>
        <v>107911</v>
      </c>
      <c r="AC18" s="391" t="n">
        <f aca="false">IF(AND($S18=1,$H18&lt;=$C$8),$Z18-N($O18),0)</f>
        <v>0</v>
      </c>
      <c r="AD18" s="394" t="s">
        <v>1311</v>
      </c>
    </row>
    <row r="19" customFormat="false" ht="15" hidden="false" customHeight="true" outlineLevel="0" collapsed="false">
      <c r="A19" s="380" t="str">
        <f aca="false">Projects!$A$10</f>
        <v>Acama</v>
      </c>
      <c r="B19" s="381"/>
      <c r="C19" s="382" t="str">
        <f aca="false">Projects!$F$10</f>
        <v>Yes</v>
      </c>
      <c r="D19" s="382" t="str">
        <f aca="false">Projects!$G$10</f>
        <v>Yes</v>
      </c>
      <c r="E19" s="383"/>
      <c r="F19" s="384" t="n">
        <f aca="false">IF($E19&lt;&gt;"",$E19,Projects!$B$10)</f>
        <v>21263405</v>
      </c>
      <c r="G19" s="381" t="n">
        <v>9</v>
      </c>
      <c r="H19" s="385" t="n">
        <f aca="false">IF($G19&lt;&gt;"",$G19,Projects!$C$10)</f>
        <v>9</v>
      </c>
      <c r="I19" s="386"/>
      <c r="J19" s="383"/>
      <c r="K19" s="381"/>
      <c r="L19" s="383"/>
      <c r="M19" s="381"/>
      <c r="N19" s="386"/>
      <c r="O19" s="383"/>
      <c r="P19" s="381"/>
      <c r="Q19" s="383"/>
      <c r="R19" s="381"/>
      <c r="S19" s="385" t="n">
        <f aca="false">IF(AND($C19="Yes",$D19="Yes"),1,0)</f>
        <v>1</v>
      </c>
      <c r="T19" s="384" t="n">
        <f aca="false">$S19*IF($J19&lt;&gt;"",$J19,$F19*IF($I19&lt;&gt;"",$I19,$C$4)/(1+IF($I19&lt;&gt;"",$I19,$C$4)))</f>
        <v>314237.512315271</v>
      </c>
      <c r="U19" s="384" t="n">
        <f aca="false">$S19*IF($L19&lt;&gt;"",$L19,$F19*$C$5)</f>
        <v>155516.489047847</v>
      </c>
      <c r="V19" s="384" t="n">
        <f aca="false">$S19*$F19*IF($N19&lt;&gt;"",$N19,$C$6)</f>
        <v>691060.6625</v>
      </c>
      <c r="W19" s="384" t="n">
        <f aca="false">MAX(0,$V19-$U19)</f>
        <v>535544.173452153</v>
      </c>
      <c r="X19" s="385" t="n">
        <f aca="false">IF($B19&lt;&gt;"",$B19,100+$H19)</f>
        <v>109</v>
      </c>
      <c r="Y19" s="384" t="n">
        <f aca="false">$S19*MAX(0,MIN($W19,$C$7-SUMIFS($W$11:$W$54,$X$11:$X$54,"&lt;"&amp;$X19)))</f>
        <v>0</v>
      </c>
      <c r="Z19" s="384" t="n">
        <f aca="false">$W19-$Y19</f>
        <v>535544.173452153</v>
      </c>
      <c r="AA19" s="387" t="n">
        <f aca="false">$S19*($T19-$U19-$Z19)</f>
        <v>-376823.150184729</v>
      </c>
      <c r="AB19" s="387" t="n">
        <f aca="false">$S19*($T19-$U19)</f>
        <v>158721.023267424</v>
      </c>
      <c r="AC19" s="384" t="n">
        <f aca="false">IF(AND($S19=1,$H19&lt;=$C$8),$Z19-N($O19),0)</f>
        <v>0</v>
      </c>
      <c r="AD19" s="388" t="s">
        <v>1312</v>
      </c>
    </row>
    <row r="20" customFormat="false" ht="15" hidden="false" customHeight="true" outlineLevel="0" collapsed="false">
      <c r="A20" s="389" t="str">
        <f aca="false">Projects!$A$11</f>
        <v>Klump</v>
      </c>
      <c r="B20" s="381"/>
      <c r="C20" s="390" t="str">
        <f aca="false">Projects!$F$11</f>
        <v>No</v>
      </c>
      <c r="D20" s="390" t="str">
        <f aca="false">Projects!$G$11</f>
        <v>Yes</v>
      </c>
      <c r="E20" s="383"/>
      <c r="F20" s="391" t="n">
        <f aca="false">IF($E20&lt;&gt;"",$E20,Projects!$B$11)</f>
        <v>9577109</v>
      </c>
      <c r="G20" s="381"/>
      <c r="H20" s="392" t="n">
        <f aca="false">IF($G20&lt;&gt;"",$G20,Projects!$C$11)</f>
        <v>11</v>
      </c>
      <c r="I20" s="386"/>
      <c r="J20" s="383"/>
      <c r="K20" s="381"/>
      <c r="L20" s="383"/>
      <c r="M20" s="381"/>
      <c r="N20" s="386"/>
      <c r="O20" s="383"/>
      <c r="P20" s="381"/>
      <c r="Q20" s="383"/>
      <c r="R20" s="381"/>
      <c r="S20" s="392" t="n">
        <f aca="false">IF(AND($C20="Yes",$D20="Yes"),1,0)</f>
        <v>0</v>
      </c>
      <c r="T20" s="391" t="n">
        <f aca="false">$S20*IF($J20&lt;&gt;"",$J20,$F20*IF($I20&lt;&gt;"",$I20,$C$4)/(1+IF($I20&lt;&gt;"",$I20,$C$4)))</f>
        <v>0</v>
      </c>
      <c r="U20" s="391" t="n">
        <f aca="false">$S20*IF($L20&lt;&gt;"",$L20,$F20*$C$5)</f>
        <v>0</v>
      </c>
      <c r="V20" s="391" t="n">
        <f aca="false">$S20*$F20*IF($N20&lt;&gt;"",$N20,$C$6)</f>
        <v>0</v>
      </c>
      <c r="W20" s="391" t="n">
        <f aca="false">MAX(0,$V20-$U20)</f>
        <v>0</v>
      </c>
      <c r="X20" s="392" t="n">
        <f aca="false">IF($B20&lt;&gt;"",$B20,100+$H20)</f>
        <v>111</v>
      </c>
      <c r="Y20" s="391" t="n">
        <f aca="false">$S20*MAX(0,MIN($W20,$C$7-SUMIFS($W$11:$W$54,$X$11:$X$54,"&lt;"&amp;$X20)))</f>
        <v>0</v>
      </c>
      <c r="Z20" s="391" t="n">
        <f aca="false">$W20-$Y20</f>
        <v>0</v>
      </c>
      <c r="AA20" s="393" t="n">
        <f aca="false">$S20*($T20-$U20-$Z20)</f>
        <v>0</v>
      </c>
      <c r="AB20" s="393" t="n">
        <f aca="false">$S20*($T20-$U20)</f>
        <v>0</v>
      </c>
      <c r="AC20" s="391" t="n">
        <f aca="false">IF(AND($S20=1,$H20&lt;=$C$8),$Z20-N($O20),0)</f>
        <v>0</v>
      </c>
      <c r="AD20" s="394"/>
    </row>
    <row r="21" customFormat="false" ht="15" hidden="false" customHeight="true" outlineLevel="0" collapsed="false">
      <c r="A21" s="380" t="str">
        <f aca="false">Projects!$A$12</f>
        <v>Scott</v>
      </c>
      <c r="B21" s="381"/>
      <c r="C21" s="382" t="str">
        <f aca="false">Projects!$F$12</f>
        <v>No</v>
      </c>
      <c r="D21" s="382" t="str">
        <f aca="false">Projects!$G$12</f>
        <v>Yes</v>
      </c>
      <c r="E21" s="383"/>
      <c r="F21" s="384" t="n">
        <f aca="false">IF($E21&lt;&gt;"",$E21,Projects!$B$12)</f>
        <v>7545203</v>
      </c>
      <c r="G21" s="381"/>
      <c r="H21" s="385" t="n">
        <f aca="false">IF($G21&lt;&gt;"",$G21,Projects!$C$12)</f>
        <v>10</v>
      </c>
      <c r="I21" s="386"/>
      <c r="J21" s="383"/>
      <c r="K21" s="381"/>
      <c r="L21" s="383"/>
      <c r="M21" s="381"/>
      <c r="N21" s="386"/>
      <c r="O21" s="383"/>
      <c r="P21" s="381"/>
      <c r="Q21" s="383"/>
      <c r="R21" s="381"/>
      <c r="S21" s="385" t="n">
        <f aca="false">IF(AND($C21="Yes",$D21="Yes"),1,0)</f>
        <v>0</v>
      </c>
      <c r="T21" s="384" t="n">
        <f aca="false">$S21*IF($J21&lt;&gt;"",$J21,$F21*IF($I21&lt;&gt;"",$I21,$C$4)/(1+IF($I21&lt;&gt;"",$I21,$C$4)))</f>
        <v>0</v>
      </c>
      <c r="U21" s="384" t="n">
        <f aca="false">$S21*IF($L21&lt;&gt;"",$L21,$F21*$C$5)</f>
        <v>0</v>
      </c>
      <c r="V21" s="384" t="n">
        <f aca="false">$S21*$F21*IF($N21&lt;&gt;"",$N21,$C$6)</f>
        <v>0</v>
      </c>
      <c r="W21" s="384" t="n">
        <f aca="false">MAX(0,$V21-$U21)</f>
        <v>0</v>
      </c>
      <c r="X21" s="385" t="n">
        <f aca="false">IF($B21&lt;&gt;"",$B21,100+$H21)</f>
        <v>110</v>
      </c>
      <c r="Y21" s="384" t="n">
        <f aca="false">$S21*MAX(0,MIN($W21,$C$7-SUMIFS($W$11:$W$54,$X$11:$X$54,"&lt;"&amp;$X21)))</f>
        <v>0</v>
      </c>
      <c r="Z21" s="384" t="n">
        <f aca="false">$W21-$Y21</f>
        <v>0</v>
      </c>
      <c r="AA21" s="387" t="n">
        <f aca="false">$S21*($T21-$U21-$Z21)</f>
        <v>0</v>
      </c>
      <c r="AB21" s="387" t="n">
        <f aca="false">$S21*($T21-$U21)</f>
        <v>0</v>
      </c>
      <c r="AC21" s="384" t="n">
        <f aca="false">IF(AND($S21=1,$H21&lt;=$C$8),$Z21-N($O21),0)</f>
        <v>0</v>
      </c>
      <c r="AD21" s="388"/>
    </row>
    <row r="22" customFormat="false" ht="15" hidden="false" customHeight="true" outlineLevel="0" collapsed="false">
      <c r="A22" s="389" t="str">
        <f aca="false">Projects!$A$13</f>
        <v>Reseda</v>
      </c>
      <c r="B22" s="381"/>
      <c r="C22" s="390" t="str">
        <f aca="false">Projects!$F$13</f>
        <v>Yes</v>
      </c>
      <c r="D22" s="390" t="str">
        <f aca="false">Projects!$G$13</f>
        <v>Yes</v>
      </c>
      <c r="E22" s="383"/>
      <c r="F22" s="391" t="n">
        <f aca="false">IF($E22&lt;&gt;"",$E22,Projects!$B$13)</f>
        <v>45266770</v>
      </c>
      <c r="G22" s="381"/>
      <c r="H22" s="392" t="n">
        <f aca="false">IF($G22&lt;&gt;"",$G22,Projects!$C$13)</f>
        <v>15</v>
      </c>
      <c r="I22" s="386" t="n">
        <v>0.02</v>
      </c>
      <c r="J22" s="383"/>
      <c r="K22" s="381"/>
      <c r="L22" s="383"/>
      <c r="M22" s="381"/>
      <c r="N22" s="386"/>
      <c r="O22" s="383"/>
      <c r="P22" s="381"/>
      <c r="Q22" s="383"/>
      <c r="R22" s="381"/>
      <c r="S22" s="392" t="n">
        <f aca="false">IF(AND($C22="Yes",$D22="Yes"),1,0)</f>
        <v>1</v>
      </c>
      <c r="T22" s="391" t="n">
        <f aca="false">$S22*IF($J22&lt;&gt;"",$J22,$F22*IF($I22&lt;&gt;"",$I22,$C$4)/(1+IF($I22&lt;&gt;"",$I22,$C$4)))</f>
        <v>887583.725490196</v>
      </c>
      <c r="U22" s="391" t="n">
        <f aca="false">$S22*IF($L22&lt;&gt;"",$L22,$F22*$C$5)</f>
        <v>331072.523000733</v>
      </c>
      <c r="V22" s="391" t="n">
        <f aca="false">$S22*$F22*IF($N22&lt;&gt;"",$N22,$C$6)</f>
        <v>1471170.025</v>
      </c>
      <c r="W22" s="391" t="n">
        <f aca="false">MAX(0,$V22-$U22)</f>
        <v>1140097.50199927</v>
      </c>
      <c r="X22" s="392" t="n">
        <f aca="false">IF($B22&lt;&gt;"",$B22,100+$H22)</f>
        <v>115</v>
      </c>
      <c r="Y22" s="391" t="n">
        <f aca="false">$S22*MAX(0,MIN($W22,$C$7-SUMIFS($W$11:$W$54,$X$11:$X$54,"&lt;"&amp;$X22)))</f>
        <v>0</v>
      </c>
      <c r="Z22" s="391" t="n">
        <f aca="false">$W22-$Y22</f>
        <v>1140097.50199927</v>
      </c>
      <c r="AA22" s="393" t="n">
        <f aca="false">$S22*($T22-$U22-$Z22)</f>
        <v>-583586.299509804</v>
      </c>
      <c r="AB22" s="393" t="n">
        <f aca="false">$S22*($T22-$U22)</f>
        <v>556511.202489463</v>
      </c>
      <c r="AC22" s="391" t="n">
        <f aca="false">IF(AND($S22=1,$H22&lt;=$C$8),$Z22-N($O22),0)</f>
        <v>0</v>
      </c>
      <c r="AD22" s="394"/>
    </row>
    <row r="23" customFormat="false" ht="15" hidden="false" customHeight="true" outlineLevel="0" collapsed="false">
      <c r="A23" s="380" t="str">
        <f aca="false">Projects!$A$14</f>
        <v>3rd St</v>
      </c>
      <c r="B23" s="381"/>
      <c r="C23" s="382" t="str">
        <f aca="false">Projects!$F$14</f>
        <v>Yes</v>
      </c>
      <c r="D23" s="382" t="str">
        <f aca="false">Projects!$G$14</f>
        <v>Yes</v>
      </c>
      <c r="E23" s="383"/>
      <c r="F23" s="384" t="n">
        <f aca="false">IF($E23&lt;&gt;"",$E23,Projects!$B$14)</f>
        <v>41354632</v>
      </c>
      <c r="G23" s="381"/>
      <c r="H23" s="385" t="n">
        <f aca="false">IF($G23&lt;&gt;"",$G23,Projects!$C$14)</f>
        <v>27</v>
      </c>
      <c r="I23" s="386"/>
      <c r="J23" s="383"/>
      <c r="K23" s="381"/>
      <c r="L23" s="383"/>
      <c r="M23" s="381"/>
      <c r="N23" s="386"/>
      <c r="O23" s="383"/>
      <c r="P23" s="381"/>
      <c r="Q23" s="383"/>
      <c r="R23" s="381"/>
      <c r="S23" s="385" t="n">
        <f aca="false">IF(AND($C23="Yes",$D23="Yes"),1,0)</f>
        <v>1</v>
      </c>
      <c r="T23" s="384" t="n">
        <f aca="false">$S23*IF($J23&lt;&gt;"",$J23,$F23*IF($I23&lt;&gt;"",$I23,$C$4)/(1+IF($I23&lt;&gt;"",$I23,$C$4)))</f>
        <v>611152.197044335</v>
      </c>
      <c r="U23" s="384" t="n">
        <f aca="false">$S23*IF($L23&lt;&gt;"",$L23,$F23*$C$5)</f>
        <v>302459.891748558</v>
      </c>
      <c r="V23" s="384" t="n">
        <f aca="false">$S23*$F23*IF($N23&lt;&gt;"",$N23,$C$6)</f>
        <v>1344025.54</v>
      </c>
      <c r="W23" s="384" t="n">
        <f aca="false">MAX(0,$V23-$U23)</f>
        <v>1041565.64825144</v>
      </c>
      <c r="X23" s="385" t="n">
        <f aca="false">IF($B23&lt;&gt;"",$B23,100+$H23)</f>
        <v>127</v>
      </c>
      <c r="Y23" s="384" t="n">
        <f aca="false">$S23*MAX(0,MIN($W23,$C$7-SUMIFS($W$11:$W$54,$X$11:$X$54,"&lt;"&amp;$X23)))</f>
        <v>0</v>
      </c>
      <c r="Z23" s="384" t="n">
        <f aca="false">$W23-$Y23</f>
        <v>1041565.64825144</v>
      </c>
      <c r="AA23" s="387" t="n">
        <f aca="false">$S23*($T23-$U23-$Z23)</f>
        <v>-732873.342955665</v>
      </c>
      <c r="AB23" s="387" t="n">
        <f aca="false">$S23*($T23-$U23)</f>
        <v>308692.305295778</v>
      </c>
      <c r="AC23" s="384" t="n">
        <f aca="false">IF(AND($S23=1,$H23&lt;=$C$8),$Z23-N($O23),0)</f>
        <v>0</v>
      </c>
      <c r="AD23" s="388"/>
    </row>
    <row r="24" customFormat="false" ht="15" hidden="false" customHeight="true" outlineLevel="0" collapsed="false">
      <c r="A24" s="389" t="str">
        <f aca="false">Projects!$A$17</f>
        <v>Lemp</v>
      </c>
      <c r="B24" s="381"/>
      <c r="C24" s="390" t="str">
        <f aca="false">Projects!$F$17</f>
        <v>Yes</v>
      </c>
      <c r="D24" s="390" t="str">
        <f aca="false">Projects!$G$17</f>
        <v>Yes</v>
      </c>
      <c r="E24" s="383"/>
      <c r="F24" s="391" t="n">
        <f aca="false">IF($E24&lt;&gt;"",$E24,Projects!$B$17)</f>
        <v>14219545</v>
      </c>
      <c r="G24" s="381"/>
      <c r="H24" s="392" t="n">
        <f aca="false">IF($G24&lt;&gt;"",$G24,Projects!$C$17)</f>
        <v>18</v>
      </c>
      <c r="I24" s="386"/>
      <c r="J24" s="383"/>
      <c r="K24" s="381"/>
      <c r="L24" s="383"/>
      <c r="M24" s="381"/>
      <c r="N24" s="386"/>
      <c r="O24" s="383"/>
      <c r="P24" s="381"/>
      <c r="Q24" s="383"/>
      <c r="R24" s="381"/>
      <c r="S24" s="392" t="n">
        <f aca="false">IF(AND($C24="Yes",$D24="Yes"),1,0)</f>
        <v>1</v>
      </c>
      <c r="T24" s="391" t="n">
        <f aca="false">$S24*IF($J24&lt;&gt;"",$J24,$F24*IF($I24&lt;&gt;"",$I24,$C$4)/(1+IF($I24&lt;&gt;"",$I24,$C$4)))</f>
        <v>210141.059113301</v>
      </c>
      <c r="U24" s="391" t="n">
        <f aca="false">$S24*IF($L24&lt;&gt;"",$L24,$F24*$C$5)</f>
        <v>103999.040335161</v>
      </c>
      <c r="V24" s="391" t="n">
        <f aca="false">$S24*$F24*IF($N24&lt;&gt;"",$N24,$C$6)</f>
        <v>462135.2125</v>
      </c>
      <c r="W24" s="391" t="n">
        <f aca="false">MAX(0,$V24-$U24)</f>
        <v>358136.172164839</v>
      </c>
      <c r="X24" s="392" t="n">
        <f aca="false">IF($B24&lt;&gt;"",$B24,100+$H24)</f>
        <v>118</v>
      </c>
      <c r="Y24" s="391" t="n">
        <f aca="false">$S24*MAX(0,MIN($W24,$C$7-SUMIFS($W$11:$W$54,$X$11:$X$54,"&lt;"&amp;$X24)))</f>
        <v>0</v>
      </c>
      <c r="Z24" s="391" t="n">
        <f aca="false">$W24-$Y24</f>
        <v>358136.172164839</v>
      </c>
      <c r="AA24" s="393" t="n">
        <f aca="false">$S24*($T24-$U24-$Z24)</f>
        <v>-251994.1533867</v>
      </c>
      <c r="AB24" s="393" t="n">
        <f aca="false">$S24*($T24-$U24)</f>
        <v>106142.018778139</v>
      </c>
      <c r="AC24" s="391" t="n">
        <f aca="false">IF(AND($S24=1,$H24&lt;=$C$8),$Z24-N($O24),0)</f>
        <v>0</v>
      </c>
      <c r="AD24" s="394"/>
    </row>
    <row r="25" customFormat="false" ht="15" hidden="false" customHeight="true" outlineLevel="0" collapsed="false">
      <c r="A25" s="380" t="str">
        <f aca="false">Projects!$A$18</f>
        <v>Riverton 75</v>
      </c>
      <c r="B25" s="381"/>
      <c r="C25" s="382" t="str">
        <f aca="false">Projects!$F$18</f>
        <v>Yes</v>
      </c>
      <c r="D25" s="382" t="str">
        <f aca="false">Projects!$G$18</f>
        <v>Yes</v>
      </c>
      <c r="E25" s="383"/>
      <c r="F25" s="384" t="n">
        <f aca="false">IF($E25&lt;&gt;"",$E25,Projects!$B$18)</f>
        <v>11537565</v>
      </c>
      <c r="G25" s="381"/>
      <c r="H25" s="385" t="n">
        <f aca="false">IF($G25&lt;&gt;"",$G25,Projects!$C$18)</f>
        <v>14</v>
      </c>
      <c r="I25" s="386"/>
      <c r="J25" s="383"/>
      <c r="K25" s="381"/>
      <c r="L25" s="383"/>
      <c r="M25" s="381"/>
      <c r="N25" s="386"/>
      <c r="O25" s="383"/>
      <c r="P25" s="381"/>
      <c r="Q25" s="383"/>
      <c r="R25" s="381"/>
      <c r="S25" s="385" t="n">
        <f aca="false">IF(AND($C25="Yes",$D25="Yes"),1,0)</f>
        <v>1</v>
      </c>
      <c r="T25" s="384" t="n">
        <f aca="false">$S25*IF($J25&lt;&gt;"",$J25,$F25*IF($I25&lt;&gt;"",$I25,$C$4)/(1+IF($I25&lt;&gt;"",$I25,$C$4)))</f>
        <v>170505.886699507</v>
      </c>
      <c r="U25" s="384" t="n">
        <f aca="false">$S25*IF($L25&lt;&gt;"",$L25,$F25*$C$5)</f>
        <v>84383.5500928154</v>
      </c>
      <c r="V25" s="384" t="n">
        <f aca="false">$S25*$F25*IF($N25&lt;&gt;"",$N25,$C$6)</f>
        <v>374970.8625</v>
      </c>
      <c r="W25" s="384" t="n">
        <f aca="false">MAX(0,$V25-$U25)</f>
        <v>290587.312407185</v>
      </c>
      <c r="X25" s="385" t="n">
        <f aca="false">IF($B25&lt;&gt;"",$B25,100+$H25)</f>
        <v>114</v>
      </c>
      <c r="Y25" s="384" t="n">
        <f aca="false">$S25*MAX(0,MIN($W25,$C$7-SUMIFS($W$11:$W$54,$X$11:$X$54,"&lt;"&amp;$X25)))</f>
        <v>0</v>
      </c>
      <c r="Z25" s="384" t="n">
        <f aca="false">$W25-$Y25</f>
        <v>290587.312407185</v>
      </c>
      <c r="AA25" s="387" t="n">
        <f aca="false">$S25*($T25-$U25-$Z25)</f>
        <v>-204464.975800493</v>
      </c>
      <c r="AB25" s="387" t="n">
        <f aca="false">$S25*($T25-$U25)</f>
        <v>86122.336606692</v>
      </c>
      <c r="AC25" s="384" t="n">
        <f aca="false">IF(AND($S25=1,$H25&lt;=$C$8),$Z25-N($O25),0)</f>
        <v>0</v>
      </c>
      <c r="AD25" s="388"/>
    </row>
    <row r="26" customFormat="false" ht="15" hidden="false" customHeight="true" outlineLevel="0" collapsed="false">
      <c r="A26" s="389" t="str">
        <f aca="false">Projects!$A$19</f>
        <v>Moorpark</v>
      </c>
      <c r="B26" s="381"/>
      <c r="C26" s="390" t="str">
        <f aca="false">Projects!$F$19</f>
        <v>Yes</v>
      </c>
      <c r="D26" s="390" t="str">
        <f aca="false">Projects!$G$19</f>
        <v>Yes</v>
      </c>
      <c r="E26" s="383"/>
      <c r="F26" s="391" t="n">
        <f aca="false">IF($E26&lt;&gt;"",$E26,Projects!$B$19)</f>
        <v>18764585</v>
      </c>
      <c r="G26" s="381"/>
      <c r="H26" s="392" t="n">
        <f aca="false">IF($G26&lt;&gt;"",$G26,Projects!$C$19)</f>
        <v>13</v>
      </c>
      <c r="I26" s="386"/>
      <c r="J26" s="383"/>
      <c r="K26" s="381"/>
      <c r="L26" s="383"/>
      <c r="M26" s="381"/>
      <c r="N26" s="386"/>
      <c r="O26" s="383"/>
      <c r="P26" s="381"/>
      <c r="Q26" s="383"/>
      <c r="R26" s="381"/>
      <c r="S26" s="392" t="n">
        <f aca="false">IF(AND($C26="Yes",$D26="Yes"),1,0)</f>
        <v>1</v>
      </c>
      <c r="T26" s="391" t="n">
        <f aca="false">$S26*IF($J26&lt;&gt;"",$J26,$F26*IF($I26&lt;&gt;"",$I26,$C$4)/(1+IF($I26&lt;&gt;"",$I26,$C$4)))</f>
        <v>277309.137931035</v>
      </c>
      <c r="U26" s="391" t="n">
        <f aca="false">$S26*IF($L26&lt;&gt;"",$L26,$F26*$C$5)</f>
        <v>137240.596115245</v>
      </c>
      <c r="V26" s="391" t="n">
        <f aca="false">$S26*$F26*IF($N26&lt;&gt;"",$N26,$C$6)</f>
        <v>609849.0125</v>
      </c>
      <c r="W26" s="391" t="n">
        <f aca="false">MAX(0,$V26-$U26)</f>
        <v>472608.416384755</v>
      </c>
      <c r="X26" s="392" t="n">
        <f aca="false">IF($B26&lt;&gt;"",$B26,100+$H26)</f>
        <v>113</v>
      </c>
      <c r="Y26" s="391" t="n">
        <f aca="false">$S26*MAX(0,MIN($W26,$C$7-SUMIFS($W$11:$W$54,$X$11:$X$54,"&lt;"&amp;$X26)))</f>
        <v>0</v>
      </c>
      <c r="Z26" s="391" t="n">
        <f aca="false">$W26-$Y26</f>
        <v>472608.416384755</v>
      </c>
      <c r="AA26" s="393" t="n">
        <f aca="false">$S26*($T26-$U26-$Z26)</f>
        <v>-332539.874568966</v>
      </c>
      <c r="AB26" s="393" t="n">
        <f aca="false">$S26*($T26-$U26)</f>
        <v>140068.541815789</v>
      </c>
      <c r="AC26" s="391" t="n">
        <f aca="false">IF(AND($S26=1,$H26&lt;=$C$8),$Z26-N($O26),0)</f>
        <v>0</v>
      </c>
      <c r="AD26" s="394"/>
    </row>
    <row r="27" customFormat="false" ht="15" hidden="false" customHeight="true" outlineLevel="0" collapsed="false">
      <c r="A27" s="380" t="str">
        <f aca="false">Projects!$A$20</f>
        <v>Beverly (BD-04)</v>
      </c>
      <c r="B27" s="381"/>
      <c r="C27" s="382" t="str">
        <f aca="false">Projects!$F$20</f>
        <v>No</v>
      </c>
      <c r="D27" s="382" t="str">
        <f aca="false">Projects!$G$20</f>
        <v>Yes</v>
      </c>
      <c r="E27" s="383"/>
      <c r="F27" s="384" t="n">
        <f aca="false">IF($E27&lt;&gt;"",$E27,Projects!$B$20)</f>
        <v>25026330.58</v>
      </c>
      <c r="G27" s="381"/>
      <c r="H27" s="385" t="n">
        <f aca="false">IF($G27&lt;&gt;"",$G27,Projects!$C$20)</f>
        <v>19</v>
      </c>
      <c r="I27" s="386"/>
      <c r="J27" s="383"/>
      <c r="K27" s="381"/>
      <c r="L27" s="383"/>
      <c r="M27" s="381"/>
      <c r="N27" s="386"/>
      <c r="O27" s="383"/>
      <c r="P27" s="381"/>
      <c r="Q27" s="383"/>
      <c r="R27" s="381"/>
      <c r="S27" s="385" t="n">
        <f aca="false">IF(AND($C27="Yes",$D27="Yes"),1,0)</f>
        <v>0</v>
      </c>
      <c r="T27" s="384" t="n">
        <f aca="false">$S27*IF($J27&lt;&gt;"",$J27,$F27*IF($I27&lt;&gt;"",$I27,$C$4)/(1+IF($I27&lt;&gt;"",$I27,$C$4)))</f>
        <v>0</v>
      </c>
      <c r="U27" s="384" t="n">
        <f aca="false">$S27*IF($L27&lt;&gt;"",$L27,$F27*$C$5)</f>
        <v>0</v>
      </c>
      <c r="V27" s="384" t="n">
        <f aca="false">$S27*$F27*IF($N27&lt;&gt;"",$N27,$C$6)</f>
        <v>0</v>
      </c>
      <c r="W27" s="384" t="n">
        <f aca="false">MAX(0,$V27-$U27)</f>
        <v>0</v>
      </c>
      <c r="X27" s="385" t="n">
        <f aca="false">IF($B27&lt;&gt;"",$B27,100+$H27)</f>
        <v>119</v>
      </c>
      <c r="Y27" s="384" t="n">
        <f aca="false">$S27*MAX(0,MIN($W27,$C$7-SUMIFS($W$11:$W$54,$X$11:$X$54,"&lt;"&amp;$X27)))</f>
        <v>0</v>
      </c>
      <c r="Z27" s="384" t="n">
        <f aca="false">$W27-$Y27</f>
        <v>0</v>
      </c>
      <c r="AA27" s="387" t="n">
        <f aca="false">$S27*($T27-$U27-$Z27)</f>
        <v>0</v>
      </c>
      <c r="AB27" s="387" t="n">
        <f aca="false">$S27*($T27-$U27)</f>
        <v>0</v>
      </c>
      <c r="AC27" s="384" t="n">
        <f aca="false">IF(AND($S27=1,$H27&lt;=$C$8),$Z27-N($O27),0)</f>
        <v>0</v>
      </c>
      <c r="AD27" s="388"/>
    </row>
    <row r="28" customFormat="false" ht="15" hidden="false" customHeight="true" outlineLevel="0" collapsed="false">
      <c r="A28" s="389" t="str">
        <f aca="false">Projects!$A$21</f>
        <v>Troost (HVN)</v>
      </c>
      <c r="B28" s="381"/>
      <c r="C28" s="390" t="str">
        <f aca="false">Projects!$F$21</f>
        <v>No</v>
      </c>
      <c r="D28" s="390" t="str">
        <f aca="false">Projects!$G$21</f>
        <v>Yes</v>
      </c>
      <c r="E28" s="383"/>
      <c r="F28" s="391" t="n">
        <f aca="false">IF($E28&lt;&gt;"",$E28,Projects!$B$21)</f>
        <v>14935493</v>
      </c>
      <c r="G28" s="381"/>
      <c r="H28" s="392" t="n">
        <f aca="false">IF($G28&lt;&gt;"",$G28,Projects!$C$21)</f>
        <v>9</v>
      </c>
      <c r="I28" s="386"/>
      <c r="J28" s="383"/>
      <c r="K28" s="381"/>
      <c r="L28" s="383"/>
      <c r="M28" s="381"/>
      <c r="N28" s="386"/>
      <c r="O28" s="383"/>
      <c r="P28" s="381"/>
      <c r="Q28" s="383"/>
      <c r="R28" s="381"/>
      <c r="S28" s="392" t="n">
        <f aca="false">IF(AND($C28="Yes",$D28="Yes"),1,0)</f>
        <v>0</v>
      </c>
      <c r="T28" s="391" t="n">
        <f aca="false">$S28*IF($J28&lt;&gt;"",$J28,$F28*IF($I28&lt;&gt;"",$I28,$C$4)/(1+IF($I28&lt;&gt;"",$I28,$C$4)))</f>
        <v>0</v>
      </c>
      <c r="U28" s="391" t="n">
        <f aca="false">$S28*IF($L28&lt;&gt;"",$L28,$F28*$C$5)</f>
        <v>0</v>
      </c>
      <c r="V28" s="391" t="n">
        <f aca="false">$S28*$F28*IF($N28&lt;&gt;"",$N28,$C$6)</f>
        <v>0</v>
      </c>
      <c r="W28" s="391" t="n">
        <f aca="false">MAX(0,$V28-$U28)</f>
        <v>0</v>
      </c>
      <c r="X28" s="392" t="n">
        <f aca="false">IF($B28&lt;&gt;"",$B28,100+$H28)</f>
        <v>109</v>
      </c>
      <c r="Y28" s="391" t="n">
        <f aca="false">$S28*MAX(0,MIN($W28,$C$7-SUMIFS($W$11:$W$54,$X$11:$X$54,"&lt;"&amp;$X28)))</f>
        <v>0</v>
      </c>
      <c r="Z28" s="391" t="n">
        <f aca="false">$W28-$Y28</f>
        <v>0</v>
      </c>
      <c r="AA28" s="393" t="n">
        <f aca="false">$S28*($T28-$U28-$Z28)</f>
        <v>0</v>
      </c>
      <c r="AB28" s="393" t="n">
        <f aca="false">$S28*($T28-$U28)</f>
        <v>0</v>
      </c>
      <c r="AC28" s="391" t="n">
        <f aca="false">IF(AND($S28=1,$H28&lt;=$C$8),$Z28-N($O28),0)</f>
        <v>0</v>
      </c>
      <c r="AD28" s="394"/>
    </row>
    <row r="29" customFormat="false" ht="15" hidden="false" customHeight="true" outlineLevel="0" collapsed="false">
      <c r="A29" s="380" t="str">
        <f aca="false">Projects!$A$22</f>
        <v>Kester</v>
      </c>
      <c r="B29" s="381"/>
      <c r="C29" s="382" t="str">
        <f aca="false">Projects!$F$22</f>
        <v>Yes</v>
      </c>
      <c r="D29" s="382" t="str">
        <f aca="false">Projects!$G$22</f>
        <v>Yes</v>
      </c>
      <c r="E29" s="383"/>
      <c r="F29" s="384" t="n">
        <f aca="false">IF($E29&lt;&gt;"",$E29,Projects!$B$22)</f>
        <v>13706000</v>
      </c>
      <c r="G29" s="381"/>
      <c r="H29" s="385" t="n">
        <f aca="false">IF($G29&lt;&gt;"",$G29,Projects!$C$22)</f>
        <v>19</v>
      </c>
      <c r="I29" s="386"/>
      <c r="J29" s="383"/>
      <c r="K29" s="381"/>
      <c r="L29" s="383"/>
      <c r="M29" s="381"/>
      <c r="N29" s="386"/>
      <c r="O29" s="383"/>
      <c r="P29" s="381"/>
      <c r="Q29" s="383"/>
      <c r="R29" s="381"/>
      <c r="S29" s="385" t="n">
        <f aca="false">IF(AND($C29="Yes",$D29="Yes"),1,0)</f>
        <v>1</v>
      </c>
      <c r="T29" s="384" t="n">
        <f aca="false">$S29*IF($J29&lt;&gt;"",$J29,$F29*IF($I29&lt;&gt;"",$I29,$C$4)/(1+IF($I29&lt;&gt;"",$I29,$C$4)))</f>
        <v>202551.724137931</v>
      </c>
      <c r="U29" s="384" t="n">
        <f aca="false">$S29*IF($L29&lt;&gt;"",$L29,$F29*$C$5)</f>
        <v>100243.070142801</v>
      </c>
      <c r="V29" s="384" t="n">
        <f aca="false">$S29*$F29*IF($N29&lt;&gt;"",$N29,$C$6)</f>
        <v>445445</v>
      </c>
      <c r="W29" s="384" t="n">
        <f aca="false">MAX(0,$V29-$U29)</f>
        <v>345201.929857199</v>
      </c>
      <c r="X29" s="385" t="n">
        <f aca="false">IF($B29&lt;&gt;"",$B29,100+$H29)</f>
        <v>119</v>
      </c>
      <c r="Y29" s="384" t="n">
        <f aca="false">$S29*MAX(0,MIN($W29,$C$7-SUMIFS($W$11:$W$54,$X$11:$X$54,"&lt;"&amp;$X29)))</f>
        <v>0</v>
      </c>
      <c r="Z29" s="384" t="n">
        <f aca="false">$W29-$Y29</f>
        <v>345201.929857199</v>
      </c>
      <c r="AA29" s="387" t="n">
        <f aca="false">$S29*($T29-$U29-$Z29)</f>
        <v>-242893.275862069</v>
      </c>
      <c r="AB29" s="387" t="n">
        <f aca="false">$S29*($T29-$U29)</f>
        <v>102308.65399513</v>
      </c>
      <c r="AC29" s="384" t="n">
        <f aca="false">IF(AND($S29=1,$H29&lt;=$C$8),$Z29-N($O29),0)</f>
        <v>0</v>
      </c>
      <c r="AD29" s="388"/>
    </row>
    <row r="30" customFormat="false" ht="15" hidden="false" customHeight="true" outlineLevel="0" collapsed="false">
      <c r="A30" s="389" t="str">
        <f aca="false">Projects!$A$23</f>
        <v>BD-07</v>
      </c>
      <c r="B30" s="381"/>
      <c r="C30" s="390" t="str">
        <f aca="false">Projects!$F$23</f>
        <v>Yes</v>
      </c>
      <c r="D30" s="390" t="str">
        <f aca="false">Projects!$G$23</f>
        <v>No</v>
      </c>
      <c r="E30" s="383"/>
      <c r="F30" s="391" t="n">
        <f aca="false">IF($E30&lt;&gt;"",$E30,Projects!$B$23)</f>
        <v>15000000</v>
      </c>
      <c r="G30" s="381"/>
      <c r="H30" s="392" t="n">
        <f aca="false">IF($G30&lt;&gt;"",$G30,Projects!$C$23)</f>
        <v>34</v>
      </c>
      <c r="I30" s="386"/>
      <c r="J30" s="383"/>
      <c r="K30" s="381"/>
      <c r="L30" s="383"/>
      <c r="M30" s="381"/>
      <c r="N30" s="386"/>
      <c r="O30" s="383"/>
      <c r="P30" s="381"/>
      <c r="Q30" s="383"/>
      <c r="R30" s="381"/>
      <c r="S30" s="392" t="n">
        <f aca="false">IF(AND($C30="Yes",$D30="Yes"),1,0)</f>
        <v>0</v>
      </c>
      <c r="T30" s="391" t="n">
        <f aca="false">$S30*IF($J30&lt;&gt;"",$J30,$F30*IF($I30&lt;&gt;"",$I30,$C$4)/(1+IF($I30&lt;&gt;"",$I30,$C$4)))</f>
        <v>0</v>
      </c>
      <c r="U30" s="391" t="n">
        <f aca="false">$S30*IF($L30&lt;&gt;"",$L30,$F30*$C$5)</f>
        <v>0</v>
      </c>
      <c r="V30" s="391" t="n">
        <f aca="false">$S30*$F30*IF($N30&lt;&gt;"",$N30,$C$6)</f>
        <v>0</v>
      </c>
      <c r="W30" s="391" t="n">
        <f aca="false">MAX(0,$V30-$U30)</f>
        <v>0</v>
      </c>
      <c r="X30" s="392" t="n">
        <f aca="false">IF($B30&lt;&gt;"",$B30,100+$H30)</f>
        <v>134</v>
      </c>
      <c r="Y30" s="391" t="n">
        <f aca="false">$S30*MAX(0,MIN($W30,$C$7-SUMIFS($W$11:$W$54,$X$11:$X$54,"&lt;"&amp;$X30)))</f>
        <v>0</v>
      </c>
      <c r="Z30" s="391" t="n">
        <f aca="false">$W30-$Y30</f>
        <v>0</v>
      </c>
      <c r="AA30" s="393" t="n">
        <f aca="false">$S30*($T30-$U30-$Z30)</f>
        <v>0</v>
      </c>
      <c r="AB30" s="393" t="n">
        <f aca="false">$S30*($T30-$U30)</f>
        <v>0</v>
      </c>
      <c r="AC30" s="391" t="n">
        <f aca="false">IF(AND($S30=1,$H30&lt;=$C$8),$Z30-N($O30),0)</f>
        <v>0</v>
      </c>
      <c r="AD30" s="394"/>
    </row>
    <row r="31" customFormat="false" ht="15" hidden="false" customHeight="true" outlineLevel="0" collapsed="false">
      <c r="A31" s="380" t="str">
        <f aca="false">Projects!$A$24</f>
        <v>BD-08</v>
      </c>
      <c r="B31" s="381"/>
      <c r="C31" s="382" t="str">
        <f aca="false">Projects!$F$24</f>
        <v>No</v>
      </c>
      <c r="D31" s="382" t="str">
        <f aca="false">Projects!$G$24</f>
        <v>No</v>
      </c>
      <c r="E31" s="383"/>
      <c r="F31" s="384" t="n">
        <f aca="false">IF($E31&lt;&gt;"",$E31,Projects!$B$24)</f>
        <v>18000000</v>
      </c>
      <c r="G31" s="381"/>
      <c r="H31" s="385" t="n">
        <f aca="false">IF($G31&lt;&gt;"",$G31,Projects!$C$24)</f>
        <v>37</v>
      </c>
      <c r="I31" s="386"/>
      <c r="J31" s="383"/>
      <c r="K31" s="381"/>
      <c r="L31" s="383"/>
      <c r="M31" s="381"/>
      <c r="N31" s="386"/>
      <c r="O31" s="383"/>
      <c r="P31" s="381"/>
      <c r="Q31" s="383"/>
      <c r="R31" s="381"/>
      <c r="S31" s="385" t="n">
        <f aca="false">IF(AND($C31="Yes",$D31="Yes"),1,0)</f>
        <v>0</v>
      </c>
      <c r="T31" s="384" t="n">
        <f aca="false">$S31*IF($J31&lt;&gt;"",$J31,$F31*IF($I31&lt;&gt;"",$I31,$C$4)/(1+IF($I31&lt;&gt;"",$I31,$C$4)))</f>
        <v>0</v>
      </c>
      <c r="U31" s="384" t="n">
        <f aca="false">$S31*IF($L31&lt;&gt;"",$L31,$F31*$C$5)</f>
        <v>0</v>
      </c>
      <c r="V31" s="384" t="n">
        <f aca="false">$S31*$F31*IF($N31&lt;&gt;"",$N31,$C$6)</f>
        <v>0</v>
      </c>
      <c r="W31" s="384" t="n">
        <f aca="false">MAX(0,$V31-$U31)</f>
        <v>0</v>
      </c>
      <c r="X31" s="385" t="n">
        <f aca="false">IF($B31&lt;&gt;"",$B31,100+$H31)</f>
        <v>137</v>
      </c>
      <c r="Y31" s="384" t="n">
        <f aca="false">$S31*MAX(0,MIN($W31,$C$7-SUMIFS($W$11:$W$54,$X$11:$X$54,"&lt;"&amp;$X31)))</f>
        <v>0</v>
      </c>
      <c r="Z31" s="384" t="n">
        <f aca="false">$W31-$Y31</f>
        <v>0</v>
      </c>
      <c r="AA31" s="387" t="n">
        <f aca="false">$S31*($T31-$U31-$Z31)</f>
        <v>0</v>
      </c>
      <c r="AB31" s="387" t="n">
        <f aca="false">$S31*($T31-$U31)</f>
        <v>0</v>
      </c>
      <c r="AC31" s="384" t="n">
        <f aca="false">IF(AND($S31=1,$H31&lt;=$C$8),$Z31-N($O31),0)</f>
        <v>0</v>
      </c>
      <c r="AD31" s="388"/>
    </row>
    <row r="32" customFormat="false" ht="15" hidden="false" customHeight="true" outlineLevel="0" collapsed="false">
      <c r="A32" s="389" t="str">
        <f aca="false">Projects!$A$25</f>
        <v>BD-09</v>
      </c>
      <c r="B32" s="381"/>
      <c r="C32" s="390" t="str">
        <f aca="false">Projects!$F$25</f>
        <v>No</v>
      </c>
      <c r="D32" s="390" t="str">
        <f aca="false">Projects!$G$25</f>
        <v>No</v>
      </c>
      <c r="E32" s="383"/>
      <c r="F32" s="391" t="n">
        <f aca="false">IF($E32&lt;&gt;"",$E32,Projects!$B$25)</f>
        <v>18000000</v>
      </c>
      <c r="G32" s="381"/>
      <c r="H32" s="392" t="n">
        <f aca="false">IF($G32&lt;&gt;"",$G32,Projects!$C$25)</f>
        <v>40</v>
      </c>
      <c r="I32" s="386"/>
      <c r="J32" s="383"/>
      <c r="K32" s="381"/>
      <c r="L32" s="383"/>
      <c r="M32" s="381"/>
      <c r="N32" s="386"/>
      <c r="O32" s="383"/>
      <c r="P32" s="381"/>
      <c r="Q32" s="383"/>
      <c r="R32" s="381"/>
      <c r="S32" s="392" t="n">
        <f aca="false">IF(AND($C32="Yes",$D32="Yes"),1,0)</f>
        <v>0</v>
      </c>
      <c r="T32" s="391" t="n">
        <f aca="false">$S32*IF($J32&lt;&gt;"",$J32,$F32*IF($I32&lt;&gt;"",$I32,$C$4)/(1+IF($I32&lt;&gt;"",$I32,$C$4)))</f>
        <v>0</v>
      </c>
      <c r="U32" s="391" t="n">
        <f aca="false">$S32*IF($L32&lt;&gt;"",$L32,$F32*$C$5)</f>
        <v>0</v>
      </c>
      <c r="V32" s="391" t="n">
        <f aca="false">$S32*$F32*IF($N32&lt;&gt;"",$N32,$C$6)</f>
        <v>0</v>
      </c>
      <c r="W32" s="391" t="n">
        <f aca="false">MAX(0,$V32-$U32)</f>
        <v>0</v>
      </c>
      <c r="X32" s="392" t="n">
        <f aca="false">IF($B32&lt;&gt;"",$B32,100+$H32)</f>
        <v>140</v>
      </c>
      <c r="Y32" s="391" t="n">
        <f aca="false">$S32*MAX(0,MIN($W32,$C$7-SUMIFS($W$11:$W$54,$X$11:$X$54,"&lt;"&amp;$X32)))</f>
        <v>0</v>
      </c>
      <c r="Z32" s="391" t="n">
        <f aca="false">$W32-$Y32</f>
        <v>0</v>
      </c>
      <c r="AA32" s="393" t="n">
        <f aca="false">$S32*($T32-$U32-$Z32)</f>
        <v>0</v>
      </c>
      <c r="AB32" s="393" t="n">
        <f aca="false">$S32*($T32-$U32)</f>
        <v>0</v>
      </c>
      <c r="AC32" s="391" t="n">
        <f aca="false">IF(AND($S32=1,$H32&lt;=$C$8),$Z32-N($O32),0)</f>
        <v>0</v>
      </c>
      <c r="AD32" s="394"/>
    </row>
    <row r="33" customFormat="false" ht="15" hidden="false" customHeight="true" outlineLevel="0" collapsed="false">
      <c r="A33" s="380" t="str">
        <f aca="false">Projects!$A$26</f>
        <v>BD-10</v>
      </c>
      <c r="B33" s="381"/>
      <c r="C33" s="382" t="str">
        <f aca="false">Projects!$F$26</f>
        <v>No</v>
      </c>
      <c r="D33" s="382" t="str">
        <f aca="false">Projects!$G$26</f>
        <v>No</v>
      </c>
      <c r="E33" s="383"/>
      <c r="F33" s="384" t="n">
        <f aca="false">IF($E33&lt;&gt;"",$E33,Projects!$B$26)</f>
        <v>18000000</v>
      </c>
      <c r="G33" s="381"/>
      <c r="H33" s="385" t="n">
        <f aca="false">IF($G33&lt;&gt;"",$G33,Projects!$C$26)</f>
        <v>42</v>
      </c>
      <c r="I33" s="386"/>
      <c r="J33" s="383"/>
      <c r="K33" s="381"/>
      <c r="L33" s="383"/>
      <c r="M33" s="381"/>
      <c r="N33" s="386"/>
      <c r="O33" s="383"/>
      <c r="P33" s="381"/>
      <c r="Q33" s="383"/>
      <c r="R33" s="381"/>
      <c r="S33" s="385" t="n">
        <f aca="false">IF(AND($C33="Yes",$D33="Yes"),1,0)</f>
        <v>0</v>
      </c>
      <c r="T33" s="384" t="n">
        <f aca="false">$S33*IF($J33&lt;&gt;"",$J33,$F33*IF($I33&lt;&gt;"",$I33,$C$4)/(1+IF($I33&lt;&gt;"",$I33,$C$4)))</f>
        <v>0</v>
      </c>
      <c r="U33" s="384" t="n">
        <f aca="false">$S33*IF($L33&lt;&gt;"",$L33,$F33*$C$5)</f>
        <v>0</v>
      </c>
      <c r="V33" s="384" t="n">
        <f aca="false">$S33*$F33*IF($N33&lt;&gt;"",$N33,$C$6)</f>
        <v>0</v>
      </c>
      <c r="W33" s="384" t="n">
        <f aca="false">MAX(0,$V33-$U33)</f>
        <v>0</v>
      </c>
      <c r="X33" s="385" t="n">
        <f aca="false">IF($B33&lt;&gt;"",$B33,100+$H33)</f>
        <v>142</v>
      </c>
      <c r="Y33" s="384" t="n">
        <f aca="false">$S33*MAX(0,MIN($W33,$C$7-SUMIFS($W$11:$W$54,$X$11:$X$54,"&lt;"&amp;$X33)))</f>
        <v>0</v>
      </c>
      <c r="Z33" s="384" t="n">
        <f aca="false">$W33-$Y33</f>
        <v>0</v>
      </c>
      <c r="AA33" s="387" t="n">
        <f aca="false">$S33*($T33-$U33-$Z33)</f>
        <v>0</v>
      </c>
      <c r="AB33" s="387" t="n">
        <f aca="false">$S33*($T33-$U33)</f>
        <v>0</v>
      </c>
      <c r="AC33" s="384" t="n">
        <f aca="false">IF(AND($S33=1,$H33&lt;=$C$8),$Z33-N($O33),0)</f>
        <v>0</v>
      </c>
      <c r="AD33" s="388"/>
    </row>
    <row r="34" customFormat="false" ht="15" hidden="false" customHeight="true" outlineLevel="0" collapsed="false">
      <c r="A34" s="389" t="str">
        <f aca="false">Projects!$A$27</f>
        <v>BD-11</v>
      </c>
      <c r="B34" s="381"/>
      <c r="C34" s="390" t="str">
        <f aca="false">Projects!$F$27</f>
        <v>No</v>
      </c>
      <c r="D34" s="390" t="str">
        <f aca="false">Projects!$G$27</f>
        <v>No</v>
      </c>
      <c r="E34" s="383"/>
      <c r="F34" s="391" t="n">
        <f aca="false">IF($E34&lt;&gt;"",$E34,Projects!$B$27)</f>
        <v>15000000</v>
      </c>
      <c r="G34" s="381"/>
      <c r="H34" s="392" t="n">
        <f aca="false">IF($G34&lt;&gt;"",$G34,Projects!$C$27)</f>
        <v>44</v>
      </c>
      <c r="I34" s="386"/>
      <c r="J34" s="383"/>
      <c r="K34" s="381"/>
      <c r="L34" s="383"/>
      <c r="M34" s="381"/>
      <c r="N34" s="386"/>
      <c r="O34" s="383"/>
      <c r="P34" s="381"/>
      <c r="Q34" s="383"/>
      <c r="R34" s="381"/>
      <c r="S34" s="392" t="n">
        <f aca="false">IF(AND($C34="Yes",$D34="Yes"),1,0)</f>
        <v>0</v>
      </c>
      <c r="T34" s="391" t="n">
        <f aca="false">$S34*IF($J34&lt;&gt;"",$J34,$F34*IF($I34&lt;&gt;"",$I34,$C$4)/(1+IF($I34&lt;&gt;"",$I34,$C$4)))</f>
        <v>0</v>
      </c>
      <c r="U34" s="391" t="n">
        <f aca="false">$S34*IF($L34&lt;&gt;"",$L34,$F34*$C$5)</f>
        <v>0</v>
      </c>
      <c r="V34" s="391" t="n">
        <f aca="false">$S34*$F34*IF($N34&lt;&gt;"",$N34,$C$6)</f>
        <v>0</v>
      </c>
      <c r="W34" s="391" t="n">
        <f aca="false">MAX(0,$V34-$U34)</f>
        <v>0</v>
      </c>
      <c r="X34" s="392" t="n">
        <f aca="false">IF($B34&lt;&gt;"",$B34,100+$H34)</f>
        <v>144</v>
      </c>
      <c r="Y34" s="391" t="n">
        <f aca="false">$S34*MAX(0,MIN($W34,$C$7-SUMIFS($W$11:$W$54,$X$11:$X$54,"&lt;"&amp;$X34)))</f>
        <v>0</v>
      </c>
      <c r="Z34" s="391" t="n">
        <f aca="false">$W34-$Y34</f>
        <v>0</v>
      </c>
      <c r="AA34" s="393" t="n">
        <f aca="false">$S34*($T34-$U34-$Z34)</f>
        <v>0</v>
      </c>
      <c r="AB34" s="393" t="n">
        <f aca="false">$S34*($T34-$U34)</f>
        <v>0</v>
      </c>
      <c r="AC34" s="391" t="n">
        <f aca="false">IF(AND($S34=1,$H34&lt;=$C$8),$Z34-N($O34),0)</f>
        <v>0</v>
      </c>
      <c r="AD34" s="394"/>
    </row>
    <row r="35" customFormat="false" ht="15" hidden="false" customHeight="true" outlineLevel="0" collapsed="false">
      <c r="A35" s="380" t="str">
        <f aca="false">Projects!$A$28</f>
        <v>BD-12</v>
      </c>
      <c r="B35" s="381"/>
      <c r="C35" s="382" t="str">
        <f aca="false">Projects!$F$28</f>
        <v>Yes</v>
      </c>
      <c r="D35" s="382" t="str">
        <f aca="false">Projects!$G$28</f>
        <v>No</v>
      </c>
      <c r="E35" s="383"/>
      <c r="F35" s="384" t="n">
        <f aca="false">IF($E35&lt;&gt;"",$E35,Projects!$B$28)</f>
        <v>15000000</v>
      </c>
      <c r="G35" s="381"/>
      <c r="H35" s="385" t="n">
        <f aca="false">IF($G35&lt;&gt;"",$G35,Projects!$C$28)</f>
        <v>46</v>
      </c>
      <c r="I35" s="386"/>
      <c r="J35" s="383"/>
      <c r="K35" s="381"/>
      <c r="L35" s="383"/>
      <c r="M35" s="381"/>
      <c r="N35" s="386"/>
      <c r="O35" s="383"/>
      <c r="P35" s="381"/>
      <c r="Q35" s="383"/>
      <c r="R35" s="381"/>
      <c r="S35" s="385" t="n">
        <f aca="false">IF(AND($C35="Yes",$D35="Yes"),1,0)</f>
        <v>0</v>
      </c>
      <c r="T35" s="384" t="n">
        <f aca="false">$S35*IF($J35&lt;&gt;"",$J35,$F35*IF($I35&lt;&gt;"",$I35,$C$4)/(1+IF($I35&lt;&gt;"",$I35,$C$4)))</f>
        <v>0</v>
      </c>
      <c r="U35" s="384" t="n">
        <f aca="false">$S35*IF($L35&lt;&gt;"",$L35,$F35*$C$5)</f>
        <v>0</v>
      </c>
      <c r="V35" s="384" t="n">
        <f aca="false">$S35*$F35*IF($N35&lt;&gt;"",$N35,$C$6)</f>
        <v>0</v>
      </c>
      <c r="W35" s="384" t="n">
        <f aca="false">MAX(0,$V35-$U35)</f>
        <v>0</v>
      </c>
      <c r="X35" s="385" t="n">
        <f aca="false">IF($B35&lt;&gt;"",$B35,100+$H35)</f>
        <v>146</v>
      </c>
      <c r="Y35" s="384" t="n">
        <f aca="false">$S35*MAX(0,MIN($W35,$C$7-SUMIFS($W$11:$W$54,$X$11:$X$54,"&lt;"&amp;$X35)))</f>
        <v>0</v>
      </c>
      <c r="Z35" s="384" t="n">
        <f aca="false">$W35-$Y35</f>
        <v>0</v>
      </c>
      <c r="AA35" s="387" t="n">
        <f aca="false">$S35*($T35-$U35-$Z35)</f>
        <v>0</v>
      </c>
      <c r="AB35" s="387" t="n">
        <f aca="false">$S35*($T35-$U35)</f>
        <v>0</v>
      </c>
      <c r="AC35" s="384" t="n">
        <f aca="false">IF(AND($S35=1,$H35&lt;=$C$8),$Z35-N($O35),0)</f>
        <v>0</v>
      </c>
      <c r="AD35" s="388"/>
    </row>
    <row r="36" customFormat="false" ht="15" hidden="false" customHeight="true" outlineLevel="0" collapsed="false">
      <c r="A36" s="389" t="str">
        <f aca="false">Projects!$A$29</f>
        <v>BD-13</v>
      </c>
      <c r="B36" s="381"/>
      <c r="C36" s="390" t="str">
        <f aca="false">Projects!$F$29</f>
        <v>No</v>
      </c>
      <c r="D36" s="390" t="str">
        <f aca="false">Projects!$G$29</f>
        <v>No</v>
      </c>
      <c r="E36" s="383"/>
      <c r="F36" s="391" t="n">
        <f aca="false">IF($E36&lt;&gt;"",$E36,Projects!$B$29)</f>
        <v>15000000</v>
      </c>
      <c r="G36" s="381"/>
      <c r="H36" s="392" t="n">
        <f aca="false">IF($G36&lt;&gt;"",$G36,Projects!$C$29)</f>
        <v>48</v>
      </c>
      <c r="I36" s="386"/>
      <c r="J36" s="383"/>
      <c r="K36" s="381"/>
      <c r="L36" s="383"/>
      <c r="M36" s="381"/>
      <c r="N36" s="386"/>
      <c r="O36" s="383"/>
      <c r="P36" s="381"/>
      <c r="Q36" s="383"/>
      <c r="R36" s="381"/>
      <c r="S36" s="392" t="n">
        <f aca="false">IF(AND($C36="Yes",$D36="Yes"),1,0)</f>
        <v>0</v>
      </c>
      <c r="T36" s="391" t="n">
        <f aca="false">$S36*IF($J36&lt;&gt;"",$J36,$F36*IF($I36&lt;&gt;"",$I36,$C$4)/(1+IF($I36&lt;&gt;"",$I36,$C$4)))</f>
        <v>0</v>
      </c>
      <c r="U36" s="391" t="n">
        <f aca="false">$S36*IF($L36&lt;&gt;"",$L36,$F36*$C$5)</f>
        <v>0</v>
      </c>
      <c r="V36" s="391" t="n">
        <f aca="false">$S36*$F36*IF($N36&lt;&gt;"",$N36,$C$6)</f>
        <v>0</v>
      </c>
      <c r="W36" s="391" t="n">
        <f aca="false">MAX(0,$V36-$U36)</f>
        <v>0</v>
      </c>
      <c r="X36" s="392" t="n">
        <f aca="false">IF($B36&lt;&gt;"",$B36,100+$H36)</f>
        <v>148</v>
      </c>
      <c r="Y36" s="391" t="n">
        <f aca="false">$S36*MAX(0,MIN($W36,$C$7-SUMIFS($W$11:$W$54,$X$11:$X$54,"&lt;"&amp;$X36)))</f>
        <v>0</v>
      </c>
      <c r="Z36" s="391" t="n">
        <f aca="false">$W36-$Y36</f>
        <v>0</v>
      </c>
      <c r="AA36" s="393" t="n">
        <f aca="false">$S36*($T36-$U36-$Z36)</f>
        <v>0</v>
      </c>
      <c r="AB36" s="393" t="n">
        <f aca="false">$S36*($T36-$U36)</f>
        <v>0</v>
      </c>
      <c r="AC36" s="391" t="n">
        <f aca="false">IF(AND($S36=1,$H36&lt;=$C$8),$Z36-N($O36),0)</f>
        <v>0</v>
      </c>
      <c r="AD36" s="394"/>
    </row>
    <row r="37" customFormat="false" ht="15" hidden="false" customHeight="true" outlineLevel="0" collapsed="false">
      <c r="A37" s="380" t="str">
        <f aca="false">Projects!$A$30</f>
        <v>BD-14</v>
      </c>
      <c r="B37" s="381"/>
      <c r="C37" s="382" t="str">
        <f aca="false">Projects!$F$30</f>
        <v>No</v>
      </c>
      <c r="D37" s="382" t="str">
        <f aca="false">Projects!$G$30</f>
        <v>No</v>
      </c>
      <c r="E37" s="383"/>
      <c r="F37" s="384" t="n">
        <f aca="false">IF($E37&lt;&gt;"",$E37,Projects!$B$30)</f>
        <v>15000000</v>
      </c>
      <c r="G37" s="381"/>
      <c r="H37" s="385" t="n">
        <f aca="false">IF($G37&lt;&gt;"",$G37,Projects!$C$30)</f>
        <v>50</v>
      </c>
      <c r="I37" s="386"/>
      <c r="J37" s="383"/>
      <c r="K37" s="381"/>
      <c r="L37" s="383"/>
      <c r="M37" s="381"/>
      <c r="N37" s="386"/>
      <c r="O37" s="383"/>
      <c r="P37" s="381"/>
      <c r="Q37" s="383"/>
      <c r="R37" s="381"/>
      <c r="S37" s="385" t="n">
        <f aca="false">IF(AND($C37="Yes",$D37="Yes"),1,0)</f>
        <v>0</v>
      </c>
      <c r="T37" s="384" t="n">
        <f aca="false">$S37*IF($J37&lt;&gt;"",$J37,$F37*IF($I37&lt;&gt;"",$I37,$C$4)/(1+IF($I37&lt;&gt;"",$I37,$C$4)))</f>
        <v>0</v>
      </c>
      <c r="U37" s="384" t="n">
        <f aca="false">$S37*IF($L37&lt;&gt;"",$L37,$F37*$C$5)</f>
        <v>0</v>
      </c>
      <c r="V37" s="384" t="n">
        <f aca="false">$S37*$F37*IF($N37&lt;&gt;"",$N37,$C$6)</f>
        <v>0</v>
      </c>
      <c r="W37" s="384" t="n">
        <f aca="false">MAX(0,$V37-$U37)</f>
        <v>0</v>
      </c>
      <c r="X37" s="385" t="n">
        <f aca="false">IF($B37&lt;&gt;"",$B37,100+$H37)</f>
        <v>150</v>
      </c>
      <c r="Y37" s="384" t="n">
        <f aca="false">$S37*MAX(0,MIN($W37,$C$7-SUMIFS($W$11:$W$54,$X$11:$X$54,"&lt;"&amp;$X37)))</f>
        <v>0</v>
      </c>
      <c r="Z37" s="384" t="n">
        <f aca="false">$W37-$Y37</f>
        <v>0</v>
      </c>
      <c r="AA37" s="387" t="n">
        <f aca="false">$S37*($T37-$U37-$Z37)</f>
        <v>0</v>
      </c>
      <c r="AB37" s="387" t="n">
        <f aca="false">$S37*($T37-$U37)</f>
        <v>0</v>
      </c>
      <c r="AC37" s="384" t="n">
        <f aca="false">IF(AND($S37=1,$H37&lt;=$C$8),$Z37-N($O37),0)</f>
        <v>0</v>
      </c>
      <c r="AD37" s="388"/>
    </row>
    <row r="38" customFormat="false" ht="15" hidden="false" customHeight="true" outlineLevel="0" collapsed="false">
      <c r="A38" s="389" t="str">
        <f aca="false">Projects!$A$31</f>
        <v>BD-15</v>
      </c>
      <c r="B38" s="381"/>
      <c r="C38" s="390" t="str">
        <f aca="false">Projects!$F$31</f>
        <v>No</v>
      </c>
      <c r="D38" s="390" t="str">
        <f aca="false">Projects!$G$31</f>
        <v>No</v>
      </c>
      <c r="E38" s="383"/>
      <c r="F38" s="391" t="n">
        <f aca="false">IF($E38&lt;&gt;"",$E38,Projects!$B$31)</f>
        <v>18000000</v>
      </c>
      <c r="G38" s="381"/>
      <c r="H38" s="392" t="n">
        <f aca="false">IF($G38&lt;&gt;"",$G38,Projects!$C$31)</f>
        <v>52</v>
      </c>
      <c r="I38" s="386"/>
      <c r="J38" s="383"/>
      <c r="K38" s="381"/>
      <c r="L38" s="383"/>
      <c r="M38" s="381"/>
      <c r="N38" s="386"/>
      <c r="O38" s="383"/>
      <c r="P38" s="381"/>
      <c r="Q38" s="383"/>
      <c r="R38" s="381"/>
      <c r="S38" s="392" t="n">
        <f aca="false">IF(AND($C38="Yes",$D38="Yes"),1,0)</f>
        <v>0</v>
      </c>
      <c r="T38" s="391" t="n">
        <f aca="false">$S38*IF($J38&lt;&gt;"",$J38,$F38*IF($I38&lt;&gt;"",$I38,$C$4)/(1+IF($I38&lt;&gt;"",$I38,$C$4)))</f>
        <v>0</v>
      </c>
      <c r="U38" s="391" t="n">
        <f aca="false">$S38*IF($L38&lt;&gt;"",$L38,$F38*$C$5)</f>
        <v>0</v>
      </c>
      <c r="V38" s="391" t="n">
        <f aca="false">$S38*$F38*IF($N38&lt;&gt;"",$N38,$C$6)</f>
        <v>0</v>
      </c>
      <c r="W38" s="391" t="n">
        <f aca="false">MAX(0,$V38-$U38)</f>
        <v>0</v>
      </c>
      <c r="X38" s="392" t="n">
        <f aca="false">IF($B38&lt;&gt;"",$B38,100+$H38)</f>
        <v>152</v>
      </c>
      <c r="Y38" s="391" t="n">
        <f aca="false">$S38*MAX(0,MIN($W38,$C$7-SUMIFS($W$11:$W$54,$X$11:$X$54,"&lt;"&amp;$X38)))</f>
        <v>0</v>
      </c>
      <c r="Z38" s="391" t="n">
        <f aca="false">$W38-$Y38</f>
        <v>0</v>
      </c>
      <c r="AA38" s="393" t="n">
        <f aca="false">$S38*($T38-$U38-$Z38)</f>
        <v>0</v>
      </c>
      <c r="AB38" s="393" t="n">
        <f aca="false">$S38*($T38-$U38)</f>
        <v>0</v>
      </c>
      <c r="AC38" s="391" t="n">
        <f aca="false">IF(AND($S38=1,$H38&lt;=$C$8),$Z38-N($O38),0)</f>
        <v>0</v>
      </c>
      <c r="AD38" s="394"/>
    </row>
    <row r="39" customFormat="false" ht="15" hidden="false" customHeight="true" outlineLevel="0" collapsed="false">
      <c r="A39" s="380" t="str">
        <f aca="false">Projects!$A$32</f>
        <v>BD-16</v>
      </c>
      <c r="B39" s="381"/>
      <c r="C39" s="382" t="str">
        <f aca="false">Projects!$F$32</f>
        <v>No</v>
      </c>
      <c r="D39" s="382" t="str">
        <f aca="false">Projects!$G$32</f>
        <v>No</v>
      </c>
      <c r="E39" s="383"/>
      <c r="F39" s="384" t="n">
        <f aca="false">IF($E39&lt;&gt;"",$E39,Projects!$B$32)</f>
        <v>15000000</v>
      </c>
      <c r="G39" s="381"/>
      <c r="H39" s="385" t="n">
        <f aca="false">IF($G39&lt;&gt;"",$G39,Projects!$C$32)</f>
        <v>54</v>
      </c>
      <c r="I39" s="386"/>
      <c r="J39" s="383"/>
      <c r="K39" s="381"/>
      <c r="L39" s="383"/>
      <c r="M39" s="381"/>
      <c r="N39" s="386"/>
      <c r="O39" s="383"/>
      <c r="P39" s="381"/>
      <c r="Q39" s="383"/>
      <c r="R39" s="381"/>
      <c r="S39" s="385" t="n">
        <f aca="false">IF(AND($C39="Yes",$D39="Yes"),1,0)</f>
        <v>0</v>
      </c>
      <c r="T39" s="384" t="n">
        <f aca="false">$S39*IF($J39&lt;&gt;"",$J39,$F39*IF($I39&lt;&gt;"",$I39,$C$4)/(1+IF($I39&lt;&gt;"",$I39,$C$4)))</f>
        <v>0</v>
      </c>
      <c r="U39" s="384" t="n">
        <f aca="false">$S39*IF($L39&lt;&gt;"",$L39,$F39*$C$5)</f>
        <v>0</v>
      </c>
      <c r="V39" s="384" t="n">
        <f aca="false">$S39*$F39*IF($N39&lt;&gt;"",$N39,$C$6)</f>
        <v>0</v>
      </c>
      <c r="W39" s="384" t="n">
        <f aca="false">MAX(0,$V39-$U39)</f>
        <v>0</v>
      </c>
      <c r="X39" s="385" t="n">
        <f aca="false">IF($B39&lt;&gt;"",$B39,100+$H39)</f>
        <v>154</v>
      </c>
      <c r="Y39" s="384" t="n">
        <f aca="false">$S39*MAX(0,MIN($W39,$C$7-SUMIFS($W$11:$W$54,$X$11:$X$54,"&lt;"&amp;$X39)))</f>
        <v>0</v>
      </c>
      <c r="Z39" s="384" t="n">
        <f aca="false">$W39-$Y39</f>
        <v>0</v>
      </c>
      <c r="AA39" s="387" t="n">
        <f aca="false">$S39*($T39-$U39-$Z39)</f>
        <v>0</v>
      </c>
      <c r="AB39" s="387" t="n">
        <f aca="false">$S39*($T39-$U39)</f>
        <v>0</v>
      </c>
      <c r="AC39" s="384" t="n">
        <f aca="false">IF(AND($S39=1,$H39&lt;=$C$8),$Z39-N($O39),0)</f>
        <v>0</v>
      </c>
      <c r="AD39" s="388"/>
    </row>
    <row r="40" customFormat="false" ht="15" hidden="false" customHeight="true" outlineLevel="0" collapsed="false">
      <c r="A40" s="389" t="str">
        <f aca="false">Projects!$A$33</f>
        <v>BD-17</v>
      </c>
      <c r="B40" s="381"/>
      <c r="C40" s="390" t="str">
        <f aca="false">Projects!$F$33</f>
        <v>No</v>
      </c>
      <c r="D40" s="390" t="str">
        <f aca="false">Projects!$G$33</f>
        <v>No</v>
      </c>
      <c r="E40" s="383"/>
      <c r="F40" s="391" t="n">
        <f aca="false">IF($E40&lt;&gt;"",$E40,Projects!$B$33)</f>
        <v>15000000</v>
      </c>
      <c r="G40" s="381"/>
      <c r="H40" s="392" t="n">
        <f aca="false">IF($G40&lt;&gt;"",$G40,Projects!$C$33)</f>
        <v>56</v>
      </c>
      <c r="I40" s="386"/>
      <c r="J40" s="383"/>
      <c r="K40" s="381"/>
      <c r="L40" s="383"/>
      <c r="M40" s="381"/>
      <c r="N40" s="386"/>
      <c r="O40" s="383"/>
      <c r="P40" s="381"/>
      <c r="Q40" s="383"/>
      <c r="R40" s="381"/>
      <c r="S40" s="392" t="n">
        <f aca="false">IF(AND($C40="Yes",$D40="Yes"),1,0)</f>
        <v>0</v>
      </c>
      <c r="T40" s="391" t="n">
        <f aca="false">$S40*IF($J40&lt;&gt;"",$J40,$F40*IF($I40&lt;&gt;"",$I40,$C$4)/(1+IF($I40&lt;&gt;"",$I40,$C$4)))</f>
        <v>0</v>
      </c>
      <c r="U40" s="391" t="n">
        <f aca="false">$S40*IF($L40&lt;&gt;"",$L40,$F40*$C$5)</f>
        <v>0</v>
      </c>
      <c r="V40" s="391" t="n">
        <f aca="false">$S40*$F40*IF($N40&lt;&gt;"",$N40,$C$6)</f>
        <v>0</v>
      </c>
      <c r="W40" s="391" t="n">
        <f aca="false">MAX(0,$V40-$U40)</f>
        <v>0</v>
      </c>
      <c r="X40" s="392" t="n">
        <f aca="false">IF($B40&lt;&gt;"",$B40,100+$H40)</f>
        <v>156</v>
      </c>
      <c r="Y40" s="391" t="n">
        <f aca="false">$S40*MAX(0,MIN($W40,$C$7-SUMIFS($W$11:$W$54,$X$11:$X$54,"&lt;"&amp;$X40)))</f>
        <v>0</v>
      </c>
      <c r="Z40" s="391" t="n">
        <f aca="false">$W40-$Y40</f>
        <v>0</v>
      </c>
      <c r="AA40" s="393" t="n">
        <f aca="false">$S40*($T40-$U40-$Z40)</f>
        <v>0</v>
      </c>
      <c r="AB40" s="393" t="n">
        <f aca="false">$S40*($T40-$U40)</f>
        <v>0</v>
      </c>
      <c r="AC40" s="391" t="n">
        <f aca="false">IF(AND($S40=1,$H40&lt;=$C$8),$Z40-N($O40),0)</f>
        <v>0</v>
      </c>
      <c r="AD40" s="394"/>
    </row>
    <row r="41" customFormat="false" ht="15" hidden="false" customHeight="true" outlineLevel="0" collapsed="false">
      <c r="A41" s="380" t="str">
        <f aca="false">Projects!$A$34</f>
        <v>BD-18</v>
      </c>
      <c r="B41" s="381"/>
      <c r="C41" s="382" t="str">
        <f aca="false">Projects!$F$34</f>
        <v>Yes</v>
      </c>
      <c r="D41" s="382" t="str">
        <f aca="false">Projects!$G$34</f>
        <v>No</v>
      </c>
      <c r="E41" s="383"/>
      <c r="F41" s="384" t="n">
        <f aca="false">IF($E41&lt;&gt;"",$E41,Projects!$B$34)</f>
        <v>18000000</v>
      </c>
      <c r="G41" s="381"/>
      <c r="H41" s="385" t="n">
        <f aca="false">IF($G41&lt;&gt;"",$G41,Projects!$C$34)</f>
        <v>58</v>
      </c>
      <c r="I41" s="386"/>
      <c r="J41" s="383"/>
      <c r="K41" s="381"/>
      <c r="L41" s="383"/>
      <c r="M41" s="381"/>
      <c r="N41" s="386"/>
      <c r="O41" s="383"/>
      <c r="P41" s="381"/>
      <c r="Q41" s="383"/>
      <c r="R41" s="381"/>
      <c r="S41" s="385" t="n">
        <f aca="false">IF(AND($C41="Yes",$D41="Yes"),1,0)</f>
        <v>0</v>
      </c>
      <c r="T41" s="384" t="n">
        <f aca="false">$S41*IF($J41&lt;&gt;"",$J41,$F41*IF($I41&lt;&gt;"",$I41,$C$4)/(1+IF($I41&lt;&gt;"",$I41,$C$4)))</f>
        <v>0</v>
      </c>
      <c r="U41" s="384" t="n">
        <f aca="false">$S41*IF($L41&lt;&gt;"",$L41,$F41*$C$5)</f>
        <v>0</v>
      </c>
      <c r="V41" s="384" t="n">
        <f aca="false">$S41*$F41*IF($N41&lt;&gt;"",$N41,$C$6)</f>
        <v>0</v>
      </c>
      <c r="W41" s="384" t="n">
        <f aca="false">MAX(0,$V41-$U41)</f>
        <v>0</v>
      </c>
      <c r="X41" s="385" t="n">
        <f aca="false">IF($B41&lt;&gt;"",$B41,100+$H41)</f>
        <v>158</v>
      </c>
      <c r="Y41" s="384" t="n">
        <f aca="false">$S41*MAX(0,MIN($W41,$C$7-SUMIFS($W$11:$W$54,$X$11:$X$54,"&lt;"&amp;$X41)))</f>
        <v>0</v>
      </c>
      <c r="Z41" s="384" t="n">
        <f aca="false">$W41-$Y41</f>
        <v>0</v>
      </c>
      <c r="AA41" s="387" t="n">
        <f aca="false">$S41*($T41-$U41-$Z41)</f>
        <v>0</v>
      </c>
      <c r="AB41" s="387" t="n">
        <f aca="false">$S41*($T41-$U41)</f>
        <v>0</v>
      </c>
      <c r="AC41" s="384" t="n">
        <f aca="false">IF(AND($S41=1,$H41&lt;=$C$8),$Z41-N($O41),0)</f>
        <v>0</v>
      </c>
      <c r="AD41" s="388"/>
    </row>
    <row r="42" customFormat="false" ht="15" hidden="false" customHeight="true" outlineLevel="0" collapsed="false">
      <c r="A42" s="389" t="str">
        <f aca="false">Projects!$A$35</f>
        <v>BD-19</v>
      </c>
      <c r="B42" s="381"/>
      <c r="C42" s="390" t="str">
        <f aca="false">Projects!$F$35</f>
        <v>No</v>
      </c>
      <c r="D42" s="390" t="str">
        <f aca="false">Projects!$G$35</f>
        <v>No</v>
      </c>
      <c r="E42" s="383"/>
      <c r="F42" s="391" t="n">
        <f aca="false">IF($E42&lt;&gt;"",$E42,Projects!$B$35)</f>
        <v>15000000</v>
      </c>
      <c r="G42" s="381"/>
      <c r="H42" s="392" t="n">
        <f aca="false">IF($G42&lt;&gt;"",$G42,Projects!$C$35)</f>
        <v>60</v>
      </c>
      <c r="I42" s="386"/>
      <c r="J42" s="383"/>
      <c r="K42" s="381"/>
      <c r="L42" s="383"/>
      <c r="M42" s="381"/>
      <c r="N42" s="386"/>
      <c r="O42" s="383"/>
      <c r="P42" s="381"/>
      <c r="Q42" s="383"/>
      <c r="R42" s="381"/>
      <c r="S42" s="392" t="n">
        <f aca="false">IF(AND($C42="Yes",$D42="Yes"),1,0)</f>
        <v>0</v>
      </c>
      <c r="T42" s="391" t="n">
        <f aca="false">$S42*IF($J42&lt;&gt;"",$J42,$F42*IF($I42&lt;&gt;"",$I42,$C$4)/(1+IF($I42&lt;&gt;"",$I42,$C$4)))</f>
        <v>0</v>
      </c>
      <c r="U42" s="391" t="n">
        <f aca="false">$S42*IF($L42&lt;&gt;"",$L42,$F42*$C$5)</f>
        <v>0</v>
      </c>
      <c r="V42" s="391" t="n">
        <f aca="false">$S42*$F42*IF($N42&lt;&gt;"",$N42,$C$6)</f>
        <v>0</v>
      </c>
      <c r="W42" s="391" t="n">
        <f aca="false">MAX(0,$V42-$U42)</f>
        <v>0</v>
      </c>
      <c r="X42" s="392" t="n">
        <f aca="false">IF($B42&lt;&gt;"",$B42,100+$H42)</f>
        <v>160</v>
      </c>
      <c r="Y42" s="391" t="n">
        <f aca="false">$S42*MAX(0,MIN($W42,$C$7-SUMIFS($W$11:$W$54,$X$11:$X$54,"&lt;"&amp;$X42)))</f>
        <v>0</v>
      </c>
      <c r="Z42" s="391" t="n">
        <f aca="false">$W42-$Y42</f>
        <v>0</v>
      </c>
      <c r="AA42" s="393" t="n">
        <f aca="false">$S42*($T42-$U42-$Z42)</f>
        <v>0</v>
      </c>
      <c r="AB42" s="393" t="n">
        <f aca="false">$S42*($T42-$U42)</f>
        <v>0</v>
      </c>
      <c r="AC42" s="391" t="n">
        <f aca="false">IF(AND($S42=1,$H42&lt;=$C$8),$Z42-N($O42),0)</f>
        <v>0</v>
      </c>
      <c r="AD42" s="394"/>
    </row>
    <row r="43" customFormat="false" ht="15" hidden="false" customHeight="true" outlineLevel="0" collapsed="false">
      <c r="A43" s="380" t="str">
        <f aca="false">Projects!$A$36</f>
        <v>BD-20</v>
      </c>
      <c r="B43" s="381"/>
      <c r="C43" s="382" t="str">
        <f aca="false">Projects!$F$36</f>
        <v>No</v>
      </c>
      <c r="D43" s="382" t="str">
        <f aca="false">Projects!$G$36</f>
        <v>No</v>
      </c>
      <c r="E43" s="383"/>
      <c r="F43" s="384" t="n">
        <f aca="false">IF($E43&lt;&gt;"",$E43,Projects!$B$36)</f>
        <v>18000000</v>
      </c>
      <c r="G43" s="381"/>
      <c r="H43" s="385" t="n">
        <f aca="false">IF($G43&lt;&gt;"",$G43,Projects!$C$36)</f>
        <v>62</v>
      </c>
      <c r="I43" s="386"/>
      <c r="J43" s="383"/>
      <c r="K43" s="381"/>
      <c r="L43" s="383"/>
      <c r="M43" s="381"/>
      <c r="N43" s="386"/>
      <c r="O43" s="383"/>
      <c r="P43" s="381"/>
      <c r="Q43" s="383"/>
      <c r="R43" s="381"/>
      <c r="S43" s="385" t="n">
        <f aca="false">IF(AND($C43="Yes",$D43="Yes"),1,0)</f>
        <v>0</v>
      </c>
      <c r="T43" s="384" t="n">
        <f aca="false">$S43*IF($J43&lt;&gt;"",$J43,$F43*IF($I43&lt;&gt;"",$I43,$C$4)/(1+IF($I43&lt;&gt;"",$I43,$C$4)))</f>
        <v>0</v>
      </c>
      <c r="U43" s="384" t="n">
        <f aca="false">$S43*IF($L43&lt;&gt;"",$L43,$F43*$C$5)</f>
        <v>0</v>
      </c>
      <c r="V43" s="384" t="n">
        <f aca="false">$S43*$F43*IF($N43&lt;&gt;"",$N43,$C$6)</f>
        <v>0</v>
      </c>
      <c r="W43" s="384" t="n">
        <f aca="false">MAX(0,$V43-$U43)</f>
        <v>0</v>
      </c>
      <c r="X43" s="385" t="n">
        <f aca="false">IF($B43&lt;&gt;"",$B43,100+$H43)</f>
        <v>162</v>
      </c>
      <c r="Y43" s="384" t="n">
        <f aca="false">$S43*MAX(0,MIN($W43,$C$7-SUMIFS($W$11:$W$54,$X$11:$X$54,"&lt;"&amp;$X43)))</f>
        <v>0</v>
      </c>
      <c r="Z43" s="384" t="n">
        <f aca="false">$W43-$Y43</f>
        <v>0</v>
      </c>
      <c r="AA43" s="387" t="n">
        <f aca="false">$S43*($T43-$U43-$Z43)</f>
        <v>0</v>
      </c>
      <c r="AB43" s="387" t="n">
        <f aca="false">$S43*($T43-$U43)</f>
        <v>0</v>
      </c>
      <c r="AC43" s="384" t="n">
        <f aca="false">IF(AND($S43=1,$H43&lt;=$C$8),$Z43-N($O43),0)</f>
        <v>0</v>
      </c>
      <c r="AD43" s="388"/>
    </row>
    <row r="44" customFormat="false" ht="15" hidden="false" customHeight="true" outlineLevel="0" collapsed="false">
      <c r="A44" s="389" t="str">
        <f aca="false">Projects!$A$37</f>
        <v>BD-21</v>
      </c>
      <c r="B44" s="381"/>
      <c r="C44" s="390" t="str">
        <f aca="false">Projects!$F$37</f>
        <v>No</v>
      </c>
      <c r="D44" s="390" t="str">
        <f aca="false">Projects!$G$37</f>
        <v>No</v>
      </c>
      <c r="E44" s="383"/>
      <c r="F44" s="391" t="n">
        <f aca="false">IF($E44&lt;&gt;"",$E44,Projects!$B$37)</f>
        <v>15000000</v>
      </c>
      <c r="G44" s="381"/>
      <c r="H44" s="392" t="n">
        <f aca="false">IF($G44&lt;&gt;"",$G44,Projects!$C$37)</f>
        <v>64</v>
      </c>
      <c r="I44" s="386"/>
      <c r="J44" s="383"/>
      <c r="K44" s="381"/>
      <c r="L44" s="383"/>
      <c r="M44" s="381"/>
      <c r="N44" s="386"/>
      <c r="O44" s="383"/>
      <c r="P44" s="381"/>
      <c r="Q44" s="383"/>
      <c r="R44" s="381"/>
      <c r="S44" s="392" t="n">
        <f aca="false">IF(AND($C44="Yes",$D44="Yes"),1,0)</f>
        <v>0</v>
      </c>
      <c r="T44" s="391" t="n">
        <f aca="false">$S44*IF($J44&lt;&gt;"",$J44,$F44*IF($I44&lt;&gt;"",$I44,$C$4)/(1+IF($I44&lt;&gt;"",$I44,$C$4)))</f>
        <v>0</v>
      </c>
      <c r="U44" s="391" t="n">
        <f aca="false">$S44*IF($L44&lt;&gt;"",$L44,$F44*$C$5)</f>
        <v>0</v>
      </c>
      <c r="V44" s="391" t="n">
        <f aca="false">$S44*$F44*IF($N44&lt;&gt;"",$N44,$C$6)</f>
        <v>0</v>
      </c>
      <c r="W44" s="391" t="n">
        <f aca="false">MAX(0,$V44-$U44)</f>
        <v>0</v>
      </c>
      <c r="X44" s="392" t="n">
        <f aca="false">IF($B44&lt;&gt;"",$B44,100+$H44)</f>
        <v>164</v>
      </c>
      <c r="Y44" s="391" t="n">
        <f aca="false">$S44*MAX(0,MIN($W44,$C$7-SUMIFS($W$11:$W$54,$X$11:$X$54,"&lt;"&amp;$X44)))</f>
        <v>0</v>
      </c>
      <c r="Z44" s="391" t="n">
        <f aca="false">$W44-$Y44</f>
        <v>0</v>
      </c>
      <c r="AA44" s="393" t="n">
        <f aca="false">$S44*($T44-$U44-$Z44)</f>
        <v>0</v>
      </c>
      <c r="AB44" s="393" t="n">
        <f aca="false">$S44*($T44-$U44)</f>
        <v>0</v>
      </c>
      <c r="AC44" s="391" t="n">
        <f aca="false">IF(AND($S44=1,$H44&lt;=$C$8),$Z44-N($O44),0)</f>
        <v>0</v>
      </c>
      <c r="AD44" s="394"/>
    </row>
    <row r="45" customFormat="false" ht="15" hidden="false" customHeight="true" outlineLevel="0" collapsed="false">
      <c r="A45" s="380" t="str">
        <f aca="false">Projects!$A$38</f>
        <v>BD-22</v>
      </c>
      <c r="B45" s="381"/>
      <c r="C45" s="382" t="str">
        <f aca="false">Projects!$F$38</f>
        <v>No</v>
      </c>
      <c r="D45" s="382" t="str">
        <f aca="false">Projects!$G$38</f>
        <v>No</v>
      </c>
      <c r="E45" s="383"/>
      <c r="F45" s="384" t="n">
        <f aca="false">IF($E45&lt;&gt;"",$E45,Projects!$B$38)</f>
        <v>15000000</v>
      </c>
      <c r="G45" s="381"/>
      <c r="H45" s="385" t="n">
        <f aca="false">IF($G45&lt;&gt;"",$G45,Projects!$C$38)</f>
        <v>66</v>
      </c>
      <c r="I45" s="386"/>
      <c r="J45" s="383"/>
      <c r="K45" s="381"/>
      <c r="L45" s="383"/>
      <c r="M45" s="381"/>
      <c r="N45" s="386"/>
      <c r="O45" s="383"/>
      <c r="P45" s="381"/>
      <c r="Q45" s="383"/>
      <c r="R45" s="381"/>
      <c r="S45" s="385" t="n">
        <f aca="false">IF(AND($C45="Yes",$D45="Yes"),1,0)</f>
        <v>0</v>
      </c>
      <c r="T45" s="384" t="n">
        <f aca="false">$S45*IF($J45&lt;&gt;"",$J45,$F45*IF($I45&lt;&gt;"",$I45,$C$4)/(1+IF($I45&lt;&gt;"",$I45,$C$4)))</f>
        <v>0</v>
      </c>
      <c r="U45" s="384" t="n">
        <f aca="false">$S45*IF($L45&lt;&gt;"",$L45,$F45*$C$5)</f>
        <v>0</v>
      </c>
      <c r="V45" s="384" t="n">
        <f aca="false">$S45*$F45*IF($N45&lt;&gt;"",$N45,$C$6)</f>
        <v>0</v>
      </c>
      <c r="W45" s="384" t="n">
        <f aca="false">MAX(0,$V45-$U45)</f>
        <v>0</v>
      </c>
      <c r="X45" s="385" t="n">
        <f aca="false">IF($B45&lt;&gt;"",$B45,100+$H45)</f>
        <v>166</v>
      </c>
      <c r="Y45" s="384" t="n">
        <f aca="false">$S45*MAX(0,MIN($W45,$C$7-SUMIFS($W$11:$W$54,$X$11:$X$54,"&lt;"&amp;$X45)))</f>
        <v>0</v>
      </c>
      <c r="Z45" s="384" t="n">
        <f aca="false">$W45-$Y45</f>
        <v>0</v>
      </c>
      <c r="AA45" s="387" t="n">
        <f aca="false">$S45*($T45-$U45-$Z45)</f>
        <v>0</v>
      </c>
      <c r="AB45" s="387" t="n">
        <f aca="false">$S45*($T45-$U45)</f>
        <v>0</v>
      </c>
      <c r="AC45" s="384" t="n">
        <f aca="false">IF(AND($S45=1,$H45&lt;=$C$8),$Z45-N($O45),0)</f>
        <v>0</v>
      </c>
      <c r="AD45" s="388"/>
    </row>
    <row r="46" customFormat="false" ht="15" hidden="false" customHeight="true" outlineLevel="0" collapsed="false">
      <c r="A46" s="389" t="str">
        <f aca="false">Projects!$A$39</f>
        <v>BD-23</v>
      </c>
      <c r="B46" s="381"/>
      <c r="C46" s="390" t="str">
        <f aca="false">Projects!$F$39</f>
        <v>No</v>
      </c>
      <c r="D46" s="390" t="str">
        <f aca="false">Projects!$G$39</f>
        <v>No</v>
      </c>
      <c r="E46" s="383"/>
      <c r="F46" s="391" t="n">
        <f aca="false">IF($E46&lt;&gt;"",$E46,Projects!$B$39)</f>
        <v>18000000</v>
      </c>
      <c r="G46" s="381"/>
      <c r="H46" s="392" t="n">
        <f aca="false">IF($G46&lt;&gt;"",$G46,Projects!$C$39)</f>
        <v>68</v>
      </c>
      <c r="I46" s="386"/>
      <c r="J46" s="383"/>
      <c r="K46" s="381"/>
      <c r="L46" s="383"/>
      <c r="M46" s="381"/>
      <c r="N46" s="386"/>
      <c r="O46" s="383"/>
      <c r="P46" s="381"/>
      <c r="Q46" s="383"/>
      <c r="R46" s="381"/>
      <c r="S46" s="392" t="n">
        <f aca="false">IF(AND($C46="Yes",$D46="Yes"),1,0)</f>
        <v>0</v>
      </c>
      <c r="T46" s="391" t="n">
        <f aca="false">$S46*IF($J46&lt;&gt;"",$J46,$F46*IF($I46&lt;&gt;"",$I46,$C$4)/(1+IF($I46&lt;&gt;"",$I46,$C$4)))</f>
        <v>0</v>
      </c>
      <c r="U46" s="391" t="n">
        <f aca="false">$S46*IF($L46&lt;&gt;"",$L46,$F46*$C$5)</f>
        <v>0</v>
      </c>
      <c r="V46" s="391" t="n">
        <f aca="false">$S46*$F46*IF($N46&lt;&gt;"",$N46,$C$6)</f>
        <v>0</v>
      </c>
      <c r="W46" s="391" t="n">
        <f aca="false">MAX(0,$V46-$U46)</f>
        <v>0</v>
      </c>
      <c r="X46" s="392" t="n">
        <f aca="false">IF($B46&lt;&gt;"",$B46,100+$H46)</f>
        <v>168</v>
      </c>
      <c r="Y46" s="391" t="n">
        <f aca="false">$S46*MAX(0,MIN($W46,$C$7-SUMIFS($W$11:$W$54,$X$11:$X$54,"&lt;"&amp;$X46)))</f>
        <v>0</v>
      </c>
      <c r="Z46" s="391" t="n">
        <f aca="false">$W46-$Y46</f>
        <v>0</v>
      </c>
      <c r="AA46" s="393" t="n">
        <f aca="false">$S46*($T46-$U46-$Z46)</f>
        <v>0</v>
      </c>
      <c r="AB46" s="393" t="n">
        <f aca="false">$S46*($T46-$U46)</f>
        <v>0</v>
      </c>
      <c r="AC46" s="391" t="n">
        <f aca="false">IF(AND($S46=1,$H46&lt;=$C$8),$Z46-N($O46),0)</f>
        <v>0</v>
      </c>
      <c r="AD46" s="394"/>
    </row>
    <row r="47" customFormat="false" ht="15" hidden="false" customHeight="true" outlineLevel="0" collapsed="false">
      <c r="A47" s="380" t="str">
        <f aca="false">Projects!$A$40</f>
        <v>BD-24</v>
      </c>
      <c r="B47" s="381"/>
      <c r="C47" s="382" t="str">
        <f aca="false">Projects!$F$40</f>
        <v>Yes</v>
      </c>
      <c r="D47" s="382" t="str">
        <f aca="false">Projects!$G$40</f>
        <v>No</v>
      </c>
      <c r="E47" s="383"/>
      <c r="F47" s="384" t="n">
        <f aca="false">IF($E47&lt;&gt;"",$E47,Projects!$B$40)</f>
        <v>15000000</v>
      </c>
      <c r="G47" s="381"/>
      <c r="H47" s="385" t="n">
        <f aca="false">IF($G47&lt;&gt;"",$G47,Projects!$C$40)</f>
        <v>70</v>
      </c>
      <c r="I47" s="386"/>
      <c r="J47" s="383"/>
      <c r="K47" s="381"/>
      <c r="L47" s="383"/>
      <c r="M47" s="381"/>
      <c r="N47" s="386"/>
      <c r="O47" s="383"/>
      <c r="P47" s="381"/>
      <c r="Q47" s="383"/>
      <c r="R47" s="381"/>
      <c r="S47" s="385" t="n">
        <f aca="false">IF(AND($C47="Yes",$D47="Yes"),1,0)</f>
        <v>0</v>
      </c>
      <c r="T47" s="384" t="n">
        <f aca="false">$S47*IF($J47&lt;&gt;"",$J47,$F47*IF($I47&lt;&gt;"",$I47,$C$4)/(1+IF($I47&lt;&gt;"",$I47,$C$4)))</f>
        <v>0</v>
      </c>
      <c r="U47" s="384" t="n">
        <f aca="false">$S47*IF($L47&lt;&gt;"",$L47,$F47*$C$5)</f>
        <v>0</v>
      </c>
      <c r="V47" s="384" t="n">
        <f aca="false">$S47*$F47*IF($N47&lt;&gt;"",$N47,$C$6)</f>
        <v>0</v>
      </c>
      <c r="W47" s="384" t="n">
        <f aca="false">MAX(0,$V47-$U47)</f>
        <v>0</v>
      </c>
      <c r="X47" s="385" t="n">
        <f aca="false">IF($B47&lt;&gt;"",$B47,100+$H47)</f>
        <v>170</v>
      </c>
      <c r="Y47" s="384" t="n">
        <f aca="false">$S47*MAX(0,MIN($W47,$C$7-SUMIFS($W$11:$W$54,$X$11:$X$54,"&lt;"&amp;$X47)))</f>
        <v>0</v>
      </c>
      <c r="Z47" s="384" t="n">
        <f aca="false">$W47-$Y47</f>
        <v>0</v>
      </c>
      <c r="AA47" s="387" t="n">
        <f aca="false">$S47*($T47-$U47-$Z47)</f>
        <v>0</v>
      </c>
      <c r="AB47" s="387" t="n">
        <f aca="false">$S47*($T47-$U47)</f>
        <v>0</v>
      </c>
      <c r="AC47" s="384" t="n">
        <f aca="false">IF(AND($S47=1,$H47&lt;=$C$8),$Z47-N($O47),0)</f>
        <v>0</v>
      </c>
      <c r="AD47" s="388"/>
    </row>
    <row r="48" customFormat="false" ht="15" hidden="false" customHeight="true" outlineLevel="0" collapsed="false">
      <c r="A48" s="389" t="str">
        <f aca="false">Projects!$A$41</f>
        <v>BD-25</v>
      </c>
      <c r="B48" s="381"/>
      <c r="C48" s="390" t="str">
        <f aca="false">Projects!$F$41</f>
        <v>No</v>
      </c>
      <c r="D48" s="390" t="str">
        <f aca="false">Projects!$G$41</f>
        <v>No</v>
      </c>
      <c r="E48" s="383"/>
      <c r="F48" s="391" t="n">
        <f aca="false">IF($E48&lt;&gt;"",$E48,Projects!$B$41)</f>
        <v>15000000</v>
      </c>
      <c r="G48" s="381"/>
      <c r="H48" s="392" t="n">
        <f aca="false">IF($G48&lt;&gt;"",$G48,Projects!$C$41)</f>
        <v>72</v>
      </c>
      <c r="I48" s="386"/>
      <c r="J48" s="383"/>
      <c r="K48" s="381"/>
      <c r="L48" s="383"/>
      <c r="M48" s="381"/>
      <c r="N48" s="386"/>
      <c r="O48" s="383"/>
      <c r="P48" s="381"/>
      <c r="Q48" s="383"/>
      <c r="R48" s="381"/>
      <c r="S48" s="392" t="n">
        <f aca="false">IF(AND($C48="Yes",$D48="Yes"),1,0)</f>
        <v>0</v>
      </c>
      <c r="T48" s="391" t="n">
        <f aca="false">$S48*IF($J48&lt;&gt;"",$J48,$F48*IF($I48&lt;&gt;"",$I48,$C$4)/(1+IF($I48&lt;&gt;"",$I48,$C$4)))</f>
        <v>0</v>
      </c>
      <c r="U48" s="391" t="n">
        <f aca="false">$S48*IF($L48&lt;&gt;"",$L48,$F48*$C$5)</f>
        <v>0</v>
      </c>
      <c r="V48" s="391" t="n">
        <f aca="false">$S48*$F48*IF($N48&lt;&gt;"",$N48,$C$6)</f>
        <v>0</v>
      </c>
      <c r="W48" s="391" t="n">
        <f aca="false">MAX(0,$V48-$U48)</f>
        <v>0</v>
      </c>
      <c r="X48" s="392" t="n">
        <f aca="false">IF($B48&lt;&gt;"",$B48,100+$H48)</f>
        <v>172</v>
      </c>
      <c r="Y48" s="391" t="n">
        <f aca="false">$S48*MAX(0,MIN($W48,$C$7-SUMIFS($W$11:$W$54,$X$11:$X$54,"&lt;"&amp;$X48)))</f>
        <v>0</v>
      </c>
      <c r="Z48" s="391" t="n">
        <f aca="false">$W48-$Y48</f>
        <v>0</v>
      </c>
      <c r="AA48" s="393" t="n">
        <f aca="false">$S48*($T48-$U48-$Z48)</f>
        <v>0</v>
      </c>
      <c r="AB48" s="393" t="n">
        <f aca="false">$S48*($T48-$U48)</f>
        <v>0</v>
      </c>
      <c r="AC48" s="391" t="n">
        <f aca="false">IF(AND($S48=1,$H48&lt;=$C$8),$Z48-N($O48),0)</f>
        <v>0</v>
      </c>
      <c r="AD48" s="394"/>
    </row>
    <row r="49" customFormat="false" ht="15" hidden="false" customHeight="true" outlineLevel="0" collapsed="false">
      <c r="A49" s="380" t="str">
        <f aca="false">Projects!$A$42</f>
        <v>BD-26</v>
      </c>
      <c r="B49" s="381"/>
      <c r="C49" s="382" t="str">
        <f aca="false">Projects!$F$42</f>
        <v>No</v>
      </c>
      <c r="D49" s="382" t="str">
        <f aca="false">Projects!$G$42</f>
        <v>No</v>
      </c>
      <c r="E49" s="383"/>
      <c r="F49" s="384" t="n">
        <f aca="false">IF($E49&lt;&gt;"",$E49,Projects!$B$42)</f>
        <v>18000000</v>
      </c>
      <c r="G49" s="381"/>
      <c r="H49" s="385" t="n">
        <f aca="false">IF($G49&lt;&gt;"",$G49,Projects!$C$42)</f>
        <v>74</v>
      </c>
      <c r="I49" s="386"/>
      <c r="J49" s="383"/>
      <c r="K49" s="381"/>
      <c r="L49" s="383"/>
      <c r="M49" s="381"/>
      <c r="N49" s="386"/>
      <c r="O49" s="383"/>
      <c r="P49" s="381"/>
      <c r="Q49" s="383"/>
      <c r="R49" s="381"/>
      <c r="S49" s="385" t="n">
        <f aca="false">IF(AND($C49="Yes",$D49="Yes"),1,0)</f>
        <v>0</v>
      </c>
      <c r="T49" s="384" t="n">
        <f aca="false">$S49*IF($J49&lt;&gt;"",$J49,$F49*IF($I49&lt;&gt;"",$I49,$C$4)/(1+IF($I49&lt;&gt;"",$I49,$C$4)))</f>
        <v>0</v>
      </c>
      <c r="U49" s="384" t="n">
        <f aca="false">$S49*IF($L49&lt;&gt;"",$L49,$F49*$C$5)</f>
        <v>0</v>
      </c>
      <c r="V49" s="384" t="n">
        <f aca="false">$S49*$F49*IF($N49&lt;&gt;"",$N49,$C$6)</f>
        <v>0</v>
      </c>
      <c r="W49" s="384" t="n">
        <f aca="false">MAX(0,$V49-$U49)</f>
        <v>0</v>
      </c>
      <c r="X49" s="385" t="n">
        <f aca="false">IF($B49&lt;&gt;"",$B49,100+$H49)</f>
        <v>174</v>
      </c>
      <c r="Y49" s="384" t="n">
        <f aca="false">$S49*MAX(0,MIN($W49,$C$7-SUMIFS($W$11:$W$54,$X$11:$X$54,"&lt;"&amp;$X49)))</f>
        <v>0</v>
      </c>
      <c r="Z49" s="384" t="n">
        <f aca="false">$W49-$Y49</f>
        <v>0</v>
      </c>
      <c r="AA49" s="387" t="n">
        <f aca="false">$S49*($T49-$U49-$Z49)</f>
        <v>0</v>
      </c>
      <c r="AB49" s="387" t="n">
        <f aca="false">$S49*($T49-$U49)</f>
        <v>0</v>
      </c>
      <c r="AC49" s="384" t="n">
        <f aca="false">IF(AND($S49=1,$H49&lt;=$C$8),$Z49-N($O49),0)</f>
        <v>0</v>
      </c>
      <c r="AD49" s="388"/>
    </row>
    <row r="50" customFormat="false" ht="15" hidden="false" customHeight="true" outlineLevel="0" collapsed="false">
      <c r="A50" s="389" t="str">
        <f aca="false">Projects!$A$43</f>
        <v>BD-27</v>
      </c>
      <c r="B50" s="381"/>
      <c r="C50" s="390" t="str">
        <f aca="false">Projects!$F$43</f>
        <v>No</v>
      </c>
      <c r="D50" s="390" t="str">
        <f aca="false">Projects!$G$43</f>
        <v>No</v>
      </c>
      <c r="E50" s="383"/>
      <c r="F50" s="391" t="n">
        <f aca="false">IF($E50&lt;&gt;"",$E50,Projects!$B$43)</f>
        <v>15000000</v>
      </c>
      <c r="G50" s="381"/>
      <c r="H50" s="392" t="n">
        <f aca="false">IF($G50&lt;&gt;"",$G50,Projects!$C$43)</f>
        <v>76</v>
      </c>
      <c r="I50" s="386"/>
      <c r="J50" s="383"/>
      <c r="K50" s="381"/>
      <c r="L50" s="383"/>
      <c r="M50" s="381"/>
      <c r="N50" s="386"/>
      <c r="O50" s="383"/>
      <c r="P50" s="381"/>
      <c r="Q50" s="383"/>
      <c r="R50" s="381"/>
      <c r="S50" s="392" t="n">
        <f aca="false">IF(AND($C50="Yes",$D50="Yes"),1,0)</f>
        <v>0</v>
      </c>
      <c r="T50" s="391" t="n">
        <f aca="false">$S50*IF($J50&lt;&gt;"",$J50,$F50*IF($I50&lt;&gt;"",$I50,$C$4)/(1+IF($I50&lt;&gt;"",$I50,$C$4)))</f>
        <v>0</v>
      </c>
      <c r="U50" s="391" t="n">
        <f aca="false">$S50*IF($L50&lt;&gt;"",$L50,$F50*$C$5)</f>
        <v>0</v>
      </c>
      <c r="V50" s="391" t="n">
        <f aca="false">$S50*$F50*IF($N50&lt;&gt;"",$N50,$C$6)</f>
        <v>0</v>
      </c>
      <c r="W50" s="391" t="n">
        <f aca="false">MAX(0,$V50-$U50)</f>
        <v>0</v>
      </c>
      <c r="X50" s="392" t="n">
        <f aca="false">IF($B50&lt;&gt;"",$B50,100+$H50)</f>
        <v>176</v>
      </c>
      <c r="Y50" s="391" t="n">
        <f aca="false">$S50*MAX(0,MIN($W50,$C$7-SUMIFS($W$11:$W$54,$X$11:$X$54,"&lt;"&amp;$X50)))</f>
        <v>0</v>
      </c>
      <c r="Z50" s="391" t="n">
        <f aca="false">$W50-$Y50</f>
        <v>0</v>
      </c>
      <c r="AA50" s="393" t="n">
        <f aca="false">$S50*($T50-$U50-$Z50)</f>
        <v>0</v>
      </c>
      <c r="AB50" s="393" t="n">
        <f aca="false">$S50*($T50-$U50)</f>
        <v>0</v>
      </c>
      <c r="AC50" s="391" t="n">
        <f aca="false">IF(AND($S50=1,$H50&lt;=$C$8),$Z50-N($O50),0)</f>
        <v>0</v>
      </c>
      <c r="AD50" s="394"/>
    </row>
    <row r="51" customFormat="false" ht="15" hidden="false" customHeight="true" outlineLevel="0" collapsed="false">
      <c r="A51" s="380" t="str">
        <f aca="false">Projects!$A$44</f>
        <v>BD-28</v>
      </c>
      <c r="B51" s="381"/>
      <c r="C51" s="382" t="str">
        <f aca="false">Projects!$F$44</f>
        <v>No</v>
      </c>
      <c r="D51" s="382" t="str">
        <f aca="false">Projects!$G$44</f>
        <v>No</v>
      </c>
      <c r="E51" s="383"/>
      <c r="F51" s="384" t="n">
        <f aca="false">IF($E51&lt;&gt;"",$E51,Projects!$B$44)</f>
        <v>15000000</v>
      </c>
      <c r="G51" s="381"/>
      <c r="H51" s="385" t="n">
        <f aca="false">IF($G51&lt;&gt;"",$G51,Projects!$C$44)</f>
        <v>78</v>
      </c>
      <c r="I51" s="386"/>
      <c r="J51" s="383"/>
      <c r="K51" s="381"/>
      <c r="L51" s="383"/>
      <c r="M51" s="381"/>
      <c r="N51" s="386"/>
      <c r="O51" s="383"/>
      <c r="P51" s="381"/>
      <c r="Q51" s="383"/>
      <c r="R51" s="381"/>
      <c r="S51" s="385" t="n">
        <f aca="false">IF(AND($C51="Yes",$D51="Yes"),1,0)</f>
        <v>0</v>
      </c>
      <c r="T51" s="384" t="n">
        <f aca="false">$S51*IF($J51&lt;&gt;"",$J51,$F51*IF($I51&lt;&gt;"",$I51,$C$4)/(1+IF($I51&lt;&gt;"",$I51,$C$4)))</f>
        <v>0</v>
      </c>
      <c r="U51" s="384" t="n">
        <f aca="false">$S51*IF($L51&lt;&gt;"",$L51,$F51*$C$5)</f>
        <v>0</v>
      </c>
      <c r="V51" s="384" t="n">
        <f aca="false">$S51*$F51*IF($N51&lt;&gt;"",$N51,$C$6)</f>
        <v>0</v>
      </c>
      <c r="W51" s="384" t="n">
        <f aca="false">MAX(0,$V51-$U51)</f>
        <v>0</v>
      </c>
      <c r="X51" s="385" t="n">
        <f aca="false">IF($B51&lt;&gt;"",$B51,100+$H51)</f>
        <v>178</v>
      </c>
      <c r="Y51" s="384" t="n">
        <f aca="false">$S51*MAX(0,MIN($W51,$C$7-SUMIFS($W$11:$W$54,$X$11:$X$54,"&lt;"&amp;$X51)))</f>
        <v>0</v>
      </c>
      <c r="Z51" s="384" t="n">
        <f aca="false">$W51-$Y51</f>
        <v>0</v>
      </c>
      <c r="AA51" s="387" t="n">
        <f aca="false">$S51*($T51-$U51-$Z51)</f>
        <v>0</v>
      </c>
      <c r="AB51" s="387" t="n">
        <f aca="false">$S51*($T51-$U51)</f>
        <v>0</v>
      </c>
      <c r="AC51" s="384" t="n">
        <f aca="false">IF(AND($S51=1,$H51&lt;=$C$8),$Z51-N($O51),0)</f>
        <v>0</v>
      </c>
      <c r="AD51" s="388"/>
    </row>
    <row r="52" customFormat="false" ht="15" hidden="false" customHeight="true" outlineLevel="0" collapsed="false">
      <c r="A52" s="389" t="str">
        <f aca="false">Projects!$A$45</f>
        <v>BD-29</v>
      </c>
      <c r="B52" s="381"/>
      <c r="C52" s="390" t="str">
        <f aca="false">Projects!$F$45</f>
        <v>No</v>
      </c>
      <c r="D52" s="390" t="str">
        <f aca="false">Projects!$G$45</f>
        <v>No</v>
      </c>
      <c r="E52" s="383"/>
      <c r="F52" s="391" t="n">
        <f aca="false">IF($E52&lt;&gt;"",$E52,Projects!$B$45)</f>
        <v>18000000</v>
      </c>
      <c r="G52" s="381"/>
      <c r="H52" s="392" t="n">
        <f aca="false">IF($G52&lt;&gt;"",$G52,Projects!$C$45)</f>
        <v>80</v>
      </c>
      <c r="I52" s="386"/>
      <c r="J52" s="383"/>
      <c r="K52" s="381"/>
      <c r="L52" s="383"/>
      <c r="M52" s="381"/>
      <c r="N52" s="386"/>
      <c r="O52" s="383"/>
      <c r="P52" s="381"/>
      <c r="Q52" s="383"/>
      <c r="R52" s="381"/>
      <c r="S52" s="392" t="n">
        <f aca="false">IF(AND($C52="Yes",$D52="Yes"),1,0)</f>
        <v>0</v>
      </c>
      <c r="T52" s="391" t="n">
        <f aca="false">$S52*IF($J52&lt;&gt;"",$J52,$F52*IF($I52&lt;&gt;"",$I52,$C$4)/(1+IF($I52&lt;&gt;"",$I52,$C$4)))</f>
        <v>0</v>
      </c>
      <c r="U52" s="391" t="n">
        <f aca="false">$S52*IF($L52&lt;&gt;"",$L52,$F52*$C$5)</f>
        <v>0</v>
      </c>
      <c r="V52" s="391" t="n">
        <f aca="false">$S52*$F52*IF($N52&lt;&gt;"",$N52,$C$6)</f>
        <v>0</v>
      </c>
      <c r="W52" s="391" t="n">
        <f aca="false">MAX(0,$V52-$U52)</f>
        <v>0</v>
      </c>
      <c r="X52" s="392" t="n">
        <f aca="false">IF($B52&lt;&gt;"",$B52,100+$H52)</f>
        <v>180</v>
      </c>
      <c r="Y52" s="391" t="n">
        <f aca="false">$S52*MAX(0,MIN($W52,$C$7-SUMIFS($W$11:$W$54,$X$11:$X$54,"&lt;"&amp;$X52)))</f>
        <v>0</v>
      </c>
      <c r="Z52" s="391" t="n">
        <f aca="false">$W52-$Y52</f>
        <v>0</v>
      </c>
      <c r="AA52" s="393" t="n">
        <f aca="false">$S52*($T52-$U52-$Z52)</f>
        <v>0</v>
      </c>
      <c r="AB52" s="393" t="n">
        <f aca="false">$S52*($T52-$U52)</f>
        <v>0</v>
      </c>
      <c r="AC52" s="391" t="n">
        <f aca="false">IF(AND($S52=1,$H52&lt;=$C$8),$Z52-N($O52),0)</f>
        <v>0</v>
      </c>
      <c r="AD52" s="394"/>
    </row>
    <row r="53" customFormat="false" ht="15" hidden="false" customHeight="true" outlineLevel="0" collapsed="false">
      <c r="A53" s="380" t="str">
        <f aca="false">Projects!$A$46</f>
        <v>BD-30</v>
      </c>
      <c r="B53" s="381"/>
      <c r="C53" s="382" t="str">
        <f aca="false">Projects!$F$46</f>
        <v>Yes</v>
      </c>
      <c r="D53" s="382" t="str">
        <f aca="false">Projects!$G$46</f>
        <v>No</v>
      </c>
      <c r="E53" s="383"/>
      <c r="F53" s="384" t="n">
        <f aca="false">IF($E53&lt;&gt;"",$E53,Projects!$B$46)</f>
        <v>15000000</v>
      </c>
      <c r="G53" s="381"/>
      <c r="H53" s="385" t="n">
        <f aca="false">IF($G53&lt;&gt;"",$G53,Projects!$C$46)</f>
        <v>82</v>
      </c>
      <c r="I53" s="386"/>
      <c r="J53" s="383"/>
      <c r="K53" s="381"/>
      <c r="L53" s="383"/>
      <c r="M53" s="381"/>
      <c r="N53" s="386"/>
      <c r="O53" s="383"/>
      <c r="P53" s="381"/>
      <c r="Q53" s="383"/>
      <c r="R53" s="381"/>
      <c r="S53" s="385" t="n">
        <f aca="false">IF(AND($C53="Yes",$D53="Yes"),1,0)</f>
        <v>0</v>
      </c>
      <c r="T53" s="384" t="n">
        <f aca="false">$S53*IF($J53&lt;&gt;"",$J53,$F53*IF($I53&lt;&gt;"",$I53,$C$4)/(1+IF($I53&lt;&gt;"",$I53,$C$4)))</f>
        <v>0</v>
      </c>
      <c r="U53" s="384" t="n">
        <f aca="false">$S53*IF($L53&lt;&gt;"",$L53,$F53*$C$5)</f>
        <v>0</v>
      </c>
      <c r="V53" s="384" t="n">
        <f aca="false">$S53*$F53*IF($N53&lt;&gt;"",$N53,$C$6)</f>
        <v>0</v>
      </c>
      <c r="W53" s="384" t="n">
        <f aca="false">MAX(0,$V53-$U53)</f>
        <v>0</v>
      </c>
      <c r="X53" s="385" t="n">
        <f aca="false">IF($B53&lt;&gt;"",$B53,100+$H53)</f>
        <v>182</v>
      </c>
      <c r="Y53" s="384" t="n">
        <f aca="false">$S53*MAX(0,MIN($W53,$C$7-SUMIFS($W$11:$W$54,$X$11:$X$54,"&lt;"&amp;$X53)))</f>
        <v>0</v>
      </c>
      <c r="Z53" s="384" t="n">
        <f aca="false">$W53-$Y53</f>
        <v>0</v>
      </c>
      <c r="AA53" s="387" t="n">
        <f aca="false">$S53*($T53-$U53-$Z53)</f>
        <v>0</v>
      </c>
      <c r="AB53" s="387" t="n">
        <f aca="false">$S53*($T53-$U53)</f>
        <v>0</v>
      </c>
      <c r="AC53" s="384" t="n">
        <f aca="false">IF(AND($S53=1,$H53&lt;=$C$8),$Z53-N($O53),0)</f>
        <v>0</v>
      </c>
      <c r="AD53" s="388"/>
    </row>
    <row r="54" customFormat="false" ht="15" hidden="false" customHeight="true" outlineLevel="0" collapsed="false">
      <c r="A54" s="389" t="s">
        <v>50</v>
      </c>
      <c r="B54" s="381"/>
      <c r="C54" s="390" t="s">
        <v>611</v>
      </c>
      <c r="D54" s="390" t="s">
        <v>611</v>
      </c>
      <c r="E54" s="383"/>
      <c r="F54" s="391" t="n">
        <v>0</v>
      </c>
      <c r="G54" s="381"/>
      <c r="H54" s="392" t="n">
        <v>0</v>
      </c>
      <c r="I54" s="386"/>
      <c r="J54" s="383"/>
      <c r="K54" s="381"/>
      <c r="L54" s="383"/>
      <c r="M54" s="381"/>
      <c r="N54" s="386"/>
      <c r="O54" s="383"/>
      <c r="P54" s="381"/>
      <c r="Q54" s="383"/>
      <c r="R54" s="381"/>
      <c r="S54" s="392" t="n">
        <f aca="false">IF(AND($C54="Yes",$D54="Yes"),1,0)</f>
        <v>0</v>
      </c>
      <c r="T54" s="391" t="n">
        <f aca="false">$S54*IF($J54&lt;&gt;"",$J54,$F54*IF($I54&lt;&gt;"",$I54,$C$4)/(1+IF($I54&lt;&gt;"",$I54,$C$4)))</f>
        <v>0</v>
      </c>
      <c r="U54" s="391" t="n">
        <f aca="false">$S54*IF($L54&lt;&gt;"",$L54,$F54*$C$5)</f>
        <v>0</v>
      </c>
      <c r="V54" s="391" t="n">
        <f aca="false">$S54*$F54*IF($N54&lt;&gt;"",$N54,$C$6)</f>
        <v>0</v>
      </c>
      <c r="W54" s="391" t="n">
        <f aca="false">MAX(0,$V54-$U54)</f>
        <v>0</v>
      </c>
      <c r="X54" s="392" t="n">
        <f aca="false">IF($B54&lt;&gt;"",$B54,100+$H54)</f>
        <v>100</v>
      </c>
      <c r="Y54" s="391" t="n">
        <f aca="false">$S54*MAX(0,MIN($W54,$C$7-SUMIFS($W$11:$W$54,$X$11:$X$54,"&lt;"&amp;$X54)))</f>
        <v>0</v>
      </c>
      <c r="Z54" s="391" t="n">
        <f aca="false">$W54-$Y54</f>
        <v>0</v>
      </c>
      <c r="AA54" s="393" t="n">
        <f aca="false">$S54*($T54-$U54-$Z54)</f>
        <v>0</v>
      </c>
      <c r="AB54" s="393" t="n">
        <f aca="false">$S54*($T54-$U54)</f>
        <v>0</v>
      </c>
      <c r="AC54" s="391" t="n">
        <f aca="false">IF(AND($S54=1,$H54&lt;=$C$8),$Z54-N($O54),0)</f>
        <v>0</v>
      </c>
      <c r="AD54" s="394"/>
    </row>
    <row r="56" customFormat="false" ht="15.75" hidden="false" customHeight="true" outlineLevel="0" collapsed="false">
      <c r="A56" s="395" t="s">
        <v>489</v>
      </c>
      <c r="B56" s="396"/>
      <c r="C56" s="396"/>
      <c r="D56" s="396"/>
      <c r="E56" s="396"/>
      <c r="F56" s="396"/>
      <c r="G56" s="396"/>
      <c r="H56" s="396"/>
      <c r="I56" s="396"/>
      <c r="J56" s="396"/>
      <c r="K56" s="396"/>
      <c r="L56" s="396"/>
      <c r="M56" s="396"/>
      <c r="N56" s="396"/>
      <c r="O56" s="396"/>
      <c r="P56" s="396"/>
      <c r="Q56" s="396"/>
      <c r="R56" s="396"/>
      <c r="S56" s="396"/>
      <c r="T56" s="396" t="n">
        <f aca="false">SUM(T11:T54)</f>
        <v>4341713.49273158</v>
      </c>
      <c r="U56" s="396" t="n">
        <f aca="false">SUM(U11:U54)</f>
        <v>1936240.16048316</v>
      </c>
      <c r="V56" s="396" t="n">
        <f aca="false">SUM(V11:V54)</f>
        <v>8612858.210125</v>
      </c>
      <c r="W56" s="396" t="n">
        <f aca="false">SUM(W11:W54)</f>
        <v>6676618.04964184</v>
      </c>
      <c r="X56" s="396"/>
      <c r="Y56" s="396" t="n">
        <f aca="false">SUM(Y11:Y54)</f>
        <v>1800000</v>
      </c>
      <c r="Z56" s="397" t="n">
        <f aca="false">SUM(Z11:Z54)</f>
        <v>4876618.04964184</v>
      </c>
      <c r="AA56" s="397" t="n">
        <f aca="false">SUM(AA11:AA54)</f>
        <v>-2471144.71739342</v>
      </c>
      <c r="AB56" s="397" t="n">
        <f aca="false">SUM(AB11:AB54)</f>
        <v>2405473.33224842</v>
      </c>
      <c r="AC56" s="397" t="n">
        <f aca="false">SUM(AC11:AC54)</f>
        <v>0.00512500014156103</v>
      </c>
      <c r="AD56" s="396"/>
    </row>
    <row r="57" customFormat="false" ht="15" hidden="false" customHeight="true" outlineLevel="0" collapsed="false">
      <c r="A57" s="118" t="s">
        <v>1313</v>
      </c>
      <c r="C57" s="398" t="str">
        <f aca="false">IF(Y56&lt;=$C$7+0.5,"OK","OVER CAP")</f>
        <v>OK</v>
      </c>
      <c r="D57" s="373" t="s">
        <v>1314</v>
      </c>
    </row>
    <row r="58" customFormat="false" ht="15" hidden="false" customHeight="true" outlineLevel="0" collapsed="false">
      <c r="A58" s="118" t="s">
        <v>1313</v>
      </c>
      <c r="C58" s="398" t="str">
        <f aca="false">IF(ABS(SUM(Model!$B$150:$DE$150)-SUMPRODUCT((H11:H54&gt;=-2)*(H11:H54&lt;=105)*T11:T54))&lt;1,"OK","CHECK")</f>
        <v>OK</v>
      </c>
      <c r="D58" s="373" t="s">
        <v>1315</v>
      </c>
    </row>
    <row r="60" customFormat="false" ht="15" hidden="false" customHeight="true" outlineLevel="0" collapsed="false">
      <c r="A60" s="399" t="s">
        <v>1316</v>
      </c>
    </row>
    <row r="61" customFormat="false" ht="15" hidden="false" customHeight="true" outlineLevel="0" collapsed="false">
      <c r="A61" s="373" t="s">
        <v>1317</v>
      </c>
    </row>
    <row r="62" customFormat="false" ht="15" hidden="false" customHeight="true" outlineLevel="0" collapsed="false">
      <c r="A62" s="373" t="s">
        <v>1318</v>
      </c>
    </row>
    <row r="63" customFormat="false" ht="15" hidden="false" customHeight="true" outlineLevel="0" collapsed="false">
      <c r="A63" s="373" t="s">
        <v>1319</v>
      </c>
    </row>
    <row r="64" customFormat="false" ht="15" hidden="false" customHeight="true" outlineLevel="0" collapsed="false">
      <c r="A64" s="373" t="s">
        <v>1320</v>
      </c>
    </row>
    <row r="65" customFormat="false" ht="15" hidden="false" customHeight="true" outlineLevel="0" collapsed="false">
      <c r="A65" s="373" t="s">
        <v>1321</v>
      </c>
    </row>
    <row r="66" customFormat="false" ht="15" hidden="false" customHeight="true" outlineLevel="0" collapsed="false">
      <c r="A66" s="373" t="s">
        <v>1322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B2:C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5" customHeight="false"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3" min="3" style="1" width="110"/>
  </cols>
  <sheetData>
    <row r="2" customFormat="false" ht="21.75" hidden="false" customHeight="true" outlineLevel="0" collapsed="false">
      <c r="B2" s="400" t="s">
        <v>1323</v>
      </c>
    </row>
    <row r="3" customFormat="false" ht="15" hidden="false" customHeight="true" outlineLevel="0" collapsed="false">
      <c r="B3" s="401" t="s">
        <v>1324</v>
      </c>
    </row>
    <row r="5" customFormat="false" ht="15" hidden="false" customHeight="true" outlineLevel="0" collapsed="false">
      <c r="B5" s="402" t="s">
        <v>1325</v>
      </c>
      <c r="C5" s="403" t="s">
        <v>1326</v>
      </c>
    </row>
    <row r="6" customFormat="false" ht="24.75" hidden="false" customHeight="true" outlineLevel="0" collapsed="false">
      <c r="B6" s="402" t="s">
        <v>1327</v>
      </c>
      <c r="C6" s="403" t="s">
        <v>1328</v>
      </c>
    </row>
    <row r="7" customFormat="false" ht="24.75" hidden="false" customHeight="true" outlineLevel="0" collapsed="false">
      <c r="B7" s="402" t="s">
        <v>1329</v>
      </c>
      <c r="C7" s="403" t="s">
        <v>1330</v>
      </c>
    </row>
    <row r="8" customFormat="false" ht="24.75" hidden="false" customHeight="true" outlineLevel="0" collapsed="false">
      <c r="B8" s="402" t="s">
        <v>1331</v>
      </c>
      <c r="C8" s="403" t="s">
        <v>1332</v>
      </c>
    </row>
    <row r="9" customFormat="false" ht="15" hidden="false" customHeight="true" outlineLevel="0" collapsed="false">
      <c r="B9" s="402" t="s">
        <v>1333</v>
      </c>
      <c r="C9" s="403" t="s">
        <v>1334</v>
      </c>
    </row>
    <row r="10" customFormat="false" ht="15" hidden="false" customHeight="true" outlineLevel="0" collapsed="false">
      <c r="B10" s="402" t="s">
        <v>1335</v>
      </c>
      <c r="C10" s="403" t="s">
        <v>1336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5" customHeight="false" zeroHeight="false" outlineLevelRow="0" outlineLevelCol="0"/>
  <cols>
    <col collapsed="false" customWidth="true" hidden="false" outlineLevel="0" max="1" min="1" style="1" width="46"/>
    <col collapsed="false" customWidth="true" hidden="false" outlineLevel="0" max="2" min="2" style="1" width="14"/>
    <col collapsed="false" customWidth="true" hidden="false" outlineLevel="0" max="3" min="3" style="1" width="13"/>
    <col collapsed="false" customWidth="true" hidden="false" outlineLevel="0" max="4" min="4" style="1" width="9"/>
    <col collapsed="false" customWidth="true" hidden="false" outlineLevel="0" max="7" min="5" style="1" width="14"/>
    <col collapsed="false" customWidth="true" hidden="false" outlineLevel="0" max="9" min="8" style="1" width="10"/>
    <col collapsed="false" customWidth="true" hidden="false" outlineLevel="0" max="10" min="10" style="1" width="14"/>
    <col collapsed="false" customWidth="true" hidden="false" outlineLevel="0" max="11" min="11" style="1" width="15"/>
  </cols>
  <sheetData>
    <row r="1" customFormat="false" ht="17.25" hidden="false" customHeight="true" outlineLevel="0" collapsed="false">
      <c r="A1" s="404" t="s">
        <v>1337</v>
      </c>
    </row>
    <row r="2" customFormat="false" ht="15" hidden="false" customHeight="true" outlineLevel="0" collapsed="false">
      <c r="A2" s="405" t="s">
        <v>1338</v>
      </c>
    </row>
    <row r="3" customFormat="false" ht="15" hidden="false" customHeight="true" outlineLevel="0" collapsed="false">
      <c r="A3" s="406" t="s">
        <v>1339</v>
      </c>
      <c r="B3" s="407" t="s">
        <v>612</v>
      </c>
    </row>
    <row r="5" customFormat="false" ht="15" hidden="false" customHeight="true" outlineLevel="0" collapsed="false">
      <c r="A5" s="408" t="s">
        <v>1340</v>
      </c>
      <c r="B5" s="408" t="s">
        <v>1341</v>
      </c>
      <c r="C5" s="408" t="s">
        <v>657</v>
      </c>
    </row>
    <row r="6" customFormat="false" ht="15" hidden="false" customHeight="true" outlineLevel="0" collapsed="false">
      <c r="A6" s="409" t="s">
        <v>1342</v>
      </c>
      <c r="B6" s="410" t="n">
        <v>46204</v>
      </c>
      <c r="C6" s="411" t="s">
        <v>1343</v>
      </c>
    </row>
    <row r="7" customFormat="false" ht="15" hidden="false" customHeight="true" outlineLevel="0" collapsed="false">
      <c r="A7" s="409" t="s">
        <v>1344</v>
      </c>
      <c r="B7" s="412" t="n">
        <v>150000</v>
      </c>
      <c r="C7" s="411" t="s">
        <v>1345</v>
      </c>
    </row>
    <row r="8" customFormat="false" ht="15" hidden="false" customHeight="true" outlineLevel="0" collapsed="false">
      <c r="A8" s="409" t="s">
        <v>1346</v>
      </c>
      <c r="B8" s="412" t="n">
        <v>225000</v>
      </c>
      <c r="C8" s="411" t="s">
        <v>1347</v>
      </c>
    </row>
    <row r="9" customFormat="false" ht="15" hidden="false" customHeight="true" outlineLevel="0" collapsed="false">
      <c r="A9" s="409" t="s">
        <v>1348</v>
      </c>
      <c r="B9" s="413" t="n">
        <v>72686</v>
      </c>
      <c r="C9" s="411" t="s">
        <v>1349</v>
      </c>
    </row>
    <row r="10" customFormat="false" ht="15" hidden="false" customHeight="true" outlineLevel="0" collapsed="false">
      <c r="A10" s="409" t="s">
        <v>1350</v>
      </c>
      <c r="B10" s="412" t="n">
        <v>25000</v>
      </c>
      <c r="C10" s="411" t="s">
        <v>1351</v>
      </c>
    </row>
    <row r="11" customFormat="false" ht="15" hidden="false" customHeight="true" outlineLevel="0" collapsed="false">
      <c r="A11" s="409" t="s">
        <v>1352</v>
      </c>
      <c r="B11" s="414" t="n">
        <v>0.03</v>
      </c>
      <c r="C11" s="411" t="s">
        <v>1353</v>
      </c>
    </row>
    <row r="12" customFormat="false" ht="15" hidden="false" customHeight="true" outlineLevel="0" collapsed="false">
      <c r="A12" s="409" t="s">
        <v>1354</v>
      </c>
      <c r="B12" s="414" t="n">
        <v>0.03</v>
      </c>
      <c r="C12" s="411" t="s">
        <v>1355</v>
      </c>
    </row>
    <row r="13" customFormat="false" ht="15" hidden="false" customHeight="true" outlineLevel="0" collapsed="false">
      <c r="A13" s="409" t="s">
        <v>1356</v>
      </c>
      <c r="B13" s="414" t="n">
        <v>0.5</v>
      </c>
      <c r="C13" s="411" t="s">
        <v>1357</v>
      </c>
    </row>
    <row r="14" customFormat="false" ht="15" hidden="false" customHeight="true" outlineLevel="0" collapsed="false">
      <c r="A14" s="409" t="s">
        <v>1358</v>
      </c>
      <c r="B14" s="414" t="n">
        <v>0.5</v>
      </c>
      <c r="C14" s="411" t="s">
        <v>1359</v>
      </c>
    </row>
    <row r="15" customFormat="false" ht="15" hidden="false" customHeight="true" outlineLevel="0" collapsed="false">
      <c r="A15" s="409" t="s">
        <v>1360</v>
      </c>
      <c r="B15" s="414" t="n">
        <v>0.21</v>
      </c>
      <c r="C15" s="411" t="s">
        <v>1361</v>
      </c>
    </row>
    <row r="16" customFormat="false" ht="15" hidden="false" customHeight="true" outlineLevel="0" collapsed="false">
      <c r="A16" s="409" t="s">
        <v>1362</v>
      </c>
      <c r="B16" s="415" t="n">
        <v>0.0884</v>
      </c>
      <c r="C16" s="411" t="s">
        <v>1363</v>
      </c>
    </row>
    <row r="17" customFormat="false" ht="15" hidden="false" customHeight="true" outlineLevel="0" collapsed="false">
      <c r="A17" s="409" t="s">
        <v>1364</v>
      </c>
      <c r="B17" s="412" t="n">
        <v>800</v>
      </c>
      <c r="C17" s="411" t="s">
        <v>1365</v>
      </c>
    </row>
    <row r="18" customFormat="false" ht="15" hidden="false" customHeight="true" outlineLevel="0" collapsed="false">
      <c r="A18" s="409" t="s">
        <v>1366</v>
      </c>
      <c r="B18" s="416" t="n">
        <v>3</v>
      </c>
      <c r="C18" s="411" t="s">
        <v>1367</v>
      </c>
    </row>
    <row r="20" customFormat="false" ht="15" hidden="false" customHeight="true" outlineLevel="0" collapsed="false">
      <c r="A20" s="408" t="s">
        <v>1368</v>
      </c>
    </row>
    <row r="21" customFormat="false" ht="36.75" hidden="false" customHeight="true" outlineLevel="0" collapsed="false">
      <c r="A21" s="188" t="s">
        <v>1369</v>
      </c>
      <c r="B21" s="188" t="s">
        <v>655</v>
      </c>
      <c r="C21" s="188" t="s">
        <v>1370</v>
      </c>
      <c r="D21" s="188" t="s">
        <v>1371</v>
      </c>
      <c r="E21" s="188" t="s">
        <v>1372</v>
      </c>
      <c r="F21" s="188" t="s">
        <v>1373</v>
      </c>
      <c r="G21" s="188" t="s">
        <v>1374</v>
      </c>
      <c r="H21" s="188" t="s">
        <v>1375</v>
      </c>
      <c r="I21" s="188" t="s">
        <v>1376</v>
      </c>
      <c r="J21" s="188" t="s">
        <v>1377</v>
      </c>
      <c r="K21" s="188" t="s">
        <v>1378</v>
      </c>
    </row>
    <row r="22" customFormat="false" ht="15" hidden="false" customHeight="true" outlineLevel="0" collapsed="false">
      <c r="A22" s="417" t="s">
        <v>18</v>
      </c>
      <c r="B22" s="409" t="s">
        <v>1379</v>
      </c>
      <c r="C22" s="410" t="n">
        <v>46204</v>
      </c>
      <c r="D22" s="416" t="n">
        <v>11</v>
      </c>
      <c r="E22" s="412" t="n">
        <v>110000</v>
      </c>
      <c r="F22" s="418"/>
      <c r="G22" s="412" t="n">
        <v>6666.66</v>
      </c>
      <c r="H22" s="416" t="n">
        <v>7</v>
      </c>
      <c r="I22" s="419" t="n">
        <v>1</v>
      </c>
      <c r="J22" s="420" t="n">
        <f aca="false">IF(N(D22)&gt;0,N(E22)/D22,0)+N(F22)</f>
        <v>10000</v>
      </c>
      <c r="K22" s="421" t="n">
        <f aca="false">(J22*N(D22)+N(G22))*IF(I22="",1,I22)</f>
        <v>116666.66</v>
      </c>
    </row>
    <row r="23" customFormat="false" ht="15" hidden="false" customHeight="true" outlineLevel="0" collapsed="false">
      <c r="A23" s="417" t="s">
        <v>12</v>
      </c>
      <c r="B23" s="409" t="s">
        <v>1379</v>
      </c>
      <c r="C23" s="410" t="n">
        <v>46235</v>
      </c>
      <c r="D23" s="416" t="n">
        <v>24</v>
      </c>
      <c r="E23" s="412"/>
      <c r="F23" s="418" t="n">
        <v>4166.66</v>
      </c>
      <c r="G23" s="412"/>
      <c r="H23" s="416"/>
      <c r="I23" s="419" t="n">
        <v>1</v>
      </c>
      <c r="J23" s="420" t="n">
        <f aca="false">IF(N(D23)&gt;0,N(E23)/D23,0)+N(F23)</f>
        <v>4166.66</v>
      </c>
      <c r="K23" s="421" t="n">
        <f aca="false">(J23*N(D23)+N(G23))*IF(I23="",1,I23)</f>
        <v>99999.84</v>
      </c>
    </row>
    <row r="24" customFormat="false" ht="15" hidden="false" customHeight="true" outlineLevel="0" collapsed="false">
      <c r="A24" s="417" t="s">
        <v>8</v>
      </c>
      <c r="B24" s="409" t="s">
        <v>1379</v>
      </c>
      <c r="C24" s="410" t="n">
        <v>46266</v>
      </c>
      <c r="D24" s="416" t="n">
        <v>12</v>
      </c>
      <c r="E24" s="412"/>
      <c r="F24" s="418" t="n">
        <v>3332.72</v>
      </c>
      <c r="G24" s="412"/>
      <c r="H24" s="416"/>
      <c r="I24" s="419" t="n">
        <v>1</v>
      </c>
      <c r="J24" s="420" t="n">
        <f aca="false">IF(N(D24)&gt;0,N(E24)/D24,0)+N(F24)</f>
        <v>3332.72</v>
      </c>
      <c r="K24" s="421" t="n">
        <f aca="false">(J24*N(D24)+N(G24))*IF(I24="",1,I24)</f>
        <v>39992.64</v>
      </c>
    </row>
    <row r="25" customFormat="false" ht="15" hidden="false" customHeight="true" outlineLevel="0" collapsed="false">
      <c r="A25" s="417" t="s">
        <v>1380</v>
      </c>
      <c r="B25" s="409" t="s">
        <v>1379</v>
      </c>
      <c r="C25" s="410" t="n">
        <v>46357</v>
      </c>
      <c r="D25" s="416" t="n">
        <v>2</v>
      </c>
      <c r="E25" s="412"/>
      <c r="F25" s="418" t="n">
        <v>9750</v>
      </c>
      <c r="G25" s="412"/>
      <c r="H25" s="416"/>
      <c r="I25" s="419" t="n">
        <v>1</v>
      </c>
      <c r="J25" s="420" t="n">
        <f aca="false">IF(N(D25)&gt;0,N(E25)/D25,0)+N(F25)</f>
        <v>9750</v>
      </c>
      <c r="K25" s="421" t="n">
        <f aca="false">(J25*N(D25)+N(G25))*IF(I25="",1,I25)</f>
        <v>19500</v>
      </c>
    </row>
    <row r="26" customFormat="false" ht="15" hidden="false" customHeight="true" outlineLevel="0" collapsed="false">
      <c r="A26" s="422" t="s">
        <v>1381</v>
      </c>
      <c r="B26" s="409" t="s">
        <v>1379</v>
      </c>
      <c r="C26" s="410" t="n">
        <v>46539</v>
      </c>
      <c r="D26" s="416" t="n">
        <v>13</v>
      </c>
      <c r="E26" s="412"/>
      <c r="F26" s="418" t="n">
        <v>4166</v>
      </c>
      <c r="G26" s="412"/>
      <c r="H26" s="416"/>
      <c r="I26" s="419" t="n">
        <v>1</v>
      </c>
      <c r="J26" s="420" t="n">
        <f aca="false">IF(N(D26)&gt;0,N(E26)/D26,0)+N(F26)</f>
        <v>4166</v>
      </c>
      <c r="K26" s="421" t="n">
        <f aca="false">(J26*N(D26)+N(G26))*IF(I26="",1,I26)</f>
        <v>54158</v>
      </c>
    </row>
    <row r="27" customFormat="false" ht="15" hidden="false" customHeight="true" outlineLevel="0" collapsed="false">
      <c r="A27" s="422" t="s">
        <v>1382</v>
      </c>
      <c r="B27" s="409" t="s">
        <v>1383</v>
      </c>
      <c r="C27" s="410"/>
      <c r="D27" s="416"/>
      <c r="E27" s="412"/>
      <c r="F27" s="418"/>
      <c r="G27" s="412"/>
      <c r="H27" s="416"/>
      <c r="I27" s="419"/>
      <c r="J27" s="420" t="n">
        <f aca="false">IF(N(D27)&gt;0,N(E27)/D27,0)+N(F27)</f>
        <v>0</v>
      </c>
      <c r="K27" s="421" t="n">
        <f aca="false">(J27*N(D27)+N(G27))*IF(I27="",1,I27)</f>
        <v>0</v>
      </c>
    </row>
    <row r="28" customFormat="false" ht="15" hidden="false" customHeight="true" outlineLevel="0" collapsed="false">
      <c r="A28" s="422" t="s">
        <v>1384</v>
      </c>
      <c r="B28" s="409" t="s">
        <v>1383</v>
      </c>
      <c r="C28" s="410"/>
      <c r="D28" s="416"/>
      <c r="E28" s="412"/>
      <c r="F28" s="418"/>
      <c r="G28" s="412"/>
      <c r="H28" s="416"/>
      <c r="I28" s="419"/>
      <c r="J28" s="420" t="n">
        <f aca="false">IF(N(D28)&gt;0,N(E28)/D28,0)+N(F28)</f>
        <v>0</v>
      </c>
      <c r="K28" s="421" t="n">
        <f aca="false">(J28*N(D28)+N(G28))*IF(I28="",1,I28)</f>
        <v>0</v>
      </c>
    </row>
    <row r="29" customFormat="false" ht="15" hidden="false" customHeight="true" outlineLevel="0" collapsed="false">
      <c r="A29" s="422" t="s">
        <v>1385</v>
      </c>
      <c r="B29" s="409" t="s">
        <v>1383</v>
      </c>
      <c r="C29" s="410"/>
      <c r="D29" s="416"/>
      <c r="E29" s="412"/>
      <c r="F29" s="418"/>
      <c r="G29" s="412"/>
      <c r="H29" s="416"/>
      <c r="I29" s="419"/>
      <c r="J29" s="420" t="n">
        <f aca="false">IF(N(D29)&gt;0,N(E29)/D29,0)+N(F29)</f>
        <v>0</v>
      </c>
      <c r="K29" s="421" t="n">
        <f aca="false">(J29*N(D29)+N(G29))*IF(I29="",1,I29)</f>
        <v>0</v>
      </c>
    </row>
    <row r="30" customFormat="false" ht="15" hidden="false" customHeight="true" outlineLevel="0" collapsed="false">
      <c r="A30" s="422" t="s">
        <v>1386</v>
      </c>
      <c r="B30" s="409" t="s">
        <v>1383</v>
      </c>
      <c r="C30" s="410"/>
      <c r="D30" s="416"/>
      <c r="E30" s="412"/>
      <c r="F30" s="418"/>
      <c r="G30" s="412"/>
      <c r="H30" s="416"/>
      <c r="I30" s="419"/>
      <c r="J30" s="420" t="n">
        <f aca="false">IF(N(D30)&gt;0,N(E30)/D30,0)+N(F30)</f>
        <v>0</v>
      </c>
      <c r="K30" s="421" t="n">
        <f aca="false">(J30*N(D30)+N(G30))*IF(I30="",1,I30)</f>
        <v>0</v>
      </c>
    </row>
    <row r="31" customFormat="false" ht="15" hidden="false" customHeight="true" outlineLevel="0" collapsed="false">
      <c r="A31" s="422" t="s">
        <v>1387</v>
      </c>
      <c r="B31" s="409" t="s">
        <v>1383</v>
      </c>
      <c r="C31" s="410"/>
      <c r="D31" s="416"/>
      <c r="E31" s="412"/>
      <c r="F31" s="418"/>
      <c r="G31" s="412"/>
      <c r="H31" s="416"/>
      <c r="I31" s="419"/>
      <c r="J31" s="420" t="n">
        <f aca="false">IF(N(D31)&gt;0,N(E31)/D31,0)+N(F31)</f>
        <v>0</v>
      </c>
      <c r="K31" s="421" t="n">
        <f aca="false">(J31*N(D31)+N(G31))*IF(I31="",1,I31)</f>
        <v>0</v>
      </c>
    </row>
    <row r="32" customFormat="false" ht="15" hidden="false" customHeight="true" outlineLevel="0" collapsed="false">
      <c r="A32" s="399" t="s">
        <v>1388</v>
      </c>
      <c r="K32" s="423" t="n">
        <f aca="false">SUM(K22:K31)</f>
        <v>330317.14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D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375" defaultRowHeight="15" customHeight="false" zeroHeight="false" outlineLevelRow="0" outlineLevelCol="0"/>
  <cols>
    <col collapsed="false" customWidth="true" hidden="false" outlineLevel="0" max="1" min="1" style="1" width="62"/>
    <col collapsed="false" customWidth="true" hidden="false" outlineLevel="0" max="109" min="2" style="1" width="10"/>
  </cols>
  <sheetData>
    <row r="1" customFormat="false" ht="17.25" hidden="false" customHeight="true" outlineLevel="0" collapsed="false">
      <c r="A1" s="404" t="s">
        <v>1389</v>
      </c>
    </row>
    <row r="2" customFormat="false" ht="15" hidden="false" customHeight="true" outlineLevel="0" collapsed="false">
      <c r="A2" s="405" t="s">
        <v>1390</v>
      </c>
    </row>
    <row r="4" customFormat="false" ht="15" hidden="false" customHeight="true" outlineLevel="0" collapsed="false">
      <c r="A4" s="1" t="s">
        <v>1065</v>
      </c>
      <c r="B4" s="424" t="n">
        <f aca="false">DATE(2026,1,1)</f>
        <v>46023</v>
      </c>
      <c r="C4" s="424" t="n">
        <f aca="false">DATE(2026,2,1)</f>
        <v>46054</v>
      </c>
      <c r="D4" s="424" t="n">
        <f aca="false">DATE(2026,3,1)</f>
        <v>46082</v>
      </c>
      <c r="E4" s="424" t="n">
        <f aca="false">DATE(2026,4,1)</f>
        <v>46113</v>
      </c>
      <c r="F4" s="424" t="n">
        <f aca="false">DATE(2026,5,1)</f>
        <v>46143</v>
      </c>
      <c r="G4" s="424" t="n">
        <f aca="false">DATE(2026,6,1)</f>
        <v>46174</v>
      </c>
      <c r="H4" s="424" t="n">
        <f aca="false">DATE(2026,7,1)</f>
        <v>46204</v>
      </c>
      <c r="I4" s="424" t="n">
        <f aca="false">DATE(2026,8,1)</f>
        <v>46235</v>
      </c>
      <c r="J4" s="424" t="n">
        <f aca="false">DATE(2026,9,1)</f>
        <v>46266</v>
      </c>
      <c r="K4" s="424" t="n">
        <f aca="false">DATE(2026,10,1)</f>
        <v>46296</v>
      </c>
      <c r="L4" s="424" t="n">
        <f aca="false">DATE(2026,11,1)</f>
        <v>46327</v>
      </c>
      <c r="M4" s="424" t="n">
        <f aca="false">DATE(2026,12,1)</f>
        <v>46357</v>
      </c>
      <c r="N4" s="424" t="n">
        <f aca="false">DATE(2026,13,1)</f>
        <v>46388</v>
      </c>
      <c r="O4" s="424" t="n">
        <f aca="false">DATE(2026,14,1)</f>
        <v>46419</v>
      </c>
      <c r="P4" s="424" t="n">
        <f aca="false">DATE(2026,15,1)</f>
        <v>46447</v>
      </c>
      <c r="Q4" s="424" t="n">
        <f aca="false">DATE(2026,16,1)</f>
        <v>46478</v>
      </c>
      <c r="R4" s="424" t="n">
        <f aca="false">DATE(2026,17,1)</f>
        <v>46508</v>
      </c>
      <c r="S4" s="424" t="n">
        <f aca="false">DATE(2026,18,1)</f>
        <v>46539</v>
      </c>
      <c r="T4" s="424" t="n">
        <f aca="false">DATE(2026,19,1)</f>
        <v>46569</v>
      </c>
      <c r="U4" s="424" t="n">
        <f aca="false">DATE(2026,20,1)</f>
        <v>46600</v>
      </c>
      <c r="V4" s="424" t="n">
        <f aca="false">DATE(2026,21,1)</f>
        <v>46631</v>
      </c>
      <c r="W4" s="424" t="n">
        <f aca="false">DATE(2026,22,1)</f>
        <v>46661</v>
      </c>
      <c r="X4" s="424" t="n">
        <f aca="false">DATE(2026,23,1)</f>
        <v>46692</v>
      </c>
      <c r="Y4" s="424" t="n">
        <f aca="false">DATE(2026,24,1)</f>
        <v>46722</v>
      </c>
      <c r="Z4" s="424" t="n">
        <f aca="false">DATE(2026,25,1)</f>
        <v>46753</v>
      </c>
      <c r="AA4" s="424" t="n">
        <f aca="false">DATE(2026,26,1)</f>
        <v>46784</v>
      </c>
      <c r="AB4" s="424" t="n">
        <f aca="false">DATE(2026,27,1)</f>
        <v>46813</v>
      </c>
      <c r="AC4" s="424" t="n">
        <f aca="false">DATE(2026,28,1)</f>
        <v>46844</v>
      </c>
      <c r="AD4" s="424" t="n">
        <f aca="false">DATE(2026,29,1)</f>
        <v>46874</v>
      </c>
      <c r="AE4" s="424" t="n">
        <f aca="false">DATE(2026,30,1)</f>
        <v>46905</v>
      </c>
      <c r="AF4" s="424" t="n">
        <f aca="false">DATE(2026,31,1)</f>
        <v>46935</v>
      </c>
      <c r="AG4" s="424" t="n">
        <f aca="false">DATE(2026,32,1)</f>
        <v>46966</v>
      </c>
      <c r="AH4" s="424" t="n">
        <f aca="false">DATE(2026,33,1)</f>
        <v>46997</v>
      </c>
      <c r="AI4" s="424" t="n">
        <f aca="false">DATE(2026,34,1)</f>
        <v>47027</v>
      </c>
      <c r="AJ4" s="424" t="n">
        <f aca="false">DATE(2026,35,1)</f>
        <v>47058</v>
      </c>
      <c r="AK4" s="424" t="n">
        <f aca="false">DATE(2026,36,1)</f>
        <v>47088</v>
      </c>
      <c r="AL4" s="424" t="n">
        <f aca="false">DATE(2026,37,1)</f>
        <v>47119</v>
      </c>
      <c r="AM4" s="424" t="n">
        <f aca="false">DATE(2026,38,1)</f>
        <v>47150</v>
      </c>
      <c r="AN4" s="424" t="n">
        <f aca="false">DATE(2026,39,1)</f>
        <v>47178</v>
      </c>
      <c r="AO4" s="424" t="n">
        <f aca="false">DATE(2026,40,1)</f>
        <v>47209</v>
      </c>
      <c r="AP4" s="424" t="n">
        <f aca="false">DATE(2026,41,1)</f>
        <v>47239</v>
      </c>
      <c r="AQ4" s="424" t="n">
        <f aca="false">DATE(2026,42,1)</f>
        <v>47270</v>
      </c>
      <c r="AR4" s="424" t="n">
        <f aca="false">DATE(2026,43,1)</f>
        <v>47300</v>
      </c>
      <c r="AS4" s="424" t="n">
        <f aca="false">DATE(2026,44,1)</f>
        <v>47331</v>
      </c>
      <c r="AT4" s="424" t="n">
        <f aca="false">DATE(2026,45,1)</f>
        <v>47362</v>
      </c>
      <c r="AU4" s="424" t="n">
        <f aca="false">DATE(2026,46,1)</f>
        <v>47392</v>
      </c>
      <c r="AV4" s="424" t="n">
        <f aca="false">DATE(2026,47,1)</f>
        <v>47423</v>
      </c>
      <c r="AW4" s="424" t="n">
        <f aca="false">DATE(2026,48,1)</f>
        <v>47453</v>
      </c>
      <c r="AX4" s="424" t="n">
        <f aca="false">DATE(2026,49,1)</f>
        <v>47484</v>
      </c>
      <c r="AY4" s="424" t="n">
        <f aca="false">DATE(2026,50,1)</f>
        <v>47515</v>
      </c>
      <c r="AZ4" s="424" t="n">
        <f aca="false">DATE(2026,51,1)</f>
        <v>47543</v>
      </c>
      <c r="BA4" s="424" t="n">
        <f aca="false">DATE(2026,52,1)</f>
        <v>47574</v>
      </c>
      <c r="BB4" s="424" t="n">
        <f aca="false">DATE(2026,53,1)</f>
        <v>47604</v>
      </c>
      <c r="BC4" s="424" t="n">
        <f aca="false">DATE(2026,54,1)</f>
        <v>47635</v>
      </c>
      <c r="BD4" s="424" t="n">
        <f aca="false">DATE(2026,55,1)</f>
        <v>47665</v>
      </c>
      <c r="BE4" s="424" t="n">
        <f aca="false">DATE(2026,56,1)</f>
        <v>47696</v>
      </c>
      <c r="BF4" s="424" t="n">
        <f aca="false">DATE(2026,57,1)</f>
        <v>47727</v>
      </c>
      <c r="BG4" s="424" t="n">
        <f aca="false">DATE(2026,58,1)</f>
        <v>47757</v>
      </c>
      <c r="BH4" s="424" t="n">
        <f aca="false">DATE(2026,59,1)</f>
        <v>47788</v>
      </c>
      <c r="BI4" s="424" t="n">
        <f aca="false">DATE(2026,60,1)</f>
        <v>47818</v>
      </c>
      <c r="BJ4" s="424" t="n">
        <f aca="false">DATE(2026,61,1)</f>
        <v>47849</v>
      </c>
      <c r="BK4" s="424" t="n">
        <f aca="false">DATE(2026,62,1)</f>
        <v>47880</v>
      </c>
      <c r="BL4" s="424" t="n">
        <f aca="false">DATE(2026,63,1)</f>
        <v>47908</v>
      </c>
      <c r="BM4" s="424" t="n">
        <f aca="false">DATE(2026,64,1)</f>
        <v>47939</v>
      </c>
      <c r="BN4" s="424" t="n">
        <f aca="false">DATE(2026,65,1)</f>
        <v>47969</v>
      </c>
      <c r="BO4" s="424" t="n">
        <f aca="false">DATE(2026,66,1)</f>
        <v>48000</v>
      </c>
      <c r="BP4" s="424" t="n">
        <f aca="false">DATE(2026,67,1)</f>
        <v>48030</v>
      </c>
      <c r="BQ4" s="424" t="n">
        <f aca="false">DATE(2026,68,1)</f>
        <v>48061</v>
      </c>
      <c r="BR4" s="424" t="n">
        <f aca="false">DATE(2026,69,1)</f>
        <v>48092</v>
      </c>
      <c r="BS4" s="424" t="n">
        <f aca="false">DATE(2026,70,1)</f>
        <v>48122</v>
      </c>
      <c r="BT4" s="424" t="n">
        <f aca="false">DATE(2026,71,1)</f>
        <v>48153</v>
      </c>
      <c r="BU4" s="424" t="n">
        <f aca="false">DATE(2026,72,1)</f>
        <v>48183</v>
      </c>
      <c r="BV4" s="424" t="n">
        <f aca="false">DATE(2026,73,1)</f>
        <v>48214</v>
      </c>
      <c r="BW4" s="424" t="n">
        <f aca="false">DATE(2026,74,1)</f>
        <v>48245</v>
      </c>
      <c r="BX4" s="424" t="n">
        <f aca="false">DATE(2026,75,1)</f>
        <v>48274</v>
      </c>
      <c r="BY4" s="424" t="n">
        <f aca="false">DATE(2026,76,1)</f>
        <v>48305</v>
      </c>
      <c r="BZ4" s="424" t="n">
        <f aca="false">DATE(2026,77,1)</f>
        <v>48335</v>
      </c>
      <c r="CA4" s="424" t="n">
        <f aca="false">DATE(2026,78,1)</f>
        <v>48366</v>
      </c>
      <c r="CB4" s="424" t="n">
        <f aca="false">DATE(2026,79,1)</f>
        <v>48396</v>
      </c>
      <c r="CC4" s="424" t="n">
        <f aca="false">DATE(2026,80,1)</f>
        <v>48427</v>
      </c>
      <c r="CD4" s="424" t="n">
        <f aca="false">DATE(2026,81,1)</f>
        <v>48458</v>
      </c>
      <c r="CE4" s="424" t="n">
        <f aca="false">DATE(2026,82,1)</f>
        <v>48488</v>
      </c>
      <c r="CF4" s="424" t="n">
        <f aca="false">DATE(2026,83,1)</f>
        <v>48519</v>
      </c>
      <c r="CG4" s="424" t="n">
        <f aca="false">DATE(2026,84,1)</f>
        <v>48549</v>
      </c>
      <c r="CH4" s="424" t="n">
        <f aca="false">DATE(2026,85,1)</f>
        <v>48580</v>
      </c>
      <c r="CI4" s="424" t="n">
        <f aca="false">DATE(2026,86,1)</f>
        <v>48611</v>
      </c>
      <c r="CJ4" s="424" t="n">
        <f aca="false">DATE(2026,87,1)</f>
        <v>48639</v>
      </c>
      <c r="CK4" s="424" t="n">
        <f aca="false">DATE(2026,88,1)</f>
        <v>48670</v>
      </c>
      <c r="CL4" s="424" t="n">
        <f aca="false">DATE(2026,89,1)</f>
        <v>48700</v>
      </c>
      <c r="CM4" s="424" t="n">
        <f aca="false">DATE(2026,90,1)</f>
        <v>48731</v>
      </c>
      <c r="CN4" s="424" t="n">
        <f aca="false">DATE(2026,91,1)</f>
        <v>48761</v>
      </c>
      <c r="CO4" s="424" t="n">
        <f aca="false">DATE(2026,92,1)</f>
        <v>48792</v>
      </c>
      <c r="CP4" s="424" t="n">
        <f aca="false">DATE(2026,93,1)</f>
        <v>48823</v>
      </c>
      <c r="CQ4" s="424" t="n">
        <f aca="false">DATE(2026,94,1)</f>
        <v>48853</v>
      </c>
      <c r="CR4" s="424" t="n">
        <f aca="false">DATE(2026,95,1)</f>
        <v>48884</v>
      </c>
      <c r="CS4" s="424" t="n">
        <f aca="false">DATE(2026,96,1)</f>
        <v>48914</v>
      </c>
      <c r="CT4" s="424" t="n">
        <f aca="false">DATE(2026,97,1)</f>
        <v>48945</v>
      </c>
      <c r="CU4" s="424" t="n">
        <f aca="false">DATE(2026,98,1)</f>
        <v>48976</v>
      </c>
      <c r="CV4" s="424" t="n">
        <f aca="false">DATE(2026,99,1)</f>
        <v>49004</v>
      </c>
      <c r="CW4" s="424" t="n">
        <f aca="false">DATE(2026,100,1)</f>
        <v>49035</v>
      </c>
      <c r="CX4" s="424" t="n">
        <f aca="false">DATE(2026,101,1)</f>
        <v>49065</v>
      </c>
      <c r="CY4" s="424" t="n">
        <f aca="false">DATE(2026,102,1)</f>
        <v>49096</v>
      </c>
      <c r="CZ4" s="424" t="n">
        <f aca="false">DATE(2026,103,1)</f>
        <v>49126</v>
      </c>
      <c r="DA4" s="424" t="n">
        <f aca="false">DATE(2026,104,1)</f>
        <v>49157</v>
      </c>
      <c r="DB4" s="424" t="n">
        <f aca="false">DATE(2026,105,1)</f>
        <v>49188</v>
      </c>
      <c r="DC4" s="424" t="n">
        <f aca="false">DATE(2026,106,1)</f>
        <v>49218</v>
      </c>
      <c r="DD4" s="424" t="n">
        <f aca="false">DATE(2026,107,1)</f>
        <v>49249</v>
      </c>
      <c r="DE4" s="424" t="n">
        <f aca="false">DATE(2026,108,1)</f>
        <v>49279</v>
      </c>
    </row>
    <row r="5" customFormat="false" ht="15" hidden="false" customHeight="true" outlineLevel="0" collapsed="false">
      <c r="A5" s="1" t="s">
        <v>1391</v>
      </c>
      <c r="B5" s="1" t="n">
        <f aca="false">YEAR(B4)</f>
        <v>2026</v>
      </c>
      <c r="C5" s="1" t="n">
        <f aca="false">YEAR(C4)</f>
        <v>2026</v>
      </c>
      <c r="D5" s="1" t="n">
        <f aca="false">YEAR(D4)</f>
        <v>2026</v>
      </c>
      <c r="E5" s="1" t="n">
        <f aca="false">YEAR(E4)</f>
        <v>2026</v>
      </c>
      <c r="F5" s="1" t="n">
        <f aca="false">YEAR(F4)</f>
        <v>2026</v>
      </c>
      <c r="G5" s="1" t="n">
        <f aca="false">YEAR(G4)</f>
        <v>2026</v>
      </c>
      <c r="H5" s="1" t="n">
        <f aca="false">YEAR(H4)</f>
        <v>2026</v>
      </c>
      <c r="I5" s="1" t="n">
        <f aca="false">YEAR(I4)</f>
        <v>2026</v>
      </c>
      <c r="J5" s="1" t="n">
        <f aca="false">YEAR(J4)</f>
        <v>2026</v>
      </c>
      <c r="K5" s="1" t="n">
        <f aca="false">YEAR(K4)</f>
        <v>2026</v>
      </c>
      <c r="L5" s="1" t="n">
        <f aca="false">YEAR(L4)</f>
        <v>2026</v>
      </c>
      <c r="M5" s="1" t="n">
        <f aca="false">YEAR(M4)</f>
        <v>2026</v>
      </c>
      <c r="N5" s="1" t="n">
        <f aca="false">YEAR(N4)</f>
        <v>2027</v>
      </c>
      <c r="O5" s="1" t="n">
        <f aca="false">YEAR(O4)</f>
        <v>2027</v>
      </c>
      <c r="P5" s="1" t="n">
        <f aca="false">YEAR(P4)</f>
        <v>2027</v>
      </c>
      <c r="Q5" s="1" t="n">
        <f aca="false">YEAR(Q4)</f>
        <v>2027</v>
      </c>
      <c r="R5" s="1" t="n">
        <f aca="false">YEAR(R4)</f>
        <v>2027</v>
      </c>
      <c r="S5" s="1" t="n">
        <f aca="false">YEAR(S4)</f>
        <v>2027</v>
      </c>
      <c r="T5" s="1" t="n">
        <f aca="false">YEAR(T4)</f>
        <v>2027</v>
      </c>
      <c r="U5" s="1" t="n">
        <f aca="false">YEAR(U4)</f>
        <v>2027</v>
      </c>
      <c r="V5" s="1" t="n">
        <f aca="false">YEAR(V4)</f>
        <v>2027</v>
      </c>
      <c r="W5" s="1" t="n">
        <f aca="false">YEAR(W4)</f>
        <v>2027</v>
      </c>
      <c r="X5" s="1" t="n">
        <f aca="false">YEAR(X4)</f>
        <v>2027</v>
      </c>
      <c r="Y5" s="1" t="n">
        <f aca="false">YEAR(Y4)</f>
        <v>2027</v>
      </c>
      <c r="Z5" s="1" t="n">
        <f aca="false">YEAR(Z4)</f>
        <v>2028</v>
      </c>
      <c r="AA5" s="1" t="n">
        <f aca="false">YEAR(AA4)</f>
        <v>2028</v>
      </c>
      <c r="AB5" s="1" t="n">
        <f aca="false">YEAR(AB4)</f>
        <v>2028</v>
      </c>
      <c r="AC5" s="1" t="n">
        <f aca="false">YEAR(AC4)</f>
        <v>2028</v>
      </c>
      <c r="AD5" s="1" t="n">
        <f aca="false">YEAR(AD4)</f>
        <v>2028</v>
      </c>
      <c r="AE5" s="1" t="n">
        <f aca="false">YEAR(AE4)</f>
        <v>2028</v>
      </c>
      <c r="AF5" s="1" t="n">
        <f aca="false">YEAR(AF4)</f>
        <v>2028</v>
      </c>
      <c r="AG5" s="1" t="n">
        <f aca="false">YEAR(AG4)</f>
        <v>2028</v>
      </c>
      <c r="AH5" s="1" t="n">
        <f aca="false">YEAR(AH4)</f>
        <v>2028</v>
      </c>
      <c r="AI5" s="1" t="n">
        <f aca="false">YEAR(AI4)</f>
        <v>2028</v>
      </c>
      <c r="AJ5" s="1" t="n">
        <f aca="false">YEAR(AJ4)</f>
        <v>2028</v>
      </c>
      <c r="AK5" s="1" t="n">
        <f aca="false">YEAR(AK4)</f>
        <v>2028</v>
      </c>
      <c r="AL5" s="1" t="n">
        <f aca="false">YEAR(AL4)</f>
        <v>2029</v>
      </c>
      <c r="AM5" s="1" t="n">
        <f aca="false">YEAR(AM4)</f>
        <v>2029</v>
      </c>
      <c r="AN5" s="1" t="n">
        <f aca="false">YEAR(AN4)</f>
        <v>2029</v>
      </c>
      <c r="AO5" s="1" t="n">
        <f aca="false">YEAR(AO4)</f>
        <v>2029</v>
      </c>
      <c r="AP5" s="1" t="n">
        <f aca="false">YEAR(AP4)</f>
        <v>2029</v>
      </c>
      <c r="AQ5" s="1" t="n">
        <f aca="false">YEAR(AQ4)</f>
        <v>2029</v>
      </c>
      <c r="AR5" s="1" t="n">
        <f aca="false">YEAR(AR4)</f>
        <v>2029</v>
      </c>
      <c r="AS5" s="1" t="n">
        <f aca="false">YEAR(AS4)</f>
        <v>2029</v>
      </c>
      <c r="AT5" s="1" t="n">
        <f aca="false">YEAR(AT4)</f>
        <v>2029</v>
      </c>
      <c r="AU5" s="1" t="n">
        <f aca="false">YEAR(AU4)</f>
        <v>2029</v>
      </c>
      <c r="AV5" s="1" t="n">
        <f aca="false">YEAR(AV4)</f>
        <v>2029</v>
      </c>
      <c r="AW5" s="1" t="n">
        <f aca="false">YEAR(AW4)</f>
        <v>2029</v>
      </c>
      <c r="AX5" s="1" t="n">
        <f aca="false">YEAR(AX4)</f>
        <v>2030</v>
      </c>
      <c r="AY5" s="1" t="n">
        <f aca="false">YEAR(AY4)</f>
        <v>2030</v>
      </c>
      <c r="AZ5" s="1" t="n">
        <f aca="false">YEAR(AZ4)</f>
        <v>2030</v>
      </c>
      <c r="BA5" s="1" t="n">
        <f aca="false">YEAR(BA4)</f>
        <v>2030</v>
      </c>
      <c r="BB5" s="1" t="n">
        <f aca="false">YEAR(BB4)</f>
        <v>2030</v>
      </c>
      <c r="BC5" s="1" t="n">
        <f aca="false">YEAR(BC4)</f>
        <v>2030</v>
      </c>
      <c r="BD5" s="1" t="n">
        <f aca="false">YEAR(BD4)</f>
        <v>2030</v>
      </c>
      <c r="BE5" s="1" t="n">
        <f aca="false">YEAR(BE4)</f>
        <v>2030</v>
      </c>
      <c r="BF5" s="1" t="n">
        <f aca="false">YEAR(BF4)</f>
        <v>2030</v>
      </c>
      <c r="BG5" s="1" t="n">
        <f aca="false">YEAR(BG4)</f>
        <v>2030</v>
      </c>
      <c r="BH5" s="1" t="n">
        <f aca="false">YEAR(BH4)</f>
        <v>2030</v>
      </c>
      <c r="BI5" s="1" t="n">
        <f aca="false">YEAR(BI4)</f>
        <v>2030</v>
      </c>
      <c r="BJ5" s="1" t="n">
        <f aca="false">YEAR(BJ4)</f>
        <v>2031</v>
      </c>
      <c r="BK5" s="1" t="n">
        <f aca="false">YEAR(BK4)</f>
        <v>2031</v>
      </c>
      <c r="BL5" s="1" t="n">
        <f aca="false">YEAR(BL4)</f>
        <v>2031</v>
      </c>
      <c r="BM5" s="1" t="n">
        <f aca="false">YEAR(BM4)</f>
        <v>2031</v>
      </c>
      <c r="BN5" s="1" t="n">
        <f aca="false">YEAR(BN4)</f>
        <v>2031</v>
      </c>
      <c r="BO5" s="1" t="n">
        <f aca="false">YEAR(BO4)</f>
        <v>2031</v>
      </c>
      <c r="BP5" s="1" t="n">
        <f aca="false">YEAR(BP4)</f>
        <v>2031</v>
      </c>
      <c r="BQ5" s="1" t="n">
        <f aca="false">YEAR(BQ4)</f>
        <v>2031</v>
      </c>
      <c r="BR5" s="1" t="n">
        <f aca="false">YEAR(BR4)</f>
        <v>2031</v>
      </c>
      <c r="BS5" s="1" t="n">
        <f aca="false">YEAR(BS4)</f>
        <v>2031</v>
      </c>
      <c r="BT5" s="1" t="n">
        <f aca="false">YEAR(BT4)</f>
        <v>2031</v>
      </c>
      <c r="BU5" s="1" t="n">
        <f aca="false">YEAR(BU4)</f>
        <v>2031</v>
      </c>
      <c r="BV5" s="1" t="n">
        <f aca="false">YEAR(BV4)</f>
        <v>2032</v>
      </c>
      <c r="BW5" s="1" t="n">
        <f aca="false">YEAR(BW4)</f>
        <v>2032</v>
      </c>
      <c r="BX5" s="1" t="n">
        <f aca="false">YEAR(BX4)</f>
        <v>2032</v>
      </c>
      <c r="BY5" s="1" t="n">
        <f aca="false">YEAR(BY4)</f>
        <v>2032</v>
      </c>
      <c r="BZ5" s="1" t="n">
        <f aca="false">YEAR(BZ4)</f>
        <v>2032</v>
      </c>
      <c r="CA5" s="1" t="n">
        <f aca="false">YEAR(CA4)</f>
        <v>2032</v>
      </c>
      <c r="CB5" s="1" t="n">
        <f aca="false">YEAR(CB4)</f>
        <v>2032</v>
      </c>
      <c r="CC5" s="1" t="n">
        <f aca="false">YEAR(CC4)</f>
        <v>2032</v>
      </c>
      <c r="CD5" s="1" t="n">
        <f aca="false">YEAR(CD4)</f>
        <v>2032</v>
      </c>
      <c r="CE5" s="1" t="n">
        <f aca="false">YEAR(CE4)</f>
        <v>2032</v>
      </c>
      <c r="CF5" s="1" t="n">
        <f aca="false">YEAR(CF4)</f>
        <v>2032</v>
      </c>
      <c r="CG5" s="1" t="n">
        <f aca="false">YEAR(CG4)</f>
        <v>2032</v>
      </c>
      <c r="CH5" s="1" t="n">
        <f aca="false">YEAR(CH4)</f>
        <v>2033</v>
      </c>
      <c r="CI5" s="1" t="n">
        <f aca="false">YEAR(CI4)</f>
        <v>2033</v>
      </c>
      <c r="CJ5" s="1" t="n">
        <f aca="false">YEAR(CJ4)</f>
        <v>2033</v>
      </c>
      <c r="CK5" s="1" t="n">
        <f aca="false">YEAR(CK4)</f>
        <v>2033</v>
      </c>
      <c r="CL5" s="1" t="n">
        <f aca="false">YEAR(CL4)</f>
        <v>2033</v>
      </c>
      <c r="CM5" s="1" t="n">
        <f aca="false">YEAR(CM4)</f>
        <v>2033</v>
      </c>
      <c r="CN5" s="1" t="n">
        <f aca="false">YEAR(CN4)</f>
        <v>2033</v>
      </c>
      <c r="CO5" s="1" t="n">
        <f aca="false">YEAR(CO4)</f>
        <v>2033</v>
      </c>
      <c r="CP5" s="1" t="n">
        <f aca="false">YEAR(CP4)</f>
        <v>2033</v>
      </c>
      <c r="CQ5" s="1" t="n">
        <f aca="false">YEAR(CQ4)</f>
        <v>2033</v>
      </c>
      <c r="CR5" s="1" t="n">
        <f aca="false">YEAR(CR4)</f>
        <v>2033</v>
      </c>
      <c r="CS5" s="1" t="n">
        <f aca="false">YEAR(CS4)</f>
        <v>2033</v>
      </c>
      <c r="CT5" s="1" t="n">
        <f aca="false">YEAR(CT4)</f>
        <v>2034</v>
      </c>
      <c r="CU5" s="1" t="n">
        <f aca="false">YEAR(CU4)</f>
        <v>2034</v>
      </c>
      <c r="CV5" s="1" t="n">
        <f aca="false">YEAR(CV4)</f>
        <v>2034</v>
      </c>
      <c r="CW5" s="1" t="n">
        <f aca="false">YEAR(CW4)</f>
        <v>2034</v>
      </c>
      <c r="CX5" s="1" t="n">
        <f aca="false">YEAR(CX4)</f>
        <v>2034</v>
      </c>
      <c r="CY5" s="1" t="n">
        <f aca="false">YEAR(CY4)</f>
        <v>2034</v>
      </c>
      <c r="CZ5" s="1" t="n">
        <f aca="false">YEAR(CZ4)</f>
        <v>2034</v>
      </c>
      <c r="DA5" s="1" t="n">
        <f aca="false">YEAR(DA4)</f>
        <v>2034</v>
      </c>
      <c r="DB5" s="1" t="n">
        <f aca="false">YEAR(DB4)</f>
        <v>2034</v>
      </c>
      <c r="DC5" s="1" t="n">
        <f aca="false">YEAR(DC4)</f>
        <v>2034</v>
      </c>
      <c r="DD5" s="1" t="n">
        <f aca="false">YEAR(DD4)</f>
        <v>2034</v>
      </c>
      <c r="DE5" s="1" t="n">
        <f aca="false">YEAR(DE4)</f>
        <v>2034</v>
      </c>
    </row>
    <row r="6" customFormat="false" ht="15" hidden="false" customHeight="true" outlineLevel="0" collapsed="false">
      <c r="A6" s="402" t="s">
        <v>1392</v>
      </c>
    </row>
    <row r="7" customFormat="false" ht="15" hidden="false" customHeight="true" outlineLevel="0" collapsed="false">
      <c r="A7" s="1" t="str">
        <f aca="false">'APA Inputs'!A22</f>
        <v>Reseda</v>
      </c>
      <c r="B7" s="425" t="n">
        <f aca="false">IF('APA Inputs'!$C$22="",0,(IF(AND(B$4&gt;='APA Inputs'!$C$22,B$4&lt;EDATE('APA Inputs'!$C$22,N('APA Inputs'!$D$22))),'APA Inputs'!$J$22,0)+IF(N('APA Inputs'!$H$22)&gt;0,IF(B$4=EDATE('APA Inputs'!$C$22,'APA Inputs'!$H$22-1),N('APA Inputs'!$G$22),0),0))*IF('APA Inputs'!$I$22="",1,'APA Inputs'!$I$22))</f>
        <v>0</v>
      </c>
      <c r="C7" s="425" t="n">
        <f aca="false">IF('APA Inputs'!$C$22="",0,(IF(AND(C$4&gt;='APA Inputs'!$C$22,C$4&lt;EDATE('APA Inputs'!$C$22,N('APA Inputs'!$D$22))),'APA Inputs'!$J$22,0)+IF(N('APA Inputs'!$H$22)&gt;0,IF(C$4=EDATE('APA Inputs'!$C$22,'APA Inputs'!$H$22-1),N('APA Inputs'!$G$22),0),0))*IF('APA Inputs'!$I$22="",1,'APA Inputs'!$I$22))</f>
        <v>0</v>
      </c>
      <c r="D7" s="425" t="n">
        <f aca="false">IF('APA Inputs'!$C$22="",0,(IF(AND(D$4&gt;='APA Inputs'!$C$22,D$4&lt;EDATE('APA Inputs'!$C$22,N('APA Inputs'!$D$22))),'APA Inputs'!$J$22,0)+IF(N('APA Inputs'!$H$22)&gt;0,IF(D$4=EDATE('APA Inputs'!$C$22,'APA Inputs'!$H$22-1),N('APA Inputs'!$G$22),0),0))*IF('APA Inputs'!$I$22="",1,'APA Inputs'!$I$22))</f>
        <v>0</v>
      </c>
      <c r="E7" s="425" t="n">
        <f aca="false">IF('APA Inputs'!$C$22="",0,(IF(AND(E$4&gt;='APA Inputs'!$C$22,E$4&lt;EDATE('APA Inputs'!$C$22,N('APA Inputs'!$D$22))),'APA Inputs'!$J$22,0)+IF(N('APA Inputs'!$H$22)&gt;0,IF(E$4=EDATE('APA Inputs'!$C$22,'APA Inputs'!$H$22-1),N('APA Inputs'!$G$22),0),0))*IF('APA Inputs'!$I$22="",1,'APA Inputs'!$I$22))</f>
        <v>0</v>
      </c>
      <c r="F7" s="425" t="n">
        <f aca="false">IF('APA Inputs'!$C$22="",0,(IF(AND(F$4&gt;='APA Inputs'!$C$22,F$4&lt;EDATE('APA Inputs'!$C$22,N('APA Inputs'!$D$22))),'APA Inputs'!$J$22,0)+IF(N('APA Inputs'!$H$22)&gt;0,IF(F$4=EDATE('APA Inputs'!$C$22,'APA Inputs'!$H$22-1),N('APA Inputs'!$G$22),0),0))*IF('APA Inputs'!$I$22="",1,'APA Inputs'!$I$22))</f>
        <v>0</v>
      </c>
      <c r="G7" s="425" t="n">
        <f aca="false">IF('APA Inputs'!$C$22="",0,(IF(AND(G$4&gt;='APA Inputs'!$C$22,G$4&lt;EDATE('APA Inputs'!$C$22,N('APA Inputs'!$D$22))),'APA Inputs'!$J$22,0)+IF(N('APA Inputs'!$H$22)&gt;0,IF(G$4=EDATE('APA Inputs'!$C$22,'APA Inputs'!$H$22-1),N('APA Inputs'!$G$22),0),0))*IF('APA Inputs'!$I$22="",1,'APA Inputs'!$I$22))</f>
        <v>0</v>
      </c>
      <c r="H7" s="425" t="n">
        <f aca="false">IF('APA Inputs'!$C$22="",0,(IF(AND(H$4&gt;='APA Inputs'!$C$22,H$4&lt;EDATE('APA Inputs'!$C$22,N('APA Inputs'!$D$22))),'APA Inputs'!$J$22,0)+IF(N('APA Inputs'!$H$22)&gt;0,IF(H$4=EDATE('APA Inputs'!$C$22,'APA Inputs'!$H$22-1),N('APA Inputs'!$G$22),0),0))*IF('APA Inputs'!$I$22="",1,'APA Inputs'!$I$22))</f>
        <v>10000</v>
      </c>
      <c r="I7" s="425" t="n">
        <f aca="false">IF('APA Inputs'!$C$22="",0,(IF(AND(I$4&gt;='APA Inputs'!$C$22,I$4&lt;EDATE('APA Inputs'!$C$22,N('APA Inputs'!$D$22))),'APA Inputs'!$J$22,0)+IF(N('APA Inputs'!$H$22)&gt;0,IF(I$4=EDATE('APA Inputs'!$C$22,'APA Inputs'!$H$22-1),N('APA Inputs'!$G$22),0),0))*IF('APA Inputs'!$I$22="",1,'APA Inputs'!$I$22))</f>
        <v>10000</v>
      </c>
      <c r="J7" s="425" t="n">
        <f aca="false">IF('APA Inputs'!$C$22="",0,(IF(AND(J$4&gt;='APA Inputs'!$C$22,J$4&lt;EDATE('APA Inputs'!$C$22,N('APA Inputs'!$D$22))),'APA Inputs'!$J$22,0)+IF(N('APA Inputs'!$H$22)&gt;0,IF(J$4=EDATE('APA Inputs'!$C$22,'APA Inputs'!$H$22-1),N('APA Inputs'!$G$22),0),0))*IF('APA Inputs'!$I$22="",1,'APA Inputs'!$I$22))</f>
        <v>10000</v>
      </c>
      <c r="K7" s="425" t="n">
        <f aca="false">IF('APA Inputs'!$C$22="",0,(IF(AND(K$4&gt;='APA Inputs'!$C$22,K$4&lt;EDATE('APA Inputs'!$C$22,N('APA Inputs'!$D$22))),'APA Inputs'!$J$22,0)+IF(N('APA Inputs'!$H$22)&gt;0,IF(K$4=EDATE('APA Inputs'!$C$22,'APA Inputs'!$H$22-1),N('APA Inputs'!$G$22),0),0))*IF('APA Inputs'!$I$22="",1,'APA Inputs'!$I$22))</f>
        <v>10000</v>
      </c>
      <c r="L7" s="425" t="n">
        <f aca="false">IF('APA Inputs'!$C$22="",0,(IF(AND(L$4&gt;='APA Inputs'!$C$22,L$4&lt;EDATE('APA Inputs'!$C$22,N('APA Inputs'!$D$22))),'APA Inputs'!$J$22,0)+IF(N('APA Inputs'!$H$22)&gt;0,IF(L$4=EDATE('APA Inputs'!$C$22,'APA Inputs'!$H$22-1),N('APA Inputs'!$G$22),0),0))*IF('APA Inputs'!$I$22="",1,'APA Inputs'!$I$22))</f>
        <v>10000</v>
      </c>
      <c r="M7" s="425" t="n">
        <f aca="false">IF('APA Inputs'!$C$22="",0,(IF(AND(M$4&gt;='APA Inputs'!$C$22,M$4&lt;EDATE('APA Inputs'!$C$22,N('APA Inputs'!$D$22))),'APA Inputs'!$J$22,0)+IF(N('APA Inputs'!$H$22)&gt;0,IF(M$4=EDATE('APA Inputs'!$C$22,'APA Inputs'!$H$22-1),N('APA Inputs'!$G$22),0),0))*IF('APA Inputs'!$I$22="",1,'APA Inputs'!$I$22))</f>
        <v>10000</v>
      </c>
      <c r="N7" s="425" t="n">
        <f aca="false">IF('APA Inputs'!$C$22="",0,(IF(AND(N$4&gt;='APA Inputs'!$C$22,N$4&lt;EDATE('APA Inputs'!$C$22,N('APA Inputs'!$D$22))),'APA Inputs'!$J$22,0)+IF(N('APA Inputs'!$H$22)&gt;0,IF(N$4=EDATE('APA Inputs'!$C$22,'APA Inputs'!$H$22-1),N('APA Inputs'!$G$22),0),0))*IF('APA Inputs'!$I$22="",1,'APA Inputs'!$I$22))</f>
        <v>16666.66</v>
      </c>
      <c r="O7" s="425" t="n">
        <f aca="false">IF('APA Inputs'!$C$22="",0,(IF(AND(O$4&gt;='APA Inputs'!$C$22,O$4&lt;EDATE('APA Inputs'!$C$22,N('APA Inputs'!$D$22))),'APA Inputs'!$J$22,0)+IF(N('APA Inputs'!$H$22)&gt;0,IF(O$4=EDATE('APA Inputs'!$C$22,'APA Inputs'!$H$22-1),N('APA Inputs'!$G$22),0),0))*IF('APA Inputs'!$I$22="",1,'APA Inputs'!$I$22))</f>
        <v>10000</v>
      </c>
      <c r="P7" s="425" t="n">
        <f aca="false">IF('APA Inputs'!$C$22="",0,(IF(AND(P$4&gt;='APA Inputs'!$C$22,P$4&lt;EDATE('APA Inputs'!$C$22,N('APA Inputs'!$D$22))),'APA Inputs'!$J$22,0)+IF(N('APA Inputs'!$H$22)&gt;0,IF(P$4=EDATE('APA Inputs'!$C$22,'APA Inputs'!$H$22-1),N('APA Inputs'!$G$22),0),0))*IF('APA Inputs'!$I$22="",1,'APA Inputs'!$I$22))</f>
        <v>10000</v>
      </c>
      <c r="Q7" s="425" t="n">
        <f aca="false">IF('APA Inputs'!$C$22="",0,(IF(AND(Q$4&gt;='APA Inputs'!$C$22,Q$4&lt;EDATE('APA Inputs'!$C$22,N('APA Inputs'!$D$22))),'APA Inputs'!$J$22,0)+IF(N('APA Inputs'!$H$22)&gt;0,IF(Q$4=EDATE('APA Inputs'!$C$22,'APA Inputs'!$H$22-1),N('APA Inputs'!$G$22),0),0))*IF('APA Inputs'!$I$22="",1,'APA Inputs'!$I$22))</f>
        <v>10000</v>
      </c>
      <c r="R7" s="425" t="n">
        <f aca="false">IF('APA Inputs'!$C$22="",0,(IF(AND(R$4&gt;='APA Inputs'!$C$22,R$4&lt;EDATE('APA Inputs'!$C$22,N('APA Inputs'!$D$22))),'APA Inputs'!$J$22,0)+IF(N('APA Inputs'!$H$22)&gt;0,IF(R$4=EDATE('APA Inputs'!$C$22,'APA Inputs'!$H$22-1),N('APA Inputs'!$G$22),0),0))*IF('APA Inputs'!$I$22="",1,'APA Inputs'!$I$22))</f>
        <v>10000</v>
      </c>
      <c r="S7" s="425" t="n">
        <f aca="false">IF('APA Inputs'!$C$22="",0,(IF(AND(S$4&gt;='APA Inputs'!$C$22,S$4&lt;EDATE('APA Inputs'!$C$22,N('APA Inputs'!$D$22))),'APA Inputs'!$J$22,0)+IF(N('APA Inputs'!$H$22)&gt;0,IF(S$4=EDATE('APA Inputs'!$C$22,'APA Inputs'!$H$22-1),N('APA Inputs'!$G$22),0),0))*IF('APA Inputs'!$I$22="",1,'APA Inputs'!$I$22))</f>
        <v>0</v>
      </c>
      <c r="T7" s="425" t="n">
        <f aca="false">IF('APA Inputs'!$C$22="",0,(IF(AND(T$4&gt;='APA Inputs'!$C$22,T$4&lt;EDATE('APA Inputs'!$C$22,N('APA Inputs'!$D$22))),'APA Inputs'!$J$22,0)+IF(N('APA Inputs'!$H$22)&gt;0,IF(T$4=EDATE('APA Inputs'!$C$22,'APA Inputs'!$H$22-1),N('APA Inputs'!$G$22),0),0))*IF('APA Inputs'!$I$22="",1,'APA Inputs'!$I$22))</f>
        <v>0</v>
      </c>
      <c r="U7" s="425" t="n">
        <f aca="false">IF('APA Inputs'!$C$22="",0,(IF(AND(U$4&gt;='APA Inputs'!$C$22,U$4&lt;EDATE('APA Inputs'!$C$22,N('APA Inputs'!$D$22))),'APA Inputs'!$J$22,0)+IF(N('APA Inputs'!$H$22)&gt;0,IF(U$4=EDATE('APA Inputs'!$C$22,'APA Inputs'!$H$22-1),N('APA Inputs'!$G$22),0),0))*IF('APA Inputs'!$I$22="",1,'APA Inputs'!$I$22))</f>
        <v>0</v>
      </c>
      <c r="V7" s="425" t="n">
        <f aca="false">IF('APA Inputs'!$C$22="",0,(IF(AND(V$4&gt;='APA Inputs'!$C$22,V$4&lt;EDATE('APA Inputs'!$C$22,N('APA Inputs'!$D$22))),'APA Inputs'!$J$22,0)+IF(N('APA Inputs'!$H$22)&gt;0,IF(V$4=EDATE('APA Inputs'!$C$22,'APA Inputs'!$H$22-1),N('APA Inputs'!$G$22),0),0))*IF('APA Inputs'!$I$22="",1,'APA Inputs'!$I$22))</f>
        <v>0</v>
      </c>
      <c r="W7" s="425" t="n">
        <f aca="false">IF('APA Inputs'!$C$22="",0,(IF(AND(W$4&gt;='APA Inputs'!$C$22,W$4&lt;EDATE('APA Inputs'!$C$22,N('APA Inputs'!$D$22))),'APA Inputs'!$J$22,0)+IF(N('APA Inputs'!$H$22)&gt;0,IF(W$4=EDATE('APA Inputs'!$C$22,'APA Inputs'!$H$22-1),N('APA Inputs'!$G$22),0),0))*IF('APA Inputs'!$I$22="",1,'APA Inputs'!$I$22))</f>
        <v>0</v>
      </c>
      <c r="X7" s="425" t="n">
        <f aca="false">IF('APA Inputs'!$C$22="",0,(IF(AND(X$4&gt;='APA Inputs'!$C$22,X$4&lt;EDATE('APA Inputs'!$C$22,N('APA Inputs'!$D$22))),'APA Inputs'!$J$22,0)+IF(N('APA Inputs'!$H$22)&gt;0,IF(X$4=EDATE('APA Inputs'!$C$22,'APA Inputs'!$H$22-1),N('APA Inputs'!$G$22),0),0))*IF('APA Inputs'!$I$22="",1,'APA Inputs'!$I$22))</f>
        <v>0</v>
      </c>
      <c r="Y7" s="425" t="n">
        <f aca="false">IF('APA Inputs'!$C$22="",0,(IF(AND(Y$4&gt;='APA Inputs'!$C$22,Y$4&lt;EDATE('APA Inputs'!$C$22,N('APA Inputs'!$D$22))),'APA Inputs'!$J$22,0)+IF(N('APA Inputs'!$H$22)&gt;0,IF(Y$4=EDATE('APA Inputs'!$C$22,'APA Inputs'!$H$22-1),N('APA Inputs'!$G$22),0),0))*IF('APA Inputs'!$I$22="",1,'APA Inputs'!$I$22))</f>
        <v>0</v>
      </c>
      <c r="Z7" s="425" t="n">
        <f aca="false">IF('APA Inputs'!$C$22="",0,(IF(AND(Z$4&gt;='APA Inputs'!$C$22,Z$4&lt;EDATE('APA Inputs'!$C$22,N('APA Inputs'!$D$22))),'APA Inputs'!$J$22,0)+IF(N('APA Inputs'!$H$22)&gt;0,IF(Z$4=EDATE('APA Inputs'!$C$22,'APA Inputs'!$H$22-1),N('APA Inputs'!$G$22),0),0))*IF('APA Inputs'!$I$22="",1,'APA Inputs'!$I$22))</f>
        <v>0</v>
      </c>
      <c r="AA7" s="425" t="n">
        <f aca="false">IF('APA Inputs'!$C$22="",0,(IF(AND(AA$4&gt;='APA Inputs'!$C$22,AA$4&lt;EDATE('APA Inputs'!$C$22,N('APA Inputs'!$D$22))),'APA Inputs'!$J$22,0)+IF(N('APA Inputs'!$H$22)&gt;0,IF(AA$4=EDATE('APA Inputs'!$C$22,'APA Inputs'!$H$22-1),N('APA Inputs'!$G$22),0),0))*IF('APA Inputs'!$I$22="",1,'APA Inputs'!$I$22))</f>
        <v>0</v>
      </c>
      <c r="AB7" s="425" t="n">
        <f aca="false">IF('APA Inputs'!$C$22="",0,(IF(AND(AB$4&gt;='APA Inputs'!$C$22,AB$4&lt;EDATE('APA Inputs'!$C$22,N('APA Inputs'!$D$22))),'APA Inputs'!$J$22,0)+IF(N('APA Inputs'!$H$22)&gt;0,IF(AB$4=EDATE('APA Inputs'!$C$22,'APA Inputs'!$H$22-1),N('APA Inputs'!$G$22),0),0))*IF('APA Inputs'!$I$22="",1,'APA Inputs'!$I$22))</f>
        <v>0</v>
      </c>
      <c r="AC7" s="425" t="n">
        <f aca="false">IF('APA Inputs'!$C$22="",0,(IF(AND(AC$4&gt;='APA Inputs'!$C$22,AC$4&lt;EDATE('APA Inputs'!$C$22,N('APA Inputs'!$D$22))),'APA Inputs'!$J$22,0)+IF(N('APA Inputs'!$H$22)&gt;0,IF(AC$4=EDATE('APA Inputs'!$C$22,'APA Inputs'!$H$22-1),N('APA Inputs'!$G$22),0),0))*IF('APA Inputs'!$I$22="",1,'APA Inputs'!$I$22))</f>
        <v>0</v>
      </c>
      <c r="AD7" s="425" t="n">
        <f aca="false">IF('APA Inputs'!$C$22="",0,(IF(AND(AD$4&gt;='APA Inputs'!$C$22,AD$4&lt;EDATE('APA Inputs'!$C$22,N('APA Inputs'!$D$22))),'APA Inputs'!$J$22,0)+IF(N('APA Inputs'!$H$22)&gt;0,IF(AD$4=EDATE('APA Inputs'!$C$22,'APA Inputs'!$H$22-1),N('APA Inputs'!$G$22),0),0))*IF('APA Inputs'!$I$22="",1,'APA Inputs'!$I$22))</f>
        <v>0</v>
      </c>
      <c r="AE7" s="425" t="n">
        <f aca="false">IF('APA Inputs'!$C$22="",0,(IF(AND(AE$4&gt;='APA Inputs'!$C$22,AE$4&lt;EDATE('APA Inputs'!$C$22,N('APA Inputs'!$D$22))),'APA Inputs'!$J$22,0)+IF(N('APA Inputs'!$H$22)&gt;0,IF(AE$4=EDATE('APA Inputs'!$C$22,'APA Inputs'!$H$22-1),N('APA Inputs'!$G$22),0),0))*IF('APA Inputs'!$I$22="",1,'APA Inputs'!$I$22))</f>
        <v>0</v>
      </c>
      <c r="AF7" s="425" t="n">
        <f aca="false">IF('APA Inputs'!$C$22="",0,(IF(AND(AF$4&gt;='APA Inputs'!$C$22,AF$4&lt;EDATE('APA Inputs'!$C$22,N('APA Inputs'!$D$22))),'APA Inputs'!$J$22,0)+IF(N('APA Inputs'!$H$22)&gt;0,IF(AF$4=EDATE('APA Inputs'!$C$22,'APA Inputs'!$H$22-1),N('APA Inputs'!$G$22),0),0))*IF('APA Inputs'!$I$22="",1,'APA Inputs'!$I$22))</f>
        <v>0</v>
      </c>
      <c r="AG7" s="425" t="n">
        <f aca="false">IF('APA Inputs'!$C$22="",0,(IF(AND(AG$4&gt;='APA Inputs'!$C$22,AG$4&lt;EDATE('APA Inputs'!$C$22,N('APA Inputs'!$D$22))),'APA Inputs'!$J$22,0)+IF(N('APA Inputs'!$H$22)&gt;0,IF(AG$4=EDATE('APA Inputs'!$C$22,'APA Inputs'!$H$22-1),N('APA Inputs'!$G$22),0),0))*IF('APA Inputs'!$I$22="",1,'APA Inputs'!$I$22))</f>
        <v>0</v>
      </c>
      <c r="AH7" s="425" t="n">
        <f aca="false">IF('APA Inputs'!$C$22="",0,(IF(AND(AH$4&gt;='APA Inputs'!$C$22,AH$4&lt;EDATE('APA Inputs'!$C$22,N('APA Inputs'!$D$22))),'APA Inputs'!$J$22,0)+IF(N('APA Inputs'!$H$22)&gt;0,IF(AH$4=EDATE('APA Inputs'!$C$22,'APA Inputs'!$H$22-1),N('APA Inputs'!$G$22),0),0))*IF('APA Inputs'!$I$22="",1,'APA Inputs'!$I$22))</f>
        <v>0</v>
      </c>
      <c r="AI7" s="425" t="n">
        <f aca="false">IF('APA Inputs'!$C$22="",0,(IF(AND(AI$4&gt;='APA Inputs'!$C$22,AI$4&lt;EDATE('APA Inputs'!$C$22,N('APA Inputs'!$D$22))),'APA Inputs'!$J$22,0)+IF(N('APA Inputs'!$H$22)&gt;0,IF(AI$4=EDATE('APA Inputs'!$C$22,'APA Inputs'!$H$22-1),N('APA Inputs'!$G$22),0),0))*IF('APA Inputs'!$I$22="",1,'APA Inputs'!$I$22))</f>
        <v>0</v>
      </c>
      <c r="AJ7" s="425" t="n">
        <f aca="false">IF('APA Inputs'!$C$22="",0,(IF(AND(AJ$4&gt;='APA Inputs'!$C$22,AJ$4&lt;EDATE('APA Inputs'!$C$22,N('APA Inputs'!$D$22))),'APA Inputs'!$J$22,0)+IF(N('APA Inputs'!$H$22)&gt;0,IF(AJ$4=EDATE('APA Inputs'!$C$22,'APA Inputs'!$H$22-1),N('APA Inputs'!$G$22),0),0))*IF('APA Inputs'!$I$22="",1,'APA Inputs'!$I$22))</f>
        <v>0</v>
      </c>
      <c r="AK7" s="425" t="n">
        <f aca="false">IF('APA Inputs'!$C$22="",0,(IF(AND(AK$4&gt;='APA Inputs'!$C$22,AK$4&lt;EDATE('APA Inputs'!$C$22,N('APA Inputs'!$D$22))),'APA Inputs'!$J$22,0)+IF(N('APA Inputs'!$H$22)&gt;0,IF(AK$4=EDATE('APA Inputs'!$C$22,'APA Inputs'!$H$22-1),N('APA Inputs'!$G$22),0),0))*IF('APA Inputs'!$I$22="",1,'APA Inputs'!$I$22))</f>
        <v>0</v>
      </c>
      <c r="AL7" s="425" t="n">
        <f aca="false">IF('APA Inputs'!$C$22="",0,(IF(AND(AL$4&gt;='APA Inputs'!$C$22,AL$4&lt;EDATE('APA Inputs'!$C$22,N('APA Inputs'!$D$22))),'APA Inputs'!$J$22,0)+IF(N('APA Inputs'!$H$22)&gt;0,IF(AL$4=EDATE('APA Inputs'!$C$22,'APA Inputs'!$H$22-1),N('APA Inputs'!$G$22),0),0))*IF('APA Inputs'!$I$22="",1,'APA Inputs'!$I$22))</f>
        <v>0</v>
      </c>
      <c r="AM7" s="425" t="n">
        <f aca="false">IF('APA Inputs'!$C$22="",0,(IF(AND(AM$4&gt;='APA Inputs'!$C$22,AM$4&lt;EDATE('APA Inputs'!$C$22,N('APA Inputs'!$D$22))),'APA Inputs'!$J$22,0)+IF(N('APA Inputs'!$H$22)&gt;0,IF(AM$4=EDATE('APA Inputs'!$C$22,'APA Inputs'!$H$22-1),N('APA Inputs'!$G$22),0),0))*IF('APA Inputs'!$I$22="",1,'APA Inputs'!$I$22))</f>
        <v>0</v>
      </c>
      <c r="AN7" s="425" t="n">
        <f aca="false">IF('APA Inputs'!$C$22="",0,(IF(AND(AN$4&gt;='APA Inputs'!$C$22,AN$4&lt;EDATE('APA Inputs'!$C$22,N('APA Inputs'!$D$22))),'APA Inputs'!$J$22,0)+IF(N('APA Inputs'!$H$22)&gt;0,IF(AN$4=EDATE('APA Inputs'!$C$22,'APA Inputs'!$H$22-1),N('APA Inputs'!$G$22),0),0))*IF('APA Inputs'!$I$22="",1,'APA Inputs'!$I$22))</f>
        <v>0</v>
      </c>
      <c r="AO7" s="425" t="n">
        <f aca="false">IF('APA Inputs'!$C$22="",0,(IF(AND(AO$4&gt;='APA Inputs'!$C$22,AO$4&lt;EDATE('APA Inputs'!$C$22,N('APA Inputs'!$D$22))),'APA Inputs'!$J$22,0)+IF(N('APA Inputs'!$H$22)&gt;0,IF(AO$4=EDATE('APA Inputs'!$C$22,'APA Inputs'!$H$22-1),N('APA Inputs'!$G$22),0),0))*IF('APA Inputs'!$I$22="",1,'APA Inputs'!$I$22))</f>
        <v>0</v>
      </c>
      <c r="AP7" s="425" t="n">
        <f aca="false">IF('APA Inputs'!$C$22="",0,(IF(AND(AP$4&gt;='APA Inputs'!$C$22,AP$4&lt;EDATE('APA Inputs'!$C$22,N('APA Inputs'!$D$22))),'APA Inputs'!$J$22,0)+IF(N('APA Inputs'!$H$22)&gt;0,IF(AP$4=EDATE('APA Inputs'!$C$22,'APA Inputs'!$H$22-1),N('APA Inputs'!$G$22),0),0))*IF('APA Inputs'!$I$22="",1,'APA Inputs'!$I$22))</f>
        <v>0</v>
      </c>
      <c r="AQ7" s="425" t="n">
        <f aca="false">IF('APA Inputs'!$C$22="",0,(IF(AND(AQ$4&gt;='APA Inputs'!$C$22,AQ$4&lt;EDATE('APA Inputs'!$C$22,N('APA Inputs'!$D$22))),'APA Inputs'!$J$22,0)+IF(N('APA Inputs'!$H$22)&gt;0,IF(AQ$4=EDATE('APA Inputs'!$C$22,'APA Inputs'!$H$22-1),N('APA Inputs'!$G$22),0),0))*IF('APA Inputs'!$I$22="",1,'APA Inputs'!$I$22))</f>
        <v>0</v>
      </c>
      <c r="AR7" s="425" t="n">
        <f aca="false">IF('APA Inputs'!$C$22="",0,(IF(AND(AR$4&gt;='APA Inputs'!$C$22,AR$4&lt;EDATE('APA Inputs'!$C$22,N('APA Inputs'!$D$22))),'APA Inputs'!$J$22,0)+IF(N('APA Inputs'!$H$22)&gt;0,IF(AR$4=EDATE('APA Inputs'!$C$22,'APA Inputs'!$H$22-1),N('APA Inputs'!$G$22),0),0))*IF('APA Inputs'!$I$22="",1,'APA Inputs'!$I$22))</f>
        <v>0</v>
      </c>
      <c r="AS7" s="425" t="n">
        <f aca="false">IF('APA Inputs'!$C$22="",0,(IF(AND(AS$4&gt;='APA Inputs'!$C$22,AS$4&lt;EDATE('APA Inputs'!$C$22,N('APA Inputs'!$D$22))),'APA Inputs'!$J$22,0)+IF(N('APA Inputs'!$H$22)&gt;0,IF(AS$4=EDATE('APA Inputs'!$C$22,'APA Inputs'!$H$22-1),N('APA Inputs'!$G$22),0),0))*IF('APA Inputs'!$I$22="",1,'APA Inputs'!$I$22))</f>
        <v>0</v>
      </c>
      <c r="AT7" s="425" t="n">
        <f aca="false">IF('APA Inputs'!$C$22="",0,(IF(AND(AT$4&gt;='APA Inputs'!$C$22,AT$4&lt;EDATE('APA Inputs'!$C$22,N('APA Inputs'!$D$22))),'APA Inputs'!$J$22,0)+IF(N('APA Inputs'!$H$22)&gt;0,IF(AT$4=EDATE('APA Inputs'!$C$22,'APA Inputs'!$H$22-1),N('APA Inputs'!$G$22),0),0))*IF('APA Inputs'!$I$22="",1,'APA Inputs'!$I$22))</f>
        <v>0</v>
      </c>
      <c r="AU7" s="425" t="n">
        <f aca="false">IF('APA Inputs'!$C$22="",0,(IF(AND(AU$4&gt;='APA Inputs'!$C$22,AU$4&lt;EDATE('APA Inputs'!$C$22,N('APA Inputs'!$D$22))),'APA Inputs'!$J$22,0)+IF(N('APA Inputs'!$H$22)&gt;0,IF(AU$4=EDATE('APA Inputs'!$C$22,'APA Inputs'!$H$22-1),N('APA Inputs'!$G$22),0),0))*IF('APA Inputs'!$I$22="",1,'APA Inputs'!$I$22))</f>
        <v>0</v>
      </c>
      <c r="AV7" s="425" t="n">
        <f aca="false">IF('APA Inputs'!$C$22="",0,(IF(AND(AV$4&gt;='APA Inputs'!$C$22,AV$4&lt;EDATE('APA Inputs'!$C$22,N('APA Inputs'!$D$22))),'APA Inputs'!$J$22,0)+IF(N('APA Inputs'!$H$22)&gt;0,IF(AV$4=EDATE('APA Inputs'!$C$22,'APA Inputs'!$H$22-1),N('APA Inputs'!$G$22),0),0))*IF('APA Inputs'!$I$22="",1,'APA Inputs'!$I$22))</f>
        <v>0</v>
      </c>
      <c r="AW7" s="425" t="n">
        <f aca="false">IF('APA Inputs'!$C$22="",0,(IF(AND(AW$4&gt;='APA Inputs'!$C$22,AW$4&lt;EDATE('APA Inputs'!$C$22,N('APA Inputs'!$D$22))),'APA Inputs'!$J$22,0)+IF(N('APA Inputs'!$H$22)&gt;0,IF(AW$4=EDATE('APA Inputs'!$C$22,'APA Inputs'!$H$22-1),N('APA Inputs'!$G$22),0),0))*IF('APA Inputs'!$I$22="",1,'APA Inputs'!$I$22))</f>
        <v>0</v>
      </c>
      <c r="AX7" s="425" t="n">
        <f aca="false">IF('APA Inputs'!$C$22="",0,(IF(AND(AX$4&gt;='APA Inputs'!$C$22,AX$4&lt;EDATE('APA Inputs'!$C$22,N('APA Inputs'!$D$22))),'APA Inputs'!$J$22,0)+IF(N('APA Inputs'!$H$22)&gt;0,IF(AX$4=EDATE('APA Inputs'!$C$22,'APA Inputs'!$H$22-1),N('APA Inputs'!$G$22),0),0))*IF('APA Inputs'!$I$22="",1,'APA Inputs'!$I$22))</f>
        <v>0</v>
      </c>
      <c r="AY7" s="425" t="n">
        <f aca="false">IF('APA Inputs'!$C$22="",0,(IF(AND(AY$4&gt;='APA Inputs'!$C$22,AY$4&lt;EDATE('APA Inputs'!$C$22,N('APA Inputs'!$D$22))),'APA Inputs'!$J$22,0)+IF(N('APA Inputs'!$H$22)&gt;0,IF(AY$4=EDATE('APA Inputs'!$C$22,'APA Inputs'!$H$22-1),N('APA Inputs'!$G$22),0),0))*IF('APA Inputs'!$I$22="",1,'APA Inputs'!$I$22))</f>
        <v>0</v>
      </c>
      <c r="AZ7" s="425" t="n">
        <f aca="false">IF('APA Inputs'!$C$22="",0,(IF(AND(AZ$4&gt;='APA Inputs'!$C$22,AZ$4&lt;EDATE('APA Inputs'!$C$22,N('APA Inputs'!$D$22))),'APA Inputs'!$J$22,0)+IF(N('APA Inputs'!$H$22)&gt;0,IF(AZ$4=EDATE('APA Inputs'!$C$22,'APA Inputs'!$H$22-1),N('APA Inputs'!$G$22),0),0))*IF('APA Inputs'!$I$22="",1,'APA Inputs'!$I$22))</f>
        <v>0</v>
      </c>
      <c r="BA7" s="425" t="n">
        <f aca="false">IF('APA Inputs'!$C$22="",0,(IF(AND(BA$4&gt;='APA Inputs'!$C$22,BA$4&lt;EDATE('APA Inputs'!$C$22,N('APA Inputs'!$D$22))),'APA Inputs'!$J$22,0)+IF(N('APA Inputs'!$H$22)&gt;0,IF(BA$4=EDATE('APA Inputs'!$C$22,'APA Inputs'!$H$22-1),N('APA Inputs'!$G$22),0),0))*IF('APA Inputs'!$I$22="",1,'APA Inputs'!$I$22))</f>
        <v>0</v>
      </c>
      <c r="BB7" s="425" t="n">
        <f aca="false">IF('APA Inputs'!$C$22="",0,(IF(AND(BB$4&gt;='APA Inputs'!$C$22,BB$4&lt;EDATE('APA Inputs'!$C$22,N('APA Inputs'!$D$22))),'APA Inputs'!$J$22,0)+IF(N('APA Inputs'!$H$22)&gt;0,IF(BB$4=EDATE('APA Inputs'!$C$22,'APA Inputs'!$H$22-1),N('APA Inputs'!$G$22),0),0))*IF('APA Inputs'!$I$22="",1,'APA Inputs'!$I$22))</f>
        <v>0</v>
      </c>
      <c r="BC7" s="425" t="n">
        <f aca="false">IF('APA Inputs'!$C$22="",0,(IF(AND(BC$4&gt;='APA Inputs'!$C$22,BC$4&lt;EDATE('APA Inputs'!$C$22,N('APA Inputs'!$D$22))),'APA Inputs'!$J$22,0)+IF(N('APA Inputs'!$H$22)&gt;0,IF(BC$4=EDATE('APA Inputs'!$C$22,'APA Inputs'!$H$22-1),N('APA Inputs'!$G$22),0),0))*IF('APA Inputs'!$I$22="",1,'APA Inputs'!$I$22))</f>
        <v>0</v>
      </c>
      <c r="BD7" s="425" t="n">
        <f aca="false">IF('APA Inputs'!$C$22="",0,(IF(AND(BD$4&gt;='APA Inputs'!$C$22,BD$4&lt;EDATE('APA Inputs'!$C$22,N('APA Inputs'!$D$22))),'APA Inputs'!$J$22,0)+IF(N('APA Inputs'!$H$22)&gt;0,IF(BD$4=EDATE('APA Inputs'!$C$22,'APA Inputs'!$H$22-1),N('APA Inputs'!$G$22),0),0))*IF('APA Inputs'!$I$22="",1,'APA Inputs'!$I$22))</f>
        <v>0</v>
      </c>
      <c r="BE7" s="425" t="n">
        <f aca="false">IF('APA Inputs'!$C$22="",0,(IF(AND(BE$4&gt;='APA Inputs'!$C$22,BE$4&lt;EDATE('APA Inputs'!$C$22,N('APA Inputs'!$D$22))),'APA Inputs'!$J$22,0)+IF(N('APA Inputs'!$H$22)&gt;0,IF(BE$4=EDATE('APA Inputs'!$C$22,'APA Inputs'!$H$22-1),N('APA Inputs'!$G$22),0),0))*IF('APA Inputs'!$I$22="",1,'APA Inputs'!$I$22))</f>
        <v>0</v>
      </c>
      <c r="BF7" s="425" t="n">
        <f aca="false">IF('APA Inputs'!$C$22="",0,(IF(AND(BF$4&gt;='APA Inputs'!$C$22,BF$4&lt;EDATE('APA Inputs'!$C$22,N('APA Inputs'!$D$22))),'APA Inputs'!$J$22,0)+IF(N('APA Inputs'!$H$22)&gt;0,IF(BF$4=EDATE('APA Inputs'!$C$22,'APA Inputs'!$H$22-1),N('APA Inputs'!$G$22),0),0))*IF('APA Inputs'!$I$22="",1,'APA Inputs'!$I$22))</f>
        <v>0</v>
      </c>
      <c r="BG7" s="425" t="n">
        <f aca="false">IF('APA Inputs'!$C$22="",0,(IF(AND(BG$4&gt;='APA Inputs'!$C$22,BG$4&lt;EDATE('APA Inputs'!$C$22,N('APA Inputs'!$D$22))),'APA Inputs'!$J$22,0)+IF(N('APA Inputs'!$H$22)&gt;0,IF(BG$4=EDATE('APA Inputs'!$C$22,'APA Inputs'!$H$22-1),N('APA Inputs'!$G$22),0),0))*IF('APA Inputs'!$I$22="",1,'APA Inputs'!$I$22))</f>
        <v>0</v>
      </c>
      <c r="BH7" s="425" t="n">
        <f aca="false">IF('APA Inputs'!$C$22="",0,(IF(AND(BH$4&gt;='APA Inputs'!$C$22,BH$4&lt;EDATE('APA Inputs'!$C$22,N('APA Inputs'!$D$22))),'APA Inputs'!$J$22,0)+IF(N('APA Inputs'!$H$22)&gt;0,IF(BH$4=EDATE('APA Inputs'!$C$22,'APA Inputs'!$H$22-1),N('APA Inputs'!$G$22),0),0))*IF('APA Inputs'!$I$22="",1,'APA Inputs'!$I$22))</f>
        <v>0</v>
      </c>
      <c r="BI7" s="425" t="n">
        <f aca="false">IF('APA Inputs'!$C$22="",0,(IF(AND(BI$4&gt;='APA Inputs'!$C$22,BI$4&lt;EDATE('APA Inputs'!$C$22,N('APA Inputs'!$D$22))),'APA Inputs'!$J$22,0)+IF(N('APA Inputs'!$H$22)&gt;0,IF(BI$4=EDATE('APA Inputs'!$C$22,'APA Inputs'!$H$22-1),N('APA Inputs'!$G$22),0),0))*IF('APA Inputs'!$I$22="",1,'APA Inputs'!$I$22))</f>
        <v>0</v>
      </c>
      <c r="BJ7" s="425" t="n">
        <f aca="false">IF('APA Inputs'!$C$22="",0,(IF(AND(BJ$4&gt;='APA Inputs'!$C$22,BJ$4&lt;EDATE('APA Inputs'!$C$22,N('APA Inputs'!$D$22))),'APA Inputs'!$J$22,0)+IF(N('APA Inputs'!$H$22)&gt;0,IF(BJ$4=EDATE('APA Inputs'!$C$22,'APA Inputs'!$H$22-1),N('APA Inputs'!$G$22),0),0))*IF('APA Inputs'!$I$22="",1,'APA Inputs'!$I$22))</f>
        <v>0</v>
      </c>
      <c r="BK7" s="425" t="n">
        <f aca="false">IF('APA Inputs'!$C$22="",0,(IF(AND(BK$4&gt;='APA Inputs'!$C$22,BK$4&lt;EDATE('APA Inputs'!$C$22,N('APA Inputs'!$D$22))),'APA Inputs'!$J$22,0)+IF(N('APA Inputs'!$H$22)&gt;0,IF(BK$4=EDATE('APA Inputs'!$C$22,'APA Inputs'!$H$22-1),N('APA Inputs'!$G$22),0),0))*IF('APA Inputs'!$I$22="",1,'APA Inputs'!$I$22))</f>
        <v>0</v>
      </c>
      <c r="BL7" s="425" t="n">
        <f aca="false">IF('APA Inputs'!$C$22="",0,(IF(AND(BL$4&gt;='APA Inputs'!$C$22,BL$4&lt;EDATE('APA Inputs'!$C$22,N('APA Inputs'!$D$22))),'APA Inputs'!$J$22,0)+IF(N('APA Inputs'!$H$22)&gt;0,IF(BL$4=EDATE('APA Inputs'!$C$22,'APA Inputs'!$H$22-1),N('APA Inputs'!$G$22),0),0))*IF('APA Inputs'!$I$22="",1,'APA Inputs'!$I$22))</f>
        <v>0</v>
      </c>
      <c r="BM7" s="425" t="n">
        <f aca="false">IF('APA Inputs'!$C$22="",0,(IF(AND(BM$4&gt;='APA Inputs'!$C$22,BM$4&lt;EDATE('APA Inputs'!$C$22,N('APA Inputs'!$D$22))),'APA Inputs'!$J$22,0)+IF(N('APA Inputs'!$H$22)&gt;0,IF(BM$4=EDATE('APA Inputs'!$C$22,'APA Inputs'!$H$22-1),N('APA Inputs'!$G$22),0),0))*IF('APA Inputs'!$I$22="",1,'APA Inputs'!$I$22))</f>
        <v>0</v>
      </c>
      <c r="BN7" s="425" t="n">
        <f aca="false">IF('APA Inputs'!$C$22="",0,(IF(AND(BN$4&gt;='APA Inputs'!$C$22,BN$4&lt;EDATE('APA Inputs'!$C$22,N('APA Inputs'!$D$22))),'APA Inputs'!$J$22,0)+IF(N('APA Inputs'!$H$22)&gt;0,IF(BN$4=EDATE('APA Inputs'!$C$22,'APA Inputs'!$H$22-1),N('APA Inputs'!$G$22),0),0))*IF('APA Inputs'!$I$22="",1,'APA Inputs'!$I$22))</f>
        <v>0</v>
      </c>
      <c r="BO7" s="425" t="n">
        <f aca="false">IF('APA Inputs'!$C$22="",0,(IF(AND(BO$4&gt;='APA Inputs'!$C$22,BO$4&lt;EDATE('APA Inputs'!$C$22,N('APA Inputs'!$D$22))),'APA Inputs'!$J$22,0)+IF(N('APA Inputs'!$H$22)&gt;0,IF(BO$4=EDATE('APA Inputs'!$C$22,'APA Inputs'!$H$22-1),N('APA Inputs'!$G$22),0),0))*IF('APA Inputs'!$I$22="",1,'APA Inputs'!$I$22))</f>
        <v>0</v>
      </c>
      <c r="BP7" s="425" t="n">
        <f aca="false">IF('APA Inputs'!$C$22="",0,(IF(AND(BP$4&gt;='APA Inputs'!$C$22,BP$4&lt;EDATE('APA Inputs'!$C$22,N('APA Inputs'!$D$22))),'APA Inputs'!$J$22,0)+IF(N('APA Inputs'!$H$22)&gt;0,IF(BP$4=EDATE('APA Inputs'!$C$22,'APA Inputs'!$H$22-1),N('APA Inputs'!$G$22),0),0))*IF('APA Inputs'!$I$22="",1,'APA Inputs'!$I$22))</f>
        <v>0</v>
      </c>
      <c r="BQ7" s="425" t="n">
        <f aca="false">IF('APA Inputs'!$C$22="",0,(IF(AND(BQ$4&gt;='APA Inputs'!$C$22,BQ$4&lt;EDATE('APA Inputs'!$C$22,N('APA Inputs'!$D$22))),'APA Inputs'!$J$22,0)+IF(N('APA Inputs'!$H$22)&gt;0,IF(BQ$4=EDATE('APA Inputs'!$C$22,'APA Inputs'!$H$22-1),N('APA Inputs'!$G$22),0),0))*IF('APA Inputs'!$I$22="",1,'APA Inputs'!$I$22))</f>
        <v>0</v>
      </c>
      <c r="BR7" s="425" t="n">
        <f aca="false">IF('APA Inputs'!$C$22="",0,(IF(AND(BR$4&gt;='APA Inputs'!$C$22,BR$4&lt;EDATE('APA Inputs'!$C$22,N('APA Inputs'!$D$22))),'APA Inputs'!$J$22,0)+IF(N('APA Inputs'!$H$22)&gt;0,IF(BR$4=EDATE('APA Inputs'!$C$22,'APA Inputs'!$H$22-1),N('APA Inputs'!$G$22),0),0))*IF('APA Inputs'!$I$22="",1,'APA Inputs'!$I$22))</f>
        <v>0</v>
      </c>
      <c r="BS7" s="425" t="n">
        <f aca="false">IF('APA Inputs'!$C$22="",0,(IF(AND(BS$4&gt;='APA Inputs'!$C$22,BS$4&lt;EDATE('APA Inputs'!$C$22,N('APA Inputs'!$D$22))),'APA Inputs'!$J$22,0)+IF(N('APA Inputs'!$H$22)&gt;0,IF(BS$4=EDATE('APA Inputs'!$C$22,'APA Inputs'!$H$22-1),N('APA Inputs'!$G$22),0),0))*IF('APA Inputs'!$I$22="",1,'APA Inputs'!$I$22))</f>
        <v>0</v>
      </c>
      <c r="BT7" s="425" t="n">
        <f aca="false">IF('APA Inputs'!$C$22="",0,(IF(AND(BT$4&gt;='APA Inputs'!$C$22,BT$4&lt;EDATE('APA Inputs'!$C$22,N('APA Inputs'!$D$22))),'APA Inputs'!$J$22,0)+IF(N('APA Inputs'!$H$22)&gt;0,IF(BT$4=EDATE('APA Inputs'!$C$22,'APA Inputs'!$H$22-1),N('APA Inputs'!$G$22),0),0))*IF('APA Inputs'!$I$22="",1,'APA Inputs'!$I$22))</f>
        <v>0</v>
      </c>
      <c r="BU7" s="425" t="n">
        <f aca="false">IF('APA Inputs'!$C$22="",0,(IF(AND(BU$4&gt;='APA Inputs'!$C$22,BU$4&lt;EDATE('APA Inputs'!$C$22,N('APA Inputs'!$D$22))),'APA Inputs'!$J$22,0)+IF(N('APA Inputs'!$H$22)&gt;0,IF(BU$4=EDATE('APA Inputs'!$C$22,'APA Inputs'!$H$22-1),N('APA Inputs'!$G$22),0),0))*IF('APA Inputs'!$I$22="",1,'APA Inputs'!$I$22))</f>
        <v>0</v>
      </c>
      <c r="BV7" s="425" t="n">
        <f aca="false">IF('APA Inputs'!$C$22="",0,(IF(AND(BV$4&gt;='APA Inputs'!$C$22,BV$4&lt;EDATE('APA Inputs'!$C$22,N('APA Inputs'!$D$22))),'APA Inputs'!$J$22,0)+IF(N('APA Inputs'!$H$22)&gt;0,IF(BV$4=EDATE('APA Inputs'!$C$22,'APA Inputs'!$H$22-1),N('APA Inputs'!$G$22),0),0))*IF('APA Inputs'!$I$22="",1,'APA Inputs'!$I$22))</f>
        <v>0</v>
      </c>
      <c r="BW7" s="425" t="n">
        <f aca="false">IF('APA Inputs'!$C$22="",0,(IF(AND(BW$4&gt;='APA Inputs'!$C$22,BW$4&lt;EDATE('APA Inputs'!$C$22,N('APA Inputs'!$D$22))),'APA Inputs'!$J$22,0)+IF(N('APA Inputs'!$H$22)&gt;0,IF(BW$4=EDATE('APA Inputs'!$C$22,'APA Inputs'!$H$22-1),N('APA Inputs'!$G$22),0),0))*IF('APA Inputs'!$I$22="",1,'APA Inputs'!$I$22))</f>
        <v>0</v>
      </c>
      <c r="BX7" s="425" t="n">
        <f aca="false">IF('APA Inputs'!$C$22="",0,(IF(AND(BX$4&gt;='APA Inputs'!$C$22,BX$4&lt;EDATE('APA Inputs'!$C$22,N('APA Inputs'!$D$22))),'APA Inputs'!$J$22,0)+IF(N('APA Inputs'!$H$22)&gt;0,IF(BX$4=EDATE('APA Inputs'!$C$22,'APA Inputs'!$H$22-1),N('APA Inputs'!$G$22),0),0))*IF('APA Inputs'!$I$22="",1,'APA Inputs'!$I$22))</f>
        <v>0</v>
      </c>
      <c r="BY7" s="425" t="n">
        <f aca="false">IF('APA Inputs'!$C$22="",0,(IF(AND(BY$4&gt;='APA Inputs'!$C$22,BY$4&lt;EDATE('APA Inputs'!$C$22,N('APA Inputs'!$D$22))),'APA Inputs'!$J$22,0)+IF(N('APA Inputs'!$H$22)&gt;0,IF(BY$4=EDATE('APA Inputs'!$C$22,'APA Inputs'!$H$22-1),N('APA Inputs'!$G$22),0),0))*IF('APA Inputs'!$I$22="",1,'APA Inputs'!$I$22))</f>
        <v>0</v>
      </c>
      <c r="BZ7" s="425" t="n">
        <f aca="false">IF('APA Inputs'!$C$22="",0,(IF(AND(BZ$4&gt;='APA Inputs'!$C$22,BZ$4&lt;EDATE('APA Inputs'!$C$22,N('APA Inputs'!$D$22))),'APA Inputs'!$J$22,0)+IF(N('APA Inputs'!$H$22)&gt;0,IF(BZ$4=EDATE('APA Inputs'!$C$22,'APA Inputs'!$H$22-1),N('APA Inputs'!$G$22),0),0))*IF('APA Inputs'!$I$22="",1,'APA Inputs'!$I$22))</f>
        <v>0</v>
      </c>
      <c r="CA7" s="425" t="n">
        <f aca="false">IF('APA Inputs'!$C$22="",0,(IF(AND(CA$4&gt;='APA Inputs'!$C$22,CA$4&lt;EDATE('APA Inputs'!$C$22,N('APA Inputs'!$D$22))),'APA Inputs'!$J$22,0)+IF(N('APA Inputs'!$H$22)&gt;0,IF(CA$4=EDATE('APA Inputs'!$C$22,'APA Inputs'!$H$22-1),N('APA Inputs'!$G$22),0),0))*IF('APA Inputs'!$I$22="",1,'APA Inputs'!$I$22))</f>
        <v>0</v>
      </c>
      <c r="CB7" s="425" t="n">
        <f aca="false">IF('APA Inputs'!$C$22="",0,(IF(AND(CB$4&gt;='APA Inputs'!$C$22,CB$4&lt;EDATE('APA Inputs'!$C$22,N('APA Inputs'!$D$22))),'APA Inputs'!$J$22,0)+IF(N('APA Inputs'!$H$22)&gt;0,IF(CB$4=EDATE('APA Inputs'!$C$22,'APA Inputs'!$H$22-1),N('APA Inputs'!$G$22),0),0))*IF('APA Inputs'!$I$22="",1,'APA Inputs'!$I$22))</f>
        <v>0</v>
      </c>
      <c r="CC7" s="425" t="n">
        <f aca="false">IF('APA Inputs'!$C$22="",0,(IF(AND(CC$4&gt;='APA Inputs'!$C$22,CC$4&lt;EDATE('APA Inputs'!$C$22,N('APA Inputs'!$D$22))),'APA Inputs'!$J$22,0)+IF(N('APA Inputs'!$H$22)&gt;0,IF(CC$4=EDATE('APA Inputs'!$C$22,'APA Inputs'!$H$22-1),N('APA Inputs'!$G$22),0),0))*IF('APA Inputs'!$I$22="",1,'APA Inputs'!$I$22))</f>
        <v>0</v>
      </c>
      <c r="CD7" s="425" t="n">
        <f aca="false">IF('APA Inputs'!$C$22="",0,(IF(AND(CD$4&gt;='APA Inputs'!$C$22,CD$4&lt;EDATE('APA Inputs'!$C$22,N('APA Inputs'!$D$22))),'APA Inputs'!$J$22,0)+IF(N('APA Inputs'!$H$22)&gt;0,IF(CD$4=EDATE('APA Inputs'!$C$22,'APA Inputs'!$H$22-1),N('APA Inputs'!$G$22),0),0))*IF('APA Inputs'!$I$22="",1,'APA Inputs'!$I$22))</f>
        <v>0</v>
      </c>
      <c r="CE7" s="425" t="n">
        <f aca="false">IF('APA Inputs'!$C$22="",0,(IF(AND(CE$4&gt;='APA Inputs'!$C$22,CE$4&lt;EDATE('APA Inputs'!$C$22,N('APA Inputs'!$D$22))),'APA Inputs'!$J$22,0)+IF(N('APA Inputs'!$H$22)&gt;0,IF(CE$4=EDATE('APA Inputs'!$C$22,'APA Inputs'!$H$22-1),N('APA Inputs'!$G$22),0),0))*IF('APA Inputs'!$I$22="",1,'APA Inputs'!$I$22))</f>
        <v>0</v>
      </c>
      <c r="CF7" s="425" t="n">
        <f aca="false">IF('APA Inputs'!$C$22="",0,(IF(AND(CF$4&gt;='APA Inputs'!$C$22,CF$4&lt;EDATE('APA Inputs'!$C$22,N('APA Inputs'!$D$22))),'APA Inputs'!$J$22,0)+IF(N('APA Inputs'!$H$22)&gt;0,IF(CF$4=EDATE('APA Inputs'!$C$22,'APA Inputs'!$H$22-1),N('APA Inputs'!$G$22),0),0))*IF('APA Inputs'!$I$22="",1,'APA Inputs'!$I$22))</f>
        <v>0</v>
      </c>
      <c r="CG7" s="425" t="n">
        <f aca="false">IF('APA Inputs'!$C$22="",0,(IF(AND(CG$4&gt;='APA Inputs'!$C$22,CG$4&lt;EDATE('APA Inputs'!$C$22,N('APA Inputs'!$D$22))),'APA Inputs'!$J$22,0)+IF(N('APA Inputs'!$H$22)&gt;0,IF(CG$4=EDATE('APA Inputs'!$C$22,'APA Inputs'!$H$22-1),N('APA Inputs'!$G$22),0),0))*IF('APA Inputs'!$I$22="",1,'APA Inputs'!$I$22))</f>
        <v>0</v>
      </c>
      <c r="CH7" s="425" t="n">
        <f aca="false">IF('APA Inputs'!$C$22="",0,(IF(AND(CH$4&gt;='APA Inputs'!$C$22,CH$4&lt;EDATE('APA Inputs'!$C$22,N('APA Inputs'!$D$22))),'APA Inputs'!$J$22,0)+IF(N('APA Inputs'!$H$22)&gt;0,IF(CH$4=EDATE('APA Inputs'!$C$22,'APA Inputs'!$H$22-1),N('APA Inputs'!$G$22),0),0))*IF('APA Inputs'!$I$22="",1,'APA Inputs'!$I$22))</f>
        <v>0</v>
      </c>
      <c r="CI7" s="425" t="n">
        <f aca="false">IF('APA Inputs'!$C$22="",0,(IF(AND(CI$4&gt;='APA Inputs'!$C$22,CI$4&lt;EDATE('APA Inputs'!$C$22,N('APA Inputs'!$D$22))),'APA Inputs'!$J$22,0)+IF(N('APA Inputs'!$H$22)&gt;0,IF(CI$4=EDATE('APA Inputs'!$C$22,'APA Inputs'!$H$22-1),N('APA Inputs'!$G$22),0),0))*IF('APA Inputs'!$I$22="",1,'APA Inputs'!$I$22))</f>
        <v>0</v>
      </c>
      <c r="CJ7" s="425" t="n">
        <f aca="false">IF('APA Inputs'!$C$22="",0,(IF(AND(CJ$4&gt;='APA Inputs'!$C$22,CJ$4&lt;EDATE('APA Inputs'!$C$22,N('APA Inputs'!$D$22))),'APA Inputs'!$J$22,0)+IF(N('APA Inputs'!$H$22)&gt;0,IF(CJ$4=EDATE('APA Inputs'!$C$22,'APA Inputs'!$H$22-1),N('APA Inputs'!$G$22),0),0))*IF('APA Inputs'!$I$22="",1,'APA Inputs'!$I$22))</f>
        <v>0</v>
      </c>
      <c r="CK7" s="425" t="n">
        <f aca="false">IF('APA Inputs'!$C$22="",0,(IF(AND(CK$4&gt;='APA Inputs'!$C$22,CK$4&lt;EDATE('APA Inputs'!$C$22,N('APA Inputs'!$D$22))),'APA Inputs'!$J$22,0)+IF(N('APA Inputs'!$H$22)&gt;0,IF(CK$4=EDATE('APA Inputs'!$C$22,'APA Inputs'!$H$22-1),N('APA Inputs'!$G$22),0),0))*IF('APA Inputs'!$I$22="",1,'APA Inputs'!$I$22))</f>
        <v>0</v>
      </c>
      <c r="CL7" s="425" t="n">
        <f aca="false">IF('APA Inputs'!$C$22="",0,(IF(AND(CL$4&gt;='APA Inputs'!$C$22,CL$4&lt;EDATE('APA Inputs'!$C$22,N('APA Inputs'!$D$22))),'APA Inputs'!$J$22,0)+IF(N('APA Inputs'!$H$22)&gt;0,IF(CL$4=EDATE('APA Inputs'!$C$22,'APA Inputs'!$H$22-1),N('APA Inputs'!$G$22),0),0))*IF('APA Inputs'!$I$22="",1,'APA Inputs'!$I$22))</f>
        <v>0</v>
      </c>
      <c r="CM7" s="425" t="n">
        <f aca="false">IF('APA Inputs'!$C$22="",0,(IF(AND(CM$4&gt;='APA Inputs'!$C$22,CM$4&lt;EDATE('APA Inputs'!$C$22,N('APA Inputs'!$D$22))),'APA Inputs'!$J$22,0)+IF(N('APA Inputs'!$H$22)&gt;0,IF(CM$4=EDATE('APA Inputs'!$C$22,'APA Inputs'!$H$22-1),N('APA Inputs'!$G$22),0),0))*IF('APA Inputs'!$I$22="",1,'APA Inputs'!$I$22))</f>
        <v>0</v>
      </c>
      <c r="CN7" s="425" t="n">
        <f aca="false">IF('APA Inputs'!$C$22="",0,(IF(AND(CN$4&gt;='APA Inputs'!$C$22,CN$4&lt;EDATE('APA Inputs'!$C$22,N('APA Inputs'!$D$22))),'APA Inputs'!$J$22,0)+IF(N('APA Inputs'!$H$22)&gt;0,IF(CN$4=EDATE('APA Inputs'!$C$22,'APA Inputs'!$H$22-1),N('APA Inputs'!$G$22),0),0))*IF('APA Inputs'!$I$22="",1,'APA Inputs'!$I$22))</f>
        <v>0</v>
      </c>
      <c r="CO7" s="425" t="n">
        <f aca="false">IF('APA Inputs'!$C$22="",0,(IF(AND(CO$4&gt;='APA Inputs'!$C$22,CO$4&lt;EDATE('APA Inputs'!$C$22,N('APA Inputs'!$D$22))),'APA Inputs'!$J$22,0)+IF(N('APA Inputs'!$H$22)&gt;0,IF(CO$4=EDATE('APA Inputs'!$C$22,'APA Inputs'!$H$22-1),N('APA Inputs'!$G$22),0),0))*IF('APA Inputs'!$I$22="",1,'APA Inputs'!$I$22))</f>
        <v>0</v>
      </c>
      <c r="CP7" s="425" t="n">
        <f aca="false">IF('APA Inputs'!$C$22="",0,(IF(AND(CP$4&gt;='APA Inputs'!$C$22,CP$4&lt;EDATE('APA Inputs'!$C$22,N('APA Inputs'!$D$22))),'APA Inputs'!$J$22,0)+IF(N('APA Inputs'!$H$22)&gt;0,IF(CP$4=EDATE('APA Inputs'!$C$22,'APA Inputs'!$H$22-1),N('APA Inputs'!$G$22),0),0))*IF('APA Inputs'!$I$22="",1,'APA Inputs'!$I$22))</f>
        <v>0</v>
      </c>
      <c r="CQ7" s="425" t="n">
        <f aca="false">IF('APA Inputs'!$C$22="",0,(IF(AND(CQ$4&gt;='APA Inputs'!$C$22,CQ$4&lt;EDATE('APA Inputs'!$C$22,N('APA Inputs'!$D$22))),'APA Inputs'!$J$22,0)+IF(N('APA Inputs'!$H$22)&gt;0,IF(CQ$4=EDATE('APA Inputs'!$C$22,'APA Inputs'!$H$22-1),N('APA Inputs'!$G$22),0),0))*IF('APA Inputs'!$I$22="",1,'APA Inputs'!$I$22))</f>
        <v>0</v>
      </c>
      <c r="CR7" s="425" t="n">
        <f aca="false">IF('APA Inputs'!$C$22="",0,(IF(AND(CR$4&gt;='APA Inputs'!$C$22,CR$4&lt;EDATE('APA Inputs'!$C$22,N('APA Inputs'!$D$22))),'APA Inputs'!$J$22,0)+IF(N('APA Inputs'!$H$22)&gt;0,IF(CR$4=EDATE('APA Inputs'!$C$22,'APA Inputs'!$H$22-1),N('APA Inputs'!$G$22),0),0))*IF('APA Inputs'!$I$22="",1,'APA Inputs'!$I$22))</f>
        <v>0</v>
      </c>
      <c r="CS7" s="425" t="n">
        <f aca="false">IF('APA Inputs'!$C$22="",0,(IF(AND(CS$4&gt;='APA Inputs'!$C$22,CS$4&lt;EDATE('APA Inputs'!$C$22,N('APA Inputs'!$D$22))),'APA Inputs'!$J$22,0)+IF(N('APA Inputs'!$H$22)&gt;0,IF(CS$4=EDATE('APA Inputs'!$C$22,'APA Inputs'!$H$22-1),N('APA Inputs'!$G$22),0),0))*IF('APA Inputs'!$I$22="",1,'APA Inputs'!$I$22))</f>
        <v>0</v>
      </c>
      <c r="CT7" s="425" t="n">
        <f aca="false">IF('APA Inputs'!$C$22="",0,(IF(AND(CT$4&gt;='APA Inputs'!$C$22,CT$4&lt;EDATE('APA Inputs'!$C$22,N('APA Inputs'!$D$22))),'APA Inputs'!$J$22,0)+IF(N('APA Inputs'!$H$22)&gt;0,IF(CT$4=EDATE('APA Inputs'!$C$22,'APA Inputs'!$H$22-1),N('APA Inputs'!$G$22),0),0))*IF('APA Inputs'!$I$22="",1,'APA Inputs'!$I$22))</f>
        <v>0</v>
      </c>
      <c r="CU7" s="425" t="n">
        <f aca="false">IF('APA Inputs'!$C$22="",0,(IF(AND(CU$4&gt;='APA Inputs'!$C$22,CU$4&lt;EDATE('APA Inputs'!$C$22,N('APA Inputs'!$D$22))),'APA Inputs'!$J$22,0)+IF(N('APA Inputs'!$H$22)&gt;0,IF(CU$4=EDATE('APA Inputs'!$C$22,'APA Inputs'!$H$22-1),N('APA Inputs'!$G$22),0),0))*IF('APA Inputs'!$I$22="",1,'APA Inputs'!$I$22))</f>
        <v>0</v>
      </c>
      <c r="CV7" s="425" t="n">
        <f aca="false">IF('APA Inputs'!$C$22="",0,(IF(AND(CV$4&gt;='APA Inputs'!$C$22,CV$4&lt;EDATE('APA Inputs'!$C$22,N('APA Inputs'!$D$22))),'APA Inputs'!$J$22,0)+IF(N('APA Inputs'!$H$22)&gt;0,IF(CV$4=EDATE('APA Inputs'!$C$22,'APA Inputs'!$H$22-1),N('APA Inputs'!$G$22),0),0))*IF('APA Inputs'!$I$22="",1,'APA Inputs'!$I$22))</f>
        <v>0</v>
      </c>
      <c r="CW7" s="425" t="n">
        <f aca="false">IF('APA Inputs'!$C$22="",0,(IF(AND(CW$4&gt;='APA Inputs'!$C$22,CW$4&lt;EDATE('APA Inputs'!$C$22,N('APA Inputs'!$D$22))),'APA Inputs'!$J$22,0)+IF(N('APA Inputs'!$H$22)&gt;0,IF(CW$4=EDATE('APA Inputs'!$C$22,'APA Inputs'!$H$22-1),N('APA Inputs'!$G$22),0),0))*IF('APA Inputs'!$I$22="",1,'APA Inputs'!$I$22))</f>
        <v>0</v>
      </c>
      <c r="CX7" s="425" t="n">
        <f aca="false">IF('APA Inputs'!$C$22="",0,(IF(AND(CX$4&gt;='APA Inputs'!$C$22,CX$4&lt;EDATE('APA Inputs'!$C$22,N('APA Inputs'!$D$22))),'APA Inputs'!$J$22,0)+IF(N('APA Inputs'!$H$22)&gt;0,IF(CX$4=EDATE('APA Inputs'!$C$22,'APA Inputs'!$H$22-1),N('APA Inputs'!$G$22),0),0))*IF('APA Inputs'!$I$22="",1,'APA Inputs'!$I$22))</f>
        <v>0</v>
      </c>
      <c r="CY7" s="425" t="n">
        <f aca="false">IF('APA Inputs'!$C$22="",0,(IF(AND(CY$4&gt;='APA Inputs'!$C$22,CY$4&lt;EDATE('APA Inputs'!$C$22,N('APA Inputs'!$D$22))),'APA Inputs'!$J$22,0)+IF(N('APA Inputs'!$H$22)&gt;0,IF(CY$4=EDATE('APA Inputs'!$C$22,'APA Inputs'!$H$22-1),N('APA Inputs'!$G$22),0),0))*IF('APA Inputs'!$I$22="",1,'APA Inputs'!$I$22))</f>
        <v>0</v>
      </c>
      <c r="CZ7" s="425" t="n">
        <f aca="false">IF('APA Inputs'!$C$22="",0,(IF(AND(CZ$4&gt;='APA Inputs'!$C$22,CZ$4&lt;EDATE('APA Inputs'!$C$22,N('APA Inputs'!$D$22))),'APA Inputs'!$J$22,0)+IF(N('APA Inputs'!$H$22)&gt;0,IF(CZ$4=EDATE('APA Inputs'!$C$22,'APA Inputs'!$H$22-1),N('APA Inputs'!$G$22),0),0))*IF('APA Inputs'!$I$22="",1,'APA Inputs'!$I$22))</f>
        <v>0</v>
      </c>
      <c r="DA7" s="425" t="n">
        <f aca="false">IF('APA Inputs'!$C$22="",0,(IF(AND(DA$4&gt;='APA Inputs'!$C$22,DA$4&lt;EDATE('APA Inputs'!$C$22,N('APA Inputs'!$D$22))),'APA Inputs'!$J$22,0)+IF(N('APA Inputs'!$H$22)&gt;0,IF(DA$4=EDATE('APA Inputs'!$C$22,'APA Inputs'!$H$22-1),N('APA Inputs'!$G$22),0),0))*IF('APA Inputs'!$I$22="",1,'APA Inputs'!$I$22))</f>
        <v>0</v>
      </c>
      <c r="DB7" s="425" t="n">
        <f aca="false">IF('APA Inputs'!$C$22="",0,(IF(AND(DB$4&gt;='APA Inputs'!$C$22,DB$4&lt;EDATE('APA Inputs'!$C$22,N('APA Inputs'!$D$22))),'APA Inputs'!$J$22,0)+IF(N('APA Inputs'!$H$22)&gt;0,IF(DB$4=EDATE('APA Inputs'!$C$22,'APA Inputs'!$H$22-1),N('APA Inputs'!$G$22),0),0))*IF('APA Inputs'!$I$22="",1,'APA Inputs'!$I$22))</f>
        <v>0</v>
      </c>
      <c r="DC7" s="425" t="n">
        <f aca="false">IF('APA Inputs'!$C$22="",0,(IF(AND(DC$4&gt;='APA Inputs'!$C$22,DC$4&lt;EDATE('APA Inputs'!$C$22,N('APA Inputs'!$D$22))),'APA Inputs'!$J$22,0)+IF(N('APA Inputs'!$H$22)&gt;0,IF(DC$4=EDATE('APA Inputs'!$C$22,'APA Inputs'!$H$22-1),N('APA Inputs'!$G$22),0),0))*IF('APA Inputs'!$I$22="",1,'APA Inputs'!$I$22))</f>
        <v>0</v>
      </c>
      <c r="DD7" s="425" t="n">
        <f aca="false">IF('APA Inputs'!$C$22="",0,(IF(AND(DD$4&gt;='APA Inputs'!$C$22,DD$4&lt;EDATE('APA Inputs'!$C$22,N('APA Inputs'!$D$22))),'APA Inputs'!$J$22,0)+IF(N('APA Inputs'!$H$22)&gt;0,IF(DD$4=EDATE('APA Inputs'!$C$22,'APA Inputs'!$H$22-1),N('APA Inputs'!$G$22),0),0))*IF('APA Inputs'!$I$22="",1,'APA Inputs'!$I$22))</f>
        <v>0</v>
      </c>
      <c r="DE7" s="425" t="n">
        <f aca="false">IF('APA Inputs'!$C$22="",0,(IF(AND(DE$4&gt;='APA Inputs'!$C$22,DE$4&lt;EDATE('APA Inputs'!$C$22,N('APA Inputs'!$D$22))),'APA Inputs'!$J$22,0)+IF(N('APA Inputs'!$H$22)&gt;0,IF(DE$4=EDATE('APA Inputs'!$C$22,'APA Inputs'!$H$22-1),N('APA Inputs'!$G$22),0),0))*IF('APA Inputs'!$I$22="",1,'APA Inputs'!$I$22))</f>
        <v>0</v>
      </c>
    </row>
    <row r="8" customFormat="false" ht="15" hidden="false" customHeight="true" outlineLevel="0" collapsed="false">
      <c r="A8" s="1" t="str">
        <f aca="false">'APA Inputs'!A23</f>
        <v>Francis</v>
      </c>
      <c r="B8" s="425" t="n">
        <f aca="false">IF('APA Inputs'!$C$23="",0,(IF(AND(B$4&gt;='APA Inputs'!$C$23,B$4&lt;EDATE('APA Inputs'!$C$23,N('APA Inputs'!$D$23))),'APA Inputs'!$J$23,0)+IF(N('APA Inputs'!$H$23)&gt;0,IF(B$4=EDATE('APA Inputs'!$C$23,'APA Inputs'!$H$23-1),N('APA Inputs'!$G$23),0),0))*IF('APA Inputs'!$I$23="",1,'APA Inputs'!$I$23))</f>
        <v>0</v>
      </c>
      <c r="C8" s="425" t="n">
        <f aca="false">IF('APA Inputs'!$C$23="",0,(IF(AND(C$4&gt;='APA Inputs'!$C$23,C$4&lt;EDATE('APA Inputs'!$C$23,N('APA Inputs'!$D$23))),'APA Inputs'!$J$23,0)+IF(N('APA Inputs'!$H$23)&gt;0,IF(C$4=EDATE('APA Inputs'!$C$23,'APA Inputs'!$H$23-1),N('APA Inputs'!$G$23),0),0))*IF('APA Inputs'!$I$23="",1,'APA Inputs'!$I$23))</f>
        <v>0</v>
      </c>
      <c r="D8" s="425" t="n">
        <f aca="false">IF('APA Inputs'!$C$23="",0,(IF(AND(D$4&gt;='APA Inputs'!$C$23,D$4&lt;EDATE('APA Inputs'!$C$23,N('APA Inputs'!$D$23))),'APA Inputs'!$J$23,0)+IF(N('APA Inputs'!$H$23)&gt;0,IF(D$4=EDATE('APA Inputs'!$C$23,'APA Inputs'!$H$23-1),N('APA Inputs'!$G$23),0),0))*IF('APA Inputs'!$I$23="",1,'APA Inputs'!$I$23))</f>
        <v>0</v>
      </c>
      <c r="E8" s="425" t="n">
        <f aca="false">IF('APA Inputs'!$C$23="",0,(IF(AND(E$4&gt;='APA Inputs'!$C$23,E$4&lt;EDATE('APA Inputs'!$C$23,N('APA Inputs'!$D$23))),'APA Inputs'!$J$23,0)+IF(N('APA Inputs'!$H$23)&gt;0,IF(E$4=EDATE('APA Inputs'!$C$23,'APA Inputs'!$H$23-1),N('APA Inputs'!$G$23),0),0))*IF('APA Inputs'!$I$23="",1,'APA Inputs'!$I$23))</f>
        <v>0</v>
      </c>
      <c r="F8" s="425" t="n">
        <f aca="false">IF('APA Inputs'!$C$23="",0,(IF(AND(F$4&gt;='APA Inputs'!$C$23,F$4&lt;EDATE('APA Inputs'!$C$23,N('APA Inputs'!$D$23))),'APA Inputs'!$J$23,0)+IF(N('APA Inputs'!$H$23)&gt;0,IF(F$4=EDATE('APA Inputs'!$C$23,'APA Inputs'!$H$23-1),N('APA Inputs'!$G$23),0),0))*IF('APA Inputs'!$I$23="",1,'APA Inputs'!$I$23))</f>
        <v>0</v>
      </c>
      <c r="G8" s="425" t="n">
        <f aca="false">IF('APA Inputs'!$C$23="",0,(IF(AND(G$4&gt;='APA Inputs'!$C$23,G$4&lt;EDATE('APA Inputs'!$C$23,N('APA Inputs'!$D$23))),'APA Inputs'!$J$23,0)+IF(N('APA Inputs'!$H$23)&gt;0,IF(G$4=EDATE('APA Inputs'!$C$23,'APA Inputs'!$H$23-1),N('APA Inputs'!$G$23),0),0))*IF('APA Inputs'!$I$23="",1,'APA Inputs'!$I$23))</f>
        <v>0</v>
      </c>
      <c r="H8" s="425" t="n">
        <f aca="false">IF('APA Inputs'!$C$23="",0,(IF(AND(H$4&gt;='APA Inputs'!$C$23,H$4&lt;EDATE('APA Inputs'!$C$23,N('APA Inputs'!$D$23))),'APA Inputs'!$J$23,0)+IF(N('APA Inputs'!$H$23)&gt;0,IF(H$4=EDATE('APA Inputs'!$C$23,'APA Inputs'!$H$23-1),N('APA Inputs'!$G$23),0),0))*IF('APA Inputs'!$I$23="",1,'APA Inputs'!$I$23))</f>
        <v>0</v>
      </c>
      <c r="I8" s="425" t="n">
        <f aca="false">IF('APA Inputs'!$C$23="",0,(IF(AND(I$4&gt;='APA Inputs'!$C$23,I$4&lt;EDATE('APA Inputs'!$C$23,N('APA Inputs'!$D$23))),'APA Inputs'!$J$23,0)+IF(N('APA Inputs'!$H$23)&gt;0,IF(I$4=EDATE('APA Inputs'!$C$23,'APA Inputs'!$H$23-1),N('APA Inputs'!$G$23),0),0))*IF('APA Inputs'!$I$23="",1,'APA Inputs'!$I$23))</f>
        <v>4166.66</v>
      </c>
      <c r="J8" s="425" t="n">
        <f aca="false">IF('APA Inputs'!$C$23="",0,(IF(AND(J$4&gt;='APA Inputs'!$C$23,J$4&lt;EDATE('APA Inputs'!$C$23,N('APA Inputs'!$D$23))),'APA Inputs'!$J$23,0)+IF(N('APA Inputs'!$H$23)&gt;0,IF(J$4=EDATE('APA Inputs'!$C$23,'APA Inputs'!$H$23-1),N('APA Inputs'!$G$23),0),0))*IF('APA Inputs'!$I$23="",1,'APA Inputs'!$I$23))</f>
        <v>4166.66</v>
      </c>
      <c r="K8" s="425" t="n">
        <f aca="false">IF('APA Inputs'!$C$23="",0,(IF(AND(K$4&gt;='APA Inputs'!$C$23,K$4&lt;EDATE('APA Inputs'!$C$23,N('APA Inputs'!$D$23))),'APA Inputs'!$J$23,0)+IF(N('APA Inputs'!$H$23)&gt;0,IF(K$4=EDATE('APA Inputs'!$C$23,'APA Inputs'!$H$23-1),N('APA Inputs'!$G$23),0),0))*IF('APA Inputs'!$I$23="",1,'APA Inputs'!$I$23))</f>
        <v>4166.66</v>
      </c>
      <c r="L8" s="425" t="n">
        <f aca="false">IF('APA Inputs'!$C$23="",0,(IF(AND(L$4&gt;='APA Inputs'!$C$23,L$4&lt;EDATE('APA Inputs'!$C$23,N('APA Inputs'!$D$23))),'APA Inputs'!$J$23,0)+IF(N('APA Inputs'!$H$23)&gt;0,IF(L$4=EDATE('APA Inputs'!$C$23,'APA Inputs'!$H$23-1),N('APA Inputs'!$G$23),0),0))*IF('APA Inputs'!$I$23="",1,'APA Inputs'!$I$23))</f>
        <v>4166.66</v>
      </c>
      <c r="M8" s="425" t="n">
        <f aca="false">IF('APA Inputs'!$C$23="",0,(IF(AND(M$4&gt;='APA Inputs'!$C$23,M$4&lt;EDATE('APA Inputs'!$C$23,N('APA Inputs'!$D$23))),'APA Inputs'!$J$23,0)+IF(N('APA Inputs'!$H$23)&gt;0,IF(M$4=EDATE('APA Inputs'!$C$23,'APA Inputs'!$H$23-1),N('APA Inputs'!$G$23),0),0))*IF('APA Inputs'!$I$23="",1,'APA Inputs'!$I$23))</f>
        <v>4166.66</v>
      </c>
      <c r="N8" s="425" t="n">
        <f aca="false">IF('APA Inputs'!$C$23="",0,(IF(AND(N$4&gt;='APA Inputs'!$C$23,N$4&lt;EDATE('APA Inputs'!$C$23,N('APA Inputs'!$D$23))),'APA Inputs'!$J$23,0)+IF(N('APA Inputs'!$H$23)&gt;0,IF(N$4=EDATE('APA Inputs'!$C$23,'APA Inputs'!$H$23-1),N('APA Inputs'!$G$23),0),0))*IF('APA Inputs'!$I$23="",1,'APA Inputs'!$I$23))</f>
        <v>4166.66</v>
      </c>
      <c r="O8" s="425" t="n">
        <f aca="false">IF('APA Inputs'!$C$23="",0,(IF(AND(O$4&gt;='APA Inputs'!$C$23,O$4&lt;EDATE('APA Inputs'!$C$23,N('APA Inputs'!$D$23))),'APA Inputs'!$J$23,0)+IF(N('APA Inputs'!$H$23)&gt;0,IF(O$4=EDATE('APA Inputs'!$C$23,'APA Inputs'!$H$23-1),N('APA Inputs'!$G$23),0),0))*IF('APA Inputs'!$I$23="",1,'APA Inputs'!$I$23))</f>
        <v>4166.66</v>
      </c>
      <c r="P8" s="425" t="n">
        <f aca="false">IF('APA Inputs'!$C$23="",0,(IF(AND(P$4&gt;='APA Inputs'!$C$23,P$4&lt;EDATE('APA Inputs'!$C$23,N('APA Inputs'!$D$23))),'APA Inputs'!$J$23,0)+IF(N('APA Inputs'!$H$23)&gt;0,IF(P$4=EDATE('APA Inputs'!$C$23,'APA Inputs'!$H$23-1),N('APA Inputs'!$G$23),0),0))*IF('APA Inputs'!$I$23="",1,'APA Inputs'!$I$23))</f>
        <v>4166.66</v>
      </c>
      <c r="Q8" s="425" t="n">
        <f aca="false">IF('APA Inputs'!$C$23="",0,(IF(AND(Q$4&gt;='APA Inputs'!$C$23,Q$4&lt;EDATE('APA Inputs'!$C$23,N('APA Inputs'!$D$23))),'APA Inputs'!$J$23,0)+IF(N('APA Inputs'!$H$23)&gt;0,IF(Q$4=EDATE('APA Inputs'!$C$23,'APA Inputs'!$H$23-1),N('APA Inputs'!$G$23),0),0))*IF('APA Inputs'!$I$23="",1,'APA Inputs'!$I$23))</f>
        <v>4166.66</v>
      </c>
      <c r="R8" s="425" t="n">
        <f aca="false">IF('APA Inputs'!$C$23="",0,(IF(AND(R$4&gt;='APA Inputs'!$C$23,R$4&lt;EDATE('APA Inputs'!$C$23,N('APA Inputs'!$D$23))),'APA Inputs'!$J$23,0)+IF(N('APA Inputs'!$H$23)&gt;0,IF(R$4=EDATE('APA Inputs'!$C$23,'APA Inputs'!$H$23-1),N('APA Inputs'!$G$23),0),0))*IF('APA Inputs'!$I$23="",1,'APA Inputs'!$I$23))</f>
        <v>4166.66</v>
      </c>
      <c r="S8" s="425" t="n">
        <f aca="false">IF('APA Inputs'!$C$23="",0,(IF(AND(S$4&gt;='APA Inputs'!$C$23,S$4&lt;EDATE('APA Inputs'!$C$23,N('APA Inputs'!$D$23))),'APA Inputs'!$J$23,0)+IF(N('APA Inputs'!$H$23)&gt;0,IF(S$4=EDATE('APA Inputs'!$C$23,'APA Inputs'!$H$23-1),N('APA Inputs'!$G$23),0),0))*IF('APA Inputs'!$I$23="",1,'APA Inputs'!$I$23))</f>
        <v>4166.66</v>
      </c>
      <c r="T8" s="425" t="n">
        <f aca="false">IF('APA Inputs'!$C$23="",0,(IF(AND(T$4&gt;='APA Inputs'!$C$23,T$4&lt;EDATE('APA Inputs'!$C$23,N('APA Inputs'!$D$23))),'APA Inputs'!$J$23,0)+IF(N('APA Inputs'!$H$23)&gt;0,IF(T$4=EDATE('APA Inputs'!$C$23,'APA Inputs'!$H$23-1),N('APA Inputs'!$G$23),0),0))*IF('APA Inputs'!$I$23="",1,'APA Inputs'!$I$23))</f>
        <v>4166.66</v>
      </c>
      <c r="U8" s="425" t="n">
        <f aca="false">IF('APA Inputs'!$C$23="",0,(IF(AND(U$4&gt;='APA Inputs'!$C$23,U$4&lt;EDATE('APA Inputs'!$C$23,N('APA Inputs'!$D$23))),'APA Inputs'!$J$23,0)+IF(N('APA Inputs'!$H$23)&gt;0,IF(U$4=EDATE('APA Inputs'!$C$23,'APA Inputs'!$H$23-1),N('APA Inputs'!$G$23),0),0))*IF('APA Inputs'!$I$23="",1,'APA Inputs'!$I$23))</f>
        <v>4166.66</v>
      </c>
      <c r="V8" s="425" t="n">
        <f aca="false">IF('APA Inputs'!$C$23="",0,(IF(AND(V$4&gt;='APA Inputs'!$C$23,V$4&lt;EDATE('APA Inputs'!$C$23,N('APA Inputs'!$D$23))),'APA Inputs'!$J$23,0)+IF(N('APA Inputs'!$H$23)&gt;0,IF(V$4=EDATE('APA Inputs'!$C$23,'APA Inputs'!$H$23-1),N('APA Inputs'!$G$23),0),0))*IF('APA Inputs'!$I$23="",1,'APA Inputs'!$I$23))</f>
        <v>4166.66</v>
      </c>
      <c r="W8" s="425" t="n">
        <f aca="false">IF('APA Inputs'!$C$23="",0,(IF(AND(W$4&gt;='APA Inputs'!$C$23,W$4&lt;EDATE('APA Inputs'!$C$23,N('APA Inputs'!$D$23))),'APA Inputs'!$J$23,0)+IF(N('APA Inputs'!$H$23)&gt;0,IF(W$4=EDATE('APA Inputs'!$C$23,'APA Inputs'!$H$23-1),N('APA Inputs'!$G$23),0),0))*IF('APA Inputs'!$I$23="",1,'APA Inputs'!$I$23))</f>
        <v>4166.66</v>
      </c>
      <c r="X8" s="425" t="n">
        <f aca="false">IF('APA Inputs'!$C$23="",0,(IF(AND(X$4&gt;='APA Inputs'!$C$23,X$4&lt;EDATE('APA Inputs'!$C$23,N('APA Inputs'!$D$23))),'APA Inputs'!$J$23,0)+IF(N('APA Inputs'!$H$23)&gt;0,IF(X$4=EDATE('APA Inputs'!$C$23,'APA Inputs'!$H$23-1),N('APA Inputs'!$G$23),0),0))*IF('APA Inputs'!$I$23="",1,'APA Inputs'!$I$23))</f>
        <v>4166.66</v>
      </c>
      <c r="Y8" s="425" t="n">
        <f aca="false">IF('APA Inputs'!$C$23="",0,(IF(AND(Y$4&gt;='APA Inputs'!$C$23,Y$4&lt;EDATE('APA Inputs'!$C$23,N('APA Inputs'!$D$23))),'APA Inputs'!$J$23,0)+IF(N('APA Inputs'!$H$23)&gt;0,IF(Y$4=EDATE('APA Inputs'!$C$23,'APA Inputs'!$H$23-1),N('APA Inputs'!$G$23),0),0))*IF('APA Inputs'!$I$23="",1,'APA Inputs'!$I$23))</f>
        <v>4166.66</v>
      </c>
      <c r="Z8" s="425" t="n">
        <f aca="false">IF('APA Inputs'!$C$23="",0,(IF(AND(Z$4&gt;='APA Inputs'!$C$23,Z$4&lt;EDATE('APA Inputs'!$C$23,N('APA Inputs'!$D$23))),'APA Inputs'!$J$23,0)+IF(N('APA Inputs'!$H$23)&gt;0,IF(Z$4=EDATE('APA Inputs'!$C$23,'APA Inputs'!$H$23-1),N('APA Inputs'!$G$23),0),0))*IF('APA Inputs'!$I$23="",1,'APA Inputs'!$I$23))</f>
        <v>4166.66</v>
      </c>
      <c r="AA8" s="425" t="n">
        <f aca="false">IF('APA Inputs'!$C$23="",0,(IF(AND(AA$4&gt;='APA Inputs'!$C$23,AA$4&lt;EDATE('APA Inputs'!$C$23,N('APA Inputs'!$D$23))),'APA Inputs'!$J$23,0)+IF(N('APA Inputs'!$H$23)&gt;0,IF(AA$4=EDATE('APA Inputs'!$C$23,'APA Inputs'!$H$23-1),N('APA Inputs'!$G$23),0),0))*IF('APA Inputs'!$I$23="",1,'APA Inputs'!$I$23))</f>
        <v>4166.66</v>
      </c>
      <c r="AB8" s="425" t="n">
        <f aca="false">IF('APA Inputs'!$C$23="",0,(IF(AND(AB$4&gt;='APA Inputs'!$C$23,AB$4&lt;EDATE('APA Inputs'!$C$23,N('APA Inputs'!$D$23))),'APA Inputs'!$J$23,0)+IF(N('APA Inputs'!$H$23)&gt;0,IF(AB$4=EDATE('APA Inputs'!$C$23,'APA Inputs'!$H$23-1),N('APA Inputs'!$G$23),0),0))*IF('APA Inputs'!$I$23="",1,'APA Inputs'!$I$23))</f>
        <v>4166.66</v>
      </c>
      <c r="AC8" s="425" t="n">
        <f aca="false">IF('APA Inputs'!$C$23="",0,(IF(AND(AC$4&gt;='APA Inputs'!$C$23,AC$4&lt;EDATE('APA Inputs'!$C$23,N('APA Inputs'!$D$23))),'APA Inputs'!$J$23,0)+IF(N('APA Inputs'!$H$23)&gt;0,IF(AC$4=EDATE('APA Inputs'!$C$23,'APA Inputs'!$H$23-1),N('APA Inputs'!$G$23),0),0))*IF('APA Inputs'!$I$23="",1,'APA Inputs'!$I$23))</f>
        <v>4166.66</v>
      </c>
      <c r="AD8" s="425" t="n">
        <f aca="false">IF('APA Inputs'!$C$23="",0,(IF(AND(AD$4&gt;='APA Inputs'!$C$23,AD$4&lt;EDATE('APA Inputs'!$C$23,N('APA Inputs'!$D$23))),'APA Inputs'!$J$23,0)+IF(N('APA Inputs'!$H$23)&gt;0,IF(AD$4=EDATE('APA Inputs'!$C$23,'APA Inputs'!$H$23-1),N('APA Inputs'!$G$23),0),0))*IF('APA Inputs'!$I$23="",1,'APA Inputs'!$I$23))</f>
        <v>4166.66</v>
      </c>
      <c r="AE8" s="425" t="n">
        <f aca="false">IF('APA Inputs'!$C$23="",0,(IF(AND(AE$4&gt;='APA Inputs'!$C$23,AE$4&lt;EDATE('APA Inputs'!$C$23,N('APA Inputs'!$D$23))),'APA Inputs'!$J$23,0)+IF(N('APA Inputs'!$H$23)&gt;0,IF(AE$4=EDATE('APA Inputs'!$C$23,'APA Inputs'!$H$23-1),N('APA Inputs'!$G$23),0),0))*IF('APA Inputs'!$I$23="",1,'APA Inputs'!$I$23))</f>
        <v>4166.66</v>
      </c>
      <c r="AF8" s="425" t="n">
        <f aca="false">IF('APA Inputs'!$C$23="",0,(IF(AND(AF$4&gt;='APA Inputs'!$C$23,AF$4&lt;EDATE('APA Inputs'!$C$23,N('APA Inputs'!$D$23))),'APA Inputs'!$J$23,0)+IF(N('APA Inputs'!$H$23)&gt;0,IF(AF$4=EDATE('APA Inputs'!$C$23,'APA Inputs'!$H$23-1),N('APA Inputs'!$G$23),0),0))*IF('APA Inputs'!$I$23="",1,'APA Inputs'!$I$23))</f>
        <v>4166.66</v>
      </c>
      <c r="AG8" s="425" t="n">
        <f aca="false">IF('APA Inputs'!$C$23="",0,(IF(AND(AG$4&gt;='APA Inputs'!$C$23,AG$4&lt;EDATE('APA Inputs'!$C$23,N('APA Inputs'!$D$23))),'APA Inputs'!$J$23,0)+IF(N('APA Inputs'!$H$23)&gt;0,IF(AG$4=EDATE('APA Inputs'!$C$23,'APA Inputs'!$H$23-1),N('APA Inputs'!$G$23),0),0))*IF('APA Inputs'!$I$23="",1,'APA Inputs'!$I$23))</f>
        <v>0</v>
      </c>
      <c r="AH8" s="425" t="n">
        <f aca="false">IF('APA Inputs'!$C$23="",0,(IF(AND(AH$4&gt;='APA Inputs'!$C$23,AH$4&lt;EDATE('APA Inputs'!$C$23,N('APA Inputs'!$D$23))),'APA Inputs'!$J$23,0)+IF(N('APA Inputs'!$H$23)&gt;0,IF(AH$4=EDATE('APA Inputs'!$C$23,'APA Inputs'!$H$23-1),N('APA Inputs'!$G$23),0),0))*IF('APA Inputs'!$I$23="",1,'APA Inputs'!$I$23))</f>
        <v>0</v>
      </c>
      <c r="AI8" s="425" t="n">
        <f aca="false">IF('APA Inputs'!$C$23="",0,(IF(AND(AI$4&gt;='APA Inputs'!$C$23,AI$4&lt;EDATE('APA Inputs'!$C$23,N('APA Inputs'!$D$23))),'APA Inputs'!$J$23,0)+IF(N('APA Inputs'!$H$23)&gt;0,IF(AI$4=EDATE('APA Inputs'!$C$23,'APA Inputs'!$H$23-1),N('APA Inputs'!$G$23),0),0))*IF('APA Inputs'!$I$23="",1,'APA Inputs'!$I$23))</f>
        <v>0</v>
      </c>
      <c r="AJ8" s="425" t="n">
        <f aca="false">IF('APA Inputs'!$C$23="",0,(IF(AND(AJ$4&gt;='APA Inputs'!$C$23,AJ$4&lt;EDATE('APA Inputs'!$C$23,N('APA Inputs'!$D$23))),'APA Inputs'!$J$23,0)+IF(N('APA Inputs'!$H$23)&gt;0,IF(AJ$4=EDATE('APA Inputs'!$C$23,'APA Inputs'!$H$23-1),N('APA Inputs'!$G$23),0),0))*IF('APA Inputs'!$I$23="",1,'APA Inputs'!$I$23))</f>
        <v>0</v>
      </c>
      <c r="AK8" s="425" t="n">
        <f aca="false">IF('APA Inputs'!$C$23="",0,(IF(AND(AK$4&gt;='APA Inputs'!$C$23,AK$4&lt;EDATE('APA Inputs'!$C$23,N('APA Inputs'!$D$23))),'APA Inputs'!$J$23,0)+IF(N('APA Inputs'!$H$23)&gt;0,IF(AK$4=EDATE('APA Inputs'!$C$23,'APA Inputs'!$H$23-1),N('APA Inputs'!$G$23),0),0))*IF('APA Inputs'!$I$23="",1,'APA Inputs'!$I$23))</f>
        <v>0</v>
      </c>
      <c r="AL8" s="425" t="n">
        <f aca="false">IF('APA Inputs'!$C$23="",0,(IF(AND(AL$4&gt;='APA Inputs'!$C$23,AL$4&lt;EDATE('APA Inputs'!$C$23,N('APA Inputs'!$D$23))),'APA Inputs'!$J$23,0)+IF(N('APA Inputs'!$H$23)&gt;0,IF(AL$4=EDATE('APA Inputs'!$C$23,'APA Inputs'!$H$23-1),N('APA Inputs'!$G$23),0),0))*IF('APA Inputs'!$I$23="",1,'APA Inputs'!$I$23))</f>
        <v>0</v>
      </c>
      <c r="AM8" s="425" t="n">
        <f aca="false">IF('APA Inputs'!$C$23="",0,(IF(AND(AM$4&gt;='APA Inputs'!$C$23,AM$4&lt;EDATE('APA Inputs'!$C$23,N('APA Inputs'!$D$23))),'APA Inputs'!$J$23,0)+IF(N('APA Inputs'!$H$23)&gt;0,IF(AM$4=EDATE('APA Inputs'!$C$23,'APA Inputs'!$H$23-1),N('APA Inputs'!$G$23),0),0))*IF('APA Inputs'!$I$23="",1,'APA Inputs'!$I$23))</f>
        <v>0</v>
      </c>
      <c r="AN8" s="425" t="n">
        <f aca="false">IF('APA Inputs'!$C$23="",0,(IF(AND(AN$4&gt;='APA Inputs'!$C$23,AN$4&lt;EDATE('APA Inputs'!$C$23,N('APA Inputs'!$D$23))),'APA Inputs'!$J$23,0)+IF(N('APA Inputs'!$H$23)&gt;0,IF(AN$4=EDATE('APA Inputs'!$C$23,'APA Inputs'!$H$23-1),N('APA Inputs'!$G$23),0),0))*IF('APA Inputs'!$I$23="",1,'APA Inputs'!$I$23))</f>
        <v>0</v>
      </c>
      <c r="AO8" s="425" t="n">
        <f aca="false">IF('APA Inputs'!$C$23="",0,(IF(AND(AO$4&gt;='APA Inputs'!$C$23,AO$4&lt;EDATE('APA Inputs'!$C$23,N('APA Inputs'!$D$23))),'APA Inputs'!$J$23,0)+IF(N('APA Inputs'!$H$23)&gt;0,IF(AO$4=EDATE('APA Inputs'!$C$23,'APA Inputs'!$H$23-1),N('APA Inputs'!$G$23),0),0))*IF('APA Inputs'!$I$23="",1,'APA Inputs'!$I$23))</f>
        <v>0</v>
      </c>
      <c r="AP8" s="425" t="n">
        <f aca="false">IF('APA Inputs'!$C$23="",0,(IF(AND(AP$4&gt;='APA Inputs'!$C$23,AP$4&lt;EDATE('APA Inputs'!$C$23,N('APA Inputs'!$D$23))),'APA Inputs'!$J$23,0)+IF(N('APA Inputs'!$H$23)&gt;0,IF(AP$4=EDATE('APA Inputs'!$C$23,'APA Inputs'!$H$23-1),N('APA Inputs'!$G$23),0),0))*IF('APA Inputs'!$I$23="",1,'APA Inputs'!$I$23))</f>
        <v>0</v>
      </c>
      <c r="AQ8" s="425" t="n">
        <f aca="false">IF('APA Inputs'!$C$23="",0,(IF(AND(AQ$4&gt;='APA Inputs'!$C$23,AQ$4&lt;EDATE('APA Inputs'!$C$23,N('APA Inputs'!$D$23))),'APA Inputs'!$J$23,0)+IF(N('APA Inputs'!$H$23)&gt;0,IF(AQ$4=EDATE('APA Inputs'!$C$23,'APA Inputs'!$H$23-1),N('APA Inputs'!$G$23),0),0))*IF('APA Inputs'!$I$23="",1,'APA Inputs'!$I$23))</f>
        <v>0</v>
      </c>
      <c r="AR8" s="425" t="n">
        <f aca="false">IF('APA Inputs'!$C$23="",0,(IF(AND(AR$4&gt;='APA Inputs'!$C$23,AR$4&lt;EDATE('APA Inputs'!$C$23,N('APA Inputs'!$D$23))),'APA Inputs'!$J$23,0)+IF(N('APA Inputs'!$H$23)&gt;0,IF(AR$4=EDATE('APA Inputs'!$C$23,'APA Inputs'!$H$23-1),N('APA Inputs'!$G$23),0),0))*IF('APA Inputs'!$I$23="",1,'APA Inputs'!$I$23))</f>
        <v>0</v>
      </c>
      <c r="AS8" s="425" t="n">
        <f aca="false">IF('APA Inputs'!$C$23="",0,(IF(AND(AS$4&gt;='APA Inputs'!$C$23,AS$4&lt;EDATE('APA Inputs'!$C$23,N('APA Inputs'!$D$23))),'APA Inputs'!$J$23,0)+IF(N('APA Inputs'!$H$23)&gt;0,IF(AS$4=EDATE('APA Inputs'!$C$23,'APA Inputs'!$H$23-1),N('APA Inputs'!$G$23),0),0))*IF('APA Inputs'!$I$23="",1,'APA Inputs'!$I$23))</f>
        <v>0</v>
      </c>
      <c r="AT8" s="425" t="n">
        <f aca="false">IF('APA Inputs'!$C$23="",0,(IF(AND(AT$4&gt;='APA Inputs'!$C$23,AT$4&lt;EDATE('APA Inputs'!$C$23,N('APA Inputs'!$D$23))),'APA Inputs'!$J$23,0)+IF(N('APA Inputs'!$H$23)&gt;0,IF(AT$4=EDATE('APA Inputs'!$C$23,'APA Inputs'!$H$23-1),N('APA Inputs'!$G$23),0),0))*IF('APA Inputs'!$I$23="",1,'APA Inputs'!$I$23))</f>
        <v>0</v>
      </c>
      <c r="AU8" s="425" t="n">
        <f aca="false">IF('APA Inputs'!$C$23="",0,(IF(AND(AU$4&gt;='APA Inputs'!$C$23,AU$4&lt;EDATE('APA Inputs'!$C$23,N('APA Inputs'!$D$23))),'APA Inputs'!$J$23,0)+IF(N('APA Inputs'!$H$23)&gt;0,IF(AU$4=EDATE('APA Inputs'!$C$23,'APA Inputs'!$H$23-1),N('APA Inputs'!$G$23),0),0))*IF('APA Inputs'!$I$23="",1,'APA Inputs'!$I$23))</f>
        <v>0</v>
      </c>
      <c r="AV8" s="425" t="n">
        <f aca="false">IF('APA Inputs'!$C$23="",0,(IF(AND(AV$4&gt;='APA Inputs'!$C$23,AV$4&lt;EDATE('APA Inputs'!$C$23,N('APA Inputs'!$D$23))),'APA Inputs'!$J$23,0)+IF(N('APA Inputs'!$H$23)&gt;0,IF(AV$4=EDATE('APA Inputs'!$C$23,'APA Inputs'!$H$23-1),N('APA Inputs'!$G$23),0),0))*IF('APA Inputs'!$I$23="",1,'APA Inputs'!$I$23))</f>
        <v>0</v>
      </c>
      <c r="AW8" s="425" t="n">
        <f aca="false">IF('APA Inputs'!$C$23="",0,(IF(AND(AW$4&gt;='APA Inputs'!$C$23,AW$4&lt;EDATE('APA Inputs'!$C$23,N('APA Inputs'!$D$23))),'APA Inputs'!$J$23,0)+IF(N('APA Inputs'!$H$23)&gt;0,IF(AW$4=EDATE('APA Inputs'!$C$23,'APA Inputs'!$H$23-1),N('APA Inputs'!$G$23),0),0))*IF('APA Inputs'!$I$23="",1,'APA Inputs'!$I$23))</f>
        <v>0</v>
      </c>
      <c r="AX8" s="425" t="n">
        <f aca="false">IF('APA Inputs'!$C$23="",0,(IF(AND(AX$4&gt;='APA Inputs'!$C$23,AX$4&lt;EDATE('APA Inputs'!$C$23,N('APA Inputs'!$D$23))),'APA Inputs'!$J$23,0)+IF(N('APA Inputs'!$H$23)&gt;0,IF(AX$4=EDATE('APA Inputs'!$C$23,'APA Inputs'!$H$23-1),N('APA Inputs'!$G$23),0),0))*IF('APA Inputs'!$I$23="",1,'APA Inputs'!$I$23))</f>
        <v>0</v>
      </c>
      <c r="AY8" s="425" t="n">
        <f aca="false">IF('APA Inputs'!$C$23="",0,(IF(AND(AY$4&gt;='APA Inputs'!$C$23,AY$4&lt;EDATE('APA Inputs'!$C$23,N('APA Inputs'!$D$23))),'APA Inputs'!$J$23,0)+IF(N('APA Inputs'!$H$23)&gt;0,IF(AY$4=EDATE('APA Inputs'!$C$23,'APA Inputs'!$H$23-1),N('APA Inputs'!$G$23),0),0))*IF('APA Inputs'!$I$23="",1,'APA Inputs'!$I$23))</f>
        <v>0</v>
      </c>
      <c r="AZ8" s="425" t="n">
        <f aca="false">IF('APA Inputs'!$C$23="",0,(IF(AND(AZ$4&gt;='APA Inputs'!$C$23,AZ$4&lt;EDATE('APA Inputs'!$C$23,N('APA Inputs'!$D$23))),'APA Inputs'!$J$23,0)+IF(N('APA Inputs'!$H$23)&gt;0,IF(AZ$4=EDATE('APA Inputs'!$C$23,'APA Inputs'!$H$23-1),N('APA Inputs'!$G$23),0),0))*IF('APA Inputs'!$I$23="",1,'APA Inputs'!$I$23))</f>
        <v>0</v>
      </c>
      <c r="BA8" s="425" t="n">
        <f aca="false">IF('APA Inputs'!$C$23="",0,(IF(AND(BA$4&gt;='APA Inputs'!$C$23,BA$4&lt;EDATE('APA Inputs'!$C$23,N('APA Inputs'!$D$23))),'APA Inputs'!$J$23,0)+IF(N('APA Inputs'!$H$23)&gt;0,IF(BA$4=EDATE('APA Inputs'!$C$23,'APA Inputs'!$H$23-1),N('APA Inputs'!$G$23),0),0))*IF('APA Inputs'!$I$23="",1,'APA Inputs'!$I$23))</f>
        <v>0</v>
      </c>
      <c r="BB8" s="425" t="n">
        <f aca="false">IF('APA Inputs'!$C$23="",0,(IF(AND(BB$4&gt;='APA Inputs'!$C$23,BB$4&lt;EDATE('APA Inputs'!$C$23,N('APA Inputs'!$D$23))),'APA Inputs'!$J$23,0)+IF(N('APA Inputs'!$H$23)&gt;0,IF(BB$4=EDATE('APA Inputs'!$C$23,'APA Inputs'!$H$23-1),N('APA Inputs'!$G$23),0),0))*IF('APA Inputs'!$I$23="",1,'APA Inputs'!$I$23))</f>
        <v>0</v>
      </c>
      <c r="BC8" s="425" t="n">
        <f aca="false">IF('APA Inputs'!$C$23="",0,(IF(AND(BC$4&gt;='APA Inputs'!$C$23,BC$4&lt;EDATE('APA Inputs'!$C$23,N('APA Inputs'!$D$23))),'APA Inputs'!$J$23,0)+IF(N('APA Inputs'!$H$23)&gt;0,IF(BC$4=EDATE('APA Inputs'!$C$23,'APA Inputs'!$H$23-1),N('APA Inputs'!$G$23),0),0))*IF('APA Inputs'!$I$23="",1,'APA Inputs'!$I$23))</f>
        <v>0</v>
      </c>
      <c r="BD8" s="425" t="n">
        <f aca="false">IF('APA Inputs'!$C$23="",0,(IF(AND(BD$4&gt;='APA Inputs'!$C$23,BD$4&lt;EDATE('APA Inputs'!$C$23,N('APA Inputs'!$D$23))),'APA Inputs'!$J$23,0)+IF(N('APA Inputs'!$H$23)&gt;0,IF(BD$4=EDATE('APA Inputs'!$C$23,'APA Inputs'!$H$23-1),N('APA Inputs'!$G$23),0),0))*IF('APA Inputs'!$I$23="",1,'APA Inputs'!$I$23))</f>
        <v>0</v>
      </c>
      <c r="BE8" s="425" t="n">
        <f aca="false">IF('APA Inputs'!$C$23="",0,(IF(AND(BE$4&gt;='APA Inputs'!$C$23,BE$4&lt;EDATE('APA Inputs'!$C$23,N('APA Inputs'!$D$23))),'APA Inputs'!$J$23,0)+IF(N('APA Inputs'!$H$23)&gt;0,IF(BE$4=EDATE('APA Inputs'!$C$23,'APA Inputs'!$H$23-1),N('APA Inputs'!$G$23),0),0))*IF('APA Inputs'!$I$23="",1,'APA Inputs'!$I$23))</f>
        <v>0</v>
      </c>
      <c r="BF8" s="425" t="n">
        <f aca="false">IF('APA Inputs'!$C$23="",0,(IF(AND(BF$4&gt;='APA Inputs'!$C$23,BF$4&lt;EDATE('APA Inputs'!$C$23,N('APA Inputs'!$D$23))),'APA Inputs'!$J$23,0)+IF(N('APA Inputs'!$H$23)&gt;0,IF(BF$4=EDATE('APA Inputs'!$C$23,'APA Inputs'!$H$23-1),N('APA Inputs'!$G$23),0),0))*IF('APA Inputs'!$I$23="",1,'APA Inputs'!$I$23))</f>
        <v>0</v>
      </c>
      <c r="BG8" s="425" t="n">
        <f aca="false">IF('APA Inputs'!$C$23="",0,(IF(AND(BG$4&gt;='APA Inputs'!$C$23,BG$4&lt;EDATE('APA Inputs'!$C$23,N('APA Inputs'!$D$23))),'APA Inputs'!$J$23,0)+IF(N('APA Inputs'!$H$23)&gt;0,IF(BG$4=EDATE('APA Inputs'!$C$23,'APA Inputs'!$H$23-1),N('APA Inputs'!$G$23),0),0))*IF('APA Inputs'!$I$23="",1,'APA Inputs'!$I$23))</f>
        <v>0</v>
      </c>
      <c r="BH8" s="425" t="n">
        <f aca="false">IF('APA Inputs'!$C$23="",0,(IF(AND(BH$4&gt;='APA Inputs'!$C$23,BH$4&lt;EDATE('APA Inputs'!$C$23,N('APA Inputs'!$D$23))),'APA Inputs'!$J$23,0)+IF(N('APA Inputs'!$H$23)&gt;0,IF(BH$4=EDATE('APA Inputs'!$C$23,'APA Inputs'!$H$23-1),N('APA Inputs'!$G$23),0),0))*IF('APA Inputs'!$I$23="",1,'APA Inputs'!$I$23))</f>
        <v>0</v>
      </c>
      <c r="BI8" s="425" t="n">
        <f aca="false">IF('APA Inputs'!$C$23="",0,(IF(AND(BI$4&gt;='APA Inputs'!$C$23,BI$4&lt;EDATE('APA Inputs'!$C$23,N('APA Inputs'!$D$23))),'APA Inputs'!$J$23,0)+IF(N('APA Inputs'!$H$23)&gt;0,IF(BI$4=EDATE('APA Inputs'!$C$23,'APA Inputs'!$H$23-1),N('APA Inputs'!$G$23),0),0))*IF('APA Inputs'!$I$23="",1,'APA Inputs'!$I$23))</f>
        <v>0</v>
      </c>
      <c r="BJ8" s="425" t="n">
        <f aca="false">IF('APA Inputs'!$C$23="",0,(IF(AND(BJ$4&gt;='APA Inputs'!$C$23,BJ$4&lt;EDATE('APA Inputs'!$C$23,N('APA Inputs'!$D$23))),'APA Inputs'!$J$23,0)+IF(N('APA Inputs'!$H$23)&gt;0,IF(BJ$4=EDATE('APA Inputs'!$C$23,'APA Inputs'!$H$23-1),N('APA Inputs'!$G$23),0),0))*IF('APA Inputs'!$I$23="",1,'APA Inputs'!$I$23))</f>
        <v>0</v>
      </c>
      <c r="BK8" s="425" t="n">
        <f aca="false">IF('APA Inputs'!$C$23="",0,(IF(AND(BK$4&gt;='APA Inputs'!$C$23,BK$4&lt;EDATE('APA Inputs'!$C$23,N('APA Inputs'!$D$23))),'APA Inputs'!$J$23,0)+IF(N('APA Inputs'!$H$23)&gt;0,IF(BK$4=EDATE('APA Inputs'!$C$23,'APA Inputs'!$H$23-1),N('APA Inputs'!$G$23),0),0))*IF('APA Inputs'!$I$23="",1,'APA Inputs'!$I$23))</f>
        <v>0</v>
      </c>
      <c r="BL8" s="425" t="n">
        <f aca="false">IF('APA Inputs'!$C$23="",0,(IF(AND(BL$4&gt;='APA Inputs'!$C$23,BL$4&lt;EDATE('APA Inputs'!$C$23,N('APA Inputs'!$D$23))),'APA Inputs'!$J$23,0)+IF(N('APA Inputs'!$H$23)&gt;0,IF(BL$4=EDATE('APA Inputs'!$C$23,'APA Inputs'!$H$23-1),N('APA Inputs'!$G$23),0),0))*IF('APA Inputs'!$I$23="",1,'APA Inputs'!$I$23))</f>
        <v>0</v>
      </c>
      <c r="BM8" s="425" t="n">
        <f aca="false">IF('APA Inputs'!$C$23="",0,(IF(AND(BM$4&gt;='APA Inputs'!$C$23,BM$4&lt;EDATE('APA Inputs'!$C$23,N('APA Inputs'!$D$23))),'APA Inputs'!$J$23,0)+IF(N('APA Inputs'!$H$23)&gt;0,IF(BM$4=EDATE('APA Inputs'!$C$23,'APA Inputs'!$H$23-1),N('APA Inputs'!$G$23),0),0))*IF('APA Inputs'!$I$23="",1,'APA Inputs'!$I$23))</f>
        <v>0</v>
      </c>
      <c r="BN8" s="425" t="n">
        <f aca="false">IF('APA Inputs'!$C$23="",0,(IF(AND(BN$4&gt;='APA Inputs'!$C$23,BN$4&lt;EDATE('APA Inputs'!$C$23,N('APA Inputs'!$D$23))),'APA Inputs'!$J$23,0)+IF(N('APA Inputs'!$H$23)&gt;0,IF(BN$4=EDATE('APA Inputs'!$C$23,'APA Inputs'!$H$23-1),N('APA Inputs'!$G$23),0),0))*IF('APA Inputs'!$I$23="",1,'APA Inputs'!$I$23))</f>
        <v>0</v>
      </c>
      <c r="BO8" s="425" t="n">
        <f aca="false">IF('APA Inputs'!$C$23="",0,(IF(AND(BO$4&gt;='APA Inputs'!$C$23,BO$4&lt;EDATE('APA Inputs'!$C$23,N('APA Inputs'!$D$23))),'APA Inputs'!$J$23,0)+IF(N('APA Inputs'!$H$23)&gt;0,IF(BO$4=EDATE('APA Inputs'!$C$23,'APA Inputs'!$H$23-1),N('APA Inputs'!$G$23),0),0))*IF('APA Inputs'!$I$23="",1,'APA Inputs'!$I$23))</f>
        <v>0</v>
      </c>
      <c r="BP8" s="425" t="n">
        <f aca="false">IF('APA Inputs'!$C$23="",0,(IF(AND(BP$4&gt;='APA Inputs'!$C$23,BP$4&lt;EDATE('APA Inputs'!$C$23,N('APA Inputs'!$D$23))),'APA Inputs'!$J$23,0)+IF(N('APA Inputs'!$H$23)&gt;0,IF(BP$4=EDATE('APA Inputs'!$C$23,'APA Inputs'!$H$23-1),N('APA Inputs'!$G$23),0),0))*IF('APA Inputs'!$I$23="",1,'APA Inputs'!$I$23))</f>
        <v>0</v>
      </c>
      <c r="BQ8" s="425" t="n">
        <f aca="false">IF('APA Inputs'!$C$23="",0,(IF(AND(BQ$4&gt;='APA Inputs'!$C$23,BQ$4&lt;EDATE('APA Inputs'!$C$23,N('APA Inputs'!$D$23))),'APA Inputs'!$J$23,0)+IF(N('APA Inputs'!$H$23)&gt;0,IF(BQ$4=EDATE('APA Inputs'!$C$23,'APA Inputs'!$H$23-1),N('APA Inputs'!$G$23),0),0))*IF('APA Inputs'!$I$23="",1,'APA Inputs'!$I$23))</f>
        <v>0</v>
      </c>
      <c r="BR8" s="425" t="n">
        <f aca="false">IF('APA Inputs'!$C$23="",0,(IF(AND(BR$4&gt;='APA Inputs'!$C$23,BR$4&lt;EDATE('APA Inputs'!$C$23,N('APA Inputs'!$D$23))),'APA Inputs'!$J$23,0)+IF(N('APA Inputs'!$H$23)&gt;0,IF(BR$4=EDATE('APA Inputs'!$C$23,'APA Inputs'!$H$23-1),N('APA Inputs'!$G$23),0),0))*IF('APA Inputs'!$I$23="",1,'APA Inputs'!$I$23))</f>
        <v>0</v>
      </c>
      <c r="BS8" s="425" t="n">
        <f aca="false">IF('APA Inputs'!$C$23="",0,(IF(AND(BS$4&gt;='APA Inputs'!$C$23,BS$4&lt;EDATE('APA Inputs'!$C$23,N('APA Inputs'!$D$23))),'APA Inputs'!$J$23,0)+IF(N('APA Inputs'!$H$23)&gt;0,IF(BS$4=EDATE('APA Inputs'!$C$23,'APA Inputs'!$H$23-1),N('APA Inputs'!$G$23),0),0))*IF('APA Inputs'!$I$23="",1,'APA Inputs'!$I$23))</f>
        <v>0</v>
      </c>
      <c r="BT8" s="425" t="n">
        <f aca="false">IF('APA Inputs'!$C$23="",0,(IF(AND(BT$4&gt;='APA Inputs'!$C$23,BT$4&lt;EDATE('APA Inputs'!$C$23,N('APA Inputs'!$D$23))),'APA Inputs'!$J$23,0)+IF(N('APA Inputs'!$H$23)&gt;0,IF(BT$4=EDATE('APA Inputs'!$C$23,'APA Inputs'!$H$23-1),N('APA Inputs'!$G$23),0),0))*IF('APA Inputs'!$I$23="",1,'APA Inputs'!$I$23))</f>
        <v>0</v>
      </c>
      <c r="BU8" s="425" t="n">
        <f aca="false">IF('APA Inputs'!$C$23="",0,(IF(AND(BU$4&gt;='APA Inputs'!$C$23,BU$4&lt;EDATE('APA Inputs'!$C$23,N('APA Inputs'!$D$23))),'APA Inputs'!$J$23,0)+IF(N('APA Inputs'!$H$23)&gt;0,IF(BU$4=EDATE('APA Inputs'!$C$23,'APA Inputs'!$H$23-1),N('APA Inputs'!$G$23),0),0))*IF('APA Inputs'!$I$23="",1,'APA Inputs'!$I$23))</f>
        <v>0</v>
      </c>
      <c r="BV8" s="425" t="n">
        <f aca="false">IF('APA Inputs'!$C$23="",0,(IF(AND(BV$4&gt;='APA Inputs'!$C$23,BV$4&lt;EDATE('APA Inputs'!$C$23,N('APA Inputs'!$D$23))),'APA Inputs'!$J$23,0)+IF(N('APA Inputs'!$H$23)&gt;0,IF(BV$4=EDATE('APA Inputs'!$C$23,'APA Inputs'!$H$23-1),N('APA Inputs'!$G$23),0),0))*IF('APA Inputs'!$I$23="",1,'APA Inputs'!$I$23))</f>
        <v>0</v>
      </c>
      <c r="BW8" s="425" t="n">
        <f aca="false">IF('APA Inputs'!$C$23="",0,(IF(AND(BW$4&gt;='APA Inputs'!$C$23,BW$4&lt;EDATE('APA Inputs'!$C$23,N('APA Inputs'!$D$23))),'APA Inputs'!$J$23,0)+IF(N('APA Inputs'!$H$23)&gt;0,IF(BW$4=EDATE('APA Inputs'!$C$23,'APA Inputs'!$H$23-1),N('APA Inputs'!$G$23),0),0))*IF('APA Inputs'!$I$23="",1,'APA Inputs'!$I$23))</f>
        <v>0</v>
      </c>
      <c r="BX8" s="425" t="n">
        <f aca="false">IF('APA Inputs'!$C$23="",0,(IF(AND(BX$4&gt;='APA Inputs'!$C$23,BX$4&lt;EDATE('APA Inputs'!$C$23,N('APA Inputs'!$D$23))),'APA Inputs'!$J$23,0)+IF(N('APA Inputs'!$H$23)&gt;0,IF(BX$4=EDATE('APA Inputs'!$C$23,'APA Inputs'!$H$23-1),N('APA Inputs'!$G$23),0),0))*IF('APA Inputs'!$I$23="",1,'APA Inputs'!$I$23))</f>
        <v>0</v>
      </c>
      <c r="BY8" s="425" t="n">
        <f aca="false">IF('APA Inputs'!$C$23="",0,(IF(AND(BY$4&gt;='APA Inputs'!$C$23,BY$4&lt;EDATE('APA Inputs'!$C$23,N('APA Inputs'!$D$23))),'APA Inputs'!$J$23,0)+IF(N('APA Inputs'!$H$23)&gt;0,IF(BY$4=EDATE('APA Inputs'!$C$23,'APA Inputs'!$H$23-1),N('APA Inputs'!$G$23),0),0))*IF('APA Inputs'!$I$23="",1,'APA Inputs'!$I$23))</f>
        <v>0</v>
      </c>
      <c r="BZ8" s="425" t="n">
        <f aca="false">IF('APA Inputs'!$C$23="",0,(IF(AND(BZ$4&gt;='APA Inputs'!$C$23,BZ$4&lt;EDATE('APA Inputs'!$C$23,N('APA Inputs'!$D$23))),'APA Inputs'!$J$23,0)+IF(N('APA Inputs'!$H$23)&gt;0,IF(BZ$4=EDATE('APA Inputs'!$C$23,'APA Inputs'!$H$23-1),N('APA Inputs'!$G$23),0),0))*IF('APA Inputs'!$I$23="",1,'APA Inputs'!$I$23))</f>
        <v>0</v>
      </c>
      <c r="CA8" s="425" t="n">
        <f aca="false">IF('APA Inputs'!$C$23="",0,(IF(AND(CA$4&gt;='APA Inputs'!$C$23,CA$4&lt;EDATE('APA Inputs'!$C$23,N('APA Inputs'!$D$23))),'APA Inputs'!$J$23,0)+IF(N('APA Inputs'!$H$23)&gt;0,IF(CA$4=EDATE('APA Inputs'!$C$23,'APA Inputs'!$H$23-1),N('APA Inputs'!$G$23),0),0))*IF('APA Inputs'!$I$23="",1,'APA Inputs'!$I$23))</f>
        <v>0</v>
      </c>
      <c r="CB8" s="425" t="n">
        <f aca="false">IF('APA Inputs'!$C$23="",0,(IF(AND(CB$4&gt;='APA Inputs'!$C$23,CB$4&lt;EDATE('APA Inputs'!$C$23,N('APA Inputs'!$D$23))),'APA Inputs'!$J$23,0)+IF(N('APA Inputs'!$H$23)&gt;0,IF(CB$4=EDATE('APA Inputs'!$C$23,'APA Inputs'!$H$23-1),N('APA Inputs'!$G$23),0),0))*IF('APA Inputs'!$I$23="",1,'APA Inputs'!$I$23))</f>
        <v>0</v>
      </c>
      <c r="CC8" s="425" t="n">
        <f aca="false">IF('APA Inputs'!$C$23="",0,(IF(AND(CC$4&gt;='APA Inputs'!$C$23,CC$4&lt;EDATE('APA Inputs'!$C$23,N('APA Inputs'!$D$23))),'APA Inputs'!$J$23,0)+IF(N('APA Inputs'!$H$23)&gt;0,IF(CC$4=EDATE('APA Inputs'!$C$23,'APA Inputs'!$H$23-1),N('APA Inputs'!$G$23),0),0))*IF('APA Inputs'!$I$23="",1,'APA Inputs'!$I$23))</f>
        <v>0</v>
      </c>
      <c r="CD8" s="425" t="n">
        <f aca="false">IF('APA Inputs'!$C$23="",0,(IF(AND(CD$4&gt;='APA Inputs'!$C$23,CD$4&lt;EDATE('APA Inputs'!$C$23,N('APA Inputs'!$D$23))),'APA Inputs'!$J$23,0)+IF(N('APA Inputs'!$H$23)&gt;0,IF(CD$4=EDATE('APA Inputs'!$C$23,'APA Inputs'!$H$23-1),N('APA Inputs'!$G$23),0),0))*IF('APA Inputs'!$I$23="",1,'APA Inputs'!$I$23))</f>
        <v>0</v>
      </c>
      <c r="CE8" s="425" t="n">
        <f aca="false">IF('APA Inputs'!$C$23="",0,(IF(AND(CE$4&gt;='APA Inputs'!$C$23,CE$4&lt;EDATE('APA Inputs'!$C$23,N('APA Inputs'!$D$23))),'APA Inputs'!$J$23,0)+IF(N('APA Inputs'!$H$23)&gt;0,IF(CE$4=EDATE('APA Inputs'!$C$23,'APA Inputs'!$H$23-1),N('APA Inputs'!$G$23),0),0))*IF('APA Inputs'!$I$23="",1,'APA Inputs'!$I$23))</f>
        <v>0</v>
      </c>
      <c r="CF8" s="425" t="n">
        <f aca="false">IF('APA Inputs'!$C$23="",0,(IF(AND(CF$4&gt;='APA Inputs'!$C$23,CF$4&lt;EDATE('APA Inputs'!$C$23,N('APA Inputs'!$D$23))),'APA Inputs'!$J$23,0)+IF(N('APA Inputs'!$H$23)&gt;0,IF(CF$4=EDATE('APA Inputs'!$C$23,'APA Inputs'!$H$23-1),N('APA Inputs'!$G$23),0),0))*IF('APA Inputs'!$I$23="",1,'APA Inputs'!$I$23))</f>
        <v>0</v>
      </c>
      <c r="CG8" s="425" t="n">
        <f aca="false">IF('APA Inputs'!$C$23="",0,(IF(AND(CG$4&gt;='APA Inputs'!$C$23,CG$4&lt;EDATE('APA Inputs'!$C$23,N('APA Inputs'!$D$23))),'APA Inputs'!$J$23,0)+IF(N('APA Inputs'!$H$23)&gt;0,IF(CG$4=EDATE('APA Inputs'!$C$23,'APA Inputs'!$H$23-1),N('APA Inputs'!$G$23),0),0))*IF('APA Inputs'!$I$23="",1,'APA Inputs'!$I$23))</f>
        <v>0</v>
      </c>
      <c r="CH8" s="425" t="n">
        <f aca="false">IF('APA Inputs'!$C$23="",0,(IF(AND(CH$4&gt;='APA Inputs'!$C$23,CH$4&lt;EDATE('APA Inputs'!$C$23,N('APA Inputs'!$D$23))),'APA Inputs'!$J$23,0)+IF(N('APA Inputs'!$H$23)&gt;0,IF(CH$4=EDATE('APA Inputs'!$C$23,'APA Inputs'!$H$23-1),N('APA Inputs'!$G$23),0),0))*IF('APA Inputs'!$I$23="",1,'APA Inputs'!$I$23))</f>
        <v>0</v>
      </c>
      <c r="CI8" s="425" t="n">
        <f aca="false">IF('APA Inputs'!$C$23="",0,(IF(AND(CI$4&gt;='APA Inputs'!$C$23,CI$4&lt;EDATE('APA Inputs'!$C$23,N('APA Inputs'!$D$23))),'APA Inputs'!$J$23,0)+IF(N('APA Inputs'!$H$23)&gt;0,IF(CI$4=EDATE('APA Inputs'!$C$23,'APA Inputs'!$H$23-1),N('APA Inputs'!$G$23),0),0))*IF('APA Inputs'!$I$23="",1,'APA Inputs'!$I$23))</f>
        <v>0</v>
      </c>
      <c r="CJ8" s="425" t="n">
        <f aca="false">IF('APA Inputs'!$C$23="",0,(IF(AND(CJ$4&gt;='APA Inputs'!$C$23,CJ$4&lt;EDATE('APA Inputs'!$C$23,N('APA Inputs'!$D$23))),'APA Inputs'!$J$23,0)+IF(N('APA Inputs'!$H$23)&gt;0,IF(CJ$4=EDATE('APA Inputs'!$C$23,'APA Inputs'!$H$23-1),N('APA Inputs'!$G$23),0),0))*IF('APA Inputs'!$I$23="",1,'APA Inputs'!$I$23))</f>
        <v>0</v>
      </c>
      <c r="CK8" s="425" t="n">
        <f aca="false">IF('APA Inputs'!$C$23="",0,(IF(AND(CK$4&gt;='APA Inputs'!$C$23,CK$4&lt;EDATE('APA Inputs'!$C$23,N('APA Inputs'!$D$23))),'APA Inputs'!$J$23,0)+IF(N('APA Inputs'!$H$23)&gt;0,IF(CK$4=EDATE('APA Inputs'!$C$23,'APA Inputs'!$H$23-1),N('APA Inputs'!$G$23),0),0))*IF('APA Inputs'!$I$23="",1,'APA Inputs'!$I$23))</f>
        <v>0</v>
      </c>
      <c r="CL8" s="425" t="n">
        <f aca="false">IF('APA Inputs'!$C$23="",0,(IF(AND(CL$4&gt;='APA Inputs'!$C$23,CL$4&lt;EDATE('APA Inputs'!$C$23,N('APA Inputs'!$D$23))),'APA Inputs'!$J$23,0)+IF(N('APA Inputs'!$H$23)&gt;0,IF(CL$4=EDATE('APA Inputs'!$C$23,'APA Inputs'!$H$23-1),N('APA Inputs'!$G$23),0),0))*IF('APA Inputs'!$I$23="",1,'APA Inputs'!$I$23))</f>
        <v>0</v>
      </c>
      <c r="CM8" s="425" t="n">
        <f aca="false">IF('APA Inputs'!$C$23="",0,(IF(AND(CM$4&gt;='APA Inputs'!$C$23,CM$4&lt;EDATE('APA Inputs'!$C$23,N('APA Inputs'!$D$23))),'APA Inputs'!$J$23,0)+IF(N('APA Inputs'!$H$23)&gt;0,IF(CM$4=EDATE('APA Inputs'!$C$23,'APA Inputs'!$H$23-1),N('APA Inputs'!$G$23),0),0))*IF('APA Inputs'!$I$23="",1,'APA Inputs'!$I$23))</f>
        <v>0</v>
      </c>
      <c r="CN8" s="425" t="n">
        <f aca="false">IF('APA Inputs'!$C$23="",0,(IF(AND(CN$4&gt;='APA Inputs'!$C$23,CN$4&lt;EDATE('APA Inputs'!$C$23,N('APA Inputs'!$D$23))),'APA Inputs'!$J$23,0)+IF(N('APA Inputs'!$H$23)&gt;0,IF(CN$4=EDATE('APA Inputs'!$C$23,'APA Inputs'!$H$23-1),N('APA Inputs'!$G$23),0),0))*IF('APA Inputs'!$I$23="",1,'APA Inputs'!$I$23))</f>
        <v>0</v>
      </c>
      <c r="CO8" s="425" t="n">
        <f aca="false">IF('APA Inputs'!$C$23="",0,(IF(AND(CO$4&gt;='APA Inputs'!$C$23,CO$4&lt;EDATE('APA Inputs'!$C$23,N('APA Inputs'!$D$23))),'APA Inputs'!$J$23,0)+IF(N('APA Inputs'!$H$23)&gt;0,IF(CO$4=EDATE('APA Inputs'!$C$23,'APA Inputs'!$H$23-1),N('APA Inputs'!$G$23),0),0))*IF('APA Inputs'!$I$23="",1,'APA Inputs'!$I$23))</f>
        <v>0</v>
      </c>
      <c r="CP8" s="425" t="n">
        <f aca="false">IF('APA Inputs'!$C$23="",0,(IF(AND(CP$4&gt;='APA Inputs'!$C$23,CP$4&lt;EDATE('APA Inputs'!$C$23,N('APA Inputs'!$D$23))),'APA Inputs'!$J$23,0)+IF(N('APA Inputs'!$H$23)&gt;0,IF(CP$4=EDATE('APA Inputs'!$C$23,'APA Inputs'!$H$23-1),N('APA Inputs'!$G$23),0),0))*IF('APA Inputs'!$I$23="",1,'APA Inputs'!$I$23))</f>
        <v>0</v>
      </c>
      <c r="CQ8" s="425" t="n">
        <f aca="false">IF('APA Inputs'!$C$23="",0,(IF(AND(CQ$4&gt;='APA Inputs'!$C$23,CQ$4&lt;EDATE('APA Inputs'!$C$23,N('APA Inputs'!$D$23))),'APA Inputs'!$J$23,0)+IF(N('APA Inputs'!$H$23)&gt;0,IF(CQ$4=EDATE('APA Inputs'!$C$23,'APA Inputs'!$H$23-1),N('APA Inputs'!$G$23),0),0))*IF('APA Inputs'!$I$23="",1,'APA Inputs'!$I$23))</f>
        <v>0</v>
      </c>
      <c r="CR8" s="425" t="n">
        <f aca="false">IF('APA Inputs'!$C$23="",0,(IF(AND(CR$4&gt;='APA Inputs'!$C$23,CR$4&lt;EDATE('APA Inputs'!$C$23,N('APA Inputs'!$D$23))),'APA Inputs'!$J$23,0)+IF(N('APA Inputs'!$H$23)&gt;0,IF(CR$4=EDATE('APA Inputs'!$C$23,'APA Inputs'!$H$23-1),N('APA Inputs'!$G$23),0),0))*IF('APA Inputs'!$I$23="",1,'APA Inputs'!$I$23))</f>
        <v>0</v>
      </c>
      <c r="CS8" s="425" t="n">
        <f aca="false">IF('APA Inputs'!$C$23="",0,(IF(AND(CS$4&gt;='APA Inputs'!$C$23,CS$4&lt;EDATE('APA Inputs'!$C$23,N('APA Inputs'!$D$23))),'APA Inputs'!$J$23,0)+IF(N('APA Inputs'!$H$23)&gt;0,IF(CS$4=EDATE('APA Inputs'!$C$23,'APA Inputs'!$H$23-1),N('APA Inputs'!$G$23),0),0))*IF('APA Inputs'!$I$23="",1,'APA Inputs'!$I$23))</f>
        <v>0</v>
      </c>
      <c r="CT8" s="425" t="n">
        <f aca="false">IF('APA Inputs'!$C$23="",0,(IF(AND(CT$4&gt;='APA Inputs'!$C$23,CT$4&lt;EDATE('APA Inputs'!$C$23,N('APA Inputs'!$D$23))),'APA Inputs'!$J$23,0)+IF(N('APA Inputs'!$H$23)&gt;0,IF(CT$4=EDATE('APA Inputs'!$C$23,'APA Inputs'!$H$23-1),N('APA Inputs'!$G$23),0),0))*IF('APA Inputs'!$I$23="",1,'APA Inputs'!$I$23))</f>
        <v>0</v>
      </c>
      <c r="CU8" s="425" t="n">
        <f aca="false">IF('APA Inputs'!$C$23="",0,(IF(AND(CU$4&gt;='APA Inputs'!$C$23,CU$4&lt;EDATE('APA Inputs'!$C$23,N('APA Inputs'!$D$23))),'APA Inputs'!$J$23,0)+IF(N('APA Inputs'!$H$23)&gt;0,IF(CU$4=EDATE('APA Inputs'!$C$23,'APA Inputs'!$H$23-1),N('APA Inputs'!$G$23),0),0))*IF('APA Inputs'!$I$23="",1,'APA Inputs'!$I$23))</f>
        <v>0</v>
      </c>
      <c r="CV8" s="425" t="n">
        <f aca="false">IF('APA Inputs'!$C$23="",0,(IF(AND(CV$4&gt;='APA Inputs'!$C$23,CV$4&lt;EDATE('APA Inputs'!$C$23,N('APA Inputs'!$D$23))),'APA Inputs'!$J$23,0)+IF(N('APA Inputs'!$H$23)&gt;0,IF(CV$4=EDATE('APA Inputs'!$C$23,'APA Inputs'!$H$23-1),N('APA Inputs'!$G$23),0),0))*IF('APA Inputs'!$I$23="",1,'APA Inputs'!$I$23))</f>
        <v>0</v>
      </c>
      <c r="CW8" s="425" t="n">
        <f aca="false">IF('APA Inputs'!$C$23="",0,(IF(AND(CW$4&gt;='APA Inputs'!$C$23,CW$4&lt;EDATE('APA Inputs'!$C$23,N('APA Inputs'!$D$23))),'APA Inputs'!$J$23,0)+IF(N('APA Inputs'!$H$23)&gt;0,IF(CW$4=EDATE('APA Inputs'!$C$23,'APA Inputs'!$H$23-1),N('APA Inputs'!$G$23),0),0))*IF('APA Inputs'!$I$23="",1,'APA Inputs'!$I$23))</f>
        <v>0</v>
      </c>
      <c r="CX8" s="425" t="n">
        <f aca="false">IF('APA Inputs'!$C$23="",0,(IF(AND(CX$4&gt;='APA Inputs'!$C$23,CX$4&lt;EDATE('APA Inputs'!$C$23,N('APA Inputs'!$D$23))),'APA Inputs'!$J$23,0)+IF(N('APA Inputs'!$H$23)&gt;0,IF(CX$4=EDATE('APA Inputs'!$C$23,'APA Inputs'!$H$23-1),N('APA Inputs'!$G$23),0),0))*IF('APA Inputs'!$I$23="",1,'APA Inputs'!$I$23))</f>
        <v>0</v>
      </c>
      <c r="CY8" s="425" t="n">
        <f aca="false">IF('APA Inputs'!$C$23="",0,(IF(AND(CY$4&gt;='APA Inputs'!$C$23,CY$4&lt;EDATE('APA Inputs'!$C$23,N('APA Inputs'!$D$23))),'APA Inputs'!$J$23,0)+IF(N('APA Inputs'!$H$23)&gt;0,IF(CY$4=EDATE('APA Inputs'!$C$23,'APA Inputs'!$H$23-1),N('APA Inputs'!$G$23),0),0))*IF('APA Inputs'!$I$23="",1,'APA Inputs'!$I$23))</f>
        <v>0</v>
      </c>
      <c r="CZ8" s="425" t="n">
        <f aca="false">IF('APA Inputs'!$C$23="",0,(IF(AND(CZ$4&gt;='APA Inputs'!$C$23,CZ$4&lt;EDATE('APA Inputs'!$C$23,N('APA Inputs'!$D$23))),'APA Inputs'!$J$23,0)+IF(N('APA Inputs'!$H$23)&gt;0,IF(CZ$4=EDATE('APA Inputs'!$C$23,'APA Inputs'!$H$23-1),N('APA Inputs'!$G$23),0),0))*IF('APA Inputs'!$I$23="",1,'APA Inputs'!$I$23))</f>
        <v>0</v>
      </c>
      <c r="DA8" s="425" t="n">
        <f aca="false">IF('APA Inputs'!$C$23="",0,(IF(AND(DA$4&gt;='APA Inputs'!$C$23,DA$4&lt;EDATE('APA Inputs'!$C$23,N('APA Inputs'!$D$23))),'APA Inputs'!$J$23,0)+IF(N('APA Inputs'!$H$23)&gt;0,IF(DA$4=EDATE('APA Inputs'!$C$23,'APA Inputs'!$H$23-1),N('APA Inputs'!$G$23),0),0))*IF('APA Inputs'!$I$23="",1,'APA Inputs'!$I$23))</f>
        <v>0</v>
      </c>
      <c r="DB8" s="425" t="n">
        <f aca="false">IF('APA Inputs'!$C$23="",0,(IF(AND(DB$4&gt;='APA Inputs'!$C$23,DB$4&lt;EDATE('APA Inputs'!$C$23,N('APA Inputs'!$D$23))),'APA Inputs'!$J$23,0)+IF(N('APA Inputs'!$H$23)&gt;0,IF(DB$4=EDATE('APA Inputs'!$C$23,'APA Inputs'!$H$23-1),N('APA Inputs'!$G$23),0),0))*IF('APA Inputs'!$I$23="",1,'APA Inputs'!$I$23))</f>
        <v>0</v>
      </c>
      <c r="DC8" s="425" t="n">
        <f aca="false">IF('APA Inputs'!$C$23="",0,(IF(AND(DC$4&gt;='APA Inputs'!$C$23,DC$4&lt;EDATE('APA Inputs'!$C$23,N('APA Inputs'!$D$23))),'APA Inputs'!$J$23,0)+IF(N('APA Inputs'!$H$23)&gt;0,IF(DC$4=EDATE('APA Inputs'!$C$23,'APA Inputs'!$H$23-1),N('APA Inputs'!$G$23),0),0))*IF('APA Inputs'!$I$23="",1,'APA Inputs'!$I$23))</f>
        <v>0</v>
      </c>
      <c r="DD8" s="425" t="n">
        <f aca="false">IF('APA Inputs'!$C$23="",0,(IF(AND(DD$4&gt;='APA Inputs'!$C$23,DD$4&lt;EDATE('APA Inputs'!$C$23,N('APA Inputs'!$D$23))),'APA Inputs'!$J$23,0)+IF(N('APA Inputs'!$H$23)&gt;0,IF(DD$4=EDATE('APA Inputs'!$C$23,'APA Inputs'!$H$23-1),N('APA Inputs'!$G$23),0),0))*IF('APA Inputs'!$I$23="",1,'APA Inputs'!$I$23))</f>
        <v>0</v>
      </c>
      <c r="DE8" s="425" t="n">
        <f aca="false">IF('APA Inputs'!$C$23="",0,(IF(AND(DE$4&gt;='APA Inputs'!$C$23,DE$4&lt;EDATE('APA Inputs'!$C$23,N('APA Inputs'!$D$23))),'APA Inputs'!$J$23,0)+IF(N('APA Inputs'!$H$23)&gt;0,IF(DE$4=EDATE('APA Inputs'!$C$23,'APA Inputs'!$H$23-1),N('APA Inputs'!$G$23),0),0))*IF('APA Inputs'!$I$23="",1,'APA Inputs'!$I$23))</f>
        <v>0</v>
      </c>
    </row>
    <row r="9" customFormat="false" ht="15" hidden="false" customHeight="true" outlineLevel="0" collapsed="false">
      <c r="A9" s="1" t="str">
        <f aca="false">'APA Inputs'!A24</f>
        <v>Ramsgate</v>
      </c>
      <c r="B9" s="425" t="n">
        <f aca="false">IF('APA Inputs'!$C$24="",0,(IF(AND(B$4&gt;='APA Inputs'!$C$24,B$4&lt;EDATE('APA Inputs'!$C$24,N('APA Inputs'!$D$24))),'APA Inputs'!$J$24,0)+IF(N('APA Inputs'!$H$24)&gt;0,IF(B$4=EDATE('APA Inputs'!$C$24,'APA Inputs'!$H$24-1),N('APA Inputs'!$G$24),0),0))*IF('APA Inputs'!$I$24="",1,'APA Inputs'!$I$24))</f>
        <v>0</v>
      </c>
      <c r="C9" s="425" t="n">
        <f aca="false">IF('APA Inputs'!$C$24="",0,(IF(AND(C$4&gt;='APA Inputs'!$C$24,C$4&lt;EDATE('APA Inputs'!$C$24,N('APA Inputs'!$D$24))),'APA Inputs'!$J$24,0)+IF(N('APA Inputs'!$H$24)&gt;0,IF(C$4=EDATE('APA Inputs'!$C$24,'APA Inputs'!$H$24-1),N('APA Inputs'!$G$24),0),0))*IF('APA Inputs'!$I$24="",1,'APA Inputs'!$I$24))</f>
        <v>0</v>
      </c>
      <c r="D9" s="425" t="n">
        <f aca="false">IF('APA Inputs'!$C$24="",0,(IF(AND(D$4&gt;='APA Inputs'!$C$24,D$4&lt;EDATE('APA Inputs'!$C$24,N('APA Inputs'!$D$24))),'APA Inputs'!$J$24,0)+IF(N('APA Inputs'!$H$24)&gt;0,IF(D$4=EDATE('APA Inputs'!$C$24,'APA Inputs'!$H$24-1),N('APA Inputs'!$G$24),0),0))*IF('APA Inputs'!$I$24="",1,'APA Inputs'!$I$24))</f>
        <v>0</v>
      </c>
      <c r="E9" s="425" t="n">
        <f aca="false">IF('APA Inputs'!$C$24="",0,(IF(AND(E$4&gt;='APA Inputs'!$C$24,E$4&lt;EDATE('APA Inputs'!$C$24,N('APA Inputs'!$D$24))),'APA Inputs'!$J$24,0)+IF(N('APA Inputs'!$H$24)&gt;0,IF(E$4=EDATE('APA Inputs'!$C$24,'APA Inputs'!$H$24-1),N('APA Inputs'!$G$24),0),0))*IF('APA Inputs'!$I$24="",1,'APA Inputs'!$I$24))</f>
        <v>0</v>
      </c>
      <c r="F9" s="425" t="n">
        <f aca="false">IF('APA Inputs'!$C$24="",0,(IF(AND(F$4&gt;='APA Inputs'!$C$24,F$4&lt;EDATE('APA Inputs'!$C$24,N('APA Inputs'!$D$24))),'APA Inputs'!$J$24,0)+IF(N('APA Inputs'!$H$24)&gt;0,IF(F$4=EDATE('APA Inputs'!$C$24,'APA Inputs'!$H$24-1),N('APA Inputs'!$G$24),0),0))*IF('APA Inputs'!$I$24="",1,'APA Inputs'!$I$24))</f>
        <v>0</v>
      </c>
      <c r="G9" s="425" t="n">
        <f aca="false">IF('APA Inputs'!$C$24="",0,(IF(AND(G$4&gt;='APA Inputs'!$C$24,G$4&lt;EDATE('APA Inputs'!$C$24,N('APA Inputs'!$D$24))),'APA Inputs'!$J$24,0)+IF(N('APA Inputs'!$H$24)&gt;0,IF(G$4=EDATE('APA Inputs'!$C$24,'APA Inputs'!$H$24-1),N('APA Inputs'!$G$24),0),0))*IF('APA Inputs'!$I$24="",1,'APA Inputs'!$I$24))</f>
        <v>0</v>
      </c>
      <c r="H9" s="425" t="n">
        <f aca="false">IF('APA Inputs'!$C$24="",0,(IF(AND(H$4&gt;='APA Inputs'!$C$24,H$4&lt;EDATE('APA Inputs'!$C$24,N('APA Inputs'!$D$24))),'APA Inputs'!$J$24,0)+IF(N('APA Inputs'!$H$24)&gt;0,IF(H$4=EDATE('APA Inputs'!$C$24,'APA Inputs'!$H$24-1),N('APA Inputs'!$G$24),0),0))*IF('APA Inputs'!$I$24="",1,'APA Inputs'!$I$24))</f>
        <v>0</v>
      </c>
      <c r="I9" s="425" t="n">
        <f aca="false">IF('APA Inputs'!$C$24="",0,(IF(AND(I$4&gt;='APA Inputs'!$C$24,I$4&lt;EDATE('APA Inputs'!$C$24,N('APA Inputs'!$D$24))),'APA Inputs'!$J$24,0)+IF(N('APA Inputs'!$H$24)&gt;0,IF(I$4=EDATE('APA Inputs'!$C$24,'APA Inputs'!$H$24-1),N('APA Inputs'!$G$24),0),0))*IF('APA Inputs'!$I$24="",1,'APA Inputs'!$I$24))</f>
        <v>0</v>
      </c>
      <c r="J9" s="425" t="n">
        <f aca="false">IF('APA Inputs'!$C$24="",0,(IF(AND(J$4&gt;='APA Inputs'!$C$24,J$4&lt;EDATE('APA Inputs'!$C$24,N('APA Inputs'!$D$24))),'APA Inputs'!$J$24,0)+IF(N('APA Inputs'!$H$24)&gt;0,IF(J$4=EDATE('APA Inputs'!$C$24,'APA Inputs'!$H$24-1),N('APA Inputs'!$G$24),0),0))*IF('APA Inputs'!$I$24="",1,'APA Inputs'!$I$24))</f>
        <v>3332.72</v>
      </c>
      <c r="K9" s="425" t="n">
        <f aca="false">IF('APA Inputs'!$C$24="",0,(IF(AND(K$4&gt;='APA Inputs'!$C$24,K$4&lt;EDATE('APA Inputs'!$C$24,N('APA Inputs'!$D$24))),'APA Inputs'!$J$24,0)+IF(N('APA Inputs'!$H$24)&gt;0,IF(K$4=EDATE('APA Inputs'!$C$24,'APA Inputs'!$H$24-1),N('APA Inputs'!$G$24),0),0))*IF('APA Inputs'!$I$24="",1,'APA Inputs'!$I$24))</f>
        <v>3332.72</v>
      </c>
      <c r="L9" s="425" t="n">
        <f aca="false">IF('APA Inputs'!$C$24="",0,(IF(AND(L$4&gt;='APA Inputs'!$C$24,L$4&lt;EDATE('APA Inputs'!$C$24,N('APA Inputs'!$D$24))),'APA Inputs'!$J$24,0)+IF(N('APA Inputs'!$H$24)&gt;0,IF(L$4=EDATE('APA Inputs'!$C$24,'APA Inputs'!$H$24-1),N('APA Inputs'!$G$24),0),0))*IF('APA Inputs'!$I$24="",1,'APA Inputs'!$I$24))</f>
        <v>3332.72</v>
      </c>
      <c r="M9" s="425" t="n">
        <f aca="false">IF('APA Inputs'!$C$24="",0,(IF(AND(M$4&gt;='APA Inputs'!$C$24,M$4&lt;EDATE('APA Inputs'!$C$24,N('APA Inputs'!$D$24))),'APA Inputs'!$J$24,0)+IF(N('APA Inputs'!$H$24)&gt;0,IF(M$4=EDATE('APA Inputs'!$C$24,'APA Inputs'!$H$24-1),N('APA Inputs'!$G$24),0),0))*IF('APA Inputs'!$I$24="",1,'APA Inputs'!$I$24))</f>
        <v>3332.72</v>
      </c>
      <c r="N9" s="425" t="n">
        <f aca="false">IF('APA Inputs'!$C$24="",0,(IF(AND(N$4&gt;='APA Inputs'!$C$24,N$4&lt;EDATE('APA Inputs'!$C$24,N('APA Inputs'!$D$24))),'APA Inputs'!$J$24,0)+IF(N('APA Inputs'!$H$24)&gt;0,IF(N$4=EDATE('APA Inputs'!$C$24,'APA Inputs'!$H$24-1),N('APA Inputs'!$G$24),0),0))*IF('APA Inputs'!$I$24="",1,'APA Inputs'!$I$24))</f>
        <v>3332.72</v>
      </c>
      <c r="O9" s="425" t="n">
        <f aca="false">IF('APA Inputs'!$C$24="",0,(IF(AND(O$4&gt;='APA Inputs'!$C$24,O$4&lt;EDATE('APA Inputs'!$C$24,N('APA Inputs'!$D$24))),'APA Inputs'!$J$24,0)+IF(N('APA Inputs'!$H$24)&gt;0,IF(O$4=EDATE('APA Inputs'!$C$24,'APA Inputs'!$H$24-1),N('APA Inputs'!$G$24),0),0))*IF('APA Inputs'!$I$24="",1,'APA Inputs'!$I$24))</f>
        <v>3332.72</v>
      </c>
      <c r="P9" s="425" t="n">
        <f aca="false">IF('APA Inputs'!$C$24="",0,(IF(AND(P$4&gt;='APA Inputs'!$C$24,P$4&lt;EDATE('APA Inputs'!$C$24,N('APA Inputs'!$D$24))),'APA Inputs'!$J$24,0)+IF(N('APA Inputs'!$H$24)&gt;0,IF(P$4=EDATE('APA Inputs'!$C$24,'APA Inputs'!$H$24-1),N('APA Inputs'!$G$24),0),0))*IF('APA Inputs'!$I$24="",1,'APA Inputs'!$I$24))</f>
        <v>3332.72</v>
      </c>
      <c r="Q9" s="425" t="n">
        <f aca="false">IF('APA Inputs'!$C$24="",0,(IF(AND(Q$4&gt;='APA Inputs'!$C$24,Q$4&lt;EDATE('APA Inputs'!$C$24,N('APA Inputs'!$D$24))),'APA Inputs'!$J$24,0)+IF(N('APA Inputs'!$H$24)&gt;0,IF(Q$4=EDATE('APA Inputs'!$C$24,'APA Inputs'!$H$24-1),N('APA Inputs'!$G$24),0),0))*IF('APA Inputs'!$I$24="",1,'APA Inputs'!$I$24))</f>
        <v>3332.72</v>
      </c>
      <c r="R9" s="425" t="n">
        <f aca="false">IF('APA Inputs'!$C$24="",0,(IF(AND(R$4&gt;='APA Inputs'!$C$24,R$4&lt;EDATE('APA Inputs'!$C$24,N('APA Inputs'!$D$24))),'APA Inputs'!$J$24,0)+IF(N('APA Inputs'!$H$24)&gt;0,IF(R$4=EDATE('APA Inputs'!$C$24,'APA Inputs'!$H$24-1),N('APA Inputs'!$G$24),0),0))*IF('APA Inputs'!$I$24="",1,'APA Inputs'!$I$24))</f>
        <v>3332.72</v>
      </c>
      <c r="S9" s="425" t="n">
        <f aca="false">IF('APA Inputs'!$C$24="",0,(IF(AND(S$4&gt;='APA Inputs'!$C$24,S$4&lt;EDATE('APA Inputs'!$C$24,N('APA Inputs'!$D$24))),'APA Inputs'!$J$24,0)+IF(N('APA Inputs'!$H$24)&gt;0,IF(S$4=EDATE('APA Inputs'!$C$24,'APA Inputs'!$H$24-1),N('APA Inputs'!$G$24),0),0))*IF('APA Inputs'!$I$24="",1,'APA Inputs'!$I$24))</f>
        <v>3332.72</v>
      </c>
      <c r="T9" s="425" t="n">
        <f aca="false">IF('APA Inputs'!$C$24="",0,(IF(AND(T$4&gt;='APA Inputs'!$C$24,T$4&lt;EDATE('APA Inputs'!$C$24,N('APA Inputs'!$D$24))),'APA Inputs'!$J$24,0)+IF(N('APA Inputs'!$H$24)&gt;0,IF(T$4=EDATE('APA Inputs'!$C$24,'APA Inputs'!$H$24-1),N('APA Inputs'!$G$24),0),0))*IF('APA Inputs'!$I$24="",1,'APA Inputs'!$I$24))</f>
        <v>3332.72</v>
      </c>
      <c r="U9" s="425" t="n">
        <f aca="false">IF('APA Inputs'!$C$24="",0,(IF(AND(U$4&gt;='APA Inputs'!$C$24,U$4&lt;EDATE('APA Inputs'!$C$24,N('APA Inputs'!$D$24))),'APA Inputs'!$J$24,0)+IF(N('APA Inputs'!$H$24)&gt;0,IF(U$4=EDATE('APA Inputs'!$C$24,'APA Inputs'!$H$24-1),N('APA Inputs'!$G$24),0),0))*IF('APA Inputs'!$I$24="",1,'APA Inputs'!$I$24))</f>
        <v>3332.72</v>
      </c>
      <c r="V9" s="425" t="n">
        <f aca="false">IF('APA Inputs'!$C$24="",0,(IF(AND(V$4&gt;='APA Inputs'!$C$24,V$4&lt;EDATE('APA Inputs'!$C$24,N('APA Inputs'!$D$24))),'APA Inputs'!$J$24,0)+IF(N('APA Inputs'!$H$24)&gt;0,IF(V$4=EDATE('APA Inputs'!$C$24,'APA Inputs'!$H$24-1),N('APA Inputs'!$G$24),0),0))*IF('APA Inputs'!$I$24="",1,'APA Inputs'!$I$24))</f>
        <v>0</v>
      </c>
      <c r="W9" s="425" t="n">
        <f aca="false">IF('APA Inputs'!$C$24="",0,(IF(AND(W$4&gt;='APA Inputs'!$C$24,W$4&lt;EDATE('APA Inputs'!$C$24,N('APA Inputs'!$D$24))),'APA Inputs'!$J$24,0)+IF(N('APA Inputs'!$H$24)&gt;0,IF(W$4=EDATE('APA Inputs'!$C$24,'APA Inputs'!$H$24-1),N('APA Inputs'!$G$24),0),0))*IF('APA Inputs'!$I$24="",1,'APA Inputs'!$I$24))</f>
        <v>0</v>
      </c>
      <c r="X9" s="425" t="n">
        <f aca="false">IF('APA Inputs'!$C$24="",0,(IF(AND(X$4&gt;='APA Inputs'!$C$24,X$4&lt;EDATE('APA Inputs'!$C$24,N('APA Inputs'!$D$24))),'APA Inputs'!$J$24,0)+IF(N('APA Inputs'!$H$24)&gt;0,IF(X$4=EDATE('APA Inputs'!$C$24,'APA Inputs'!$H$24-1),N('APA Inputs'!$G$24),0),0))*IF('APA Inputs'!$I$24="",1,'APA Inputs'!$I$24))</f>
        <v>0</v>
      </c>
      <c r="Y9" s="425" t="n">
        <f aca="false">IF('APA Inputs'!$C$24="",0,(IF(AND(Y$4&gt;='APA Inputs'!$C$24,Y$4&lt;EDATE('APA Inputs'!$C$24,N('APA Inputs'!$D$24))),'APA Inputs'!$J$24,0)+IF(N('APA Inputs'!$H$24)&gt;0,IF(Y$4=EDATE('APA Inputs'!$C$24,'APA Inputs'!$H$24-1),N('APA Inputs'!$G$24),0),0))*IF('APA Inputs'!$I$24="",1,'APA Inputs'!$I$24))</f>
        <v>0</v>
      </c>
      <c r="Z9" s="425" t="n">
        <f aca="false">IF('APA Inputs'!$C$24="",0,(IF(AND(Z$4&gt;='APA Inputs'!$C$24,Z$4&lt;EDATE('APA Inputs'!$C$24,N('APA Inputs'!$D$24))),'APA Inputs'!$J$24,0)+IF(N('APA Inputs'!$H$24)&gt;0,IF(Z$4=EDATE('APA Inputs'!$C$24,'APA Inputs'!$H$24-1),N('APA Inputs'!$G$24),0),0))*IF('APA Inputs'!$I$24="",1,'APA Inputs'!$I$24))</f>
        <v>0</v>
      </c>
      <c r="AA9" s="425" t="n">
        <f aca="false">IF('APA Inputs'!$C$24="",0,(IF(AND(AA$4&gt;='APA Inputs'!$C$24,AA$4&lt;EDATE('APA Inputs'!$C$24,N('APA Inputs'!$D$24))),'APA Inputs'!$J$24,0)+IF(N('APA Inputs'!$H$24)&gt;0,IF(AA$4=EDATE('APA Inputs'!$C$24,'APA Inputs'!$H$24-1),N('APA Inputs'!$G$24),0),0))*IF('APA Inputs'!$I$24="",1,'APA Inputs'!$I$24))</f>
        <v>0</v>
      </c>
      <c r="AB9" s="425" t="n">
        <f aca="false">IF('APA Inputs'!$C$24="",0,(IF(AND(AB$4&gt;='APA Inputs'!$C$24,AB$4&lt;EDATE('APA Inputs'!$C$24,N('APA Inputs'!$D$24))),'APA Inputs'!$J$24,0)+IF(N('APA Inputs'!$H$24)&gt;0,IF(AB$4=EDATE('APA Inputs'!$C$24,'APA Inputs'!$H$24-1),N('APA Inputs'!$G$24),0),0))*IF('APA Inputs'!$I$24="",1,'APA Inputs'!$I$24))</f>
        <v>0</v>
      </c>
      <c r="AC9" s="425" t="n">
        <f aca="false">IF('APA Inputs'!$C$24="",0,(IF(AND(AC$4&gt;='APA Inputs'!$C$24,AC$4&lt;EDATE('APA Inputs'!$C$24,N('APA Inputs'!$D$24))),'APA Inputs'!$J$24,0)+IF(N('APA Inputs'!$H$24)&gt;0,IF(AC$4=EDATE('APA Inputs'!$C$24,'APA Inputs'!$H$24-1),N('APA Inputs'!$G$24),0),0))*IF('APA Inputs'!$I$24="",1,'APA Inputs'!$I$24))</f>
        <v>0</v>
      </c>
      <c r="AD9" s="425" t="n">
        <f aca="false">IF('APA Inputs'!$C$24="",0,(IF(AND(AD$4&gt;='APA Inputs'!$C$24,AD$4&lt;EDATE('APA Inputs'!$C$24,N('APA Inputs'!$D$24))),'APA Inputs'!$J$24,0)+IF(N('APA Inputs'!$H$24)&gt;0,IF(AD$4=EDATE('APA Inputs'!$C$24,'APA Inputs'!$H$24-1),N('APA Inputs'!$G$24),0),0))*IF('APA Inputs'!$I$24="",1,'APA Inputs'!$I$24))</f>
        <v>0</v>
      </c>
      <c r="AE9" s="425" t="n">
        <f aca="false">IF('APA Inputs'!$C$24="",0,(IF(AND(AE$4&gt;='APA Inputs'!$C$24,AE$4&lt;EDATE('APA Inputs'!$C$24,N('APA Inputs'!$D$24))),'APA Inputs'!$J$24,0)+IF(N('APA Inputs'!$H$24)&gt;0,IF(AE$4=EDATE('APA Inputs'!$C$24,'APA Inputs'!$H$24-1),N('APA Inputs'!$G$24),0),0))*IF('APA Inputs'!$I$24="",1,'APA Inputs'!$I$24))</f>
        <v>0</v>
      </c>
      <c r="AF9" s="425" t="n">
        <f aca="false">IF('APA Inputs'!$C$24="",0,(IF(AND(AF$4&gt;='APA Inputs'!$C$24,AF$4&lt;EDATE('APA Inputs'!$C$24,N('APA Inputs'!$D$24))),'APA Inputs'!$J$24,0)+IF(N('APA Inputs'!$H$24)&gt;0,IF(AF$4=EDATE('APA Inputs'!$C$24,'APA Inputs'!$H$24-1),N('APA Inputs'!$G$24),0),0))*IF('APA Inputs'!$I$24="",1,'APA Inputs'!$I$24))</f>
        <v>0</v>
      </c>
      <c r="AG9" s="425" t="n">
        <f aca="false">IF('APA Inputs'!$C$24="",0,(IF(AND(AG$4&gt;='APA Inputs'!$C$24,AG$4&lt;EDATE('APA Inputs'!$C$24,N('APA Inputs'!$D$24))),'APA Inputs'!$J$24,0)+IF(N('APA Inputs'!$H$24)&gt;0,IF(AG$4=EDATE('APA Inputs'!$C$24,'APA Inputs'!$H$24-1),N('APA Inputs'!$G$24),0),0))*IF('APA Inputs'!$I$24="",1,'APA Inputs'!$I$24))</f>
        <v>0</v>
      </c>
      <c r="AH9" s="425" t="n">
        <f aca="false">IF('APA Inputs'!$C$24="",0,(IF(AND(AH$4&gt;='APA Inputs'!$C$24,AH$4&lt;EDATE('APA Inputs'!$C$24,N('APA Inputs'!$D$24))),'APA Inputs'!$J$24,0)+IF(N('APA Inputs'!$H$24)&gt;0,IF(AH$4=EDATE('APA Inputs'!$C$24,'APA Inputs'!$H$24-1),N('APA Inputs'!$G$24),0),0))*IF('APA Inputs'!$I$24="",1,'APA Inputs'!$I$24))</f>
        <v>0</v>
      </c>
      <c r="AI9" s="425" t="n">
        <f aca="false">IF('APA Inputs'!$C$24="",0,(IF(AND(AI$4&gt;='APA Inputs'!$C$24,AI$4&lt;EDATE('APA Inputs'!$C$24,N('APA Inputs'!$D$24))),'APA Inputs'!$J$24,0)+IF(N('APA Inputs'!$H$24)&gt;0,IF(AI$4=EDATE('APA Inputs'!$C$24,'APA Inputs'!$H$24-1),N('APA Inputs'!$G$24),0),0))*IF('APA Inputs'!$I$24="",1,'APA Inputs'!$I$24))</f>
        <v>0</v>
      </c>
      <c r="AJ9" s="425" t="n">
        <f aca="false">IF('APA Inputs'!$C$24="",0,(IF(AND(AJ$4&gt;='APA Inputs'!$C$24,AJ$4&lt;EDATE('APA Inputs'!$C$24,N('APA Inputs'!$D$24))),'APA Inputs'!$J$24,0)+IF(N('APA Inputs'!$H$24)&gt;0,IF(AJ$4=EDATE('APA Inputs'!$C$24,'APA Inputs'!$H$24-1),N('APA Inputs'!$G$24),0),0))*IF('APA Inputs'!$I$24="",1,'APA Inputs'!$I$24))</f>
        <v>0</v>
      </c>
      <c r="AK9" s="425" t="n">
        <f aca="false">IF('APA Inputs'!$C$24="",0,(IF(AND(AK$4&gt;='APA Inputs'!$C$24,AK$4&lt;EDATE('APA Inputs'!$C$24,N('APA Inputs'!$D$24))),'APA Inputs'!$J$24,0)+IF(N('APA Inputs'!$H$24)&gt;0,IF(AK$4=EDATE('APA Inputs'!$C$24,'APA Inputs'!$H$24-1),N('APA Inputs'!$G$24),0),0))*IF('APA Inputs'!$I$24="",1,'APA Inputs'!$I$24))</f>
        <v>0</v>
      </c>
      <c r="AL9" s="425" t="n">
        <f aca="false">IF('APA Inputs'!$C$24="",0,(IF(AND(AL$4&gt;='APA Inputs'!$C$24,AL$4&lt;EDATE('APA Inputs'!$C$24,N('APA Inputs'!$D$24))),'APA Inputs'!$J$24,0)+IF(N('APA Inputs'!$H$24)&gt;0,IF(AL$4=EDATE('APA Inputs'!$C$24,'APA Inputs'!$H$24-1),N('APA Inputs'!$G$24),0),0))*IF('APA Inputs'!$I$24="",1,'APA Inputs'!$I$24))</f>
        <v>0</v>
      </c>
      <c r="AM9" s="425" t="n">
        <f aca="false">IF('APA Inputs'!$C$24="",0,(IF(AND(AM$4&gt;='APA Inputs'!$C$24,AM$4&lt;EDATE('APA Inputs'!$C$24,N('APA Inputs'!$D$24))),'APA Inputs'!$J$24,0)+IF(N('APA Inputs'!$H$24)&gt;0,IF(AM$4=EDATE('APA Inputs'!$C$24,'APA Inputs'!$H$24-1),N('APA Inputs'!$G$24),0),0))*IF('APA Inputs'!$I$24="",1,'APA Inputs'!$I$24))</f>
        <v>0</v>
      </c>
      <c r="AN9" s="425" t="n">
        <f aca="false">IF('APA Inputs'!$C$24="",0,(IF(AND(AN$4&gt;='APA Inputs'!$C$24,AN$4&lt;EDATE('APA Inputs'!$C$24,N('APA Inputs'!$D$24))),'APA Inputs'!$J$24,0)+IF(N('APA Inputs'!$H$24)&gt;0,IF(AN$4=EDATE('APA Inputs'!$C$24,'APA Inputs'!$H$24-1),N('APA Inputs'!$G$24),0),0))*IF('APA Inputs'!$I$24="",1,'APA Inputs'!$I$24))</f>
        <v>0</v>
      </c>
      <c r="AO9" s="425" t="n">
        <f aca="false">IF('APA Inputs'!$C$24="",0,(IF(AND(AO$4&gt;='APA Inputs'!$C$24,AO$4&lt;EDATE('APA Inputs'!$C$24,N('APA Inputs'!$D$24))),'APA Inputs'!$J$24,0)+IF(N('APA Inputs'!$H$24)&gt;0,IF(AO$4=EDATE('APA Inputs'!$C$24,'APA Inputs'!$H$24-1),N('APA Inputs'!$G$24),0),0))*IF('APA Inputs'!$I$24="",1,'APA Inputs'!$I$24))</f>
        <v>0</v>
      </c>
      <c r="AP9" s="425" t="n">
        <f aca="false">IF('APA Inputs'!$C$24="",0,(IF(AND(AP$4&gt;='APA Inputs'!$C$24,AP$4&lt;EDATE('APA Inputs'!$C$24,N('APA Inputs'!$D$24))),'APA Inputs'!$J$24,0)+IF(N('APA Inputs'!$H$24)&gt;0,IF(AP$4=EDATE('APA Inputs'!$C$24,'APA Inputs'!$H$24-1),N('APA Inputs'!$G$24),0),0))*IF('APA Inputs'!$I$24="",1,'APA Inputs'!$I$24))</f>
        <v>0</v>
      </c>
      <c r="AQ9" s="425" t="n">
        <f aca="false">IF('APA Inputs'!$C$24="",0,(IF(AND(AQ$4&gt;='APA Inputs'!$C$24,AQ$4&lt;EDATE('APA Inputs'!$C$24,N('APA Inputs'!$D$24))),'APA Inputs'!$J$24,0)+IF(N('APA Inputs'!$H$24)&gt;0,IF(AQ$4=EDATE('APA Inputs'!$C$24,'APA Inputs'!$H$24-1),N('APA Inputs'!$G$24),0),0))*IF('APA Inputs'!$I$24="",1,'APA Inputs'!$I$24))</f>
        <v>0</v>
      </c>
      <c r="AR9" s="425" t="n">
        <f aca="false">IF('APA Inputs'!$C$24="",0,(IF(AND(AR$4&gt;='APA Inputs'!$C$24,AR$4&lt;EDATE('APA Inputs'!$C$24,N('APA Inputs'!$D$24))),'APA Inputs'!$J$24,0)+IF(N('APA Inputs'!$H$24)&gt;0,IF(AR$4=EDATE('APA Inputs'!$C$24,'APA Inputs'!$H$24-1),N('APA Inputs'!$G$24),0),0))*IF('APA Inputs'!$I$24="",1,'APA Inputs'!$I$24))</f>
        <v>0</v>
      </c>
      <c r="AS9" s="425" t="n">
        <f aca="false">IF('APA Inputs'!$C$24="",0,(IF(AND(AS$4&gt;='APA Inputs'!$C$24,AS$4&lt;EDATE('APA Inputs'!$C$24,N('APA Inputs'!$D$24))),'APA Inputs'!$J$24,0)+IF(N('APA Inputs'!$H$24)&gt;0,IF(AS$4=EDATE('APA Inputs'!$C$24,'APA Inputs'!$H$24-1),N('APA Inputs'!$G$24),0),0))*IF('APA Inputs'!$I$24="",1,'APA Inputs'!$I$24))</f>
        <v>0</v>
      </c>
      <c r="AT9" s="425" t="n">
        <f aca="false">IF('APA Inputs'!$C$24="",0,(IF(AND(AT$4&gt;='APA Inputs'!$C$24,AT$4&lt;EDATE('APA Inputs'!$C$24,N('APA Inputs'!$D$24))),'APA Inputs'!$J$24,0)+IF(N('APA Inputs'!$H$24)&gt;0,IF(AT$4=EDATE('APA Inputs'!$C$24,'APA Inputs'!$H$24-1),N('APA Inputs'!$G$24),0),0))*IF('APA Inputs'!$I$24="",1,'APA Inputs'!$I$24))</f>
        <v>0</v>
      </c>
      <c r="AU9" s="425" t="n">
        <f aca="false">IF('APA Inputs'!$C$24="",0,(IF(AND(AU$4&gt;='APA Inputs'!$C$24,AU$4&lt;EDATE('APA Inputs'!$C$24,N('APA Inputs'!$D$24))),'APA Inputs'!$J$24,0)+IF(N('APA Inputs'!$H$24)&gt;0,IF(AU$4=EDATE('APA Inputs'!$C$24,'APA Inputs'!$H$24-1),N('APA Inputs'!$G$24),0),0))*IF('APA Inputs'!$I$24="",1,'APA Inputs'!$I$24))</f>
        <v>0</v>
      </c>
      <c r="AV9" s="425" t="n">
        <f aca="false">IF('APA Inputs'!$C$24="",0,(IF(AND(AV$4&gt;='APA Inputs'!$C$24,AV$4&lt;EDATE('APA Inputs'!$C$24,N('APA Inputs'!$D$24))),'APA Inputs'!$J$24,0)+IF(N('APA Inputs'!$H$24)&gt;0,IF(AV$4=EDATE('APA Inputs'!$C$24,'APA Inputs'!$H$24-1),N('APA Inputs'!$G$24),0),0))*IF('APA Inputs'!$I$24="",1,'APA Inputs'!$I$24))</f>
        <v>0</v>
      </c>
      <c r="AW9" s="425" t="n">
        <f aca="false">IF('APA Inputs'!$C$24="",0,(IF(AND(AW$4&gt;='APA Inputs'!$C$24,AW$4&lt;EDATE('APA Inputs'!$C$24,N('APA Inputs'!$D$24))),'APA Inputs'!$J$24,0)+IF(N('APA Inputs'!$H$24)&gt;0,IF(AW$4=EDATE('APA Inputs'!$C$24,'APA Inputs'!$H$24-1),N('APA Inputs'!$G$24),0),0))*IF('APA Inputs'!$I$24="",1,'APA Inputs'!$I$24))</f>
        <v>0</v>
      </c>
      <c r="AX9" s="425" t="n">
        <f aca="false">IF('APA Inputs'!$C$24="",0,(IF(AND(AX$4&gt;='APA Inputs'!$C$24,AX$4&lt;EDATE('APA Inputs'!$C$24,N('APA Inputs'!$D$24))),'APA Inputs'!$J$24,0)+IF(N('APA Inputs'!$H$24)&gt;0,IF(AX$4=EDATE('APA Inputs'!$C$24,'APA Inputs'!$H$24-1),N('APA Inputs'!$G$24),0),0))*IF('APA Inputs'!$I$24="",1,'APA Inputs'!$I$24))</f>
        <v>0</v>
      </c>
      <c r="AY9" s="425" t="n">
        <f aca="false">IF('APA Inputs'!$C$24="",0,(IF(AND(AY$4&gt;='APA Inputs'!$C$24,AY$4&lt;EDATE('APA Inputs'!$C$24,N('APA Inputs'!$D$24))),'APA Inputs'!$J$24,0)+IF(N('APA Inputs'!$H$24)&gt;0,IF(AY$4=EDATE('APA Inputs'!$C$24,'APA Inputs'!$H$24-1),N('APA Inputs'!$G$24),0),0))*IF('APA Inputs'!$I$24="",1,'APA Inputs'!$I$24))</f>
        <v>0</v>
      </c>
      <c r="AZ9" s="425" t="n">
        <f aca="false">IF('APA Inputs'!$C$24="",0,(IF(AND(AZ$4&gt;='APA Inputs'!$C$24,AZ$4&lt;EDATE('APA Inputs'!$C$24,N('APA Inputs'!$D$24))),'APA Inputs'!$J$24,0)+IF(N('APA Inputs'!$H$24)&gt;0,IF(AZ$4=EDATE('APA Inputs'!$C$24,'APA Inputs'!$H$24-1),N('APA Inputs'!$G$24),0),0))*IF('APA Inputs'!$I$24="",1,'APA Inputs'!$I$24))</f>
        <v>0</v>
      </c>
      <c r="BA9" s="425" t="n">
        <f aca="false">IF('APA Inputs'!$C$24="",0,(IF(AND(BA$4&gt;='APA Inputs'!$C$24,BA$4&lt;EDATE('APA Inputs'!$C$24,N('APA Inputs'!$D$24))),'APA Inputs'!$J$24,0)+IF(N('APA Inputs'!$H$24)&gt;0,IF(BA$4=EDATE('APA Inputs'!$C$24,'APA Inputs'!$H$24-1),N('APA Inputs'!$G$24),0),0))*IF('APA Inputs'!$I$24="",1,'APA Inputs'!$I$24))</f>
        <v>0</v>
      </c>
      <c r="BB9" s="425" t="n">
        <f aca="false">IF('APA Inputs'!$C$24="",0,(IF(AND(BB$4&gt;='APA Inputs'!$C$24,BB$4&lt;EDATE('APA Inputs'!$C$24,N('APA Inputs'!$D$24))),'APA Inputs'!$J$24,0)+IF(N('APA Inputs'!$H$24)&gt;0,IF(BB$4=EDATE('APA Inputs'!$C$24,'APA Inputs'!$H$24-1),N('APA Inputs'!$G$24),0),0))*IF('APA Inputs'!$I$24="",1,'APA Inputs'!$I$24))</f>
        <v>0</v>
      </c>
      <c r="BC9" s="425" t="n">
        <f aca="false">IF('APA Inputs'!$C$24="",0,(IF(AND(BC$4&gt;='APA Inputs'!$C$24,BC$4&lt;EDATE('APA Inputs'!$C$24,N('APA Inputs'!$D$24))),'APA Inputs'!$J$24,0)+IF(N('APA Inputs'!$H$24)&gt;0,IF(BC$4=EDATE('APA Inputs'!$C$24,'APA Inputs'!$H$24-1),N('APA Inputs'!$G$24),0),0))*IF('APA Inputs'!$I$24="",1,'APA Inputs'!$I$24))</f>
        <v>0</v>
      </c>
      <c r="BD9" s="425" t="n">
        <f aca="false">IF('APA Inputs'!$C$24="",0,(IF(AND(BD$4&gt;='APA Inputs'!$C$24,BD$4&lt;EDATE('APA Inputs'!$C$24,N('APA Inputs'!$D$24))),'APA Inputs'!$J$24,0)+IF(N('APA Inputs'!$H$24)&gt;0,IF(BD$4=EDATE('APA Inputs'!$C$24,'APA Inputs'!$H$24-1),N('APA Inputs'!$G$24),0),0))*IF('APA Inputs'!$I$24="",1,'APA Inputs'!$I$24))</f>
        <v>0</v>
      </c>
      <c r="BE9" s="425" t="n">
        <f aca="false">IF('APA Inputs'!$C$24="",0,(IF(AND(BE$4&gt;='APA Inputs'!$C$24,BE$4&lt;EDATE('APA Inputs'!$C$24,N('APA Inputs'!$D$24))),'APA Inputs'!$J$24,0)+IF(N('APA Inputs'!$H$24)&gt;0,IF(BE$4=EDATE('APA Inputs'!$C$24,'APA Inputs'!$H$24-1),N('APA Inputs'!$G$24),0),0))*IF('APA Inputs'!$I$24="",1,'APA Inputs'!$I$24))</f>
        <v>0</v>
      </c>
      <c r="BF9" s="425" t="n">
        <f aca="false">IF('APA Inputs'!$C$24="",0,(IF(AND(BF$4&gt;='APA Inputs'!$C$24,BF$4&lt;EDATE('APA Inputs'!$C$24,N('APA Inputs'!$D$24))),'APA Inputs'!$J$24,0)+IF(N('APA Inputs'!$H$24)&gt;0,IF(BF$4=EDATE('APA Inputs'!$C$24,'APA Inputs'!$H$24-1),N('APA Inputs'!$G$24),0),0))*IF('APA Inputs'!$I$24="",1,'APA Inputs'!$I$24))</f>
        <v>0</v>
      </c>
      <c r="BG9" s="425" t="n">
        <f aca="false">IF('APA Inputs'!$C$24="",0,(IF(AND(BG$4&gt;='APA Inputs'!$C$24,BG$4&lt;EDATE('APA Inputs'!$C$24,N('APA Inputs'!$D$24))),'APA Inputs'!$J$24,0)+IF(N('APA Inputs'!$H$24)&gt;0,IF(BG$4=EDATE('APA Inputs'!$C$24,'APA Inputs'!$H$24-1),N('APA Inputs'!$G$24),0),0))*IF('APA Inputs'!$I$24="",1,'APA Inputs'!$I$24))</f>
        <v>0</v>
      </c>
      <c r="BH9" s="425" t="n">
        <f aca="false">IF('APA Inputs'!$C$24="",0,(IF(AND(BH$4&gt;='APA Inputs'!$C$24,BH$4&lt;EDATE('APA Inputs'!$C$24,N('APA Inputs'!$D$24))),'APA Inputs'!$J$24,0)+IF(N('APA Inputs'!$H$24)&gt;0,IF(BH$4=EDATE('APA Inputs'!$C$24,'APA Inputs'!$H$24-1),N('APA Inputs'!$G$24),0),0))*IF('APA Inputs'!$I$24="",1,'APA Inputs'!$I$24))</f>
        <v>0</v>
      </c>
      <c r="BI9" s="425" t="n">
        <f aca="false">IF('APA Inputs'!$C$24="",0,(IF(AND(BI$4&gt;='APA Inputs'!$C$24,BI$4&lt;EDATE('APA Inputs'!$C$24,N('APA Inputs'!$D$24))),'APA Inputs'!$J$24,0)+IF(N('APA Inputs'!$H$24)&gt;0,IF(BI$4=EDATE('APA Inputs'!$C$24,'APA Inputs'!$H$24-1),N('APA Inputs'!$G$24),0),0))*IF('APA Inputs'!$I$24="",1,'APA Inputs'!$I$24))</f>
        <v>0</v>
      </c>
      <c r="BJ9" s="425" t="n">
        <f aca="false">IF('APA Inputs'!$C$24="",0,(IF(AND(BJ$4&gt;='APA Inputs'!$C$24,BJ$4&lt;EDATE('APA Inputs'!$C$24,N('APA Inputs'!$D$24))),'APA Inputs'!$J$24,0)+IF(N('APA Inputs'!$H$24)&gt;0,IF(BJ$4=EDATE('APA Inputs'!$C$24,'APA Inputs'!$H$24-1),N('APA Inputs'!$G$24),0),0))*IF('APA Inputs'!$I$24="",1,'APA Inputs'!$I$24))</f>
        <v>0</v>
      </c>
      <c r="BK9" s="425" t="n">
        <f aca="false">IF('APA Inputs'!$C$24="",0,(IF(AND(BK$4&gt;='APA Inputs'!$C$24,BK$4&lt;EDATE('APA Inputs'!$C$24,N('APA Inputs'!$D$24))),'APA Inputs'!$J$24,0)+IF(N('APA Inputs'!$H$24)&gt;0,IF(BK$4=EDATE('APA Inputs'!$C$24,'APA Inputs'!$H$24-1),N('APA Inputs'!$G$24),0),0))*IF('APA Inputs'!$I$24="",1,'APA Inputs'!$I$24))</f>
        <v>0</v>
      </c>
      <c r="BL9" s="425" t="n">
        <f aca="false">IF('APA Inputs'!$C$24="",0,(IF(AND(BL$4&gt;='APA Inputs'!$C$24,BL$4&lt;EDATE('APA Inputs'!$C$24,N('APA Inputs'!$D$24))),'APA Inputs'!$J$24,0)+IF(N('APA Inputs'!$H$24)&gt;0,IF(BL$4=EDATE('APA Inputs'!$C$24,'APA Inputs'!$H$24-1),N('APA Inputs'!$G$24),0),0))*IF('APA Inputs'!$I$24="",1,'APA Inputs'!$I$24))</f>
        <v>0</v>
      </c>
      <c r="BM9" s="425" t="n">
        <f aca="false">IF('APA Inputs'!$C$24="",0,(IF(AND(BM$4&gt;='APA Inputs'!$C$24,BM$4&lt;EDATE('APA Inputs'!$C$24,N('APA Inputs'!$D$24))),'APA Inputs'!$J$24,0)+IF(N('APA Inputs'!$H$24)&gt;0,IF(BM$4=EDATE('APA Inputs'!$C$24,'APA Inputs'!$H$24-1),N('APA Inputs'!$G$24),0),0))*IF('APA Inputs'!$I$24="",1,'APA Inputs'!$I$24))</f>
        <v>0</v>
      </c>
      <c r="BN9" s="425" t="n">
        <f aca="false">IF('APA Inputs'!$C$24="",0,(IF(AND(BN$4&gt;='APA Inputs'!$C$24,BN$4&lt;EDATE('APA Inputs'!$C$24,N('APA Inputs'!$D$24))),'APA Inputs'!$J$24,0)+IF(N('APA Inputs'!$H$24)&gt;0,IF(BN$4=EDATE('APA Inputs'!$C$24,'APA Inputs'!$H$24-1),N('APA Inputs'!$G$24),0),0))*IF('APA Inputs'!$I$24="",1,'APA Inputs'!$I$24))</f>
        <v>0</v>
      </c>
      <c r="BO9" s="425" t="n">
        <f aca="false">IF('APA Inputs'!$C$24="",0,(IF(AND(BO$4&gt;='APA Inputs'!$C$24,BO$4&lt;EDATE('APA Inputs'!$C$24,N('APA Inputs'!$D$24))),'APA Inputs'!$J$24,0)+IF(N('APA Inputs'!$H$24)&gt;0,IF(BO$4=EDATE('APA Inputs'!$C$24,'APA Inputs'!$H$24-1),N('APA Inputs'!$G$24),0),0))*IF('APA Inputs'!$I$24="",1,'APA Inputs'!$I$24))</f>
        <v>0</v>
      </c>
      <c r="BP9" s="425" t="n">
        <f aca="false">IF('APA Inputs'!$C$24="",0,(IF(AND(BP$4&gt;='APA Inputs'!$C$24,BP$4&lt;EDATE('APA Inputs'!$C$24,N('APA Inputs'!$D$24))),'APA Inputs'!$J$24,0)+IF(N('APA Inputs'!$H$24)&gt;0,IF(BP$4=EDATE('APA Inputs'!$C$24,'APA Inputs'!$H$24-1),N('APA Inputs'!$G$24),0),0))*IF('APA Inputs'!$I$24="",1,'APA Inputs'!$I$24))</f>
        <v>0</v>
      </c>
      <c r="BQ9" s="425" t="n">
        <f aca="false">IF('APA Inputs'!$C$24="",0,(IF(AND(BQ$4&gt;='APA Inputs'!$C$24,BQ$4&lt;EDATE('APA Inputs'!$C$24,N('APA Inputs'!$D$24))),'APA Inputs'!$J$24,0)+IF(N('APA Inputs'!$H$24)&gt;0,IF(BQ$4=EDATE('APA Inputs'!$C$24,'APA Inputs'!$H$24-1),N('APA Inputs'!$G$24),0),0))*IF('APA Inputs'!$I$24="",1,'APA Inputs'!$I$24))</f>
        <v>0</v>
      </c>
      <c r="BR9" s="425" t="n">
        <f aca="false">IF('APA Inputs'!$C$24="",0,(IF(AND(BR$4&gt;='APA Inputs'!$C$24,BR$4&lt;EDATE('APA Inputs'!$C$24,N('APA Inputs'!$D$24))),'APA Inputs'!$J$24,0)+IF(N('APA Inputs'!$H$24)&gt;0,IF(BR$4=EDATE('APA Inputs'!$C$24,'APA Inputs'!$H$24-1),N('APA Inputs'!$G$24),0),0))*IF('APA Inputs'!$I$24="",1,'APA Inputs'!$I$24))</f>
        <v>0</v>
      </c>
      <c r="BS9" s="425" t="n">
        <f aca="false">IF('APA Inputs'!$C$24="",0,(IF(AND(BS$4&gt;='APA Inputs'!$C$24,BS$4&lt;EDATE('APA Inputs'!$C$24,N('APA Inputs'!$D$24))),'APA Inputs'!$J$24,0)+IF(N('APA Inputs'!$H$24)&gt;0,IF(BS$4=EDATE('APA Inputs'!$C$24,'APA Inputs'!$H$24-1),N('APA Inputs'!$G$24),0),0))*IF('APA Inputs'!$I$24="",1,'APA Inputs'!$I$24))</f>
        <v>0</v>
      </c>
      <c r="BT9" s="425" t="n">
        <f aca="false">IF('APA Inputs'!$C$24="",0,(IF(AND(BT$4&gt;='APA Inputs'!$C$24,BT$4&lt;EDATE('APA Inputs'!$C$24,N('APA Inputs'!$D$24))),'APA Inputs'!$J$24,0)+IF(N('APA Inputs'!$H$24)&gt;0,IF(BT$4=EDATE('APA Inputs'!$C$24,'APA Inputs'!$H$24-1),N('APA Inputs'!$G$24),0),0))*IF('APA Inputs'!$I$24="",1,'APA Inputs'!$I$24))</f>
        <v>0</v>
      </c>
      <c r="BU9" s="425" t="n">
        <f aca="false">IF('APA Inputs'!$C$24="",0,(IF(AND(BU$4&gt;='APA Inputs'!$C$24,BU$4&lt;EDATE('APA Inputs'!$C$24,N('APA Inputs'!$D$24))),'APA Inputs'!$J$24,0)+IF(N('APA Inputs'!$H$24)&gt;0,IF(BU$4=EDATE('APA Inputs'!$C$24,'APA Inputs'!$H$24-1),N('APA Inputs'!$G$24),0),0))*IF('APA Inputs'!$I$24="",1,'APA Inputs'!$I$24))</f>
        <v>0</v>
      </c>
      <c r="BV9" s="425" t="n">
        <f aca="false">IF('APA Inputs'!$C$24="",0,(IF(AND(BV$4&gt;='APA Inputs'!$C$24,BV$4&lt;EDATE('APA Inputs'!$C$24,N('APA Inputs'!$D$24))),'APA Inputs'!$J$24,0)+IF(N('APA Inputs'!$H$24)&gt;0,IF(BV$4=EDATE('APA Inputs'!$C$24,'APA Inputs'!$H$24-1),N('APA Inputs'!$G$24),0),0))*IF('APA Inputs'!$I$24="",1,'APA Inputs'!$I$24))</f>
        <v>0</v>
      </c>
      <c r="BW9" s="425" t="n">
        <f aca="false">IF('APA Inputs'!$C$24="",0,(IF(AND(BW$4&gt;='APA Inputs'!$C$24,BW$4&lt;EDATE('APA Inputs'!$C$24,N('APA Inputs'!$D$24))),'APA Inputs'!$J$24,0)+IF(N('APA Inputs'!$H$24)&gt;0,IF(BW$4=EDATE('APA Inputs'!$C$24,'APA Inputs'!$H$24-1),N('APA Inputs'!$G$24),0),0))*IF('APA Inputs'!$I$24="",1,'APA Inputs'!$I$24))</f>
        <v>0</v>
      </c>
      <c r="BX9" s="425" t="n">
        <f aca="false">IF('APA Inputs'!$C$24="",0,(IF(AND(BX$4&gt;='APA Inputs'!$C$24,BX$4&lt;EDATE('APA Inputs'!$C$24,N('APA Inputs'!$D$24))),'APA Inputs'!$J$24,0)+IF(N('APA Inputs'!$H$24)&gt;0,IF(BX$4=EDATE('APA Inputs'!$C$24,'APA Inputs'!$H$24-1),N('APA Inputs'!$G$24),0),0))*IF('APA Inputs'!$I$24="",1,'APA Inputs'!$I$24))</f>
        <v>0</v>
      </c>
      <c r="BY9" s="425" t="n">
        <f aca="false">IF('APA Inputs'!$C$24="",0,(IF(AND(BY$4&gt;='APA Inputs'!$C$24,BY$4&lt;EDATE('APA Inputs'!$C$24,N('APA Inputs'!$D$24))),'APA Inputs'!$J$24,0)+IF(N('APA Inputs'!$H$24)&gt;0,IF(BY$4=EDATE('APA Inputs'!$C$24,'APA Inputs'!$H$24-1),N('APA Inputs'!$G$24),0),0))*IF('APA Inputs'!$I$24="",1,'APA Inputs'!$I$24))</f>
        <v>0</v>
      </c>
      <c r="BZ9" s="425" t="n">
        <f aca="false">IF('APA Inputs'!$C$24="",0,(IF(AND(BZ$4&gt;='APA Inputs'!$C$24,BZ$4&lt;EDATE('APA Inputs'!$C$24,N('APA Inputs'!$D$24))),'APA Inputs'!$J$24,0)+IF(N('APA Inputs'!$H$24)&gt;0,IF(BZ$4=EDATE('APA Inputs'!$C$24,'APA Inputs'!$H$24-1),N('APA Inputs'!$G$24),0),0))*IF('APA Inputs'!$I$24="",1,'APA Inputs'!$I$24))</f>
        <v>0</v>
      </c>
      <c r="CA9" s="425" t="n">
        <f aca="false">IF('APA Inputs'!$C$24="",0,(IF(AND(CA$4&gt;='APA Inputs'!$C$24,CA$4&lt;EDATE('APA Inputs'!$C$24,N('APA Inputs'!$D$24))),'APA Inputs'!$J$24,0)+IF(N('APA Inputs'!$H$24)&gt;0,IF(CA$4=EDATE('APA Inputs'!$C$24,'APA Inputs'!$H$24-1),N('APA Inputs'!$G$24),0),0))*IF('APA Inputs'!$I$24="",1,'APA Inputs'!$I$24))</f>
        <v>0</v>
      </c>
      <c r="CB9" s="425" t="n">
        <f aca="false">IF('APA Inputs'!$C$24="",0,(IF(AND(CB$4&gt;='APA Inputs'!$C$24,CB$4&lt;EDATE('APA Inputs'!$C$24,N('APA Inputs'!$D$24))),'APA Inputs'!$J$24,0)+IF(N('APA Inputs'!$H$24)&gt;0,IF(CB$4=EDATE('APA Inputs'!$C$24,'APA Inputs'!$H$24-1),N('APA Inputs'!$G$24),0),0))*IF('APA Inputs'!$I$24="",1,'APA Inputs'!$I$24))</f>
        <v>0</v>
      </c>
      <c r="CC9" s="425" t="n">
        <f aca="false">IF('APA Inputs'!$C$24="",0,(IF(AND(CC$4&gt;='APA Inputs'!$C$24,CC$4&lt;EDATE('APA Inputs'!$C$24,N('APA Inputs'!$D$24))),'APA Inputs'!$J$24,0)+IF(N('APA Inputs'!$H$24)&gt;0,IF(CC$4=EDATE('APA Inputs'!$C$24,'APA Inputs'!$H$24-1),N('APA Inputs'!$G$24),0),0))*IF('APA Inputs'!$I$24="",1,'APA Inputs'!$I$24))</f>
        <v>0</v>
      </c>
      <c r="CD9" s="425" t="n">
        <f aca="false">IF('APA Inputs'!$C$24="",0,(IF(AND(CD$4&gt;='APA Inputs'!$C$24,CD$4&lt;EDATE('APA Inputs'!$C$24,N('APA Inputs'!$D$24))),'APA Inputs'!$J$24,0)+IF(N('APA Inputs'!$H$24)&gt;0,IF(CD$4=EDATE('APA Inputs'!$C$24,'APA Inputs'!$H$24-1),N('APA Inputs'!$G$24),0),0))*IF('APA Inputs'!$I$24="",1,'APA Inputs'!$I$24))</f>
        <v>0</v>
      </c>
      <c r="CE9" s="425" t="n">
        <f aca="false">IF('APA Inputs'!$C$24="",0,(IF(AND(CE$4&gt;='APA Inputs'!$C$24,CE$4&lt;EDATE('APA Inputs'!$C$24,N('APA Inputs'!$D$24))),'APA Inputs'!$J$24,0)+IF(N('APA Inputs'!$H$24)&gt;0,IF(CE$4=EDATE('APA Inputs'!$C$24,'APA Inputs'!$H$24-1),N('APA Inputs'!$G$24),0),0))*IF('APA Inputs'!$I$24="",1,'APA Inputs'!$I$24))</f>
        <v>0</v>
      </c>
      <c r="CF9" s="425" t="n">
        <f aca="false">IF('APA Inputs'!$C$24="",0,(IF(AND(CF$4&gt;='APA Inputs'!$C$24,CF$4&lt;EDATE('APA Inputs'!$C$24,N('APA Inputs'!$D$24))),'APA Inputs'!$J$24,0)+IF(N('APA Inputs'!$H$24)&gt;0,IF(CF$4=EDATE('APA Inputs'!$C$24,'APA Inputs'!$H$24-1),N('APA Inputs'!$G$24),0),0))*IF('APA Inputs'!$I$24="",1,'APA Inputs'!$I$24))</f>
        <v>0</v>
      </c>
      <c r="CG9" s="425" t="n">
        <f aca="false">IF('APA Inputs'!$C$24="",0,(IF(AND(CG$4&gt;='APA Inputs'!$C$24,CG$4&lt;EDATE('APA Inputs'!$C$24,N('APA Inputs'!$D$24))),'APA Inputs'!$J$24,0)+IF(N('APA Inputs'!$H$24)&gt;0,IF(CG$4=EDATE('APA Inputs'!$C$24,'APA Inputs'!$H$24-1),N('APA Inputs'!$G$24),0),0))*IF('APA Inputs'!$I$24="",1,'APA Inputs'!$I$24))</f>
        <v>0</v>
      </c>
      <c r="CH9" s="425" t="n">
        <f aca="false">IF('APA Inputs'!$C$24="",0,(IF(AND(CH$4&gt;='APA Inputs'!$C$24,CH$4&lt;EDATE('APA Inputs'!$C$24,N('APA Inputs'!$D$24))),'APA Inputs'!$J$24,0)+IF(N('APA Inputs'!$H$24)&gt;0,IF(CH$4=EDATE('APA Inputs'!$C$24,'APA Inputs'!$H$24-1),N('APA Inputs'!$G$24),0),0))*IF('APA Inputs'!$I$24="",1,'APA Inputs'!$I$24))</f>
        <v>0</v>
      </c>
      <c r="CI9" s="425" t="n">
        <f aca="false">IF('APA Inputs'!$C$24="",0,(IF(AND(CI$4&gt;='APA Inputs'!$C$24,CI$4&lt;EDATE('APA Inputs'!$C$24,N('APA Inputs'!$D$24))),'APA Inputs'!$J$24,0)+IF(N('APA Inputs'!$H$24)&gt;0,IF(CI$4=EDATE('APA Inputs'!$C$24,'APA Inputs'!$H$24-1),N('APA Inputs'!$G$24),0),0))*IF('APA Inputs'!$I$24="",1,'APA Inputs'!$I$24))</f>
        <v>0</v>
      </c>
      <c r="CJ9" s="425" t="n">
        <f aca="false">IF('APA Inputs'!$C$24="",0,(IF(AND(CJ$4&gt;='APA Inputs'!$C$24,CJ$4&lt;EDATE('APA Inputs'!$C$24,N('APA Inputs'!$D$24))),'APA Inputs'!$J$24,0)+IF(N('APA Inputs'!$H$24)&gt;0,IF(CJ$4=EDATE('APA Inputs'!$C$24,'APA Inputs'!$H$24-1),N('APA Inputs'!$G$24),0),0))*IF('APA Inputs'!$I$24="",1,'APA Inputs'!$I$24))</f>
        <v>0</v>
      </c>
      <c r="CK9" s="425" t="n">
        <f aca="false">IF('APA Inputs'!$C$24="",0,(IF(AND(CK$4&gt;='APA Inputs'!$C$24,CK$4&lt;EDATE('APA Inputs'!$C$24,N('APA Inputs'!$D$24))),'APA Inputs'!$J$24,0)+IF(N('APA Inputs'!$H$24)&gt;0,IF(CK$4=EDATE('APA Inputs'!$C$24,'APA Inputs'!$H$24-1),N('APA Inputs'!$G$24),0),0))*IF('APA Inputs'!$I$24="",1,'APA Inputs'!$I$24))</f>
        <v>0</v>
      </c>
      <c r="CL9" s="425" t="n">
        <f aca="false">IF('APA Inputs'!$C$24="",0,(IF(AND(CL$4&gt;='APA Inputs'!$C$24,CL$4&lt;EDATE('APA Inputs'!$C$24,N('APA Inputs'!$D$24))),'APA Inputs'!$J$24,0)+IF(N('APA Inputs'!$H$24)&gt;0,IF(CL$4=EDATE('APA Inputs'!$C$24,'APA Inputs'!$H$24-1),N('APA Inputs'!$G$24),0),0))*IF('APA Inputs'!$I$24="",1,'APA Inputs'!$I$24))</f>
        <v>0</v>
      </c>
      <c r="CM9" s="425" t="n">
        <f aca="false">IF('APA Inputs'!$C$24="",0,(IF(AND(CM$4&gt;='APA Inputs'!$C$24,CM$4&lt;EDATE('APA Inputs'!$C$24,N('APA Inputs'!$D$24))),'APA Inputs'!$J$24,0)+IF(N('APA Inputs'!$H$24)&gt;0,IF(CM$4=EDATE('APA Inputs'!$C$24,'APA Inputs'!$H$24-1),N('APA Inputs'!$G$24),0),0))*IF('APA Inputs'!$I$24="",1,'APA Inputs'!$I$24))</f>
        <v>0</v>
      </c>
      <c r="CN9" s="425" t="n">
        <f aca="false">IF('APA Inputs'!$C$24="",0,(IF(AND(CN$4&gt;='APA Inputs'!$C$24,CN$4&lt;EDATE('APA Inputs'!$C$24,N('APA Inputs'!$D$24))),'APA Inputs'!$J$24,0)+IF(N('APA Inputs'!$H$24)&gt;0,IF(CN$4=EDATE('APA Inputs'!$C$24,'APA Inputs'!$H$24-1),N('APA Inputs'!$G$24),0),0))*IF('APA Inputs'!$I$24="",1,'APA Inputs'!$I$24))</f>
        <v>0</v>
      </c>
      <c r="CO9" s="425" t="n">
        <f aca="false">IF('APA Inputs'!$C$24="",0,(IF(AND(CO$4&gt;='APA Inputs'!$C$24,CO$4&lt;EDATE('APA Inputs'!$C$24,N('APA Inputs'!$D$24))),'APA Inputs'!$J$24,0)+IF(N('APA Inputs'!$H$24)&gt;0,IF(CO$4=EDATE('APA Inputs'!$C$24,'APA Inputs'!$H$24-1),N('APA Inputs'!$G$24),0),0))*IF('APA Inputs'!$I$24="",1,'APA Inputs'!$I$24))</f>
        <v>0</v>
      </c>
      <c r="CP9" s="425" t="n">
        <f aca="false">IF('APA Inputs'!$C$24="",0,(IF(AND(CP$4&gt;='APA Inputs'!$C$24,CP$4&lt;EDATE('APA Inputs'!$C$24,N('APA Inputs'!$D$24))),'APA Inputs'!$J$24,0)+IF(N('APA Inputs'!$H$24)&gt;0,IF(CP$4=EDATE('APA Inputs'!$C$24,'APA Inputs'!$H$24-1),N('APA Inputs'!$G$24),0),0))*IF('APA Inputs'!$I$24="",1,'APA Inputs'!$I$24))</f>
        <v>0</v>
      </c>
      <c r="CQ9" s="425" t="n">
        <f aca="false">IF('APA Inputs'!$C$24="",0,(IF(AND(CQ$4&gt;='APA Inputs'!$C$24,CQ$4&lt;EDATE('APA Inputs'!$C$24,N('APA Inputs'!$D$24))),'APA Inputs'!$J$24,0)+IF(N('APA Inputs'!$H$24)&gt;0,IF(CQ$4=EDATE('APA Inputs'!$C$24,'APA Inputs'!$H$24-1),N('APA Inputs'!$G$24),0),0))*IF('APA Inputs'!$I$24="",1,'APA Inputs'!$I$24))</f>
        <v>0</v>
      </c>
      <c r="CR9" s="425" t="n">
        <f aca="false">IF('APA Inputs'!$C$24="",0,(IF(AND(CR$4&gt;='APA Inputs'!$C$24,CR$4&lt;EDATE('APA Inputs'!$C$24,N('APA Inputs'!$D$24))),'APA Inputs'!$J$24,0)+IF(N('APA Inputs'!$H$24)&gt;0,IF(CR$4=EDATE('APA Inputs'!$C$24,'APA Inputs'!$H$24-1),N('APA Inputs'!$G$24),0),0))*IF('APA Inputs'!$I$24="",1,'APA Inputs'!$I$24))</f>
        <v>0</v>
      </c>
      <c r="CS9" s="425" t="n">
        <f aca="false">IF('APA Inputs'!$C$24="",0,(IF(AND(CS$4&gt;='APA Inputs'!$C$24,CS$4&lt;EDATE('APA Inputs'!$C$24,N('APA Inputs'!$D$24))),'APA Inputs'!$J$24,0)+IF(N('APA Inputs'!$H$24)&gt;0,IF(CS$4=EDATE('APA Inputs'!$C$24,'APA Inputs'!$H$24-1),N('APA Inputs'!$G$24),0),0))*IF('APA Inputs'!$I$24="",1,'APA Inputs'!$I$24))</f>
        <v>0</v>
      </c>
      <c r="CT9" s="425" t="n">
        <f aca="false">IF('APA Inputs'!$C$24="",0,(IF(AND(CT$4&gt;='APA Inputs'!$C$24,CT$4&lt;EDATE('APA Inputs'!$C$24,N('APA Inputs'!$D$24))),'APA Inputs'!$J$24,0)+IF(N('APA Inputs'!$H$24)&gt;0,IF(CT$4=EDATE('APA Inputs'!$C$24,'APA Inputs'!$H$24-1),N('APA Inputs'!$G$24),0),0))*IF('APA Inputs'!$I$24="",1,'APA Inputs'!$I$24))</f>
        <v>0</v>
      </c>
      <c r="CU9" s="425" t="n">
        <f aca="false">IF('APA Inputs'!$C$24="",0,(IF(AND(CU$4&gt;='APA Inputs'!$C$24,CU$4&lt;EDATE('APA Inputs'!$C$24,N('APA Inputs'!$D$24))),'APA Inputs'!$J$24,0)+IF(N('APA Inputs'!$H$24)&gt;0,IF(CU$4=EDATE('APA Inputs'!$C$24,'APA Inputs'!$H$24-1),N('APA Inputs'!$G$24),0),0))*IF('APA Inputs'!$I$24="",1,'APA Inputs'!$I$24))</f>
        <v>0</v>
      </c>
      <c r="CV9" s="425" t="n">
        <f aca="false">IF('APA Inputs'!$C$24="",0,(IF(AND(CV$4&gt;='APA Inputs'!$C$24,CV$4&lt;EDATE('APA Inputs'!$C$24,N('APA Inputs'!$D$24))),'APA Inputs'!$J$24,0)+IF(N('APA Inputs'!$H$24)&gt;0,IF(CV$4=EDATE('APA Inputs'!$C$24,'APA Inputs'!$H$24-1),N('APA Inputs'!$G$24),0),0))*IF('APA Inputs'!$I$24="",1,'APA Inputs'!$I$24))</f>
        <v>0</v>
      </c>
      <c r="CW9" s="425" t="n">
        <f aca="false">IF('APA Inputs'!$C$24="",0,(IF(AND(CW$4&gt;='APA Inputs'!$C$24,CW$4&lt;EDATE('APA Inputs'!$C$24,N('APA Inputs'!$D$24))),'APA Inputs'!$J$24,0)+IF(N('APA Inputs'!$H$24)&gt;0,IF(CW$4=EDATE('APA Inputs'!$C$24,'APA Inputs'!$H$24-1),N('APA Inputs'!$G$24),0),0))*IF('APA Inputs'!$I$24="",1,'APA Inputs'!$I$24))</f>
        <v>0</v>
      </c>
      <c r="CX9" s="425" t="n">
        <f aca="false">IF('APA Inputs'!$C$24="",0,(IF(AND(CX$4&gt;='APA Inputs'!$C$24,CX$4&lt;EDATE('APA Inputs'!$C$24,N('APA Inputs'!$D$24))),'APA Inputs'!$J$24,0)+IF(N('APA Inputs'!$H$24)&gt;0,IF(CX$4=EDATE('APA Inputs'!$C$24,'APA Inputs'!$H$24-1),N('APA Inputs'!$G$24),0),0))*IF('APA Inputs'!$I$24="",1,'APA Inputs'!$I$24))</f>
        <v>0</v>
      </c>
      <c r="CY9" s="425" t="n">
        <f aca="false">IF('APA Inputs'!$C$24="",0,(IF(AND(CY$4&gt;='APA Inputs'!$C$24,CY$4&lt;EDATE('APA Inputs'!$C$24,N('APA Inputs'!$D$24))),'APA Inputs'!$J$24,0)+IF(N('APA Inputs'!$H$24)&gt;0,IF(CY$4=EDATE('APA Inputs'!$C$24,'APA Inputs'!$H$24-1),N('APA Inputs'!$G$24),0),0))*IF('APA Inputs'!$I$24="",1,'APA Inputs'!$I$24))</f>
        <v>0</v>
      </c>
      <c r="CZ9" s="425" t="n">
        <f aca="false">IF('APA Inputs'!$C$24="",0,(IF(AND(CZ$4&gt;='APA Inputs'!$C$24,CZ$4&lt;EDATE('APA Inputs'!$C$24,N('APA Inputs'!$D$24))),'APA Inputs'!$J$24,0)+IF(N('APA Inputs'!$H$24)&gt;0,IF(CZ$4=EDATE('APA Inputs'!$C$24,'APA Inputs'!$H$24-1),N('APA Inputs'!$G$24),0),0))*IF('APA Inputs'!$I$24="",1,'APA Inputs'!$I$24))</f>
        <v>0</v>
      </c>
      <c r="DA9" s="425" t="n">
        <f aca="false">IF('APA Inputs'!$C$24="",0,(IF(AND(DA$4&gt;='APA Inputs'!$C$24,DA$4&lt;EDATE('APA Inputs'!$C$24,N('APA Inputs'!$D$24))),'APA Inputs'!$J$24,0)+IF(N('APA Inputs'!$H$24)&gt;0,IF(DA$4=EDATE('APA Inputs'!$C$24,'APA Inputs'!$H$24-1),N('APA Inputs'!$G$24),0),0))*IF('APA Inputs'!$I$24="",1,'APA Inputs'!$I$24))</f>
        <v>0</v>
      </c>
      <c r="DB9" s="425" t="n">
        <f aca="false">IF('APA Inputs'!$C$24="",0,(IF(AND(DB$4&gt;='APA Inputs'!$C$24,DB$4&lt;EDATE('APA Inputs'!$C$24,N('APA Inputs'!$D$24))),'APA Inputs'!$J$24,0)+IF(N('APA Inputs'!$H$24)&gt;0,IF(DB$4=EDATE('APA Inputs'!$C$24,'APA Inputs'!$H$24-1),N('APA Inputs'!$G$24),0),0))*IF('APA Inputs'!$I$24="",1,'APA Inputs'!$I$24))</f>
        <v>0</v>
      </c>
      <c r="DC9" s="425" t="n">
        <f aca="false">IF('APA Inputs'!$C$24="",0,(IF(AND(DC$4&gt;='APA Inputs'!$C$24,DC$4&lt;EDATE('APA Inputs'!$C$24,N('APA Inputs'!$D$24))),'APA Inputs'!$J$24,0)+IF(N('APA Inputs'!$H$24)&gt;0,IF(DC$4=EDATE('APA Inputs'!$C$24,'APA Inputs'!$H$24-1),N('APA Inputs'!$G$24),0),0))*IF('APA Inputs'!$I$24="",1,'APA Inputs'!$I$24))</f>
        <v>0</v>
      </c>
      <c r="DD9" s="425" t="n">
        <f aca="false">IF('APA Inputs'!$C$24="",0,(IF(AND(DD$4&gt;='APA Inputs'!$C$24,DD$4&lt;EDATE('APA Inputs'!$C$24,N('APA Inputs'!$D$24))),'APA Inputs'!$J$24,0)+IF(N('APA Inputs'!$H$24)&gt;0,IF(DD$4=EDATE('APA Inputs'!$C$24,'APA Inputs'!$H$24-1),N('APA Inputs'!$G$24),0),0))*IF('APA Inputs'!$I$24="",1,'APA Inputs'!$I$24))</f>
        <v>0</v>
      </c>
      <c r="DE9" s="425" t="n">
        <f aca="false">IF('APA Inputs'!$C$24="",0,(IF(AND(DE$4&gt;='APA Inputs'!$C$24,DE$4&lt;EDATE('APA Inputs'!$C$24,N('APA Inputs'!$D$24))),'APA Inputs'!$J$24,0)+IF(N('APA Inputs'!$H$24)&gt;0,IF(DE$4=EDATE('APA Inputs'!$C$24,'APA Inputs'!$H$24-1),N('APA Inputs'!$G$24),0),0))*IF('APA Inputs'!$I$24="",1,'APA Inputs'!$I$24))</f>
        <v>0</v>
      </c>
    </row>
    <row r="10" customFormat="false" ht="15" hidden="false" customHeight="true" outlineLevel="0" collapsed="false">
      <c r="A10" s="1" t="str">
        <f aca="false">'APA Inputs'!A25</f>
        <v>4110 W 3rd (existing contract only)</v>
      </c>
      <c r="B10" s="425" t="n">
        <f aca="false">IF('APA Inputs'!$C$25="",0,(IF(AND(B$4&gt;='APA Inputs'!$C$25,B$4&lt;EDATE('APA Inputs'!$C$25,N('APA Inputs'!$D$25))),'APA Inputs'!$J$25,0)+IF(N('APA Inputs'!$H$25)&gt;0,IF(B$4=EDATE('APA Inputs'!$C$25,'APA Inputs'!$H$25-1),N('APA Inputs'!$G$25),0),0))*IF('APA Inputs'!$I$25="",1,'APA Inputs'!$I$25))</f>
        <v>0</v>
      </c>
      <c r="C10" s="425" t="n">
        <f aca="false">IF('APA Inputs'!$C$25="",0,(IF(AND(C$4&gt;='APA Inputs'!$C$25,C$4&lt;EDATE('APA Inputs'!$C$25,N('APA Inputs'!$D$25))),'APA Inputs'!$J$25,0)+IF(N('APA Inputs'!$H$25)&gt;0,IF(C$4=EDATE('APA Inputs'!$C$25,'APA Inputs'!$H$25-1),N('APA Inputs'!$G$25),0),0))*IF('APA Inputs'!$I$25="",1,'APA Inputs'!$I$25))</f>
        <v>0</v>
      </c>
      <c r="D10" s="425" t="n">
        <f aca="false">IF('APA Inputs'!$C$25="",0,(IF(AND(D$4&gt;='APA Inputs'!$C$25,D$4&lt;EDATE('APA Inputs'!$C$25,N('APA Inputs'!$D$25))),'APA Inputs'!$J$25,0)+IF(N('APA Inputs'!$H$25)&gt;0,IF(D$4=EDATE('APA Inputs'!$C$25,'APA Inputs'!$H$25-1),N('APA Inputs'!$G$25),0),0))*IF('APA Inputs'!$I$25="",1,'APA Inputs'!$I$25))</f>
        <v>0</v>
      </c>
      <c r="E10" s="425" t="n">
        <f aca="false">IF('APA Inputs'!$C$25="",0,(IF(AND(E$4&gt;='APA Inputs'!$C$25,E$4&lt;EDATE('APA Inputs'!$C$25,N('APA Inputs'!$D$25))),'APA Inputs'!$J$25,0)+IF(N('APA Inputs'!$H$25)&gt;0,IF(E$4=EDATE('APA Inputs'!$C$25,'APA Inputs'!$H$25-1),N('APA Inputs'!$G$25),0),0))*IF('APA Inputs'!$I$25="",1,'APA Inputs'!$I$25))</f>
        <v>0</v>
      </c>
      <c r="F10" s="425" t="n">
        <f aca="false">IF('APA Inputs'!$C$25="",0,(IF(AND(F$4&gt;='APA Inputs'!$C$25,F$4&lt;EDATE('APA Inputs'!$C$25,N('APA Inputs'!$D$25))),'APA Inputs'!$J$25,0)+IF(N('APA Inputs'!$H$25)&gt;0,IF(F$4=EDATE('APA Inputs'!$C$25,'APA Inputs'!$H$25-1),N('APA Inputs'!$G$25),0),0))*IF('APA Inputs'!$I$25="",1,'APA Inputs'!$I$25))</f>
        <v>0</v>
      </c>
      <c r="G10" s="425" t="n">
        <f aca="false">IF('APA Inputs'!$C$25="",0,(IF(AND(G$4&gt;='APA Inputs'!$C$25,G$4&lt;EDATE('APA Inputs'!$C$25,N('APA Inputs'!$D$25))),'APA Inputs'!$J$25,0)+IF(N('APA Inputs'!$H$25)&gt;0,IF(G$4=EDATE('APA Inputs'!$C$25,'APA Inputs'!$H$25-1),N('APA Inputs'!$G$25),0),0))*IF('APA Inputs'!$I$25="",1,'APA Inputs'!$I$25))</f>
        <v>0</v>
      </c>
      <c r="H10" s="425" t="n">
        <f aca="false">IF('APA Inputs'!$C$25="",0,(IF(AND(H$4&gt;='APA Inputs'!$C$25,H$4&lt;EDATE('APA Inputs'!$C$25,N('APA Inputs'!$D$25))),'APA Inputs'!$J$25,0)+IF(N('APA Inputs'!$H$25)&gt;0,IF(H$4=EDATE('APA Inputs'!$C$25,'APA Inputs'!$H$25-1),N('APA Inputs'!$G$25),0),0))*IF('APA Inputs'!$I$25="",1,'APA Inputs'!$I$25))</f>
        <v>0</v>
      </c>
      <c r="I10" s="425" t="n">
        <f aca="false">IF('APA Inputs'!$C$25="",0,(IF(AND(I$4&gt;='APA Inputs'!$C$25,I$4&lt;EDATE('APA Inputs'!$C$25,N('APA Inputs'!$D$25))),'APA Inputs'!$J$25,0)+IF(N('APA Inputs'!$H$25)&gt;0,IF(I$4=EDATE('APA Inputs'!$C$25,'APA Inputs'!$H$25-1),N('APA Inputs'!$G$25),0),0))*IF('APA Inputs'!$I$25="",1,'APA Inputs'!$I$25))</f>
        <v>0</v>
      </c>
      <c r="J10" s="425" t="n">
        <f aca="false">IF('APA Inputs'!$C$25="",0,(IF(AND(J$4&gt;='APA Inputs'!$C$25,J$4&lt;EDATE('APA Inputs'!$C$25,N('APA Inputs'!$D$25))),'APA Inputs'!$J$25,0)+IF(N('APA Inputs'!$H$25)&gt;0,IF(J$4=EDATE('APA Inputs'!$C$25,'APA Inputs'!$H$25-1),N('APA Inputs'!$G$25),0),0))*IF('APA Inputs'!$I$25="",1,'APA Inputs'!$I$25))</f>
        <v>0</v>
      </c>
      <c r="K10" s="425" t="n">
        <f aca="false">IF('APA Inputs'!$C$25="",0,(IF(AND(K$4&gt;='APA Inputs'!$C$25,K$4&lt;EDATE('APA Inputs'!$C$25,N('APA Inputs'!$D$25))),'APA Inputs'!$J$25,0)+IF(N('APA Inputs'!$H$25)&gt;0,IF(K$4=EDATE('APA Inputs'!$C$25,'APA Inputs'!$H$25-1),N('APA Inputs'!$G$25),0),0))*IF('APA Inputs'!$I$25="",1,'APA Inputs'!$I$25))</f>
        <v>0</v>
      </c>
      <c r="L10" s="425" t="n">
        <f aca="false">IF('APA Inputs'!$C$25="",0,(IF(AND(L$4&gt;='APA Inputs'!$C$25,L$4&lt;EDATE('APA Inputs'!$C$25,N('APA Inputs'!$D$25))),'APA Inputs'!$J$25,0)+IF(N('APA Inputs'!$H$25)&gt;0,IF(L$4=EDATE('APA Inputs'!$C$25,'APA Inputs'!$H$25-1),N('APA Inputs'!$G$25),0),0))*IF('APA Inputs'!$I$25="",1,'APA Inputs'!$I$25))</f>
        <v>0</v>
      </c>
      <c r="M10" s="425" t="n">
        <f aca="false">IF('APA Inputs'!$C$25="",0,(IF(AND(M$4&gt;='APA Inputs'!$C$25,M$4&lt;EDATE('APA Inputs'!$C$25,N('APA Inputs'!$D$25))),'APA Inputs'!$J$25,0)+IF(N('APA Inputs'!$H$25)&gt;0,IF(M$4=EDATE('APA Inputs'!$C$25,'APA Inputs'!$H$25-1),N('APA Inputs'!$G$25),0),0))*IF('APA Inputs'!$I$25="",1,'APA Inputs'!$I$25))</f>
        <v>9750</v>
      </c>
      <c r="N10" s="425" t="n">
        <f aca="false">IF('APA Inputs'!$C$25="",0,(IF(AND(N$4&gt;='APA Inputs'!$C$25,N$4&lt;EDATE('APA Inputs'!$C$25,N('APA Inputs'!$D$25))),'APA Inputs'!$J$25,0)+IF(N('APA Inputs'!$H$25)&gt;0,IF(N$4=EDATE('APA Inputs'!$C$25,'APA Inputs'!$H$25-1),N('APA Inputs'!$G$25),0),0))*IF('APA Inputs'!$I$25="",1,'APA Inputs'!$I$25))</f>
        <v>9750</v>
      </c>
      <c r="O10" s="425" t="n">
        <f aca="false">IF('APA Inputs'!$C$25="",0,(IF(AND(O$4&gt;='APA Inputs'!$C$25,O$4&lt;EDATE('APA Inputs'!$C$25,N('APA Inputs'!$D$25))),'APA Inputs'!$J$25,0)+IF(N('APA Inputs'!$H$25)&gt;0,IF(O$4=EDATE('APA Inputs'!$C$25,'APA Inputs'!$H$25-1),N('APA Inputs'!$G$25),0),0))*IF('APA Inputs'!$I$25="",1,'APA Inputs'!$I$25))</f>
        <v>0</v>
      </c>
      <c r="P10" s="425" t="n">
        <f aca="false">IF('APA Inputs'!$C$25="",0,(IF(AND(P$4&gt;='APA Inputs'!$C$25,P$4&lt;EDATE('APA Inputs'!$C$25,N('APA Inputs'!$D$25))),'APA Inputs'!$J$25,0)+IF(N('APA Inputs'!$H$25)&gt;0,IF(P$4=EDATE('APA Inputs'!$C$25,'APA Inputs'!$H$25-1),N('APA Inputs'!$G$25),0),0))*IF('APA Inputs'!$I$25="",1,'APA Inputs'!$I$25))</f>
        <v>0</v>
      </c>
      <c r="Q10" s="425" t="n">
        <f aca="false">IF('APA Inputs'!$C$25="",0,(IF(AND(Q$4&gt;='APA Inputs'!$C$25,Q$4&lt;EDATE('APA Inputs'!$C$25,N('APA Inputs'!$D$25))),'APA Inputs'!$J$25,0)+IF(N('APA Inputs'!$H$25)&gt;0,IF(Q$4=EDATE('APA Inputs'!$C$25,'APA Inputs'!$H$25-1),N('APA Inputs'!$G$25),0),0))*IF('APA Inputs'!$I$25="",1,'APA Inputs'!$I$25))</f>
        <v>0</v>
      </c>
      <c r="R10" s="425" t="n">
        <f aca="false">IF('APA Inputs'!$C$25="",0,(IF(AND(R$4&gt;='APA Inputs'!$C$25,R$4&lt;EDATE('APA Inputs'!$C$25,N('APA Inputs'!$D$25))),'APA Inputs'!$J$25,0)+IF(N('APA Inputs'!$H$25)&gt;0,IF(R$4=EDATE('APA Inputs'!$C$25,'APA Inputs'!$H$25-1),N('APA Inputs'!$G$25),0),0))*IF('APA Inputs'!$I$25="",1,'APA Inputs'!$I$25))</f>
        <v>0</v>
      </c>
      <c r="S10" s="425" t="n">
        <f aca="false">IF('APA Inputs'!$C$25="",0,(IF(AND(S$4&gt;='APA Inputs'!$C$25,S$4&lt;EDATE('APA Inputs'!$C$25,N('APA Inputs'!$D$25))),'APA Inputs'!$J$25,0)+IF(N('APA Inputs'!$H$25)&gt;0,IF(S$4=EDATE('APA Inputs'!$C$25,'APA Inputs'!$H$25-1),N('APA Inputs'!$G$25),0),0))*IF('APA Inputs'!$I$25="",1,'APA Inputs'!$I$25))</f>
        <v>0</v>
      </c>
      <c r="T10" s="425" t="n">
        <f aca="false">IF('APA Inputs'!$C$25="",0,(IF(AND(T$4&gt;='APA Inputs'!$C$25,T$4&lt;EDATE('APA Inputs'!$C$25,N('APA Inputs'!$D$25))),'APA Inputs'!$J$25,0)+IF(N('APA Inputs'!$H$25)&gt;0,IF(T$4=EDATE('APA Inputs'!$C$25,'APA Inputs'!$H$25-1),N('APA Inputs'!$G$25),0),0))*IF('APA Inputs'!$I$25="",1,'APA Inputs'!$I$25))</f>
        <v>0</v>
      </c>
      <c r="U10" s="425" t="n">
        <f aca="false">IF('APA Inputs'!$C$25="",0,(IF(AND(U$4&gt;='APA Inputs'!$C$25,U$4&lt;EDATE('APA Inputs'!$C$25,N('APA Inputs'!$D$25))),'APA Inputs'!$J$25,0)+IF(N('APA Inputs'!$H$25)&gt;0,IF(U$4=EDATE('APA Inputs'!$C$25,'APA Inputs'!$H$25-1),N('APA Inputs'!$G$25),0),0))*IF('APA Inputs'!$I$25="",1,'APA Inputs'!$I$25))</f>
        <v>0</v>
      </c>
      <c r="V10" s="425" t="n">
        <f aca="false">IF('APA Inputs'!$C$25="",0,(IF(AND(V$4&gt;='APA Inputs'!$C$25,V$4&lt;EDATE('APA Inputs'!$C$25,N('APA Inputs'!$D$25))),'APA Inputs'!$J$25,0)+IF(N('APA Inputs'!$H$25)&gt;0,IF(V$4=EDATE('APA Inputs'!$C$25,'APA Inputs'!$H$25-1),N('APA Inputs'!$G$25),0),0))*IF('APA Inputs'!$I$25="",1,'APA Inputs'!$I$25))</f>
        <v>0</v>
      </c>
      <c r="W10" s="425" t="n">
        <f aca="false">IF('APA Inputs'!$C$25="",0,(IF(AND(W$4&gt;='APA Inputs'!$C$25,W$4&lt;EDATE('APA Inputs'!$C$25,N('APA Inputs'!$D$25))),'APA Inputs'!$J$25,0)+IF(N('APA Inputs'!$H$25)&gt;0,IF(W$4=EDATE('APA Inputs'!$C$25,'APA Inputs'!$H$25-1),N('APA Inputs'!$G$25),0),0))*IF('APA Inputs'!$I$25="",1,'APA Inputs'!$I$25))</f>
        <v>0</v>
      </c>
      <c r="X10" s="425" t="n">
        <f aca="false">IF('APA Inputs'!$C$25="",0,(IF(AND(X$4&gt;='APA Inputs'!$C$25,X$4&lt;EDATE('APA Inputs'!$C$25,N('APA Inputs'!$D$25))),'APA Inputs'!$J$25,0)+IF(N('APA Inputs'!$H$25)&gt;0,IF(X$4=EDATE('APA Inputs'!$C$25,'APA Inputs'!$H$25-1),N('APA Inputs'!$G$25),0),0))*IF('APA Inputs'!$I$25="",1,'APA Inputs'!$I$25))</f>
        <v>0</v>
      </c>
      <c r="Y10" s="425" t="n">
        <f aca="false">IF('APA Inputs'!$C$25="",0,(IF(AND(Y$4&gt;='APA Inputs'!$C$25,Y$4&lt;EDATE('APA Inputs'!$C$25,N('APA Inputs'!$D$25))),'APA Inputs'!$J$25,0)+IF(N('APA Inputs'!$H$25)&gt;0,IF(Y$4=EDATE('APA Inputs'!$C$25,'APA Inputs'!$H$25-1),N('APA Inputs'!$G$25),0),0))*IF('APA Inputs'!$I$25="",1,'APA Inputs'!$I$25))</f>
        <v>0</v>
      </c>
      <c r="Z10" s="425" t="n">
        <f aca="false">IF('APA Inputs'!$C$25="",0,(IF(AND(Z$4&gt;='APA Inputs'!$C$25,Z$4&lt;EDATE('APA Inputs'!$C$25,N('APA Inputs'!$D$25))),'APA Inputs'!$J$25,0)+IF(N('APA Inputs'!$H$25)&gt;0,IF(Z$4=EDATE('APA Inputs'!$C$25,'APA Inputs'!$H$25-1),N('APA Inputs'!$G$25),0),0))*IF('APA Inputs'!$I$25="",1,'APA Inputs'!$I$25))</f>
        <v>0</v>
      </c>
      <c r="AA10" s="425" t="n">
        <f aca="false">IF('APA Inputs'!$C$25="",0,(IF(AND(AA$4&gt;='APA Inputs'!$C$25,AA$4&lt;EDATE('APA Inputs'!$C$25,N('APA Inputs'!$D$25))),'APA Inputs'!$J$25,0)+IF(N('APA Inputs'!$H$25)&gt;0,IF(AA$4=EDATE('APA Inputs'!$C$25,'APA Inputs'!$H$25-1),N('APA Inputs'!$G$25),0),0))*IF('APA Inputs'!$I$25="",1,'APA Inputs'!$I$25))</f>
        <v>0</v>
      </c>
      <c r="AB10" s="425" t="n">
        <f aca="false">IF('APA Inputs'!$C$25="",0,(IF(AND(AB$4&gt;='APA Inputs'!$C$25,AB$4&lt;EDATE('APA Inputs'!$C$25,N('APA Inputs'!$D$25))),'APA Inputs'!$J$25,0)+IF(N('APA Inputs'!$H$25)&gt;0,IF(AB$4=EDATE('APA Inputs'!$C$25,'APA Inputs'!$H$25-1),N('APA Inputs'!$G$25),0),0))*IF('APA Inputs'!$I$25="",1,'APA Inputs'!$I$25))</f>
        <v>0</v>
      </c>
      <c r="AC10" s="425" t="n">
        <f aca="false">IF('APA Inputs'!$C$25="",0,(IF(AND(AC$4&gt;='APA Inputs'!$C$25,AC$4&lt;EDATE('APA Inputs'!$C$25,N('APA Inputs'!$D$25))),'APA Inputs'!$J$25,0)+IF(N('APA Inputs'!$H$25)&gt;0,IF(AC$4=EDATE('APA Inputs'!$C$25,'APA Inputs'!$H$25-1),N('APA Inputs'!$G$25),0),0))*IF('APA Inputs'!$I$25="",1,'APA Inputs'!$I$25))</f>
        <v>0</v>
      </c>
      <c r="AD10" s="425" t="n">
        <f aca="false">IF('APA Inputs'!$C$25="",0,(IF(AND(AD$4&gt;='APA Inputs'!$C$25,AD$4&lt;EDATE('APA Inputs'!$C$25,N('APA Inputs'!$D$25))),'APA Inputs'!$J$25,0)+IF(N('APA Inputs'!$H$25)&gt;0,IF(AD$4=EDATE('APA Inputs'!$C$25,'APA Inputs'!$H$25-1),N('APA Inputs'!$G$25),0),0))*IF('APA Inputs'!$I$25="",1,'APA Inputs'!$I$25))</f>
        <v>0</v>
      </c>
      <c r="AE10" s="425" t="n">
        <f aca="false">IF('APA Inputs'!$C$25="",0,(IF(AND(AE$4&gt;='APA Inputs'!$C$25,AE$4&lt;EDATE('APA Inputs'!$C$25,N('APA Inputs'!$D$25))),'APA Inputs'!$J$25,0)+IF(N('APA Inputs'!$H$25)&gt;0,IF(AE$4=EDATE('APA Inputs'!$C$25,'APA Inputs'!$H$25-1),N('APA Inputs'!$G$25),0),0))*IF('APA Inputs'!$I$25="",1,'APA Inputs'!$I$25))</f>
        <v>0</v>
      </c>
      <c r="AF10" s="425" t="n">
        <f aca="false">IF('APA Inputs'!$C$25="",0,(IF(AND(AF$4&gt;='APA Inputs'!$C$25,AF$4&lt;EDATE('APA Inputs'!$C$25,N('APA Inputs'!$D$25))),'APA Inputs'!$J$25,0)+IF(N('APA Inputs'!$H$25)&gt;0,IF(AF$4=EDATE('APA Inputs'!$C$25,'APA Inputs'!$H$25-1),N('APA Inputs'!$G$25),0),0))*IF('APA Inputs'!$I$25="",1,'APA Inputs'!$I$25))</f>
        <v>0</v>
      </c>
      <c r="AG10" s="425" t="n">
        <f aca="false">IF('APA Inputs'!$C$25="",0,(IF(AND(AG$4&gt;='APA Inputs'!$C$25,AG$4&lt;EDATE('APA Inputs'!$C$25,N('APA Inputs'!$D$25))),'APA Inputs'!$J$25,0)+IF(N('APA Inputs'!$H$25)&gt;0,IF(AG$4=EDATE('APA Inputs'!$C$25,'APA Inputs'!$H$25-1),N('APA Inputs'!$G$25),0),0))*IF('APA Inputs'!$I$25="",1,'APA Inputs'!$I$25))</f>
        <v>0</v>
      </c>
      <c r="AH10" s="425" t="n">
        <f aca="false">IF('APA Inputs'!$C$25="",0,(IF(AND(AH$4&gt;='APA Inputs'!$C$25,AH$4&lt;EDATE('APA Inputs'!$C$25,N('APA Inputs'!$D$25))),'APA Inputs'!$J$25,0)+IF(N('APA Inputs'!$H$25)&gt;0,IF(AH$4=EDATE('APA Inputs'!$C$25,'APA Inputs'!$H$25-1),N('APA Inputs'!$G$25),0),0))*IF('APA Inputs'!$I$25="",1,'APA Inputs'!$I$25))</f>
        <v>0</v>
      </c>
      <c r="AI10" s="425" t="n">
        <f aca="false">IF('APA Inputs'!$C$25="",0,(IF(AND(AI$4&gt;='APA Inputs'!$C$25,AI$4&lt;EDATE('APA Inputs'!$C$25,N('APA Inputs'!$D$25))),'APA Inputs'!$J$25,0)+IF(N('APA Inputs'!$H$25)&gt;0,IF(AI$4=EDATE('APA Inputs'!$C$25,'APA Inputs'!$H$25-1),N('APA Inputs'!$G$25),0),0))*IF('APA Inputs'!$I$25="",1,'APA Inputs'!$I$25))</f>
        <v>0</v>
      </c>
      <c r="AJ10" s="425" t="n">
        <f aca="false">IF('APA Inputs'!$C$25="",0,(IF(AND(AJ$4&gt;='APA Inputs'!$C$25,AJ$4&lt;EDATE('APA Inputs'!$C$25,N('APA Inputs'!$D$25))),'APA Inputs'!$J$25,0)+IF(N('APA Inputs'!$H$25)&gt;0,IF(AJ$4=EDATE('APA Inputs'!$C$25,'APA Inputs'!$H$25-1),N('APA Inputs'!$G$25),0),0))*IF('APA Inputs'!$I$25="",1,'APA Inputs'!$I$25))</f>
        <v>0</v>
      </c>
      <c r="AK10" s="425" t="n">
        <f aca="false">IF('APA Inputs'!$C$25="",0,(IF(AND(AK$4&gt;='APA Inputs'!$C$25,AK$4&lt;EDATE('APA Inputs'!$C$25,N('APA Inputs'!$D$25))),'APA Inputs'!$J$25,0)+IF(N('APA Inputs'!$H$25)&gt;0,IF(AK$4=EDATE('APA Inputs'!$C$25,'APA Inputs'!$H$25-1),N('APA Inputs'!$G$25),0),0))*IF('APA Inputs'!$I$25="",1,'APA Inputs'!$I$25))</f>
        <v>0</v>
      </c>
      <c r="AL10" s="425" t="n">
        <f aca="false">IF('APA Inputs'!$C$25="",0,(IF(AND(AL$4&gt;='APA Inputs'!$C$25,AL$4&lt;EDATE('APA Inputs'!$C$25,N('APA Inputs'!$D$25))),'APA Inputs'!$J$25,0)+IF(N('APA Inputs'!$H$25)&gt;0,IF(AL$4=EDATE('APA Inputs'!$C$25,'APA Inputs'!$H$25-1),N('APA Inputs'!$G$25),0),0))*IF('APA Inputs'!$I$25="",1,'APA Inputs'!$I$25))</f>
        <v>0</v>
      </c>
      <c r="AM10" s="425" t="n">
        <f aca="false">IF('APA Inputs'!$C$25="",0,(IF(AND(AM$4&gt;='APA Inputs'!$C$25,AM$4&lt;EDATE('APA Inputs'!$C$25,N('APA Inputs'!$D$25))),'APA Inputs'!$J$25,0)+IF(N('APA Inputs'!$H$25)&gt;0,IF(AM$4=EDATE('APA Inputs'!$C$25,'APA Inputs'!$H$25-1),N('APA Inputs'!$G$25),0),0))*IF('APA Inputs'!$I$25="",1,'APA Inputs'!$I$25))</f>
        <v>0</v>
      </c>
      <c r="AN10" s="425" t="n">
        <f aca="false">IF('APA Inputs'!$C$25="",0,(IF(AND(AN$4&gt;='APA Inputs'!$C$25,AN$4&lt;EDATE('APA Inputs'!$C$25,N('APA Inputs'!$D$25))),'APA Inputs'!$J$25,0)+IF(N('APA Inputs'!$H$25)&gt;0,IF(AN$4=EDATE('APA Inputs'!$C$25,'APA Inputs'!$H$25-1),N('APA Inputs'!$G$25),0),0))*IF('APA Inputs'!$I$25="",1,'APA Inputs'!$I$25))</f>
        <v>0</v>
      </c>
      <c r="AO10" s="425" t="n">
        <f aca="false">IF('APA Inputs'!$C$25="",0,(IF(AND(AO$4&gt;='APA Inputs'!$C$25,AO$4&lt;EDATE('APA Inputs'!$C$25,N('APA Inputs'!$D$25))),'APA Inputs'!$J$25,0)+IF(N('APA Inputs'!$H$25)&gt;0,IF(AO$4=EDATE('APA Inputs'!$C$25,'APA Inputs'!$H$25-1),N('APA Inputs'!$G$25),0),0))*IF('APA Inputs'!$I$25="",1,'APA Inputs'!$I$25))</f>
        <v>0</v>
      </c>
      <c r="AP10" s="425" t="n">
        <f aca="false">IF('APA Inputs'!$C$25="",0,(IF(AND(AP$4&gt;='APA Inputs'!$C$25,AP$4&lt;EDATE('APA Inputs'!$C$25,N('APA Inputs'!$D$25))),'APA Inputs'!$J$25,0)+IF(N('APA Inputs'!$H$25)&gt;0,IF(AP$4=EDATE('APA Inputs'!$C$25,'APA Inputs'!$H$25-1),N('APA Inputs'!$G$25),0),0))*IF('APA Inputs'!$I$25="",1,'APA Inputs'!$I$25))</f>
        <v>0</v>
      </c>
      <c r="AQ10" s="425" t="n">
        <f aca="false">IF('APA Inputs'!$C$25="",0,(IF(AND(AQ$4&gt;='APA Inputs'!$C$25,AQ$4&lt;EDATE('APA Inputs'!$C$25,N('APA Inputs'!$D$25))),'APA Inputs'!$J$25,0)+IF(N('APA Inputs'!$H$25)&gt;0,IF(AQ$4=EDATE('APA Inputs'!$C$25,'APA Inputs'!$H$25-1),N('APA Inputs'!$G$25),0),0))*IF('APA Inputs'!$I$25="",1,'APA Inputs'!$I$25))</f>
        <v>0</v>
      </c>
      <c r="AR10" s="425" t="n">
        <f aca="false">IF('APA Inputs'!$C$25="",0,(IF(AND(AR$4&gt;='APA Inputs'!$C$25,AR$4&lt;EDATE('APA Inputs'!$C$25,N('APA Inputs'!$D$25))),'APA Inputs'!$J$25,0)+IF(N('APA Inputs'!$H$25)&gt;0,IF(AR$4=EDATE('APA Inputs'!$C$25,'APA Inputs'!$H$25-1),N('APA Inputs'!$G$25),0),0))*IF('APA Inputs'!$I$25="",1,'APA Inputs'!$I$25))</f>
        <v>0</v>
      </c>
      <c r="AS10" s="425" t="n">
        <f aca="false">IF('APA Inputs'!$C$25="",0,(IF(AND(AS$4&gt;='APA Inputs'!$C$25,AS$4&lt;EDATE('APA Inputs'!$C$25,N('APA Inputs'!$D$25))),'APA Inputs'!$J$25,0)+IF(N('APA Inputs'!$H$25)&gt;0,IF(AS$4=EDATE('APA Inputs'!$C$25,'APA Inputs'!$H$25-1),N('APA Inputs'!$G$25),0),0))*IF('APA Inputs'!$I$25="",1,'APA Inputs'!$I$25))</f>
        <v>0</v>
      </c>
      <c r="AT10" s="425" t="n">
        <f aca="false">IF('APA Inputs'!$C$25="",0,(IF(AND(AT$4&gt;='APA Inputs'!$C$25,AT$4&lt;EDATE('APA Inputs'!$C$25,N('APA Inputs'!$D$25))),'APA Inputs'!$J$25,0)+IF(N('APA Inputs'!$H$25)&gt;0,IF(AT$4=EDATE('APA Inputs'!$C$25,'APA Inputs'!$H$25-1),N('APA Inputs'!$G$25),0),0))*IF('APA Inputs'!$I$25="",1,'APA Inputs'!$I$25))</f>
        <v>0</v>
      </c>
      <c r="AU10" s="425" t="n">
        <f aca="false">IF('APA Inputs'!$C$25="",0,(IF(AND(AU$4&gt;='APA Inputs'!$C$25,AU$4&lt;EDATE('APA Inputs'!$C$25,N('APA Inputs'!$D$25))),'APA Inputs'!$J$25,0)+IF(N('APA Inputs'!$H$25)&gt;0,IF(AU$4=EDATE('APA Inputs'!$C$25,'APA Inputs'!$H$25-1),N('APA Inputs'!$G$25),0),0))*IF('APA Inputs'!$I$25="",1,'APA Inputs'!$I$25))</f>
        <v>0</v>
      </c>
      <c r="AV10" s="425" t="n">
        <f aca="false">IF('APA Inputs'!$C$25="",0,(IF(AND(AV$4&gt;='APA Inputs'!$C$25,AV$4&lt;EDATE('APA Inputs'!$C$25,N('APA Inputs'!$D$25))),'APA Inputs'!$J$25,0)+IF(N('APA Inputs'!$H$25)&gt;0,IF(AV$4=EDATE('APA Inputs'!$C$25,'APA Inputs'!$H$25-1),N('APA Inputs'!$G$25),0),0))*IF('APA Inputs'!$I$25="",1,'APA Inputs'!$I$25))</f>
        <v>0</v>
      </c>
      <c r="AW10" s="425" t="n">
        <f aca="false">IF('APA Inputs'!$C$25="",0,(IF(AND(AW$4&gt;='APA Inputs'!$C$25,AW$4&lt;EDATE('APA Inputs'!$C$25,N('APA Inputs'!$D$25))),'APA Inputs'!$J$25,0)+IF(N('APA Inputs'!$H$25)&gt;0,IF(AW$4=EDATE('APA Inputs'!$C$25,'APA Inputs'!$H$25-1),N('APA Inputs'!$G$25),0),0))*IF('APA Inputs'!$I$25="",1,'APA Inputs'!$I$25))</f>
        <v>0</v>
      </c>
      <c r="AX10" s="425" t="n">
        <f aca="false">IF('APA Inputs'!$C$25="",0,(IF(AND(AX$4&gt;='APA Inputs'!$C$25,AX$4&lt;EDATE('APA Inputs'!$C$25,N('APA Inputs'!$D$25))),'APA Inputs'!$J$25,0)+IF(N('APA Inputs'!$H$25)&gt;0,IF(AX$4=EDATE('APA Inputs'!$C$25,'APA Inputs'!$H$25-1),N('APA Inputs'!$G$25),0),0))*IF('APA Inputs'!$I$25="",1,'APA Inputs'!$I$25))</f>
        <v>0</v>
      </c>
      <c r="AY10" s="425" t="n">
        <f aca="false">IF('APA Inputs'!$C$25="",0,(IF(AND(AY$4&gt;='APA Inputs'!$C$25,AY$4&lt;EDATE('APA Inputs'!$C$25,N('APA Inputs'!$D$25))),'APA Inputs'!$J$25,0)+IF(N('APA Inputs'!$H$25)&gt;0,IF(AY$4=EDATE('APA Inputs'!$C$25,'APA Inputs'!$H$25-1),N('APA Inputs'!$G$25),0),0))*IF('APA Inputs'!$I$25="",1,'APA Inputs'!$I$25))</f>
        <v>0</v>
      </c>
      <c r="AZ10" s="425" t="n">
        <f aca="false">IF('APA Inputs'!$C$25="",0,(IF(AND(AZ$4&gt;='APA Inputs'!$C$25,AZ$4&lt;EDATE('APA Inputs'!$C$25,N('APA Inputs'!$D$25))),'APA Inputs'!$J$25,0)+IF(N('APA Inputs'!$H$25)&gt;0,IF(AZ$4=EDATE('APA Inputs'!$C$25,'APA Inputs'!$H$25-1),N('APA Inputs'!$G$25),0),0))*IF('APA Inputs'!$I$25="",1,'APA Inputs'!$I$25))</f>
        <v>0</v>
      </c>
      <c r="BA10" s="425" t="n">
        <f aca="false">IF('APA Inputs'!$C$25="",0,(IF(AND(BA$4&gt;='APA Inputs'!$C$25,BA$4&lt;EDATE('APA Inputs'!$C$25,N('APA Inputs'!$D$25))),'APA Inputs'!$J$25,0)+IF(N('APA Inputs'!$H$25)&gt;0,IF(BA$4=EDATE('APA Inputs'!$C$25,'APA Inputs'!$H$25-1),N('APA Inputs'!$G$25),0),0))*IF('APA Inputs'!$I$25="",1,'APA Inputs'!$I$25))</f>
        <v>0</v>
      </c>
      <c r="BB10" s="425" t="n">
        <f aca="false">IF('APA Inputs'!$C$25="",0,(IF(AND(BB$4&gt;='APA Inputs'!$C$25,BB$4&lt;EDATE('APA Inputs'!$C$25,N('APA Inputs'!$D$25))),'APA Inputs'!$J$25,0)+IF(N('APA Inputs'!$H$25)&gt;0,IF(BB$4=EDATE('APA Inputs'!$C$25,'APA Inputs'!$H$25-1),N('APA Inputs'!$G$25),0),0))*IF('APA Inputs'!$I$25="",1,'APA Inputs'!$I$25))</f>
        <v>0</v>
      </c>
      <c r="BC10" s="425" t="n">
        <f aca="false">IF('APA Inputs'!$C$25="",0,(IF(AND(BC$4&gt;='APA Inputs'!$C$25,BC$4&lt;EDATE('APA Inputs'!$C$25,N('APA Inputs'!$D$25))),'APA Inputs'!$J$25,0)+IF(N('APA Inputs'!$H$25)&gt;0,IF(BC$4=EDATE('APA Inputs'!$C$25,'APA Inputs'!$H$25-1),N('APA Inputs'!$G$25),0),0))*IF('APA Inputs'!$I$25="",1,'APA Inputs'!$I$25))</f>
        <v>0</v>
      </c>
      <c r="BD10" s="425" t="n">
        <f aca="false">IF('APA Inputs'!$C$25="",0,(IF(AND(BD$4&gt;='APA Inputs'!$C$25,BD$4&lt;EDATE('APA Inputs'!$C$25,N('APA Inputs'!$D$25))),'APA Inputs'!$J$25,0)+IF(N('APA Inputs'!$H$25)&gt;0,IF(BD$4=EDATE('APA Inputs'!$C$25,'APA Inputs'!$H$25-1),N('APA Inputs'!$G$25),0),0))*IF('APA Inputs'!$I$25="",1,'APA Inputs'!$I$25))</f>
        <v>0</v>
      </c>
      <c r="BE10" s="425" t="n">
        <f aca="false">IF('APA Inputs'!$C$25="",0,(IF(AND(BE$4&gt;='APA Inputs'!$C$25,BE$4&lt;EDATE('APA Inputs'!$C$25,N('APA Inputs'!$D$25))),'APA Inputs'!$J$25,0)+IF(N('APA Inputs'!$H$25)&gt;0,IF(BE$4=EDATE('APA Inputs'!$C$25,'APA Inputs'!$H$25-1),N('APA Inputs'!$G$25),0),0))*IF('APA Inputs'!$I$25="",1,'APA Inputs'!$I$25))</f>
        <v>0</v>
      </c>
      <c r="BF10" s="425" t="n">
        <f aca="false">IF('APA Inputs'!$C$25="",0,(IF(AND(BF$4&gt;='APA Inputs'!$C$25,BF$4&lt;EDATE('APA Inputs'!$C$25,N('APA Inputs'!$D$25))),'APA Inputs'!$J$25,0)+IF(N('APA Inputs'!$H$25)&gt;0,IF(BF$4=EDATE('APA Inputs'!$C$25,'APA Inputs'!$H$25-1),N('APA Inputs'!$G$25),0),0))*IF('APA Inputs'!$I$25="",1,'APA Inputs'!$I$25))</f>
        <v>0</v>
      </c>
      <c r="BG10" s="425" t="n">
        <f aca="false">IF('APA Inputs'!$C$25="",0,(IF(AND(BG$4&gt;='APA Inputs'!$C$25,BG$4&lt;EDATE('APA Inputs'!$C$25,N('APA Inputs'!$D$25))),'APA Inputs'!$J$25,0)+IF(N('APA Inputs'!$H$25)&gt;0,IF(BG$4=EDATE('APA Inputs'!$C$25,'APA Inputs'!$H$25-1),N('APA Inputs'!$G$25),0),0))*IF('APA Inputs'!$I$25="",1,'APA Inputs'!$I$25))</f>
        <v>0</v>
      </c>
      <c r="BH10" s="425" t="n">
        <f aca="false">IF('APA Inputs'!$C$25="",0,(IF(AND(BH$4&gt;='APA Inputs'!$C$25,BH$4&lt;EDATE('APA Inputs'!$C$25,N('APA Inputs'!$D$25))),'APA Inputs'!$J$25,0)+IF(N('APA Inputs'!$H$25)&gt;0,IF(BH$4=EDATE('APA Inputs'!$C$25,'APA Inputs'!$H$25-1),N('APA Inputs'!$G$25),0),0))*IF('APA Inputs'!$I$25="",1,'APA Inputs'!$I$25))</f>
        <v>0</v>
      </c>
      <c r="BI10" s="425" t="n">
        <f aca="false">IF('APA Inputs'!$C$25="",0,(IF(AND(BI$4&gt;='APA Inputs'!$C$25,BI$4&lt;EDATE('APA Inputs'!$C$25,N('APA Inputs'!$D$25))),'APA Inputs'!$J$25,0)+IF(N('APA Inputs'!$H$25)&gt;0,IF(BI$4=EDATE('APA Inputs'!$C$25,'APA Inputs'!$H$25-1),N('APA Inputs'!$G$25),0),0))*IF('APA Inputs'!$I$25="",1,'APA Inputs'!$I$25))</f>
        <v>0</v>
      </c>
      <c r="BJ10" s="425" t="n">
        <f aca="false">IF('APA Inputs'!$C$25="",0,(IF(AND(BJ$4&gt;='APA Inputs'!$C$25,BJ$4&lt;EDATE('APA Inputs'!$C$25,N('APA Inputs'!$D$25))),'APA Inputs'!$J$25,0)+IF(N('APA Inputs'!$H$25)&gt;0,IF(BJ$4=EDATE('APA Inputs'!$C$25,'APA Inputs'!$H$25-1),N('APA Inputs'!$G$25),0),0))*IF('APA Inputs'!$I$25="",1,'APA Inputs'!$I$25))</f>
        <v>0</v>
      </c>
      <c r="BK10" s="425" t="n">
        <f aca="false">IF('APA Inputs'!$C$25="",0,(IF(AND(BK$4&gt;='APA Inputs'!$C$25,BK$4&lt;EDATE('APA Inputs'!$C$25,N('APA Inputs'!$D$25))),'APA Inputs'!$J$25,0)+IF(N('APA Inputs'!$H$25)&gt;0,IF(BK$4=EDATE('APA Inputs'!$C$25,'APA Inputs'!$H$25-1),N('APA Inputs'!$G$25),0),0))*IF('APA Inputs'!$I$25="",1,'APA Inputs'!$I$25))</f>
        <v>0</v>
      </c>
      <c r="BL10" s="425" t="n">
        <f aca="false">IF('APA Inputs'!$C$25="",0,(IF(AND(BL$4&gt;='APA Inputs'!$C$25,BL$4&lt;EDATE('APA Inputs'!$C$25,N('APA Inputs'!$D$25))),'APA Inputs'!$J$25,0)+IF(N('APA Inputs'!$H$25)&gt;0,IF(BL$4=EDATE('APA Inputs'!$C$25,'APA Inputs'!$H$25-1),N('APA Inputs'!$G$25),0),0))*IF('APA Inputs'!$I$25="",1,'APA Inputs'!$I$25))</f>
        <v>0</v>
      </c>
      <c r="BM10" s="425" t="n">
        <f aca="false">IF('APA Inputs'!$C$25="",0,(IF(AND(BM$4&gt;='APA Inputs'!$C$25,BM$4&lt;EDATE('APA Inputs'!$C$25,N('APA Inputs'!$D$25))),'APA Inputs'!$J$25,0)+IF(N('APA Inputs'!$H$25)&gt;0,IF(BM$4=EDATE('APA Inputs'!$C$25,'APA Inputs'!$H$25-1),N('APA Inputs'!$G$25),0),0))*IF('APA Inputs'!$I$25="",1,'APA Inputs'!$I$25))</f>
        <v>0</v>
      </c>
      <c r="BN10" s="425" t="n">
        <f aca="false">IF('APA Inputs'!$C$25="",0,(IF(AND(BN$4&gt;='APA Inputs'!$C$25,BN$4&lt;EDATE('APA Inputs'!$C$25,N('APA Inputs'!$D$25))),'APA Inputs'!$J$25,0)+IF(N('APA Inputs'!$H$25)&gt;0,IF(BN$4=EDATE('APA Inputs'!$C$25,'APA Inputs'!$H$25-1),N('APA Inputs'!$G$25),0),0))*IF('APA Inputs'!$I$25="",1,'APA Inputs'!$I$25))</f>
        <v>0</v>
      </c>
      <c r="BO10" s="425" t="n">
        <f aca="false">IF('APA Inputs'!$C$25="",0,(IF(AND(BO$4&gt;='APA Inputs'!$C$25,BO$4&lt;EDATE('APA Inputs'!$C$25,N('APA Inputs'!$D$25))),'APA Inputs'!$J$25,0)+IF(N('APA Inputs'!$H$25)&gt;0,IF(BO$4=EDATE('APA Inputs'!$C$25,'APA Inputs'!$H$25-1),N('APA Inputs'!$G$25),0),0))*IF('APA Inputs'!$I$25="",1,'APA Inputs'!$I$25))</f>
        <v>0</v>
      </c>
      <c r="BP10" s="425" t="n">
        <f aca="false">IF('APA Inputs'!$C$25="",0,(IF(AND(BP$4&gt;='APA Inputs'!$C$25,BP$4&lt;EDATE('APA Inputs'!$C$25,N('APA Inputs'!$D$25))),'APA Inputs'!$J$25,0)+IF(N('APA Inputs'!$H$25)&gt;0,IF(BP$4=EDATE('APA Inputs'!$C$25,'APA Inputs'!$H$25-1),N('APA Inputs'!$G$25),0),0))*IF('APA Inputs'!$I$25="",1,'APA Inputs'!$I$25))</f>
        <v>0</v>
      </c>
      <c r="BQ10" s="425" t="n">
        <f aca="false">IF('APA Inputs'!$C$25="",0,(IF(AND(BQ$4&gt;='APA Inputs'!$C$25,BQ$4&lt;EDATE('APA Inputs'!$C$25,N('APA Inputs'!$D$25))),'APA Inputs'!$J$25,0)+IF(N('APA Inputs'!$H$25)&gt;0,IF(BQ$4=EDATE('APA Inputs'!$C$25,'APA Inputs'!$H$25-1),N('APA Inputs'!$G$25),0),0))*IF('APA Inputs'!$I$25="",1,'APA Inputs'!$I$25))</f>
        <v>0</v>
      </c>
      <c r="BR10" s="425" t="n">
        <f aca="false">IF('APA Inputs'!$C$25="",0,(IF(AND(BR$4&gt;='APA Inputs'!$C$25,BR$4&lt;EDATE('APA Inputs'!$C$25,N('APA Inputs'!$D$25))),'APA Inputs'!$J$25,0)+IF(N('APA Inputs'!$H$25)&gt;0,IF(BR$4=EDATE('APA Inputs'!$C$25,'APA Inputs'!$H$25-1),N('APA Inputs'!$G$25),0),0))*IF('APA Inputs'!$I$25="",1,'APA Inputs'!$I$25))</f>
        <v>0</v>
      </c>
      <c r="BS10" s="425" t="n">
        <f aca="false">IF('APA Inputs'!$C$25="",0,(IF(AND(BS$4&gt;='APA Inputs'!$C$25,BS$4&lt;EDATE('APA Inputs'!$C$25,N('APA Inputs'!$D$25))),'APA Inputs'!$J$25,0)+IF(N('APA Inputs'!$H$25)&gt;0,IF(BS$4=EDATE('APA Inputs'!$C$25,'APA Inputs'!$H$25-1),N('APA Inputs'!$G$25),0),0))*IF('APA Inputs'!$I$25="",1,'APA Inputs'!$I$25))</f>
        <v>0</v>
      </c>
      <c r="BT10" s="425" t="n">
        <f aca="false">IF('APA Inputs'!$C$25="",0,(IF(AND(BT$4&gt;='APA Inputs'!$C$25,BT$4&lt;EDATE('APA Inputs'!$C$25,N('APA Inputs'!$D$25))),'APA Inputs'!$J$25,0)+IF(N('APA Inputs'!$H$25)&gt;0,IF(BT$4=EDATE('APA Inputs'!$C$25,'APA Inputs'!$H$25-1),N('APA Inputs'!$G$25),0),0))*IF('APA Inputs'!$I$25="",1,'APA Inputs'!$I$25))</f>
        <v>0</v>
      </c>
      <c r="BU10" s="425" t="n">
        <f aca="false">IF('APA Inputs'!$C$25="",0,(IF(AND(BU$4&gt;='APA Inputs'!$C$25,BU$4&lt;EDATE('APA Inputs'!$C$25,N('APA Inputs'!$D$25))),'APA Inputs'!$J$25,0)+IF(N('APA Inputs'!$H$25)&gt;0,IF(BU$4=EDATE('APA Inputs'!$C$25,'APA Inputs'!$H$25-1),N('APA Inputs'!$G$25),0),0))*IF('APA Inputs'!$I$25="",1,'APA Inputs'!$I$25))</f>
        <v>0</v>
      </c>
      <c r="BV10" s="425" t="n">
        <f aca="false">IF('APA Inputs'!$C$25="",0,(IF(AND(BV$4&gt;='APA Inputs'!$C$25,BV$4&lt;EDATE('APA Inputs'!$C$25,N('APA Inputs'!$D$25))),'APA Inputs'!$J$25,0)+IF(N('APA Inputs'!$H$25)&gt;0,IF(BV$4=EDATE('APA Inputs'!$C$25,'APA Inputs'!$H$25-1),N('APA Inputs'!$G$25),0),0))*IF('APA Inputs'!$I$25="",1,'APA Inputs'!$I$25))</f>
        <v>0</v>
      </c>
      <c r="BW10" s="425" t="n">
        <f aca="false">IF('APA Inputs'!$C$25="",0,(IF(AND(BW$4&gt;='APA Inputs'!$C$25,BW$4&lt;EDATE('APA Inputs'!$C$25,N('APA Inputs'!$D$25))),'APA Inputs'!$J$25,0)+IF(N('APA Inputs'!$H$25)&gt;0,IF(BW$4=EDATE('APA Inputs'!$C$25,'APA Inputs'!$H$25-1),N('APA Inputs'!$G$25),0),0))*IF('APA Inputs'!$I$25="",1,'APA Inputs'!$I$25))</f>
        <v>0</v>
      </c>
      <c r="BX10" s="425" t="n">
        <f aca="false">IF('APA Inputs'!$C$25="",0,(IF(AND(BX$4&gt;='APA Inputs'!$C$25,BX$4&lt;EDATE('APA Inputs'!$C$25,N('APA Inputs'!$D$25))),'APA Inputs'!$J$25,0)+IF(N('APA Inputs'!$H$25)&gt;0,IF(BX$4=EDATE('APA Inputs'!$C$25,'APA Inputs'!$H$25-1),N('APA Inputs'!$G$25),0),0))*IF('APA Inputs'!$I$25="",1,'APA Inputs'!$I$25))</f>
        <v>0</v>
      </c>
      <c r="BY10" s="425" t="n">
        <f aca="false">IF('APA Inputs'!$C$25="",0,(IF(AND(BY$4&gt;='APA Inputs'!$C$25,BY$4&lt;EDATE('APA Inputs'!$C$25,N('APA Inputs'!$D$25))),'APA Inputs'!$J$25,0)+IF(N('APA Inputs'!$H$25)&gt;0,IF(BY$4=EDATE('APA Inputs'!$C$25,'APA Inputs'!$H$25-1),N('APA Inputs'!$G$25),0),0))*IF('APA Inputs'!$I$25="",1,'APA Inputs'!$I$25))</f>
        <v>0</v>
      </c>
      <c r="BZ10" s="425" t="n">
        <f aca="false">IF('APA Inputs'!$C$25="",0,(IF(AND(BZ$4&gt;='APA Inputs'!$C$25,BZ$4&lt;EDATE('APA Inputs'!$C$25,N('APA Inputs'!$D$25))),'APA Inputs'!$J$25,0)+IF(N('APA Inputs'!$H$25)&gt;0,IF(BZ$4=EDATE('APA Inputs'!$C$25,'APA Inputs'!$H$25-1),N('APA Inputs'!$G$25),0),0))*IF('APA Inputs'!$I$25="",1,'APA Inputs'!$I$25))</f>
        <v>0</v>
      </c>
      <c r="CA10" s="425" t="n">
        <f aca="false">IF('APA Inputs'!$C$25="",0,(IF(AND(CA$4&gt;='APA Inputs'!$C$25,CA$4&lt;EDATE('APA Inputs'!$C$25,N('APA Inputs'!$D$25))),'APA Inputs'!$J$25,0)+IF(N('APA Inputs'!$H$25)&gt;0,IF(CA$4=EDATE('APA Inputs'!$C$25,'APA Inputs'!$H$25-1),N('APA Inputs'!$G$25),0),0))*IF('APA Inputs'!$I$25="",1,'APA Inputs'!$I$25))</f>
        <v>0</v>
      </c>
      <c r="CB10" s="425" t="n">
        <f aca="false">IF('APA Inputs'!$C$25="",0,(IF(AND(CB$4&gt;='APA Inputs'!$C$25,CB$4&lt;EDATE('APA Inputs'!$C$25,N('APA Inputs'!$D$25))),'APA Inputs'!$J$25,0)+IF(N('APA Inputs'!$H$25)&gt;0,IF(CB$4=EDATE('APA Inputs'!$C$25,'APA Inputs'!$H$25-1),N('APA Inputs'!$G$25),0),0))*IF('APA Inputs'!$I$25="",1,'APA Inputs'!$I$25))</f>
        <v>0</v>
      </c>
      <c r="CC10" s="425" t="n">
        <f aca="false">IF('APA Inputs'!$C$25="",0,(IF(AND(CC$4&gt;='APA Inputs'!$C$25,CC$4&lt;EDATE('APA Inputs'!$C$25,N('APA Inputs'!$D$25))),'APA Inputs'!$J$25,0)+IF(N('APA Inputs'!$H$25)&gt;0,IF(CC$4=EDATE('APA Inputs'!$C$25,'APA Inputs'!$H$25-1),N('APA Inputs'!$G$25),0),0))*IF('APA Inputs'!$I$25="",1,'APA Inputs'!$I$25))</f>
        <v>0</v>
      </c>
      <c r="CD10" s="425" t="n">
        <f aca="false">IF('APA Inputs'!$C$25="",0,(IF(AND(CD$4&gt;='APA Inputs'!$C$25,CD$4&lt;EDATE('APA Inputs'!$C$25,N('APA Inputs'!$D$25))),'APA Inputs'!$J$25,0)+IF(N('APA Inputs'!$H$25)&gt;0,IF(CD$4=EDATE('APA Inputs'!$C$25,'APA Inputs'!$H$25-1),N('APA Inputs'!$G$25),0),0))*IF('APA Inputs'!$I$25="",1,'APA Inputs'!$I$25))</f>
        <v>0</v>
      </c>
      <c r="CE10" s="425" t="n">
        <f aca="false">IF('APA Inputs'!$C$25="",0,(IF(AND(CE$4&gt;='APA Inputs'!$C$25,CE$4&lt;EDATE('APA Inputs'!$C$25,N('APA Inputs'!$D$25))),'APA Inputs'!$J$25,0)+IF(N('APA Inputs'!$H$25)&gt;0,IF(CE$4=EDATE('APA Inputs'!$C$25,'APA Inputs'!$H$25-1),N('APA Inputs'!$G$25),0),0))*IF('APA Inputs'!$I$25="",1,'APA Inputs'!$I$25))</f>
        <v>0</v>
      </c>
      <c r="CF10" s="425" t="n">
        <f aca="false">IF('APA Inputs'!$C$25="",0,(IF(AND(CF$4&gt;='APA Inputs'!$C$25,CF$4&lt;EDATE('APA Inputs'!$C$25,N('APA Inputs'!$D$25))),'APA Inputs'!$J$25,0)+IF(N('APA Inputs'!$H$25)&gt;0,IF(CF$4=EDATE('APA Inputs'!$C$25,'APA Inputs'!$H$25-1),N('APA Inputs'!$G$25),0),0))*IF('APA Inputs'!$I$25="",1,'APA Inputs'!$I$25))</f>
        <v>0</v>
      </c>
      <c r="CG10" s="425" t="n">
        <f aca="false">IF('APA Inputs'!$C$25="",0,(IF(AND(CG$4&gt;='APA Inputs'!$C$25,CG$4&lt;EDATE('APA Inputs'!$C$25,N('APA Inputs'!$D$25))),'APA Inputs'!$J$25,0)+IF(N('APA Inputs'!$H$25)&gt;0,IF(CG$4=EDATE('APA Inputs'!$C$25,'APA Inputs'!$H$25-1),N('APA Inputs'!$G$25),0),0))*IF('APA Inputs'!$I$25="",1,'APA Inputs'!$I$25))</f>
        <v>0</v>
      </c>
      <c r="CH10" s="425" t="n">
        <f aca="false">IF('APA Inputs'!$C$25="",0,(IF(AND(CH$4&gt;='APA Inputs'!$C$25,CH$4&lt;EDATE('APA Inputs'!$C$25,N('APA Inputs'!$D$25))),'APA Inputs'!$J$25,0)+IF(N('APA Inputs'!$H$25)&gt;0,IF(CH$4=EDATE('APA Inputs'!$C$25,'APA Inputs'!$H$25-1),N('APA Inputs'!$G$25),0),0))*IF('APA Inputs'!$I$25="",1,'APA Inputs'!$I$25))</f>
        <v>0</v>
      </c>
      <c r="CI10" s="425" t="n">
        <f aca="false">IF('APA Inputs'!$C$25="",0,(IF(AND(CI$4&gt;='APA Inputs'!$C$25,CI$4&lt;EDATE('APA Inputs'!$C$25,N('APA Inputs'!$D$25))),'APA Inputs'!$J$25,0)+IF(N('APA Inputs'!$H$25)&gt;0,IF(CI$4=EDATE('APA Inputs'!$C$25,'APA Inputs'!$H$25-1),N('APA Inputs'!$G$25),0),0))*IF('APA Inputs'!$I$25="",1,'APA Inputs'!$I$25))</f>
        <v>0</v>
      </c>
      <c r="CJ10" s="425" t="n">
        <f aca="false">IF('APA Inputs'!$C$25="",0,(IF(AND(CJ$4&gt;='APA Inputs'!$C$25,CJ$4&lt;EDATE('APA Inputs'!$C$25,N('APA Inputs'!$D$25))),'APA Inputs'!$J$25,0)+IF(N('APA Inputs'!$H$25)&gt;0,IF(CJ$4=EDATE('APA Inputs'!$C$25,'APA Inputs'!$H$25-1),N('APA Inputs'!$G$25),0),0))*IF('APA Inputs'!$I$25="",1,'APA Inputs'!$I$25))</f>
        <v>0</v>
      </c>
      <c r="CK10" s="425" t="n">
        <f aca="false">IF('APA Inputs'!$C$25="",0,(IF(AND(CK$4&gt;='APA Inputs'!$C$25,CK$4&lt;EDATE('APA Inputs'!$C$25,N('APA Inputs'!$D$25))),'APA Inputs'!$J$25,0)+IF(N('APA Inputs'!$H$25)&gt;0,IF(CK$4=EDATE('APA Inputs'!$C$25,'APA Inputs'!$H$25-1),N('APA Inputs'!$G$25),0),0))*IF('APA Inputs'!$I$25="",1,'APA Inputs'!$I$25))</f>
        <v>0</v>
      </c>
      <c r="CL10" s="425" t="n">
        <f aca="false">IF('APA Inputs'!$C$25="",0,(IF(AND(CL$4&gt;='APA Inputs'!$C$25,CL$4&lt;EDATE('APA Inputs'!$C$25,N('APA Inputs'!$D$25))),'APA Inputs'!$J$25,0)+IF(N('APA Inputs'!$H$25)&gt;0,IF(CL$4=EDATE('APA Inputs'!$C$25,'APA Inputs'!$H$25-1),N('APA Inputs'!$G$25),0),0))*IF('APA Inputs'!$I$25="",1,'APA Inputs'!$I$25))</f>
        <v>0</v>
      </c>
      <c r="CM10" s="425" t="n">
        <f aca="false">IF('APA Inputs'!$C$25="",0,(IF(AND(CM$4&gt;='APA Inputs'!$C$25,CM$4&lt;EDATE('APA Inputs'!$C$25,N('APA Inputs'!$D$25))),'APA Inputs'!$J$25,0)+IF(N('APA Inputs'!$H$25)&gt;0,IF(CM$4=EDATE('APA Inputs'!$C$25,'APA Inputs'!$H$25-1),N('APA Inputs'!$G$25),0),0))*IF('APA Inputs'!$I$25="",1,'APA Inputs'!$I$25))</f>
        <v>0</v>
      </c>
      <c r="CN10" s="425" t="n">
        <f aca="false">IF('APA Inputs'!$C$25="",0,(IF(AND(CN$4&gt;='APA Inputs'!$C$25,CN$4&lt;EDATE('APA Inputs'!$C$25,N('APA Inputs'!$D$25))),'APA Inputs'!$J$25,0)+IF(N('APA Inputs'!$H$25)&gt;0,IF(CN$4=EDATE('APA Inputs'!$C$25,'APA Inputs'!$H$25-1),N('APA Inputs'!$G$25),0),0))*IF('APA Inputs'!$I$25="",1,'APA Inputs'!$I$25))</f>
        <v>0</v>
      </c>
      <c r="CO10" s="425" t="n">
        <f aca="false">IF('APA Inputs'!$C$25="",0,(IF(AND(CO$4&gt;='APA Inputs'!$C$25,CO$4&lt;EDATE('APA Inputs'!$C$25,N('APA Inputs'!$D$25))),'APA Inputs'!$J$25,0)+IF(N('APA Inputs'!$H$25)&gt;0,IF(CO$4=EDATE('APA Inputs'!$C$25,'APA Inputs'!$H$25-1),N('APA Inputs'!$G$25),0),0))*IF('APA Inputs'!$I$25="",1,'APA Inputs'!$I$25))</f>
        <v>0</v>
      </c>
      <c r="CP10" s="425" t="n">
        <f aca="false">IF('APA Inputs'!$C$25="",0,(IF(AND(CP$4&gt;='APA Inputs'!$C$25,CP$4&lt;EDATE('APA Inputs'!$C$25,N('APA Inputs'!$D$25))),'APA Inputs'!$J$25,0)+IF(N('APA Inputs'!$H$25)&gt;0,IF(CP$4=EDATE('APA Inputs'!$C$25,'APA Inputs'!$H$25-1),N('APA Inputs'!$G$25),0),0))*IF('APA Inputs'!$I$25="",1,'APA Inputs'!$I$25))</f>
        <v>0</v>
      </c>
      <c r="CQ10" s="425" t="n">
        <f aca="false">IF('APA Inputs'!$C$25="",0,(IF(AND(CQ$4&gt;='APA Inputs'!$C$25,CQ$4&lt;EDATE('APA Inputs'!$C$25,N('APA Inputs'!$D$25))),'APA Inputs'!$J$25,0)+IF(N('APA Inputs'!$H$25)&gt;0,IF(CQ$4=EDATE('APA Inputs'!$C$25,'APA Inputs'!$H$25-1),N('APA Inputs'!$G$25),0),0))*IF('APA Inputs'!$I$25="",1,'APA Inputs'!$I$25))</f>
        <v>0</v>
      </c>
      <c r="CR10" s="425" t="n">
        <f aca="false">IF('APA Inputs'!$C$25="",0,(IF(AND(CR$4&gt;='APA Inputs'!$C$25,CR$4&lt;EDATE('APA Inputs'!$C$25,N('APA Inputs'!$D$25))),'APA Inputs'!$J$25,0)+IF(N('APA Inputs'!$H$25)&gt;0,IF(CR$4=EDATE('APA Inputs'!$C$25,'APA Inputs'!$H$25-1),N('APA Inputs'!$G$25),0),0))*IF('APA Inputs'!$I$25="",1,'APA Inputs'!$I$25))</f>
        <v>0</v>
      </c>
      <c r="CS10" s="425" t="n">
        <f aca="false">IF('APA Inputs'!$C$25="",0,(IF(AND(CS$4&gt;='APA Inputs'!$C$25,CS$4&lt;EDATE('APA Inputs'!$C$25,N('APA Inputs'!$D$25))),'APA Inputs'!$J$25,0)+IF(N('APA Inputs'!$H$25)&gt;0,IF(CS$4=EDATE('APA Inputs'!$C$25,'APA Inputs'!$H$25-1),N('APA Inputs'!$G$25),0),0))*IF('APA Inputs'!$I$25="",1,'APA Inputs'!$I$25))</f>
        <v>0</v>
      </c>
      <c r="CT10" s="425" t="n">
        <f aca="false">IF('APA Inputs'!$C$25="",0,(IF(AND(CT$4&gt;='APA Inputs'!$C$25,CT$4&lt;EDATE('APA Inputs'!$C$25,N('APA Inputs'!$D$25))),'APA Inputs'!$J$25,0)+IF(N('APA Inputs'!$H$25)&gt;0,IF(CT$4=EDATE('APA Inputs'!$C$25,'APA Inputs'!$H$25-1),N('APA Inputs'!$G$25),0),0))*IF('APA Inputs'!$I$25="",1,'APA Inputs'!$I$25))</f>
        <v>0</v>
      </c>
      <c r="CU10" s="425" t="n">
        <f aca="false">IF('APA Inputs'!$C$25="",0,(IF(AND(CU$4&gt;='APA Inputs'!$C$25,CU$4&lt;EDATE('APA Inputs'!$C$25,N('APA Inputs'!$D$25))),'APA Inputs'!$J$25,0)+IF(N('APA Inputs'!$H$25)&gt;0,IF(CU$4=EDATE('APA Inputs'!$C$25,'APA Inputs'!$H$25-1),N('APA Inputs'!$G$25),0),0))*IF('APA Inputs'!$I$25="",1,'APA Inputs'!$I$25))</f>
        <v>0</v>
      </c>
      <c r="CV10" s="425" t="n">
        <f aca="false">IF('APA Inputs'!$C$25="",0,(IF(AND(CV$4&gt;='APA Inputs'!$C$25,CV$4&lt;EDATE('APA Inputs'!$C$25,N('APA Inputs'!$D$25))),'APA Inputs'!$J$25,0)+IF(N('APA Inputs'!$H$25)&gt;0,IF(CV$4=EDATE('APA Inputs'!$C$25,'APA Inputs'!$H$25-1),N('APA Inputs'!$G$25),0),0))*IF('APA Inputs'!$I$25="",1,'APA Inputs'!$I$25))</f>
        <v>0</v>
      </c>
      <c r="CW10" s="425" t="n">
        <f aca="false">IF('APA Inputs'!$C$25="",0,(IF(AND(CW$4&gt;='APA Inputs'!$C$25,CW$4&lt;EDATE('APA Inputs'!$C$25,N('APA Inputs'!$D$25))),'APA Inputs'!$J$25,0)+IF(N('APA Inputs'!$H$25)&gt;0,IF(CW$4=EDATE('APA Inputs'!$C$25,'APA Inputs'!$H$25-1),N('APA Inputs'!$G$25),0),0))*IF('APA Inputs'!$I$25="",1,'APA Inputs'!$I$25))</f>
        <v>0</v>
      </c>
      <c r="CX10" s="425" t="n">
        <f aca="false">IF('APA Inputs'!$C$25="",0,(IF(AND(CX$4&gt;='APA Inputs'!$C$25,CX$4&lt;EDATE('APA Inputs'!$C$25,N('APA Inputs'!$D$25))),'APA Inputs'!$J$25,0)+IF(N('APA Inputs'!$H$25)&gt;0,IF(CX$4=EDATE('APA Inputs'!$C$25,'APA Inputs'!$H$25-1),N('APA Inputs'!$G$25),0),0))*IF('APA Inputs'!$I$25="",1,'APA Inputs'!$I$25))</f>
        <v>0</v>
      </c>
      <c r="CY10" s="425" t="n">
        <f aca="false">IF('APA Inputs'!$C$25="",0,(IF(AND(CY$4&gt;='APA Inputs'!$C$25,CY$4&lt;EDATE('APA Inputs'!$C$25,N('APA Inputs'!$D$25))),'APA Inputs'!$J$25,0)+IF(N('APA Inputs'!$H$25)&gt;0,IF(CY$4=EDATE('APA Inputs'!$C$25,'APA Inputs'!$H$25-1),N('APA Inputs'!$G$25),0),0))*IF('APA Inputs'!$I$25="",1,'APA Inputs'!$I$25))</f>
        <v>0</v>
      </c>
      <c r="CZ10" s="425" t="n">
        <f aca="false">IF('APA Inputs'!$C$25="",0,(IF(AND(CZ$4&gt;='APA Inputs'!$C$25,CZ$4&lt;EDATE('APA Inputs'!$C$25,N('APA Inputs'!$D$25))),'APA Inputs'!$J$25,0)+IF(N('APA Inputs'!$H$25)&gt;0,IF(CZ$4=EDATE('APA Inputs'!$C$25,'APA Inputs'!$H$25-1),N('APA Inputs'!$G$25),0),0))*IF('APA Inputs'!$I$25="",1,'APA Inputs'!$I$25))</f>
        <v>0</v>
      </c>
      <c r="DA10" s="425" t="n">
        <f aca="false">IF('APA Inputs'!$C$25="",0,(IF(AND(DA$4&gt;='APA Inputs'!$C$25,DA$4&lt;EDATE('APA Inputs'!$C$25,N('APA Inputs'!$D$25))),'APA Inputs'!$J$25,0)+IF(N('APA Inputs'!$H$25)&gt;0,IF(DA$4=EDATE('APA Inputs'!$C$25,'APA Inputs'!$H$25-1),N('APA Inputs'!$G$25),0),0))*IF('APA Inputs'!$I$25="",1,'APA Inputs'!$I$25))</f>
        <v>0</v>
      </c>
      <c r="DB10" s="425" t="n">
        <f aca="false">IF('APA Inputs'!$C$25="",0,(IF(AND(DB$4&gt;='APA Inputs'!$C$25,DB$4&lt;EDATE('APA Inputs'!$C$25,N('APA Inputs'!$D$25))),'APA Inputs'!$J$25,0)+IF(N('APA Inputs'!$H$25)&gt;0,IF(DB$4=EDATE('APA Inputs'!$C$25,'APA Inputs'!$H$25-1),N('APA Inputs'!$G$25),0),0))*IF('APA Inputs'!$I$25="",1,'APA Inputs'!$I$25))</f>
        <v>0</v>
      </c>
      <c r="DC10" s="425" t="n">
        <f aca="false">IF('APA Inputs'!$C$25="",0,(IF(AND(DC$4&gt;='APA Inputs'!$C$25,DC$4&lt;EDATE('APA Inputs'!$C$25,N('APA Inputs'!$D$25))),'APA Inputs'!$J$25,0)+IF(N('APA Inputs'!$H$25)&gt;0,IF(DC$4=EDATE('APA Inputs'!$C$25,'APA Inputs'!$H$25-1),N('APA Inputs'!$G$25),0),0))*IF('APA Inputs'!$I$25="",1,'APA Inputs'!$I$25))</f>
        <v>0</v>
      </c>
      <c r="DD10" s="425" t="n">
        <f aca="false">IF('APA Inputs'!$C$25="",0,(IF(AND(DD$4&gt;='APA Inputs'!$C$25,DD$4&lt;EDATE('APA Inputs'!$C$25,N('APA Inputs'!$D$25))),'APA Inputs'!$J$25,0)+IF(N('APA Inputs'!$H$25)&gt;0,IF(DD$4=EDATE('APA Inputs'!$C$25,'APA Inputs'!$H$25-1),N('APA Inputs'!$G$25),0),0))*IF('APA Inputs'!$I$25="",1,'APA Inputs'!$I$25))</f>
        <v>0</v>
      </c>
      <c r="DE10" s="425" t="n">
        <f aca="false">IF('APA Inputs'!$C$25="",0,(IF(AND(DE$4&gt;='APA Inputs'!$C$25,DE$4&lt;EDATE('APA Inputs'!$C$25,N('APA Inputs'!$D$25))),'APA Inputs'!$J$25,0)+IF(N('APA Inputs'!$H$25)&gt;0,IF(DE$4=EDATE('APA Inputs'!$C$25,'APA Inputs'!$H$25-1),N('APA Inputs'!$G$25),0),0))*IF('APA Inputs'!$I$25="",1,'APA Inputs'!$I$25))</f>
        <v>0</v>
      </c>
    </row>
    <row r="11" customFormat="false" ht="15" hidden="false" customHeight="true" outlineLevel="0" collapsed="false">
      <c r="A11" s="1" t="str">
        <f aca="false">'APA Inputs'!A26</f>
        <v>Reseda (from Jun 2027)</v>
      </c>
      <c r="B11" s="425" t="n">
        <f aca="false">IF('APA Inputs'!$C$26="",0,(IF(AND(B$4&gt;='APA Inputs'!$C$26,B$4&lt;EDATE('APA Inputs'!$C$26,N('APA Inputs'!$D$26))),'APA Inputs'!$J$26,0)+IF(N('APA Inputs'!$H$26)&gt;0,IF(B$4=EDATE('APA Inputs'!$C$26,'APA Inputs'!$H$26-1),N('APA Inputs'!$G$26),0),0))*IF('APA Inputs'!$I$26="",1,'APA Inputs'!$I$26))</f>
        <v>0</v>
      </c>
      <c r="C11" s="425" t="n">
        <f aca="false">IF('APA Inputs'!$C$26="",0,(IF(AND(C$4&gt;='APA Inputs'!$C$26,C$4&lt;EDATE('APA Inputs'!$C$26,N('APA Inputs'!$D$26))),'APA Inputs'!$J$26,0)+IF(N('APA Inputs'!$H$26)&gt;0,IF(C$4=EDATE('APA Inputs'!$C$26,'APA Inputs'!$H$26-1),N('APA Inputs'!$G$26),0),0))*IF('APA Inputs'!$I$26="",1,'APA Inputs'!$I$26))</f>
        <v>0</v>
      </c>
      <c r="D11" s="425" t="n">
        <f aca="false">IF('APA Inputs'!$C$26="",0,(IF(AND(D$4&gt;='APA Inputs'!$C$26,D$4&lt;EDATE('APA Inputs'!$C$26,N('APA Inputs'!$D$26))),'APA Inputs'!$J$26,0)+IF(N('APA Inputs'!$H$26)&gt;0,IF(D$4=EDATE('APA Inputs'!$C$26,'APA Inputs'!$H$26-1),N('APA Inputs'!$G$26),0),0))*IF('APA Inputs'!$I$26="",1,'APA Inputs'!$I$26))</f>
        <v>0</v>
      </c>
      <c r="E11" s="425" t="n">
        <f aca="false">IF('APA Inputs'!$C$26="",0,(IF(AND(E$4&gt;='APA Inputs'!$C$26,E$4&lt;EDATE('APA Inputs'!$C$26,N('APA Inputs'!$D$26))),'APA Inputs'!$J$26,0)+IF(N('APA Inputs'!$H$26)&gt;0,IF(E$4=EDATE('APA Inputs'!$C$26,'APA Inputs'!$H$26-1),N('APA Inputs'!$G$26),0),0))*IF('APA Inputs'!$I$26="",1,'APA Inputs'!$I$26))</f>
        <v>0</v>
      </c>
      <c r="F11" s="425" t="n">
        <f aca="false">IF('APA Inputs'!$C$26="",0,(IF(AND(F$4&gt;='APA Inputs'!$C$26,F$4&lt;EDATE('APA Inputs'!$C$26,N('APA Inputs'!$D$26))),'APA Inputs'!$J$26,0)+IF(N('APA Inputs'!$H$26)&gt;0,IF(F$4=EDATE('APA Inputs'!$C$26,'APA Inputs'!$H$26-1),N('APA Inputs'!$G$26),0),0))*IF('APA Inputs'!$I$26="",1,'APA Inputs'!$I$26))</f>
        <v>0</v>
      </c>
      <c r="G11" s="425" t="n">
        <f aca="false">IF('APA Inputs'!$C$26="",0,(IF(AND(G$4&gt;='APA Inputs'!$C$26,G$4&lt;EDATE('APA Inputs'!$C$26,N('APA Inputs'!$D$26))),'APA Inputs'!$J$26,0)+IF(N('APA Inputs'!$H$26)&gt;0,IF(G$4=EDATE('APA Inputs'!$C$26,'APA Inputs'!$H$26-1),N('APA Inputs'!$G$26),0),0))*IF('APA Inputs'!$I$26="",1,'APA Inputs'!$I$26))</f>
        <v>0</v>
      </c>
      <c r="H11" s="425" t="n">
        <f aca="false">IF('APA Inputs'!$C$26="",0,(IF(AND(H$4&gt;='APA Inputs'!$C$26,H$4&lt;EDATE('APA Inputs'!$C$26,N('APA Inputs'!$D$26))),'APA Inputs'!$J$26,0)+IF(N('APA Inputs'!$H$26)&gt;0,IF(H$4=EDATE('APA Inputs'!$C$26,'APA Inputs'!$H$26-1),N('APA Inputs'!$G$26),0),0))*IF('APA Inputs'!$I$26="",1,'APA Inputs'!$I$26))</f>
        <v>0</v>
      </c>
      <c r="I11" s="425" t="n">
        <f aca="false">IF('APA Inputs'!$C$26="",0,(IF(AND(I$4&gt;='APA Inputs'!$C$26,I$4&lt;EDATE('APA Inputs'!$C$26,N('APA Inputs'!$D$26))),'APA Inputs'!$J$26,0)+IF(N('APA Inputs'!$H$26)&gt;0,IF(I$4=EDATE('APA Inputs'!$C$26,'APA Inputs'!$H$26-1),N('APA Inputs'!$G$26),0),0))*IF('APA Inputs'!$I$26="",1,'APA Inputs'!$I$26))</f>
        <v>0</v>
      </c>
      <c r="J11" s="425" t="n">
        <f aca="false">IF('APA Inputs'!$C$26="",0,(IF(AND(J$4&gt;='APA Inputs'!$C$26,J$4&lt;EDATE('APA Inputs'!$C$26,N('APA Inputs'!$D$26))),'APA Inputs'!$J$26,0)+IF(N('APA Inputs'!$H$26)&gt;0,IF(J$4=EDATE('APA Inputs'!$C$26,'APA Inputs'!$H$26-1),N('APA Inputs'!$G$26),0),0))*IF('APA Inputs'!$I$26="",1,'APA Inputs'!$I$26))</f>
        <v>0</v>
      </c>
      <c r="K11" s="425" t="n">
        <f aca="false">IF('APA Inputs'!$C$26="",0,(IF(AND(K$4&gt;='APA Inputs'!$C$26,K$4&lt;EDATE('APA Inputs'!$C$26,N('APA Inputs'!$D$26))),'APA Inputs'!$J$26,0)+IF(N('APA Inputs'!$H$26)&gt;0,IF(K$4=EDATE('APA Inputs'!$C$26,'APA Inputs'!$H$26-1),N('APA Inputs'!$G$26),0),0))*IF('APA Inputs'!$I$26="",1,'APA Inputs'!$I$26))</f>
        <v>0</v>
      </c>
      <c r="L11" s="425" t="n">
        <f aca="false">IF('APA Inputs'!$C$26="",0,(IF(AND(L$4&gt;='APA Inputs'!$C$26,L$4&lt;EDATE('APA Inputs'!$C$26,N('APA Inputs'!$D$26))),'APA Inputs'!$J$26,0)+IF(N('APA Inputs'!$H$26)&gt;0,IF(L$4=EDATE('APA Inputs'!$C$26,'APA Inputs'!$H$26-1),N('APA Inputs'!$G$26),0),0))*IF('APA Inputs'!$I$26="",1,'APA Inputs'!$I$26))</f>
        <v>0</v>
      </c>
      <c r="M11" s="425" t="n">
        <f aca="false">IF('APA Inputs'!$C$26="",0,(IF(AND(M$4&gt;='APA Inputs'!$C$26,M$4&lt;EDATE('APA Inputs'!$C$26,N('APA Inputs'!$D$26))),'APA Inputs'!$J$26,0)+IF(N('APA Inputs'!$H$26)&gt;0,IF(M$4=EDATE('APA Inputs'!$C$26,'APA Inputs'!$H$26-1),N('APA Inputs'!$G$26),0),0))*IF('APA Inputs'!$I$26="",1,'APA Inputs'!$I$26))</f>
        <v>0</v>
      </c>
      <c r="N11" s="425" t="n">
        <f aca="false">IF('APA Inputs'!$C$26="",0,(IF(AND(N$4&gt;='APA Inputs'!$C$26,N$4&lt;EDATE('APA Inputs'!$C$26,N('APA Inputs'!$D$26))),'APA Inputs'!$J$26,0)+IF(N('APA Inputs'!$H$26)&gt;0,IF(N$4=EDATE('APA Inputs'!$C$26,'APA Inputs'!$H$26-1),N('APA Inputs'!$G$26),0),0))*IF('APA Inputs'!$I$26="",1,'APA Inputs'!$I$26))</f>
        <v>0</v>
      </c>
      <c r="O11" s="425" t="n">
        <f aca="false">IF('APA Inputs'!$C$26="",0,(IF(AND(O$4&gt;='APA Inputs'!$C$26,O$4&lt;EDATE('APA Inputs'!$C$26,N('APA Inputs'!$D$26))),'APA Inputs'!$J$26,0)+IF(N('APA Inputs'!$H$26)&gt;0,IF(O$4=EDATE('APA Inputs'!$C$26,'APA Inputs'!$H$26-1),N('APA Inputs'!$G$26),0),0))*IF('APA Inputs'!$I$26="",1,'APA Inputs'!$I$26))</f>
        <v>0</v>
      </c>
      <c r="P11" s="425" t="n">
        <f aca="false">IF('APA Inputs'!$C$26="",0,(IF(AND(P$4&gt;='APA Inputs'!$C$26,P$4&lt;EDATE('APA Inputs'!$C$26,N('APA Inputs'!$D$26))),'APA Inputs'!$J$26,0)+IF(N('APA Inputs'!$H$26)&gt;0,IF(P$4=EDATE('APA Inputs'!$C$26,'APA Inputs'!$H$26-1),N('APA Inputs'!$G$26),0),0))*IF('APA Inputs'!$I$26="",1,'APA Inputs'!$I$26))</f>
        <v>0</v>
      </c>
      <c r="Q11" s="425" t="n">
        <f aca="false">IF('APA Inputs'!$C$26="",0,(IF(AND(Q$4&gt;='APA Inputs'!$C$26,Q$4&lt;EDATE('APA Inputs'!$C$26,N('APA Inputs'!$D$26))),'APA Inputs'!$J$26,0)+IF(N('APA Inputs'!$H$26)&gt;0,IF(Q$4=EDATE('APA Inputs'!$C$26,'APA Inputs'!$H$26-1),N('APA Inputs'!$G$26),0),0))*IF('APA Inputs'!$I$26="",1,'APA Inputs'!$I$26))</f>
        <v>0</v>
      </c>
      <c r="R11" s="425" t="n">
        <f aca="false">IF('APA Inputs'!$C$26="",0,(IF(AND(R$4&gt;='APA Inputs'!$C$26,R$4&lt;EDATE('APA Inputs'!$C$26,N('APA Inputs'!$D$26))),'APA Inputs'!$J$26,0)+IF(N('APA Inputs'!$H$26)&gt;0,IF(R$4=EDATE('APA Inputs'!$C$26,'APA Inputs'!$H$26-1),N('APA Inputs'!$G$26),0),0))*IF('APA Inputs'!$I$26="",1,'APA Inputs'!$I$26))</f>
        <v>0</v>
      </c>
      <c r="S11" s="425" t="n">
        <f aca="false">IF('APA Inputs'!$C$26="",0,(IF(AND(S$4&gt;='APA Inputs'!$C$26,S$4&lt;EDATE('APA Inputs'!$C$26,N('APA Inputs'!$D$26))),'APA Inputs'!$J$26,0)+IF(N('APA Inputs'!$H$26)&gt;0,IF(S$4=EDATE('APA Inputs'!$C$26,'APA Inputs'!$H$26-1),N('APA Inputs'!$G$26),0),0))*IF('APA Inputs'!$I$26="",1,'APA Inputs'!$I$26))</f>
        <v>4166</v>
      </c>
      <c r="T11" s="425" t="n">
        <f aca="false">IF('APA Inputs'!$C$26="",0,(IF(AND(T$4&gt;='APA Inputs'!$C$26,T$4&lt;EDATE('APA Inputs'!$C$26,N('APA Inputs'!$D$26))),'APA Inputs'!$J$26,0)+IF(N('APA Inputs'!$H$26)&gt;0,IF(T$4=EDATE('APA Inputs'!$C$26,'APA Inputs'!$H$26-1),N('APA Inputs'!$G$26),0),0))*IF('APA Inputs'!$I$26="",1,'APA Inputs'!$I$26))</f>
        <v>4166</v>
      </c>
      <c r="U11" s="425" t="n">
        <f aca="false">IF('APA Inputs'!$C$26="",0,(IF(AND(U$4&gt;='APA Inputs'!$C$26,U$4&lt;EDATE('APA Inputs'!$C$26,N('APA Inputs'!$D$26))),'APA Inputs'!$J$26,0)+IF(N('APA Inputs'!$H$26)&gt;0,IF(U$4=EDATE('APA Inputs'!$C$26,'APA Inputs'!$H$26-1),N('APA Inputs'!$G$26),0),0))*IF('APA Inputs'!$I$26="",1,'APA Inputs'!$I$26))</f>
        <v>4166</v>
      </c>
      <c r="V11" s="425" t="n">
        <f aca="false">IF('APA Inputs'!$C$26="",0,(IF(AND(V$4&gt;='APA Inputs'!$C$26,V$4&lt;EDATE('APA Inputs'!$C$26,N('APA Inputs'!$D$26))),'APA Inputs'!$J$26,0)+IF(N('APA Inputs'!$H$26)&gt;0,IF(V$4=EDATE('APA Inputs'!$C$26,'APA Inputs'!$H$26-1),N('APA Inputs'!$G$26),0),0))*IF('APA Inputs'!$I$26="",1,'APA Inputs'!$I$26))</f>
        <v>4166</v>
      </c>
      <c r="W11" s="425" t="n">
        <f aca="false">IF('APA Inputs'!$C$26="",0,(IF(AND(W$4&gt;='APA Inputs'!$C$26,W$4&lt;EDATE('APA Inputs'!$C$26,N('APA Inputs'!$D$26))),'APA Inputs'!$J$26,0)+IF(N('APA Inputs'!$H$26)&gt;0,IF(W$4=EDATE('APA Inputs'!$C$26,'APA Inputs'!$H$26-1),N('APA Inputs'!$G$26),0),0))*IF('APA Inputs'!$I$26="",1,'APA Inputs'!$I$26))</f>
        <v>4166</v>
      </c>
      <c r="X11" s="425" t="n">
        <f aca="false">IF('APA Inputs'!$C$26="",0,(IF(AND(X$4&gt;='APA Inputs'!$C$26,X$4&lt;EDATE('APA Inputs'!$C$26,N('APA Inputs'!$D$26))),'APA Inputs'!$J$26,0)+IF(N('APA Inputs'!$H$26)&gt;0,IF(X$4=EDATE('APA Inputs'!$C$26,'APA Inputs'!$H$26-1),N('APA Inputs'!$G$26),0),0))*IF('APA Inputs'!$I$26="",1,'APA Inputs'!$I$26))</f>
        <v>4166</v>
      </c>
      <c r="Y11" s="425" t="n">
        <f aca="false">IF('APA Inputs'!$C$26="",0,(IF(AND(Y$4&gt;='APA Inputs'!$C$26,Y$4&lt;EDATE('APA Inputs'!$C$26,N('APA Inputs'!$D$26))),'APA Inputs'!$J$26,0)+IF(N('APA Inputs'!$H$26)&gt;0,IF(Y$4=EDATE('APA Inputs'!$C$26,'APA Inputs'!$H$26-1),N('APA Inputs'!$G$26),0),0))*IF('APA Inputs'!$I$26="",1,'APA Inputs'!$I$26))</f>
        <v>4166</v>
      </c>
      <c r="Z11" s="425" t="n">
        <f aca="false">IF('APA Inputs'!$C$26="",0,(IF(AND(Z$4&gt;='APA Inputs'!$C$26,Z$4&lt;EDATE('APA Inputs'!$C$26,N('APA Inputs'!$D$26))),'APA Inputs'!$J$26,0)+IF(N('APA Inputs'!$H$26)&gt;0,IF(Z$4=EDATE('APA Inputs'!$C$26,'APA Inputs'!$H$26-1),N('APA Inputs'!$G$26),0),0))*IF('APA Inputs'!$I$26="",1,'APA Inputs'!$I$26))</f>
        <v>4166</v>
      </c>
      <c r="AA11" s="425" t="n">
        <f aca="false">IF('APA Inputs'!$C$26="",0,(IF(AND(AA$4&gt;='APA Inputs'!$C$26,AA$4&lt;EDATE('APA Inputs'!$C$26,N('APA Inputs'!$D$26))),'APA Inputs'!$J$26,0)+IF(N('APA Inputs'!$H$26)&gt;0,IF(AA$4=EDATE('APA Inputs'!$C$26,'APA Inputs'!$H$26-1),N('APA Inputs'!$G$26),0),0))*IF('APA Inputs'!$I$26="",1,'APA Inputs'!$I$26))</f>
        <v>4166</v>
      </c>
      <c r="AB11" s="425" t="n">
        <f aca="false">IF('APA Inputs'!$C$26="",0,(IF(AND(AB$4&gt;='APA Inputs'!$C$26,AB$4&lt;EDATE('APA Inputs'!$C$26,N('APA Inputs'!$D$26))),'APA Inputs'!$J$26,0)+IF(N('APA Inputs'!$H$26)&gt;0,IF(AB$4=EDATE('APA Inputs'!$C$26,'APA Inputs'!$H$26-1),N('APA Inputs'!$G$26),0),0))*IF('APA Inputs'!$I$26="",1,'APA Inputs'!$I$26))</f>
        <v>4166</v>
      </c>
      <c r="AC11" s="425" t="n">
        <f aca="false">IF('APA Inputs'!$C$26="",0,(IF(AND(AC$4&gt;='APA Inputs'!$C$26,AC$4&lt;EDATE('APA Inputs'!$C$26,N('APA Inputs'!$D$26))),'APA Inputs'!$J$26,0)+IF(N('APA Inputs'!$H$26)&gt;0,IF(AC$4=EDATE('APA Inputs'!$C$26,'APA Inputs'!$H$26-1),N('APA Inputs'!$G$26),0),0))*IF('APA Inputs'!$I$26="",1,'APA Inputs'!$I$26))</f>
        <v>4166</v>
      </c>
      <c r="AD11" s="425" t="n">
        <f aca="false">IF('APA Inputs'!$C$26="",0,(IF(AND(AD$4&gt;='APA Inputs'!$C$26,AD$4&lt;EDATE('APA Inputs'!$C$26,N('APA Inputs'!$D$26))),'APA Inputs'!$J$26,0)+IF(N('APA Inputs'!$H$26)&gt;0,IF(AD$4=EDATE('APA Inputs'!$C$26,'APA Inputs'!$H$26-1),N('APA Inputs'!$G$26),0),0))*IF('APA Inputs'!$I$26="",1,'APA Inputs'!$I$26))</f>
        <v>4166</v>
      </c>
      <c r="AE11" s="425" t="n">
        <f aca="false">IF('APA Inputs'!$C$26="",0,(IF(AND(AE$4&gt;='APA Inputs'!$C$26,AE$4&lt;EDATE('APA Inputs'!$C$26,N('APA Inputs'!$D$26))),'APA Inputs'!$J$26,0)+IF(N('APA Inputs'!$H$26)&gt;0,IF(AE$4=EDATE('APA Inputs'!$C$26,'APA Inputs'!$H$26-1),N('APA Inputs'!$G$26),0),0))*IF('APA Inputs'!$I$26="",1,'APA Inputs'!$I$26))</f>
        <v>4166</v>
      </c>
      <c r="AF11" s="425" t="n">
        <f aca="false">IF('APA Inputs'!$C$26="",0,(IF(AND(AF$4&gt;='APA Inputs'!$C$26,AF$4&lt;EDATE('APA Inputs'!$C$26,N('APA Inputs'!$D$26))),'APA Inputs'!$J$26,0)+IF(N('APA Inputs'!$H$26)&gt;0,IF(AF$4=EDATE('APA Inputs'!$C$26,'APA Inputs'!$H$26-1),N('APA Inputs'!$G$26),0),0))*IF('APA Inputs'!$I$26="",1,'APA Inputs'!$I$26))</f>
        <v>0</v>
      </c>
      <c r="AG11" s="425" t="n">
        <f aca="false">IF('APA Inputs'!$C$26="",0,(IF(AND(AG$4&gt;='APA Inputs'!$C$26,AG$4&lt;EDATE('APA Inputs'!$C$26,N('APA Inputs'!$D$26))),'APA Inputs'!$J$26,0)+IF(N('APA Inputs'!$H$26)&gt;0,IF(AG$4=EDATE('APA Inputs'!$C$26,'APA Inputs'!$H$26-1),N('APA Inputs'!$G$26),0),0))*IF('APA Inputs'!$I$26="",1,'APA Inputs'!$I$26))</f>
        <v>0</v>
      </c>
      <c r="AH11" s="425" t="n">
        <f aca="false">IF('APA Inputs'!$C$26="",0,(IF(AND(AH$4&gt;='APA Inputs'!$C$26,AH$4&lt;EDATE('APA Inputs'!$C$26,N('APA Inputs'!$D$26))),'APA Inputs'!$J$26,0)+IF(N('APA Inputs'!$H$26)&gt;0,IF(AH$4=EDATE('APA Inputs'!$C$26,'APA Inputs'!$H$26-1),N('APA Inputs'!$G$26),0),0))*IF('APA Inputs'!$I$26="",1,'APA Inputs'!$I$26))</f>
        <v>0</v>
      </c>
      <c r="AI11" s="425" t="n">
        <f aca="false">IF('APA Inputs'!$C$26="",0,(IF(AND(AI$4&gt;='APA Inputs'!$C$26,AI$4&lt;EDATE('APA Inputs'!$C$26,N('APA Inputs'!$D$26))),'APA Inputs'!$J$26,0)+IF(N('APA Inputs'!$H$26)&gt;0,IF(AI$4=EDATE('APA Inputs'!$C$26,'APA Inputs'!$H$26-1),N('APA Inputs'!$G$26),0),0))*IF('APA Inputs'!$I$26="",1,'APA Inputs'!$I$26))</f>
        <v>0</v>
      </c>
      <c r="AJ11" s="425" t="n">
        <f aca="false">IF('APA Inputs'!$C$26="",0,(IF(AND(AJ$4&gt;='APA Inputs'!$C$26,AJ$4&lt;EDATE('APA Inputs'!$C$26,N('APA Inputs'!$D$26))),'APA Inputs'!$J$26,0)+IF(N('APA Inputs'!$H$26)&gt;0,IF(AJ$4=EDATE('APA Inputs'!$C$26,'APA Inputs'!$H$26-1),N('APA Inputs'!$G$26),0),0))*IF('APA Inputs'!$I$26="",1,'APA Inputs'!$I$26))</f>
        <v>0</v>
      </c>
      <c r="AK11" s="425" t="n">
        <f aca="false">IF('APA Inputs'!$C$26="",0,(IF(AND(AK$4&gt;='APA Inputs'!$C$26,AK$4&lt;EDATE('APA Inputs'!$C$26,N('APA Inputs'!$D$26))),'APA Inputs'!$J$26,0)+IF(N('APA Inputs'!$H$26)&gt;0,IF(AK$4=EDATE('APA Inputs'!$C$26,'APA Inputs'!$H$26-1),N('APA Inputs'!$G$26),0),0))*IF('APA Inputs'!$I$26="",1,'APA Inputs'!$I$26))</f>
        <v>0</v>
      </c>
      <c r="AL11" s="425" t="n">
        <f aca="false">IF('APA Inputs'!$C$26="",0,(IF(AND(AL$4&gt;='APA Inputs'!$C$26,AL$4&lt;EDATE('APA Inputs'!$C$26,N('APA Inputs'!$D$26))),'APA Inputs'!$J$26,0)+IF(N('APA Inputs'!$H$26)&gt;0,IF(AL$4=EDATE('APA Inputs'!$C$26,'APA Inputs'!$H$26-1),N('APA Inputs'!$G$26),0),0))*IF('APA Inputs'!$I$26="",1,'APA Inputs'!$I$26))</f>
        <v>0</v>
      </c>
      <c r="AM11" s="425" t="n">
        <f aca="false">IF('APA Inputs'!$C$26="",0,(IF(AND(AM$4&gt;='APA Inputs'!$C$26,AM$4&lt;EDATE('APA Inputs'!$C$26,N('APA Inputs'!$D$26))),'APA Inputs'!$J$26,0)+IF(N('APA Inputs'!$H$26)&gt;0,IF(AM$4=EDATE('APA Inputs'!$C$26,'APA Inputs'!$H$26-1),N('APA Inputs'!$G$26),0),0))*IF('APA Inputs'!$I$26="",1,'APA Inputs'!$I$26))</f>
        <v>0</v>
      </c>
      <c r="AN11" s="425" t="n">
        <f aca="false">IF('APA Inputs'!$C$26="",0,(IF(AND(AN$4&gt;='APA Inputs'!$C$26,AN$4&lt;EDATE('APA Inputs'!$C$26,N('APA Inputs'!$D$26))),'APA Inputs'!$J$26,0)+IF(N('APA Inputs'!$H$26)&gt;0,IF(AN$4=EDATE('APA Inputs'!$C$26,'APA Inputs'!$H$26-1),N('APA Inputs'!$G$26),0),0))*IF('APA Inputs'!$I$26="",1,'APA Inputs'!$I$26))</f>
        <v>0</v>
      </c>
      <c r="AO11" s="425" t="n">
        <f aca="false">IF('APA Inputs'!$C$26="",0,(IF(AND(AO$4&gt;='APA Inputs'!$C$26,AO$4&lt;EDATE('APA Inputs'!$C$26,N('APA Inputs'!$D$26))),'APA Inputs'!$J$26,0)+IF(N('APA Inputs'!$H$26)&gt;0,IF(AO$4=EDATE('APA Inputs'!$C$26,'APA Inputs'!$H$26-1),N('APA Inputs'!$G$26),0),0))*IF('APA Inputs'!$I$26="",1,'APA Inputs'!$I$26))</f>
        <v>0</v>
      </c>
      <c r="AP11" s="425" t="n">
        <f aca="false">IF('APA Inputs'!$C$26="",0,(IF(AND(AP$4&gt;='APA Inputs'!$C$26,AP$4&lt;EDATE('APA Inputs'!$C$26,N('APA Inputs'!$D$26))),'APA Inputs'!$J$26,0)+IF(N('APA Inputs'!$H$26)&gt;0,IF(AP$4=EDATE('APA Inputs'!$C$26,'APA Inputs'!$H$26-1),N('APA Inputs'!$G$26),0),0))*IF('APA Inputs'!$I$26="",1,'APA Inputs'!$I$26))</f>
        <v>0</v>
      </c>
      <c r="AQ11" s="425" t="n">
        <f aca="false">IF('APA Inputs'!$C$26="",0,(IF(AND(AQ$4&gt;='APA Inputs'!$C$26,AQ$4&lt;EDATE('APA Inputs'!$C$26,N('APA Inputs'!$D$26))),'APA Inputs'!$J$26,0)+IF(N('APA Inputs'!$H$26)&gt;0,IF(AQ$4=EDATE('APA Inputs'!$C$26,'APA Inputs'!$H$26-1),N('APA Inputs'!$G$26),0),0))*IF('APA Inputs'!$I$26="",1,'APA Inputs'!$I$26))</f>
        <v>0</v>
      </c>
      <c r="AR11" s="425" t="n">
        <f aca="false">IF('APA Inputs'!$C$26="",0,(IF(AND(AR$4&gt;='APA Inputs'!$C$26,AR$4&lt;EDATE('APA Inputs'!$C$26,N('APA Inputs'!$D$26))),'APA Inputs'!$J$26,0)+IF(N('APA Inputs'!$H$26)&gt;0,IF(AR$4=EDATE('APA Inputs'!$C$26,'APA Inputs'!$H$26-1),N('APA Inputs'!$G$26),0),0))*IF('APA Inputs'!$I$26="",1,'APA Inputs'!$I$26))</f>
        <v>0</v>
      </c>
      <c r="AS11" s="425" t="n">
        <f aca="false">IF('APA Inputs'!$C$26="",0,(IF(AND(AS$4&gt;='APA Inputs'!$C$26,AS$4&lt;EDATE('APA Inputs'!$C$26,N('APA Inputs'!$D$26))),'APA Inputs'!$J$26,0)+IF(N('APA Inputs'!$H$26)&gt;0,IF(AS$4=EDATE('APA Inputs'!$C$26,'APA Inputs'!$H$26-1),N('APA Inputs'!$G$26),0),0))*IF('APA Inputs'!$I$26="",1,'APA Inputs'!$I$26))</f>
        <v>0</v>
      </c>
      <c r="AT11" s="425" t="n">
        <f aca="false">IF('APA Inputs'!$C$26="",0,(IF(AND(AT$4&gt;='APA Inputs'!$C$26,AT$4&lt;EDATE('APA Inputs'!$C$26,N('APA Inputs'!$D$26))),'APA Inputs'!$J$26,0)+IF(N('APA Inputs'!$H$26)&gt;0,IF(AT$4=EDATE('APA Inputs'!$C$26,'APA Inputs'!$H$26-1),N('APA Inputs'!$G$26),0),0))*IF('APA Inputs'!$I$26="",1,'APA Inputs'!$I$26))</f>
        <v>0</v>
      </c>
      <c r="AU11" s="425" t="n">
        <f aca="false">IF('APA Inputs'!$C$26="",0,(IF(AND(AU$4&gt;='APA Inputs'!$C$26,AU$4&lt;EDATE('APA Inputs'!$C$26,N('APA Inputs'!$D$26))),'APA Inputs'!$J$26,0)+IF(N('APA Inputs'!$H$26)&gt;0,IF(AU$4=EDATE('APA Inputs'!$C$26,'APA Inputs'!$H$26-1),N('APA Inputs'!$G$26),0),0))*IF('APA Inputs'!$I$26="",1,'APA Inputs'!$I$26))</f>
        <v>0</v>
      </c>
      <c r="AV11" s="425" t="n">
        <f aca="false">IF('APA Inputs'!$C$26="",0,(IF(AND(AV$4&gt;='APA Inputs'!$C$26,AV$4&lt;EDATE('APA Inputs'!$C$26,N('APA Inputs'!$D$26))),'APA Inputs'!$J$26,0)+IF(N('APA Inputs'!$H$26)&gt;0,IF(AV$4=EDATE('APA Inputs'!$C$26,'APA Inputs'!$H$26-1),N('APA Inputs'!$G$26),0),0))*IF('APA Inputs'!$I$26="",1,'APA Inputs'!$I$26))</f>
        <v>0</v>
      </c>
      <c r="AW11" s="425" t="n">
        <f aca="false">IF('APA Inputs'!$C$26="",0,(IF(AND(AW$4&gt;='APA Inputs'!$C$26,AW$4&lt;EDATE('APA Inputs'!$C$26,N('APA Inputs'!$D$26))),'APA Inputs'!$J$26,0)+IF(N('APA Inputs'!$H$26)&gt;0,IF(AW$4=EDATE('APA Inputs'!$C$26,'APA Inputs'!$H$26-1),N('APA Inputs'!$G$26),0),0))*IF('APA Inputs'!$I$26="",1,'APA Inputs'!$I$26))</f>
        <v>0</v>
      </c>
      <c r="AX11" s="425" t="n">
        <f aca="false">IF('APA Inputs'!$C$26="",0,(IF(AND(AX$4&gt;='APA Inputs'!$C$26,AX$4&lt;EDATE('APA Inputs'!$C$26,N('APA Inputs'!$D$26))),'APA Inputs'!$J$26,0)+IF(N('APA Inputs'!$H$26)&gt;0,IF(AX$4=EDATE('APA Inputs'!$C$26,'APA Inputs'!$H$26-1),N('APA Inputs'!$G$26),0),0))*IF('APA Inputs'!$I$26="",1,'APA Inputs'!$I$26))</f>
        <v>0</v>
      </c>
      <c r="AY11" s="425" t="n">
        <f aca="false">IF('APA Inputs'!$C$26="",0,(IF(AND(AY$4&gt;='APA Inputs'!$C$26,AY$4&lt;EDATE('APA Inputs'!$C$26,N('APA Inputs'!$D$26))),'APA Inputs'!$J$26,0)+IF(N('APA Inputs'!$H$26)&gt;0,IF(AY$4=EDATE('APA Inputs'!$C$26,'APA Inputs'!$H$26-1),N('APA Inputs'!$G$26),0),0))*IF('APA Inputs'!$I$26="",1,'APA Inputs'!$I$26))</f>
        <v>0</v>
      </c>
      <c r="AZ11" s="425" t="n">
        <f aca="false">IF('APA Inputs'!$C$26="",0,(IF(AND(AZ$4&gt;='APA Inputs'!$C$26,AZ$4&lt;EDATE('APA Inputs'!$C$26,N('APA Inputs'!$D$26))),'APA Inputs'!$J$26,0)+IF(N('APA Inputs'!$H$26)&gt;0,IF(AZ$4=EDATE('APA Inputs'!$C$26,'APA Inputs'!$H$26-1),N('APA Inputs'!$G$26),0),0))*IF('APA Inputs'!$I$26="",1,'APA Inputs'!$I$26))</f>
        <v>0</v>
      </c>
      <c r="BA11" s="425" t="n">
        <f aca="false">IF('APA Inputs'!$C$26="",0,(IF(AND(BA$4&gt;='APA Inputs'!$C$26,BA$4&lt;EDATE('APA Inputs'!$C$26,N('APA Inputs'!$D$26))),'APA Inputs'!$J$26,0)+IF(N('APA Inputs'!$H$26)&gt;0,IF(BA$4=EDATE('APA Inputs'!$C$26,'APA Inputs'!$H$26-1),N('APA Inputs'!$G$26),0),0))*IF('APA Inputs'!$I$26="",1,'APA Inputs'!$I$26))</f>
        <v>0</v>
      </c>
      <c r="BB11" s="425" t="n">
        <f aca="false">IF('APA Inputs'!$C$26="",0,(IF(AND(BB$4&gt;='APA Inputs'!$C$26,BB$4&lt;EDATE('APA Inputs'!$C$26,N('APA Inputs'!$D$26))),'APA Inputs'!$J$26,0)+IF(N('APA Inputs'!$H$26)&gt;0,IF(BB$4=EDATE('APA Inputs'!$C$26,'APA Inputs'!$H$26-1),N('APA Inputs'!$G$26),0),0))*IF('APA Inputs'!$I$26="",1,'APA Inputs'!$I$26))</f>
        <v>0</v>
      </c>
      <c r="BC11" s="425" t="n">
        <f aca="false">IF('APA Inputs'!$C$26="",0,(IF(AND(BC$4&gt;='APA Inputs'!$C$26,BC$4&lt;EDATE('APA Inputs'!$C$26,N('APA Inputs'!$D$26))),'APA Inputs'!$J$26,0)+IF(N('APA Inputs'!$H$26)&gt;0,IF(BC$4=EDATE('APA Inputs'!$C$26,'APA Inputs'!$H$26-1),N('APA Inputs'!$G$26),0),0))*IF('APA Inputs'!$I$26="",1,'APA Inputs'!$I$26))</f>
        <v>0</v>
      </c>
      <c r="BD11" s="425" t="n">
        <f aca="false">IF('APA Inputs'!$C$26="",0,(IF(AND(BD$4&gt;='APA Inputs'!$C$26,BD$4&lt;EDATE('APA Inputs'!$C$26,N('APA Inputs'!$D$26))),'APA Inputs'!$J$26,0)+IF(N('APA Inputs'!$H$26)&gt;0,IF(BD$4=EDATE('APA Inputs'!$C$26,'APA Inputs'!$H$26-1),N('APA Inputs'!$G$26),0),0))*IF('APA Inputs'!$I$26="",1,'APA Inputs'!$I$26))</f>
        <v>0</v>
      </c>
      <c r="BE11" s="425" t="n">
        <f aca="false">IF('APA Inputs'!$C$26="",0,(IF(AND(BE$4&gt;='APA Inputs'!$C$26,BE$4&lt;EDATE('APA Inputs'!$C$26,N('APA Inputs'!$D$26))),'APA Inputs'!$J$26,0)+IF(N('APA Inputs'!$H$26)&gt;0,IF(BE$4=EDATE('APA Inputs'!$C$26,'APA Inputs'!$H$26-1),N('APA Inputs'!$G$26),0),0))*IF('APA Inputs'!$I$26="",1,'APA Inputs'!$I$26))</f>
        <v>0</v>
      </c>
      <c r="BF11" s="425" t="n">
        <f aca="false">IF('APA Inputs'!$C$26="",0,(IF(AND(BF$4&gt;='APA Inputs'!$C$26,BF$4&lt;EDATE('APA Inputs'!$C$26,N('APA Inputs'!$D$26))),'APA Inputs'!$J$26,0)+IF(N('APA Inputs'!$H$26)&gt;0,IF(BF$4=EDATE('APA Inputs'!$C$26,'APA Inputs'!$H$26-1),N('APA Inputs'!$G$26),0),0))*IF('APA Inputs'!$I$26="",1,'APA Inputs'!$I$26))</f>
        <v>0</v>
      </c>
      <c r="BG11" s="425" t="n">
        <f aca="false">IF('APA Inputs'!$C$26="",0,(IF(AND(BG$4&gt;='APA Inputs'!$C$26,BG$4&lt;EDATE('APA Inputs'!$C$26,N('APA Inputs'!$D$26))),'APA Inputs'!$J$26,0)+IF(N('APA Inputs'!$H$26)&gt;0,IF(BG$4=EDATE('APA Inputs'!$C$26,'APA Inputs'!$H$26-1),N('APA Inputs'!$G$26),0),0))*IF('APA Inputs'!$I$26="",1,'APA Inputs'!$I$26))</f>
        <v>0</v>
      </c>
      <c r="BH11" s="425" t="n">
        <f aca="false">IF('APA Inputs'!$C$26="",0,(IF(AND(BH$4&gt;='APA Inputs'!$C$26,BH$4&lt;EDATE('APA Inputs'!$C$26,N('APA Inputs'!$D$26))),'APA Inputs'!$J$26,0)+IF(N('APA Inputs'!$H$26)&gt;0,IF(BH$4=EDATE('APA Inputs'!$C$26,'APA Inputs'!$H$26-1),N('APA Inputs'!$G$26),0),0))*IF('APA Inputs'!$I$26="",1,'APA Inputs'!$I$26))</f>
        <v>0</v>
      </c>
      <c r="BI11" s="425" t="n">
        <f aca="false">IF('APA Inputs'!$C$26="",0,(IF(AND(BI$4&gt;='APA Inputs'!$C$26,BI$4&lt;EDATE('APA Inputs'!$C$26,N('APA Inputs'!$D$26))),'APA Inputs'!$J$26,0)+IF(N('APA Inputs'!$H$26)&gt;0,IF(BI$4=EDATE('APA Inputs'!$C$26,'APA Inputs'!$H$26-1),N('APA Inputs'!$G$26),0),0))*IF('APA Inputs'!$I$26="",1,'APA Inputs'!$I$26))</f>
        <v>0</v>
      </c>
      <c r="BJ11" s="425" t="n">
        <f aca="false">IF('APA Inputs'!$C$26="",0,(IF(AND(BJ$4&gt;='APA Inputs'!$C$26,BJ$4&lt;EDATE('APA Inputs'!$C$26,N('APA Inputs'!$D$26))),'APA Inputs'!$J$26,0)+IF(N('APA Inputs'!$H$26)&gt;0,IF(BJ$4=EDATE('APA Inputs'!$C$26,'APA Inputs'!$H$26-1),N('APA Inputs'!$G$26),0),0))*IF('APA Inputs'!$I$26="",1,'APA Inputs'!$I$26))</f>
        <v>0</v>
      </c>
      <c r="BK11" s="425" t="n">
        <f aca="false">IF('APA Inputs'!$C$26="",0,(IF(AND(BK$4&gt;='APA Inputs'!$C$26,BK$4&lt;EDATE('APA Inputs'!$C$26,N('APA Inputs'!$D$26))),'APA Inputs'!$J$26,0)+IF(N('APA Inputs'!$H$26)&gt;0,IF(BK$4=EDATE('APA Inputs'!$C$26,'APA Inputs'!$H$26-1),N('APA Inputs'!$G$26),0),0))*IF('APA Inputs'!$I$26="",1,'APA Inputs'!$I$26))</f>
        <v>0</v>
      </c>
      <c r="BL11" s="425" t="n">
        <f aca="false">IF('APA Inputs'!$C$26="",0,(IF(AND(BL$4&gt;='APA Inputs'!$C$26,BL$4&lt;EDATE('APA Inputs'!$C$26,N('APA Inputs'!$D$26))),'APA Inputs'!$J$26,0)+IF(N('APA Inputs'!$H$26)&gt;0,IF(BL$4=EDATE('APA Inputs'!$C$26,'APA Inputs'!$H$26-1),N('APA Inputs'!$G$26),0),0))*IF('APA Inputs'!$I$26="",1,'APA Inputs'!$I$26))</f>
        <v>0</v>
      </c>
      <c r="BM11" s="425" t="n">
        <f aca="false">IF('APA Inputs'!$C$26="",0,(IF(AND(BM$4&gt;='APA Inputs'!$C$26,BM$4&lt;EDATE('APA Inputs'!$C$26,N('APA Inputs'!$D$26))),'APA Inputs'!$J$26,0)+IF(N('APA Inputs'!$H$26)&gt;0,IF(BM$4=EDATE('APA Inputs'!$C$26,'APA Inputs'!$H$26-1),N('APA Inputs'!$G$26),0),0))*IF('APA Inputs'!$I$26="",1,'APA Inputs'!$I$26))</f>
        <v>0</v>
      </c>
      <c r="BN11" s="425" t="n">
        <f aca="false">IF('APA Inputs'!$C$26="",0,(IF(AND(BN$4&gt;='APA Inputs'!$C$26,BN$4&lt;EDATE('APA Inputs'!$C$26,N('APA Inputs'!$D$26))),'APA Inputs'!$J$26,0)+IF(N('APA Inputs'!$H$26)&gt;0,IF(BN$4=EDATE('APA Inputs'!$C$26,'APA Inputs'!$H$26-1),N('APA Inputs'!$G$26),0),0))*IF('APA Inputs'!$I$26="",1,'APA Inputs'!$I$26))</f>
        <v>0</v>
      </c>
      <c r="BO11" s="425" t="n">
        <f aca="false">IF('APA Inputs'!$C$26="",0,(IF(AND(BO$4&gt;='APA Inputs'!$C$26,BO$4&lt;EDATE('APA Inputs'!$C$26,N('APA Inputs'!$D$26))),'APA Inputs'!$J$26,0)+IF(N('APA Inputs'!$H$26)&gt;0,IF(BO$4=EDATE('APA Inputs'!$C$26,'APA Inputs'!$H$26-1),N('APA Inputs'!$G$26),0),0))*IF('APA Inputs'!$I$26="",1,'APA Inputs'!$I$26))</f>
        <v>0</v>
      </c>
      <c r="BP11" s="425" t="n">
        <f aca="false">IF('APA Inputs'!$C$26="",0,(IF(AND(BP$4&gt;='APA Inputs'!$C$26,BP$4&lt;EDATE('APA Inputs'!$C$26,N('APA Inputs'!$D$26))),'APA Inputs'!$J$26,0)+IF(N('APA Inputs'!$H$26)&gt;0,IF(BP$4=EDATE('APA Inputs'!$C$26,'APA Inputs'!$H$26-1),N('APA Inputs'!$G$26),0),0))*IF('APA Inputs'!$I$26="",1,'APA Inputs'!$I$26))</f>
        <v>0</v>
      </c>
      <c r="BQ11" s="425" t="n">
        <f aca="false">IF('APA Inputs'!$C$26="",0,(IF(AND(BQ$4&gt;='APA Inputs'!$C$26,BQ$4&lt;EDATE('APA Inputs'!$C$26,N('APA Inputs'!$D$26))),'APA Inputs'!$J$26,0)+IF(N('APA Inputs'!$H$26)&gt;0,IF(BQ$4=EDATE('APA Inputs'!$C$26,'APA Inputs'!$H$26-1),N('APA Inputs'!$G$26),0),0))*IF('APA Inputs'!$I$26="",1,'APA Inputs'!$I$26))</f>
        <v>0</v>
      </c>
      <c r="BR11" s="425" t="n">
        <f aca="false">IF('APA Inputs'!$C$26="",0,(IF(AND(BR$4&gt;='APA Inputs'!$C$26,BR$4&lt;EDATE('APA Inputs'!$C$26,N('APA Inputs'!$D$26))),'APA Inputs'!$J$26,0)+IF(N('APA Inputs'!$H$26)&gt;0,IF(BR$4=EDATE('APA Inputs'!$C$26,'APA Inputs'!$H$26-1),N('APA Inputs'!$G$26),0),0))*IF('APA Inputs'!$I$26="",1,'APA Inputs'!$I$26))</f>
        <v>0</v>
      </c>
      <c r="BS11" s="425" t="n">
        <f aca="false">IF('APA Inputs'!$C$26="",0,(IF(AND(BS$4&gt;='APA Inputs'!$C$26,BS$4&lt;EDATE('APA Inputs'!$C$26,N('APA Inputs'!$D$26))),'APA Inputs'!$J$26,0)+IF(N('APA Inputs'!$H$26)&gt;0,IF(BS$4=EDATE('APA Inputs'!$C$26,'APA Inputs'!$H$26-1),N('APA Inputs'!$G$26),0),0))*IF('APA Inputs'!$I$26="",1,'APA Inputs'!$I$26))</f>
        <v>0</v>
      </c>
      <c r="BT11" s="425" t="n">
        <f aca="false">IF('APA Inputs'!$C$26="",0,(IF(AND(BT$4&gt;='APA Inputs'!$C$26,BT$4&lt;EDATE('APA Inputs'!$C$26,N('APA Inputs'!$D$26))),'APA Inputs'!$J$26,0)+IF(N('APA Inputs'!$H$26)&gt;0,IF(BT$4=EDATE('APA Inputs'!$C$26,'APA Inputs'!$H$26-1),N('APA Inputs'!$G$26),0),0))*IF('APA Inputs'!$I$26="",1,'APA Inputs'!$I$26))</f>
        <v>0</v>
      </c>
      <c r="BU11" s="425" t="n">
        <f aca="false">IF('APA Inputs'!$C$26="",0,(IF(AND(BU$4&gt;='APA Inputs'!$C$26,BU$4&lt;EDATE('APA Inputs'!$C$26,N('APA Inputs'!$D$26))),'APA Inputs'!$J$26,0)+IF(N('APA Inputs'!$H$26)&gt;0,IF(BU$4=EDATE('APA Inputs'!$C$26,'APA Inputs'!$H$26-1),N('APA Inputs'!$G$26),0),0))*IF('APA Inputs'!$I$26="",1,'APA Inputs'!$I$26))</f>
        <v>0</v>
      </c>
      <c r="BV11" s="425" t="n">
        <f aca="false">IF('APA Inputs'!$C$26="",0,(IF(AND(BV$4&gt;='APA Inputs'!$C$26,BV$4&lt;EDATE('APA Inputs'!$C$26,N('APA Inputs'!$D$26))),'APA Inputs'!$J$26,0)+IF(N('APA Inputs'!$H$26)&gt;0,IF(BV$4=EDATE('APA Inputs'!$C$26,'APA Inputs'!$H$26-1),N('APA Inputs'!$G$26),0),0))*IF('APA Inputs'!$I$26="",1,'APA Inputs'!$I$26))</f>
        <v>0</v>
      </c>
      <c r="BW11" s="425" t="n">
        <f aca="false">IF('APA Inputs'!$C$26="",0,(IF(AND(BW$4&gt;='APA Inputs'!$C$26,BW$4&lt;EDATE('APA Inputs'!$C$26,N('APA Inputs'!$D$26))),'APA Inputs'!$J$26,0)+IF(N('APA Inputs'!$H$26)&gt;0,IF(BW$4=EDATE('APA Inputs'!$C$26,'APA Inputs'!$H$26-1),N('APA Inputs'!$G$26),0),0))*IF('APA Inputs'!$I$26="",1,'APA Inputs'!$I$26))</f>
        <v>0</v>
      </c>
      <c r="BX11" s="425" t="n">
        <f aca="false">IF('APA Inputs'!$C$26="",0,(IF(AND(BX$4&gt;='APA Inputs'!$C$26,BX$4&lt;EDATE('APA Inputs'!$C$26,N('APA Inputs'!$D$26))),'APA Inputs'!$J$26,0)+IF(N('APA Inputs'!$H$26)&gt;0,IF(BX$4=EDATE('APA Inputs'!$C$26,'APA Inputs'!$H$26-1),N('APA Inputs'!$G$26),0),0))*IF('APA Inputs'!$I$26="",1,'APA Inputs'!$I$26))</f>
        <v>0</v>
      </c>
      <c r="BY11" s="425" t="n">
        <f aca="false">IF('APA Inputs'!$C$26="",0,(IF(AND(BY$4&gt;='APA Inputs'!$C$26,BY$4&lt;EDATE('APA Inputs'!$C$26,N('APA Inputs'!$D$26))),'APA Inputs'!$J$26,0)+IF(N('APA Inputs'!$H$26)&gt;0,IF(BY$4=EDATE('APA Inputs'!$C$26,'APA Inputs'!$H$26-1),N('APA Inputs'!$G$26),0),0))*IF('APA Inputs'!$I$26="",1,'APA Inputs'!$I$26))</f>
        <v>0</v>
      </c>
      <c r="BZ11" s="425" t="n">
        <f aca="false">IF('APA Inputs'!$C$26="",0,(IF(AND(BZ$4&gt;='APA Inputs'!$C$26,BZ$4&lt;EDATE('APA Inputs'!$C$26,N('APA Inputs'!$D$26))),'APA Inputs'!$J$26,0)+IF(N('APA Inputs'!$H$26)&gt;0,IF(BZ$4=EDATE('APA Inputs'!$C$26,'APA Inputs'!$H$26-1),N('APA Inputs'!$G$26),0),0))*IF('APA Inputs'!$I$26="",1,'APA Inputs'!$I$26))</f>
        <v>0</v>
      </c>
      <c r="CA11" s="425" t="n">
        <f aca="false">IF('APA Inputs'!$C$26="",0,(IF(AND(CA$4&gt;='APA Inputs'!$C$26,CA$4&lt;EDATE('APA Inputs'!$C$26,N('APA Inputs'!$D$26))),'APA Inputs'!$J$26,0)+IF(N('APA Inputs'!$H$26)&gt;0,IF(CA$4=EDATE('APA Inputs'!$C$26,'APA Inputs'!$H$26-1),N('APA Inputs'!$G$26),0),0))*IF('APA Inputs'!$I$26="",1,'APA Inputs'!$I$26))</f>
        <v>0</v>
      </c>
      <c r="CB11" s="425" t="n">
        <f aca="false">IF('APA Inputs'!$C$26="",0,(IF(AND(CB$4&gt;='APA Inputs'!$C$26,CB$4&lt;EDATE('APA Inputs'!$C$26,N('APA Inputs'!$D$26))),'APA Inputs'!$J$26,0)+IF(N('APA Inputs'!$H$26)&gt;0,IF(CB$4=EDATE('APA Inputs'!$C$26,'APA Inputs'!$H$26-1),N('APA Inputs'!$G$26),0),0))*IF('APA Inputs'!$I$26="",1,'APA Inputs'!$I$26))</f>
        <v>0</v>
      </c>
      <c r="CC11" s="425" t="n">
        <f aca="false">IF('APA Inputs'!$C$26="",0,(IF(AND(CC$4&gt;='APA Inputs'!$C$26,CC$4&lt;EDATE('APA Inputs'!$C$26,N('APA Inputs'!$D$26))),'APA Inputs'!$J$26,0)+IF(N('APA Inputs'!$H$26)&gt;0,IF(CC$4=EDATE('APA Inputs'!$C$26,'APA Inputs'!$H$26-1),N('APA Inputs'!$G$26),0),0))*IF('APA Inputs'!$I$26="",1,'APA Inputs'!$I$26))</f>
        <v>0</v>
      </c>
      <c r="CD11" s="425" t="n">
        <f aca="false">IF('APA Inputs'!$C$26="",0,(IF(AND(CD$4&gt;='APA Inputs'!$C$26,CD$4&lt;EDATE('APA Inputs'!$C$26,N('APA Inputs'!$D$26))),'APA Inputs'!$J$26,0)+IF(N('APA Inputs'!$H$26)&gt;0,IF(CD$4=EDATE('APA Inputs'!$C$26,'APA Inputs'!$H$26-1),N('APA Inputs'!$G$26),0),0))*IF('APA Inputs'!$I$26="",1,'APA Inputs'!$I$26))</f>
        <v>0</v>
      </c>
      <c r="CE11" s="425" t="n">
        <f aca="false">IF('APA Inputs'!$C$26="",0,(IF(AND(CE$4&gt;='APA Inputs'!$C$26,CE$4&lt;EDATE('APA Inputs'!$C$26,N('APA Inputs'!$D$26))),'APA Inputs'!$J$26,0)+IF(N('APA Inputs'!$H$26)&gt;0,IF(CE$4=EDATE('APA Inputs'!$C$26,'APA Inputs'!$H$26-1),N('APA Inputs'!$G$26),0),0))*IF('APA Inputs'!$I$26="",1,'APA Inputs'!$I$26))</f>
        <v>0</v>
      </c>
      <c r="CF11" s="425" t="n">
        <f aca="false">IF('APA Inputs'!$C$26="",0,(IF(AND(CF$4&gt;='APA Inputs'!$C$26,CF$4&lt;EDATE('APA Inputs'!$C$26,N('APA Inputs'!$D$26))),'APA Inputs'!$J$26,0)+IF(N('APA Inputs'!$H$26)&gt;0,IF(CF$4=EDATE('APA Inputs'!$C$26,'APA Inputs'!$H$26-1),N('APA Inputs'!$G$26),0),0))*IF('APA Inputs'!$I$26="",1,'APA Inputs'!$I$26))</f>
        <v>0</v>
      </c>
      <c r="CG11" s="425" t="n">
        <f aca="false">IF('APA Inputs'!$C$26="",0,(IF(AND(CG$4&gt;='APA Inputs'!$C$26,CG$4&lt;EDATE('APA Inputs'!$C$26,N('APA Inputs'!$D$26))),'APA Inputs'!$J$26,0)+IF(N('APA Inputs'!$H$26)&gt;0,IF(CG$4=EDATE('APA Inputs'!$C$26,'APA Inputs'!$H$26-1),N('APA Inputs'!$G$26),0),0))*IF('APA Inputs'!$I$26="",1,'APA Inputs'!$I$26))</f>
        <v>0</v>
      </c>
      <c r="CH11" s="425" t="n">
        <f aca="false">IF('APA Inputs'!$C$26="",0,(IF(AND(CH$4&gt;='APA Inputs'!$C$26,CH$4&lt;EDATE('APA Inputs'!$C$26,N('APA Inputs'!$D$26))),'APA Inputs'!$J$26,0)+IF(N('APA Inputs'!$H$26)&gt;0,IF(CH$4=EDATE('APA Inputs'!$C$26,'APA Inputs'!$H$26-1),N('APA Inputs'!$G$26),0),0))*IF('APA Inputs'!$I$26="",1,'APA Inputs'!$I$26))</f>
        <v>0</v>
      </c>
      <c r="CI11" s="425" t="n">
        <f aca="false">IF('APA Inputs'!$C$26="",0,(IF(AND(CI$4&gt;='APA Inputs'!$C$26,CI$4&lt;EDATE('APA Inputs'!$C$26,N('APA Inputs'!$D$26))),'APA Inputs'!$J$26,0)+IF(N('APA Inputs'!$H$26)&gt;0,IF(CI$4=EDATE('APA Inputs'!$C$26,'APA Inputs'!$H$26-1),N('APA Inputs'!$G$26),0),0))*IF('APA Inputs'!$I$26="",1,'APA Inputs'!$I$26))</f>
        <v>0</v>
      </c>
      <c r="CJ11" s="425" t="n">
        <f aca="false">IF('APA Inputs'!$C$26="",0,(IF(AND(CJ$4&gt;='APA Inputs'!$C$26,CJ$4&lt;EDATE('APA Inputs'!$C$26,N('APA Inputs'!$D$26))),'APA Inputs'!$J$26,0)+IF(N('APA Inputs'!$H$26)&gt;0,IF(CJ$4=EDATE('APA Inputs'!$C$26,'APA Inputs'!$H$26-1),N('APA Inputs'!$G$26),0),0))*IF('APA Inputs'!$I$26="",1,'APA Inputs'!$I$26))</f>
        <v>0</v>
      </c>
      <c r="CK11" s="425" t="n">
        <f aca="false">IF('APA Inputs'!$C$26="",0,(IF(AND(CK$4&gt;='APA Inputs'!$C$26,CK$4&lt;EDATE('APA Inputs'!$C$26,N('APA Inputs'!$D$26))),'APA Inputs'!$J$26,0)+IF(N('APA Inputs'!$H$26)&gt;0,IF(CK$4=EDATE('APA Inputs'!$C$26,'APA Inputs'!$H$26-1),N('APA Inputs'!$G$26),0),0))*IF('APA Inputs'!$I$26="",1,'APA Inputs'!$I$26))</f>
        <v>0</v>
      </c>
      <c r="CL11" s="425" t="n">
        <f aca="false">IF('APA Inputs'!$C$26="",0,(IF(AND(CL$4&gt;='APA Inputs'!$C$26,CL$4&lt;EDATE('APA Inputs'!$C$26,N('APA Inputs'!$D$26))),'APA Inputs'!$J$26,0)+IF(N('APA Inputs'!$H$26)&gt;0,IF(CL$4=EDATE('APA Inputs'!$C$26,'APA Inputs'!$H$26-1),N('APA Inputs'!$G$26),0),0))*IF('APA Inputs'!$I$26="",1,'APA Inputs'!$I$26))</f>
        <v>0</v>
      </c>
      <c r="CM11" s="425" t="n">
        <f aca="false">IF('APA Inputs'!$C$26="",0,(IF(AND(CM$4&gt;='APA Inputs'!$C$26,CM$4&lt;EDATE('APA Inputs'!$C$26,N('APA Inputs'!$D$26))),'APA Inputs'!$J$26,0)+IF(N('APA Inputs'!$H$26)&gt;0,IF(CM$4=EDATE('APA Inputs'!$C$26,'APA Inputs'!$H$26-1),N('APA Inputs'!$G$26),0),0))*IF('APA Inputs'!$I$26="",1,'APA Inputs'!$I$26))</f>
        <v>0</v>
      </c>
      <c r="CN11" s="425" t="n">
        <f aca="false">IF('APA Inputs'!$C$26="",0,(IF(AND(CN$4&gt;='APA Inputs'!$C$26,CN$4&lt;EDATE('APA Inputs'!$C$26,N('APA Inputs'!$D$26))),'APA Inputs'!$J$26,0)+IF(N('APA Inputs'!$H$26)&gt;0,IF(CN$4=EDATE('APA Inputs'!$C$26,'APA Inputs'!$H$26-1),N('APA Inputs'!$G$26),0),0))*IF('APA Inputs'!$I$26="",1,'APA Inputs'!$I$26))</f>
        <v>0</v>
      </c>
      <c r="CO11" s="425" t="n">
        <f aca="false">IF('APA Inputs'!$C$26="",0,(IF(AND(CO$4&gt;='APA Inputs'!$C$26,CO$4&lt;EDATE('APA Inputs'!$C$26,N('APA Inputs'!$D$26))),'APA Inputs'!$J$26,0)+IF(N('APA Inputs'!$H$26)&gt;0,IF(CO$4=EDATE('APA Inputs'!$C$26,'APA Inputs'!$H$26-1),N('APA Inputs'!$G$26),0),0))*IF('APA Inputs'!$I$26="",1,'APA Inputs'!$I$26))</f>
        <v>0</v>
      </c>
      <c r="CP11" s="425" t="n">
        <f aca="false">IF('APA Inputs'!$C$26="",0,(IF(AND(CP$4&gt;='APA Inputs'!$C$26,CP$4&lt;EDATE('APA Inputs'!$C$26,N('APA Inputs'!$D$26))),'APA Inputs'!$J$26,0)+IF(N('APA Inputs'!$H$26)&gt;0,IF(CP$4=EDATE('APA Inputs'!$C$26,'APA Inputs'!$H$26-1),N('APA Inputs'!$G$26),0),0))*IF('APA Inputs'!$I$26="",1,'APA Inputs'!$I$26))</f>
        <v>0</v>
      </c>
      <c r="CQ11" s="425" t="n">
        <f aca="false">IF('APA Inputs'!$C$26="",0,(IF(AND(CQ$4&gt;='APA Inputs'!$C$26,CQ$4&lt;EDATE('APA Inputs'!$C$26,N('APA Inputs'!$D$26))),'APA Inputs'!$J$26,0)+IF(N('APA Inputs'!$H$26)&gt;0,IF(CQ$4=EDATE('APA Inputs'!$C$26,'APA Inputs'!$H$26-1),N('APA Inputs'!$G$26),0),0))*IF('APA Inputs'!$I$26="",1,'APA Inputs'!$I$26))</f>
        <v>0</v>
      </c>
      <c r="CR11" s="425" t="n">
        <f aca="false">IF('APA Inputs'!$C$26="",0,(IF(AND(CR$4&gt;='APA Inputs'!$C$26,CR$4&lt;EDATE('APA Inputs'!$C$26,N('APA Inputs'!$D$26))),'APA Inputs'!$J$26,0)+IF(N('APA Inputs'!$H$26)&gt;0,IF(CR$4=EDATE('APA Inputs'!$C$26,'APA Inputs'!$H$26-1),N('APA Inputs'!$G$26),0),0))*IF('APA Inputs'!$I$26="",1,'APA Inputs'!$I$26))</f>
        <v>0</v>
      </c>
      <c r="CS11" s="425" t="n">
        <f aca="false">IF('APA Inputs'!$C$26="",0,(IF(AND(CS$4&gt;='APA Inputs'!$C$26,CS$4&lt;EDATE('APA Inputs'!$C$26,N('APA Inputs'!$D$26))),'APA Inputs'!$J$26,0)+IF(N('APA Inputs'!$H$26)&gt;0,IF(CS$4=EDATE('APA Inputs'!$C$26,'APA Inputs'!$H$26-1),N('APA Inputs'!$G$26),0),0))*IF('APA Inputs'!$I$26="",1,'APA Inputs'!$I$26))</f>
        <v>0</v>
      </c>
      <c r="CT11" s="425" t="n">
        <f aca="false">IF('APA Inputs'!$C$26="",0,(IF(AND(CT$4&gt;='APA Inputs'!$C$26,CT$4&lt;EDATE('APA Inputs'!$C$26,N('APA Inputs'!$D$26))),'APA Inputs'!$J$26,0)+IF(N('APA Inputs'!$H$26)&gt;0,IF(CT$4=EDATE('APA Inputs'!$C$26,'APA Inputs'!$H$26-1),N('APA Inputs'!$G$26),0),0))*IF('APA Inputs'!$I$26="",1,'APA Inputs'!$I$26))</f>
        <v>0</v>
      </c>
      <c r="CU11" s="425" t="n">
        <f aca="false">IF('APA Inputs'!$C$26="",0,(IF(AND(CU$4&gt;='APA Inputs'!$C$26,CU$4&lt;EDATE('APA Inputs'!$C$26,N('APA Inputs'!$D$26))),'APA Inputs'!$J$26,0)+IF(N('APA Inputs'!$H$26)&gt;0,IF(CU$4=EDATE('APA Inputs'!$C$26,'APA Inputs'!$H$26-1),N('APA Inputs'!$G$26),0),0))*IF('APA Inputs'!$I$26="",1,'APA Inputs'!$I$26))</f>
        <v>0</v>
      </c>
      <c r="CV11" s="425" t="n">
        <f aca="false">IF('APA Inputs'!$C$26="",0,(IF(AND(CV$4&gt;='APA Inputs'!$C$26,CV$4&lt;EDATE('APA Inputs'!$C$26,N('APA Inputs'!$D$26))),'APA Inputs'!$J$26,0)+IF(N('APA Inputs'!$H$26)&gt;0,IF(CV$4=EDATE('APA Inputs'!$C$26,'APA Inputs'!$H$26-1),N('APA Inputs'!$G$26),0),0))*IF('APA Inputs'!$I$26="",1,'APA Inputs'!$I$26))</f>
        <v>0</v>
      </c>
      <c r="CW11" s="425" t="n">
        <f aca="false">IF('APA Inputs'!$C$26="",0,(IF(AND(CW$4&gt;='APA Inputs'!$C$26,CW$4&lt;EDATE('APA Inputs'!$C$26,N('APA Inputs'!$D$26))),'APA Inputs'!$J$26,0)+IF(N('APA Inputs'!$H$26)&gt;0,IF(CW$4=EDATE('APA Inputs'!$C$26,'APA Inputs'!$H$26-1),N('APA Inputs'!$G$26),0),0))*IF('APA Inputs'!$I$26="",1,'APA Inputs'!$I$26))</f>
        <v>0</v>
      </c>
      <c r="CX11" s="425" t="n">
        <f aca="false">IF('APA Inputs'!$C$26="",0,(IF(AND(CX$4&gt;='APA Inputs'!$C$26,CX$4&lt;EDATE('APA Inputs'!$C$26,N('APA Inputs'!$D$26))),'APA Inputs'!$J$26,0)+IF(N('APA Inputs'!$H$26)&gt;0,IF(CX$4=EDATE('APA Inputs'!$C$26,'APA Inputs'!$H$26-1),N('APA Inputs'!$G$26),0),0))*IF('APA Inputs'!$I$26="",1,'APA Inputs'!$I$26))</f>
        <v>0</v>
      </c>
      <c r="CY11" s="425" t="n">
        <f aca="false">IF('APA Inputs'!$C$26="",0,(IF(AND(CY$4&gt;='APA Inputs'!$C$26,CY$4&lt;EDATE('APA Inputs'!$C$26,N('APA Inputs'!$D$26))),'APA Inputs'!$J$26,0)+IF(N('APA Inputs'!$H$26)&gt;0,IF(CY$4=EDATE('APA Inputs'!$C$26,'APA Inputs'!$H$26-1),N('APA Inputs'!$G$26),0),0))*IF('APA Inputs'!$I$26="",1,'APA Inputs'!$I$26))</f>
        <v>0</v>
      </c>
      <c r="CZ11" s="425" t="n">
        <f aca="false">IF('APA Inputs'!$C$26="",0,(IF(AND(CZ$4&gt;='APA Inputs'!$C$26,CZ$4&lt;EDATE('APA Inputs'!$C$26,N('APA Inputs'!$D$26))),'APA Inputs'!$J$26,0)+IF(N('APA Inputs'!$H$26)&gt;0,IF(CZ$4=EDATE('APA Inputs'!$C$26,'APA Inputs'!$H$26-1),N('APA Inputs'!$G$26),0),0))*IF('APA Inputs'!$I$26="",1,'APA Inputs'!$I$26))</f>
        <v>0</v>
      </c>
      <c r="DA11" s="425" t="n">
        <f aca="false">IF('APA Inputs'!$C$26="",0,(IF(AND(DA$4&gt;='APA Inputs'!$C$26,DA$4&lt;EDATE('APA Inputs'!$C$26,N('APA Inputs'!$D$26))),'APA Inputs'!$J$26,0)+IF(N('APA Inputs'!$H$26)&gt;0,IF(DA$4=EDATE('APA Inputs'!$C$26,'APA Inputs'!$H$26-1),N('APA Inputs'!$G$26),0),0))*IF('APA Inputs'!$I$26="",1,'APA Inputs'!$I$26))</f>
        <v>0</v>
      </c>
      <c r="DB11" s="425" t="n">
        <f aca="false">IF('APA Inputs'!$C$26="",0,(IF(AND(DB$4&gt;='APA Inputs'!$C$26,DB$4&lt;EDATE('APA Inputs'!$C$26,N('APA Inputs'!$D$26))),'APA Inputs'!$J$26,0)+IF(N('APA Inputs'!$H$26)&gt;0,IF(DB$4=EDATE('APA Inputs'!$C$26,'APA Inputs'!$H$26-1),N('APA Inputs'!$G$26),0),0))*IF('APA Inputs'!$I$26="",1,'APA Inputs'!$I$26))</f>
        <v>0</v>
      </c>
      <c r="DC11" s="425" t="n">
        <f aca="false">IF('APA Inputs'!$C$26="",0,(IF(AND(DC$4&gt;='APA Inputs'!$C$26,DC$4&lt;EDATE('APA Inputs'!$C$26,N('APA Inputs'!$D$26))),'APA Inputs'!$J$26,0)+IF(N('APA Inputs'!$H$26)&gt;0,IF(DC$4=EDATE('APA Inputs'!$C$26,'APA Inputs'!$H$26-1),N('APA Inputs'!$G$26),0),0))*IF('APA Inputs'!$I$26="",1,'APA Inputs'!$I$26))</f>
        <v>0</v>
      </c>
      <c r="DD11" s="425" t="n">
        <f aca="false">IF('APA Inputs'!$C$26="",0,(IF(AND(DD$4&gt;='APA Inputs'!$C$26,DD$4&lt;EDATE('APA Inputs'!$C$26,N('APA Inputs'!$D$26))),'APA Inputs'!$J$26,0)+IF(N('APA Inputs'!$H$26)&gt;0,IF(DD$4=EDATE('APA Inputs'!$C$26,'APA Inputs'!$H$26-1),N('APA Inputs'!$G$26),0),0))*IF('APA Inputs'!$I$26="",1,'APA Inputs'!$I$26))</f>
        <v>0</v>
      </c>
      <c r="DE11" s="425" t="n">
        <f aca="false">IF('APA Inputs'!$C$26="",0,(IF(AND(DE$4&gt;='APA Inputs'!$C$26,DE$4&lt;EDATE('APA Inputs'!$C$26,N('APA Inputs'!$D$26))),'APA Inputs'!$J$26,0)+IF(N('APA Inputs'!$H$26)&gt;0,IF(DE$4=EDATE('APA Inputs'!$C$26,'APA Inputs'!$H$26-1),N('APA Inputs'!$G$26),0),0))*IF('APA Inputs'!$I$26="",1,'APA Inputs'!$I$26))</f>
        <v>0</v>
      </c>
    </row>
    <row r="12" customFormat="false" ht="15" hidden="false" customHeight="true" outlineLevel="0" collapsed="false">
      <c r="A12" s="1" t="str">
        <f aca="false">'APA Inputs'!A27</f>
        <v>Pipeline 2</v>
      </c>
      <c r="B12" s="425" t="n">
        <f aca="false">IF('APA Inputs'!$C$27="",0,(IF(AND(B$4&gt;='APA Inputs'!$C$27,B$4&lt;EDATE('APA Inputs'!$C$27,N('APA Inputs'!$D$27))),'APA Inputs'!$J$27,0)+IF(N('APA Inputs'!$H$27)&gt;0,IF(B$4=EDATE('APA Inputs'!$C$27,'APA Inputs'!$H$27-1),N('APA Inputs'!$G$27),0),0))*IF('APA Inputs'!$I$27="",1,'APA Inputs'!$I$27))</f>
        <v>0</v>
      </c>
      <c r="C12" s="425" t="n">
        <f aca="false">IF('APA Inputs'!$C$27="",0,(IF(AND(C$4&gt;='APA Inputs'!$C$27,C$4&lt;EDATE('APA Inputs'!$C$27,N('APA Inputs'!$D$27))),'APA Inputs'!$J$27,0)+IF(N('APA Inputs'!$H$27)&gt;0,IF(C$4=EDATE('APA Inputs'!$C$27,'APA Inputs'!$H$27-1),N('APA Inputs'!$G$27),0),0))*IF('APA Inputs'!$I$27="",1,'APA Inputs'!$I$27))</f>
        <v>0</v>
      </c>
      <c r="D12" s="425" t="n">
        <f aca="false">IF('APA Inputs'!$C$27="",0,(IF(AND(D$4&gt;='APA Inputs'!$C$27,D$4&lt;EDATE('APA Inputs'!$C$27,N('APA Inputs'!$D$27))),'APA Inputs'!$J$27,0)+IF(N('APA Inputs'!$H$27)&gt;0,IF(D$4=EDATE('APA Inputs'!$C$27,'APA Inputs'!$H$27-1),N('APA Inputs'!$G$27),0),0))*IF('APA Inputs'!$I$27="",1,'APA Inputs'!$I$27))</f>
        <v>0</v>
      </c>
      <c r="E12" s="425" t="n">
        <f aca="false">IF('APA Inputs'!$C$27="",0,(IF(AND(E$4&gt;='APA Inputs'!$C$27,E$4&lt;EDATE('APA Inputs'!$C$27,N('APA Inputs'!$D$27))),'APA Inputs'!$J$27,0)+IF(N('APA Inputs'!$H$27)&gt;0,IF(E$4=EDATE('APA Inputs'!$C$27,'APA Inputs'!$H$27-1),N('APA Inputs'!$G$27),0),0))*IF('APA Inputs'!$I$27="",1,'APA Inputs'!$I$27))</f>
        <v>0</v>
      </c>
      <c r="F12" s="425" t="n">
        <f aca="false">IF('APA Inputs'!$C$27="",0,(IF(AND(F$4&gt;='APA Inputs'!$C$27,F$4&lt;EDATE('APA Inputs'!$C$27,N('APA Inputs'!$D$27))),'APA Inputs'!$J$27,0)+IF(N('APA Inputs'!$H$27)&gt;0,IF(F$4=EDATE('APA Inputs'!$C$27,'APA Inputs'!$H$27-1),N('APA Inputs'!$G$27),0),0))*IF('APA Inputs'!$I$27="",1,'APA Inputs'!$I$27))</f>
        <v>0</v>
      </c>
      <c r="G12" s="425" t="n">
        <f aca="false">IF('APA Inputs'!$C$27="",0,(IF(AND(G$4&gt;='APA Inputs'!$C$27,G$4&lt;EDATE('APA Inputs'!$C$27,N('APA Inputs'!$D$27))),'APA Inputs'!$J$27,0)+IF(N('APA Inputs'!$H$27)&gt;0,IF(G$4=EDATE('APA Inputs'!$C$27,'APA Inputs'!$H$27-1),N('APA Inputs'!$G$27),0),0))*IF('APA Inputs'!$I$27="",1,'APA Inputs'!$I$27))</f>
        <v>0</v>
      </c>
      <c r="H12" s="425" t="n">
        <f aca="false">IF('APA Inputs'!$C$27="",0,(IF(AND(H$4&gt;='APA Inputs'!$C$27,H$4&lt;EDATE('APA Inputs'!$C$27,N('APA Inputs'!$D$27))),'APA Inputs'!$J$27,0)+IF(N('APA Inputs'!$H$27)&gt;0,IF(H$4=EDATE('APA Inputs'!$C$27,'APA Inputs'!$H$27-1),N('APA Inputs'!$G$27),0),0))*IF('APA Inputs'!$I$27="",1,'APA Inputs'!$I$27))</f>
        <v>0</v>
      </c>
      <c r="I12" s="425" t="n">
        <f aca="false">IF('APA Inputs'!$C$27="",0,(IF(AND(I$4&gt;='APA Inputs'!$C$27,I$4&lt;EDATE('APA Inputs'!$C$27,N('APA Inputs'!$D$27))),'APA Inputs'!$J$27,0)+IF(N('APA Inputs'!$H$27)&gt;0,IF(I$4=EDATE('APA Inputs'!$C$27,'APA Inputs'!$H$27-1),N('APA Inputs'!$G$27),0),0))*IF('APA Inputs'!$I$27="",1,'APA Inputs'!$I$27))</f>
        <v>0</v>
      </c>
      <c r="J12" s="425" t="n">
        <f aca="false">IF('APA Inputs'!$C$27="",0,(IF(AND(J$4&gt;='APA Inputs'!$C$27,J$4&lt;EDATE('APA Inputs'!$C$27,N('APA Inputs'!$D$27))),'APA Inputs'!$J$27,0)+IF(N('APA Inputs'!$H$27)&gt;0,IF(J$4=EDATE('APA Inputs'!$C$27,'APA Inputs'!$H$27-1),N('APA Inputs'!$G$27),0),0))*IF('APA Inputs'!$I$27="",1,'APA Inputs'!$I$27))</f>
        <v>0</v>
      </c>
      <c r="K12" s="425" t="n">
        <f aca="false">IF('APA Inputs'!$C$27="",0,(IF(AND(K$4&gt;='APA Inputs'!$C$27,K$4&lt;EDATE('APA Inputs'!$C$27,N('APA Inputs'!$D$27))),'APA Inputs'!$J$27,0)+IF(N('APA Inputs'!$H$27)&gt;0,IF(K$4=EDATE('APA Inputs'!$C$27,'APA Inputs'!$H$27-1),N('APA Inputs'!$G$27),0),0))*IF('APA Inputs'!$I$27="",1,'APA Inputs'!$I$27))</f>
        <v>0</v>
      </c>
      <c r="L12" s="425" t="n">
        <f aca="false">IF('APA Inputs'!$C$27="",0,(IF(AND(L$4&gt;='APA Inputs'!$C$27,L$4&lt;EDATE('APA Inputs'!$C$27,N('APA Inputs'!$D$27))),'APA Inputs'!$J$27,0)+IF(N('APA Inputs'!$H$27)&gt;0,IF(L$4=EDATE('APA Inputs'!$C$27,'APA Inputs'!$H$27-1),N('APA Inputs'!$G$27),0),0))*IF('APA Inputs'!$I$27="",1,'APA Inputs'!$I$27))</f>
        <v>0</v>
      </c>
      <c r="M12" s="425" t="n">
        <f aca="false">IF('APA Inputs'!$C$27="",0,(IF(AND(M$4&gt;='APA Inputs'!$C$27,M$4&lt;EDATE('APA Inputs'!$C$27,N('APA Inputs'!$D$27))),'APA Inputs'!$J$27,0)+IF(N('APA Inputs'!$H$27)&gt;0,IF(M$4=EDATE('APA Inputs'!$C$27,'APA Inputs'!$H$27-1),N('APA Inputs'!$G$27),0),0))*IF('APA Inputs'!$I$27="",1,'APA Inputs'!$I$27))</f>
        <v>0</v>
      </c>
      <c r="N12" s="425" t="n">
        <f aca="false">IF('APA Inputs'!$C$27="",0,(IF(AND(N$4&gt;='APA Inputs'!$C$27,N$4&lt;EDATE('APA Inputs'!$C$27,N('APA Inputs'!$D$27))),'APA Inputs'!$J$27,0)+IF(N('APA Inputs'!$H$27)&gt;0,IF(N$4=EDATE('APA Inputs'!$C$27,'APA Inputs'!$H$27-1),N('APA Inputs'!$G$27),0),0))*IF('APA Inputs'!$I$27="",1,'APA Inputs'!$I$27))</f>
        <v>0</v>
      </c>
      <c r="O12" s="425" t="n">
        <f aca="false">IF('APA Inputs'!$C$27="",0,(IF(AND(O$4&gt;='APA Inputs'!$C$27,O$4&lt;EDATE('APA Inputs'!$C$27,N('APA Inputs'!$D$27))),'APA Inputs'!$J$27,0)+IF(N('APA Inputs'!$H$27)&gt;0,IF(O$4=EDATE('APA Inputs'!$C$27,'APA Inputs'!$H$27-1),N('APA Inputs'!$G$27),0),0))*IF('APA Inputs'!$I$27="",1,'APA Inputs'!$I$27))</f>
        <v>0</v>
      </c>
      <c r="P12" s="425" t="n">
        <f aca="false">IF('APA Inputs'!$C$27="",0,(IF(AND(P$4&gt;='APA Inputs'!$C$27,P$4&lt;EDATE('APA Inputs'!$C$27,N('APA Inputs'!$D$27))),'APA Inputs'!$J$27,0)+IF(N('APA Inputs'!$H$27)&gt;0,IF(P$4=EDATE('APA Inputs'!$C$27,'APA Inputs'!$H$27-1),N('APA Inputs'!$G$27),0),0))*IF('APA Inputs'!$I$27="",1,'APA Inputs'!$I$27))</f>
        <v>0</v>
      </c>
      <c r="Q12" s="425" t="n">
        <f aca="false">IF('APA Inputs'!$C$27="",0,(IF(AND(Q$4&gt;='APA Inputs'!$C$27,Q$4&lt;EDATE('APA Inputs'!$C$27,N('APA Inputs'!$D$27))),'APA Inputs'!$J$27,0)+IF(N('APA Inputs'!$H$27)&gt;0,IF(Q$4=EDATE('APA Inputs'!$C$27,'APA Inputs'!$H$27-1),N('APA Inputs'!$G$27),0),0))*IF('APA Inputs'!$I$27="",1,'APA Inputs'!$I$27))</f>
        <v>0</v>
      </c>
      <c r="R12" s="425" t="n">
        <f aca="false">IF('APA Inputs'!$C$27="",0,(IF(AND(R$4&gt;='APA Inputs'!$C$27,R$4&lt;EDATE('APA Inputs'!$C$27,N('APA Inputs'!$D$27))),'APA Inputs'!$J$27,0)+IF(N('APA Inputs'!$H$27)&gt;0,IF(R$4=EDATE('APA Inputs'!$C$27,'APA Inputs'!$H$27-1),N('APA Inputs'!$G$27),0),0))*IF('APA Inputs'!$I$27="",1,'APA Inputs'!$I$27))</f>
        <v>0</v>
      </c>
      <c r="S12" s="425" t="n">
        <f aca="false">IF('APA Inputs'!$C$27="",0,(IF(AND(S$4&gt;='APA Inputs'!$C$27,S$4&lt;EDATE('APA Inputs'!$C$27,N('APA Inputs'!$D$27))),'APA Inputs'!$J$27,0)+IF(N('APA Inputs'!$H$27)&gt;0,IF(S$4=EDATE('APA Inputs'!$C$27,'APA Inputs'!$H$27-1),N('APA Inputs'!$G$27),0),0))*IF('APA Inputs'!$I$27="",1,'APA Inputs'!$I$27))</f>
        <v>0</v>
      </c>
      <c r="T12" s="425" t="n">
        <f aca="false">IF('APA Inputs'!$C$27="",0,(IF(AND(T$4&gt;='APA Inputs'!$C$27,T$4&lt;EDATE('APA Inputs'!$C$27,N('APA Inputs'!$D$27))),'APA Inputs'!$J$27,0)+IF(N('APA Inputs'!$H$27)&gt;0,IF(T$4=EDATE('APA Inputs'!$C$27,'APA Inputs'!$H$27-1),N('APA Inputs'!$G$27),0),0))*IF('APA Inputs'!$I$27="",1,'APA Inputs'!$I$27))</f>
        <v>0</v>
      </c>
      <c r="U12" s="425" t="n">
        <f aca="false">IF('APA Inputs'!$C$27="",0,(IF(AND(U$4&gt;='APA Inputs'!$C$27,U$4&lt;EDATE('APA Inputs'!$C$27,N('APA Inputs'!$D$27))),'APA Inputs'!$J$27,0)+IF(N('APA Inputs'!$H$27)&gt;0,IF(U$4=EDATE('APA Inputs'!$C$27,'APA Inputs'!$H$27-1),N('APA Inputs'!$G$27),0),0))*IF('APA Inputs'!$I$27="",1,'APA Inputs'!$I$27))</f>
        <v>0</v>
      </c>
      <c r="V12" s="425" t="n">
        <f aca="false">IF('APA Inputs'!$C$27="",0,(IF(AND(V$4&gt;='APA Inputs'!$C$27,V$4&lt;EDATE('APA Inputs'!$C$27,N('APA Inputs'!$D$27))),'APA Inputs'!$J$27,0)+IF(N('APA Inputs'!$H$27)&gt;0,IF(V$4=EDATE('APA Inputs'!$C$27,'APA Inputs'!$H$27-1),N('APA Inputs'!$G$27),0),0))*IF('APA Inputs'!$I$27="",1,'APA Inputs'!$I$27))</f>
        <v>0</v>
      </c>
      <c r="W12" s="425" t="n">
        <f aca="false">IF('APA Inputs'!$C$27="",0,(IF(AND(W$4&gt;='APA Inputs'!$C$27,W$4&lt;EDATE('APA Inputs'!$C$27,N('APA Inputs'!$D$27))),'APA Inputs'!$J$27,0)+IF(N('APA Inputs'!$H$27)&gt;0,IF(W$4=EDATE('APA Inputs'!$C$27,'APA Inputs'!$H$27-1),N('APA Inputs'!$G$27),0),0))*IF('APA Inputs'!$I$27="",1,'APA Inputs'!$I$27))</f>
        <v>0</v>
      </c>
      <c r="X12" s="425" t="n">
        <f aca="false">IF('APA Inputs'!$C$27="",0,(IF(AND(X$4&gt;='APA Inputs'!$C$27,X$4&lt;EDATE('APA Inputs'!$C$27,N('APA Inputs'!$D$27))),'APA Inputs'!$J$27,0)+IF(N('APA Inputs'!$H$27)&gt;0,IF(X$4=EDATE('APA Inputs'!$C$27,'APA Inputs'!$H$27-1),N('APA Inputs'!$G$27),0),0))*IF('APA Inputs'!$I$27="",1,'APA Inputs'!$I$27))</f>
        <v>0</v>
      </c>
      <c r="Y12" s="425" t="n">
        <f aca="false">IF('APA Inputs'!$C$27="",0,(IF(AND(Y$4&gt;='APA Inputs'!$C$27,Y$4&lt;EDATE('APA Inputs'!$C$27,N('APA Inputs'!$D$27))),'APA Inputs'!$J$27,0)+IF(N('APA Inputs'!$H$27)&gt;0,IF(Y$4=EDATE('APA Inputs'!$C$27,'APA Inputs'!$H$27-1),N('APA Inputs'!$G$27),0),0))*IF('APA Inputs'!$I$27="",1,'APA Inputs'!$I$27))</f>
        <v>0</v>
      </c>
      <c r="Z12" s="425" t="n">
        <f aca="false">IF('APA Inputs'!$C$27="",0,(IF(AND(Z$4&gt;='APA Inputs'!$C$27,Z$4&lt;EDATE('APA Inputs'!$C$27,N('APA Inputs'!$D$27))),'APA Inputs'!$J$27,0)+IF(N('APA Inputs'!$H$27)&gt;0,IF(Z$4=EDATE('APA Inputs'!$C$27,'APA Inputs'!$H$27-1),N('APA Inputs'!$G$27),0),0))*IF('APA Inputs'!$I$27="",1,'APA Inputs'!$I$27))</f>
        <v>0</v>
      </c>
      <c r="AA12" s="425" t="n">
        <f aca="false">IF('APA Inputs'!$C$27="",0,(IF(AND(AA$4&gt;='APA Inputs'!$C$27,AA$4&lt;EDATE('APA Inputs'!$C$27,N('APA Inputs'!$D$27))),'APA Inputs'!$J$27,0)+IF(N('APA Inputs'!$H$27)&gt;0,IF(AA$4=EDATE('APA Inputs'!$C$27,'APA Inputs'!$H$27-1),N('APA Inputs'!$G$27),0),0))*IF('APA Inputs'!$I$27="",1,'APA Inputs'!$I$27))</f>
        <v>0</v>
      </c>
      <c r="AB12" s="425" t="n">
        <f aca="false">IF('APA Inputs'!$C$27="",0,(IF(AND(AB$4&gt;='APA Inputs'!$C$27,AB$4&lt;EDATE('APA Inputs'!$C$27,N('APA Inputs'!$D$27))),'APA Inputs'!$J$27,0)+IF(N('APA Inputs'!$H$27)&gt;0,IF(AB$4=EDATE('APA Inputs'!$C$27,'APA Inputs'!$H$27-1),N('APA Inputs'!$G$27),0),0))*IF('APA Inputs'!$I$27="",1,'APA Inputs'!$I$27))</f>
        <v>0</v>
      </c>
      <c r="AC12" s="425" t="n">
        <f aca="false">IF('APA Inputs'!$C$27="",0,(IF(AND(AC$4&gt;='APA Inputs'!$C$27,AC$4&lt;EDATE('APA Inputs'!$C$27,N('APA Inputs'!$D$27))),'APA Inputs'!$J$27,0)+IF(N('APA Inputs'!$H$27)&gt;0,IF(AC$4=EDATE('APA Inputs'!$C$27,'APA Inputs'!$H$27-1),N('APA Inputs'!$G$27),0),0))*IF('APA Inputs'!$I$27="",1,'APA Inputs'!$I$27))</f>
        <v>0</v>
      </c>
      <c r="AD12" s="425" t="n">
        <f aca="false">IF('APA Inputs'!$C$27="",0,(IF(AND(AD$4&gt;='APA Inputs'!$C$27,AD$4&lt;EDATE('APA Inputs'!$C$27,N('APA Inputs'!$D$27))),'APA Inputs'!$J$27,0)+IF(N('APA Inputs'!$H$27)&gt;0,IF(AD$4=EDATE('APA Inputs'!$C$27,'APA Inputs'!$H$27-1),N('APA Inputs'!$G$27),0),0))*IF('APA Inputs'!$I$27="",1,'APA Inputs'!$I$27))</f>
        <v>0</v>
      </c>
      <c r="AE12" s="425" t="n">
        <f aca="false">IF('APA Inputs'!$C$27="",0,(IF(AND(AE$4&gt;='APA Inputs'!$C$27,AE$4&lt;EDATE('APA Inputs'!$C$27,N('APA Inputs'!$D$27))),'APA Inputs'!$J$27,0)+IF(N('APA Inputs'!$H$27)&gt;0,IF(AE$4=EDATE('APA Inputs'!$C$27,'APA Inputs'!$H$27-1),N('APA Inputs'!$G$27),0),0))*IF('APA Inputs'!$I$27="",1,'APA Inputs'!$I$27))</f>
        <v>0</v>
      </c>
      <c r="AF12" s="425" t="n">
        <f aca="false">IF('APA Inputs'!$C$27="",0,(IF(AND(AF$4&gt;='APA Inputs'!$C$27,AF$4&lt;EDATE('APA Inputs'!$C$27,N('APA Inputs'!$D$27))),'APA Inputs'!$J$27,0)+IF(N('APA Inputs'!$H$27)&gt;0,IF(AF$4=EDATE('APA Inputs'!$C$27,'APA Inputs'!$H$27-1),N('APA Inputs'!$G$27),0),0))*IF('APA Inputs'!$I$27="",1,'APA Inputs'!$I$27))</f>
        <v>0</v>
      </c>
      <c r="AG12" s="425" t="n">
        <f aca="false">IF('APA Inputs'!$C$27="",0,(IF(AND(AG$4&gt;='APA Inputs'!$C$27,AG$4&lt;EDATE('APA Inputs'!$C$27,N('APA Inputs'!$D$27))),'APA Inputs'!$J$27,0)+IF(N('APA Inputs'!$H$27)&gt;0,IF(AG$4=EDATE('APA Inputs'!$C$27,'APA Inputs'!$H$27-1),N('APA Inputs'!$G$27),0),0))*IF('APA Inputs'!$I$27="",1,'APA Inputs'!$I$27))</f>
        <v>0</v>
      </c>
      <c r="AH12" s="425" t="n">
        <f aca="false">IF('APA Inputs'!$C$27="",0,(IF(AND(AH$4&gt;='APA Inputs'!$C$27,AH$4&lt;EDATE('APA Inputs'!$C$27,N('APA Inputs'!$D$27))),'APA Inputs'!$J$27,0)+IF(N('APA Inputs'!$H$27)&gt;0,IF(AH$4=EDATE('APA Inputs'!$C$27,'APA Inputs'!$H$27-1),N('APA Inputs'!$G$27),0),0))*IF('APA Inputs'!$I$27="",1,'APA Inputs'!$I$27))</f>
        <v>0</v>
      </c>
      <c r="AI12" s="425" t="n">
        <f aca="false">IF('APA Inputs'!$C$27="",0,(IF(AND(AI$4&gt;='APA Inputs'!$C$27,AI$4&lt;EDATE('APA Inputs'!$C$27,N('APA Inputs'!$D$27))),'APA Inputs'!$J$27,0)+IF(N('APA Inputs'!$H$27)&gt;0,IF(AI$4=EDATE('APA Inputs'!$C$27,'APA Inputs'!$H$27-1),N('APA Inputs'!$G$27),0),0))*IF('APA Inputs'!$I$27="",1,'APA Inputs'!$I$27))</f>
        <v>0</v>
      </c>
      <c r="AJ12" s="425" t="n">
        <f aca="false">IF('APA Inputs'!$C$27="",0,(IF(AND(AJ$4&gt;='APA Inputs'!$C$27,AJ$4&lt;EDATE('APA Inputs'!$C$27,N('APA Inputs'!$D$27))),'APA Inputs'!$J$27,0)+IF(N('APA Inputs'!$H$27)&gt;0,IF(AJ$4=EDATE('APA Inputs'!$C$27,'APA Inputs'!$H$27-1),N('APA Inputs'!$G$27),0),0))*IF('APA Inputs'!$I$27="",1,'APA Inputs'!$I$27))</f>
        <v>0</v>
      </c>
      <c r="AK12" s="425" t="n">
        <f aca="false">IF('APA Inputs'!$C$27="",0,(IF(AND(AK$4&gt;='APA Inputs'!$C$27,AK$4&lt;EDATE('APA Inputs'!$C$27,N('APA Inputs'!$D$27))),'APA Inputs'!$J$27,0)+IF(N('APA Inputs'!$H$27)&gt;0,IF(AK$4=EDATE('APA Inputs'!$C$27,'APA Inputs'!$H$27-1),N('APA Inputs'!$G$27),0),0))*IF('APA Inputs'!$I$27="",1,'APA Inputs'!$I$27))</f>
        <v>0</v>
      </c>
      <c r="AL12" s="425" t="n">
        <f aca="false">IF('APA Inputs'!$C$27="",0,(IF(AND(AL$4&gt;='APA Inputs'!$C$27,AL$4&lt;EDATE('APA Inputs'!$C$27,N('APA Inputs'!$D$27))),'APA Inputs'!$J$27,0)+IF(N('APA Inputs'!$H$27)&gt;0,IF(AL$4=EDATE('APA Inputs'!$C$27,'APA Inputs'!$H$27-1),N('APA Inputs'!$G$27),0),0))*IF('APA Inputs'!$I$27="",1,'APA Inputs'!$I$27))</f>
        <v>0</v>
      </c>
      <c r="AM12" s="425" t="n">
        <f aca="false">IF('APA Inputs'!$C$27="",0,(IF(AND(AM$4&gt;='APA Inputs'!$C$27,AM$4&lt;EDATE('APA Inputs'!$C$27,N('APA Inputs'!$D$27))),'APA Inputs'!$J$27,0)+IF(N('APA Inputs'!$H$27)&gt;0,IF(AM$4=EDATE('APA Inputs'!$C$27,'APA Inputs'!$H$27-1),N('APA Inputs'!$G$27),0),0))*IF('APA Inputs'!$I$27="",1,'APA Inputs'!$I$27))</f>
        <v>0</v>
      </c>
      <c r="AN12" s="425" t="n">
        <f aca="false">IF('APA Inputs'!$C$27="",0,(IF(AND(AN$4&gt;='APA Inputs'!$C$27,AN$4&lt;EDATE('APA Inputs'!$C$27,N('APA Inputs'!$D$27))),'APA Inputs'!$J$27,0)+IF(N('APA Inputs'!$H$27)&gt;0,IF(AN$4=EDATE('APA Inputs'!$C$27,'APA Inputs'!$H$27-1),N('APA Inputs'!$G$27),0),0))*IF('APA Inputs'!$I$27="",1,'APA Inputs'!$I$27))</f>
        <v>0</v>
      </c>
      <c r="AO12" s="425" t="n">
        <f aca="false">IF('APA Inputs'!$C$27="",0,(IF(AND(AO$4&gt;='APA Inputs'!$C$27,AO$4&lt;EDATE('APA Inputs'!$C$27,N('APA Inputs'!$D$27))),'APA Inputs'!$J$27,0)+IF(N('APA Inputs'!$H$27)&gt;0,IF(AO$4=EDATE('APA Inputs'!$C$27,'APA Inputs'!$H$27-1),N('APA Inputs'!$G$27),0),0))*IF('APA Inputs'!$I$27="",1,'APA Inputs'!$I$27))</f>
        <v>0</v>
      </c>
      <c r="AP12" s="425" t="n">
        <f aca="false">IF('APA Inputs'!$C$27="",0,(IF(AND(AP$4&gt;='APA Inputs'!$C$27,AP$4&lt;EDATE('APA Inputs'!$C$27,N('APA Inputs'!$D$27))),'APA Inputs'!$J$27,0)+IF(N('APA Inputs'!$H$27)&gt;0,IF(AP$4=EDATE('APA Inputs'!$C$27,'APA Inputs'!$H$27-1),N('APA Inputs'!$G$27),0),0))*IF('APA Inputs'!$I$27="",1,'APA Inputs'!$I$27))</f>
        <v>0</v>
      </c>
      <c r="AQ12" s="425" t="n">
        <f aca="false">IF('APA Inputs'!$C$27="",0,(IF(AND(AQ$4&gt;='APA Inputs'!$C$27,AQ$4&lt;EDATE('APA Inputs'!$C$27,N('APA Inputs'!$D$27))),'APA Inputs'!$J$27,0)+IF(N('APA Inputs'!$H$27)&gt;0,IF(AQ$4=EDATE('APA Inputs'!$C$27,'APA Inputs'!$H$27-1),N('APA Inputs'!$G$27),0),0))*IF('APA Inputs'!$I$27="",1,'APA Inputs'!$I$27))</f>
        <v>0</v>
      </c>
      <c r="AR12" s="425" t="n">
        <f aca="false">IF('APA Inputs'!$C$27="",0,(IF(AND(AR$4&gt;='APA Inputs'!$C$27,AR$4&lt;EDATE('APA Inputs'!$C$27,N('APA Inputs'!$D$27))),'APA Inputs'!$J$27,0)+IF(N('APA Inputs'!$H$27)&gt;0,IF(AR$4=EDATE('APA Inputs'!$C$27,'APA Inputs'!$H$27-1),N('APA Inputs'!$G$27),0),0))*IF('APA Inputs'!$I$27="",1,'APA Inputs'!$I$27))</f>
        <v>0</v>
      </c>
      <c r="AS12" s="425" t="n">
        <f aca="false">IF('APA Inputs'!$C$27="",0,(IF(AND(AS$4&gt;='APA Inputs'!$C$27,AS$4&lt;EDATE('APA Inputs'!$C$27,N('APA Inputs'!$D$27))),'APA Inputs'!$J$27,0)+IF(N('APA Inputs'!$H$27)&gt;0,IF(AS$4=EDATE('APA Inputs'!$C$27,'APA Inputs'!$H$27-1),N('APA Inputs'!$G$27),0),0))*IF('APA Inputs'!$I$27="",1,'APA Inputs'!$I$27))</f>
        <v>0</v>
      </c>
      <c r="AT12" s="425" t="n">
        <f aca="false">IF('APA Inputs'!$C$27="",0,(IF(AND(AT$4&gt;='APA Inputs'!$C$27,AT$4&lt;EDATE('APA Inputs'!$C$27,N('APA Inputs'!$D$27))),'APA Inputs'!$J$27,0)+IF(N('APA Inputs'!$H$27)&gt;0,IF(AT$4=EDATE('APA Inputs'!$C$27,'APA Inputs'!$H$27-1),N('APA Inputs'!$G$27),0),0))*IF('APA Inputs'!$I$27="",1,'APA Inputs'!$I$27))</f>
        <v>0</v>
      </c>
      <c r="AU12" s="425" t="n">
        <f aca="false">IF('APA Inputs'!$C$27="",0,(IF(AND(AU$4&gt;='APA Inputs'!$C$27,AU$4&lt;EDATE('APA Inputs'!$C$27,N('APA Inputs'!$D$27))),'APA Inputs'!$J$27,0)+IF(N('APA Inputs'!$H$27)&gt;0,IF(AU$4=EDATE('APA Inputs'!$C$27,'APA Inputs'!$H$27-1),N('APA Inputs'!$G$27),0),0))*IF('APA Inputs'!$I$27="",1,'APA Inputs'!$I$27))</f>
        <v>0</v>
      </c>
      <c r="AV12" s="425" t="n">
        <f aca="false">IF('APA Inputs'!$C$27="",0,(IF(AND(AV$4&gt;='APA Inputs'!$C$27,AV$4&lt;EDATE('APA Inputs'!$C$27,N('APA Inputs'!$D$27))),'APA Inputs'!$J$27,0)+IF(N('APA Inputs'!$H$27)&gt;0,IF(AV$4=EDATE('APA Inputs'!$C$27,'APA Inputs'!$H$27-1),N('APA Inputs'!$G$27),0),0))*IF('APA Inputs'!$I$27="",1,'APA Inputs'!$I$27))</f>
        <v>0</v>
      </c>
      <c r="AW12" s="425" t="n">
        <f aca="false">IF('APA Inputs'!$C$27="",0,(IF(AND(AW$4&gt;='APA Inputs'!$C$27,AW$4&lt;EDATE('APA Inputs'!$C$27,N('APA Inputs'!$D$27))),'APA Inputs'!$J$27,0)+IF(N('APA Inputs'!$H$27)&gt;0,IF(AW$4=EDATE('APA Inputs'!$C$27,'APA Inputs'!$H$27-1),N('APA Inputs'!$G$27),0),0))*IF('APA Inputs'!$I$27="",1,'APA Inputs'!$I$27))</f>
        <v>0</v>
      </c>
      <c r="AX12" s="425" t="n">
        <f aca="false">IF('APA Inputs'!$C$27="",0,(IF(AND(AX$4&gt;='APA Inputs'!$C$27,AX$4&lt;EDATE('APA Inputs'!$C$27,N('APA Inputs'!$D$27))),'APA Inputs'!$J$27,0)+IF(N('APA Inputs'!$H$27)&gt;0,IF(AX$4=EDATE('APA Inputs'!$C$27,'APA Inputs'!$H$27-1),N('APA Inputs'!$G$27),0),0))*IF('APA Inputs'!$I$27="",1,'APA Inputs'!$I$27))</f>
        <v>0</v>
      </c>
      <c r="AY12" s="425" t="n">
        <f aca="false">IF('APA Inputs'!$C$27="",0,(IF(AND(AY$4&gt;='APA Inputs'!$C$27,AY$4&lt;EDATE('APA Inputs'!$C$27,N('APA Inputs'!$D$27))),'APA Inputs'!$J$27,0)+IF(N('APA Inputs'!$H$27)&gt;0,IF(AY$4=EDATE('APA Inputs'!$C$27,'APA Inputs'!$H$27-1),N('APA Inputs'!$G$27),0),0))*IF('APA Inputs'!$I$27="",1,'APA Inputs'!$I$27))</f>
        <v>0</v>
      </c>
      <c r="AZ12" s="425" t="n">
        <f aca="false">IF('APA Inputs'!$C$27="",0,(IF(AND(AZ$4&gt;='APA Inputs'!$C$27,AZ$4&lt;EDATE('APA Inputs'!$C$27,N('APA Inputs'!$D$27))),'APA Inputs'!$J$27,0)+IF(N('APA Inputs'!$H$27)&gt;0,IF(AZ$4=EDATE('APA Inputs'!$C$27,'APA Inputs'!$H$27-1),N('APA Inputs'!$G$27),0),0))*IF('APA Inputs'!$I$27="",1,'APA Inputs'!$I$27))</f>
        <v>0</v>
      </c>
      <c r="BA12" s="425" t="n">
        <f aca="false">IF('APA Inputs'!$C$27="",0,(IF(AND(BA$4&gt;='APA Inputs'!$C$27,BA$4&lt;EDATE('APA Inputs'!$C$27,N('APA Inputs'!$D$27))),'APA Inputs'!$J$27,0)+IF(N('APA Inputs'!$H$27)&gt;0,IF(BA$4=EDATE('APA Inputs'!$C$27,'APA Inputs'!$H$27-1),N('APA Inputs'!$G$27),0),0))*IF('APA Inputs'!$I$27="",1,'APA Inputs'!$I$27))</f>
        <v>0</v>
      </c>
      <c r="BB12" s="425" t="n">
        <f aca="false">IF('APA Inputs'!$C$27="",0,(IF(AND(BB$4&gt;='APA Inputs'!$C$27,BB$4&lt;EDATE('APA Inputs'!$C$27,N('APA Inputs'!$D$27))),'APA Inputs'!$J$27,0)+IF(N('APA Inputs'!$H$27)&gt;0,IF(BB$4=EDATE('APA Inputs'!$C$27,'APA Inputs'!$H$27-1),N('APA Inputs'!$G$27),0),0))*IF('APA Inputs'!$I$27="",1,'APA Inputs'!$I$27))</f>
        <v>0</v>
      </c>
      <c r="BC12" s="425" t="n">
        <f aca="false">IF('APA Inputs'!$C$27="",0,(IF(AND(BC$4&gt;='APA Inputs'!$C$27,BC$4&lt;EDATE('APA Inputs'!$C$27,N('APA Inputs'!$D$27))),'APA Inputs'!$J$27,0)+IF(N('APA Inputs'!$H$27)&gt;0,IF(BC$4=EDATE('APA Inputs'!$C$27,'APA Inputs'!$H$27-1),N('APA Inputs'!$G$27),0),0))*IF('APA Inputs'!$I$27="",1,'APA Inputs'!$I$27))</f>
        <v>0</v>
      </c>
      <c r="BD12" s="425" t="n">
        <f aca="false">IF('APA Inputs'!$C$27="",0,(IF(AND(BD$4&gt;='APA Inputs'!$C$27,BD$4&lt;EDATE('APA Inputs'!$C$27,N('APA Inputs'!$D$27))),'APA Inputs'!$J$27,0)+IF(N('APA Inputs'!$H$27)&gt;0,IF(BD$4=EDATE('APA Inputs'!$C$27,'APA Inputs'!$H$27-1),N('APA Inputs'!$G$27),0),0))*IF('APA Inputs'!$I$27="",1,'APA Inputs'!$I$27))</f>
        <v>0</v>
      </c>
      <c r="BE12" s="425" t="n">
        <f aca="false">IF('APA Inputs'!$C$27="",0,(IF(AND(BE$4&gt;='APA Inputs'!$C$27,BE$4&lt;EDATE('APA Inputs'!$C$27,N('APA Inputs'!$D$27))),'APA Inputs'!$J$27,0)+IF(N('APA Inputs'!$H$27)&gt;0,IF(BE$4=EDATE('APA Inputs'!$C$27,'APA Inputs'!$H$27-1),N('APA Inputs'!$G$27),0),0))*IF('APA Inputs'!$I$27="",1,'APA Inputs'!$I$27))</f>
        <v>0</v>
      </c>
      <c r="BF12" s="425" t="n">
        <f aca="false">IF('APA Inputs'!$C$27="",0,(IF(AND(BF$4&gt;='APA Inputs'!$C$27,BF$4&lt;EDATE('APA Inputs'!$C$27,N('APA Inputs'!$D$27))),'APA Inputs'!$J$27,0)+IF(N('APA Inputs'!$H$27)&gt;0,IF(BF$4=EDATE('APA Inputs'!$C$27,'APA Inputs'!$H$27-1),N('APA Inputs'!$G$27),0),0))*IF('APA Inputs'!$I$27="",1,'APA Inputs'!$I$27))</f>
        <v>0</v>
      </c>
      <c r="BG12" s="425" t="n">
        <f aca="false">IF('APA Inputs'!$C$27="",0,(IF(AND(BG$4&gt;='APA Inputs'!$C$27,BG$4&lt;EDATE('APA Inputs'!$C$27,N('APA Inputs'!$D$27))),'APA Inputs'!$J$27,0)+IF(N('APA Inputs'!$H$27)&gt;0,IF(BG$4=EDATE('APA Inputs'!$C$27,'APA Inputs'!$H$27-1),N('APA Inputs'!$G$27),0),0))*IF('APA Inputs'!$I$27="",1,'APA Inputs'!$I$27))</f>
        <v>0</v>
      </c>
      <c r="BH12" s="425" t="n">
        <f aca="false">IF('APA Inputs'!$C$27="",0,(IF(AND(BH$4&gt;='APA Inputs'!$C$27,BH$4&lt;EDATE('APA Inputs'!$C$27,N('APA Inputs'!$D$27))),'APA Inputs'!$J$27,0)+IF(N('APA Inputs'!$H$27)&gt;0,IF(BH$4=EDATE('APA Inputs'!$C$27,'APA Inputs'!$H$27-1),N('APA Inputs'!$G$27),0),0))*IF('APA Inputs'!$I$27="",1,'APA Inputs'!$I$27))</f>
        <v>0</v>
      </c>
      <c r="BI12" s="425" t="n">
        <f aca="false">IF('APA Inputs'!$C$27="",0,(IF(AND(BI$4&gt;='APA Inputs'!$C$27,BI$4&lt;EDATE('APA Inputs'!$C$27,N('APA Inputs'!$D$27))),'APA Inputs'!$J$27,0)+IF(N('APA Inputs'!$H$27)&gt;0,IF(BI$4=EDATE('APA Inputs'!$C$27,'APA Inputs'!$H$27-1),N('APA Inputs'!$G$27),0),0))*IF('APA Inputs'!$I$27="",1,'APA Inputs'!$I$27))</f>
        <v>0</v>
      </c>
      <c r="BJ12" s="425" t="n">
        <f aca="false">IF('APA Inputs'!$C$27="",0,(IF(AND(BJ$4&gt;='APA Inputs'!$C$27,BJ$4&lt;EDATE('APA Inputs'!$C$27,N('APA Inputs'!$D$27))),'APA Inputs'!$J$27,0)+IF(N('APA Inputs'!$H$27)&gt;0,IF(BJ$4=EDATE('APA Inputs'!$C$27,'APA Inputs'!$H$27-1),N('APA Inputs'!$G$27),0),0))*IF('APA Inputs'!$I$27="",1,'APA Inputs'!$I$27))</f>
        <v>0</v>
      </c>
      <c r="BK12" s="425" t="n">
        <f aca="false">IF('APA Inputs'!$C$27="",0,(IF(AND(BK$4&gt;='APA Inputs'!$C$27,BK$4&lt;EDATE('APA Inputs'!$C$27,N('APA Inputs'!$D$27))),'APA Inputs'!$J$27,0)+IF(N('APA Inputs'!$H$27)&gt;0,IF(BK$4=EDATE('APA Inputs'!$C$27,'APA Inputs'!$H$27-1),N('APA Inputs'!$G$27),0),0))*IF('APA Inputs'!$I$27="",1,'APA Inputs'!$I$27))</f>
        <v>0</v>
      </c>
      <c r="BL12" s="425" t="n">
        <f aca="false">IF('APA Inputs'!$C$27="",0,(IF(AND(BL$4&gt;='APA Inputs'!$C$27,BL$4&lt;EDATE('APA Inputs'!$C$27,N('APA Inputs'!$D$27))),'APA Inputs'!$J$27,0)+IF(N('APA Inputs'!$H$27)&gt;0,IF(BL$4=EDATE('APA Inputs'!$C$27,'APA Inputs'!$H$27-1),N('APA Inputs'!$G$27),0),0))*IF('APA Inputs'!$I$27="",1,'APA Inputs'!$I$27))</f>
        <v>0</v>
      </c>
      <c r="BM12" s="425" t="n">
        <f aca="false">IF('APA Inputs'!$C$27="",0,(IF(AND(BM$4&gt;='APA Inputs'!$C$27,BM$4&lt;EDATE('APA Inputs'!$C$27,N('APA Inputs'!$D$27))),'APA Inputs'!$J$27,0)+IF(N('APA Inputs'!$H$27)&gt;0,IF(BM$4=EDATE('APA Inputs'!$C$27,'APA Inputs'!$H$27-1),N('APA Inputs'!$G$27),0),0))*IF('APA Inputs'!$I$27="",1,'APA Inputs'!$I$27))</f>
        <v>0</v>
      </c>
      <c r="BN12" s="425" t="n">
        <f aca="false">IF('APA Inputs'!$C$27="",0,(IF(AND(BN$4&gt;='APA Inputs'!$C$27,BN$4&lt;EDATE('APA Inputs'!$C$27,N('APA Inputs'!$D$27))),'APA Inputs'!$J$27,0)+IF(N('APA Inputs'!$H$27)&gt;0,IF(BN$4=EDATE('APA Inputs'!$C$27,'APA Inputs'!$H$27-1),N('APA Inputs'!$G$27),0),0))*IF('APA Inputs'!$I$27="",1,'APA Inputs'!$I$27))</f>
        <v>0</v>
      </c>
      <c r="BO12" s="425" t="n">
        <f aca="false">IF('APA Inputs'!$C$27="",0,(IF(AND(BO$4&gt;='APA Inputs'!$C$27,BO$4&lt;EDATE('APA Inputs'!$C$27,N('APA Inputs'!$D$27))),'APA Inputs'!$J$27,0)+IF(N('APA Inputs'!$H$27)&gt;0,IF(BO$4=EDATE('APA Inputs'!$C$27,'APA Inputs'!$H$27-1),N('APA Inputs'!$G$27),0),0))*IF('APA Inputs'!$I$27="",1,'APA Inputs'!$I$27))</f>
        <v>0</v>
      </c>
      <c r="BP12" s="425" t="n">
        <f aca="false">IF('APA Inputs'!$C$27="",0,(IF(AND(BP$4&gt;='APA Inputs'!$C$27,BP$4&lt;EDATE('APA Inputs'!$C$27,N('APA Inputs'!$D$27))),'APA Inputs'!$J$27,0)+IF(N('APA Inputs'!$H$27)&gt;0,IF(BP$4=EDATE('APA Inputs'!$C$27,'APA Inputs'!$H$27-1),N('APA Inputs'!$G$27),0),0))*IF('APA Inputs'!$I$27="",1,'APA Inputs'!$I$27))</f>
        <v>0</v>
      </c>
      <c r="BQ12" s="425" t="n">
        <f aca="false">IF('APA Inputs'!$C$27="",0,(IF(AND(BQ$4&gt;='APA Inputs'!$C$27,BQ$4&lt;EDATE('APA Inputs'!$C$27,N('APA Inputs'!$D$27))),'APA Inputs'!$J$27,0)+IF(N('APA Inputs'!$H$27)&gt;0,IF(BQ$4=EDATE('APA Inputs'!$C$27,'APA Inputs'!$H$27-1),N('APA Inputs'!$G$27),0),0))*IF('APA Inputs'!$I$27="",1,'APA Inputs'!$I$27))</f>
        <v>0</v>
      </c>
      <c r="BR12" s="425" t="n">
        <f aca="false">IF('APA Inputs'!$C$27="",0,(IF(AND(BR$4&gt;='APA Inputs'!$C$27,BR$4&lt;EDATE('APA Inputs'!$C$27,N('APA Inputs'!$D$27))),'APA Inputs'!$J$27,0)+IF(N('APA Inputs'!$H$27)&gt;0,IF(BR$4=EDATE('APA Inputs'!$C$27,'APA Inputs'!$H$27-1),N('APA Inputs'!$G$27),0),0))*IF('APA Inputs'!$I$27="",1,'APA Inputs'!$I$27))</f>
        <v>0</v>
      </c>
      <c r="BS12" s="425" t="n">
        <f aca="false">IF('APA Inputs'!$C$27="",0,(IF(AND(BS$4&gt;='APA Inputs'!$C$27,BS$4&lt;EDATE('APA Inputs'!$C$27,N('APA Inputs'!$D$27))),'APA Inputs'!$J$27,0)+IF(N('APA Inputs'!$H$27)&gt;0,IF(BS$4=EDATE('APA Inputs'!$C$27,'APA Inputs'!$H$27-1),N('APA Inputs'!$G$27),0),0))*IF('APA Inputs'!$I$27="",1,'APA Inputs'!$I$27))</f>
        <v>0</v>
      </c>
      <c r="BT12" s="425" t="n">
        <f aca="false">IF('APA Inputs'!$C$27="",0,(IF(AND(BT$4&gt;='APA Inputs'!$C$27,BT$4&lt;EDATE('APA Inputs'!$C$27,N('APA Inputs'!$D$27))),'APA Inputs'!$J$27,0)+IF(N('APA Inputs'!$H$27)&gt;0,IF(BT$4=EDATE('APA Inputs'!$C$27,'APA Inputs'!$H$27-1),N('APA Inputs'!$G$27),0),0))*IF('APA Inputs'!$I$27="",1,'APA Inputs'!$I$27))</f>
        <v>0</v>
      </c>
      <c r="BU12" s="425" t="n">
        <f aca="false">IF('APA Inputs'!$C$27="",0,(IF(AND(BU$4&gt;='APA Inputs'!$C$27,BU$4&lt;EDATE('APA Inputs'!$C$27,N('APA Inputs'!$D$27))),'APA Inputs'!$J$27,0)+IF(N('APA Inputs'!$H$27)&gt;0,IF(BU$4=EDATE('APA Inputs'!$C$27,'APA Inputs'!$H$27-1),N('APA Inputs'!$G$27),0),0))*IF('APA Inputs'!$I$27="",1,'APA Inputs'!$I$27))</f>
        <v>0</v>
      </c>
      <c r="BV12" s="425" t="n">
        <f aca="false">IF('APA Inputs'!$C$27="",0,(IF(AND(BV$4&gt;='APA Inputs'!$C$27,BV$4&lt;EDATE('APA Inputs'!$C$27,N('APA Inputs'!$D$27))),'APA Inputs'!$J$27,0)+IF(N('APA Inputs'!$H$27)&gt;0,IF(BV$4=EDATE('APA Inputs'!$C$27,'APA Inputs'!$H$27-1),N('APA Inputs'!$G$27),0),0))*IF('APA Inputs'!$I$27="",1,'APA Inputs'!$I$27))</f>
        <v>0</v>
      </c>
      <c r="BW12" s="425" t="n">
        <f aca="false">IF('APA Inputs'!$C$27="",0,(IF(AND(BW$4&gt;='APA Inputs'!$C$27,BW$4&lt;EDATE('APA Inputs'!$C$27,N('APA Inputs'!$D$27))),'APA Inputs'!$J$27,0)+IF(N('APA Inputs'!$H$27)&gt;0,IF(BW$4=EDATE('APA Inputs'!$C$27,'APA Inputs'!$H$27-1),N('APA Inputs'!$G$27),0),0))*IF('APA Inputs'!$I$27="",1,'APA Inputs'!$I$27))</f>
        <v>0</v>
      </c>
      <c r="BX12" s="425" t="n">
        <f aca="false">IF('APA Inputs'!$C$27="",0,(IF(AND(BX$4&gt;='APA Inputs'!$C$27,BX$4&lt;EDATE('APA Inputs'!$C$27,N('APA Inputs'!$D$27))),'APA Inputs'!$J$27,0)+IF(N('APA Inputs'!$H$27)&gt;0,IF(BX$4=EDATE('APA Inputs'!$C$27,'APA Inputs'!$H$27-1),N('APA Inputs'!$G$27),0),0))*IF('APA Inputs'!$I$27="",1,'APA Inputs'!$I$27))</f>
        <v>0</v>
      </c>
      <c r="BY12" s="425" t="n">
        <f aca="false">IF('APA Inputs'!$C$27="",0,(IF(AND(BY$4&gt;='APA Inputs'!$C$27,BY$4&lt;EDATE('APA Inputs'!$C$27,N('APA Inputs'!$D$27))),'APA Inputs'!$J$27,0)+IF(N('APA Inputs'!$H$27)&gt;0,IF(BY$4=EDATE('APA Inputs'!$C$27,'APA Inputs'!$H$27-1),N('APA Inputs'!$G$27),0),0))*IF('APA Inputs'!$I$27="",1,'APA Inputs'!$I$27))</f>
        <v>0</v>
      </c>
      <c r="BZ12" s="425" t="n">
        <f aca="false">IF('APA Inputs'!$C$27="",0,(IF(AND(BZ$4&gt;='APA Inputs'!$C$27,BZ$4&lt;EDATE('APA Inputs'!$C$27,N('APA Inputs'!$D$27))),'APA Inputs'!$J$27,0)+IF(N('APA Inputs'!$H$27)&gt;0,IF(BZ$4=EDATE('APA Inputs'!$C$27,'APA Inputs'!$H$27-1),N('APA Inputs'!$G$27),0),0))*IF('APA Inputs'!$I$27="",1,'APA Inputs'!$I$27))</f>
        <v>0</v>
      </c>
      <c r="CA12" s="425" t="n">
        <f aca="false">IF('APA Inputs'!$C$27="",0,(IF(AND(CA$4&gt;='APA Inputs'!$C$27,CA$4&lt;EDATE('APA Inputs'!$C$27,N('APA Inputs'!$D$27))),'APA Inputs'!$J$27,0)+IF(N('APA Inputs'!$H$27)&gt;0,IF(CA$4=EDATE('APA Inputs'!$C$27,'APA Inputs'!$H$27-1),N('APA Inputs'!$G$27),0),0))*IF('APA Inputs'!$I$27="",1,'APA Inputs'!$I$27))</f>
        <v>0</v>
      </c>
      <c r="CB12" s="425" t="n">
        <f aca="false">IF('APA Inputs'!$C$27="",0,(IF(AND(CB$4&gt;='APA Inputs'!$C$27,CB$4&lt;EDATE('APA Inputs'!$C$27,N('APA Inputs'!$D$27))),'APA Inputs'!$J$27,0)+IF(N('APA Inputs'!$H$27)&gt;0,IF(CB$4=EDATE('APA Inputs'!$C$27,'APA Inputs'!$H$27-1),N('APA Inputs'!$G$27),0),0))*IF('APA Inputs'!$I$27="",1,'APA Inputs'!$I$27))</f>
        <v>0</v>
      </c>
      <c r="CC12" s="425" t="n">
        <f aca="false">IF('APA Inputs'!$C$27="",0,(IF(AND(CC$4&gt;='APA Inputs'!$C$27,CC$4&lt;EDATE('APA Inputs'!$C$27,N('APA Inputs'!$D$27))),'APA Inputs'!$J$27,0)+IF(N('APA Inputs'!$H$27)&gt;0,IF(CC$4=EDATE('APA Inputs'!$C$27,'APA Inputs'!$H$27-1),N('APA Inputs'!$G$27),0),0))*IF('APA Inputs'!$I$27="",1,'APA Inputs'!$I$27))</f>
        <v>0</v>
      </c>
      <c r="CD12" s="425" t="n">
        <f aca="false">IF('APA Inputs'!$C$27="",0,(IF(AND(CD$4&gt;='APA Inputs'!$C$27,CD$4&lt;EDATE('APA Inputs'!$C$27,N('APA Inputs'!$D$27))),'APA Inputs'!$J$27,0)+IF(N('APA Inputs'!$H$27)&gt;0,IF(CD$4=EDATE('APA Inputs'!$C$27,'APA Inputs'!$H$27-1),N('APA Inputs'!$G$27),0),0))*IF('APA Inputs'!$I$27="",1,'APA Inputs'!$I$27))</f>
        <v>0</v>
      </c>
      <c r="CE12" s="425" t="n">
        <f aca="false">IF('APA Inputs'!$C$27="",0,(IF(AND(CE$4&gt;='APA Inputs'!$C$27,CE$4&lt;EDATE('APA Inputs'!$C$27,N('APA Inputs'!$D$27))),'APA Inputs'!$J$27,0)+IF(N('APA Inputs'!$H$27)&gt;0,IF(CE$4=EDATE('APA Inputs'!$C$27,'APA Inputs'!$H$27-1),N('APA Inputs'!$G$27),0),0))*IF('APA Inputs'!$I$27="",1,'APA Inputs'!$I$27))</f>
        <v>0</v>
      </c>
      <c r="CF12" s="425" t="n">
        <f aca="false">IF('APA Inputs'!$C$27="",0,(IF(AND(CF$4&gt;='APA Inputs'!$C$27,CF$4&lt;EDATE('APA Inputs'!$C$27,N('APA Inputs'!$D$27))),'APA Inputs'!$J$27,0)+IF(N('APA Inputs'!$H$27)&gt;0,IF(CF$4=EDATE('APA Inputs'!$C$27,'APA Inputs'!$H$27-1),N('APA Inputs'!$G$27),0),0))*IF('APA Inputs'!$I$27="",1,'APA Inputs'!$I$27))</f>
        <v>0</v>
      </c>
      <c r="CG12" s="425" t="n">
        <f aca="false">IF('APA Inputs'!$C$27="",0,(IF(AND(CG$4&gt;='APA Inputs'!$C$27,CG$4&lt;EDATE('APA Inputs'!$C$27,N('APA Inputs'!$D$27))),'APA Inputs'!$J$27,0)+IF(N('APA Inputs'!$H$27)&gt;0,IF(CG$4=EDATE('APA Inputs'!$C$27,'APA Inputs'!$H$27-1),N('APA Inputs'!$G$27),0),0))*IF('APA Inputs'!$I$27="",1,'APA Inputs'!$I$27))</f>
        <v>0</v>
      </c>
      <c r="CH12" s="425" t="n">
        <f aca="false">IF('APA Inputs'!$C$27="",0,(IF(AND(CH$4&gt;='APA Inputs'!$C$27,CH$4&lt;EDATE('APA Inputs'!$C$27,N('APA Inputs'!$D$27))),'APA Inputs'!$J$27,0)+IF(N('APA Inputs'!$H$27)&gt;0,IF(CH$4=EDATE('APA Inputs'!$C$27,'APA Inputs'!$H$27-1),N('APA Inputs'!$G$27),0),0))*IF('APA Inputs'!$I$27="",1,'APA Inputs'!$I$27))</f>
        <v>0</v>
      </c>
      <c r="CI12" s="425" t="n">
        <f aca="false">IF('APA Inputs'!$C$27="",0,(IF(AND(CI$4&gt;='APA Inputs'!$C$27,CI$4&lt;EDATE('APA Inputs'!$C$27,N('APA Inputs'!$D$27))),'APA Inputs'!$J$27,0)+IF(N('APA Inputs'!$H$27)&gt;0,IF(CI$4=EDATE('APA Inputs'!$C$27,'APA Inputs'!$H$27-1),N('APA Inputs'!$G$27),0),0))*IF('APA Inputs'!$I$27="",1,'APA Inputs'!$I$27))</f>
        <v>0</v>
      </c>
      <c r="CJ12" s="425" t="n">
        <f aca="false">IF('APA Inputs'!$C$27="",0,(IF(AND(CJ$4&gt;='APA Inputs'!$C$27,CJ$4&lt;EDATE('APA Inputs'!$C$27,N('APA Inputs'!$D$27))),'APA Inputs'!$J$27,0)+IF(N('APA Inputs'!$H$27)&gt;0,IF(CJ$4=EDATE('APA Inputs'!$C$27,'APA Inputs'!$H$27-1),N('APA Inputs'!$G$27),0),0))*IF('APA Inputs'!$I$27="",1,'APA Inputs'!$I$27))</f>
        <v>0</v>
      </c>
      <c r="CK12" s="425" t="n">
        <f aca="false">IF('APA Inputs'!$C$27="",0,(IF(AND(CK$4&gt;='APA Inputs'!$C$27,CK$4&lt;EDATE('APA Inputs'!$C$27,N('APA Inputs'!$D$27))),'APA Inputs'!$J$27,0)+IF(N('APA Inputs'!$H$27)&gt;0,IF(CK$4=EDATE('APA Inputs'!$C$27,'APA Inputs'!$H$27-1),N('APA Inputs'!$G$27),0),0))*IF('APA Inputs'!$I$27="",1,'APA Inputs'!$I$27))</f>
        <v>0</v>
      </c>
      <c r="CL12" s="425" t="n">
        <f aca="false">IF('APA Inputs'!$C$27="",0,(IF(AND(CL$4&gt;='APA Inputs'!$C$27,CL$4&lt;EDATE('APA Inputs'!$C$27,N('APA Inputs'!$D$27))),'APA Inputs'!$J$27,0)+IF(N('APA Inputs'!$H$27)&gt;0,IF(CL$4=EDATE('APA Inputs'!$C$27,'APA Inputs'!$H$27-1),N('APA Inputs'!$G$27),0),0))*IF('APA Inputs'!$I$27="",1,'APA Inputs'!$I$27))</f>
        <v>0</v>
      </c>
      <c r="CM12" s="425" t="n">
        <f aca="false">IF('APA Inputs'!$C$27="",0,(IF(AND(CM$4&gt;='APA Inputs'!$C$27,CM$4&lt;EDATE('APA Inputs'!$C$27,N('APA Inputs'!$D$27))),'APA Inputs'!$J$27,0)+IF(N('APA Inputs'!$H$27)&gt;0,IF(CM$4=EDATE('APA Inputs'!$C$27,'APA Inputs'!$H$27-1),N('APA Inputs'!$G$27),0),0))*IF('APA Inputs'!$I$27="",1,'APA Inputs'!$I$27))</f>
        <v>0</v>
      </c>
      <c r="CN12" s="425" t="n">
        <f aca="false">IF('APA Inputs'!$C$27="",0,(IF(AND(CN$4&gt;='APA Inputs'!$C$27,CN$4&lt;EDATE('APA Inputs'!$C$27,N('APA Inputs'!$D$27))),'APA Inputs'!$J$27,0)+IF(N('APA Inputs'!$H$27)&gt;0,IF(CN$4=EDATE('APA Inputs'!$C$27,'APA Inputs'!$H$27-1),N('APA Inputs'!$G$27),0),0))*IF('APA Inputs'!$I$27="",1,'APA Inputs'!$I$27))</f>
        <v>0</v>
      </c>
      <c r="CO12" s="425" t="n">
        <f aca="false">IF('APA Inputs'!$C$27="",0,(IF(AND(CO$4&gt;='APA Inputs'!$C$27,CO$4&lt;EDATE('APA Inputs'!$C$27,N('APA Inputs'!$D$27))),'APA Inputs'!$J$27,0)+IF(N('APA Inputs'!$H$27)&gt;0,IF(CO$4=EDATE('APA Inputs'!$C$27,'APA Inputs'!$H$27-1),N('APA Inputs'!$G$27),0),0))*IF('APA Inputs'!$I$27="",1,'APA Inputs'!$I$27))</f>
        <v>0</v>
      </c>
      <c r="CP12" s="425" t="n">
        <f aca="false">IF('APA Inputs'!$C$27="",0,(IF(AND(CP$4&gt;='APA Inputs'!$C$27,CP$4&lt;EDATE('APA Inputs'!$C$27,N('APA Inputs'!$D$27))),'APA Inputs'!$J$27,0)+IF(N('APA Inputs'!$H$27)&gt;0,IF(CP$4=EDATE('APA Inputs'!$C$27,'APA Inputs'!$H$27-1),N('APA Inputs'!$G$27),0),0))*IF('APA Inputs'!$I$27="",1,'APA Inputs'!$I$27))</f>
        <v>0</v>
      </c>
      <c r="CQ12" s="425" t="n">
        <f aca="false">IF('APA Inputs'!$C$27="",0,(IF(AND(CQ$4&gt;='APA Inputs'!$C$27,CQ$4&lt;EDATE('APA Inputs'!$C$27,N('APA Inputs'!$D$27))),'APA Inputs'!$J$27,0)+IF(N('APA Inputs'!$H$27)&gt;0,IF(CQ$4=EDATE('APA Inputs'!$C$27,'APA Inputs'!$H$27-1),N('APA Inputs'!$G$27),0),0))*IF('APA Inputs'!$I$27="",1,'APA Inputs'!$I$27))</f>
        <v>0</v>
      </c>
      <c r="CR12" s="425" t="n">
        <f aca="false">IF('APA Inputs'!$C$27="",0,(IF(AND(CR$4&gt;='APA Inputs'!$C$27,CR$4&lt;EDATE('APA Inputs'!$C$27,N('APA Inputs'!$D$27))),'APA Inputs'!$J$27,0)+IF(N('APA Inputs'!$H$27)&gt;0,IF(CR$4=EDATE('APA Inputs'!$C$27,'APA Inputs'!$H$27-1),N('APA Inputs'!$G$27),0),0))*IF('APA Inputs'!$I$27="",1,'APA Inputs'!$I$27))</f>
        <v>0</v>
      </c>
      <c r="CS12" s="425" t="n">
        <f aca="false">IF('APA Inputs'!$C$27="",0,(IF(AND(CS$4&gt;='APA Inputs'!$C$27,CS$4&lt;EDATE('APA Inputs'!$C$27,N('APA Inputs'!$D$27))),'APA Inputs'!$J$27,0)+IF(N('APA Inputs'!$H$27)&gt;0,IF(CS$4=EDATE('APA Inputs'!$C$27,'APA Inputs'!$H$27-1),N('APA Inputs'!$G$27),0),0))*IF('APA Inputs'!$I$27="",1,'APA Inputs'!$I$27))</f>
        <v>0</v>
      </c>
      <c r="CT12" s="425" t="n">
        <f aca="false">IF('APA Inputs'!$C$27="",0,(IF(AND(CT$4&gt;='APA Inputs'!$C$27,CT$4&lt;EDATE('APA Inputs'!$C$27,N('APA Inputs'!$D$27))),'APA Inputs'!$J$27,0)+IF(N('APA Inputs'!$H$27)&gt;0,IF(CT$4=EDATE('APA Inputs'!$C$27,'APA Inputs'!$H$27-1),N('APA Inputs'!$G$27),0),0))*IF('APA Inputs'!$I$27="",1,'APA Inputs'!$I$27))</f>
        <v>0</v>
      </c>
      <c r="CU12" s="425" t="n">
        <f aca="false">IF('APA Inputs'!$C$27="",0,(IF(AND(CU$4&gt;='APA Inputs'!$C$27,CU$4&lt;EDATE('APA Inputs'!$C$27,N('APA Inputs'!$D$27))),'APA Inputs'!$J$27,0)+IF(N('APA Inputs'!$H$27)&gt;0,IF(CU$4=EDATE('APA Inputs'!$C$27,'APA Inputs'!$H$27-1),N('APA Inputs'!$G$27),0),0))*IF('APA Inputs'!$I$27="",1,'APA Inputs'!$I$27))</f>
        <v>0</v>
      </c>
      <c r="CV12" s="425" t="n">
        <f aca="false">IF('APA Inputs'!$C$27="",0,(IF(AND(CV$4&gt;='APA Inputs'!$C$27,CV$4&lt;EDATE('APA Inputs'!$C$27,N('APA Inputs'!$D$27))),'APA Inputs'!$J$27,0)+IF(N('APA Inputs'!$H$27)&gt;0,IF(CV$4=EDATE('APA Inputs'!$C$27,'APA Inputs'!$H$27-1),N('APA Inputs'!$G$27),0),0))*IF('APA Inputs'!$I$27="",1,'APA Inputs'!$I$27))</f>
        <v>0</v>
      </c>
      <c r="CW12" s="425" t="n">
        <f aca="false">IF('APA Inputs'!$C$27="",0,(IF(AND(CW$4&gt;='APA Inputs'!$C$27,CW$4&lt;EDATE('APA Inputs'!$C$27,N('APA Inputs'!$D$27))),'APA Inputs'!$J$27,0)+IF(N('APA Inputs'!$H$27)&gt;0,IF(CW$4=EDATE('APA Inputs'!$C$27,'APA Inputs'!$H$27-1),N('APA Inputs'!$G$27),0),0))*IF('APA Inputs'!$I$27="",1,'APA Inputs'!$I$27))</f>
        <v>0</v>
      </c>
      <c r="CX12" s="425" t="n">
        <f aca="false">IF('APA Inputs'!$C$27="",0,(IF(AND(CX$4&gt;='APA Inputs'!$C$27,CX$4&lt;EDATE('APA Inputs'!$C$27,N('APA Inputs'!$D$27))),'APA Inputs'!$J$27,0)+IF(N('APA Inputs'!$H$27)&gt;0,IF(CX$4=EDATE('APA Inputs'!$C$27,'APA Inputs'!$H$27-1),N('APA Inputs'!$G$27),0),0))*IF('APA Inputs'!$I$27="",1,'APA Inputs'!$I$27))</f>
        <v>0</v>
      </c>
      <c r="CY12" s="425" t="n">
        <f aca="false">IF('APA Inputs'!$C$27="",0,(IF(AND(CY$4&gt;='APA Inputs'!$C$27,CY$4&lt;EDATE('APA Inputs'!$C$27,N('APA Inputs'!$D$27))),'APA Inputs'!$J$27,0)+IF(N('APA Inputs'!$H$27)&gt;0,IF(CY$4=EDATE('APA Inputs'!$C$27,'APA Inputs'!$H$27-1),N('APA Inputs'!$G$27),0),0))*IF('APA Inputs'!$I$27="",1,'APA Inputs'!$I$27))</f>
        <v>0</v>
      </c>
      <c r="CZ12" s="425" t="n">
        <f aca="false">IF('APA Inputs'!$C$27="",0,(IF(AND(CZ$4&gt;='APA Inputs'!$C$27,CZ$4&lt;EDATE('APA Inputs'!$C$27,N('APA Inputs'!$D$27))),'APA Inputs'!$J$27,0)+IF(N('APA Inputs'!$H$27)&gt;0,IF(CZ$4=EDATE('APA Inputs'!$C$27,'APA Inputs'!$H$27-1),N('APA Inputs'!$G$27),0),0))*IF('APA Inputs'!$I$27="",1,'APA Inputs'!$I$27))</f>
        <v>0</v>
      </c>
      <c r="DA12" s="425" t="n">
        <f aca="false">IF('APA Inputs'!$C$27="",0,(IF(AND(DA$4&gt;='APA Inputs'!$C$27,DA$4&lt;EDATE('APA Inputs'!$C$27,N('APA Inputs'!$D$27))),'APA Inputs'!$J$27,0)+IF(N('APA Inputs'!$H$27)&gt;0,IF(DA$4=EDATE('APA Inputs'!$C$27,'APA Inputs'!$H$27-1),N('APA Inputs'!$G$27),0),0))*IF('APA Inputs'!$I$27="",1,'APA Inputs'!$I$27))</f>
        <v>0</v>
      </c>
      <c r="DB12" s="425" t="n">
        <f aca="false">IF('APA Inputs'!$C$27="",0,(IF(AND(DB$4&gt;='APA Inputs'!$C$27,DB$4&lt;EDATE('APA Inputs'!$C$27,N('APA Inputs'!$D$27))),'APA Inputs'!$J$27,0)+IF(N('APA Inputs'!$H$27)&gt;0,IF(DB$4=EDATE('APA Inputs'!$C$27,'APA Inputs'!$H$27-1),N('APA Inputs'!$G$27),0),0))*IF('APA Inputs'!$I$27="",1,'APA Inputs'!$I$27))</f>
        <v>0</v>
      </c>
      <c r="DC12" s="425" t="n">
        <f aca="false">IF('APA Inputs'!$C$27="",0,(IF(AND(DC$4&gt;='APA Inputs'!$C$27,DC$4&lt;EDATE('APA Inputs'!$C$27,N('APA Inputs'!$D$27))),'APA Inputs'!$J$27,0)+IF(N('APA Inputs'!$H$27)&gt;0,IF(DC$4=EDATE('APA Inputs'!$C$27,'APA Inputs'!$H$27-1),N('APA Inputs'!$G$27),0),0))*IF('APA Inputs'!$I$27="",1,'APA Inputs'!$I$27))</f>
        <v>0</v>
      </c>
      <c r="DD12" s="425" t="n">
        <f aca="false">IF('APA Inputs'!$C$27="",0,(IF(AND(DD$4&gt;='APA Inputs'!$C$27,DD$4&lt;EDATE('APA Inputs'!$C$27,N('APA Inputs'!$D$27))),'APA Inputs'!$J$27,0)+IF(N('APA Inputs'!$H$27)&gt;0,IF(DD$4=EDATE('APA Inputs'!$C$27,'APA Inputs'!$H$27-1),N('APA Inputs'!$G$27),0),0))*IF('APA Inputs'!$I$27="",1,'APA Inputs'!$I$27))</f>
        <v>0</v>
      </c>
      <c r="DE12" s="425" t="n">
        <f aca="false">IF('APA Inputs'!$C$27="",0,(IF(AND(DE$4&gt;='APA Inputs'!$C$27,DE$4&lt;EDATE('APA Inputs'!$C$27,N('APA Inputs'!$D$27))),'APA Inputs'!$J$27,0)+IF(N('APA Inputs'!$H$27)&gt;0,IF(DE$4=EDATE('APA Inputs'!$C$27,'APA Inputs'!$H$27-1),N('APA Inputs'!$G$27),0),0))*IF('APA Inputs'!$I$27="",1,'APA Inputs'!$I$27))</f>
        <v>0</v>
      </c>
    </row>
    <row r="13" customFormat="false" ht="15" hidden="false" customHeight="true" outlineLevel="0" collapsed="false">
      <c r="A13" s="1" t="str">
        <f aca="false">'APA Inputs'!A28</f>
        <v>Pipeline 3</v>
      </c>
      <c r="B13" s="425" t="n">
        <f aca="false">IF('APA Inputs'!$C$28="",0,(IF(AND(B$4&gt;='APA Inputs'!$C$28,B$4&lt;EDATE('APA Inputs'!$C$28,N('APA Inputs'!$D$28))),'APA Inputs'!$J$28,0)+IF(N('APA Inputs'!$H$28)&gt;0,IF(B$4=EDATE('APA Inputs'!$C$28,'APA Inputs'!$H$28-1),N('APA Inputs'!$G$28),0),0))*IF('APA Inputs'!$I$28="",1,'APA Inputs'!$I$28))</f>
        <v>0</v>
      </c>
      <c r="C13" s="425" t="n">
        <f aca="false">IF('APA Inputs'!$C$28="",0,(IF(AND(C$4&gt;='APA Inputs'!$C$28,C$4&lt;EDATE('APA Inputs'!$C$28,N('APA Inputs'!$D$28))),'APA Inputs'!$J$28,0)+IF(N('APA Inputs'!$H$28)&gt;0,IF(C$4=EDATE('APA Inputs'!$C$28,'APA Inputs'!$H$28-1),N('APA Inputs'!$G$28),0),0))*IF('APA Inputs'!$I$28="",1,'APA Inputs'!$I$28))</f>
        <v>0</v>
      </c>
      <c r="D13" s="425" t="n">
        <f aca="false">IF('APA Inputs'!$C$28="",0,(IF(AND(D$4&gt;='APA Inputs'!$C$28,D$4&lt;EDATE('APA Inputs'!$C$28,N('APA Inputs'!$D$28))),'APA Inputs'!$J$28,0)+IF(N('APA Inputs'!$H$28)&gt;0,IF(D$4=EDATE('APA Inputs'!$C$28,'APA Inputs'!$H$28-1),N('APA Inputs'!$G$28),0),0))*IF('APA Inputs'!$I$28="",1,'APA Inputs'!$I$28))</f>
        <v>0</v>
      </c>
      <c r="E13" s="425" t="n">
        <f aca="false">IF('APA Inputs'!$C$28="",0,(IF(AND(E$4&gt;='APA Inputs'!$C$28,E$4&lt;EDATE('APA Inputs'!$C$28,N('APA Inputs'!$D$28))),'APA Inputs'!$J$28,0)+IF(N('APA Inputs'!$H$28)&gt;0,IF(E$4=EDATE('APA Inputs'!$C$28,'APA Inputs'!$H$28-1),N('APA Inputs'!$G$28),0),0))*IF('APA Inputs'!$I$28="",1,'APA Inputs'!$I$28))</f>
        <v>0</v>
      </c>
      <c r="F13" s="425" t="n">
        <f aca="false">IF('APA Inputs'!$C$28="",0,(IF(AND(F$4&gt;='APA Inputs'!$C$28,F$4&lt;EDATE('APA Inputs'!$C$28,N('APA Inputs'!$D$28))),'APA Inputs'!$J$28,0)+IF(N('APA Inputs'!$H$28)&gt;0,IF(F$4=EDATE('APA Inputs'!$C$28,'APA Inputs'!$H$28-1),N('APA Inputs'!$G$28),0),0))*IF('APA Inputs'!$I$28="",1,'APA Inputs'!$I$28))</f>
        <v>0</v>
      </c>
      <c r="G13" s="425" t="n">
        <f aca="false">IF('APA Inputs'!$C$28="",0,(IF(AND(G$4&gt;='APA Inputs'!$C$28,G$4&lt;EDATE('APA Inputs'!$C$28,N('APA Inputs'!$D$28))),'APA Inputs'!$J$28,0)+IF(N('APA Inputs'!$H$28)&gt;0,IF(G$4=EDATE('APA Inputs'!$C$28,'APA Inputs'!$H$28-1),N('APA Inputs'!$G$28),0),0))*IF('APA Inputs'!$I$28="",1,'APA Inputs'!$I$28))</f>
        <v>0</v>
      </c>
      <c r="H13" s="425" t="n">
        <f aca="false">IF('APA Inputs'!$C$28="",0,(IF(AND(H$4&gt;='APA Inputs'!$C$28,H$4&lt;EDATE('APA Inputs'!$C$28,N('APA Inputs'!$D$28))),'APA Inputs'!$J$28,0)+IF(N('APA Inputs'!$H$28)&gt;0,IF(H$4=EDATE('APA Inputs'!$C$28,'APA Inputs'!$H$28-1),N('APA Inputs'!$G$28),0),0))*IF('APA Inputs'!$I$28="",1,'APA Inputs'!$I$28))</f>
        <v>0</v>
      </c>
      <c r="I13" s="425" t="n">
        <f aca="false">IF('APA Inputs'!$C$28="",0,(IF(AND(I$4&gt;='APA Inputs'!$C$28,I$4&lt;EDATE('APA Inputs'!$C$28,N('APA Inputs'!$D$28))),'APA Inputs'!$J$28,0)+IF(N('APA Inputs'!$H$28)&gt;0,IF(I$4=EDATE('APA Inputs'!$C$28,'APA Inputs'!$H$28-1),N('APA Inputs'!$G$28),0),0))*IF('APA Inputs'!$I$28="",1,'APA Inputs'!$I$28))</f>
        <v>0</v>
      </c>
      <c r="J13" s="425" t="n">
        <f aca="false">IF('APA Inputs'!$C$28="",0,(IF(AND(J$4&gt;='APA Inputs'!$C$28,J$4&lt;EDATE('APA Inputs'!$C$28,N('APA Inputs'!$D$28))),'APA Inputs'!$J$28,0)+IF(N('APA Inputs'!$H$28)&gt;0,IF(J$4=EDATE('APA Inputs'!$C$28,'APA Inputs'!$H$28-1),N('APA Inputs'!$G$28),0),0))*IF('APA Inputs'!$I$28="",1,'APA Inputs'!$I$28))</f>
        <v>0</v>
      </c>
      <c r="K13" s="425" t="n">
        <f aca="false">IF('APA Inputs'!$C$28="",0,(IF(AND(K$4&gt;='APA Inputs'!$C$28,K$4&lt;EDATE('APA Inputs'!$C$28,N('APA Inputs'!$D$28))),'APA Inputs'!$J$28,0)+IF(N('APA Inputs'!$H$28)&gt;0,IF(K$4=EDATE('APA Inputs'!$C$28,'APA Inputs'!$H$28-1),N('APA Inputs'!$G$28),0),0))*IF('APA Inputs'!$I$28="",1,'APA Inputs'!$I$28))</f>
        <v>0</v>
      </c>
      <c r="L13" s="425" t="n">
        <f aca="false">IF('APA Inputs'!$C$28="",0,(IF(AND(L$4&gt;='APA Inputs'!$C$28,L$4&lt;EDATE('APA Inputs'!$C$28,N('APA Inputs'!$D$28))),'APA Inputs'!$J$28,0)+IF(N('APA Inputs'!$H$28)&gt;0,IF(L$4=EDATE('APA Inputs'!$C$28,'APA Inputs'!$H$28-1),N('APA Inputs'!$G$28),0),0))*IF('APA Inputs'!$I$28="",1,'APA Inputs'!$I$28))</f>
        <v>0</v>
      </c>
      <c r="M13" s="425" t="n">
        <f aca="false">IF('APA Inputs'!$C$28="",0,(IF(AND(M$4&gt;='APA Inputs'!$C$28,M$4&lt;EDATE('APA Inputs'!$C$28,N('APA Inputs'!$D$28))),'APA Inputs'!$J$28,0)+IF(N('APA Inputs'!$H$28)&gt;0,IF(M$4=EDATE('APA Inputs'!$C$28,'APA Inputs'!$H$28-1),N('APA Inputs'!$G$28),0),0))*IF('APA Inputs'!$I$28="",1,'APA Inputs'!$I$28))</f>
        <v>0</v>
      </c>
      <c r="N13" s="425" t="n">
        <f aca="false">IF('APA Inputs'!$C$28="",0,(IF(AND(N$4&gt;='APA Inputs'!$C$28,N$4&lt;EDATE('APA Inputs'!$C$28,N('APA Inputs'!$D$28))),'APA Inputs'!$J$28,0)+IF(N('APA Inputs'!$H$28)&gt;0,IF(N$4=EDATE('APA Inputs'!$C$28,'APA Inputs'!$H$28-1),N('APA Inputs'!$G$28),0),0))*IF('APA Inputs'!$I$28="",1,'APA Inputs'!$I$28))</f>
        <v>0</v>
      </c>
      <c r="O13" s="425" t="n">
        <f aca="false">IF('APA Inputs'!$C$28="",0,(IF(AND(O$4&gt;='APA Inputs'!$C$28,O$4&lt;EDATE('APA Inputs'!$C$28,N('APA Inputs'!$D$28))),'APA Inputs'!$J$28,0)+IF(N('APA Inputs'!$H$28)&gt;0,IF(O$4=EDATE('APA Inputs'!$C$28,'APA Inputs'!$H$28-1),N('APA Inputs'!$G$28),0),0))*IF('APA Inputs'!$I$28="",1,'APA Inputs'!$I$28))</f>
        <v>0</v>
      </c>
      <c r="P13" s="425" t="n">
        <f aca="false">IF('APA Inputs'!$C$28="",0,(IF(AND(P$4&gt;='APA Inputs'!$C$28,P$4&lt;EDATE('APA Inputs'!$C$28,N('APA Inputs'!$D$28))),'APA Inputs'!$J$28,0)+IF(N('APA Inputs'!$H$28)&gt;0,IF(P$4=EDATE('APA Inputs'!$C$28,'APA Inputs'!$H$28-1),N('APA Inputs'!$G$28),0),0))*IF('APA Inputs'!$I$28="",1,'APA Inputs'!$I$28))</f>
        <v>0</v>
      </c>
      <c r="Q13" s="425" t="n">
        <f aca="false">IF('APA Inputs'!$C$28="",0,(IF(AND(Q$4&gt;='APA Inputs'!$C$28,Q$4&lt;EDATE('APA Inputs'!$C$28,N('APA Inputs'!$D$28))),'APA Inputs'!$J$28,0)+IF(N('APA Inputs'!$H$28)&gt;0,IF(Q$4=EDATE('APA Inputs'!$C$28,'APA Inputs'!$H$28-1),N('APA Inputs'!$G$28),0),0))*IF('APA Inputs'!$I$28="",1,'APA Inputs'!$I$28))</f>
        <v>0</v>
      </c>
      <c r="R13" s="425" t="n">
        <f aca="false">IF('APA Inputs'!$C$28="",0,(IF(AND(R$4&gt;='APA Inputs'!$C$28,R$4&lt;EDATE('APA Inputs'!$C$28,N('APA Inputs'!$D$28))),'APA Inputs'!$J$28,0)+IF(N('APA Inputs'!$H$28)&gt;0,IF(R$4=EDATE('APA Inputs'!$C$28,'APA Inputs'!$H$28-1),N('APA Inputs'!$G$28),0),0))*IF('APA Inputs'!$I$28="",1,'APA Inputs'!$I$28))</f>
        <v>0</v>
      </c>
      <c r="S13" s="425" t="n">
        <f aca="false">IF('APA Inputs'!$C$28="",0,(IF(AND(S$4&gt;='APA Inputs'!$C$28,S$4&lt;EDATE('APA Inputs'!$C$28,N('APA Inputs'!$D$28))),'APA Inputs'!$J$28,0)+IF(N('APA Inputs'!$H$28)&gt;0,IF(S$4=EDATE('APA Inputs'!$C$28,'APA Inputs'!$H$28-1),N('APA Inputs'!$G$28),0),0))*IF('APA Inputs'!$I$28="",1,'APA Inputs'!$I$28))</f>
        <v>0</v>
      </c>
      <c r="T13" s="425" t="n">
        <f aca="false">IF('APA Inputs'!$C$28="",0,(IF(AND(T$4&gt;='APA Inputs'!$C$28,T$4&lt;EDATE('APA Inputs'!$C$28,N('APA Inputs'!$D$28))),'APA Inputs'!$J$28,0)+IF(N('APA Inputs'!$H$28)&gt;0,IF(T$4=EDATE('APA Inputs'!$C$28,'APA Inputs'!$H$28-1),N('APA Inputs'!$G$28),0),0))*IF('APA Inputs'!$I$28="",1,'APA Inputs'!$I$28))</f>
        <v>0</v>
      </c>
      <c r="U13" s="425" t="n">
        <f aca="false">IF('APA Inputs'!$C$28="",0,(IF(AND(U$4&gt;='APA Inputs'!$C$28,U$4&lt;EDATE('APA Inputs'!$C$28,N('APA Inputs'!$D$28))),'APA Inputs'!$J$28,0)+IF(N('APA Inputs'!$H$28)&gt;0,IF(U$4=EDATE('APA Inputs'!$C$28,'APA Inputs'!$H$28-1),N('APA Inputs'!$G$28),0),0))*IF('APA Inputs'!$I$28="",1,'APA Inputs'!$I$28))</f>
        <v>0</v>
      </c>
      <c r="V13" s="425" t="n">
        <f aca="false">IF('APA Inputs'!$C$28="",0,(IF(AND(V$4&gt;='APA Inputs'!$C$28,V$4&lt;EDATE('APA Inputs'!$C$28,N('APA Inputs'!$D$28))),'APA Inputs'!$J$28,0)+IF(N('APA Inputs'!$H$28)&gt;0,IF(V$4=EDATE('APA Inputs'!$C$28,'APA Inputs'!$H$28-1),N('APA Inputs'!$G$28),0),0))*IF('APA Inputs'!$I$28="",1,'APA Inputs'!$I$28))</f>
        <v>0</v>
      </c>
      <c r="W13" s="425" t="n">
        <f aca="false">IF('APA Inputs'!$C$28="",0,(IF(AND(W$4&gt;='APA Inputs'!$C$28,W$4&lt;EDATE('APA Inputs'!$C$28,N('APA Inputs'!$D$28))),'APA Inputs'!$J$28,0)+IF(N('APA Inputs'!$H$28)&gt;0,IF(W$4=EDATE('APA Inputs'!$C$28,'APA Inputs'!$H$28-1),N('APA Inputs'!$G$28),0),0))*IF('APA Inputs'!$I$28="",1,'APA Inputs'!$I$28))</f>
        <v>0</v>
      </c>
      <c r="X13" s="425" t="n">
        <f aca="false">IF('APA Inputs'!$C$28="",0,(IF(AND(X$4&gt;='APA Inputs'!$C$28,X$4&lt;EDATE('APA Inputs'!$C$28,N('APA Inputs'!$D$28))),'APA Inputs'!$J$28,0)+IF(N('APA Inputs'!$H$28)&gt;0,IF(X$4=EDATE('APA Inputs'!$C$28,'APA Inputs'!$H$28-1),N('APA Inputs'!$G$28),0),0))*IF('APA Inputs'!$I$28="",1,'APA Inputs'!$I$28))</f>
        <v>0</v>
      </c>
      <c r="Y13" s="425" t="n">
        <f aca="false">IF('APA Inputs'!$C$28="",0,(IF(AND(Y$4&gt;='APA Inputs'!$C$28,Y$4&lt;EDATE('APA Inputs'!$C$28,N('APA Inputs'!$D$28))),'APA Inputs'!$J$28,0)+IF(N('APA Inputs'!$H$28)&gt;0,IF(Y$4=EDATE('APA Inputs'!$C$28,'APA Inputs'!$H$28-1),N('APA Inputs'!$G$28),0),0))*IF('APA Inputs'!$I$28="",1,'APA Inputs'!$I$28))</f>
        <v>0</v>
      </c>
      <c r="Z13" s="425" t="n">
        <f aca="false">IF('APA Inputs'!$C$28="",0,(IF(AND(Z$4&gt;='APA Inputs'!$C$28,Z$4&lt;EDATE('APA Inputs'!$C$28,N('APA Inputs'!$D$28))),'APA Inputs'!$J$28,0)+IF(N('APA Inputs'!$H$28)&gt;0,IF(Z$4=EDATE('APA Inputs'!$C$28,'APA Inputs'!$H$28-1),N('APA Inputs'!$G$28),0),0))*IF('APA Inputs'!$I$28="",1,'APA Inputs'!$I$28))</f>
        <v>0</v>
      </c>
      <c r="AA13" s="425" t="n">
        <f aca="false">IF('APA Inputs'!$C$28="",0,(IF(AND(AA$4&gt;='APA Inputs'!$C$28,AA$4&lt;EDATE('APA Inputs'!$C$28,N('APA Inputs'!$D$28))),'APA Inputs'!$J$28,0)+IF(N('APA Inputs'!$H$28)&gt;0,IF(AA$4=EDATE('APA Inputs'!$C$28,'APA Inputs'!$H$28-1),N('APA Inputs'!$G$28),0),0))*IF('APA Inputs'!$I$28="",1,'APA Inputs'!$I$28))</f>
        <v>0</v>
      </c>
      <c r="AB13" s="425" t="n">
        <f aca="false">IF('APA Inputs'!$C$28="",0,(IF(AND(AB$4&gt;='APA Inputs'!$C$28,AB$4&lt;EDATE('APA Inputs'!$C$28,N('APA Inputs'!$D$28))),'APA Inputs'!$J$28,0)+IF(N('APA Inputs'!$H$28)&gt;0,IF(AB$4=EDATE('APA Inputs'!$C$28,'APA Inputs'!$H$28-1),N('APA Inputs'!$G$28),0),0))*IF('APA Inputs'!$I$28="",1,'APA Inputs'!$I$28))</f>
        <v>0</v>
      </c>
      <c r="AC13" s="425" t="n">
        <f aca="false">IF('APA Inputs'!$C$28="",0,(IF(AND(AC$4&gt;='APA Inputs'!$C$28,AC$4&lt;EDATE('APA Inputs'!$C$28,N('APA Inputs'!$D$28))),'APA Inputs'!$J$28,0)+IF(N('APA Inputs'!$H$28)&gt;0,IF(AC$4=EDATE('APA Inputs'!$C$28,'APA Inputs'!$H$28-1),N('APA Inputs'!$G$28),0),0))*IF('APA Inputs'!$I$28="",1,'APA Inputs'!$I$28))</f>
        <v>0</v>
      </c>
      <c r="AD13" s="425" t="n">
        <f aca="false">IF('APA Inputs'!$C$28="",0,(IF(AND(AD$4&gt;='APA Inputs'!$C$28,AD$4&lt;EDATE('APA Inputs'!$C$28,N('APA Inputs'!$D$28))),'APA Inputs'!$J$28,0)+IF(N('APA Inputs'!$H$28)&gt;0,IF(AD$4=EDATE('APA Inputs'!$C$28,'APA Inputs'!$H$28-1),N('APA Inputs'!$G$28),0),0))*IF('APA Inputs'!$I$28="",1,'APA Inputs'!$I$28))</f>
        <v>0</v>
      </c>
      <c r="AE13" s="425" t="n">
        <f aca="false">IF('APA Inputs'!$C$28="",0,(IF(AND(AE$4&gt;='APA Inputs'!$C$28,AE$4&lt;EDATE('APA Inputs'!$C$28,N('APA Inputs'!$D$28))),'APA Inputs'!$J$28,0)+IF(N('APA Inputs'!$H$28)&gt;0,IF(AE$4=EDATE('APA Inputs'!$C$28,'APA Inputs'!$H$28-1),N('APA Inputs'!$G$28),0),0))*IF('APA Inputs'!$I$28="",1,'APA Inputs'!$I$28))</f>
        <v>0</v>
      </c>
      <c r="AF13" s="425" t="n">
        <f aca="false">IF('APA Inputs'!$C$28="",0,(IF(AND(AF$4&gt;='APA Inputs'!$C$28,AF$4&lt;EDATE('APA Inputs'!$C$28,N('APA Inputs'!$D$28))),'APA Inputs'!$J$28,0)+IF(N('APA Inputs'!$H$28)&gt;0,IF(AF$4=EDATE('APA Inputs'!$C$28,'APA Inputs'!$H$28-1),N('APA Inputs'!$G$28),0),0))*IF('APA Inputs'!$I$28="",1,'APA Inputs'!$I$28))</f>
        <v>0</v>
      </c>
      <c r="AG13" s="425" t="n">
        <f aca="false">IF('APA Inputs'!$C$28="",0,(IF(AND(AG$4&gt;='APA Inputs'!$C$28,AG$4&lt;EDATE('APA Inputs'!$C$28,N('APA Inputs'!$D$28))),'APA Inputs'!$J$28,0)+IF(N('APA Inputs'!$H$28)&gt;0,IF(AG$4=EDATE('APA Inputs'!$C$28,'APA Inputs'!$H$28-1),N('APA Inputs'!$G$28),0),0))*IF('APA Inputs'!$I$28="",1,'APA Inputs'!$I$28))</f>
        <v>0</v>
      </c>
      <c r="AH13" s="425" t="n">
        <f aca="false">IF('APA Inputs'!$C$28="",0,(IF(AND(AH$4&gt;='APA Inputs'!$C$28,AH$4&lt;EDATE('APA Inputs'!$C$28,N('APA Inputs'!$D$28))),'APA Inputs'!$J$28,0)+IF(N('APA Inputs'!$H$28)&gt;0,IF(AH$4=EDATE('APA Inputs'!$C$28,'APA Inputs'!$H$28-1),N('APA Inputs'!$G$28),0),0))*IF('APA Inputs'!$I$28="",1,'APA Inputs'!$I$28))</f>
        <v>0</v>
      </c>
      <c r="AI13" s="425" t="n">
        <f aca="false">IF('APA Inputs'!$C$28="",0,(IF(AND(AI$4&gt;='APA Inputs'!$C$28,AI$4&lt;EDATE('APA Inputs'!$C$28,N('APA Inputs'!$D$28))),'APA Inputs'!$J$28,0)+IF(N('APA Inputs'!$H$28)&gt;0,IF(AI$4=EDATE('APA Inputs'!$C$28,'APA Inputs'!$H$28-1),N('APA Inputs'!$G$28),0),0))*IF('APA Inputs'!$I$28="",1,'APA Inputs'!$I$28))</f>
        <v>0</v>
      </c>
      <c r="AJ13" s="425" t="n">
        <f aca="false">IF('APA Inputs'!$C$28="",0,(IF(AND(AJ$4&gt;='APA Inputs'!$C$28,AJ$4&lt;EDATE('APA Inputs'!$C$28,N('APA Inputs'!$D$28))),'APA Inputs'!$J$28,0)+IF(N('APA Inputs'!$H$28)&gt;0,IF(AJ$4=EDATE('APA Inputs'!$C$28,'APA Inputs'!$H$28-1),N('APA Inputs'!$G$28),0),0))*IF('APA Inputs'!$I$28="",1,'APA Inputs'!$I$28))</f>
        <v>0</v>
      </c>
      <c r="AK13" s="425" t="n">
        <f aca="false">IF('APA Inputs'!$C$28="",0,(IF(AND(AK$4&gt;='APA Inputs'!$C$28,AK$4&lt;EDATE('APA Inputs'!$C$28,N('APA Inputs'!$D$28))),'APA Inputs'!$J$28,0)+IF(N('APA Inputs'!$H$28)&gt;0,IF(AK$4=EDATE('APA Inputs'!$C$28,'APA Inputs'!$H$28-1),N('APA Inputs'!$G$28),0),0))*IF('APA Inputs'!$I$28="",1,'APA Inputs'!$I$28))</f>
        <v>0</v>
      </c>
      <c r="AL13" s="425" t="n">
        <f aca="false">IF('APA Inputs'!$C$28="",0,(IF(AND(AL$4&gt;='APA Inputs'!$C$28,AL$4&lt;EDATE('APA Inputs'!$C$28,N('APA Inputs'!$D$28))),'APA Inputs'!$J$28,0)+IF(N('APA Inputs'!$H$28)&gt;0,IF(AL$4=EDATE('APA Inputs'!$C$28,'APA Inputs'!$H$28-1),N('APA Inputs'!$G$28),0),0))*IF('APA Inputs'!$I$28="",1,'APA Inputs'!$I$28))</f>
        <v>0</v>
      </c>
      <c r="AM13" s="425" t="n">
        <f aca="false">IF('APA Inputs'!$C$28="",0,(IF(AND(AM$4&gt;='APA Inputs'!$C$28,AM$4&lt;EDATE('APA Inputs'!$C$28,N('APA Inputs'!$D$28))),'APA Inputs'!$J$28,0)+IF(N('APA Inputs'!$H$28)&gt;0,IF(AM$4=EDATE('APA Inputs'!$C$28,'APA Inputs'!$H$28-1),N('APA Inputs'!$G$28),0),0))*IF('APA Inputs'!$I$28="",1,'APA Inputs'!$I$28))</f>
        <v>0</v>
      </c>
      <c r="AN13" s="425" t="n">
        <f aca="false">IF('APA Inputs'!$C$28="",0,(IF(AND(AN$4&gt;='APA Inputs'!$C$28,AN$4&lt;EDATE('APA Inputs'!$C$28,N('APA Inputs'!$D$28))),'APA Inputs'!$J$28,0)+IF(N('APA Inputs'!$H$28)&gt;0,IF(AN$4=EDATE('APA Inputs'!$C$28,'APA Inputs'!$H$28-1),N('APA Inputs'!$G$28),0),0))*IF('APA Inputs'!$I$28="",1,'APA Inputs'!$I$28))</f>
        <v>0</v>
      </c>
      <c r="AO13" s="425" t="n">
        <f aca="false">IF('APA Inputs'!$C$28="",0,(IF(AND(AO$4&gt;='APA Inputs'!$C$28,AO$4&lt;EDATE('APA Inputs'!$C$28,N('APA Inputs'!$D$28))),'APA Inputs'!$J$28,0)+IF(N('APA Inputs'!$H$28)&gt;0,IF(AO$4=EDATE('APA Inputs'!$C$28,'APA Inputs'!$H$28-1),N('APA Inputs'!$G$28),0),0))*IF('APA Inputs'!$I$28="",1,'APA Inputs'!$I$28))</f>
        <v>0</v>
      </c>
      <c r="AP13" s="425" t="n">
        <f aca="false">IF('APA Inputs'!$C$28="",0,(IF(AND(AP$4&gt;='APA Inputs'!$C$28,AP$4&lt;EDATE('APA Inputs'!$C$28,N('APA Inputs'!$D$28))),'APA Inputs'!$J$28,0)+IF(N('APA Inputs'!$H$28)&gt;0,IF(AP$4=EDATE('APA Inputs'!$C$28,'APA Inputs'!$H$28-1),N('APA Inputs'!$G$28),0),0))*IF('APA Inputs'!$I$28="",1,'APA Inputs'!$I$28))</f>
        <v>0</v>
      </c>
      <c r="AQ13" s="425" t="n">
        <f aca="false">IF('APA Inputs'!$C$28="",0,(IF(AND(AQ$4&gt;='APA Inputs'!$C$28,AQ$4&lt;EDATE('APA Inputs'!$C$28,N('APA Inputs'!$D$28))),'APA Inputs'!$J$28,0)+IF(N('APA Inputs'!$H$28)&gt;0,IF(AQ$4=EDATE('APA Inputs'!$C$28,'APA Inputs'!$H$28-1),N('APA Inputs'!$G$28),0),0))*IF('APA Inputs'!$I$28="",1,'APA Inputs'!$I$28))</f>
        <v>0</v>
      </c>
      <c r="AR13" s="425" t="n">
        <f aca="false">IF('APA Inputs'!$C$28="",0,(IF(AND(AR$4&gt;='APA Inputs'!$C$28,AR$4&lt;EDATE('APA Inputs'!$C$28,N('APA Inputs'!$D$28))),'APA Inputs'!$J$28,0)+IF(N('APA Inputs'!$H$28)&gt;0,IF(AR$4=EDATE('APA Inputs'!$C$28,'APA Inputs'!$H$28-1),N('APA Inputs'!$G$28),0),0))*IF('APA Inputs'!$I$28="",1,'APA Inputs'!$I$28))</f>
        <v>0</v>
      </c>
      <c r="AS13" s="425" t="n">
        <f aca="false">IF('APA Inputs'!$C$28="",0,(IF(AND(AS$4&gt;='APA Inputs'!$C$28,AS$4&lt;EDATE('APA Inputs'!$C$28,N('APA Inputs'!$D$28))),'APA Inputs'!$J$28,0)+IF(N('APA Inputs'!$H$28)&gt;0,IF(AS$4=EDATE('APA Inputs'!$C$28,'APA Inputs'!$H$28-1),N('APA Inputs'!$G$28),0),0))*IF('APA Inputs'!$I$28="",1,'APA Inputs'!$I$28))</f>
        <v>0</v>
      </c>
      <c r="AT13" s="425" t="n">
        <f aca="false">IF('APA Inputs'!$C$28="",0,(IF(AND(AT$4&gt;='APA Inputs'!$C$28,AT$4&lt;EDATE('APA Inputs'!$C$28,N('APA Inputs'!$D$28))),'APA Inputs'!$J$28,0)+IF(N('APA Inputs'!$H$28)&gt;0,IF(AT$4=EDATE('APA Inputs'!$C$28,'APA Inputs'!$H$28-1),N('APA Inputs'!$G$28),0),0))*IF('APA Inputs'!$I$28="",1,'APA Inputs'!$I$28))</f>
        <v>0</v>
      </c>
      <c r="AU13" s="425" t="n">
        <f aca="false">IF('APA Inputs'!$C$28="",0,(IF(AND(AU$4&gt;='APA Inputs'!$C$28,AU$4&lt;EDATE('APA Inputs'!$C$28,N('APA Inputs'!$D$28))),'APA Inputs'!$J$28,0)+IF(N('APA Inputs'!$H$28)&gt;0,IF(AU$4=EDATE('APA Inputs'!$C$28,'APA Inputs'!$H$28-1),N('APA Inputs'!$G$28),0),0))*IF('APA Inputs'!$I$28="",1,'APA Inputs'!$I$28))</f>
        <v>0</v>
      </c>
      <c r="AV13" s="425" t="n">
        <f aca="false">IF('APA Inputs'!$C$28="",0,(IF(AND(AV$4&gt;='APA Inputs'!$C$28,AV$4&lt;EDATE('APA Inputs'!$C$28,N('APA Inputs'!$D$28))),'APA Inputs'!$J$28,0)+IF(N('APA Inputs'!$H$28)&gt;0,IF(AV$4=EDATE('APA Inputs'!$C$28,'APA Inputs'!$H$28-1),N('APA Inputs'!$G$28),0),0))*IF('APA Inputs'!$I$28="",1,'APA Inputs'!$I$28))</f>
        <v>0</v>
      </c>
      <c r="AW13" s="425" t="n">
        <f aca="false">IF('APA Inputs'!$C$28="",0,(IF(AND(AW$4&gt;='APA Inputs'!$C$28,AW$4&lt;EDATE('APA Inputs'!$C$28,N('APA Inputs'!$D$28))),'APA Inputs'!$J$28,0)+IF(N('APA Inputs'!$H$28)&gt;0,IF(AW$4=EDATE('APA Inputs'!$C$28,'APA Inputs'!$H$28-1),N('APA Inputs'!$G$28),0),0))*IF('APA Inputs'!$I$28="",1,'APA Inputs'!$I$28))</f>
        <v>0</v>
      </c>
      <c r="AX13" s="425" t="n">
        <f aca="false">IF('APA Inputs'!$C$28="",0,(IF(AND(AX$4&gt;='APA Inputs'!$C$28,AX$4&lt;EDATE('APA Inputs'!$C$28,N('APA Inputs'!$D$28))),'APA Inputs'!$J$28,0)+IF(N('APA Inputs'!$H$28)&gt;0,IF(AX$4=EDATE('APA Inputs'!$C$28,'APA Inputs'!$H$28-1),N('APA Inputs'!$G$28),0),0))*IF('APA Inputs'!$I$28="",1,'APA Inputs'!$I$28))</f>
        <v>0</v>
      </c>
      <c r="AY13" s="425" t="n">
        <f aca="false">IF('APA Inputs'!$C$28="",0,(IF(AND(AY$4&gt;='APA Inputs'!$C$28,AY$4&lt;EDATE('APA Inputs'!$C$28,N('APA Inputs'!$D$28))),'APA Inputs'!$J$28,0)+IF(N('APA Inputs'!$H$28)&gt;0,IF(AY$4=EDATE('APA Inputs'!$C$28,'APA Inputs'!$H$28-1),N('APA Inputs'!$G$28),0),0))*IF('APA Inputs'!$I$28="",1,'APA Inputs'!$I$28))</f>
        <v>0</v>
      </c>
      <c r="AZ13" s="425" t="n">
        <f aca="false">IF('APA Inputs'!$C$28="",0,(IF(AND(AZ$4&gt;='APA Inputs'!$C$28,AZ$4&lt;EDATE('APA Inputs'!$C$28,N('APA Inputs'!$D$28))),'APA Inputs'!$J$28,0)+IF(N('APA Inputs'!$H$28)&gt;0,IF(AZ$4=EDATE('APA Inputs'!$C$28,'APA Inputs'!$H$28-1),N('APA Inputs'!$G$28),0),0))*IF('APA Inputs'!$I$28="",1,'APA Inputs'!$I$28))</f>
        <v>0</v>
      </c>
      <c r="BA13" s="425" t="n">
        <f aca="false">IF('APA Inputs'!$C$28="",0,(IF(AND(BA$4&gt;='APA Inputs'!$C$28,BA$4&lt;EDATE('APA Inputs'!$C$28,N('APA Inputs'!$D$28))),'APA Inputs'!$J$28,0)+IF(N('APA Inputs'!$H$28)&gt;0,IF(BA$4=EDATE('APA Inputs'!$C$28,'APA Inputs'!$H$28-1),N('APA Inputs'!$G$28),0),0))*IF('APA Inputs'!$I$28="",1,'APA Inputs'!$I$28))</f>
        <v>0</v>
      </c>
      <c r="BB13" s="425" t="n">
        <f aca="false">IF('APA Inputs'!$C$28="",0,(IF(AND(BB$4&gt;='APA Inputs'!$C$28,BB$4&lt;EDATE('APA Inputs'!$C$28,N('APA Inputs'!$D$28))),'APA Inputs'!$J$28,0)+IF(N('APA Inputs'!$H$28)&gt;0,IF(BB$4=EDATE('APA Inputs'!$C$28,'APA Inputs'!$H$28-1),N('APA Inputs'!$G$28),0),0))*IF('APA Inputs'!$I$28="",1,'APA Inputs'!$I$28))</f>
        <v>0</v>
      </c>
      <c r="BC13" s="425" t="n">
        <f aca="false">IF('APA Inputs'!$C$28="",0,(IF(AND(BC$4&gt;='APA Inputs'!$C$28,BC$4&lt;EDATE('APA Inputs'!$C$28,N('APA Inputs'!$D$28))),'APA Inputs'!$J$28,0)+IF(N('APA Inputs'!$H$28)&gt;0,IF(BC$4=EDATE('APA Inputs'!$C$28,'APA Inputs'!$H$28-1),N('APA Inputs'!$G$28),0),0))*IF('APA Inputs'!$I$28="",1,'APA Inputs'!$I$28))</f>
        <v>0</v>
      </c>
      <c r="BD13" s="425" t="n">
        <f aca="false">IF('APA Inputs'!$C$28="",0,(IF(AND(BD$4&gt;='APA Inputs'!$C$28,BD$4&lt;EDATE('APA Inputs'!$C$28,N('APA Inputs'!$D$28))),'APA Inputs'!$J$28,0)+IF(N('APA Inputs'!$H$28)&gt;0,IF(BD$4=EDATE('APA Inputs'!$C$28,'APA Inputs'!$H$28-1),N('APA Inputs'!$G$28),0),0))*IF('APA Inputs'!$I$28="",1,'APA Inputs'!$I$28))</f>
        <v>0</v>
      </c>
      <c r="BE13" s="425" t="n">
        <f aca="false">IF('APA Inputs'!$C$28="",0,(IF(AND(BE$4&gt;='APA Inputs'!$C$28,BE$4&lt;EDATE('APA Inputs'!$C$28,N('APA Inputs'!$D$28))),'APA Inputs'!$J$28,0)+IF(N('APA Inputs'!$H$28)&gt;0,IF(BE$4=EDATE('APA Inputs'!$C$28,'APA Inputs'!$H$28-1),N('APA Inputs'!$G$28),0),0))*IF('APA Inputs'!$I$28="",1,'APA Inputs'!$I$28))</f>
        <v>0</v>
      </c>
      <c r="BF13" s="425" t="n">
        <f aca="false">IF('APA Inputs'!$C$28="",0,(IF(AND(BF$4&gt;='APA Inputs'!$C$28,BF$4&lt;EDATE('APA Inputs'!$C$28,N('APA Inputs'!$D$28))),'APA Inputs'!$J$28,0)+IF(N('APA Inputs'!$H$28)&gt;0,IF(BF$4=EDATE('APA Inputs'!$C$28,'APA Inputs'!$H$28-1),N('APA Inputs'!$G$28),0),0))*IF('APA Inputs'!$I$28="",1,'APA Inputs'!$I$28))</f>
        <v>0</v>
      </c>
      <c r="BG13" s="425" t="n">
        <f aca="false">IF('APA Inputs'!$C$28="",0,(IF(AND(BG$4&gt;='APA Inputs'!$C$28,BG$4&lt;EDATE('APA Inputs'!$C$28,N('APA Inputs'!$D$28))),'APA Inputs'!$J$28,0)+IF(N('APA Inputs'!$H$28)&gt;0,IF(BG$4=EDATE('APA Inputs'!$C$28,'APA Inputs'!$H$28-1),N('APA Inputs'!$G$28),0),0))*IF('APA Inputs'!$I$28="",1,'APA Inputs'!$I$28))</f>
        <v>0</v>
      </c>
      <c r="BH13" s="425" t="n">
        <f aca="false">IF('APA Inputs'!$C$28="",0,(IF(AND(BH$4&gt;='APA Inputs'!$C$28,BH$4&lt;EDATE('APA Inputs'!$C$28,N('APA Inputs'!$D$28))),'APA Inputs'!$J$28,0)+IF(N('APA Inputs'!$H$28)&gt;0,IF(BH$4=EDATE('APA Inputs'!$C$28,'APA Inputs'!$H$28-1),N('APA Inputs'!$G$28),0),0))*IF('APA Inputs'!$I$28="",1,'APA Inputs'!$I$28))</f>
        <v>0</v>
      </c>
      <c r="BI13" s="425" t="n">
        <f aca="false">IF('APA Inputs'!$C$28="",0,(IF(AND(BI$4&gt;='APA Inputs'!$C$28,BI$4&lt;EDATE('APA Inputs'!$C$28,N('APA Inputs'!$D$28))),'APA Inputs'!$J$28,0)+IF(N('APA Inputs'!$H$28)&gt;0,IF(BI$4=EDATE('APA Inputs'!$C$28,'APA Inputs'!$H$28-1),N('APA Inputs'!$G$28),0),0))*IF('APA Inputs'!$I$28="",1,'APA Inputs'!$I$28))</f>
        <v>0</v>
      </c>
      <c r="BJ13" s="425" t="n">
        <f aca="false">IF('APA Inputs'!$C$28="",0,(IF(AND(BJ$4&gt;='APA Inputs'!$C$28,BJ$4&lt;EDATE('APA Inputs'!$C$28,N('APA Inputs'!$D$28))),'APA Inputs'!$J$28,0)+IF(N('APA Inputs'!$H$28)&gt;0,IF(BJ$4=EDATE('APA Inputs'!$C$28,'APA Inputs'!$H$28-1),N('APA Inputs'!$G$28),0),0))*IF('APA Inputs'!$I$28="",1,'APA Inputs'!$I$28))</f>
        <v>0</v>
      </c>
      <c r="BK13" s="425" t="n">
        <f aca="false">IF('APA Inputs'!$C$28="",0,(IF(AND(BK$4&gt;='APA Inputs'!$C$28,BK$4&lt;EDATE('APA Inputs'!$C$28,N('APA Inputs'!$D$28))),'APA Inputs'!$J$28,0)+IF(N('APA Inputs'!$H$28)&gt;0,IF(BK$4=EDATE('APA Inputs'!$C$28,'APA Inputs'!$H$28-1),N('APA Inputs'!$G$28),0),0))*IF('APA Inputs'!$I$28="",1,'APA Inputs'!$I$28))</f>
        <v>0</v>
      </c>
      <c r="BL13" s="425" t="n">
        <f aca="false">IF('APA Inputs'!$C$28="",0,(IF(AND(BL$4&gt;='APA Inputs'!$C$28,BL$4&lt;EDATE('APA Inputs'!$C$28,N('APA Inputs'!$D$28))),'APA Inputs'!$J$28,0)+IF(N('APA Inputs'!$H$28)&gt;0,IF(BL$4=EDATE('APA Inputs'!$C$28,'APA Inputs'!$H$28-1),N('APA Inputs'!$G$28),0),0))*IF('APA Inputs'!$I$28="",1,'APA Inputs'!$I$28))</f>
        <v>0</v>
      </c>
      <c r="BM13" s="425" t="n">
        <f aca="false">IF('APA Inputs'!$C$28="",0,(IF(AND(BM$4&gt;='APA Inputs'!$C$28,BM$4&lt;EDATE('APA Inputs'!$C$28,N('APA Inputs'!$D$28))),'APA Inputs'!$J$28,0)+IF(N('APA Inputs'!$H$28)&gt;0,IF(BM$4=EDATE('APA Inputs'!$C$28,'APA Inputs'!$H$28-1),N('APA Inputs'!$G$28),0),0))*IF('APA Inputs'!$I$28="",1,'APA Inputs'!$I$28))</f>
        <v>0</v>
      </c>
      <c r="BN13" s="425" t="n">
        <f aca="false">IF('APA Inputs'!$C$28="",0,(IF(AND(BN$4&gt;='APA Inputs'!$C$28,BN$4&lt;EDATE('APA Inputs'!$C$28,N('APA Inputs'!$D$28))),'APA Inputs'!$J$28,0)+IF(N('APA Inputs'!$H$28)&gt;0,IF(BN$4=EDATE('APA Inputs'!$C$28,'APA Inputs'!$H$28-1),N('APA Inputs'!$G$28),0),0))*IF('APA Inputs'!$I$28="",1,'APA Inputs'!$I$28))</f>
        <v>0</v>
      </c>
      <c r="BO13" s="425" t="n">
        <f aca="false">IF('APA Inputs'!$C$28="",0,(IF(AND(BO$4&gt;='APA Inputs'!$C$28,BO$4&lt;EDATE('APA Inputs'!$C$28,N('APA Inputs'!$D$28))),'APA Inputs'!$J$28,0)+IF(N('APA Inputs'!$H$28)&gt;0,IF(BO$4=EDATE('APA Inputs'!$C$28,'APA Inputs'!$H$28-1),N('APA Inputs'!$G$28),0),0))*IF('APA Inputs'!$I$28="",1,'APA Inputs'!$I$28))</f>
        <v>0</v>
      </c>
      <c r="BP13" s="425" t="n">
        <f aca="false">IF('APA Inputs'!$C$28="",0,(IF(AND(BP$4&gt;='APA Inputs'!$C$28,BP$4&lt;EDATE('APA Inputs'!$C$28,N('APA Inputs'!$D$28))),'APA Inputs'!$J$28,0)+IF(N('APA Inputs'!$H$28)&gt;0,IF(BP$4=EDATE('APA Inputs'!$C$28,'APA Inputs'!$H$28-1),N('APA Inputs'!$G$28),0),0))*IF('APA Inputs'!$I$28="",1,'APA Inputs'!$I$28))</f>
        <v>0</v>
      </c>
      <c r="BQ13" s="425" t="n">
        <f aca="false">IF('APA Inputs'!$C$28="",0,(IF(AND(BQ$4&gt;='APA Inputs'!$C$28,BQ$4&lt;EDATE('APA Inputs'!$C$28,N('APA Inputs'!$D$28))),'APA Inputs'!$J$28,0)+IF(N('APA Inputs'!$H$28)&gt;0,IF(BQ$4=EDATE('APA Inputs'!$C$28,'APA Inputs'!$H$28-1),N('APA Inputs'!$G$28),0),0))*IF('APA Inputs'!$I$28="",1,'APA Inputs'!$I$28))</f>
        <v>0</v>
      </c>
      <c r="BR13" s="425" t="n">
        <f aca="false">IF('APA Inputs'!$C$28="",0,(IF(AND(BR$4&gt;='APA Inputs'!$C$28,BR$4&lt;EDATE('APA Inputs'!$C$28,N('APA Inputs'!$D$28))),'APA Inputs'!$J$28,0)+IF(N('APA Inputs'!$H$28)&gt;0,IF(BR$4=EDATE('APA Inputs'!$C$28,'APA Inputs'!$H$28-1),N('APA Inputs'!$G$28),0),0))*IF('APA Inputs'!$I$28="",1,'APA Inputs'!$I$28))</f>
        <v>0</v>
      </c>
      <c r="BS13" s="425" t="n">
        <f aca="false">IF('APA Inputs'!$C$28="",0,(IF(AND(BS$4&gt;='APA Inputs'!$C$28,BS$4&lt;EDATE('APA Inputs'!$C$28,N('APA Inputs'!$D$28))),'APA Inputs'!$J$28,0)+IF(N('APA Inputs'!$H$28)&gt;0,IF(BS$4=EDATE('APA Inputs'!$C$28,'APA Inputs'!$H$28-1),N('APA Inputs'!$G$28),0),0))*IF('APA Inputs'!$I$28="",1,'APA Inputs'!$I$28))</f>
        <v>0</v>
      </c>
      <c r="BT13" s="425" t="n">
        <f aca="false">IF('APA Inputs'!$C$28="",0,(IF(AND(BT$4&gt;='APA Inputs'!$C$28,BT$4&lt;EDATE('APA Inputs'!$C$28,N('APA Inputs'!$D$28))),'APA Inputs'!$J$28,0)+IF(N('APA Inputs'!$H$28)&gt;0,IF(BT$4=EDATE('APA Inputs'!$C$28,'APA Inputs'!$H$28-1),N('APA Inputs'!$G$28),0),0))*IF('APA Inputs'!$I$28="",1,'APA Inputs'!$I$28))</f>
        <v>0</v>
      </c>
      <c r="BU13" s="425" t="n">
        <f aca="false">IF('APA Inputs'!$C$28="",0,(IF(AND(BU$4&gt;='APA Inputs'!$C$28,BU$4&lt;EDATE('APA Inputs'!$C$28,N('APA Inputs'!$D$28))),'APA Inputs'!$J$28,0)+IF(N('APA Inputs'!$H$28)&gt;0,IF(BU$4=EDATE('APA Inputs'!$C$28,'APA Inputs'!$H$28-1),N('APA Inputs'!$G$28),0),0))*IF('APA Inputs'!$I$28="",1,'APA Inputs'!$I$28))</f>
        <v>0</v>
      </c>
      <c r="BV13" s="425" t="n">
        <f aca="false">IF('APA Inputs'!$C$28="",0,(IF(AND(BV$4&gt;='APA Inputs'!$C$28,BV$4&lt;EDATE('APA Inputs'!$C$28,N('APA Inputs'!$D$28))),'APA Inputs'!$J$28,0)+IF(N('APA Inputs'!$H$28)&gt;0,IF(BV$4=EDATE('APA Inputs'!$C$28,'APA Inputs'!$H$28-1),N('APA Inputs'!$G$28),0),0))*IF('APA Inputs'!$I$28="",1,'APA Inputs'!$I$28))</f>
        <v>0</v>
      </c>
      <c r="BW13" s="425" t="n">
        <f aca="false">IF('APA Inputs'!$C$28="",0,(IF(AND(BW$4&gt;='APA Inputs'!$C$28,BW$4&lt;EDATE('APA Inputs'!$C$28,N('APA Inputs'!$D$28))),'APA Inputs'!$J$28,0)+IF(N('APA Inputs'!$H$28)&gt;0,IF(BW$4=EDATE('APA Inputs'!$C$28,'APA Inputs'!$H$28-1),N('APA Inputs'!$G$28),0),0))*IF('APA Inputs'!$I$28="",1,'APA Inputs'!$I$28))</f>
        <v>0</v>
      </c>
      <c r="BX13" s="425" t="n">
        <f aca="false">IF('APA Inputs'!$C$28="",0,(IF(AND(BX$4&gt;='APA Inputs'!$C$28,BX$4&lt;EDATE('APA Inputs'!$C$28,N('APA Inputs'!$D$28))),'APA Inputs'!$J$28,0)+IF(N('APA Inputs'!$H$28)&gt;0,IF(BX$4=EDATE('APA Inputs'!$C$28,'APA Inputs'!$H$28-1),N('APA Inputs'!$G$28),0),0))*IF('APA Inputs'!$I$28="",1,'APA Inputs'!$I$28))</f>
        <v>0</v>
      </c>
      <c r="BY13" s="425" t="n">
        <f aca="false">IF('APA Inputs'!$C$28="",0,(IF(AND(BY$4&gt;='APA Inputs'!$C$28,BY$4&lt;EDATE('APA Inputs'!$C$28,N('APA Inputs'!$D$28))),'APA Inputs'!$J$28,0)+IF(N('APA Inputs'!$H$28)&gt;0,IF(BY$4=EDATE('APA Inputs'!$C$28,'APA Inputs'!$H$28-1),N('APA Inputs'!$G$28),0),0))*IF('APA Inputs'!$I$28="",1,'APA Inputs'!$I$28))</f>
        <v>0</v>
      </c>
      <c r="BZ13" s="425" t="n">
        <f aca="false">IF('APA Inputs'!$C$28="",0,(IF(AND(BZ$4&gt;='APA Inputs'!$C$28,BZ$4&lt;EDATE('APA Inputs'!$C$28,N('APA Inputs'!$D$28))),'APA Inputs'!$J$28,0)+IF(N('APA Inputs'!$H$28)&gt;0,IF(BZ$4=EDATE('APA Inputs'!$C$28,'APA Inputs'!$H$28-1),N('APA Inputs'!$G$28),0),0))*IF('APA Inputs'!$I$28="",1,'APA Inputs'!$I$28))</f>
        <v>0</v>
      </c>
      <c r="CA13" s="425" t="n">
        <f aca="false">IF('APA Inputs'!$C$28="",0,(IF(AND(CA$4&gt;='APA Inputs'!$C$28,CA$4&lt;EDATE('APA Inputs'!$C$28,N('APA Inputs'!$D$28))),'APA Inputs'!$J$28,0)+IF(N('APA Inputs'!$H$28)&gt;0,IF(CA$4=EDATE('APA Inputs'!$C$28,'APA Inputs'!$H$28-1),N('APA Inputs'!$G$28),0),0))*IF('APA Inputs'!$I$28="",1,'APA Inputs'!$I$28))</f>
        <v>0</v>
      </c>
      <c r="CB13" s="425" t="n">
        <f aca="false">IF('APA Inputs'!$C$28="",0,(IF(AND(CB$4&gt;='APA Inputs'!$C$28,CB$4&lt;EDATE('APA Inputs'!$C$28,N('APA Inputs'!$D$28))),'APA Inputs'!$J$28,0)+IF(N('APA Inputs'!$H$28)&gt;0,IF(CB$4=EDATE('APA Inputs'!$C$28,'APA Inputs'!$H$28-1),N('APA Inputs'!$G$28),0),0))*IF('APA Inputs'!$I$28="",1,'APA Inputs'!$I$28))</f>
        <v>0</v>
      </c>
      <c r="CC13" s="425" t="n">
        <f aca="false">IF('APA Inputs'!$C$28="",0,(IF(AND(CC$4&gt;='APA Inputs'!$C$28,CC$4&lt;EDATE('APA Inputs'!$C$28,N('APA Inputs'!$D$28))),'APA Inputs'!$J$28,0)+IF(N('APA Inputs'!$H$28)&gt;0,IF(CC$4=EDATE('APA Inputs'!$C$28,'APA Inputs'!$H$28-1),N('APA Inputs'!$G$28),0),0))*IF('APA Inputs'!$I$28="",1,'APA Inputs'!$I$28))</f>
        <v>0</v>
      </c>
      <c r="CD13" s="425" t="n">
        <f aca="false">IF('APA Inputs'!$C$28="",0,(IF(AND(CD$4&gt;='APA Inputs'!$C$28,CD$4&lt;EDATE('APA Inputs'!$C$28,N('APA Inputs'!$D$28))),'APA Inputs'!$J$28,0)+IF(N('APA Inputs'!$H$28)&gt;0,IF(CD$4=EDATE('APA Inputs'!$C$28,'APA Inputs'!$H$28-1),N('APA Inputs'!$G$28),0),0))*IF('APA Inputs'!$I$28="",1,'APA Inputs'!$I$28))</f>
        <v>0</v>
      </c>
      <c r="CE13" s="425" t="n">
        <f aca="false">IF('APA Inputs'!$C$28="",0,(IF(AND(CE$4&gt;='APA Inputs'!$C$28,CE$4&lt;EDATE('APA Inputs'!$C$28,N('APA Inputs'!$D$28))),'APA Inputs'!$J$28,0)+IF(N('APA Inputs'!$H$28)&gt;0,IF(CE$4=EDATE('APA Inputs'!$C$28,'APA Inputs'!$H$28-1),N('APA Inputs'!$G$28),0),0))*IF('APA Inputs'!$I$28="",1,'APA Inputs'!$I$28))</f>
        <v>0</v>
      </c>
      <c r="CF13" s="425" t="n">
        <f aca="false">IF('APA Inputs'!$C$28="",0,(IF(AND(CF$4&gt;='APA Inputs'!$C$28,CF$4&lt;EDATE('APA Inputs'!$C$28,N('APA Inputs'!$D$28))),'APA Inputs'!$J$28,0)+IF(N('APA Inputs'!$H$28)&gt;0,IF(CF$4=EDATE('APA Inputs'!$C$28,'APA Inputs'!$H$28-1),N('APA Inputs'!$G$28),0),0))*IF('APA Inputs'!$I$28="",1,'APA Inputs'!$I$28))</f>
        <v>0</v>
      </c>
      <c r="CG13" s="425" t="n">
        <f aca="false">IF('APA Inputs'!$C$28="",0,(IF(AND(CG$4&gt;='APA Inputs'!$C$28,CG$4&lt;EDATE('APA Inputs'!$C$28,N('APA Inputs'!$D$28))),'APA Inputs'!$J$28,0)+IF(N('APA Inputs'!$H$28)&gt;0,IF(CG$4=EDATE('APA Inputs'!$C$28,'APA Inputs'!$H$28-1),N('APA Inputs'!$G$28),0),0))*IF('APA Inputs'!$I$28="",1,'APA Inputs'!$I$28))</f>
        <v>0</v>
      </c>
      <c r="CH13" s="425" t="n">
        <f aca="false">IF('APA Inputs'!$C$28="",0,(IF(AND(CH$4&gt;='APA Inputs'!$C$28,CH$4&lt;EDATE('APA Inputs'!$C$28,N('APA Inputs'!$D$28))),'APA Inputs'!$J$28,0)+IF(N('APA Inputs'!$H$28)&gt;0,IF(CH$4=EDATE('APA Inputs'!$C$28,'APA Inputs'!$H$28-1),N('APA Inputs'!$G$28),0),0))*IF('APA Inputs'!$I$28="",1,'APA Inputs'!$I$28))</f>
        <v>0</v>
      </c>
      <c r="CI13" s="425" t="n">
        <f aca="false">IF('APA Inputs'!$C$28="",0,(IF(AND(CI$4&gt;='APA Inputs'!$C$28,CI$4&lt;EDATE('APA Inputs'!$C$28,N('APA Inputs'!$D$28))),'APA Inputs'!$J$28,0)+IF(N('APA Inputs'!$H$28)&gt;0,IF(CI$4=EDATE('APA Inputs'!$C$28,'APA Inputs'!$H$28-1),N('APA Inputs'!$G$28),0),0))*IF('APA Inputs'!$I$28="",1,'APA Inputs'!$I$28))</f>
        <v>0</v>
      </c>
      <c r="CJ13" s="425" t="n">
        <f aca="false">IF('APA Inputs'!$C$28="",0,(IF(AND(CJ$4&gt;='APA Inputs'!$C$28,CJ$4&lt;EDATE('APA Inputs'!$C$28,N('APA Inputs'!$D$28))),'APA Inputs'!$J$28,0)+IF(N('APA Inputs'!$H$28)&gt;0,IF(CJ$4=EDATE('APA Inputs'!$C$28,'APA Inputs'!$H$28-1),N('APA Inputs'!$G$28),0),0))*IF('APA Inputs'!$I$28="",1,'APA Inputs'!$I$28))</f>
        <v>0</v>
      </c>
      <c r="CK13" s="425" t="n">
        <f aca="false">IF('APA Inputs'!$C$28="",0,(IF(AND(CK$4&gt;='APA Inputs'!$C$28,CK$4&lt;EDATE('APA Inputs'!$C$28,N('APA Inputs'!$D$28))),'APA Inputs'!$J$28,0)+IF(N('APA Inputs'!$H$28)&gt;0,IF(CK$4=EDATE('APA Inputs'!$C$28,'APA Inputs'!$H$28-1),N('APA Inputs'!$G$28),0),0))*IF('APA Inputs'!$I$28="",1,'APA Inputs'!$I$28))</f>
        <v>0</v>
      </c>
      <c r="CL13" s="425" t="n">
        <f aca="false">IF('APA Inputs'!$C$28="",0,(IF(AND(CL$4&gt;='APA Inputs'!$C$28,CL$4&lt;EDATE('APA Inputs'!$C$28,N('APA Inputs'!$D$28))),'APA Inputs'!$J$28,0)+IF(N('APA Inputs'!$H$28)&gt;0,IF(CL$4=EDATE('APA Inputs'!$C$28,'APA Inputs'!$H$28-1),N('APA Inputs'!$G$28),0),0))*IF('APA Inputs'!$I$28="",1,'APA Inputs'!$I$28))</f>
        <v>0</v>
      </c>
      <c r="CM13" s="425" t="n">
        <f aca="false">IF('APA Inputs'!$C$28="",0,(IF(AND(CM$4&gt;='APA Inputs'!$C$28,CM$4&lt;EDATE('APA Inputs'!$C$28,N('APA Inputs'!$D$28))),'APA Inputs'!$J$28,0)+IF(N('APA Inputs'!$H$28)&gt;0,IF(CM$4=EDATE('APA Inputs'!$C$28,'APA Inputs'!$H$28-1),N('APA Inputs'!$G$28),0),0))*IF('APA Inputs'!$I$28="",1,'APA Inputs'!$I$28))</f>
        <v>0</v>
      </c>
      <c r="CN13" s="425" t="n">
        <f aca="false">IF('APA Inputs'!$C$28="",0,(IF(AND(CN$4&gt;='APA Inputs'!$C$28,CN$4&lt;EDATE('APA Inputs'!$C$28,N('APA Inputs'!$D$28))),'APA Inputs'!$J$28,0)+IF(N('APA Inputs'!$H$28)&gt;0,IF(CN$4=EDATE('APA Inputs'!$C$28,'APA Inputs'!$H$28-1),N('APA Inputs'!$G$28),0),0))*IF('APA Inputs'!$I$28="",1,'APA Inputs'!$I$28))</f>
        <v>0</v>
      </c>
      <c r="CO13" s="425" t="n">
        <f aca="false">IF('APA Inputs'!$C$28="",0,(IF(AND(CO$4&gt;='APA Inputs'!$C$28,CO$4&lt;EDATE('APA Inputs'!$C$28,N('APA Inputs'!$D$28))),'APA Inputs'!$J$28,0)+IF(N('APA Inputs'!$H$28)&gt;0,IF(CO$4=EDATE('APA Inputs'!$C$28,'APA Inputs'!$H$28-1),N('APA Inputs'!$G$28),0),0))*IF('APA Inputs'!$I$28="",1,'APA Inputs'!$I$28))</f>
        <v>0</v>
      </c>
      <c r="CP13" s="425" t="n">
        <f aca="false">IF('APA Inputs'!$C$28="",0,(IF(AND(CP$4&gt;='APA Inputs'!$C$28,CP$4&lt;EDATE('APA Inputs'!$C$28,N('APA Inputs'!$D$28))),'APA Inputs'!$J$28,0)+IF(N('APA Inputs'!$H$28)&gt;0,IF(CP$4=EDATE('APA Inputs'!$C$28,'APA Inputs'!$H$28-1),N('APA Inputs'!$G$28),0),0))*IF('APA Inputs'!$I$28="",1,'APA Inputs'!$I$28))</f>
        <v>0</v>
      </c>
      <c r="CQ13" s="425" t="n">
        <f aca="false">IF('APA Inputs'!$C$28="",0,(IF(AND(CQ$4&gt;='APA Inputs'!$C$28,CQ$4&lt;EDATE('APA Inputs'!$C$28,N('APA Inputs'!$D$28))),'APA Inputs'!$J$28,0)+IF(N('APA Inputs'!$H$28)&gt;0,IF(CQ$4=EDATE('APA Inputs'!$C$28,'APA Inputs'!$H$28-1),N('APA Inputs'!$G$28),0),0))*IF('APA Inputs'!$I$28="",1,'APA Inputs'!$I$28))</f>
        <v>0</v>
      </c>
      <c r="CR13" s="425" t="n">
        <f aca="false">IF('APA Inputs'!$C$28="",0,(IF(AND(CR$4&gt;='APA Inputs'!$C$28,CR$4&lt;EDATE('APA Inputs'!$C$28,N('APA Inputs'!$D$28))),'APA Inputs'!$J$28,0)+IF(N('APA Inputs'!$H$28)&gt;0,IF(CR$4=EDATE('APA Inputs'!$C$28,'APA Inputs'!$H$28-1),N('APA Inputs'!$G$28),0),0))*IF('APA Inputs'!$I$28="",1,'APA Inputs'!$I$28))</f>
        <v>0</v>
      </c>
      <c r="CS13" s="425" t="n">
        <f aca="false">IF('APA Inputs'!$C$28="",0,(IF(AND(CS$4&gt;='APA Inputs'!$C$28,CS$4&lt;EDATE('APA Inputs'!$C$28,N('APA Inputs'!$D$28))),'APA Inputs'!$J$28,0)+IF(N('APA Inputs'!$H$28)&gt;0,IF(CS$4=EDATE('APA Inputs'!$C$28,'APA Inputs'!$H$28-1),N('APA Inputs'!$G$28),0),0))*IF('APA Inputs'!$I$28="",1,'APA Inputs'!$I$28))</f>
        <v>0</v>
      </c>
      <c r="CT13" s="425" t="n">
        <f aca="false">IF('APA Inputs'!$C$28="",0,(IF(AND(CT$4&gt;='APA Inputs'!$C$28,CT$4&lt;EDATE('APA Inputs'!$C$28,N('APA Inputs'!$D$28))),'APA Inputs'!$J$28,0)+IF(N('APA Inputs'!$H$28)&gt;0,IF(CT$4=EDATE('APA Inputs'!$C$28,'APA Inputs'!$H$28-1),N('APA Inputs'!$G$28),0),0))*IF('APA Inputs'!$I$28="",1,'APA Inputs'!$I$28))</f>
        <v>0</v>
      </c>
      <c r="CU13" s="425" t="n">
        <f aca="false">IF('APA Inputs'!$C$28="",0,(IF(AND(CU$4&gt;='APA Inputs'!$C$28,CU$4&lt;EDATE('APA Inputs'!$C$28,N('APA Inputs'!$D$28))),'APA Inputs'!$J$28,0)+IF(N('APA Inputs'!$H$28)&gt;0,IF(CU$4=EDATE('APA Inputs'!$C$28,'APA Inputs'!$H$28-1),N('APA Inputs'!$G$28),0),0))*IF('APA Inputs'!$I$28="",1,'APA Inputs'!$I$28))</f>
        <v>0</v>
      </c>
      <c r="CV13" s="425" t="n">
        <f aca="false">IF('APA Inputs'!$C$28="",0,(IF(AND(CV$4&gt;='APA Inputs'!$C$28,CV$4&lt;EDATE('APA Inputs'!$C$28,N('APA Inputs'!$D$28))),'APA Inputs'!$J$28,0)+IF(N('APA Inputs'!$H$28)&gt;0,IF(CV$4=EDATE('APA Inputs'!$C$28,'APA Inputs'!$H$28-1),N('APA Inputs'!$G$28),0),0))*IF('APA Inputs'!$I$28="",1,'APA Inputs'!$I$28))</f>
        <v>0</v>
      </c>
      <c r="CW13" s="425" t="n">
        <f aca="false">IF('APA Inputs'!$C$28="",0,(IF(AND(CW$4&gt;='APA Inputs'!$C$28,CW$4&lt;EDATE('APA Inputs'!$C$28,N('APA Inputs'!$D$28))),'APA Inputs'!$J$28,0)+IF(N('APA Inputs'!$H$28)&gt;0,IF(CW$4=EDATE('APA Inputs'!$C$28,'APA Inputs'!$H$28-1),N('APA Inputs'!$G$28),0),0))*IF('APA Inputs'!$I$28="",1,'APA Inputs'!$I$28))</f>
        <v>0</v>
      </c>
      <c r="CX13" s="425" t="n">
        <f aca="false">IF('APA Inputs'!$C$28="",0,(IF(AND(CX$4&gt;='APA Inputs'!$C$28,CX$4&lt;EDATE('APA Inputs'!$C$28,N('APA Inputs'!$D$28))),'APA Inputs'!$J$28,0)+IF(N('APA Inputs'!$H$28)&gt;0,IF(CX$4=EDATE('APA Inputs'!$C$28,'APA Inputs'!$H$28-1),N('APA Inputs'!$G$28),0),0))*IF('APA Inputs'!$I$28="",1,'APA Inputs'!$I$28))</f>
        <v>0</v>
      </c>
      <c r="CY13" s="425" t="n">
        <f aca="false">IF('APA Inputs'!$C$28="",0,(IF(AND(CY$4&gt;='APA Inputs'!$C$28,CY$4&lt;EDATE('APA Inputs'!$C$28,N('APA Inputs'!$D$28))),'APA Inputs'!$J$28,0)+IF(N('APA Inputs'!$H$28)&gt;0,IF(CY$4=EDATE('APA Inputs'!$C$28,'APA Inputs'!$H$28-1),N('APA Inputs'!$G$28),0),0))*IF('APA Inputs'!$I$28="",1,'APA Inputs'!$I$28))</f>
        <v>0</v>
      </c>
      <c r="CZ13" s="425" t="n">
        <f aca="false">IF('APA Inputs'!$C$28="",0,(IF(AND(CZ$4&gt;='APA Inputs'!$C$28,CZ$4&lt;EDATE('APA Inputs'!$C$28,N('APA Inputs'!$D$28))),'APA Inputs'!$J$28,0)+IF(N('APA Inputs'!$H$28)&gt;0,IF(CZ$4=EDATE('APA Inputs'!$C$28,'APA Inputs'!$H$28-1),N('APA Inputs'!$G$28),0),0))*IF('APA Inputs'!$I$28="",1,'APA Inputs'!$I$28))</f>
        <v>0</v>
      </c>
      <c r="DA13" s="425" t="n">
        <f aca="false">IF('APA Inputs'!$C$28="",0,(IF(AND(DA$4&gt;='APA Inputs'!$C$28,DA$4&lt;EDATE('APA Inputs'!$C$28,N('APA Inputs'!$D$28))),'APA Inputs'!$J$28,0)+IF(N('APA Inputs'!$H$28)&gt;0,IF(DA$4=EDATE('APA Inputs'!$C$28,'APA Inputs'!$H$28-1),N('APA Inputs'!$G$28),0),0))*IF('APA Inputs'!$I$28="",1,'APA Inputs'!$I$28))</f>
        <v>0</v>
      </c>
      <c r="DB13" s="425" t="n">
        <f aca="false">IF('APA Inputs'!$C$28="",0,(IF(AND(DB$4&gt;='APA Inputs'!$C$28,DB$4&lt;EDATE('APA Inputs'!$C$28,N('APA Inputs'!$D$28))),'APA Inputs'!$J$28,0)+IF(N('APA Inputs'!$H$28)&gt;0,IF(DB$4=EDATE('APA Inputs'!$C$28,'APA Inputs'!$H$28-1),N('APA Inputs'!$G$28),0),0))*IF('APA Inputs'!$I$28="",1,'APA Inputs'!$I$28))</f>
        <v>0</v>
      </c>
      <c r="DC13" s="425" t="n">
        <f aca="false">IF('APA Inputs'!$C$28="",0,(IF(AND(DC$4&gt;='APA Inputs'!$C$28,DC$4&lt;EDATE('APA Inputs'!$C$28,N('APA Inputs'!$D$28))),'APA Inputs'!$J$28,0)+IF(N('APA Inputs'!$H$28)&gt;0,IF(DC$4=EDATE('APA Inputs'!$C$28,'APA Inputs'!$H$28-1),N('APA Inputs'!$G$28),0),0))*IF('APA Inputs'!$I$28="",1,'APA Inputs'!$I$28))</f>
        <v>0</v>
      </c>
      <c r="DD13" s="425" t="n">
        <f aca="false">IF('APA Inputs'!$C$28="",0,(IF(AND(DD$4&gt;='APA Inputs'!$C$28,DD$4&lt;EDATE('APA Inputs'!$C$28,N('APA Inputs'!$D$28))),'APA Inputs'!$J$28,0)+IF(N('APA Inputs'!$H$28)&gt;0,IF(DD$4=EDATE('APA Inputs'!$C$28,'APA Inputs'!$H$28-1),N('APA Inputs'!$G$28),0),0))*IF('APA Inputs'!$I$28="",1,'APA Inputs'!$I$28))</f>
        <v>0</v>
      </c>
      <c r="DE13" s="425" t="n">
        <f aca="false">IF('APA Inputs'!$C$28="",0,(IF(AND(DE$4&gt;='APA Inputs'!$C$28,DE$4&lt;EDATE('APA Inputs'!$C$28,N('APA Inputs'!$D$28))),'APA Inputs'!$J$28,0)+IF(N('APA Inputs'!$H$28)&gt;0,IF(DE$4=EDATE('APA Inputs'!$C$28,'APA Inputs'!$H$28-1),N('APA Inputs'!$G$28),0),0))*IF('APA Inputs'!$I$28="",1,'APA Inputs'!$I$28))</f>
        <v>0</v>
      </c>
    </row>
    <row r="14" customFormat="false" ht="15" hidden="false" customHeight="true" outlineLevel="0" collapsed="false">
      <c r="A14" s="1" t="str">
        <f aca="false">'APA Inputs'!A29</f>
        <v>Pipeline 4</v>
      </c>
      <c r="B14" s="425" t="n">
        <f aca="false">IF('APA Inputs'!$C$29="",0,(IF(AND(B$4&gt;='APA Inputs'!$C$29,B$4&lt;EDATE('APA Inputs'!$C$29,N('APA Inputs'!$D$29))),'APA Inputs'!$J$29,0)+IF(N('APA Inputs'!$H$29)&gt;0,IF(B$4=EDATE('APA Inputs'!$C$29,'APA Inputs'!$H$29-1),N('APA Inputs'!$G$29),0),0))*IF('APA Inputs'!$I$29="",1,'APA Inputs'!$I$29))</f>
        <v>0</v>
      </c>
      <c r="C14" s="425" t="n">
        <f aca="false">IF('APA Inputs'!$C$29="",0,(IF(AND(C$4&gt;='APA Inputs'!$C$29,C$4&lt;EDATE('APA Inputs'!$C$29,N('APA Inputs'!$D$29))),'APA Inputs'!$J$29,0)+IF(N('APA Inputs'!$H$29)&gt;0,IF(C$4=EDATE('APA Inputs'!$C$29,'APA Inputs'!$H$29-1),N('APA Inputs'!$G$29),0),0))*IF('APA Inputs'!$I$29="",1,'APA Inputs'!$I$29))</f>
        <v>0</v>
      </c>
      <c r="D14" s="425" t="n">
        <f aca="false">IF('APA Inputs'!$C$29="",0,(IF(AND(D$4&gt;='APA Inputs'!$C$29,D$4&lt;EDATE('APA Inputs'!$C$29,N('APA Inputs'!$D$29))),'APA Inputs'!$J$29,0)+IF(N('APA Inputs'!$H$29)&gt;0,IF(D$4=EDATE('APA Inputs'!$C$29,'APA Inputs'!$H$29-1),N('APA Inputs'!$G$29),0),0))*IF('APA Inputs'!$I$29="",1,'APA Inputs'!$I$29))</f>
        <v>0</v>
      </c>
      <c r="E14" s="425" t="n">
        <f aca="false">IF('APA Inputs'!$C$29="",0,(IF(AND(E$4&gt;='APA Inputs'!$C$29,E$4&lt;EDATE('APA Inputs'!$C$29,N('APA Inputs'!$D$29))),'APA Inputs'!$J$29,0)+IF(N('APA Inputs'!$H$29)&gt;0,IF(E$4=EDATE('APA Inputs'!$C$29,'APA Inputs'!$H$29-1),N('APA Inputs'!$G$29),0),0))*IF('APA Inputs'!$I$29="",1,'APA Inputs'!$I$29))</f>
        <v>0</v>
      </c>
      <c r="F14" s="425" t="n">
        <f aca="false">IF('APA Inputs'!$C$29="",0,(IF(AND(F$4&gt;='APA Inputs'!$C$29,F$4&lt;EDATE('APA Inputs'!$C$29,N('APA Inputs'!$D$29))),'APA Inputs'!$J$29,0)+IF(N('APA Inputs'!$H$29)&gt;0,IF(F$4=EDATE('APA Inputs'!$C$29,'APA Inputs'!$H$29-1),N('APA Inputs'!$G$29),0),0))*IF('APA Inputs'!$I$29="",1,'APA Inputs'!$I$29))</f>
        <v>0</v>
      </c>
      <c r="G14" s="425" t="n">
        <f aca="false">IF('APA Inputs'!$C$29="",0,(IF(AND(G$4&gt;='APA Inputs'!$C$29,G$4&lt;EDATE('APA Inputs'!$C$29,N('APA Inputs'!$D$29))),'APA Inputs'!$J$29,0)+IF(N('APA Inputs'!$H$29)&gt;0,IF(G$4=EDATE('APA Inputs'!$C$29,'APA Inputs'!$H$29-1),N('APA Inputs'!$G$29),0),0))*IF('APA Inputs'!$I$29="",1,'APA Inputs'!$I$29))</f>
        <v>0</v>
      </c>
      <c r="H14" s="425" t="n">
        <f aca="false">IF('APA Inputs'!$C$29="",0,(IF(AND(H$4&gt;='APA Inputs'!$C$29,H$4&lt;EDATE('APA Inputs'!$C$29,N('APA Inputs'!$D$29))),'APA Inputs'!$J$29,0)+IF(N('APA Inputs'!$H$29)&gt;0,IF(H$4=EDATE('APA Inputs'!$C$29,'APA Inputs'!$H$29-1),N('APA Inputs'!$G$29),0),0))*IF('APA Inputs'!$I$29="",1,'APA Inputs'!$I$29))</f>
        <v>0</v>
      </c>
      <c r="I14" s="425" t="n">
        <f aca="false">IF('APA Inputs'!$C$29="",0,(IF(AND(I$4&gt;='APA Inputs'!$C$29,I$4&lt;EDATE('APA Inputs'!$C$29,N('APA Inputs'!$D$29))),'APA Inputs'!$J$29,0)+IF(N('APA Inputs'!$H$29)&gt;0,IF(I$4=EDATE('APA Inputs'!$C$29,'APA Inputs'!$H$29-1),N('APA Inputs'!$G$29),0),0))*IF('APA Inputs'!$I$29="",1,'APA Inputs'!$I$29))</f>
        <v>0</v>
      </c>
      <c r="J14" s="425" t="n">
        <f aca="false">IF('APA Inputs'!$C$29="",0,(IF(AND(J$4&gt;='APA Inputs'!$C$29,J$4&lt;EDATE('APA Inputs'!$C$29,N('APA Inputs'!$D$29))),'APA Inputs'!$J$29,0)+IF(N('APA Inputs'!$H$29)&gt;0,IF(J$4=EDATE('APA Inputs'!$C$29,'APA Inputs'!$H$29-1),N('APA Inputs'!$G$29),0),0))*IF('APA Inputs'!$I$29="",1,'APA Inputs'!$I$29))</f>
        <v>0</v>
      </c>
      <c r="K14" s="425" t="n">
        <f aca="false">IF('APA Inputs'!$C$29="",0,(IF(AND(K$4&gt;='APA Inputs'!$C$29,K$4&lt;EDATE('APA Inputs'!$C$29,N('APA Inputs'!$D$29))),'APA Inputs'!$J$29,0)+IF(N('APA Inputs'!$H$29)&gt;0,IF(K$4=EDATE('APA Inputs'!$C$29,'APA Inputs'!$H$29-1),N('APA Inputs'!$G$29),0),0))*IF('APA Inputs'!$I$29="",1,'APA Inputs'!$I$29))</f>
        <v>0</v>
      </c>
      <c r="L14" s="425" t="n">
        <f aca="false">IF('APA Inputs'!$C$29="",0,(IF(AND(L$4&gt;='APA Inputs'!$C$29,L$4&lt;EDATE('APA Inputs'!$C$29,N('APA Inputs'!$D$29))),'APA Inputs'!$J$29,0)+IF(N('APA Inputs'!$H$29)&gt;0,IF(L$4=EDATE('APA Inputs'!$C$29,'APA Inputs'!$H$29-1),N('APA Inputs'!$G$29),0),0))*IF('APA Inputs'!$I$29="",1,'APA Inputs'!$I$29))</f>
        <v>0</v>
      </c>
      <c r="M14" s="425" t="n">
        <f aca="false">IF('APA Inputs'!$C$29="",0,(IF(AND(M$4&gt;='APA Inputs'!$C$29,M$4&lt;EDATE('APA Inputs'!$C$29,N('APA Inputs'!$D$29))),'APA Inputs'!$J$29,0)+IF(N('APA Inputs'!$H$29)&gt;0,IF(M$4=EDATE('APA Inputs'!$C$29,'APA Inputs'!$H$29-1),N('APA Inputs'!$G$29),0),0))*IF('APA Inputs'!$I$29="",1,'APA Inputs'!$I$29))</f>
        <v>0</v>
      </c>
      <c r="N14" s="425" t="n">
        <f aca="false">IF('APA Inputs'!$C$29="",0,(IF(AND(N$4&gt;='APA Inputs'!$C$29,N$4&lt;EDATE('APA Inputs'!$C$29,N('APA Inputs'!$D$29))),'APA Inputs'!$J$29,0)+IF(N('APA Inputs'!$H$29)&gt;0,IF(N$4=EDATE('APA Inputs'!$C$29,'APA Inputs'!$H$29-1),N('APA Inputs'!$G$29),0),0))*IF('APA Inputs'!$I$29="",1,'APA Inputs'!$I$29))</f>
        <v>0</v>
      </c>
      <c r="O14" s="425" t="n">
        <f aca="false">IF('APA Inputs'!$C$29="",0,(IF(AND(O$4&gt;='APA Inputs'!$C$29,O$4&lt;EDATE('APA Inputs'!$C$29,N('APA Inputs'!$D$29))),'APA Inputs'!$J$29,0)+IF(N('APA Inputs'!$H$29)&gt;0,IF(O$4=EDATE('APA Inputs'!$C$29,'APA Inputs'!$H$29-1),N('APA Inputs'!$G$29),0),0))*IF('APA Inputs'!$I$29="",1,'APA Inputs'!$I$29))</f>
        <v>0</v>
      </c>
      <c r="P14" s="425" t="n">
        <f aca="false">IF('APA Inputs'!$C$29="",0,(IF(AND(P$4&gt;='APA Inputs'!$C$29,P$4&lt;EDATE('APA Inputs'!$C$29,N('APA Inputs'!$D$29))),'APA Inputs'!$J$29,0)+IF(N('APA Inputs'!$H$29)&gt;0,IF(P$4=EDATE('APA Inputs'!$C$29,'APA Inputs'!$H$29-1),N('APA Inputs'!$G$29),0),0))*IF('APA Inputs'!$I$29="",1,'APA Inputs'!$I$29))</f>
        <v>0</v>
      </c>
      <c r="Q14" s="425" t="n">
        <f aca="false">IF('APA Inputs'!$C$29="",0,(IF(AND(Q$4&gt;='APA Inputs'!$C$29,Q$4&lt;EDATE('APA Inputs'!$C$29,N('APA Inputs'!$D$29))),'APA Inputs'!$J$29,0)+IF(N('APA Inputs'!$H$29)&gt;0,IF(Q$4=EDATE('APA Inputs'!$C$29,'APA Inputs'!$H$29-1),N('APA Inputs'!$G$29),0),0))*IF('APA Inputs'!$I$29="",1,'APA Inputs'!$I$29))</f>
        <v>0</v>
      </c>
      <c r="R14" s="425" t="n">
        <f aca="false">IF('APA Inputs'!$C$29="",0,(IF(AND(R$4&gt;='APA Inputs'!$C$29,R$4&lt;EDATE('APA Inputs'!$C$29,N('APA Inputs'!$D$29))),'APA Inputs'!$J$29,0)+IF(N('APA Inputs'!$H$29)&gt;0,IF(R$4=EDATE('APA Inputs'!$C$29,'APA Inputs'!$H$29-1),N('APA Inputs'!$G$29),0),0))*IF('APA Inputs'!$I$29="",1,'APA Inputs'!$I$29))</f>
        <v>0</v>
      </c>
      <c r="S14" s="425" t="n">
        <f aca="false">IF('APA Inputs'!$C$29="",0,(IF(AND(S$4&gt;='APA Inputs'!$C$29,S$4&lt;EDATE('APA Inputs'!$C$29,N('APA Inputs'!$D$29))),'APA Inputs'!$J$29,0)+IF(N('APA Inputs'!$H$29)&gt;0,IF(S$4=EDATE('APA Inputs'!$C$29,'APA Inputs'!$H$29-1),N('APA Inputs'!$G$29),0),0))*IF('APA Inputs'!$I$29="",1,'APA Inputs'!$I$29))</f>
        <v>0</v>
      </c>
      <c r="T14" s="425" t="n">
        <f aca="false">IF('APA Inputs'!$C$29="",0,(IF(AND(T$4&gt;='APA Inputs'!$C$29,T$4&lt;EDATE('APA Inputs'!$C$29,N('APA Inputs'!$D$29))),'APA Inputs'!$J$29,0)+IF(N('APA Inputs'!$H$29)&gt;0,IF(T$4=EDATE('APA Inputs'!$C$29,'APA Inputs'!$H$29-1),N('APA Inputs'!$G$29),0),0))*IF('APA Inputs'!$I$29="",1,'APA Inputs'!$I$29))</f>
        <v>0</v>
      </c>
      <c r="U14" s="425" t="n">
        <f aca="false">IF('APA Inputs'!$C$29="",0,(IF(AND(U$4&gt;='APA Inputs'!$C$29,U$4&lt;EDATE('APA Inputs'!$C$29,N('APA Inputs'!$D$29))),'APA Inputs'!$J$29,0)+IF(N('APA Inputs'!$H$29)&gt;0,IF(U$4=EDATE('APA Inputs'!$C$29,'APA Inputs'!$H$29-1),N('APA Inputs'!$G$29),0),0))*IF('APA Inputs'!$I$29="",1,'APA Inputs'!$I$29))</f>
        <v>0</v>
      </c>
      <c r="V14" s="425" t="n">
        <f aca="false">IF('APA Inputs'!$C$29="",0,(IF(AND(V$4&gt;='APA Inputs'!$C$29,V$4&lt;EDATE('APA Inputs'!$C$29,N('APA Inputs'!$D$29))),'APA Inputs'!$J$29,0)+IF(N('APA Inputs'!$H$29)&gt;0,IF(V$4=EDATE('APA Inputs'!$C$29,'APA Inputs'!$H$29-1),N('APA Inputs'!$G$29),0),0))*IF('APA Inputs'!$I$29="",1,'APA Inputs'!$I$29))</f>
        <v>0</v>
      </c>
      <c r="W14" s="425" t="n">
        <f aca="false">IF('APA Inputs'!$C$29="",0,(IF(AND(W$4&gt;='APA Inputs'!$C$29,W$4&lt;EDATE('APA Inputs'!$C$29,N('APA Inputs'!$D$29))),'APA Inputs'!$J$29,0)+IF(N('APA Inputs'!$H$29)&gt;0,IF(W$4=EDATE('APA Inputs'!$C$29,'APA Inputs'!$H$29-1),N('APA Inputs'!$G$29),0),0))*IF('APA Inputs'!$I$29="",1,'APA Inputs'!$I$29))</f>
        <v>0</v>
      </c>
      <c r="X14" s="425" t="n">
        <f aca="false">IF('APA Inputs'!$C$29="",0,(IF(AND(X$4&gt;='APA Inputs'!$C$29,X$4&lt;EDATE('APA Inputs'!$C$29,N('APA Inputs'!$D$29))),'APA Inputs'!$J$29,0)+IF(N('APA Inputs'!$H$29)&gt;0,IF(X$4=EDATE('APA Inputs'!$C$29,'APA Inputs'!$H$29-1),N('APA Inputs'!$G$29),0),0))*IF('APA Inputs'!$I$29="",1,'APA Inputs'!$I$29))</f>
        <v>0</v>
      </c>
      <c r="Y14" s="425" t="n">
        <f aca="false">IF('APA Inputs'!$C$29="",0,(IF(AND(Y$4&gt;='APA Inputs'!$C$29,Y$4&lt;EDATE('APA Inputs'!$C$29,N('APA Inputs'!$D$29))),'APA Inputs'!$J$29,0)+IF(N('APA Inputs'!$H$29)&gt;0,IF(Y$4=EDATE('APA Inputs'!$C$29,'APA Inputs'!$H$29-1),N('APA Inputs'!$G$29),0),0))*IF('APA Inputs'!$I$29="",1,'APA Inputs'!$I$29))</f>
        <v>0</v>
      </c>
      <c r="Z14" s="425" t="n">
        <f aca="false">IF('APA Inputs'!$C$29="",0,(IF(AND(Z$4&gt;='APA Inputs'!$C$29,Z$4&lt;EDATE('APA Inputs'!$C$29,N('APA Inputs'!$D$29))),'APA Inputs'!$J$29,0)+IF(N('APA Inputs'!$H$29)&gt;0,IF(Z$4=EDATE('APA Inputs'!$C$29,'APA Inputs'!$H$29-1),N('APA Inputs'!$G$29),0),0))*IF('APA Inputs'!$I$29="",1,'APA Inputs'!$I$29))</f>
        <v>0</v>
      </c>
      <c r="AA14" s="425" t="n">
        <f aca="false">IF('APA Inputs'!$C$29="",0,(IF(AND(AA$4&gt;='APA Inputs'!$C$29,AA$4&lt;EDATE('APA Inputs'!$C$29,N('APA Inputs'!$D$29))),'APA Inputs'!$J$29,0)+IF(N('APA Inputs'!$H$29)&gt;0,IF(AA$4=EDATE('APA Inputs'!$C$29,'APA Inputs'!$H$29-1),N('APA Inputs'!$G$29),0),0))*IF('APA Inputs'!$I$29="",1,'APA Inputs'!$I$29))</f>
        <v>0</v>
      </c>
      <c r="AB14" s="425" t="n">
        <f aca="false">IF('APA Inputs'!$C$29="",0,(IF(AND(AB$4&gt;='APA Inputs'!$C$29,AB$4&lt;EDATE('APA Inputs'!$C$29,N('APA Inputs'!$D$29))),'APA Inputs'!$J$29,0)+IF(N('APA Inputs'!$H$29)&gt;0,IF(AB$4=EDATE('APA Inputs'!$C$29,'APA Inputs'!$H$29-1),N('APA Inputs'!$G$29),0),0))*IF('APA Inputs'!$I$29="",1,'APA Inputs'!$I$29))</f>
        <v>0</v>
      </c>
      <c r="AC14" s="425" t="n">
        <f aca="false">IF('APA Inputs'!$C$29="",0,(IF(AND(AC$4&gt;='APA Inputs'!$C$29,AC$4&lt;EDATE('APA Inputs'!$C$29,N('APA Inputs'!$D$29))),'APA Inputs'!$J$29,0)+IF(N('APA Inputs'!$H$29)&gt;0,IF(AC$4=EDATE('APA Inputs'!$C$29,'APA Inputs'!$H$29-1),N('APA Inputs'!$G$29),0),0))*IF('APA Inputs'!$I$29="",1,'APA Inputs'!$I$29))</f>
        <v>0</v>
      </c>
      <c r="AD14" s="425" t="n">
        <f aca="false">IF('APA Inputs'!$C$29="",0,(IF(AND(AD$4&gt;='APA Inputs'!$C$29,AD$4&lt;EDATE('APA Inputs'!$C$29,N('APA Inputs'!$D$29))),'APA Inputs'!$J$29,0)+IF(N('APA Inputs'!$H$29)&gt;0,IF(AD$4=EDATE('APA Inputs'!$C$29,'APA Inputs'!$H$29-1),N('APA Inputs'!$G$29),0),0))*IF('APA Inputs'!$I$29="",1,'APA Inputs'!$I$29))</f>
        <v>0</v>
      </c>
      <c r="AE14" s="425" t="n">
        <f aca="false">IF('APA Inputs'!$C$29="",0,(IF(AND(AE$4&gt;='APA Inputs'!$C$29,AE$4&lt;EDATE('APA Inputs'!$C$29,N('APA Inputs'!$D$29))),'APA Inputs'!$J$29,0)+IF(N('APA Inputs'!$H$29)&gt;0,IF(AE$4=EDATE('APA Inputs'!$C$29,'APA Inputs'!$H$29-1),N('APA Inputs'!$G$29),0),0))*IF('APA Inputs'!$I$29="",1,'APA Inputs'!$I$29))</f>
        <v>0</v>
      </c>
      <c r="AF14" s="425" t="n">
        <f aca="false">IF('APA Inputs'!$C$29="",0,(IF(AND(AF$4&gt;='APA Inputs'!$C$29,AF$4&lt;EDATE('APA Inputs'!$C$29,N('APA Inputs'!$D$29))),'APA Inputs'!$J$29,0)+IF(N('APA Inputs'!$H$29)&gt;0,IF(AF$4=EDATE('APA Inputs'!$C$29,'APA Inputs'!$H$29-1),N('APA Inputs'!$G$29),0),0))*IF('APA Inputs'!$I$29="",1,'APA Inputs'!$I$29))</f>
        <v>0</v>
      </c>
      <c r="AG14" s="425" t="n">
        <f aca="false">IF('APA Inputs'!$C$29="",0,(IF(AND(AG$4&gt;='APA Inputs'!$C$29,AG$4&lt;EDATE('APA Inputs'!$C$29,N('APA Inputs'!$D$29))),'APA Inputs'!$J$29,0)+IF(N('APA Inputs'!$H$29)&gt;0,IF(AG$4=EDATE('APA Inputs'!$C$29,'APA Inputs'!$H$29-1),N('APA Inputs'!$G$29),0),0))*IF('APA Inputs'!$I$29="",1,'APA Inputs'!$I$29))</f>
        <v>0</v>
      </c>
      <c r="AH14" s="425" t="n">
        <f aca="false">IF('APA Inputs'!$C$29="",0,(IF(AND(AH$4&gt;='APA Inputs'!$C$29,AH$4&lt;EDATE('APA Inputs'!$C$29,N('APA Inputs'!$D$29))),'APA Inputs'!$J$29,0)+IF(N('APA Inputs'!$H$29)&gt;0,IF(AH$4=EDATE('APA Inputs'!$C$29,'APA Inputs'!$H$29-1),N('APA Inputs'!$G$29),0),0))*IF('APA Inputs'!$I$29="",1,'APA Inputs'!$I$29))</f>
        <v>0</v>
      </c>
      <c r="AI14" s="425" t="n">
        <f aca="false">IF('APA Inputs'!$C$29="",0,(IF(AND(AI$4&gt;='APA Inputs'!$C$29,AI$4&lt;EDATE('APA Inputs'!$C$29,N('APA Inputs'!$D$29))),'APA Inputs'!$J$29,0)+IF(N('APA Inputs'!$H$29)&gt;0,IF(AI$4=EDATE('APA Inputs'!$C$29,'APA Inputs'!$H$29-1),N('APA Inputs'!$G$29),0),0))*IF('APA Inputs'!$I$29="",1,'APA Inputs'!$I$29))</f>
        <v>0</v>
      </c>
      <c r="AJ14" s="425" t="n">
        <f aca="false">IF('APA Inputs'!$C$29="",0,(IF(AND(AJ$4&gt;='APA Inputs'!$C$29,AJ$4&lt;EDATE('APA Inputs'!$C$29,N('APA Inputs'!$D$29))),'APA Inputs'!$J$29,0)+IF(N('APA Inputs'!$H$29)&gt;0,IF(AJ$4=EDATE('APA Inputs'!$C$29,'APA Inputs'!$H$29-1),N('APA Inputs'!$G$29),0),0))*IF('APA Inputs'!$I$29="",1,'APA Inputs'!$I$29))</f>
        <v>0</v>
      </c>
      <c r="AK14" s="425" t="n">
        <f aca="false">IF('APA Inputs'!$C$29="",0,(IF(AND(AK$4&gt;='APA Inputs'!$C$29,AK$4&lt;EDATE('APA Inputs'!$C$29,N('APA Inputs'!$D$29))),'APA Inputs'!$J$29,0)+IF(N('APA Inputs'!$H$29)&gt;0,IF(AK$4=EDATE('APA Inputs'!$C$29,'APA Inputs'!$H$29-1),N('APA Inputs'!$G$29),0),0))*IF('APA Inputs'!$I$29="",1,'APA Inputs'!$I$29))</f>
        <v>0</v>
      </c>
      <c r="AL14" s="425" t="n">
        <f aca="false">IF('APA Inputs'!$C$29="",0,(IF(AND(AL$4&gt;='APA Inputs'!$C$29,AL$4&lt;EDATE('APA Inputs'!$C$29,N('APA Inputs'!$D$29))),'APA Inputs'!$J$29,0)+IF(N('APA Inputs'!$H$29)&gt;0,IF(AL$4=EDATE('APA Inputs'!$C$29,'APA Inputs'!$H$29-1),N('APA Inputs'!$G$29),0),0))*IF('APA Inputs'!$I$29="",1,'APA Inputs'!$I$29))</f>
        <v>0</v>
      </c>
      <c r="AM14" s="425" t="n">
        <f aca="false">IF('APA Inputs'!$C$29="",0,(IF(AND(AM$4&gt;='APA Inputs'!$C$29,AM$4&lt;EDATE('APA Inputs'!$C$29,N('APA Inputs'!$D$29))),'APA Inputs'!$J$29,0)+IF(N('APA Inputs'!$H$29)&gt;0,IF(AM$4=EDATE('APA Inputs'!$C$29,'APA Inputs'!$H$29-1),N('APA Inputs'!$G$29),0),0))*IF('APA Inputs'!$I$29="",1,'APA Inputs'!$I$29))</f>
        <v>0</v>
      </c>
      <c r="AN14" s="425" t="n">
        <f aca="false">IF('APA Inputs'!$C$29="",0,(IF(AND(AN$4&gt;='APA Inputs'!$C$29,AN$4&lt;EDATE('APA Inputs'!$C$29,N('APA Inputs'!$D$29))),'APA Inputs'!$J$29,0)+IF(N('APA Inputs'!$H$29)&gt;0,IF(AN$4=EDATE('APA Inputs'!$C$29,'APA Inputs'!$H$29-1),N('APA Inputs'!$G$29),0),0))*IF('APA Inputs'!$I$29="",1,'APA Inputs'!$I$29))</f>
        <v>0</v>
      </c>
      <c r="AO14" s="425" t="n">
        <f aca="false">IF('APA Inputs'!$C$29="",0,(IF(AND(AO$4&gt;='APA Inputs'!$C$29,AO$4&lt;EDATE('APA Inputs'!$C$29,N('APA Inputs'!$D$29))),'APA Inputs'!$J$29,0)+IF(N('APA Inputs'!$H$29)&gt;0,IF(AO$4=EDATE('APA Inputs'!$C$29,'APA Inputs'!$H$29-1),N('APA Inputs'!$G$29),0),0))*IF('APA Inputs'!$I$29="",1,'APA Inputs'!$I$29))</f>
        <v>0</v>
      </c>
      <c r="AP14" s="425" t="n">
        <f aca="false">IF('APA Inputs'!$C$29="",0,(IF(AND(AP$4&gt;='APA Inputs'!$C$29,AP$4&lt;EDATE('APA Inputs'!$C$29,N('APA Inputs'!$D$29))),'APA Inputs'!$J$29,0)+IF(N('APA Inputs'!$H$29)&gt;0,IF(AP$4=EDATE('APA Inputs'!$C$29,'APA Inputs'!$H$29-1),N('APA Inputs'!$G$29),0),0))*IF('APA Inputs'!$I$29="",1,'APA Inputs'!$I$29))</f>
        <v>0</v>
      </c>
      <c r="AQ14" s="425" t="n">
        <f aca="false">IF('APA Inputs'!$C$29="",0,(IF(AND(AQ$4&gt;='APA Inputs'!$C$29,AQ$4&lt;EDATE('APA Inputs'!$C$29,N('APA Inputs'!$D$29))),'APA Inputs'!$J$29,0)+IF(N('APA Inputs'!$H$29)&gt;0,IF(AQ$4=EDATE('APA Inputs'!$C$29,'APA Inputs'!$H$29-1),N('APA Inputs'!$G$29),0),0))*IF('APA Inputs'!$I$29="",1,'APA Inputs'!$I$29))</f>
        <v>0</v>
      </c>
      <c r="AR14" s="425" t="n">
        <f aca="false">IF('APA Inputs'!$C$29="",0,(IF(AND(AR$4&gt;='APA Inputs'!$C$29,AR$4&lt;EDATE('APA Inputs'!$C$29,N('APA Inputs'!$D$29))),'APA Inputs'!$J$29,0)+IF(N('APA Inputs'!$H$29)&gt;0,IF(AR$4=EDATE('APA Inputs'!$C$29,'APA Inputs'!$H$29-1),N('APA Inputs'!$G$29),0),0))*IF('APA Inputs'!$I$29="",1,'APA Inputs'!$I$29))</f>
        <v>0</v>
      </c>
      <c r="AS14" s="425" t="n">
        <f aca="false">IF('APA Inputs'!$C$29="",0,(IF(AND(AS$4&gt;='APA Inputs'!$C$29,AS$4&lt;EDATE('APA Inputs'!$C$29,N('APA Inputs'!$D$29))),'APA Inputs'!$J$29,0)+IF(N('APA Inputs'!$H$29)&gt;0,IF(AS$4=EDATE('APA Inputs'!$C$29,'APA Inputs'!$H$29-1),N('APA Inputs'!$G$29),0),0))*IF('APA Inputs'!$I$29="",1,'APA Inputs'!$I$29))</f>
        <v>0</v>
      </c>
      <c r="AT14" s="425" t="n">
        <f aca="false">IF('APA Inputs'!$C$29="",0,(IF(AND(AT$4&gt;='APA Inputs'!$C$29,AT$4&lt;EDATE('APA Inputs'!$C$29,N('APA Inputs'!$D$29))),'APA Inputs'!$J$29,0)+IF(N('APA Inputs'!$H$29)&gt;0,IF(AT$4=EDATE('APA Inputs'!$C$29,'APA Inputs'!$H$29-1),N('APA Inputs'!$G$29),0),0))*IF('APA Inputs'!$I$29="",1,'APA Inputs'!$I$29))</f>
        <v>0</v>
      </c>
      <c r="AU14" s="425" t="n">
        <f aca="false">IF('APA Inputs'!$C$29="",0,(IF(AND(AU$4&gt;='APA Inputs'!$C$29,AU$4&lt;EDATE('APA Inputs'!$C$29,N('APA Inputs'!$D$29))),'APA Inputs'!$J$29,0)+IF(N('APA Inputs'!$H$29)&gt;0,IF(AU$4=EDATE('APA Inputs'!$C$29,'APA Inputs'!$H$29-1),N('APA Inputs'!$G$29),0),0))*IF('APA Inputs'!$I$29="",1,'APA Inputs'!$I$29))</f>
        <v>0</v>
      </c>
      <c r="AV14" s="425" t="n">
        <f aca="false">IF('APA Inputs'!$C$29="",0,(IF(AND(AV$4&gt;='APA Inputs'!$C$29,AV$4&lt;EDATE('APA Inputs'!$C$29,N('APA Inputs'!$D$29))),'APA Inputs'!$J$29,0)+IF(N('APA Inputs'!$H$29)&gt;0,IF(AV$4=EDATE('APA Inputs'!$C$29,'APA Inputs'!$H$29-1),N('APA Inputs'!$G$29),0),0))*IF('APA Inputs'!$I$29="",1,'APA Inputs'!$I$29))</f>
        <v>0</v>
      </c>
      <c r="AW14" s="425" t="n">
        <f aca="false">IF('APA Inputs'!$C$29="",0,(IF(AND(AW$4&gt;='APA Inputs'!$C$29,AW$4&lt;EDATE('APA Inputs'!$C$29,N('APA Inputs'!$D$29))),'APA Inputs'!$J$29,0)+IF(N('APA Inputs'!$H$29)&gt;0,IF(AW$4=EDATE('APA Inputs'!$C$29,'APA Inputs'!$H$29-1),N('APA Inputs'!$G$29),0),0))*IF('APA Inputs'!$I$29="",1,'APA Inputs'!$I$29))</f>
        <v>0</v>
      </c>
      <c r="AX14" s="425" t="n">
        <f aca="false">IF('APA Inputs'!$C$29="",0,(IF(AND(AX$4&gt;='APA Inputs'!$C$29,AX$4&lt;EDATE('APA Inputs'!$C$29,N('APA Inputs'!$D$29))),'APA Inputs'!$J$29,0)+IF(N('APA Inputs'!$H$29)&gt;0,IF(AX$4=EDATE('APA Inputs'!$C$29,'APA Inputs'!$H$29-1),N('APA Inputs'!$G$29),0),0))*IF('APA Inputs'!$I$29="",1,'APA Inputs'!$I$29))</f>
        <v>0</v>
      </c>
      <c r="AY14" s="425" t="n">
        <f aca="false">IF('APA Inputs'!$C$29="",0,(IF(AND(AY$4&gt;='APA Inputs'!$C$29,AY$4&lt;EDATE('APA Inputs'!$C$29,N('APA Inputs'!$D$29))),'APA Inputs'!$J$29,0)+IF(N('APA Inputs'!$H$29)&gt;0,IF(AY$4=EDATE('APA Inputs'!$C$29,'APA Inputs'!$H$29-1),N('APA Inputs'!$G$29),0),0))*IF('APA Inputs'!$I$29="",1,'APA Inputs'!$I$29))</f>
        <v>0</v>
      </c>
      <c r="AZ14" s="425" t="n">
        <f aca="false">IF('APA Inputs'!$C$29="",0,(IF(AND(AZ$4&gt;='APA Inputs'!$C$29,AZ$4&lt;EDATE('APA Inputs'!$C$29,N('APA Inputs'!$D$29))),'APA Inputs'!$J$29,0)+IF(N('APA Inputs'!$H$29)&gt;0,IF(AZ$4=EDATE('APA Inputs'!$C$29,'APA Inputs'!$H$29-1),N('APA Inputs'!$G$29),0),0))*IF('APA Inputs'!$I$29="",1,'APA Inputs'!$I$29))</f>
        <v>0</v>
      </c>
      <c r="BA14" s="425" t="n">
        <f aca="false">IF('APA Inputs'!$C$29="",0,(IF(AND(BA$4&gt;='APA Inputs'!$C$29,BA$4&lt;EDATE('APA Inputs'!$C$29,N('APA Inputs'!$D$29))),'APA Inputs'!$J$29,0)+IF(N('APA Inputs'!$H$29)&gt;0,IF(BA$4=EDATE('APA Inputs'!$C$29,'APA Inputs'!$H$29-1),N('APA Inputs'!$G$29),0),0))*IF('APA Inputs'!$I$29="",1,'APA Inputs'!$I$29))</f>
        <v>0</v>
      </c>
      <c r="BB14" s="425" t="n">
        <f aca="false">IF('APA Inputs'!$C$29="",0,(IF(AND(BB$4&gt;='APA Inputs'!$C$29,BB$4&lt;EDATE('APA Inputs'!$C$29,N('APA Inputs'!$D$29))),'APA Inputs'!$J$29,0)+IF(N('APA Inputs'!$H$29)&gt;0,IF(BB$4=EDATE('APA Inputs'!$C$29,'APA Inputs'!$H$29-1),N('APA Inputs'!$G$29),0),0))*IF('APA Inputs'!$I$29="",1,'APA Inputs'!$I$29))</f>
        <v>0</v>
      </c>
      <c r="BC14" s="425" t="n">
        <f aca="false">IF('APA Inputs'!$C$29="",0,(IF(AND(BC$4&gt;='APA Inputs'!$C$29,BC$4&lt;EDATE('APA Inputs'!$C$29,N('APA Inputs'!$D$29))),'APA Inputs'!$J$29,0)+IF(N('APA Inputs'!$H$29)&gt;0,IF(BC$4=EDATE('APA Inputs'!$C$29,'APA Inputs'!$H$29-1),N('APA Inputs'!$G$29),0),0))*IF('APA Inputs'!$I$29="",1,'APA Inputs'!$I$29))</f>
        <v>0</v>
      </c>
      <c r="BD14" s="425" t="n">
        <f aca="false">IF('APA Inputs'!$C$29="",0,(IF(AND(BD$4&gt;='APA Inputs'!$C$29,BD$4&lt;EDATE('APA Inputs'!$C$29,N('APA Inputs'!$D$29))),'APA Inputs'!$J$29,0)+IF(N('APA Inputs'!$H$29)&gt;0,IF(BD$4=EDATE('APA Inputs'!$C$29,'APA Inputs'!$H$29-1),N('APA Inputs'!$G$29),0),0))*IF('APA Inputs'!$I$29="",1,'APA Inputs'!$I$29))</f>
        <v>0</v>
      </c>
      <c r="BE14" s="425" t="n">
        <f aca="false">IF('APA Inputs'!$C$29="",0,(IF(AND(BE$4&gt;='APA Inputs'!$C$29,BE$4&lt;EDATE('APA Inputs'!$C$29,N('APA Inputs'!$D$29))),'APA Inputs'!$J$29,0)+IF(N('APA Inputs'!$H$29)&gt;0,IF(BE$4=EDATE('APA Inputs'!$C$29,'APA Inputs'!$H$29-1),N('APA Inputs'!$G$29),0),0))*IF('APA Inputs'!$I$29="",1,'APA Inputs'!$I$29))</f>
        <v>0</v>
      </c>
      <c r="BF14" s="425" t="n">
        <f aca="false">IF('APA Inputs'!$C$29="",0,(IF(AND(BF$4&gt;='APA Inputs'!$C$29,BF$4&lt;EDATE('APA Inputs'!$C$29,N('APA Inputs'!$D$29))),'APA Inputs'!$J$29,0)+IF(N('APA Inputs'!$H$29)&gt;0,IF(BF$4=EDATE('APA Inputs'!$C$29,'APA Inputs'!$H$29-1),N('APA Inputs'!$G$29),0),0))*IF('APA Inputs'!$I$29="",1,'APA Inputs'!$I$29))</f>
        <v>0</v>
      </c>
      <c r="BG14" s="425" t="n">
        <f aca="false">IF('APA Inputs'!$C$29="",0,(IF(AND(BG$4&gt;='APA Inputs'!$C$29,BG$4&lt;EDATE('APA Inputs'!$C$29,N('APA Inputs'!$D$29))),'APA Inputs'!$J$29,0)+IF(N('APA Inputs'!$H$29)&gt;0,IF(BG$4=EDATE('APA Inputs'!$C$29,'APA Inputs'!$H$29-1),N('APA Inputs'!$G$29),0),0))*IF('APA Inputs'!$I$29="",1,'APA Inputs'!$I$29))</f>
        <v>0</v>
      </c>
      <c r="BH14" s="425" t="n">
        <f aca="false">IF('APA Inputs'!$C$29="",0,(IF(AND(BH$4&gt;='APA Inputs'!$C$29,BH$4&lt;EDATE('APA Inputs'!$C$29,N('APA Inputs'!$D$29))),'APA Inputs'!$J$29,0)+IF(N('APA Inputs'!$H$29)&gt;0,IF(BH$4=EDATE('APA Inputs'!$C$29,'APA Inputs'!$H$29-1),N('APA Inputs'!$G$29),0),0))*IF('APA Inputs'!$I$29="",1,'APA Inputs'!$I$29))</f>
        <v>0</v>
      </c>
      <c r="BI14" s="425" t="n">
        <f aca="false">IF('APA Inputs'!$C$29="",0,(IF(AND(BI$4&gt;='APA Inputs'!$C$29,BI$4&lt;EDATE('APA Inputs'!$C$29,N('APA Inputs'!$D$29))),'APA Inputs'!$J$29,0)+IF(N('APA Inputs'!$H$29)&gt;0,IF(BI$4=EDATE('APA Inputs'!$C$29,'APA Inputs'!$H$29-1),N('APA Inputs'!$G$29),0),0))*IF('APA Inputs'!$I$29="",1,'APA Inputs'!$I$29))</f>
        <v>0</v>
      </c>
      <c r="BJ14" s="425" t="n">
        <f aca="false">IF('APA Inputs'!$C$29="",0,(IF(AND(BJ$4&gt;='APA Inputs'!$C$29,BJ$4&lt;EDATE('APA Inputs'!$C$29,N('APA Inputs'!$D$29))),'APA Inputs'!$J$29,0)+IF(N('APA Inputs'!$H$29)&gt;0,IF(BJ$4=EDATE('APA Inputs'!$C$29,'APA Inputs'!$H$29-1),N('APA Inputs'!$G$29),0),0))*IF('APA Inputs'!$I$29="",1,'APA Inputs'!$I$29))</f>
        <v>0</v>
      </c>
      <c r="BK14" s="425" t="n">
        <f aca="false">IF('APA Inputs'!$C$29="",0,(IF(AND(BK$4&gt;='APA Inputs'!$C$29,BK$4&lt;EDATE('APA Inputs'!$C$29,N('APA Inputs'!$D$29))),'APA Inputs'!$J$29,0)+IF(N('APA Inputs'!$H$29)&gt;0,IF(BK$4=EDATE('APA Inputs'!$C$29,'APA Inputs'!$H$29-1),N('APA Inputs'!$G$29),0),0))*IF('APA Inputs'!$I$29="",1,'APA Inputs'!$I$29))</f>
        <v>0</v>
      </c>
      <c r="BL14" s="425" t="n">
        <f aca="false">IF('APA Inputs'!$C$29="",0,(IF(AND(BL$4&gt;='APA Inputs'!$C$29,BL$4&lt;EDATE('APA Inputs'!$C$29,N('APA Inputs'!$D$29))),'APA Inputs'!$J$29,0)+IF(N('APA Inputs'!$H$29)&gt;0,IF(BL$4=EDATE('APA Inputs'!$C$29,'APA Inputs'!$H$29-1),N('APA Inputs'!$G$29),0),0))*IF('APA Inputs'!$I$29="",1,'APA Inputs'!$I$29))</f>
        <v>0</v>
      </c>
      <c r="BM14" s="425" t="n">
        <f aca="false">IF('APA Inputs'!$C$29="",0,(IF(AND(BM$4&gt;='APA Inputs'!$C$29,BM$4&lt;EDATE('APA Inputs'!$C$29,N('APA Inputs'!$D$29))),'APA Inputs'!$J$29,0)+IF(N('APA Inputs'!$H$29)&gt;0,IF(BM$4=EDATE('APA Inputs'!$C$29,'APA Inputs'!$H$29-1),N('APA Inputs'!$G$29),0),0))*IF('APA Inputs'!$I$29="",1,'APA Inputs'!$I$29))</f>
        <v>0</v>
      </c>
      <c r="BN14" s="425" t="n">
        <f aca="false">IF('APA Inputs'!$C$29="",0,(IF(AND(BN$4&gt;='APA Inputs'!$C$29,BN$4&lt;EDATE('APA Inputs'!$C$29,N('APA Inputs'!$D$29))),'APA Inputs'!$J$29,0)+IF(N('APA Inputs'!$H$29)&gt;0,IF(BN$4=EDATE('APA Inputs'!$C$29,'APA Inputs'!$H$29-1),N('APA Inputs'!$G$29),0),0))*IF('APA Inputs'!$I$29="",1,'APA Inputs'!$I$29))</f>
        <v>0</v>
      </c>
      <c r="BO14" s="425" t="n">
        <f aca="false">IF('APA Inputs'!$C$29="",0,(IF(AND(BO$4&gt;='APA Inputs'!$C$29,BO$4&lt;EDATE('APA Inputs'!$C$29,N('APA Inputs'!$D$29))),'APA Inputs'!$J$29,0)+IF(N('APA Inputs'!$H$29)&gt;0,IF(BO$4=EDATE('APA Inputs'!$C$29,'APA Inputs'!$H$29-1),N('APA Inputs'!$G$29),0),0))*IF('APA Inputs'!$I$29="",1,'APA Inputs'!$I$29))</f>
        <v>0</v>
      </c>
      <c r="BP14" s="425" t="n">
        <f aca="false">IF('APA Inputs'!$C$29="",0,(IF(AND(BP$4&gt;='APA Inputs'!$C$29,BP$4&lt;EDATE('APA Inputs'!$C$29,N('APA Inputs'!$D$29))),'APA Inputs'!$J$29,0)+IF(N('APA Inputs'!$H$29)&gt;0,IF(BP$4=EDATE('APA Inputs'!$C$29,'APA Inputs'!$H$29-1),N('APA Inputs'!$G$29),0),0))*IF('APA Inputs'!$I$29="",1,'APA Inputs'!$I$29))</f>
        <v>0</v>
      </c>
      <c r="BQ14" s="425" t="n">
        <f aca="false">IF('APA Inputs'!$C$29="",0,(IF(AND(BQ$4&gt;='APA Inputs'!$C$29,BQ$4&lt;EDATE('APA Inputs'!$C$29,N('APA Inputs'!$D$29))),'APA Inputs'!$J$29,0)+IF(N('APA Inputs'!$H$29)&gt;0,IF(BQ$4=EDATE('APA Inputs'!$C$29,'APA Inputs'!$H$29-1),N('APA Inputs'!$G$29),0),0))*IF('APA Inputs'!$I$29="",1,'APA Inputs'!$I$29))</f>
        <v>0</v>
      </c>
      <c r="BR14" s="425" t="n">
        <f aca="false">IF('APA Inputs'!$C$29="",0,(IF(AND(BR$4&gt;='APA Inputs'!$C$29,BR$4&lt;EDATE('APA Inputs'!$C$29,N('APA Inputs'!$D$29))),'APA Inputs'!$J$29,0)+IF(N('APA Inputs'!$H$29)&gt;0,IF(BR$4=EDATE('APA Inputs'!$C$29,'APA Inputs'!$H$29-1),N('APA Inputs'!$G$29),0),0))*IF('APA Inputs'!$I$29="",1,'APA Inputs'!$I$29))</f>
        <v>0</v>
      </c>
      <c r="BS14" s="425" t="n">
        <f aca="false">IF('APA Inputs'!$C$29="",0,(IF(AND(BS$4&gt;='APA Inputs'!$C$29,BS$4&lt;EDATE('APA Inputs'!$C$29,N('APA Inputs'!$D$29))),'APA Inputs'!$J$29,0)+IF(N('APA Inputs'!$H$29)&gt;0,IF(BS$4=EDATE('APA Inputs'!$C$29,'APA Inputs'!$H$29-1),N('APA Inputs'!$G$29),0),0))*IF('APA Inputs'!$I$29="",1,'APA Inputs'!$I$29))</f>
        <v>0</v>
      </c>
      <c r="BT14" s="425" t="n">
        <f aca="false">IF('APA Inputs'!$C$29="",0,(IF(AND(BT$4&gt;='APA Inputs'!$C$29,BT$4&lt;EDATE('APA Inputs'!$C$29,N('APA Inputs'!$D$29))),'APA Inputs'!$J$29,0)+IF(N('APA Inputs'!$H$29)&gt;0,IF(BT$4=EDATE('APA Inputs'!$C$29,'APA Inputs'!$H$29-1),N('APA Inputs'!$G$29),0),0))*IF('APA Inputs'!$I$29="",1,'APA Inputs'!$I$29))</f>
        <v>0</v>
      </c>
      <c r="BU14" s="425" t="n">
        <f aca="false">IF('APA Inputs'!$C$29="",0,(IF(AND(BU$4&gt;='APA Inputs'!$C$29,BU$4&lt;EDATE('APA Inputs'!$C$29,N('APA Inputs'!$D$29))),'APA Inputs'!$J$29,0)+IF(N('APA Inputs'!$H$29)&gt;0,IF(BU$4=EDATE('APA Inputs'!$C$29,'APA Inputs'!$H$29-1),N('APA Inputs'!$G$29),0),0))*IF('APA Inputs'!$I$29="",1,'APA Inputs'!$I$29))</f>
        <v>0</v>
      </c>
      <c r="BV14" s="425" t="n">
        <f aca="false">IF('APA Inputs'!$C$29="",0,(IF(AND(BV$4&gt;='APA Inputs'!$C$29,BV$4&lt;EDATE('APA Inputs'!$C$29,N('APA Inputs'!$D$29))),'APA Inputs'!$J$29,0)+IF(N('APA Inputs'!$H$29)&gt;0,IF(BV$4=EDATE('APA Inputs'!$C$29,'APA Inputs'!$H$29-1),N('APA Inputs'!$G$29),0),0))*IF('APA Inputs'!$I$29="",1,'APA Inputs'!$I$29))</f>
        <v>0</v>
      </c>
      <c r="BW14" s="425" t="n">
        <f aca="false">IF('APA Inputs'!$C$29="",0,(IF(AND(BW$4&gt;='APA Inputs'!$C$29,BW$4&lt;EDATE('APA Inputs'!$C$29,N('APA Inputs'!$D$29))),'APA Inputs'!$J$29,0)+IF(N('APA Inputs'!$H$29)&gt;0,IF(BW$4=EDATE('APA Inputs'!$C$29,'APA Inputs'!$H$29-1),N('APA Inputs'!$G$29),0),0))*IF('APA Inputs'!$I$29="",1,'APA Inputs'!$I$29))</f>
        <v>0</v>
      </c>
      <c r="BX14" s="425" t="n">
        <f aca="false">IF('APA Inputs'!$C$29="",0,(IF(AND(BX$4&gt;='APA Inputs'!$C$29,BX$4&lt;EDATE('APA Inputs'!$C$29,N('APA Inputs'!$D$29))),'APA Inputs'!$J$29,0)+IF(N('APA Inputs'!$H$29)&gt;0,IF(BX$4=EDATE('APA Inputs'!$C$29,'APA Inputs'!$H$29-1),N('APA Inputs'!$G$29),0),0))*IF('APA Inputs'!$I$29="",1,'APA Inputs'!$I$29))</f>
        <v>0</v>
      </c>
      <c r="BY14" s="425" t="n">
        <f aca="false">IF('APA Inputs'!$C$29="",0,(IF(AND(BY$4&gt;='APA Inputs'!$C$29,BY$4&lt;EDATE('APA Inputs'!$C$29,N('APA Inputs'!$D$29))),'APA Inputs'!$J$29,0)+IF(N('APA Inputs'!$H$29)&gt;0,IF(BY$4=EDATE('APA Inputs'!$C$29,'APA Inputs'!$H$29-1),N('APA Inputs'!$G$29),0),0))*IF('APA Inputs'!$I$29="",1,'APA Inputs'!$I$29))</f>
        <v>0</v>
      </c>
      <c r="BZ14" s="425" t="n">
        <f aca="false">IF('APA Inputs'!$C$29="",0,(IF(AND(BZ$4&gt;='APA Inputs'!$C$29,BZ$4&lt;EDATE('APA Inputs'!$C$29,N('APA Inputs'!$D$29))),'APA Inputs'!$J$29,0)+IF(N('APA Inputs'!$H$29)&gt;0,IF(BZ$4=EDATE('APA Inputs'!$C$29,'APA Inputs'!$H$29-1),N('APA Inputs'!$G$29),0),0))*IF('APA Inputs'!$I$29="",1,'APA Inputs'!$I$29))</f>
        <v>0</v>
      </c>
      <c r="CA14" s="425" t="n">
        <f aca="false">IF('APA Inputs'!$C$29="",0,(IF(AND(CA$4&gt;='APA Inputs'!$C$29,CA$4&lt;EDATE('APA Inputs'!$C$29,N('APA Inputs'!$D$29))),'APA Inputs'!$J$29,0)+IF(N('APA Inputs'!$H$29)&gt;0,IF(CA$4=EDATE('APA Inputs'!$C$29,'APA Inputs'!$H$29-1),N('APA Inputs'!$G$29),0),0))*IF('APA Inputs'!$I$29="",1,'APA Inputs'!$I$29))</f>
        <v>0</v>
      </c>
      <c r="CB14" s="425" t="n">
        <f aca="false">IF('APA Inputs'!$C$29="",0,(IF(AND(CB$4&gt;='APA Inputs'!$C$29,CB$4&lt;EDATE('APA Inputs'!$C$29,N('APA Inputs'!$D$29))),'APA Inputs'!$J$29,0)+IF(N('APA Inputs'!$H$29)&gt;0,IF(CB$4=EDATE('APA Inputs'!$C$29,'APA Inputs'!$H$29-1),N('APA Inputs'!$G$29),0),0))*IF('APA Inputs'!$I$29="",1,'APA Inputs'!$I$29))</f>
        <v>0</v>
      </c>
      <c r="CC14" s="425" t="n">
        <f aca="false">IF('APA Inputs'!$C$29="",0,(IF(AND(CC$4&gt;='APA Inputs'!$C$29,CC$4&lt;EDATE('APA Inputs'!$C$29,N('APA Inputs'!$D$29))),'APA Inputs'!$J$29,0)+IF(N('APA Inputs'!$H$29)&gt;0,IF(CC$4=EDATE('APA Inputs'!$C$29,'APA Inputs'!$H$29-1),N('APA Inputs'!$G$29),0),0))*IF('APA Inputs'!$I$29="",1,'APA Inputs'!$I$29))</f>
        <v>0</v>
      </c>
      <c r="CD14" s="425" t="n">
        <f aca="false">IF('APA Inputs'!$C$29="",0,(IF(AND(CD$4&gt;='APA Inputs'!$C$29,CD$4&lt;EDATE('APA Inputs'!$C$29,N('APA Inputs'!$D$29))),'APA Inputs'!$J$29,0)+IF(N('APA Inputs'!$H$29)&gt;0,IF(CD$4=EDATE('APA Inputs'!$C$29,'APA Inputs'!$H$29-1),N('APA Inputs'!$G$29),0),0))*IF('APA Inputs'!$I$29="",1,'APA Inputs'!$I$29))</f>
        <v>0</v>
      </c>
      <c r="CE14" s="425" t="n">
        <f aca="false">IF('APA Inputs'!$C$29="",0,(IF(AND(CE$4&gt;='APA Inputs'!$C$29,CE$4&lt;EDATE('APA Inputs'!$C$29,N('APA Inputs'!$D$29))),'APA Inputs'!$J$29,0)+IF(N('APA Inputs'!$H$29)&gt;0,IF(CE$4=EDATE('APA Inputs'!$C$29,'APA Inputs'!$H$29-1),N('APA Inputs'!$G$29),0),0))*IF('APA Inputs'!$I$29="",1,'APA Inputs'!$I$29))</f>
        <v>0</v>
      </c>
      <c r="CF14" s="425" t="n">
        <f aca="false">IF('APA Inputs'!$C$29="",0,(IF(AND(CF$4&gt;='APA Inputs'!$C$29,CF$4&lt;EDATE('APA Inputs'!$C$29,N('APA Inputs'!$D$29))),'APA Inputs'!$J$29,0)+IF(N('APA Inputs'!$H$29)&gt;0,IF(CF$4=EDATE('APA Inputs'!$C$29,'APA Inputs'!$H$29-1),N('APA Inputs'!$G$29),0),0))*IF('APA Inputs'!$I$29="",1,'APA Inputs'!$I$29))</f>
        <v>0</v>
      </c>
      <c r="CG14" s="425" t="n">
        <f aca="false">IF('APA Inputs'!$C$29="",0,(IF(AND(CG$4&gt;='APA Inputs'!$C$29,CG$4&lt;EDATE('APA Inputs'!$C$29,N('APA Inputs'!$D$29))),'APA Inputs'!$J$29,0)+IF(N('APA Inputs'!$H$29)&gt;0,IF(CG$4=EDATE('APA Inputs'!$C$29,'APA Inputs'!$H$29-1),N('APA Inputs'!$G$29),0),0))*IF('APA Inputs'!$I$29="",1,'APA Inputs'!$I$29))</f>
        <v>0</v>
      </c>
      <c r="CH14" s="425" t="n">
        <f aca="false">IF('APA Inputs'!$C$29="",0,(IF(AND(CH$4&gt;='APA Inputs'!$C$29,CH$4&lt;EDATE('APA Inputs'!$C$29,N('APA Inputs'!$D$29))),'APA Inputs'!$J$29,0)+IF(N('APA Inputs'!$H$29)&gt;0,IF(CH$4=EDATE('APA Inputs'!$C$29,'APA Inputs'!$H$29-1),N('APA Inputs'!$G$29),0),0))*IF('APA Inputs'!$I$29="",1,'APA Inputs'!$I$29))</f>
        <v>0</v>
      </c>
      <c r="CI14" s="425" t="n">
        <f aca="false">IF('APA Inputs'!$C$29="",0,(IF(AND(CI$4&gt;='APA Inputs'!$C$29,CI$4&lt;EDATE('APA Inputs'!$C$29,N('APA Inputs'!$D$29))),'APA Inputs'!$J$29,0)+IF(N('APA Inputs'!$H$29)&gt;0,IF(CI$4=EDATE('APA Inputs'!$C$29,'APA Inputs'!$H$29-1),N('APA Inputs'!$G$29),0),0))*IF('APA Inputs'!$I$29="",1,'APA Inputs'!$I$29))</f>
        <v>0</v>
      </c>
      <c r="CJ14" s="425" t="n">
        <f aca="false">IF('APA Inputs'!$C$29="",0,(IF(AND(CJ$4&gt;='APA Inputs'!$C$29,CJ$4&lt;EDATE('APA Inputs'!$C$29,N('APA Inputs'!$D$29))),'APA Inputs'!$J$29,0)+IF(N('APA Inputs'!$H$29)&gt;0,IF(CJ$4=EDATE('APA Inputs'!$C$29,'APA Inputs'!$H$29-1),N('APA Inputs'!$G$29),0),0))*IF('APA Inputs'!$I$29="",1,'APA Inputs'!$I$29))</f>
        <v>0</v>
      </c>
      <c r="CK14" s="425" t="n">
        <f aca="false">IF('APA Inputs'!$C$29="",0,(IF(AND(CK$4&gt;='APA Inputs'!$C$29,CK$4&lt;EDATE('APA Inputs'!$C$29,N('APA Inputs'!$D$29))),'APA Inputs'!$J$29,0)+IF(N('APA Inputs'!$H$29)&gt;0,IF(CK$4=EDATE('APA Inputs'!$C$29,'APA Inputs'!$H$29-1),N('APA Inputs'!$G$29),0),0))*IF('APA Inputs'!$I$29="",1,'APA Inputs'!$I$29))</f>
        <v>0</v>
      </c>
      <c r="CL14" s="425" t="n">
        <f aca="false">IF('APA Inputs'!$C$29="",0,(IF(AND(CL$4&gt;='APA Inputs'!$C$29,CL$4&lt;EDATE('APA Inputs'!$C$29,N('APA Inputs'!$D$29))),'APA Inputs'!$J$29,0)+IF(N('APA Inputs'!$H$29)&gt;0,IF(CL$4=EDATE('APA Inputs'!$C$29,'APA Inputs'!$H$29-1),N('APA Inputs'!$G$29),0),0))*IF('APA Inputs'!$I$29="",1,'APA Inputs'!$I$29))</f>
        <v>0</v>
      </c>
      <c r="CM14" s="425" t="n">
        <f aca="false">IF('APA Inputs'!$C$29="",0,(IF(AND(CM$4&gt;='APA Inputs'!$C$29,CM$4&lt;EDATE('APA Inputs'!$C$29,N('APA Inputs'!$D$29))),'APA Inputs'!$J$29,0)+IF(N('APA Inputs'!$H$29)&gt;0,IF(CM$4=EDATE('APA Inputs'!$C$29,'APA Inputs'!$H$29-1),N('APA Inputs'!$G$29),0),0))*IF('APA Inputs'!$I$29="",1,'APA Inputs'!$I$29))</f>
        <v>0</v>
      </c>
      <c r="CN14" s="425" t="n">
        <f aca="false">IF('APA Inputs'!$C$29="",0,(IF(AND(CN$4&gt;='APA Inputs'!$C$29,CN$4&lt;EDATE('APA Inputs'!$C$29,N('APA Inputs'!$D$29))),'APA Inputs'!$J$29,0)+IF(N('APA Inputs'!$H$29)&gt;0,IF(CN$4=EDATE('APA Inputs'!$C$29,'APA Inputs'!$H$29-1),N('APA Inputs'!$G$29),0),0))*IF('APA Inputs'!$I$29="",1,'APA Inputs'!$I$29))</f>
        <v>0</v>
      </c>
      <c r="CO14" s="425" t="n">
        <f aca="false">IF('APA Inputs'!$C$29="",0,(IF(AND(CO$4&gt;='APA Inputs'!$C$29,CO$4&lt;EDATE('APA Inputs'!$C$29,N('APA Inputs'!$D$29))),'APA Inputs'!$J$29,0)+IF(N('APA Inputs'!$H$29)&gt;0,IF(CO$4=EDATE('APA Inputs'!$C$29,'APA Inputs'!$H$29-1),N('APA Inputs'!$G$29),0),0))*IF('APA Inputs'!$I$29="",1,'APA Inputs'!$I$29))</f>
        <v>0</v>
      </c>
      <c r="CP14" s="425" t="n">
        <f aca="false">IF('APA Inputs'!$C$29="",0,(IF(AND(CP$4&gt;='APA Inputs'!$C$29,CP$4&lt;EDATE('APA Inputs'!$C$29,N('APA Inputs'!$D$29))),'APA Inputs'!$J$29,0)+IF(N('APA Inputs'!$H$29)&gt;0,IF(CP$4=EDATE('APA Inputs'!$C$29,'APA Inputs'!$H$29-1),N('APA Inputs'!$G$29),0),0))*IF('APA Inputs'!$I$29="",1,'APA Inputs'!$I$29))</f>
        <v>0</v>
      </c>
      <c r="CQ14" s="425" t="n">
        <f aca="false">IF('APA Inputs'!$C$29="",0,(IF(AND(CQ$4&gt;='APA Inputs'!$C$29,CQ$4&lt;EDATE('APA Inputs'!$C$29,N('APA Inputs'!$D$29))),'APA Inputs'!$J$29,0)+IF(N('APA Inputs'!$H$29)&gt;0,IF(CQ$4=EDATE('APA Inputs'!$C$29,'APA Inputs'!$H$29-1),N('APA Inputs'!$G$29),0),0))*IF('APA Inputs'!$I$29="",1,'APA Inputs'!$I$29))</f>
        <v>0</v>
      </c>
      <c r="CR14" s="425" t="n">
        <f aca="false">IF('APA Inputs'!$C$29="",0,(IF(AND(CR$4&gt;='APA Inputs'!$C$29,CR$4&lt;EDATE('APA Inputs'!$C$29,N('APA Inputs'!$D$29))),'APA Inputs'!$J$29,0)+IF(N('APA Inputs'!$H$29)&gt;0,IF(CR$4=EDATE('APA Inputs'!$C$29,'APA Inputs'!$H$29-1),N('APA Inputs'!$G$29),0),0))*IF('APA Inputs'!$I$29="",1,'APA Inputs'!$I$29))</f>
        <v>0</v>
      </c>
      <c r="CS14" s="425" t="n">
        <f aca="false">IF('APA Inputs'!$C$29="",0,(IF(AND(CS$4&gt;='APA Inputs'!$C$29,CS$4&lt;EDATE('APA Inputs'!$C$29,N('APA Inputs'!$D$29))),'APA Inputs'!$J$29,0)+IF(N('APA Inputs'!$H$29)&gt;0,IF(CS$4=EDATE('APA Inputs'!$C$29,'APA Inputs'!$H$29-1),N('APA Inputs'!$G$29),0),0))*IF('APA Inputs'!$I$29="",1,'APA Inputs'!$I$29))</f>
        <v>0</v>
      </c>
      <c r="CT14" s="425" t="n">
        <f aca="false">IF('APA Inputs'!$C$29="",0,(IF(AND(CT$4&gt;='APA Inputs'!$C$29,CT$4&lt;EDATE('APA Inputs'!$C$29,N('APA Inputs'!$D$29))),'APA Inputs'!$J$29,0)+IF(N('APA Inputs'!$H$29)&gt;0,IF(CT$4=EDATE('APA Inputs'!$C$29,'APA Inputs'!$H$29-1),N('APA Inputs'!$G$29),0),0))*IF('APA Inputs'!$I$29="",1,'APA Inputs'!$I$29))</f>
        <v>0</v>
      </c>
      <c r="CU14" s="425" t="n">
        <f aca="false">IF('APA Inputs'!$C$29="",0,(IF(AND(CU$4&gt;='APA Inputs'!$C$29,CU$4&lt;EDATE('APA Inputs'!$C$29,N('APA Inputs'!$D$29))),'APA Inputs'!$J$29,0)+IF(N('APA Inputs'!$H$29)&gt;0,IF(CU$4=EDATE('APA Inputs'!$C$29,'APA Inputs'!$H$29-1),N('APA Inputs'!$G$29),0),0))*IF('APA Inputs'!$I$29="",1,'APA Inputs'!$I$29))</f>
        <v>0</v>
      </c>
      <c r="CV14" s="425" t="n">
        <f aca="false">IF('APA Inputs'!$C$29="",0,(IF(AND(CV$4&gt;='APA Inputs'!$C$29,CV$4&lt;EDATE('APA Inputs'!$C$29,N('APA Inputs'!$D$29))),'APA Inputs'!$J$29,0)+IF(N('APA Inputs'!$H$29)&gt;0,IF(CV$4=EDATE('APA Inputs'!$C$29,'APA Inputs'!$H$29-1),N('APA Inputs'!$G$29),0),0))*IF('APA Inputs'!$I$29="",1,'APA Inputs'!$I$29))</f>
        <v>0</v>
      </c>
      <c r="CW14" s="425" t="n">
        <f aca="false">IF('APA Inputs'!$C$29="",0,(IF(AND(CW$4&gt;='APA Inputs'!$C$29,CW$4&lt;EDATE('APA Inputs'!$C$29,N('APA Inputs'!$D$29))),'APA Inputs'!$J$29,0)+IF(N('APA Inputs'!$H$29)&gt;0,IF(CW$4=EDATE('APA Inputs'!$C$29,'APA Inputs'!$H$29-1),N('APA Inputs'!$G$29),0),0))*IF('APA Inputs'!$I$29="",1,'APA Inputs'!$I$29))</f>
        <v>0</v>
      </c>
      <c r="CX14" s="425" t="n">
        <f aca="false">IF('APA Inputs'!$C$29="",0,(IF(AND(CX$4&gt;='APA Inputs'!$C$29,CX$4&lt;EDATE('APA Inputs'!$C$29,N('APA Inputs'!$D$29))),'APA Inputs'!$J$29,0)+IF(N('APA Inputs'!$H$29)&gt;0,IF(CX$4=EDATE('APA Inputs'!$C$29,'APA Inputs'!$H$29-1),N('APA Inputs'!$G$29),0),0))*IF('APA Inputs'!$I$29="",1,'APA Inputs'!$I$29))</f>
        <v>0</v>
      </c>
      <c r="CY14" s="425" t="n">
        <f aca="false">IF('APA Inputs'!$C$29="",0,(IF(AND(CY$4&gt;='APA Inputs'!$C$29,CY$4&lt;EDATE('APA Inputs'!$C$29,N('APA Inputs'!$D$29))),'APA Inputs'!$J$29,0)+IF(N('APA Inputs'!$H$29)&gt;0,IF(CY$4=EDATE('APA Inputs'!$C$29,'APA Inputs'!$H$29-1),N('APA Inputs'!$G$29),0),0))*IF('APA Inputs'!$I$29="",1,'APA Inputs'!$I$29))</f>
        <v>0</v>
      </c>
      <c r="CZ14" s="425" t="n">
        <f aca="false">IF('APA Inputs'!$C$29="",0,(IF(AND(CZ$4&gt;='APA Inputs'!$C$29,CZ$4&lt;EDATE('APA Inputs'!$C$29,N('APA Inputs'!$D$29))),'APA Inputs'!$J$29,0)+IF(N('APA Inputs'!$H$29)&gt;0,IF(CZ$4=EDATE('APA Inputs'!$C$29,'APA Inputs'!$H$29-1),N('APA Inputs'!$G$29),0),0))*IF('APA Inputs'!$I$29="",1,'APA Inputs'!$I$29))</f>
        <v>0</v>
      </c>
      <c r="DA14" s="425" t="n">
        <f aca="false">IF('APA Inputs'!$C$29="",0,(IF(AND(DA$4&gt;='APA Inputs'!$C$29,DA$4&lt;EDATE('APA Inputs'!$C$29,N('APA Inputs'!$D$29))),'APA Inputs'!$J$29,0)+IF(N('APA Inputs'!$H$29)&gt;0,IF(DA$4=EDATE('APA Inputs'!$C$29,'APA Inputs'!$H$29-1),N('APA Inputs'!$G$29),0),0))*IF('APA Inputs'!$I$29="",1,'APA Inputs'!$I$29))</f>
        <v>0</v>
      </c>
      <c r="DB14" s="425" t="n">
        <f aca="false">IF('APA Inputs'!$C$29="",0,(IF(AND(DB$4&gt;='APA Inputs'!$C$29,DB$4&lt;EDATE('APA Inputs'!$C$29,N('APA Inputs'!$D$29))),'APA Inputs'!$J$29,0)+IF(N('APA Inputs'!$H$29)&gt;0,IF(DB$4=EDATE('APA Inputs'!$C$29,'APA Inputs'!$H$29-1),N('APA Inputs'!$G$29),0),0))*IF('APA Inputs'!$I$29="",1,'APA Inputs'!$I$29))</f>
        <v>0</v>
      </c>
      <c r="DC14" s="425" t="n">
        <f aca="false">IF('APA Inputs'!$C$29="",0,(IF(AND(DC$4&gt;='APA Inputs'!$C$29,DC$4&lt;EDATE('APA Inputs'!$C$29,N('APA Inputs'!$D$29))),'APA Inputs'!$J$29,0)+IF(N('APA Inputs'!$H$29)&gt;0,IF(DC$4=EDATE('APA Inputs'!$C$29,'APA Inputs'!$H$29-1),N('APA Inputs'!$G$29),0),0))*IF('APA Inputs'!$I$29="",1,'APA Inputs'!$I$29))</f>
        <v>0</v>
      </c>
      <c r="DD14" s="425" t="n">
        <f aca="false">IF('APA Inputs'!$C$29="",0,(IF(AND(DD$4&gt;='APA Inputs'!$C$29,DD$4&lt;EDATE('APA Inputs'!$C$29,N('APA Inputs'!$D$29))),'APA Inputs'!$J$29,0)+IF(N('APA Inputs'!$H$29)&gt;0,IF(DD$4=EDATE('APA Inputs'!$C$29,'APA Inputs'!$H$29-1),N('APA Inputs'!$G$29),0),0))*IF('APA Inputs'!$I$29="",1,'APA Inputs'!$I$29))</f>
        <v>0</v>
      </c>
      <c r="DE14" s="425" t="n">
        <f aca="false">IF('APA Inputs'!$C$29="",0,(IF(AND(DE$4&gt;='APA Inputs'!$C$29,DE$4&lt;EDATE('APA Inputs'!$C$29,N('APA Inputs'!$D$29))),'APA Inputs'!$J$29,0)+IF(N('APA Inputs'!$H$29)&gt;0,IF(DE$4=EDATE('APA Inputs'!$C$29,'APA Inputs'!$H$29-1),N('APA Inputs'!$G$29),0),0))*IF('APA Inputs'!$I$29="",1,'APA Inputs'!$I$29))</f>
        <v>0</v>
      </c>
    </row>
    <row r="15" customFormat="false" ht="15" hidden="false" customHeight="true" outlineLevel="0" collapsed="false">
      <c r="A15" s="1" t="str">
        <f aca="false">'APA Inputs'!A30</f>
        <v>Pipeline 5</v>
      </c>
      <c r="B15" s="425" t="n">
        <f aca="false">IF('APA Inputs'!$C$30="",0,(IF(AND(B$4&gt;='APA Inputs'!$C$30,B$4&lt;EDATE('APA Inputs'!$C$30,N('APA Inputs'!$D$30))),'APA Inputs'!$J$30,0)+IF(N('APA Inputs'!$H$30)&gt;0,IF(B$4=EDATE('APA Inputs'!$C$30,'APA Inputs'!$H$30-1),N('APA Inputs'!$G$30),0),0))*IF('APA Inputs'!$I$30="",1,'APA Inputs'!$I$30))</f>
        <v>0</v>
      </c>
      <c r="C15" s="425" t="n">
        <f aca="false">IF('APA Inputs'!$C$30="",0,(IF(AND(C$4&gt;='APA Inputs'!$C$30,C$4&lt;EDATE('APA Inputs'!$C$30,N('APA Inputs'!$D$30))),'APA Inputs'!$J$30,0)+IF(N('APA Inputs'!$H$30)&gt;0,IF(C$4=EDATE('APA Inputs'!$C$30,'APA Inputs'!$H$30-1),N('APA Inputs'!$G$30),0),0))*IF('APA Inputs'!$I$30="",1,'APA Inputs'!$I$30))</f>
        <v>0</v>
      </c>
      <c r="D15" s="425" t="n">
        <f aca="false">IF('APA Inputs'!$C$30="",0,(IF(AND(D$4&gt;='APA Inputs'!$C$30,D$4&lt;EDATE('APA Inputs'!$C$30,N('APA Inputs'!$D$30))),'APA Inputs'!$J$30,0)+IF(N('APA Inputs'!$H$30)&gt;0,IF(D$4=EDATE('APA Inputs'!$C$30,'APA Inputs'!$H$30-1),N('APA Inputs'!$G$30),0),0))*IF('APA Inputs'!$I$30="",1,'APA Inputs'!$I$30))</f>
        <v>0</v>
      </c>
      <c r="E15" s="425" t="n">
        <f aca="false">IF('APA Inputs'!$C$30="",0,(IF(AND(E$4&gt;='APA Inputs'!$C$30,E$4&lt;EDATE('APA Inputs'!$C$30,N('APA Inputs'!$D$30))),'APA Inputs'!$J$30,0)+IF(N('APA Inputs'!$H$30)&gt;0,IF(E$4=EDATE('APA Inputs'!$C$30,'APA Inputs'!$H$30-1),N('APA Inputs'!$G$30),0),0))*IF('APA Inputs'!$I$30="",1,'APA Inputs'!$I$30))</f>
        <v>0</v>
      </c>
      <c r="F15" s="425" t="n">
        <f aca="false">IF('APA Inputs'!$C$30="",0,(IF(AND(F$4&gt;='APA Inputs'!$C$30,F$4&lt;EDATE('APA Inputs'!$C$30,N('APA Inputs'!$D$30))),'APA Inputs'!$J$30,0)+IF(N('APA Inputs'!$H$30)&gt;0,IF(F$4=EDATE('APA Inputs'!$C$30,'APA Inputs'!$H$30-1),N('APA Inputs'!$G$30),0),0))*IF('APA Inputs'!$I$30="",1,'APA Inputs'!$I$30))</f>
        <v>0</v>
      </c>
      <c r="G15" s="425" t="n">
        <f aca="false">IF('APA Inputs'!$C$30="",0,(IF(AND(G$4&gt;='APA Inputs'!$C$30,G$4&lt;EDATE('APA Inputs'!$C$30,N('APA Inputs'!$D$30))),'APA Inputs'!$J$30,0)+IF(N('APA Inputs'!$H$30)&gt;0,IF(G$4=EDATE('APA Inputs'!$C$30,'APA Inputs'!$H$30-1),N('APA Inputs'!$G$30),0),0))*IF('APA Inputs'!$I$30="",1,'APA Inputs'!$I$30))</f>
        <v>0</v>
      </c>
      <c r="H15" s="425" t="n">
        <f aca="false">IF('APA Inputs'!$C$30="",0,(IF(AND(H$4&gt;='APA Inputs'!$C$30,H$4&lt;EDATE('APA Inputs'!$C$30,N('APA Inputs'!$D$30))),'APA Inputs'!$J$30,0)+IF(N('APA Inputs'!$H$30)&gt;0,IF(H$4=EDATE('APA Inputs'!$C$30,'APA Inputs'!$H$30-1),N('APA Inputs'!$G$30),0),0))*IF('APA Inputs'!$I$30="",1,'APA Inputs'!$I$30))</f>
        <v>0</v>
      </c>
      <c r="I15" s="425" t="n">
        <f aca="false">IF('APA Inputs'!$C$30="",0,(IF(AND(I$4&gt;='APA Inputs'!$C$30,I$4&lt;EDATE('APA Inputs'!$C$30,N('APA Inputs'!$D$30))),'APA Inputs'!$J$30,0)+IF(N('APA Inputs'!$H$30)&gt;0,IF(I$4=EDATE('APA Inputs'!$C$30,'APA Inputs'!$H$30-1),N('APA Inputs'!$G$30),0),0))*IF('APA Inputs'!$I$30="",1,'APA Inputs'!$I$30))</f>
        <v>0</v>
      </c>
      <c r="J15" s="425" t="n">
        <f aca="false">IF('APA Inputs'!$C$30="",0,(IF(AND(J$4&gt;='APA Inputs'!$C$30,J$4&lt;EDATE('APA Inputs'!$C$30,N('APA Inputs'!$D$30))),'APA Inputs'!$J$30,0)+IF(N('APA Inputs'!$H$30)&gt;0,IF(J$4=EDATE('APA Inputs'!$C$30,'APA Inputs'!$H$30-1),N('APA Inputs'!$G$30),0),0))*IF('APA Inputs'!$I$30="",1,'APA Inputs'!$I$30))</f>
        <v>0</v>
      </c>
      <c r="K15" s="425" t="n">
        <f aca="false">IF('APA Inputs'!$C$30="",0,(IF(AND(K$4&gt;='APA Inputs'!$C$30,K$4&lt;EDATE('APA Inputs'!$C$30,N('APA Inputs'!$D$30))),'APA Inputs'!$J$30,0)+IF(N('APA Inputs'!$H$30)&gt;0,IF(K$4=EDATE('APA Inputs'!$C$30,'APA Inputs'!$H$30-1),N('APA Inputs'!$G$30),0),0))*IF('APA Inputs'!$I$30="",1,'APA Inputs'!$I$30))</f>
        <v>0</v>
      </c>
      <c r="L15" s="425" t="n">
        <f aca="false">IF('APA Inputs'!$C$30="",0,(IF(AND(L$4&gt;='APA Inputs'!$C$30,L$4&lt;EDATE('APA Inputs'!$C$30,N('APA Inputs'!$D$30))),'APA Inputs'!$J$30,0)+IF(N('APA Inputs'!$H$30)&gt;0,IF(L$4=EDATE('APA Inputs'!$C$30,'APA Inputs'!$H$30-1),N('APA Inputs'!$G$30),0),0))*IF('APA Inputs'!$I$30="",1,'APA Inputs'!$I$30))</f>
        <v>0</v>
      </c>
      <c r="M15" s="425" t="n">
        <f aca="false">IF('APA Inputs'!$C$30="",0,(IF(AND(M$4&gt;='APA Inputs'!$C$30,M$4&lt;EDATE('APA Inputs'!$C$30,N('APA Inputs'!$D$30))),'APA Inputs'!$J$30,0)+IF(N('APA Inputs'!$H$30)&gt;0,IF(M$4=EDATE('APA Inputs'!$C$30,'APA Inputs'!$H$30-1),N('APA Inputs'!$G$30),0),0))*IF('APA Inputs'!$I$30="",1,'APA Inputs'!$I$30))</f>
        <v>0</v>
      </c>
      <c r="N15" s="425" t="n">
        <f aca="false">IF('APA Inputs'!$C$30="",0,(IF(AND(N$4&gt;='APA Inputs'!$C$30,N$4&lt;EDATE('APA Inputs'!$C$30,N('APA Inputs'!$D$30))),'APA Inputs'!$J$30,0)+IF(N('APA Inputs'!$H$30)&gt;0,IF(N$4=EDATE('APA Inputs'!$C$30,'APA Inputs'!$H$30-1),N('APA Inputs'!$G$30),0),0))*IF('APA Inputs'!$I$30="",1,'APA Inputs'!$I$30))</f>
        <v>0</v>
      </c>
      <c r="O15" s="425" t="n">
        <f aca="false">IF('APA Inputs'!$C$30="",0,(IF(AND(O$4&gt;='APA Inputs'!$C$30,O$4&lt;EDATE('APA Inputs'!$C$30,N('APA Inputs'!$D$30))),'APA Inputs'!$J$30,0)+IF(N('APA Inputs'!$H$30)&gt;0,IF(O$4=EDATE('APA Inputs'!$C$30,'APA Inputs'!$H$30-1),N('APA Inputs'!$G$30),0),0))*IF('APA Inputs'!$I$30="",1,'APA Inputs'!$I$30))</f>
        <v>0</v>
      </c>
      <c r="P15" s="425" t="n">
        <f aca="false">IF('APA Inputs'!$C$30="",0,(IF(AND(P$4&gt;='APA Inputs'!$C$30,P$4&lt;EDATE('APA Inputs'!$C$30,N('APA Inputs'!$D$30))),'APA Inputs'!$J$30,0)+IF(N('APA Inputs'!$H$30)&gt;0,IF(P$4=EDATE('APA Inputs'!$C$30,'APA Inputs'!$H$30-1),N('APA Inputs'!$G$30),0),0))*IF('APA Inputs'!$I$30="",1,'APA Inputs'!$I$30))</f>
        <v>0</v>
      </c>
      <c r="Q15" s="425" t="n">
        <f aca="false">IF('APA Inputs'!$C$30="",0,(IF(AND(Q$4&gt;='APA Inputs'!$C$30,Q$4&lt;EDATE('APA Inputs'!$C$30,N('APA Inputs'!$D$30))),'APA Inputs'!$J$30,0)+IF(N('APA Inputs'!$H$30)&gt;0,IF(Q$4=EDATE('APA Inputs'!$C$30,'APA Inputs'!$H$30-1),N('APA Inputs'!$G$30),0),0))*IF('APA Inputs'!$I$30="",1,'APA Inputs'!$I$30))</f>
        <v>0</v>
      </c>
      <c r="R15" s="425" t="n">
        <f aca="false">IF('APA Inputs'!$C$30="",0,(IF(AND(R$4&gt;='APA Inputs'!$C$30,R$4&lt;EDATE('APA Inputs'!$C$30,N('APA Inputs'!$D$30))),'APA Inputs'!$J$30,0)+IF(N('APA Inputs'!$H$30)&gt;0,IF(R$4=EDATE('APA Inputs'!$C$30,'APA Inputs'!$H$30-1),N('APA Inputs'!$G$30),0),0))*IF('APA Inputs'!$I$30="",1,'APA Inputs'!$I$30))</f>
        <v>0</v>
      </c>
      <c r="S15" s="425" t="n">
        <f aca="false">IF('APA Inputs'!$C$30="",0,(IF(AND(S$4&gt;='APA Inputs'!$C$30,S$4&lt;EDATE('APA Inputs'!$C$30,N('APA Inputs'!$D$30))),'APA Inputs'!$J$30,0)+IF(N('APA Inputs'!$H$30)&gt;0,IF(S$4=EDATE('APA Inputs'!$C$30,'APA Inputs'!$H$30-1),N('APA Inputs'!$G$30),0),0))*IF('APA Inputs'!$I$30="",1,'APA Inputs'!$I$30))</f>
        <v>0</v>
      </c>
      <c r="T15" s="425" t="n">
        <f aca="false">IF('APA Inputs'!$C$30="",0,(IF(AND(T$4&gt;='APA Inputs'!$C$30,T$4&lt;EDATE('APA Inputs'!$C$30,N('APA Inputs'!$D$30))),'APA Inputs'!$J$30,0)+IF(N('APA Inputs'!$H$30)&gt;0,IF(T$4=EDATE('APA Inputs'!$C$30,'APA Inputs'!$H$30-1),N('APA Inputs'!$G$30),0),0))*IF('APA Inputs'!$I$30="",1,'APA Inputs'!$I$30))</f>
        <v>0</v>
      </c>
      <c r="U15" s="425" t="n">
        <f aca="false">IF('APA Inputs'!$C$30="",0,(IF(AND(U$4&gt;='APA Inputs'!$C$30,U$4&lt;EDATE('APA Inputs'!$C$30,N('APA Inputs'!$D$30))),'APA Inputs'!$J$30,0)+IF(N('APA Inputs'!$H$30)&gt;0,IF(U$4=EDATE('APA Inputs'!$C$30,'APA Inputs'!$H$30-1),N('APA Inputs'!$G$30),0),0))*IF('APA Inputs'!$I$30="",1,'APA Inputs'!$I$30))</f>
        <v>0</v>
      </c>
      <c r="V15" s="425" t="n">
        <f aca="false">IF('APA Inputs'!$C$30="",0,(IF(AND(V$4&gt;='APA Inputs'!$C$30,V$4&lt;EDATE('APA Inputs'!$C$30,N('APA Inputs'!$D$30))),'APA Inputs'!$J$30,0)+IF(N('APA Inputs'!$H$30)&gt;0,IF(V$4=EDATE('APA Inputs'!$C$30,'APA Inputs'!$H$30-1),N('APA Inputs'!$G$30),0),0))*IF('APA Inputs'!$I$30="",1,'APA Inputs'!$I$30))</f>
        <v>0</v>
      </c>
      <c r="W15" s="425" t="n">
        <f aca="false">IF('APA Inputs'!$C$30="",0,(IF(AND(W$4&gt;='APA Inputs'!$C$30,W$4&lt;EDATE('APA Inputs'!$C$30,N('APA Inputs'!$D$30))),'APA Inputs'!$J$30,0)+IF(N('APA Inputs'!$H$30)&gt;0,IF(W$4=EDATE('APA Inputs'!$C$30,'APA Inputs'!$H$30-1),N('APA Inputs'!$G$30),0),0))*IF('APA Inputs'!$I$30="",1,'APA Inputs'!$I$30))</f>
        <v>0</v>
      </c>
      <c r="X15" s="425" t="n">
        <f aca="false">IF('APA Inputs'!$C$30="",0,(IF(AND(X$4&gt;='APA Inputs'!$C$30,X$4&lt;EDATE('APA Inputs'!$C$30,N('APA Inputs'!$D$30))),'APA Inputs'!$J$30,0)+IF(N('APA Inputs'!$H$30)&gt;0,IF(X$4=EDATE('APA Inputs'!$C$30,'APA Inputs'!$H$30-1),N('APA Inputs'!$G$30),0),0))*IF('APA Inputs'!$I$30="",1,'APA Inputs'!$I$30))</f>
        <v>0</v>
      </c>
      <c r="Y15" s="425" t="n">
        <f aca="false">IF('APA Inputs'!$C$30="",0,(IF(AND(Y$4&gt;='APA Inputs'!$C$30,Y$4&lt;EDATE('APA Inputs'!$C$30,N('APA Inputs'!$D$30))),'APA Inputs'!$J$30,0)+IF(N('APA Inputs'!$H$30)&gt;0,IF(Y$4=EDATE('APA Inputs'!$C$30,'APA Inputs'!$H$30-1),N('APA Inputs'!$G$30),0),0))*IF('APA Inputs'!$I$30="",1,'APA Inputs'!$I$30))</f>
        <v>0</v>
      </c>
      <c r="Z15" s="425" t="n">
        <f aca="false">IF('APA Inputs'!$C$30="",0,(IF(AND(Z$4&gt;='APA Inputs'!$C$30,Z$4&lt;EDATE('APA Inputs'!$C$30,N('APA Inputs'!$D$30))),'APA Inputs'!$J$30,0)+IF(N('APA Inputs'!$H$30)&gt;0,IF(Z$4=EDATE('APA Inputs'!$C$30,'APA Inputs'!$H$30-1),N('APA Inputs'!$G$30),0),0))*IF('APA Inputs'!$I$30="",1,'APA Inputs'!$I$30))</f>
        <v>0</v>
      </c>
      <c r="AA15" s="425" t="n">
        <f aca="false">IF('APA Inputs'!$C$30="",0,(IF(AND(AA$4&gt;='APA Inputs'!$C$30,AA$4&lt;EDATE('APA Inputs'!$C$30,N('APA Inputs'!$D$30))),'APA Inputs'!$J$30,0)+IF(N('APA Inputs'!$H$30)&gt;0,IF(AA$4=EDATE('APA Inputs'!$C$30,'APA Inputs'!$H$30-1),N('APA Inputs'!$G$30),0),0))*IF('APA Inputs'!$I$30="",1,'APA Inputs'!$I$30))</f>
        <v>0</v>
      </c>
      <c r="AB15" s="425" t="n">
        <f aca="false">IF('APA Inputs'!$C$30="",0,(IF(AND(AB$4&gt;='APA Inputs'!$C$30,AB$4&lt;EDATE('APA Inputs'!$C$30,N('APA Inputs'!$D$30))),'APA Inputs'!$J$30,0)+IF(N('APA Inputs'!$H$30)&gt;0,IF(AB$4=EDATE('APA Inputs'!$C$30,'APA Inputs'!$H$30-1),N('APA Inputs'!$G$30),0),0))*IF('APA Inputs'!$I$30="",1,'APA Inputs'!$I$30))</f>
        <v>0</v>
      </c>
      <c r="AC15" s="425" t="n">
        <f aca="false">IF('APA Inputs'!$C$30="",0,(IF(AND(AC$4&gt;='APA Inputs'!$C$30,AC$4&lt;EDATE('APA Inputs'!$C$30,N('APA Inputs'!$D$30))),'APA Inputs'!$J$30,0)+IF(N('APA Inputs'!$H$30)&gt;0,IF(AC$4=EDATE('APA Inputs'!$C$30,'APA Inputs'!$H$30-1),N('APA Inputs'!$G$30),0),0))*IF('APA Inputs'!$I$30="",1,'APA Inputs'!$I$30))</f>
        <v>0</v>
      </c>
      <c r="AD15" s="425" t="n">
        <f aca="false">IF('APA Inputs'!$C$30="",0,(IF(AND(AD$4&gt;='APA Inputs'!$C$30,AD$4&lt;EDATE('APA Inputs'!$C$30,N('APA Inputs'!$D$30))),'APA Inputs'!$J$30,0)+IF(N('APA Inputs'!$H$30)&gt;0,IF(AD$4=EDATE('APA Inputs'!$C$30,'APA Inputs'!$H$30-1),N('APA Inputs'!$G$30),0),0))*IF('APA Inputs'!$I$30="",1,'APA Inputs'!$I$30))</f>
        <v>0</v>
      </c>
      <c r="AE15" s="425" t="n">
        <f aca="false">IF('APA Inputs'!$C$30="",0,(IF(AND(AE$4&gt;='APA Inputs'!$C$30,AE$4&lt;EDATE('APA Inputs'!$C$30,N('APA Inputs'!$D$30))),'APA Inputs'!$J$30,0)+IF(N('APA Inputs'!$H$30)&gt;0,IF(AE$4=EDATE('APA Inputs'!$C$30,'APA Inputs'!$H$30-1),N('APA Inputs'!$G$30),0),0))*IF('APA Inputs'!$I$30="",1,'APA Inputs'!$I$30))</f>
        <v>0</v>
      </c>
      <c r="AF15" s="425" t="n">
        <f aca="false">IF('APA Inputs'!$C$30="",0,(IF(AND(AF$4&gt;='APA Inputs'!$C$30,AF$4&lt;EDATE('APA Inputs'!$C$30,N('APA Inputs'!$D$30))),'APA Inputs'!$J$30,0)+IF(N('APA Inputs'!$H$30)&gt;0,IF(AF$4=EDATE('APA Inputs'!$C$30,'APA Inputs'!$H$30-1),N('APA Inputs'!$G$30),0),0))*IF('APA Inputs'!$I$30="",1,'APA Inputs'!$I$30))</f>
        <v>0</v>
      </c>
      <c r="AG15" s="425" t="n">
        <f aca="false">IF('APA Inputs'!$C$30="",0,(IF(AND(AG$4&gt;='APA Inputs'!$C$30,AG$4&lt;EDATE('APA Inputs'!$C$30,N('APA Inputs'!$D$30))),'APA Inputs'!$J$30,0)+IF(N('APA Inputs'!$H$30)&gt;0,IF(AG$4=EDATE('APA Inputs'!$C$30,'APA Inputs'!$H$30-1),N('APA Inputs'!$G$30),0),0))*IF('APA Inputs'!$I$30="",1,'APA Inputs'!$I$30))</f>
        <v>0</v>
      </c>
      <c r="AH15" s="425" t="n">
        <f aca="false">IF('APA Inputs'!$C$30="",0,(IF(AND(AH$4&gt;='APA Inputs'!$C$30,AH$4&lt;EDATE('APA Inputs'!$C$30,N('APA Inputs'!$D$30))),'APA Inputs'!$J$30,0)+IF(N('APA Inputs'!$H$30)&gt;0,IF(AH$4=EDATE('APA Inputs'!$C$30,'APA Inputs'!$H$30-1),N('APA Inputs'!$G$30),0),0))*IF('APA Inputs'!$I$30="",1,'APA Inputs'!$I$30))</f>
        <v>0</v>
      </c>
      <c r="AI15" s="425" t="n">
        <f aca="false">IF('APA Inputs'!$C$30="",0,(IF(AND(AI$4&gt;='APA Inputs'!$C$30,AI$4&lt;EDATE('APA Inputs'!$C$30,N('APA Inputs'!$D$30))),'APA Inputs'!$J$30,0)+IF(N('APA Inputs'!$H$30)&gt;0,IF(AI$4=EDATE('APA Inputs'!$C$30,'APA Inputs'!$H$30-1),N('APA Inputs'!$G$30),0),0))*IF('APA Inputs'!$I$30="",1,'APA Inputs'!$I$30))</f>
        <v>0</v>
      </c>
      <c r="AJ15" s="425" t="n">
        <f aca="false">IF('APA Inputs'!$C$30="",0,(IF(AND(AJ$4&gt;='APA Inputs'!$C$30,AJ$4&lt;EDATE('APA Inputs'!$C$30,N('APA Inputs'!$D$30))),'APA Inputs'!$J$30,0)+IF(N('APA Inputs'!$H$30)&gt;0,IF(AJ$4=EDATE('APA Inputs'!$C$30,'APA Inputs'!$H$30-1),N('APA Inputs'!$G$30),0),0))*IF('APA Inputs'!$I$30="",1,'APA Inputs'!$I$30))</f>
        <v>0</v>
      </c>
      <c r="AK15" s="425" t="n">
        <f aca="false">IF('APA Inputs'!$C$30="",0,(IF(AND(AK$4&gt;='APA Inputs'!$C$30,AK$4&lt;EDATE('APA Inputs'!$C$30,N('APA Inputs'!$D$30))),'APA Inputs'!$J$30,0)+IF(N('APA Inputs'!$H$30)&gt;0,IF(AK$4=EDATE('APA Inputs'!$C$30,'APA Inputs'!$H$30-1),N('APA Inputs'!$G$30),0),0))*IF('APA Inputs'!$I$30="",1,'APA Inputs'!$I$30))</f>
        <v>0</v>
      </c>
      <c r="AL15" s="425" t="n">
        <f aca="false">IF('APA Inputs'!$C$30="",0,(IF(AND(AL$4&gt;='APA Inputs'!$C$30,AL$4&lt;EDATE('APA Inputs'!$C$30,N('APA Inputs'!$D$30))),'APA Inputs'!$J$30,0)+IF(N('APA Inputs'!$H$30)&gt;0,IF(AL$4=EDATE('APA Inputs'!$C$30,'APA Inputs'!$H$30-1),N('APA Inputs'!$G$30),0),0))*IF('APA Inputs'!$I$30="",1,'APA Inputs'!$I$30))</f>
        <v>0</v>
      </c>
      <c r="AM15" s="425" t="n">
        <f aca="false">IF('APA Inputs'!$C$30="",0,(IF(AND(AM$4&gt;='APA Inputs'!$C$30,AM$4&lt;EDATE('APA Inputs'!$C$30,N('APA Inputs'!$D$30))),'APA Inputs'!$J$30,0)+IF(N('APA Inputs'!$H$30)&gt;0,IF(AM$4=EDATE('APA Inputs'!$C$30,'APA Inputs'!$H$30-1),N('APA Inputs'!$G$30),0),0))*IF('APA Inputs'!$I$30="",1,'APA Inputs'!$I$30))</f>
        <v>0</v>
      </c>
      <c r="AN15" s="425" t="n">
        <f aca="false">IF('APA Inputs'!$C$30="",0,(IF(AND(AN$4&gt;='APA Inputs'!$C$30,AN$4&lt;EDATE('APA Inputs'!$C$30,N('APA Inputs'!$D$30))),'APA Inputs'!$J$30,0)+IF(N('APA Inputs'!$H$30)&gt;0,IF(AN$4=EDATE('APA Inputs'!$C$30,'APA Inputs'!$H$30-1),N('APA Inputs'!$G$30),0),0))*IF('APA Inputs'!$I$30="",1,'APA Inputs'!$I$30))</f>
        <v>0</v>
      </c>
      <c r="AO15" s="425" t="n">
        <f aca="false">IF('APA Inputs'!$C$30="",0,(IF(AND(AO$4&gt;='APA Inputs'!$C$30,AO$4&lt;EDATE('APA Inputs'!$C$30,N('APA Inputs'!$D$30))),'APA Inputs'!$J$30,0)+IF(N('APA Inputs'!$H$30)&gt;0,IF(AO$4=EDATE('APA Inputs'!$C$30,'APA Inputs'!$H$30-1),N('APA Inputs'!$G$30),0),0))*IF('APA Inputs'!$I$30="",1,'APA Inputs'!$I$30))</f>
        <v>0</v>
      </c>
      <c r="AP15" s="425" t="n">
        <f aca="false">IF('APA Inputs'!$C$30="",0,(IF(AND(AP$4&gt;='APA Inputs'!$C$30,AP$4&lt;EDATE('APA Inputs'!$C$30,N('APA Inputs'!$D$30))),'APA Inputs'!$J$30,0)+IF(N('APA Inputs'!$H$30)&gt;0,IF(AP$4=EDATE('APA Inputs'!$C$30,'APA Inputs'!$H$30-1),N('APA Inputs'!$G$30),0),0))*IF('APA Inputs'!$I$30="",1,'APA Inputs'!$I$30))</f>
        <v>0</v>
      </c>
      <c r="AQ15" s="425" t="n">
        <f aca="false">IF('APA Inputs'!$C$30="",0,(IF(AND(AQ$4&gt;='APA Inputs'!$C$30,AQ$4&lt;EDATE('APA Inputs'!$C$30,N('APA Inputs'!$D$30))),'APA Inputs'!$J$30,0)+IF(N('APA Inputs'!$H$30)&gt;0,IF(AQ$4=EDATE('APA Inputs'!$C$30,'APA Inputs'!$H$30-1),N('APA Inputs'!$G$30),0),0))*IF('APA Inputs'!$I$30="",1,'APA Inputs'!$I$30))</f>
        <v>0</v>
      </c>
      <c r="AR15" s="425" t="n">
        <f aca="false">IF('APA Inputs'!$C$30="",0,(IF(AND(AR$4&gt;='APA Inputs'!$C$30,AR$4&lt;EDATE('APA Inputs'!$C$30,N('APA Inputs'!$D$30))),'APA Inputs'!$J$30,0)+IF(N('APA Inputs'!$H$30)&gt;0,IF(AR$4=EDATE('APA Inputs'!$C$30,'APA Inputs'!$H$30-1),N('APA Inputs'!$G$30),0),0))*IF('APA Inputs'!$I$30="",1,'APA Inputs'!$I$30))</f>
        <v>0</v>
      </c>
      <c r="AS15" s="425" t="n">
        <f aca="false">IF('APA Inputs'!$C$30="",0,(IF(AND(AS$4&gt;='APA Inputs'!$C$30,AS$4&lt;EDATE('APA Inputs'!$C$30,N('APA Inputs'!$D$30))),'APA Inputs'!$J$30,0)+IF(N('APA Inputs'!$H$30)&gt;0,IF(AS$4=EDATE('APA Inputs'!$C$30,'APA Inputs'!$H$30-1),N('APA Inputs'!$G$30),0),0))*IF('APA Inputs'!$I$30="",1,'APA Inputs'!$I$30))</f>
        <v>0</v>
      </c>
      <c r="AT15" s="425" t="n">
        <f aca="false">IF('APA Inputs'!$C$30="",0,(IF(AND(AT$4&gt;='APA Inputs'!$C$30,AT$4&lt;EDATE('APA Inputs'!$C$30,N('APA Inputs'!$D$30))),'APA Inputs'!$J$30,0)+IF(N('APA Inputs'!$H$30)&gt;0,IF(AT$4=EDATE('APA Inputs'!$C$30,'APA Inputs'!$H$30-1),N('APA Inputs'!$G$30),0),0))*IF('APA Inputs'!$I$30="",1,'APA Inputs'!$I$30))</f>
        <v>0</v>
      </c>
      <c r="AU15" s="425" t="n">
        <f aca="false">IF('APA Inputs'!$C$30="",0,(IF(AND(AU$4&gt;='APA Inputs'!$C$30,AU$4&lt;EDATE('APA Inputs'!$C$30,N('APA Inputs'!$D$30))),'APA Inputs'!$J$30,0)+IF(N('APA Inputs'!$H$30)&gt;0,IF(AU$4=EDATE('APA Inputs'!$C$30,'APA Inputs'!$H$30-1),N('APA Inputs'!$G$30),0),0))*IF('APA Inputs'!$I$30="",1,'APA Inputs'!$I$30))</f>
        <v>0</v>
      </c>
      <c r="AV15" s="425" t="n">
        <f aca="false">IF('APA Inputs'!$C$30="",0,(IF(AND(AV$4&gt;='APA Inputs'!$C$30,AV$4&lt;EDATE('APA Inputs'!$C$30,N('APA Inputs'!$D$30))),'APA Inputs'!$J$30,0)+IF(N('APA Inputs'!$H$30)&gt;0,IF(AV$4=EDATE('APA Inputs'!$C$30,'APA Inputs'!$H$30-1),N('APA Inputs'!$G$30),0),0))*IF('APA Inputs'!$I$30="",1,'APA Inputs'!$I$30))</f>
        <v>0</v>
      </c>
      <c r="AW15" s="425" t="n">
        <f aca="false">IF('APA Inputs'!$C$30="",0,(IF(AND(AW$4&gt;='APA Inputs'!$C$30,AW$4&lt;EDATE('APA Inputs'!$C$30,N('APA Inputs'!$D$30))),'APA Inputs'!$J$30,0)+IF(N('APA Inputs'!$H$30)&gt;0,IF(AW$4=EDATE('APA Inputs'!$C$30,'APA Inputs'!$H$30-1),N('APA Inputs'!$G$30),0),0))*IF('APA Inputs'!$I$30="",1,'APA Inputs'!$I$30))</f>
        <v>0</v>
      </c>
      <c r="AX15" s="425" t="n">
        <f aca="false">IF('APA Inputs'!$C$30="",0,(IF(AND(AX$4&gt;='APA Inputs'!$C$30,AX$4&lt;EDATE('APA Inputs'!$C$30,N('APA Inputs'!$D$30))),'APA Inputs'!$J$30,0)+IF(N('APA Inputs'!$H$30)&gt;0,IF(AX$4=EDATE('APA Inputs'!$C$30,'APA Inputs'!$H$30-1),N('APA Inputs'!$G$30),0),0))*IF('APA Inputs'!$I$30="",1,'APA Inputs'!$I$30))</f>
        <v>0</v>
      </c>
      <c r="AY15" s="425" t="n">
        <f aca="false">IF('APA Inputs'!$C$30="",0,(IF(AND(AY$4&gt;='APA Inputs'!$C$30,AY$4&lt;EDATE('APA Inputs'!$C$30,N('APA Inputs'!$D$30))),'APA Inputs'!$J$30,0)+IF(N('APA Inputs'!$H$30)&gt;0,IF(AY$4=EDATE('APA Inputs'!$C$30,'APA Inputs'!$H$30-1),N('APA Inputs'!$G$30),0),0))*IF('APA Inputs'!$I$30="",1,'APA Inputs'!$I$30))</f>
        <v>0</v>
      </c>
      <c r="AZ15" s="425" t="n">
        <f aca="false">IF('APA Inputs'!$C$30="",0,(IF(AND(AZ$4&gt;='APA Inputs'!$C$30,AZ$4&lt;EDATE('APA Inputs'!$C$30,N('APA Inputs'!$D$30))),'APA Inputs'!$J$30,0)+IF(N('APA Inputs'!$H$30)&gt;0,IF(AZ$4=EDATE('APA Inputs'!$C$30,'APA Inputs'!$H$30-1),N('APA Inputs'!$G$30),0),0))*IF('APA Inputs'!$I$30="",1,'APA Inputs'!$I$30))</f>
        <v>0</v>
      </c>
      <c r="BA15" s="425" t="n">
        <f aca="false">IF('APA Inputs'!$C$30="",0,(IF(AND(BA$4&gt;='APA Inputs'!$C$30,BA$4&lt;EDATE('APA Inputs'!$C$30,N('APA Inputs'!$D$30))),'APA Inputs'!$J$30,0)+IF(N('APA Inputs'!$H$30)&gt;0,IF(BA$4=EDATE('APA Inputs'!$C$30,'APA Inputs'!$H$30-1),N('APA Inputs'!$G$30),0),0))*IF('APA Inputs'!$I$30="",1,'APA Inputs'!$I$30))</f>
        <v>0</v>
      </c>
      <c r="BB15" s="425" t="n">
        <f aca="false">IF('APA Inputs'!$C$30="",0,(IF(AND(BB$4&gt;='APA Inputs'!$C$30,BB$4&lt;EDATE('APA Inputs'!$C$30,N('APA Inputs'!$D$30))),'APA Inputs'!$J$30,0)+IF(N('APA Inputs'!$H$30)&gt;0,IF(BB$4=EDATE('APA Inputs'!$C$30,'APA Inputs'!$H$30-1),N('APA Inputs'!$G$30),0),0))*IF('APA Inputs'!$I$30="",1,'APA Inputs'!$I$30))</f>
        <v>0</v>
      </c>
      <c r="BC15" s="425" t="n">
        <f aca="false">IF('APA Inputs'!$C$30="",0,(IF(AND(BC$4&gt;='APA Inputs'!$C$30,BC$4&lt;EDATE('APA Inputs'!$C$30,N('APA Inputs'!$D$30))),'APA Inputs'!$J$30,0)+IF(N('APA Inputs'!$H$30)&gt;0,IF(BC$4=EDATE('APA Inputs'!$C$30,'APA Inputs'!$H$30-1),N('APA Inputs'!$G$30),0),0))*IF('APA Inputs'!$I$30="",1,'APA Inputs'!$I$30))</f>
        <v>0</v>
      </c>
      <c r="BD15" s="425" t="n">
        <f aca="false">IF('APA Inputs'!$C$30="",0,(IF(AND(BD$4&gt;='APA Inputs'!$C$30,BD$4&lt;EDATE('APA Inputs'!$C$30,N('APA Inputs'!$D$30))),'APA Inputs'!$J$30,0)+IF(N('APA Inputs'!$H$30)&gt;0,IF(BD$4=EDATE('APA Inputs'!$C$30,'APA Inputs'!$H$30-1),N('APA Inputs'!$G$30),0),0))*IF('APA Inputs'!$I$30="",1,'APA Inputs'!$I$30))</f>
        <v>0</v>
      </c>
      <c r="BE15" s="425" t="n">
        <f aca="false">IF('APA Inputs'!$C$30="",0,(IF(AND(BE$4&gt;='APA Inputs'!$C$30,BE$4&lt;EDATE('APA Inputs'!$C$30,N('APA Inputs'!$D$30))),'APA Inputs'!$J$30,0)+IF(N('APA Inputs'!$H$30)&gt;0,IF(BE$4=EDATE('APA Inputs'!$C$30,'APA Inputs'!$H$30-1),N('APA Inputs'!$G$30),0),0))*IF('APA Inputs'!$I$30="",1,'APA Inputs'!$I$30))</f>
        <v>0</v>
      </c>
      <c r="BF15" s="425" t="n">
        <f aca="false">IF('APA Inputs'!$C$30="",0,(IF(AND(BF$4&gt;='APA Inputs'!$C$30,BF$4&lt;EDATE('APA Inputs'!$C$30,N('APA Inputs'!$D$30))),'APA Inputs'!$J$30,0)+IF(N('APA Inputs'!$H$30)&gt;0,IF(BF$4=EDATE('APA Inputs'!$C$30,'APA Inputs'!$H$30-1),N('APA Inputs'!$G$30),0),0))*IF('APA Inputs'!$I$30="",1,'APA Inputs'!$I$30))</f>
        <v>0</v>
      </c>
      <c r="BG15" s="425" t="n">
        <f aca="false">IF('APA Inputs'!$C$30="",0,(IF(AND(BG$4&gt;='APA Inputs'!$C$30,BG$4&lt;EDATE('APA Inputs'!$C$30,N('APA Inputs'!$D$30))),'APA Inputs'!$J$30,0)+IF(N('APA Inputs'!$H$30)&gt;0,IF(BG$4=EDATE('APA Inputs'!$C$30,'APA Inputs'!$H$30-1),N('APA Inputs'!$G$30),0),0))*IF('APA Inputs'!$I$30="",1,'APA Inputs'!$I$30))</f>
        <v>0</v>
      </c>
      <c r="BH15" s="425" t="n">
        <f aca="false">IF('APA Inputs'!$C$30="",0,(IF(AND(BH$4&gt;='APA Inputs'!$C$30,BH$4&lt;EDATE('APA Inputs'!$C$30,N('APA Inputs'!$D$30))),'APA Inputs'!$J$30,0)+IF(N('APA Inputs'!$H$30)&gt;0,IF(BH$4=EDATE('APA Inputs'!$C$30,'APA Inputs'!$H$30-1),N('APA Inputs'!$G$30),0),0))*IF('APA Inputs'!$I$30="",1,'APA Inputs'!$I$30))</f>
        <v>0</v>
      </c>
      <c r="BI15" s="425" t="n">
        <f aca="false">IF('APA Inputs'!$C$30="",0,(IF(AND(BI$4&gt;='APA Inputs'!$C$30,BI$4&lt;EDATE('APA Inputs'!$C$30,N('APA Inputs'!$D$30))),'APA Inputs'!$J$30,0)+IF(N('APA Inputs'!$H$30)&gt;0,IF(BI$4=EDATE('APA Inputs'!$C$30,'APA Inputs'!$H$30-1),N('APA Inputs'!$G$30),0),0))*IF('APA Inputs'!$I$30="",1,'APA Inputs'!$I$30))</f>
        <v>0</v>
      </c>
      <c r="BJ15" s="425" t="n">
        <f aca="false">IF('APA Inputs'!$C$30="",0,(IF(AND(BJ$4&gt;='APA Inputs'!$C$30,BJ$4&lt;EDATE('APA Inputs'!$C$30,N('APA Inputs'!$D$30))),'APA Inputs'!$J$30,0)+IF(N('APA Inputs'!$H$30)&gt;0,IF(BJ$4=EDATE('APA Inputs'!$C$30,'APA Inputs'!$H$30-1),N('APA Inputs'!$G$30),0),0))*IF('APA Inputs'!$I$30="",1,'APA Inputs'!$I$30))</f>
        <v>0</v>
      </c>
      <c r="BK15" s="425" t="n">
        <f aca="false">IF('APA Inputs'!$C$30="",0,(IF(AND(BK$4&gt;='APA Inputs'!$C$30,BK$4&lt;EDATE('APA Inputs'!$C$30,N('APA Inputs'!$D$30))),'APA Inputs'!$J$30,0)+IF(N('APA Inputs'!$H$30)&gt;0,IF(BK$4=EDATE('APA Inputs'!$C$30,'APA Inputs'!$H$30-1),N('APA Inputs'!$G$30),0),0))*IF('APA Inputs'!$I$30="",1,'APA Inputs'!$I$30))</f>
        <v>0</v>
      </c>
      <c r="BL15" s="425" t="n">
        <f aca="false">IF('APA Inputs'!$C$30="",0,(IF(AND(BL$4&gt;='APA Inputs'!$C$30,BL$4&lt;EDATE('APA Inputs'!$C$30,N('APA Inputs'!$D$30))),'APA Inputs'!$J$30,0)+IF(N('APA Inputs'!$H$30)&gt;0,IF(BL$4=EDATE('APA Inputs'!$C$30,'APA Inputs'!$H$30-1),N('APA Inputs'!$G$30),0),0))*IF('APA Inputs'!$I$30="",1,'APA Inputs'!$I$30))</f>
        <v>0</v>
      </c>
      <c r="BM15" s="425" t="n">
        <f aca="false">IF('APA Inputs'!$C$30="",0,(IF(AND(BM$4&gt;='APA Inputs'!$C$30,BM$4&lt;EDATE('APA Inputs'!$C$30,N('APA Inputs'!$D$30))),'APA Inputs'!$J$30,0)+IF(N('APA Inputs'!$H$30)&gt;0,IF(BM$4=EDATE('APA Inputs'!$C$30,'APA Inputs'!$H$30-1),N('APA Inputs'!$G$30),0),0))*IF('APA Inputs'!$I$30="",1,'APA Inputs'!$I$30))</f>
        <v>0</v>
      </c>
      <c r="BN15" s="425" t="n">
        <f aca="false">IF('APA Inputs'!$C$30="",0,(IF(AND(BN$4&gt;='APA Inputs'!$C$30,BN$4&lt;EDATE('APA Inputs'!$C$30,N('APA Inputs'!$D$30))),'APA Inputs'!$J$30,0)+IF(N('APA Inputs'!$H$30)&gt;0,IF(BN$4=EDATE('APA Inputs'!$C$30,'APA Inputs'!$H$30-1),N('APA Inputs'!$G$30),0),0))*IF('APA Inputs'!$I$30="",1,'APA Inputs'!$I$30))</f>
        <v>0</v>
      </c>
      <c r="BO15" s="425" t="n">
        <f aca="false">IF('APA Inputs'!$C$30="",0,(IF(AND(BO$4&gt;='APA Inputs'!$C$30,BO$4&lt;EDATE('APA Inputs'!$C$30,N('APA Inputs'!$D$30))),'APA Inputs'!$J$30,0)+IF(N('APA Inputs'!$H$30)&gt;0,IF(BO$4=EDATE('APA Inputs'!$C$30,'APA Inputs'!$H$30-1),N('APA Inputs'!$G$30),0),0))*IF('APA Inputs'!$I$30="",1,'APA Inputs'!$I$30))</f>
        <v>0</v>
      </c>
      <c r="BP15" s="425" t="n">
        <f aca="false">IF('APA Inputs'!$C$30="",0,(IF(AND(BP$4&gt;='APA Inputs'!$C$30,BP$4&lt;EDATE('APA Inputs'!$C$30,N('APA Inputs'!$D$30))),'APA Inputs'!$J$30,0)+IF(N('APA Inputs'!$H$30)&gt;0,IF(BP$4=EDATE('APA Inputs'!$C$30,'APA Inputs'!$H$30-1),N('APA Inputs'!$G$30),0),0))*IF('APA Inputs'!$I$30="",1,'APA Inputs'!$I$30))</f>
        <v>0</v>
      </c>
      <c r="BQ15" s="425" t="n">
        <f aca="false">IF('APA Inputs'!$C$30="",0,(IF(AND(BQ$4&gt;='APA Inputs'!$C$30,BQ$4&lt;EDATE('APA Inputs'!$C$30,N('APA Inputs'!$D$30))),'APA Inputs'!$J$30,0)+IF(N('APA Inputs'!$H$30)&gt;0,IF(BQ$4=EDATE('APA Inputs'!$C$30,'APA Inputs'!$H$30-1),N('APA Inputs'!$G$30),0),0))*IF('APA Inputs'!$I$30="",1,'APA Inputs'!$I$30))</f>
        <v>0</v>
      </c>
      <c r="BR15" s="425" t="n">
        <f aca="false">IF('APA Inputs'!$C$30="",0,(IF(AND(BR$4&gt;='APA Inputs'!$C$30,BR$4&lt;EDATE('APA Inputs'!$C$30,N('APA Inputs'!$D$30))),'APA Inputs'!$J$30,0)+IF(N('APA Inputs'!$H$30)&gt;0,IF(BR$4=EDATE('APA Inputs'!$C$30,'APA Inputs'!$H$30-1),N('APA Inputs'!$G$30),0),0))*IF('APA Inputs'!$I$30="",1,'APA Inputs'!$I$30))</f>
        <v>0</v>
      </c>
      <c r="BS15" s="425" t="n">
        <f aca="false">IF('APA Inputs'!$C$30="",0,(IF(AND(BS$4&gt;='APA Inputs'!$C$30,BS$4&lt;EDATE('APA Inputs'!$C$30,N('APA Inputs'!$D$30))),'APA Inputs'!$J$30,0)+IF(N('APA Inputs'!$H$30)&gt;0,IF(BS$4=EDATE('APA Inputs'!$C$30,'APA Inputs'!$H$30-1),N('APA Inputs'!$G$30),0),0))*IF('APA Inputs'!$I$30="",1,'APA Inputs'!$I$30))</f>
        <v>0</v>
      </c>
      <c r="BT15" s="425" t="n">
        <f aca="false">IF('APA Inputs'!$C$30="",0,(IF(AND(BT$4&gt;='APA Inputs'!$C$30,BT$4&lt;EDATE('APA Inputs'!$C$30,N('APA Inputs'!$D$30))),'APA Inputs'!$J$30,0)+IF(N('APA Inputs'!$H$30)&gt;0,IF(BT$4=EDATE('APA Inputs'!$C$30,'APA Inputs'!$H$30-1),N('APA Inputs'!$G$30),0),0))*IF('APA Inputs'!$I$30="",1,'APA Inputs'!$I$30))</f>
        <v>0</v>
      </c>
      <c r="BU15" s="425" t="n">
        <f aca="false">IF('APA Inputs'!$C$30="",0,(IF(AND(BU$4&gt;='APA Inputs'!$C$30,BU$4&lt;EDATE('APA Inputs'!$C$30,N('APA Inputs'!$D$30))),'APA Inputs'!$J$30,0)+IF(N('APA Inputs'!$H$30)&gt;0,IF(BU$4=EDATE('APA Inputs'!$C$30,'APA Inputs'!$H$30-1),N('APA Inputs'!$G$30),0),0))*IF('APA Inputs'!$I$30="",1,'APA Inputs'!$I$30))</f>
        <v>0</v>
      </c>
      <c r="BV15" s="425" t="n">
        <f aca="false">IF('APA Inputs'!$C$30="",0,(IF(AND(BV$4&gt;='APA Inputs'!$C$30,BV$4&lt;EDATE('APA Inputs'!$C$30,N('APA Inputs'!$D$30))),'APA Inputs'!$J$30,0)+IF(N('APA Inputs'!$H$30)&gt;0,IF(BV$4=EDATE('APA Inputs'!$C$30,'APA Inputs'!$H$30-1),N('APA Inputs'!$G$30),0),0))*IF('APA Inputs'!$I$30="",1,'APA Inputs'!$I$30))</f>
        <v>0</v>
      </c>
      <c r="BW15" s="425" t="n">
        <f aca="false">IF('APA Inputs'!$C$30="",0,(IF(AND(BW$4&gt;='APA Inputs'!$C$30,BW$4&lt;EDATE('APA Inputs'!$C$30,N('APA Inputs'!$D$30))),'APA Inputs'!$J$30,0)+IF(N('APA Inputs'!$H$30)&gt;0,IF(BW$4=EDATE('APA Inputs'!$C$30,'APA Inputs'!$H$30-1),N('APA Inputs'!$G$30),0),0))*IF('APA Inputs'!$I$30="",1,'APA Inputs'!$I$30))</f>
        <v>0</v>
      </c>
      <c r="BX15" s="425" t="n">
        <f aca="false">IF('APA Inputs'!$C$30="",0,(IF(AND(BX$4&gt;='APA Inputs'!$C$30,BX$4&lt;EDATE('APA Inputs'!$C$30,N('APA Inputs'!$D$30))),'APA Inputs'!$J$30,0)+IF(N('APA Inputs'!$H$30)&gt;0,IF(BX$4=EDATE('APA Inputs'!$C$30,'APA Inputs'!$H$30-1),N('APA Inputs'!$G$30),0),0))*IF('APA Inputs'!$I$30="",1,'APA Inputs'!$I$30))</f>
        <v>0</v>
      </c>
      <c r="BY15" s="425" t="n">
        <f aca="false">IF('APA Inputs'!$C$30="",0,(IF(AND(BY$4&gt;='APA Inputs'!$C$30,BY$4&lt;EDATE('APA Inputs'!$C$30,N('APA Inputs'!$D$30))),'APA Inputs'!$J$30,0)+IF(N('APA Inputs'!$H$30)&gt;0,IF(BY$4=EDATE('APA Inputs'!$C$30,'APA Inputs'!$H$30-1),N('APA Inputs'!$G$30),0),0))*IF('APA Inputs'!$I$30="",1,'APA Inputs'!$I$30))</f>
        <v>0</v>
      </c>
      <c r="BZ15" s="425" t="n">
        <f aca="false">IF('APA Inputs'!$C$30="",0,(IF(AND(BZ$4&gt;='APA Inputs'!$C$30,BZ$4&lt;EDATE('APA Inputs'!$C$30,N('APA Inputs'!$D$30))),'APA Inputs'!$J$30,0)+IF(N('APA Inputs'!$H$30)&gt;0,IF(BZ$4=EDATE('APA Inputs'!$C$30,'APA Inputs'!$H$30-1),N('APA Inputs'!$G$30),0),0))*IF('APA Inputs'!$I$30="",1,'APA Inputs'!$I$30))</f>
        <v>0</v>
      </c>
      <c r="CA15" s="425" t="n">
        <f aca="false">IF('APA Inputs'!$C$30="",0,(IF(AND(CA$4&gt;='APA Inputs'!$C$30,CA$4&lt;EDATE('APA Inputs'!$C$30,N('APA Inputs'!$D$30))),'APA Inputs'!$J$30,0)+IF(N('APA Inputs'!$H$30)&gt;0,IF(CA$4=EDATE('APA Inputs'!$C$30,'APA Inputs'!$H$30-1),N('APA Inputs'!$G$30),0),0))*IF('APA Inputs'!$I$30="",1,'APA Inputs'!$I$30))</f>
        <v>0</v>
      </c>
      <c r="CB15" s="425" t="n">
        <f aca="false">IF('APA Inputs'!$C$30="",0,(IF(AND(CB$4&gt;='APA Inputs'!$C$30,CB$4&lt;EDATE('APA Inputs'!$C$30,N('APA Inputs'!$D$30))),'APA Inputs'!$J$30,0)+IF(N('APA Inputs'!$H$30)&gt;0,IF(CB$4=EDATE('APA Inputs'!$C$30,'APA Inputs'!$H$30-1),N('APA Inputs'!$G$30),0),0))*IF('APA Inputs'!$I$30="",1,'APA Inputs'!$I$30))</f>
        <v>0</v>
      </c>
      <c r="CC15" s="425" t="n">
        <f aca="false">IF('APA Inputs'!$C$30="",0,(IF(AND(CC$4&gt;='APA Inputs'!$C$30,CC$4&lt;EDATE('APA Inputs'!$C$30,N('APA Inputs'!$D$30))),'APA Inputs'!$J$30,0)+IF(N('APA Inputs'!$H$30)&gt;0,IF(CC$4=EDATE('APA Inputs'!$C$30,'APA Inputs'!$H$30-1),N('APA Inputs'!$G$30),0),0))*IF('APA Inputs'!$I$30="",1,'APA Inputs'!$I$30))</f>
        <v>0</v>
      </c>
      <c r="CD15" s="425" t="n">
        <f aca="false">IF('APA Inputs'!$C$30="",0,(IF(AND(CD$4&gt;='APA Inputs'!$C$30,CD$4&lt;EDATE('APA Inputs'!$C$30,N('APA Inputs'!$D$30))),'APA Inputs'!$J$30,0)+IF(N('APA Inputs'!$H$30)&gt;0,IF(CD$4=EDATE('APA Inputs'!$C$30,'APA Inputs'!$H$30-1),N('APA Inputs'!$G$30),0),0))*IF('APA Inputs'!$I$30="",1,'APA Inputs'!$I$30))</f>
        <v>0</v>
      </c>
      <c r="CE15" s="425" t="n">
        <f aca="false">IF('APA Inputs'!$C$30="",0,(IF(AND(CE$4&gt;='APA Inputs'!$C$30,CE$4&lt;EDATE('APA Inputs'!$C$30,N('APA Inputs'!$D$30))),'APA Inputs'!$J$30,0)+IF(N('APA Inputs'!$H$30)&gt;0,IF(CE$4=EDATE('APA Inputs'!$C$30,'APA Inputs'!$H$30-1),N('APA Inputs'!$G$30),0),0))*IF('APA Inputs'!$I$30="",1,'APA Inputs'!$I$30))</f>
        <v>0</v>
      </c>
      <c r="CF15" s="425" t="n">
        <f aca="false">IF('APA Inputs'!$C$30="",0,(IF(AND(CF$4&gt;='APA Inputs'!$C$30,CF$4&lt;EDATE('APA Inputs'!$C$30,N('APA Inputs'!$D$30))),'APA Inputs'!$J$30,0)+IF(N('APA Inputs'!$H$30)&gt;0,IF(CF$4=EDATE('APA Inputs'!$C$30,'APA Inputs'!$H$30-1),N('APA Inputs'!$G$30),0),0))*IF('APA Inputs'!$I$30="",1,'APA Inputs'!$I$30))</f>
        <v>0</v>
      </c>
      <c r="CG15" s="425" t="n">
        <f aca="false">IF('APA Inputs'!$C$30="",0,(IF(AND(CG$4&gt;='APA Inputs'!$C$30,CG$4&lt;EDATE('APA Inputs'!$C$30,N('APA Inputs'!$D$30))),'APA Inputs'!$J$30,0)+IF(N('APA Inputs'!$H$30)&gt;0,IF(CG$4=EDATE('APA Inputs'!$C$30,'APA Inputs'!$H$30-1),N('APA Inputs'!$G$30),0),0))*IF('APA Inputs'!$I$30="",1,'APA Inputs'!$I$30))</f>
        <v>0</v>
      </c>
      <c r="CH15" s="425" t="n">
        <f aca="false">IF('APA Inputs'!$C$30="",0,(IF(AND(CH$4&gt;='APA Inputs'!$C$30,CH$4&lt;EDATE('APA Inputs'!$C$30,N('APA Inputs'!$D$30))),'APA Inputs'!$J$30,0)+IF(N('APA Inputs'!$H$30)&gt;0,IF(CH$4=EDATE('APA Inputs'!$C$30,'APA Inputs'!$H$30-1),N('APA Inputs'!$G$30),0),0))*IF('APA Inputs'!$I$30="",1,'APA Inputs'!$I$30))</f>
        <v>0</v>
      </c>
      <c r="CI15" s="425" t="n">
        <f aca="false">IF('APA Inputs'!$C$30="",0,(IF(AND(CI$4&gt;='APA Inputs'!$C$30,CI$4&lt;EDATE('APA Inputs'!$C$30,N('APA Inputs'!$D$30))),'APA Inputs'!$J$30,0)+IF(N('APA Inputs'!$H$30)&gt;0,IF(CI$4=EDATE('APA Inputs'!$C$30,'APA Inputs'!$H$30-1),N('APA Inputs'!$G$30),0),0))*IF('APA Inputs'!$I$30="",1,'APA Inputs'!$I$30))</f>
        <v>0</v>
      </c>
      <c r="CJ15" s="425" t="n">
        <f aca="false">IF('APA Inputs'!$C$30="",0,(IF(AND(CJ$4&gt;='APA Inputs'!$C$30,CJ$4&lt;EDATE('APA Inputs'!$C$30,N('APA Inputs'!$D$30))),'APA Inputs'!$J$30,0)+IF(N('APA Inputs'!$H$30)&gt;0,IF(CJ$4=EDATE('APA Inputs'!$C$30,'APA Inputs'!$H$30-1),N('APA Inputs'!$G$30),0),0))*IF('APA Inputs'!$I$30="",1,'APA Inputs'!$I$30))</f>
        <v>0</v>
      </c>
      <c r="CK15" s="425" t="n">
        <f aca="false">IF('APA Inputs'!$C$30="",0,(IF(AND(CK$4&gt;='APA Inputs'!$C$30,CK$4&lt;EDATE('APA Inputs'!$C$30,N('APA Inputs'!$D$30))),'APA Inputs'!$J$30,0)+IF(N('APA Inputs'!$H$30)&gt;0,IF(CK$4=EDATE('APA Inputs'!$C$30,'APA Inputs'!$H$30-1),N('APA Inputs'!$G$30),0),0))*IF('APA Inputs'!$I$30="",1,'APA Inputs'!$I$30))</f>
        <v>0</v>
      </c>
      <c r="CL15" s="425" t="n">
        <f aca="false">IF('APA Inputs'!$C$30="",0,(IF(AND(CL$4&gt;='APA Inputs'!$C$30,CL$4&lt;EDATE('APA Inputs'!$C$30,N('APA Inputs'!$D$30))),'APA Inputs'!$J$30,0)+IF(N('APA Inputs'!$H$30)&gt;0,IF(CL$4=EDATE('APA Inputs'!$C$30,'APA Inputs'!$H$30-1),N('APA Inputs'!$G$30),0),0))*IF('APA Inputs'!$I$30="",1,'APA Inputs'!$I$30))</f>
        <v>0</v>
      </c>
      <c r="CM15" s="425" t="n">
        <f aca="false">IF('APA Inputs'!$C$30="",0,(IF(AND(CM$4&gt;='APA Inputs'!$C$30,CM$4&lt;EDATE('APA Inputs'!$C$30,N('APA Inputs'!$D$30))),'APA Inputs'!$J$30,0)+IF(N('APA Inputs'!$H$30)&gt;0,IF(CM$4=EDATE('APA Inputs'!$C$30,'APA Inputs'!$H$30-1),N('APA Inputs'!$G$30),0),0))*IF('APA Inputs'!$I$30="",1,'APA Inputs'!$I$30))</f>
        <v>0</v>
      </c>
      <c r="CN15" s="425" t="n">
        <f aca="false">IF('APA Inputs'!$C$30="",0,(IF(AND(CN$4&gt;='APA Inputs'!$C$30,CN$4&lt;EDATE('APA Inputs'!$C$30,N('APA Inputs'!$D$30))),'APA Inputs'!$J$30,0)+IF(N('APA Inputs'!$H$30)&gt;0,IF(CN$4=EDATE('APA Inputs'!$C$30,'APA Inputs'!$H$30-1),N('APA Inputs'!$G$30),0),0))*IF('APA Inputs'!$I$30="",1,'APA Inputs'!$I$30))</f>
        <v>0</v>
      </c>
      <c r="CO15" s="425" t="n">
        <f aca="false">IF('APA Inputs'!$C$30="",0,(IF(AND(CO$4&gt;='APA Inputs'!$C$30,CO$4&lt;EDATE('APA Inputs'!$C$30,N('APA Inputs'!$D$30))),'APA Inputs'!$J$30,0)+IF(N('APA Inputs'!$H$30)&gt;0,IF(CO$4=EDATE('APA Inputs'!$C$30,'APA Inputs'!$H$30-1),N('APA Inputs'!$G$30),0),0))*IF('APA Inputs'!$I$30="",1,'APA Inputs'!$I$30))</f>
        <v>0</v>
      </c>
      <c r="CP15" s="425" t="n">
        <f aca="false">IF('APA Inputs'!$C$30="",0,(IF(AND(CP$4&gt;='APA Inputs'!$C$30,CP$4&lt;EDATE('APA Inputs'!$C$30,N('APA Inputs'!$D$30))),'APA Inputs'!$J$30,0)+IF(N('APA Inputs'!$H$30)&gt;0,IF(CP$4=EDATE('APA Inputs'!$C$30,'APA Inputs'!$H$30-1),N('APA Inputs'!$G$30),0),0))*IF('APA Inputs'!$I$30="",1,'APA Inputs'!$I$30))</f>
        <v>0</v>
      </c>
      <c r="CQ15" s="425" t="n">
        <f aca="false">IF('APA Inputs'!$C$30="",0,(IF(AND(CQ$4&gt;='APA Inputs'!$C$30,CQ$4&lt;EDATE('APA Inputs'!$C$30,N('APA Inputs'!$D$30))),'APA Inputs'!$J$30,0)+IF(N('APA Inputs'!$H$30)&gt;0,IF(CQ$4=EDATE('APA Inputs'!$C$30,'APA Inputs'!$H$30-1),N('APA Inputs'!$G$30),0),0))*IF('APA Inputs'!$I$30="",1,'APA Inputs'!$I$30))</f>
        <v>0</v>
      </c>
      <c r="CR15" s="425" t="n">
        <f aca="false">IF('APA Inputs'!$C$30="",0,(IF(AND(CR$4&gt;='APA Inputs'!$C$30,CR$4&lt;EDATE('APA Inputs'!$C$30,N('APA Inputs'!$D$30))),'APA Inputs'!$J$30,0)+IF(N('APA Inputs'!$H$30)&gt;0,IF(CR$4=EDATE('APA Inputs'!$C$30,'APA Inputs'!$H$30-1),N('APA Inputs'!$G$30),0),0))*IF('APA Inputs'!$I$30="",1,'APA Inputs'!$I$30))</f>
        <v>0</v>
      </c>
      <c r="CS15" s="425" t="n">
        <f aca="false">IF('APA Inputs'!$C$30="",0,(IF(AND(CS$4&gt;='APA Inputs'!$C$30,CS$4&lt;EDATE('APA Inputs'!$C$30,N('APA Inputs'!$D$30))),'APA Inputs'!$J$30,0)+IF(N('APA Inputs'!$H$30)&gt;0,IF(CS$4=EDATE('APA Inputs'!$C$30,'APA Inputs'!$H$30-1),N('APA Inputs'!$G$30),0),0))*IF('APA Inputs'!$I$30="",1,'APA Inputs'!$I$30))</f>
        <v>0</v>
      </c>
      <c r="CT15" s="425" t="n">
        <f aca="false">IF('APA Inputs'!$C$30="",0,(IF(AND(CT$4&gt;='APA Inputs'!$C$30,CT$4&lt;EDATE('APA Inputs'!$C$30,N('APA Inputs'!$D$30))),'APA Inputs'!$J$30,0)+IF(N('APA Inputs'!$H$30)&gt;0,IF(CT$4=EDATE('APA Inputs'!$C$30,'APA Inputs'!$H$30-1),N('APA Inputs'!$G$30),0),0))*IF('APA Inputs'!$I$30="",1,'APA Inputs'!$I$30))</f>
        <v>0</v>
      </c>
      <c r="CU15" s="425" t="n">
        <f aca="false">IF('APA Inputs'!$C$30="",0,(IF(AND(CU$4&gt;='APA Inputs'!$C$30,CU$4&lt;EDATE('APA Inputs'!$C$30,N('APA Inputs'!$D$30))),'APA Inputs'!$J$30,0)+IF(N('APA Inputs'!$H$30)&gt;0,IF(CU$4=EDATE('APA Inputs'!$C$30,'APA Inputs'!$H$30-1),N('APA Inputs'!$G$30),0),0))*IF('APA Inputs'!$I$30="",1,'APA Inputs'!$I$30))</f>
        <v>0</v>
      </c>
      <c r="CV15" s="425" t="n">
        <f aca="false">IF('APA Inputs'!$C$30="",0,(IF(AND(CV$4&gt;='APA Inputs'!$C$30,CV$4&lt;EDATE('APA Inputs'!$C$30,N('APA Inputs'!$D$30))),'APA Inputs'!$J$30,0)+IF(N('APA Inputs'!$H$30)&gt;0,IF(CV$4=EDATE('APA Inputs'!$C$30,'APA Inputs'!$H$30-1),N('APA Inputs'!$G$30),0),0))*IF('APA Inputs'!$I$30="",1,'APA Inputs'!$I$30))</f>
        <v>0</v>
      </c>
      <c r="CW15" s="425" t="n">
        <f aca="false">IF('APA Inputs'!$C$30="",0,(IF(AND(CW$4&gt;='APA Inputs'!$C$30,CW$4&lt;EDATE('APA Inputs'!$C$30,N('APA Inputs'!$D$30))),'APA Inputs'!$J$30,0)+IF(N('APA Inputs'!$H$30)&gt;0,IF(CW$4=EDATE('APA Inputs'!$C$30,'APA Inputs'!$H$30-1),N('APA Inputs'!$G$30),0),0))*IF('APA Inputs'!$I$30="",1,'APA Inputs'!$I$30))</f>
        <v>0</v>
      </c>
      <c r="CX15" s="425" t="n">
        <f aca="false">IF('APA Inputs'!$C$30="",0,(IF(AND(CX$4&gt;='APA Inputs'!$C$30,CX$4&lt;EDATE('APA Inputs'!$C$30,N('APA Inputs'!$D$30))),'APA Inputs'!$J$30,0)+IF(N('APA Inputs'!$H$30)&gt;0,IF(CX$4=EDATE('APA Inputs'!$C$30,'APA Inputs'!$H$30-1),N('APA Inputs'!$G$30),0),0))*IF('APA Inputs'!$I$30="",1,'APA Inputs'!$I$30))</f>
        <v>0</v>
      </c>
      <c r="CY15" s="425" t="n">
        <f aca="false">IF('APA Inputs'!$C$30="",0,(IF(AND(CY$4&gt;='APA Inputs'!$C$30,CY$4&lt;EDATE('APA Inputs'!$C$30,N('APA Inputs'!$D$30))),'APA Inputs'!$J$30,0)+IF(N('APA Inputs'!$H$30)&gt;0,IF(CY$4=EDATE('APA Inputs'!$C$30,'APA Inputs'!$H$30-1),N('APA Inputs'!$G$30),0),0))*IF('APA Inputs'!$I$30="",1,'APA Inputs'!$I$30))</f>
        <v>0</v>
      </c>
      <c r="CZ15" s="425" t="n">
        <f aca="false">IF('APA Inputs'!$C$30="",0,(IF(AND(CZ$4&gt;='APA Inputs'!$C$30,CZ$4&lt;EDATE('APA Inputs'!$C$30,N('APA Inputs'!$D$30))),'APA Inputs'!$J$30,0)+IF(N('APA Inputs'!$H$30)&gt;0,IF(CZ$4=EDATE('APA Inputs'!$C$30,'APA Inputs'!$H$30-1),N('APA Inputs'!$G$30),0),0))*IF('APA Inputs'!$I$30="",1,'APA Inputs'!$I$30))</f>
        <v>0</v>
      </c>
      <c r="DA15" s="425" t="n">
        <f aca="false">IF('APA Inputs'!$C$30="",0,(IF(AND(DA$4&gt;='APA Inputs'!$C$30,DA$4&lt;EDATE('APA Inputs'!$C$30,N('APA Inputs'!$D$30))),'APA Inputs'!$J$30,0)+IF(N('APA Inputs'!$H$30)&gt;0,IF(DA$4=EDATE('APA Inputs'!$C$30,'APA Inputs'!$H$30-1),N('APA Inputs'!$G$30),0),0))*IF('APA Inputs'!$I$30="",1,'APA Inputs'!$I$30))</f>
        <v>0</v>
      </c>
      <c r="DB15" s="425" t="n">
        <f aca="false">IF('APA Inputs'!$C$30="",0,(IF(AND(DB$4&gt;='APA Inputs'!$C$30,DB$4&lt;EDATE('APA Inputs'!$C$30,N('APA Inputs'!$D$30))),'APA Inputs'!$J$30,0)+IF(N('APA Inputs'!$H$30)&gt;0,IF(DB$4=EDATE('APA Inputs'!$C$30,'APA Inputs'!$H$30-1),N('APA Inputs'!$G$30),0),0))*IF('APA Inputs'!$I$30="",1,'APA Inputs'!$I$30))</f>
        <v>0</v>
      </c>
      <c r="DC15" s="425" t="n">
        <f aca="false">IF('APA Inputs'!$C$30="",0,(IF(AND(DC$4&gt;='APA Inputs'!$C$30,DC$4&lt;EDATE('APA Inputs'!$C$30,N('APA Inputs'!$D$30))),'APA Inputs'!$J$30,0)+IF(N('APA Inputs'!$H$30)&gt;0,IF(DC$4=EDATE('APA Inputs'!$C$30,'APA Inputs'!$H$30-1),N('APA Inputs'!$G$30),0),0))*IF('APA Inputs'!$I$30="",1,'APA Inputs'!$I$30))</f>
        <v>0</v>
      </c>
      <c r="DD15" s="425" t="n">
        <f aca="false">IF('APA Inputs'!$C$30="",0,(IF(AND(DD$4&gt;='APA Inputs'!$C$30,DD$4&lt;EDATE('APA Inputs'!$C$30,N('APA Inputs'!$D$30))),'APA Inputs'!$J$30,0)+IF(N('APA Inputs'!$H$30)&gt;0,IF(DD$4=EDATE('APA Inputs'!$C$30,'APA Inputs'!$H$30-1),N('APA Inputs'!$G$30),0),0))*IF('APA Inputs'!$I$30="",1,'APA Inputs'!$I$30))</f>
        <v>0</v>
      </c>
      <c r="DE15" s="425" t="n">
        <f aca="false">IF('APA Inputs'!$C$30="",0,(IF(AND(DE$4&gt;='APA Inputs'!$C$30,DE$4&lt;EDATE('APA Inputs'!$C$30,N('APA Inputs'!$D$30))),'APA Inputs'!$J$30,0)+IF(N('APA Inputs'!$H$30)&gt;0,IF(DE$4=EDATE('APA Inputs'!$C$30,'APA Inputs'!$H$30-1),N('APA Inputs'!$G$30),0),0))*IF('APA Inputs'!$I$30="",1,'APA Inputs'!$I$30))</f>
        <v>0</v>
      </c>
    </row>
    <row r="16" customFormat="false" ht="15" hidden="false" customHeight="true" outlineLevel="0" collapsed="false">
      <c r="A16" s="1" t="str">
        <f aca="false">'APA Inputs'!A31</f>
        <v>Pipeline 6</v>
      </c>
      <c r="B16" s="425" t="n">
        <f aca="false">IF('APA Inputs'!$C$31="",0,(IF(AND(B$4&gt;='APA Inputs'!$C$31,B$4&lt;EDATE('APA Inputs'!$C$31,N('APA Inputs'!$D$31))),'APA Inputs'!$J$31,0)+IF(N('APA Inputs'!$H$31)&gt;0,IF(B$4=EDATE('APA Inputs'!$C$31,'APA Inputs'!$H$31-1),N('APA Inputs'!$G$31),0),0))*IF('APA Inputs'!$I$31="",1,'APA Inputs'!$I$31))</f>
        <v>0</v>
      </c>
      <c r="C16" s="425" t="n">
        <f aca="false">IF('APA Inputs'!$C$31="",0,(IF(AND(C$4&gt;='APA Inputs'!$C$31,C$4&lt;EDATE('APA Inputs'!$C$31,N('APA Inputs'!$D$31))),'APA Inputs'!$J$31,0)+IF(N('APA Inputs'!$H$31)&gt;0,IF(C$4=EDATE('APA Inputs'!$C$31,'APA Inputs'!$H$31-1),N('APA Inputs'!$G$31),0),0))*IF('APA Inputs'!$I$31="",1,'APA Inputs'!$I$31))</f>
        <v>0</v>
      </c>
      <c r="D16" s="425" t="n">
        <f aca="false">IF('APA Inputs'!$C$31="",0,(IF(AND(D$4&gt;='APA Inputs'!$C$31,D$4&lt;EDATE('APA Inputs'!$C$31,N('APA Inputs'!$D$31))),'APA Inputs'!$J$31,0)+IF(N('APA Inputs'!$H$31)&gt;0,IF(D$4=EDATE('APA Inputs'!$C$31,'APA Inputs'!$H$31-1),N('APA Inputs'!$G$31),0),0))*IF('APA Inputs'!$I$31="",1,'APA Inputs'!$I$31))</f>
        <v>0</v>
      </c>
      <c r="E16" s="425" t="n">
        <f aca="false">IF('APA Inputs'!$C$31="",0,(IF(AND(E$4&gt;='APA Inputs'!$C$31,E$4&lt;EDATE('APA Inputs'!$C$31,N('APA Inputs'!$D$31))),'APA Inputs'!$J$31,0)+IF(N('APA Inputs'!$H$31)&gt;0,IF(E$4=EDATE('APA Inputs'!$C$31,'APA Inputs'!$H$31-1),N('APA Inputs'!$G$31),0),0))*IF('APA Inputs'!$I$31="",1,'APA Inputs'!$I$31))</f>
        <v>0</v>
      </c>
      <c r="F16" s="425" t="n">
        <f aca="false">IF('APA Inputs'!$C$31="",0,(IF(AND(F$4&gt;='APA Inputs'!$C$31,F$4&lt;EDATE('APA Inputs'!$C$31,N('APA Inputs'!$D$31))),'APA Inputs'!$J$31,0)+IF(N('APA Inputs'!$H$31)&gt;0,IF(F$4=EDATE('APA Inputs'!$C$31,'APA Inputs'!$H$31-1),N('APA Inputs'!$G$31),0),0))*IF('APA Inputs'!$I$31="",1,'APA Inputs'!$I$31))</f>
        <v>0</v>
      </c>
      <c r="G16" s="425" t="n">
        <f aca="false">IF('APA Inputs'!$C$31="",0,(IF(AND(G$4&gt;='APA Inputs'!$C$31,G$4&lt;EDATE('APA Inputs'!$C$31,N('APA Inputs'!$D$31))),'APA Inputs'!$J$31,0)+IF(N('APA Inputs'!$H$31)&gt;0,IF(G$4=EDATE('APA Inputs'!$C$31,'APA Inputs'!$H$31-1),N('APA Inputs'!$G$31),0),0))*IF('APA Inputs'!$I$31="",1,'APA Inputs'!$I$31))</f>
        <v>0</v>
      </c>
      <c r="H16" s="425" t="n">
        <f aca="false">IF('APA Inputs'!$C$31="",0,(IF(AND(H$4&gt;='APA Inputs'!$C$31,H$4&lt;EDATE('APA Inputs'!$C$31,N('APA Inputs'!$D$31))),'APA Inputs'!$J$31,0)+IF(N('APA Inputs'!$H$31)&gt;0,IF(H$4=EDATE('APA Inputs'!$C$31,'APA Inputs'!$H$31-1),N('APA Inputs'!$G$31),0),0))*IF('APA Inputs'!$I$31="",1,'APA Inputs'!$I$31))</f>
        <v>0</v>
      </c>
      <c r="I16" s="425" t="n">
        <f aca="false">IF('APA Inputs'!$C$31="",0,(IF(AND(I$4&gt;='APA Inputs'!$C$31,I$4&lt;EDATE('APA Inputs'!$C$31,N('APA Inputs'!$D$31))),'APA Inputs'!$J$31,0)+IF(N('APA Inputs'!$H$31)&gt;0,IF(I$4=EDATE('APA Inputs'!$C$31,'APA Inputs'!$H$31-1),N('APA Inputs'!$G$31),0),0))*IF('APA Inputs'!$I$31="",1,'APA Inputs'!$I$31))</f>
        <v>0</v>
      </c>
      <c r="J16" s="425" t="n">
        <f aca="false">IF('APA Inputs'!$C$31="",0,(IF(AND(J$4&gt;='APA Inputs'!$C$31,J$4&lt;EDATE('APA Inputs'!$C$31,N('APA Inputs'!$D$31))),'APA Inputs'!$J$31,0)+IF(N('APA Inputs'!$H$31)&gt;0,IF(J$4=EDATE('APA Inputs'!$C$31,'APA Inputs'!$H$31-1),N('APA Inputs'!$G$31),0),0))*IF('APA Inputs'!$I$31="",1,'APA Inputs'!$I$31))</f>
        <v>0</v>
      </c>
      <c r="K16" s="425" t="n">
        <f aca="false">IF('APA Inputs'!$C$31="",0,(IF(AND(K$4&gt;='APA Inputs'!$C$31,K$4&lt;EDATE('APA Inputs'!$C$31,N('APA Inputs'!$D$31))),'APA Inputs'!$J$31,0)+IF(N('APA Inputs'!$H$31)&gt;0,IF(K$4=EDATE('APA Inputs'!$C$31,'APA Inputs'!$H$31-1),N('APA Inputs'!$G$31),0),0))*IF('APA Inputs'!$I$31="",1,'APA Inputs'!$I$31))</f>
        <v>0</v>
      </c>
      <c r="L16" s="425" t="n">
        <f aca="false">IF('APA Inputs'!$C$31="",0,(IF(AND(L$4&gt;='APA Inputs'!$C$31,L$4&lt;EDATE('APA Inputs'!$C$31,N('APA Inputs'!$D$31))),'APA Inputs'!$J$31,0)+IF(N('APA Inputs'!$H$31)&gt;0,IF(L$4=EDATE('APA Inputs'!$C$31,'APA Inputs'!$H$31-1),N('APA Inputs'!$G$31),0),0))*IF('APA Inputs'!$I$31="",1,'APA Inputs'!$I$31))</f>
        <v>0</v>
      </c>
      <c r="M16" s="425" t="n">
        <f aca="false">IF('APA Inputs'!$C$31="",0,(IF(AND(M$4&gt;='APA Inputs'!$C$31,M$4&lt;EDATE('APA Inputs'!$C$31,N('APA Inputs'!$D$31))),'APA Inputs'!$J$31,0)+IF(N('APA Inputs'!$H$31)&gt;0,IF(M$4=EDATE('APA Inputs'!$C$31,'APA Inputs'!$H$31-1),N('APA Inputs'!$G$31),0),0))*IF('APA Inputs'!$I$31="",1,'APA Inputs'!$I$31))</f>
        <v>0</v>
      </c>
      <c r="N16" s="425" t="n">
        <f aca="false">IF('APA Inputs'!$C$31="",0,(IF(AND(N$4&gt;='APA Inputs'!$C$31,N$4&lt;EDATE('APA Inputs'!$C$31,N('APA Inputs'!$D$31))),'APA Inputs'!$J$31,0)+IF(N('APA Inputs'!$H$31)&gt;0,IF(N$4=EDATE('APA Inputs'!$C$31,'APA Inputs'!$H$31-1),N('APA Inputs'!$G$31),0),0))*IF('APA Inputs'!$I$31="",1,'APA Inputs'!$I$31))</f>
        <v>0</v>
      </c>
      <c r="O16" s="425" t="n">
        <f aca="false">IF('APA Inputs'!$C$31="",0,(IF(AND(O$4&gt;='APA Inputs'!$C$31,O$4&lt;EDATE('APA Inputs'!$C$31,N('APA Inputs'!$D$31))),'APA Inputs'!$J$31,0)+IF(N('APA Inputs'!$H$31)&gt;0,IF(O$4=EDATE('APA Inputs'!$C$31,'APA Inputs'!$H$31-1),N('APA Inputs'!$G$31),0),0))*IF('APA Inputs'!$I$31="",1,'APA Inputs'!$I$31))</f>
        <v>0</v>
      </c>
      <c r="P16" s="425" t="n">
        <f aca="false">IF('APA Inputs'!$C$31="",0,(IF(AND(P$4&gt;='APA Inputs'!$C$31,P$4&lt;EDATE('APA Inputs'!$C$31,N('APA Inputs'!$D$31))),'APA Inputs'!$J$31,0)+IF(N('APA Inputs'!$H$31)&gt;0,IF(P$4=EDATE('APA Inputs'!$C$31,'APA Inputs'!$H$31-1),N('APA Inputs'!$G$31),0),0))*IF('APA Inputs'!$I$31="",1,'APA Inputs'!$I$31))</f>
        <v>0</v>
      </c>
      <c r="Q16" s="425" t="n">
        <f aca="false">IF('APA Inputs'!$C$31="",0,(IF(AND(Q$4&gt;='APA Inputs'!$C$31,Q$4&lt;EDATE('APA Inputs'!$C$31,N('APA Inputs'!$D$31))),'APA Inputs'!$J$31,0)+IF(N('APA Inputs'!$H$31)&gt;0,IF(Q$4=EDATE('APA Inputs'!$C$31,'APA Inputs'!$H$31-1),N('APA Inputs'!$G$31),0),0))*IF('APA Inputs'!$I$31="",1,'APA Inputs'!$I$31))</f>
        <v>0</v>
      </c>
      <c r="R16" s="425" t="n">
        <f aca="false">IF('APA Inputs'!$C$31="",0,(IF(AND(R$4&gt;='APA Inputs'!$C$31,R$4&lt;EDATE('APA Inputs'!$C$31,N('APA Inputs'!$D$31))),'APA Inputs'!$J$31,0)+IF(N('APA Inputs'!$H$31)&gt;0,IF(R$4=EDATE('APA Inputs'!$C$31,'APA Inputs'!$H$31-1),N('APA Inputs'!$G$31),0),0))*IF('APA Inputs'!$I$31="",1,'APA Inputs'!$I$31))</f>
        <v>0</v>
      </c>
      <c r="S16" s="425" t="n">
        <f aca="false">IF('APA Inputs'!$C$31="",0,(IF(AND(S$4&gt;='APA Inputs'!$C$31,S$4&lt;EDATE('APA Inputs'!$C$31,N('APA Inputs'!$D$31))),'APA Inputs'!$J$31,0)+IF(N('APA Inputs'!$H$31)&gt;0,IF(S$4=EDATE('APA Inputs'!$C$31,'APA Inputs'!$H$31-1),N('APA Inputs'!$G$31),0),0))*IF('APA Inputs'!$I$31="",1,'APA Inputs'!$I$31))</f>
        <v>0</v>
      </c>
      <c r="T16" s="425" t="n">
        <f aca="false">IF('APA Inputs'!$C$31="",0,(IF(AND(T$4&gt;='APA Inputs'!$C$31,T$4&lt;EDATE('APA Inputs'!$C$31,N('APA Inputs'!$D$31))),'APA Inputs'!$J$31,0)+IF(N('APA Inputs'!$H$31)&gt;0,IF(T$4=EDATE('APA Inputs'!$C$31,'APA Inputs'!$H$31-1),N('APA Inputs'!$G$31),0),0))*IF('APA Inputs'!$I$31="",1,'APA Inputs'!$I$31))</f>
        <v>0</v>
      </c>
      <c r="U16" s="425" t="n">
        <f aca="false">IF('APA Inputs'!$C$31="",0,(IF(AND(U$4&gt;='APA Inputs'!$C$31,U$4&lt;EDATE('APA Inputs'!$C$31,N('APA Inputs'!$D$31))),'APA Inputs'!$J$31,0)+IF(N('APA Inputs'!$H$31)&gt;0,IF(U$4=EDATE('APA Inputs'!$C$31,'APA Inputs'!$H$31-1),N('APA Inputs'!$G$31),0),0))*IF('APA Inputs'!$I$31="",1,'APA Inputs'!$I$31))</f>
        <v>0</v>
      </c>
      <c r="V16" s="425" t="n">
        <f aca="false">IF('APA Inputs'!$C$31="",0,(IF(AND(V$4&gt;='APA Inputs'!$C$31,V$4&lt;EDATE('APA Inputs'!$C$31,N('APA Inputs'!$D$31))),'APA Inputs'!$J$31,0)+IF(N('APA Inputs'!$H$31)&gt;0,IF(V$4=EDATE('APA Inputs'!$C$31,'APA Inputs'!$H$31-1),N('APA Inputs'!$G$31),0),0))*IF('APA Inputs'!$I$31="",1,'APA Inputs'!$I$31))</f>
        <v>0</v>
      </c>
      <c r="W16" s="425" t="n">
        <f aca="false">IF('APA Inputs'!$C$31="",0,(IF(AND(W$4&gt;='APA Inputs'!$C$31,W$4&lt;EDATE('APA Inputs'!$C$31,N('APA Inputs'!$D$31))),'APA Inputs'!$J$31,0)+IF(N('APA Inputs'!$H$31)&gt;0,IF(W$4=EDATE('APA Inputs'!$C$31,'APA Inputs'!$H$31-1),N('APA Inputs'!$G$31),0),0))*IF('APA Inputs'!$I$31="",1,'APA Inputs'!$I$31))</f>
        <v>0</v>
      </c>
      <c r="X16" s="425" t="n">
        <f aca="false">IF('APA Inputs'!$C$31="",0,(IF(AND(X$4&gt;='APA Inputs'!$C$31,X$4&lt;EDATE('APA Inputs'!$C$31,N('APA Inputs'!$D$31))),'APA Inputs'!$J$31,0)+IF(N('APA Inputs'!$H$31)&gt;0,IF(X$4=EDATE('APA Inputs'!$C$31,'APA Inputs'!$H$31-1),N('APA Inputs'!$G$31),0),0))*IF('APA Inputs'!$I$31="",1,'APA Inputs'!$I$31))</f>
        <v>0</v>
      </c>
      <c r="Y16" s="425" t="n">
        <f aca="false">IF('APA Inputs'!$C$31="",0,(IF(AND(Y$4&gt;='APA Inputs'!$C$31,Y$4&lt;EDATE('APA Inputs'!$C$31,N('APA Inputs'!$D$31))),'APA Inputs'!$J$31,0)+IF(N('APA Inputs'!$H$31)&gt;0,IF(Y$4=EDATE('APA Inputs'!$C$31,'APA Inputs'!$H$31-1),N('APA Inputs'!$G$31),0),0))*IF('APA Inputs'!$I$31="",1,'APA Inputs'!$I$31))</f>
        <v>0</v>
      </c>
      <c r="Z16" s="425" t="n">
        <f aca="false">IF('APA Inputs'!$C$31="",0,(IF(AND(Z$4&gt;='APA Inputs'!$C$31,Z$4&lt;EDATE('APA Inputs'!$C$31,N('APA Inputs'!$D$31))),'APA Inputs'!$J$31,0)+IF(N('APA Inputs'!$H$31)&gt;0,IF(Z$4=EDATE('APA Inputs'!$C$31,'APA Inputs'!$H$31-1),N('APA Inputs'!$G$31),0),0))*IF('APA Inputs'!$I$31="",1,'APA Inputs'!$I$31))</f>
        <v>0</v>
      </c>
      <c r="AA16" s="425" t="n">
        <f aca="false">IF('APA Inputs'!$C$31="",0,(IF(AND(AA$4&gt;='APA Inputs'!$C$31,AA$4&lt;EDATE('APA Inputs'!$C$31,N('APA Inputs'!$D$31))),'APA Inputs'!$J$31,0)+IF(N('APA Inputs'!$H$31)&gt;0,IF(AA$4=EDATE('APA Inputs'!$C$31,'APA Inputs'!$H$31-1),N('APA Inputs'!$G$31),0),0))*IF('APA Inputs'!$I$31="",1,'APA Inputs'!$I$31))</f>
        <v>0</v>
      </c>
      <c r="AB16" s="425" t="n">
        <f aca="false">IF('APA Inputs'!$C$31="",0,(IF(AND(AB$4&gt;='APA Inputs'!$C$31,AB$4&lt;EDATE('APA Inputs'!$C$31,N('APA Inputs'!$D$31))),'APA Inputs'!$J$31,0)+IF(N('APA Inputs'!$H$31)&gt;0,IF(AB$4=EDATE('APA Inputs'!$C$31,'APA Inputs'!$H$31-1),N('APA Inputs'!$G$31),0),0))*IF('APA Inputs'!$I$31="",1,'APA Inputs'!$I$31))</f>
        <v>0</v>
      </c>
      <c r="AC16" s="425" t="n">
        <f aca="false">IF('APA Inputs'!$C$31="",0,(IF(AND(AC$4&gt;='APA Inputs'!$C$31,AC$4&lt;EDATE('APA Inputs'!$C$31,N('APA Inputs'!$D$31))),'APA Inputs'!$J$31,0)+IF(N('APA Inputs'!$H$31)&gt;0,IF(AC$4=EDATE('APA Inputs'!$C$31,'APA Inputs'!$H$31-1),N('APA Inputs'!$G$31),0),0))*IF('APA Inputs'!$I$31="",1,'APA Inputs'!$I$31))</f>
        <v>0</v>
      </c>
      <c r="AD16" s="425" t="n">
        <f aca="false">IF('APA Inputs'!$C$31="",0,(IF(AND(AD$4&gt;='APA Inputs'!$C$31,AD$4&lt;EDATE('APA Inputs'!$C$31,N('APA Inputs'!$D$31))),'APA Inputs'!$J$31,0)+IF(N('APA Inputs'!$H$31)&gt;0,IF(AD$4=EDATE('APA Inputs'!$C$31,'APA Inputs'!$H$31-1),N('APA Inputs'!$G$31),0),0))*IF('APA Inputs'!$I$31="",1,'APA Inputs'!$I$31))</f>
        <v>0</v>
      </c>
      <c r="AE16" s="425" t="n">
        <f aca="false">IF('APA Inputs'!$C$31="",0,(IF(AND(AE$4&gt;='APA Inputs'!$C$31,AE$4&lt;EDATE('APA Inputs'!$C$31,N('APA Inputs'!$D$31))),'APA Inputs'!$J$31,0)+IF(N('APA Inputs'!$H$31)&gt;0,IF(AE$4=EDATE('APA Inputs'!$C$31,'APA Inputs'!$H$31-1),N('APA Inputs'!$G$31),0),0))*IF('APA Inputs'!$I$31="",1,'APA Inputs'!$I$31))</f>
        <v>0</v>
      </c>
      <c r="AF16" s="425" t="n">
        <f aca="false">IF('APA Inputs'!$C$31="",0,(IF(AND(AF$4&gt;='APA Inputs'!$C$31,AF$4&lt;EDATE('APA Inputs'!$C$31,N('APA Inputs'!$D$31))),'APA Inputs'!$J$31,0)+IF(N('APA Inputs'!$H$31)&gt;0,IF(AF$4=EDATE('APA Inputs'!$C$31,'APA Inputs'!$H$31-1),N('APA Inputs'!$G$31),0),0))*IF('APA Inputs'!$I$31="",1,'APA Inputs'!$I$31))</f>
        <v>0</v>
      </c>
      <c r="AG16" s="425" t="n">
        <f aca="false">IF('APA Inputs'!$C$31="",0,(IF(AND(AG$4&gt;='APA Inputs'!$C$31,AG$4&lt;EDATE('APA Inputs'!$C$31,N('APA Inputs'!$D$31))),'APA Inputs'!$J$31,0)+IF(N('APA Inputs'!$H$31)&gt;0,IF(AG$4=EDATE('APA Inputs'!$C$31,'APA Inputs'!$H$31-1),N('APA Inputs'!$G$31),0),0))*IF('APA Inputs'!$I$31="",1,'APA Inputs'!$I$31))</f>
        <v>0</v>
      </c>
      <c r="AH16" s="425" t="n">
        <f aca="false">IF('APA Inputs'!$C$31="",0,(IF(AND(AH$4&gt;='APA Inputs'!$C$31,AH$4&lt;EDATE('APA Inputs'!$C$31,N('APA Inputs'!$D$31))),'APA Inputs'!$J$31,0)+IF(N('APA Inputs'!$H$31)&gt;0,IF(AH$4=EDATE('APA Inputs'!$C$31,'APA Inputs'!$H$31-1),N('APA Inputs'!$G$31),0),0))*IF('APA Inputs'!$I$31="",1,'APA Inputs'!$I$31))</f>
        <v>0</v>
      </c>
      <c r="AI16" s="425" t="n">
        <f aca="false">IF('APA Inputs'!$C$31="",0,(IF(AND(AI$4&gt;='APA Inputs'!$C$31,AI$4&lt;EDATE('APA Inputs'!$C$31,N('APA Inputs'!$D$31))),'APA Inputs'!$J$31,0)+IF(N('APA Inputs'!$H$31)&gt;0,IF(AI$4=EDATE('APA Inputs'!$C$31,'APA Inputs'!$H$31-1),N('APA Inputs'!$G$31),0),0))*IF('APA Inputs'!$I$31="",1,'APA Inputs'!$I$31))</f>
        <v>0</v>
      </c>
      <c r="AJ16" s="425" t="n">
        <f aca="false">IF('APA Inputs'!$C$31="",0,(IF(AND(AJ$4&gt;='APA Inputs'!$C$31,AJ$4&lt;EDATE('APA Inputs'!$C$31,N('APA Inputs'!$D$31))),'APA Inputs'!$J$31,0)+IF(N('APA Inputs'!$H$31)&gt;0,IF(AJ$4=EDATE('APA Inputs'!$C$31,'APA Inputs'!$H$31-1),N('APA Inputs'!$G$31),0),0))*IF('APA Inputs'!$I$31="",1,'APA Inputs'!$I$31))</f>
        <v>0</v>
      </c>
      <c r="AK16" s="425" t="n">
        <f aca="false">IF('APA Inputs'!$C$31="",0,(IF(AND(AK$4&gt;='APA Inputs'!$C$31,AK$4&lt;EDATE('APA Inputs'!$C$31,N('APA Inputs'!$D$31))),'APA Inputs'!$J$31,0)+IF(N('APA Inputs'!$H$31)&gt;0,IF(AK$4=EDATE('APA Inputs'!$C$31,'APA Inputs'!$H$31-1),N('APA Inputs'!$G$31),0),0))*IF('APA Inputs'!$I$31="",1,'APA Inputs'!$I$31))</f>
        <v>0</v>
      </c>
      <c r="AL16" s="425" t="n">
        <f aca="false">IF('APA Inputs'!$C$31="",0,(IF(AND(AL$4&gt;='APA Inputs'!$C$31,AL$4&lt;EDATE('APA Inputs'!$C$31,N('APA Inputs'!$D$31))),'APA Inputs'!$J$31,0)+IF(N('APA Inputs'!$H$31)&gt;0,IF(AL$4=EDATE('APA Inputs'!$C$31,'APA Inputs'!$H$31-1),N('APA Inputs'!$G$31),0),0))*IF('APA Inputs'!$I$31="",1,'APA Inputs'!$I$31))</f>
        <v>0</v>
      </c>
      <c r="AM16" s="425" t="n">
        <f aca="false">IF('APA Inputs'!$C$31="",0,(IF(AND(AM$4&gt;='APA Inputs'!$C$31,AM$4&lt;EDATE('APA Inputs'!$C$31,N('APA Inputs'!$D$31))),'APA Inputs'!$J$31,0)+IF(N('APA Inputs'!$H$31)&gt;0,IF(AM$4=EDATE('APA Inputs'!$C$31,'APA Inputs'!$H$31-1),N('APA Inputs'!$G$31),0),0))*IF('APA Inputs'!$I$31="",1,'APA Inputs'!$I$31))</f>
        <v>0</v>
      </c>
      <c r="AN16" s="425" t="n">
        <f aca="false">IF('APA Inputs'!$C$31="",0,(IF(AND(AN$4&gt;='APA Inputs'!$C$31,AN$4&lt;EDATE('APA Inputs'!$C$31,N('APA Inputs'!$D$31))),'APA Inputs'!$J$31,0)+IF(N('APA Inputs'!$H$31)&gt;0,IF(AN$4=EDATE('APA Inputs'!$C$31,'APA Inputs'!$H$31-1),N('APA Inputs'!$G$31),0),0))*IF('APA Inputs'!$I$31="",1,'APA Inputs'!$I$31))</f>
        <v>0</v>
      </c>
      <c r="AO16" s="425" t="n">
        <f aca="false">IF('APA Inputs'!$C$31="",0,(IF(AND(AO$4&gt;='APA Inputs'!$C$31,AO$4&lt;EDATE('APA Inputs'!$C$31,N('APA Inputs'!$D$31))),'APA Inputs'!$J$31,0)+IF(N('APA Inputs'!$H$31)&gt;0,IF(AO$4=EDATE('APA Inputs'!$C$31,'APA Inputs'!$H$31-1),N('APA Inputs'!$G$31),0),0))*IF('APA Inputs'!$I$31="",1,'APA Inputs'!$I$31))</f>
        <v>0</v>
      </c>
      <c r="AP16" s="425" t="n">
        <f aca="false">IF('APA Inputs'!$C$31="",0,(IF(AND(AP$4&gt;='APA Inputs'!$C$31,AP$4&lt;EDATE('APA Inputs'!$C$31,N('APA Inputs'!$D$31))),'APA Inputs'!$J$31,0)+IF(N('APA Inputs'!$H$31)&gt;0,IF(AP$4=EDATE('APA Inputs'!$C$31,'APA Inputs'!$H$31-1),N('APA Inputs'!$G$31),0),0))*IF('APA Inputs'!$I$31="",1,'APA Inputs'!$I$31))</f>
        <v>0</v>
      </c>
      <c r="AQ16" s="425" t="n">
        <f aca="false">IF('APA Inputs'!$C$31="",0,(IF(AND(AQ$4&gt;='APA Inputs'!$C$31,AQ$4&lt;EDATE('APA Inputs'!$C$31,N('APA Inputs'!$D$31))),'APA Inputs'!$J$31,0)+IF(N('APA Inputs'!$H$31)&gt;0,IF(AQ$4=EDATE('APA Inputs'!$C$31,'APA Inputs'!$H$31-1),N('APA Inputs'!$G$31),0),0))*IF('APA Inputs'!$I$31="",1,'APA Inputs'!$I$31))</f>
        <v>0</v>
      </c>
      <c r="AR16" s="425" t="n">
        <f aca="false">IF('APA Inputs'!$C$31="",0,(IF(AND(AR$4&gt;='APA Inputs'!$C$31,AR$4&lt;EDATE('APA Inputs'!$C$31,N('APA Inputs'!$D$31))),'APA Inputs'!$J$31,0)+IF(N('APA Inputs'!$H$31)&gt;0,IF(AR$4=EDATE('APA Inputs'!$C$31,'APA Inputs'!$H$31-1),N('APA Inputs'!$G$31),0),0))*IF('APA Inputs'!$I$31="",1,'APA Inputs'!$I$31))</f>
        <v>0</v>
      </c>
      <c r="AS16" s="425" t="n">
        <f aca="false">IF('APA Inputs'!$C$31="",0,(IF(AND(AS$4&gt;='APA Inputs'!$C$31,AS$4&lt;EDATE('APA Inputs'!$C$31,N('APA Inputs'!$D$31))),'APA Inputs'!$J$31,0)+IF(N('APA Inputs'!$H$31)&gt;0,IF(AS$4=EDATE('APA Inputs'!$C$31,'APA Inputs'!$H$31-1),N('APA Inputs'!$G$31),0),0))*IF('APA Inputs'!$I$31="",1,'APA Inputs'!$I$31))</f>
        <v>0</v>
      </c>
      <c r="AT16" s="425" t="n">
        <f aca="false">IF('APA Inputs'!$C$31="",0,(IF(AND(AT$4&gt;='APA Inputs'!$C$31,AT$4&lt;EDATE('APA Inputs'!$C$31,N('APA Inputs'!$D$31))),'APA Inputs'!$J$31,0)+IF(N('APA Inputs'!$H$31)&gt;0,IF(AT$4=EDATE('APA Inputs'!$C$31,'APA Inputs'!$H$31-1),N('APA Inputs'!$G$31),0),0))*IF('APA Inputs'!$I$31="",1,'APA Inputs'!$I$31))</f>
        <v>0</v>
      </c>
      <c r="AU16" s="425" t="n">
        <f aca="false">IF('APA Inputs'!$C$31="",0,(IF(AND(AU$4&gt;='APA Inputs'!$C$31,AU$4&lt;EDATE('APA Inputs'!$C$31,N('APA Inputs'!$D$31))),'APA Inputs'!$J$31,0)+IF(N('APA Inputs'!$H$31)&gt;0,IF(AU$4=EDATE('APA Inputs'!$C$31,'APA Inputs'!$H$31-1),N('APA Inputs'!$G$31),0),0))*IF('APA Inputs'!$I$31="",1,'APA Inputs'!$I$31))</f>
        <v>0</v>
      </c>
      <c r="AV16" s="425" t="n">
        <f aca="false">IF('APA Inputs'!$C$31="",0,(IF(AND(AV$4&gt;='APA Inputs'!$C$31,AV$4&lt;EDATE('APA Inputs'!$C$31,N('APA Inputs'!$D$31))),'APA Inputs'!$J$31,0)+IF(N('APA Inputs'!$H$31)&gt;0,IF(AV$4=EDATE('APA Inputs'!$C$31,'APA Inputs'!$H$31-1),N('APA Inputs'!$G$31),0),0))*IF('APA Inputs'!$I$31="",1,'APA Inputs'!$I$31))</f>
        <v>0</v>
      </c>
      <c r="AW16" s="425" t="n">
        <f aca="false">IF('APA Inputs'!$C$31="",0,(IF(AND(AW$4&gt;='APA Inputs'!$C$31,AW$4&lt;EDATE('APA Inputs'!$C$31,N('APA Inputs'!$D$31))),'APA Inputs'!$J$31,0)+IF(N('APA Inputs'!$H$31)&gt;0,IF(AW$4=EDATE('APA Inputs'!$C$31,'APA Inputs'!$H$31-1),N('APA Inputs'!$G$31),0),0))*IF('APA Inputs'!$I$31="",1,'APA Inputs'!$I$31))</f>
        <v>0</v>
      </c>
      <c r="AX16" s="425" t="n">
        <f aca="false">IF('APA Inputs'!$C$31="",0,(IF(AND(AX$4&gt;='APA Inputs'!$C$31,AX$4&lt;EDATE('APA Inputs'!$C$31,N('APA Inputs'!$D$31))),'APA Inputs'!$J$31,0)+IF(N('APA Inputs'!$H$31)&gt;0,IF(AX$4=EDATE('APA Inputs'!$C$31,'APA Inputs'!$H$31-1),N('APA Inputs'!$G$31),0),0))*IF('APA Inputs'!$I$31="",1,'APA Inputs'!$I$31))</f>
        <v>0</v>
      </c>
      <c r="AY16" s="425" t="n">
        <f aca="false">IF('APA Inputs'!$C$31="",0,(IF(AND(AY$4&gt;='APA Inputs'!$C$31,AY$4&lt;EDATE('APA Inputs'!$C$31,N('APA Inputs'!$D$31))),'APA Inputs'!$J$31,0)+IF(N('APA Inputs'!$H$31)&gt;0,IF(AY$4=EDATE('APA Inputs'!$C$31,'APA Inputs'!$H$31-1),N('APA Inputs'!$G$31),0),0))*IF('APA Inputs'!$I$31="",1,'APA Inputs'!$I$31))</f>
        <v>0</v>
      </c>
      <c r="AZ16" s="425" t="n">
        <f aca="false">IF('APA Inputs'!$C$31="",0,(IF(AND(AZ$4&gt;='APA Inputs'!$C$31,AZ$4&lt;EDATE('APA Inputs'!$C$31,N('APA Inputs'!$D$31))),'APA Inputs'!$J$31,0)+IF(N('APA Inputs'!$H$31)&gt;0,IF(AZ$4=EDATE('APA Inputs'!$C$31,'APA Inputs'!$H$31-1),N('APA Inputs'!$G$31),0),0))*IF('APA Inputs'!$I$31="",1,'APA Inputs'!$I$31))</f>
        <v>0</v>
      </c>
      <c r="BA16" s="425" t="n">
        <f aca="false">IF('APA Inputs'!$C$31="",0,(IF(AND(BA$4&gt;='APA Inputs'!$C$31,BA$4&lt;EDATE('APA Inputs'!$C$31,N('APA Inputs'!$D$31))),'APA Inputs'!$J$31,0)+IF(N('APA Inputs'!$H$31)&gt;0,IF(BA$4=EDATE('APA Inputs'!$C$31,'APA Inputs'!$H$31-1),N('APA Inputs'!$G$31),0),0))*IF('APA Inputs'!$I$31="",1,'APA Inputs'!$I$31))</f>
        <v>0</v>
      </c>
      <c r="BB16" s="425" t="n">
        <f aca="false">IF('APA Inputs'!$C$31="",0,(IF(AND(BB$4&gt;='APA Inputs'!$C$31,BB$4&lt;EDATE('APA Inputs'!$C$31,N('APA Inputs'!$D$31))),'APA Inputs'!$J$31,0)+IF(N('APA Inputs'!$H$31)&gt;0,IF(BB$4=EDATE('APA Inputs'!$C$31,'APA Inputs'!$H$31-1),N('APA Inputs'!$G$31),0),0))*IF('APA Inputs'!$I$31="",1,'APA Inputs'!$I$31))</f>
        <v>0</v>
      </c>
      <c r="BC16" s="425" t="n">
        <f aca="false">IF('APA Inputs'!$C$31="",0,(IF(AND(BC$4&gt;='APA Inputs'!$C$31,BC$4&lt;EDATE('APA Inputs'!$C$31,N('APA Inputs'!$D$31))),'APA Inputs'!$J$31,0)+IF(N('APA Inputs'!$H$31)&gt;0,IF(BC$4=EDATE('APA Inputs'!$C$31,'APA Inputs'!$H$31-1),N('APA Inputs'!$G$31),0),0))*IF('APA Inputs'!$I$31="",1,'APA Inputs'!$I$31))</f>
        <v>0</v>
      </c>
      <c r="BD16" s="425" t="n">
        <f aca="false">IF('APA Inputs'!$C$31="",0,(IF(AND(BD$4&gt;='APA Inputs'!$C$31,BD$4&lt;EDATE('APA Inputs'!$C$31,N('APA Inputs'!$D$31))),'APA Inputs'!$J$31,0)+IF(N('APA Inputs'!$H$31)&gt;0,IF(BD$4=EDATE('APA Inputs'!$C$31,'APA Inputs'!$H$31-1),N('APA Inputs'!$G$31),0),0))*IF('APA Inputs'!$I$31="",1,'APA Inputs'!$I$31))</f>
        <v>0</v>
      </c>
      <c r="BE16" s="425" t="n">
        <f aca="false">IF('APA Inputs'!$C$31="",0,(IF(AND(BE$4&gt;='APA Inputs'!$C$31,BE$4&lt;EDATE('APA Inputs'!$C$31,N('APA Inputs'!$D$31))),'APA Inputs'!$J$31,0)+IF(N('APA Inputs'!$H$31)&gt;0,IF(BE$4=EDATE('APA Inputs'!$C$31,'APA Inputs'!$H$31-1),N('APA Inputs'!$G$31),0),0))*IF('APA Inputs'!$I$31="",1,'APA Inputs'!$I$31))</f>
        <v>0</v>
      </c>
      <c r="BF16" s="425" t="n">
        <f aca="false">IF('APA Inputs'!$C$31="",0,(IF(AND(BF$4&gt;='APA Inputs'!$C$31,BF$4&lt;EDATE('APA Inputs'!$C$31,N('APA Inputs'!$D$31))),'APA Inputs'!$J$31,0)+IF(N('APA Inputs'!$H$31)&gt;0,IF(BF$4=EDATE('APA Inputs'!$C$31,'APA Inputs'!$H$31-1),N('APA Inputs'!$G$31),0),0))*IF('APA Inputs'!$I$31="",1,'APA Inputs'!$I$31))</f>
        <v>0</v>
      </c>
      <c r="BG16" s="425" t="n">
        <f aca="false">IF('APA Inputs'!$C$31="",0,(IF(AND(BG$4&gt;='APA Inputs'!$C$31,BG$4&lt;EDATE('APA Inputs'!$C$31,N('APA Inputs'!$D$31))),'APA Inputs'!$J$31,0)+IF(N('APA Inputs'!$H$31)&gt;0,IF(BG$4=EDATE('APA Inputs'!$C$31,'APA Inputs'!$H$31-1),N('APA Inputs'!$G$31),0),0))*IF('APA Inputs'!$I$31="",1,'APA Inputs'!$I$31))</f>
        <v>0</v>
      </c>
      <c r="BH16" s="425" t="n">
        <f aca="false">IF('APA Inputs'!$C$31="",0,(IF(AND(BH$4&gt;='APA Inputs'!$C$31,BH$4&lt;EDATE('APA Inputs'!$C$31,N('APA Inputs'!$D$31))),'APA Inputs'!$J$31,0)+IF(N('APA Inputs'!$H$31)&gt;0,IF(BH$4=EDATE('APA Inputs'!$C$31,'APA Inputs'!$H$31-1),N('APA Inputs'!$G$31),0),0))*IF('APA Inputs'!$I$31="",1,'APA Inputs'!$I$31))</f>
        <v>0</v>
      </c>
      <c r="BI16" s="425" t="n">
        <f aca="false">IF('APA Inputs'!$C$31="",0,(IF(AND(BI$4&gt;='APA Inputs'!$C$31,BI$4&lt;EDATE('APA Inputs'!$C$31,N('APA Inputs'!$D$31))),'APA Inputs'!$J$31,0)+IF(N('APA Inputs'!$H$31)&gt;0,IF(BI$4=EDATE('APA Inputs'!$C$31,'APA Inputs'!$H$31-1),N('APA Inputs'!$G$31),0),0))*IF('APA Inputs'!$I$31="",1,'APA Inputs'!$I$31))</f>
        <v>0</v>
      </c>
      <c r="BJ16" s="425" t="n">
        <f aca="false">IF('APA Inputs'!$C$31="",0,(IF(AND(BJ$4&gt;='APA Inputs'!$C$31,BJ$4&lt;EDATE('APA Inputs'!$C$31,N('APA Inputs'!$D$31))),'APA Inputs'!$J$31,0)+IF(N('APA Inputs'!$H$31)&gt;0,IF(BJ$4=EDATE('APA Inputs'!$C$31,'APA Inputs'!$H$31-1),N('APA Inputs'!$G$31),0),0))*IF('APA Inputs'!$I$31="",1,'APA Inputs'!$I$31))</f>
        <v>0</v>
      </c>
      <c r="BK16" s="425" t="n">
        <f aca="false">IF('APA Inputs'!$C$31="",0,(IF(AND(BK$4&gt;='APA Inputs'!$C$31,BK$4&lt;EDATE('APA Inputs'!$C$31,N('APA Inputs'!$D$31))),'APA Inputs'!$J$31,0)+IF(N('APA Inputs'!$H$31)&gt;0,IF(BK$4=EDATE('APA Inputs'!$C$31,'APA Inputs'!$H$31-1),N('APA Inputs'!$G$31),0),0))*IF('APA Inputs'!$I$31="",1,'APA Inputs'!$I$31))</f>
        <v>0</v>
      </c>
      <c r="BL16" s="425" t="n">
        <f aca="false">IF('APA Inputs'!$C$31="",0,(IF(AND(BL$4&gt;='APA Inputs'!$C$31,BL$4&lt;EDATE('APA Inputs'!$C$31,N('APA Inputs'!$D$31))),'APA Inputs'!$J$31,0)+IF(N('APA Inputs'!$H$31)&gt;0,IF(BL$4=EDATE('APA Inputs'!$C$31,'APA Inputs'!$H$31-1),N('APA Inputs'!$G$31),0),0))*IF('APA Inputs'!$I$31="",1,'APA Inputs'!$I$31))</f>
        <v>0</v>
      </c>
      <c r="BM16" s="425" t="n">
        <f aca="false">IF('APA Inputs'!$C$31="",0,(IF(AND(BM$4&gt;='APA Inputs'!$C$31,BM$4&lt;EDATE('APA Inputs'!$C$31,N('APA Inputs'!$D$31))),'APA Inputs'!$J$31,0)+IF(N('APA Inputs'!$H$31)&gt;0,IF(BM$4=EDATE('APA Inputs'!$C$31,'APA Inputs'!$H$31-1),N('APA Inputs'!$G$31),0),0))*IF('APA Inputs'!$I$31="",1,'APA Inputs'!$I$31))</f>
        <v>0</v>
      </c>
      <c r="BN16" s="425" t="n">
        <f aca="false">IF('APA Inputs'!$C$31="",0,(IF(AND(BN$4&gt;='APA Inputs'!$C$31,BN$4&lt;EDATE('APA Inputs'!$C$31,N('APA Inputs'!$D$31))),'APA Inputs'!$J$31,0)+IF(N('APA Inputs'!$H$31)&gt;0,IF(BN$4=EDATE('APA Inputs'!$C$31,'APA Inputs'!$H$31-1),N('APA Inputs'!$G$31),0),0))*IF('APA Inputs'!$I$31="",1,'APA Inputs'!$I$31))</f>
        <v>0</v>
      </c>
      <c r="BO16" s="425" t="n">
        <f aca="false">IF('APA Inputs'!$C$31="",0,(IF(AND(BO$4&gt;='APA Inputs'!$C$31,BO$4&lt;EDATE('APA Inputs'!$C$31,N('APA Inputs'!$D$31))),'APA Inputs'!$J$31,0)+IF(N('APA Inputs'!$H$31)&gt;0,IF(BO$4=EDATE('APA Inputs'!$C$31,'APA Inputs'!$H$31-1),N('APA Inputs'!$G$31),0),0))*IF('APA Inputs'!$I$31="",1,'APA Inputs'!$I$31))</f>
        <v>0</v>
      </c>
      <c r="BP16" s="425" t="n">
        <f aca="false">IF('APA Inputs'!$C$31="",0,(IF(AND(BP$4&gt;='APA Inputs'!$C$31,BP$4&lt;EDATE('APA Inputs'!$C$31,N('APA Inputs'!$D$31))),'APA Inputs'!$J$31,0)+IF(N('APA Inputs'!$H$31)&gt;0,IF(BP$4=EDATE('APA Inputs'!$C$31,'APA Inputs'!$H$31-1),N('APA Inputs'!$G$31),0),0))*IF('APA Inputs'!$I$31="",1,'APA Inputs'!$I$31))</f>
        <v>0</v>
      </c>
      <c r="BQ16" s="425" t="n">
        <f aca="false">IF('APA Inputs'!$C$31="",0,(IF(AND(BQ$4&gt;='APA Inputs'!$C$31,BQ$4&lt;EDATE('APA Inputs'!$C$31,N('APA Inputs'!$D$31))),'APA Inputs'!$J$31,0)+IF(N('APA Inputs'!$H$31)&gt;0,IF(BQ$4=EDATE('APA Inputs'!$C$31,'APA Inputs'!$H$31-1),N('APA Inputs'!$G$31),0),0))*IF('APA Inputs'!$I$31="",1,'APA Inputs'!$I$31))</f>
        <v>0</v>
      </c>
      <c r="BR16" s="425" t="n">
        <f aca="false">IF('APA Inputs'!$C$31="",0,(IF(AND(BR$4&gt;='APA Inputs'!$C$31,BR$4&lt;EDATE('APA Inputs'!$C$31,N('APA Inputs'!$D$31))),'APA Inputs'!$J$31,0)+IF(N('APA Inputs'!$H$31)&gt;0,IF(BR$4=EDATE('APA Inputs'!$C$31,'APA Inputs'!$H$31-1),N('APA Inputs'!$G$31),0),0))*IF('APA Inputs'!$I$31="",1,'APA Inputs'!$I$31))</f>
        <v>0</v>
      </c>
      <c r="BS16" s="425" t="n">
        <f aca="false">IF('APA Inputs'!$C$31="",0,(IF(AND(BS$4&gt;='APA Inputs'!$C$31,BS$4&lt;EDATE('APA Inputs'!$C$31,N('APA Inputs'!$D$31))),'APA Inputs'!$J$31,0)+IF(N('APA Inputs'!$H$31)&gt;0,IF(BS$4=EDATE('APA Inputs'!$C$31,'APA Inputs'!$H$31-1),N('APA Inputs'!$G$31),0),0))*IF('APA Inputs'!$I$31="",1,'APA Inputs'!$I$31))</f>
        <v>0</v>
      </c>
      <c r="BT16" s="425" t="n">
        <f aca="false">IF('APA Inputs'!$C$31="",0,(IF(AND(BT$4&gt;='APA Inputs'!$C$31,BT$4&lt;EDATE('APA Inputs'!$C$31,N('APA Inputs'!$D$31))),'APA Inputs'!$J$31,0)+IF(N('APA Inputs'!$H$31)&gt;0,IF(BT$4=EDATE('APA Inputs'!$C$31,'APA Inputs'!$H$31-1),N('APA Inputs'!$G$31),0),0))*IF('APA Inputs'!$I$31="",1,'APA Inputs'!$I$31))</f>
        <v>0</v>
      </c>
      <c r="BU16" s="425" t="n">
        <f aca="false">IF('APA Inputs'!$C$31="",0,(IF(AND(BU$4&gt;='APA Inputs'!$C$31,BU$4&lt;EDATE('APA Inputs'!$C$31,N('APA Inputs'!$D$31))),'APA Inputs'!$J$31,0)+IF(N('APA Inputs'!$H$31)&gt;0,IF(BU$4=EDATE('APA Inputs'!$C$31,'APA Inputs'!$H$31-1),N('APA Inputs'!$G$31),0),0))*IF('APA Inputs'!$I$31="",1,'APA Inputs'!$I$31))</f>
        <v>0</v>
      </c>
      <c r="BV16" s="425" t="n">
        <f aca="false">IF('APA Inputs'!$C$31="",0,(IF(AND(BV$4&gt;='APA Inputs'!$C$31,BV$4&lt;EDATE('APA Inputs'!$C$31,N('APA Inputs'!$D$31))),'APA Inputs'!$J$31,0)+IF(N('APA Inputs'!$H$31)&gt;0,IF(BV$4=EDATE('APA Inputs'!$C$31,'APA Inputs'!$H$31-1),N('APA Inputs'!$G$31),0),0))*IF('APA Inputs'!$I$31="",1,'APA Inputs'!$I$31))</f>
        <v>0</v>
      </c>
      <c r="BW16" s="425" t="n">
        <f aca="false">IF('APA Inputs'!$C$31="",0,(IF(AND(BW$4&gt;='APA Inputs'!$C$31,BW$4&lt;EDATE('APA Inputs'!$C$31,N('APA Inputs'!$D$31))),'APA Inputs'!$J$31,0)+IF(N('APA Inputs'!$H$31)&gt;0,IF(BW$4=EDATE('APA Inputs'!$C$31,'APA Inputs'!$H$31-1),N('APA Inputs'!$G$31),0),0))*IF('APA Inputs'!$I$31="",1,'APA Inputs'!$I$31))</f>
        <v>0</v>
      </c>
      <c r="BX16" s="425" t="n">
        <f aca="false">IF('APA Inputs'!$C$31="",0,(IF(AND(BX$4&gt;='APA Inputs'!$C$31,BX$4&lt;EDATE('APA Inputs'!$C$31,N('APA Inputs'!$D$31))),'APA Inputs'!$J$31,0)+IF(N('APA Inputs'!$H$31)&gt;0,IF(BX$4=EDATE('APA Inputs'!$C$31,'APA Inputs'!$H$31-1),N('APA Inputs'!$G$31),0),0))*IF('APA Inputs'!$I$31="",1,'APA Inputs'!$I$31))</f>
        <v>0</v>
      </c>
      <c r="BY16" s="425" t="n">
        <f aca="false">IF('APA Inputs'!$C$31="",0,(IF(AND(BY$4&gt;='APA Inputs'!$C$31,BY$4&lt;EDATE('APA Inputs'!$C$31,N('APA Inputs'!$D$31))),'APA Inputs'!$J$31,0)+IF(N('APA Inputs'!$H$31)&gt;0,IF(BY$4=EDATE('APA Inputs'!$C$31,'APA Inputs'!$H$31-1),N('APA Inputs'!$G$31),0),0))*IF('APA Inputs'!$I$31="",1,'APA Inputs'!$I$31))</f>
        <v>0</v>
      </c>
      <c r="BZ16" s="425" t="n">
        <f aca="false">IF('APA Inputs'!$C$31="",0,(IF(AND(BZ$4&gt;='APA Inputs'!$C$31,BZ$4&lt;EDATE('APA Inputs'!$C$31,N('APA Inputs'!$D$31))),'APA Inputs'!$J$31,0)+IF(N('APA Inputs'!$H$31)&gt;0,IF(BZ$4=EDATE('APA Inputs'!$C$31,'APA Inputs'!$H$31-1),N('APA Inputs'!$G$31),0),0))*IF('APA Inputs'!$I$31="",1,'APA Inputs'!$I$31))</f>
        <v>0</v>
      </c>
      <c r="CA16" s="425" t="n">
        <f aca="false">IF('APA Inputs'!$C$31="",0,(IF(AND(CA$4&gt;='APA Inputs'!$C$31,CA$4&lt;EDATE('APA Inputs'!$C$31,N('APA Inputs'!$D$31))),'APA Inputs'!$J$31,0)+IF(N('APA Inputs'!$H$31)&gt;0,IF(CA$4=EDATE('APA Inputs'!$C$31,'APA Inputs'!$H$31-1),N('APA Inputs'!$G$31),0),0))*IF('APA Inputs'!$I$31="",1,'APA Inputs'!$I$31))</f>
        <v>0</v>
      </c>
      <c r="CB16" s="425" t="n">
        <f aca="false">IF('APA Inputs'!$C$31="",0,(IF(AND(CB$4&gt;='APA Inputs'!$C$31,CB$4&lt;EDATE('APA Inputs'!$C$31,N('APA Inputs'!$D$31))),'APA Inputs'!$J$31,0)+IF(N('APA Inputs'!$H$31)&gt;0,IF(CB$4=EDATE('APA Inputs'!$C$31,'APA Inputs'!$H$31-1),N('APA Inputs'!$G$31),0),0))*IF('APA Inputs'!$I$31="",1,'APA Inputs'!$I$31))</f>
        <v>0</v>
      </c>
      <c r="CC16" s="425" t="n">
        <f aca="false">IF('APA Inputs'!$C$31="",0,(IF(AND(CC$4&gt;='APA Inputs'!$C$31,CC$4&lt;EDATE('APA Inputs'!$C$31,N('APA Inputs'!$D$31))),'APA Inputs'!$J$31,0)+IF(N('APA Inputs'!$H$31)&gt;0,IF(CC$4=EDATE('APA Inputs'!$C$31,'APA Inputs'!$H$31-1),N('APA Inputs'!$G$31),0),0))*IF('APA Inputs'!$I$31="",1,'APA Inputs'!$I$31))</f>
        <v>0</v>
      </c>
      <c r="CD16" s="425" t="n">
        <f aca="false">IF('APA Inputs'!$C$31="",0,(IF(AND(CD$4&gt;='APA Inputs'!$C$31,CD$4&lt;EDATE('APA Inputs'!$C$31,N('APA Inputs'!$D$31))),'APA Inputs'!$J$31,0)+IF(N('APA Inputs'!$H$31)&gt;0,IF(CD$4=EDATE('APA Inputs'!$C$31,'APA Inputs'!$H$31-1),N('APA Inputs'!$G$31),0),0))*IF('APA Inputs'!$I$31="",1,'APA Inputs'!$I$31))</f>
        <v>0</v>
      </c>
      <c r="CE16" s="425" t="n">
        <f aca="false">IF('APA Inputs'!$C$31="",0,(IF(AND(CE$4&gt;='APA Inputs'!$C$31,CE$4&lt;EDATE('APA Inputs'!$C$31,N('APA Inputs'!$D$31))),'APA Inputs'!$J$31,0)+IF(N('APA Inputs'!$H$31)&gt;0,IF(CE$4=EDATE('APA Inputs'!$C$31,'APA Inputs'!$H$31-1),N('APA Inputs'!$G$31),0),0))*IF('APA Inputs'!$I$31="",1,'APA Inputs'!$I$31))</f>
        <v>0</v>
      </c>
      <c r="CF16" s="425" t="n">
        <f aca="false">IF('APA Inputs'!$C$31="",0,(IF(AND(CF$4&gt;='APA Inputs'!$C$31,CF$4&lt;EDATE('APA Inputs'!$C$31,N('APA Inputs'!$D$31))),'APA Inputs'!$J$31,0)+IF(N('APA Inputs'!$H$31)&gt;0,IF(CF$4=EDATE('APA Inputs'!$C$31,'APA Inputs'!$H$31-1),N('APA Inputs'!$G$31),0),0))*IF('APA Inputs'!$I$31="",1,'APA Inputs'!$I$31))</f>
        <v>0</v>
      </c>
      <c r="CG16" s="425" t="n">
        <f aca="false">IF('APA Inputs'!$C$31="",0,(IF(AND(CG$4&gt;='APA Inputs'!$C$31,CG$4&lt;EDATE('APA Inputs'!$C$31,N('APA Inputs'!$D$31))),'APA Inputs'!$J$31,0)+IF(N('APA Inputs'!$H$31)&gt;0,IF(CG$4=EDATE('APA Inputs'!$C$31,'APA Inputs'!$H$31-1),N('APA Inputs'!$G$31),0),0))*IF('APA Inputs'!$I$31="",1,'APA Inputs'!$I$31))</f>
        <v>0</v>
      </c>
      <c r="CH16" s="425" t="n">
        <f aca="false">IF('APA Inputs'!$C$31="",0,(IF(AND(CH$4&gt;='APA Inputs'!$C$31,CH$4&lt;EDATE('APA Inputs'!$C$31,N('APA Inputs'!$D$31))),'APA Inputs'!$J$31,0)+IF(N('APA Inputs'!$H$31)&gt;0,IF(CH$4=EDATE('APA Inputs'!$C$31,'APA Inputs'!$H$31-1),N('APA Inputs'!$G$31),0),0))*IF('APA Inputs'!$I$31="",1,'APA Inputs'!$I$31))</f>
        <v>0</v>
      </c>
      <c r="CI16" s="425" t="n">
        <f aca="false">IF('APA Inputs'!$C$31="",0,(IF(AND(CI$4&gt;='APA Inputs'!$C$31,CI$4&lt;EDATE('APA Inputs'!$C$31,N('APA Inputs'!$D$31))),'APA Inputs'!$J$31,0)+IF(N('APA Inputs'!$H$31)&gt;0,IF(CI$4=EDATE('APA Inputs'!$C$31,'APA Inputs'!$H$31-1),N('APA Inputs'!$G$31),0),0))*IF('APA Inputs'!$I$31="",1,'APA Inputs'!$I$31))</f>
        <v>0</v>
      </c>
      <c r="CJ16" s="425" t="n">
        <f aca="false">IF('APA Inputs'!$C$31="",0,(IF(AND(CJ$4&gt;='APA Inputs'!$C$31,CJ$4&lt;EDATE('APA Inputs'!$C$31,N('APA Inputs'!$D$31))),'APA Inputs'!$J$31,0)+IF(N('APA Inputs'!$H$31)&gt;0,IF(CJ$4=EDATE('APA Inputs'!$C$31,'APA Inputs'!$H$31-1),N('APA Inputs'!$G$31),0),0))*IF('APA Inputs'!$I$31="",1,'APA Inputs'!$I$31))</f>
        <v>0</v>
      </c>
      <c r="CK16" s="425" t="n">
        <f aca="false">IF('APA Inputs'!$C$31="",0,(IF(AND(CK$4&gt;='APA Inputs'!$C$31,CK$4&lt;EDATE('APA Inputs'!$C$31,N('APA Inputs'!$D$31))),'APA Inputs'!$J$31,0)+IF(N('APA Inputs'!$H$31)&gt;0,IF(CK$4=EDATE('APA Inputs'!$C$31,'APA Inputs'!$H$31-1),N('APA Inputs'!$G$31),0),0))*IF('APA Inputs'!$I$31="",1,'APA Inputs'!$I$31))</f>
        <v>0</v>
      </c>
      <c r="CL16" s="425" t="n">
        <f aca="false">IF('APA Inputs'!$C$31="",0,(IF(AND(CL$4&gt;='APA Inputs'!$C$31,CL$4&lt;EDATE('APA Inputs'!$C$31,N('APA Inputs'!$D$31))),'APA Inputs'!$J$31,0)+IF(N('APA Inputs'!$H$31)&gt;0,IF(CL$4=EDATE('APA Inputs'!$C$31,'APA Inputs'!$H$31-1),N('APA Inputs'!$G$31),0),0))*IF('APA Inputs'!$I$31="",1,'APA Inputs'!$I$31))</f>
        <v>0</v>
      </c>
      <c r="CM16" s="425" t="n">
        <f aca="false">IF('APA Inputs'!$C$31="",0,(IF(AND(CM$4&gt;='APA Inputs'!$C$31,CM$4&lt;EDATE('APA Inputs'!$C$31,N('APA Inputs'!$D$31))),'APA Inputs'!$J$31,0)+IF(N('APA Inputs'!$H$31)&gt;0,IF(CM$4=EDATE('APA Inputs'!$C$31,'APA Inputs'!$H$31-1),N('APA Inputs'!$G$31),0),0))*IF('APA Inputs'!$I$31="",1,'APA Inputs'!$I$31))</f>
        <v>0</v>
      </c>
      <c r="CN16" s="425" t="n">
        <f aca="false">IF('APA Inputs'!$C$31="",0,(IF(AND(CN$4&gt;='APA Inputs'!$C$31,CN$4&lt;EDATE('APA Inputs'!$C$31,N('APA Inputs'!$D$31))),'APA Inputs'!$J$31,0)+IF(N('APA Inputs'!$H$31)&gt;0,IF(CN$4=EDATE('APA Inputs'!$C$31,'APA Inputs'!$H$31-1),N('APA Inputs'!$G$31),0),0))*IF('APA Inputs'!$I$31="",1,'APA Inputs'!$I$31))</f>
        <v>0</v>
      </c>
      <c r="CO16" s="425" t="n">
        <f aca="false">IF('APA Inputs'!$C$31="",0,(IF(AND(CO$4&gt;='APA Inputs'!$C$31,CO$4&lt;EDATE('APA Inputs'!$C$31,N('APA Inputs'!$D$31))),'APA Inputs'!$J$31,0)+IF(N('APA Inputs'!$H$31)&gt;0,IF(CO$4=EDATE('APA Inputs'!$C$31,'APA Inputs'!$H$31-1),N('APA Inputs'!$G$31),0),0))*IF('APA Inputs'!$I$31="",1,'APA Inputs'!$I$31))</f>
        <v>0</v>
      </c>
      <c r="CP16" s="425" t="n">
        <f aca="false">IF('APA Inputs'!$C$31="",0,(IF(AND(CP$4&gt;='APA Inputs'!$C$31,CP$4&lt;EDATE('APA Inputs'!$C$31,N('APA Inputs'!$D$31))),'APA Inputs'!$J$31,0)+IF(N('APA Inputs'!$H$31)&gt;0,IF(CP$4=EDATE('APA Inputs'!$C$31,'APA Inputs'!$H$31-1),N('APA Inputs'!$G$31),0),0))*IF('APA Inputs'!$I$31="",1,'APA Inputs'!$I$31))</f>
        <v>0</v>
      </c>
      <c r="CQ16" s="425" t="n">
        <f aca="false">IF('APA Inputs'!$C$31="",0,(IF(AND(CQ$4&gt;='APA Inputs'!$C$31,CQ$4&lt;EDATE('APA Inputs'!$C$31,N('APA Inputs'!$D$31))),'APA Inputs'!$J$31,0)+IF(N('APA Inputs'!$H$31)&gt;0,IF(CQ$4=EDATE('APA Inputs'!$C$31,'APA Inputs'!$H$31-1),N('APA Inputs'!$G$31),0),0))*IF('APA Inputs'!$I$31="",1,'APA Inputs'!$I$31))</f>
        <v>0</v>
      </c>
      <c r="CR16" s="425" t="n">
        <f aca="false">IF('APA Inputs'!$C$31="",0,(IF(AND(CR$4&gt;='APA Inputs'!$C$31,CR$4&lt;EDATE('APA Inputs'!$C$31,N('APA Inputs'!$D$31))),'APA Inputs'!$J$31,0)+IF(N('APA Inputs'!$H$31)&gt;0,IF(CR$4=EDATE('APA Inputs'!$C$31,'APA Inputs'!$H$31-1),N('APA Inputs'!$G$31),0),0))*IF('APA Inputs'!$I$31="",1,'APA Inputs'!$I$31))</f>
        <v>0</v>
      </c>
      <c r="CS16" s="425" t="n">
        <f aca="false">IF('APA Inputs'!$C$31="",0,(IF(AND(CS$4&gt;='APA Inputs'!$C$31,CS$4&lt;EDATE('APA Inputs'!$C$31,N('APA Inputs'!$D$31))),'APA Inputs'!$J$31,0)+IF(N('APA Inputs'!$H$31)&gt;0,IF(CS$4=EDATE('APA Inputs'!$C$31,'APA Inputs'!$H$31-1),N('APA Inputs'!$G$31),0),0))*IF('APA Inputs'!$I$31="",1,'APA Inputs'!$I$31))</f>
        <v>0</v>
      </c>
      <c r="CT16" s="425" t="n">
        <f aca="false">IF('APA Inputs'!$C$31="",0,(IF(AND(CT$4&gt;='APA Inputs'!$C$31,CT$4&lt;EDATE('APA Inputs'!$C$31,N('APA Inputs'!$D$31))),'APA Inputs'!$J$31,0)+IF(N('APA Inputs'!$H$31)&gt;0,IF(CT$4=EDATE('APA Inputs'!$C$31,'APA Inputs'!$H$31-1),N('APA Inputs'!$G$31),0),0))*IF('APA Inputs'!$I$31="",1,'APA Inputs'!$I$31))</f>
        <v>0</v>
      </c>
      <c r="CU16" s="425" t="n">
        <f aca="false">IF('APA Inputs'!$C$31="",0,(IF(AND(CU$4&gt;='APA Inputs'!$C$31,CU$4&lt;EDATE('APA Inputs'!$C$31,N('APA Inputs'!$D$31))),'APA Inputs'!$J$31,0)+IF(N('APA Inputs'!$H$31)&gt;0,IF(CU$4=EDATE('APA Inputs'!$C$31,'APA Inputs'!$H$31-1),N('APA Inputs'!$G$31),0),0))*IF('APA Inputs'!$I$31="",1,'APA Inputs'!$I$31))</f>
        <v>0</v>
      </c>
      <c r="CV16" s="425" t="n">
        <f aca="false">IF('APA Inputs'!$C$31="",0,(IF(AND(CV$4&gt;='APA Inputs'!$C$31,CV$4&lt;EDATE('APA Inputs'!$C$31,N('APA Inputs'!$D$31))),'APA Inputs'!$J$31,0)+IF(N('APA Inputs'!$H$31)&gt;0,IF(CV$4=EDATE('APA Inputs'!$C$31,'APA Inputs'!$H$31-1),N('APA Inputs'!$G$31),0),0))*IF('APA Inputs'!$I$31="",1,'APA Inputs'!$I$31))</f>
        <v>0</v>
      </c>
      <c r="CW16" s="425" t="n">
        <f aca="false">IF('APA Inputs'!$C$31="",0,(IF(AND(CW$4&gt;='APA Inputs'!$C$31,CW$4&lt;EDATE('APA Inputs'!$C$31,N('APA Inputs'!$D$31))),'APA Inputs'!$J$31,0)+IF(N('APA Inputs'!$H$31)&gt;0,IF(CW$4=EDATE('APA Inputs'!$C$31,'APA Inputs'!$H$31-1),N('APA Inputs'!$G$31),0),0))*IF('APA Inputs'!$I$31="",1,'APA Inputs'!$I$31))</f>
        <v>0</v>
      </c>
      <c r="CX16" s="425" t="n">
        <f aca="false">IF('APA Inputs'!$C$31="",0,(IF(AND(CX$4&gt;='APA Inputs'!$C$31,CX$4&lt;EDATE('APA Inputs'!$C$31,N('APA Inputs'!$D$31))),'APA Inputs'!$J$31,0)+IF(N('APA Inputs'!$H$31)&gt;0,IF(CX$4=EDATE('APA Inputs'!$C$31,'APA Inputs'!$H$31-1),N('APA Inputs'!$G$31),0),0))*IF('APA Inputs'!$I$31="",1,'APA Inputs'!$I$31))</f>
        <v>0</v>
      </c>
      <c r="CY16" s="425" t="n">
        <f aca="false">IF('APA Inputs'!$C$31="",0,(IF(AND(CY$4&gt;='APA Inputs'!$C$31,CY$4&lt;EDATE('APA Inputs'!$C$31,N('APA Inputs'!$D$31))),'APA Inputs'!$J$31,0)+IF(N('APA Inputs'!$H$31)&gt;0,IF(CY$4=EDATE('APA Inputs'!$C$31,'APA Inputs'!$H$31-1),N('APA Inputs'!$G$31),0),0))*IF('APA Inputs'!$I$31="",1,'APA Inputs'!$I$31))</f>
        <v>0</v>
      </c>
      <c r="CZ16" s="425" t="n">
        <f aca="false">IF('APA Inputs'!$C$31="",0,(IF(AND(CZ$4&gt;='APA Inputs'!$C$31,CZ$4&lt;EDATE('APA Inputs'!$C$31,N('APA Inputs'!$D$31))),'APA Inputs'!$J$31,0)+IF(N('APA Inputs'!$H$31)&gt;0,IF(CZ$4=EDATE('APA Inputs'!$C$31,'APA Inputs'!$H$31-1),N('APA Inputs'!$G$31),0),0))*IF('APA Inputs'!$I$31="",1,'APA Inputs'!$I$31))</f>
        <v>0</v>
      </c>
      <c r="DA16" s="425" t="n">
        <f aca="false">IF('APA Inputs'!$C$31="",0,(IF(AND(DA$4&gt;='APA Inputs'!$C$31,DA$4&lt;EDATE('APA Inputs'!$C$31,N('APA Inputs'!$D$31))),'APA Inputs'!$J$31,0)+IF(N('APA Inputs'!$H$31)&gt;0,IF(DA$4=EDATE('APA Inputs'!$C$31,'APA Inputs'!$H$31-1),N('APA Inputs'!$G$31),0),0))*IF('APA Inputs'!$I$31="",1,'APA Inputs'!$I$31))</f>
        <v>0</v>
      </c>
      <c r="DB16" s="425" t="n">
        <f aca="false">IF('APA Inputs'!$C$31="",0,(IF(AND(DB$4&gt;='APA Inputs'!$C$31,DB$4&lt;EDATE('APA Inputs'!$C$31,N('APA Inputs'!$D$31))),'APA Inputs'!$J$31,0)+IF(N('APA Inputs'!$H$31)&gt;0,IF(DB$4=EDATE('APA Inputs'!$C$31,'APA Inputs'!$H$31-1),N('APA Inputs'!$G$31),0),0))*IF('APA Inputs'!$I$31="",1,'APA Inputs'!$I$31))</f>
        <v>0</v>
      </c>
      <c r="DC16" s="425" t="n">
        <f aca="false">IF('APA Inputs'!$C$31="",0,(IF(AND(DC$4&gt;='APA Inputs'!$C$31,DC$4&lt;EDATE('APA Inputs'!$C$31,N('APA Inputs'!$D$31))),'APA Inputs'!$J$31,0)+IF(N('APA Inputs'!$H$31)&gt;0,IF(DC$4=EDATE('APA Inputs'!$C$31,'APA Inputs'!$H$31-1),N('APA Inputs'!$G$31),0),0))*IF('APA Inputs'!$I$31="",1,'APA Inputs'!$I$31))</f>
        <v>0</v>
      </c>
      <c r="DD16" s="425" t="n">
        <f aca="false">IF('APA Inputs'!$C$31="",0,(IF(AND(DD$4&gt;='APA Inputs'!$C$31,DD$4&lt;EDATE('APA Inputs'!$C$31,N('APA Inputs'!$D$31))),'APA Inputs'!$J$31,0)+IF(N('APA Inputs'!$H$31)&gt;0,IF(DD$4=EDATE('APA Inputs'!$C$31,'APA Inputs'!$H$31-1),N('APA Inputs'!$G$31),0),0))*IF('APA Inputs'!$I$31="",1,'APA Inputs'!$I$31))</f>
        <v>0</v>
      </c>
      <c r="DE16" s="425" t="n">
        <f aca="false">IF('APA Inputs'!$C$31="",0,(IF(AND(DE$4&gt;='APA Inputs'!$C$31,DE$4&lt;EDATE('APA Inputs'!$C$31,N('APA Inputs'!$D$31))),'APA Inputs'!$J$31,0)+IF(N('APA Inputs'!$H$31)&gt;0,IF(DE$4=EDATE('APA Inputs'!$C$31,'APA Inputs'!$H$31-1),N('APA Inputs'!$G$31),0),0))*IF('APA Inputs'!$I$31="",1,'APA Inputs'!$I$31))</f>
        <v>0</v>
      </c>
    </row>
    <row r="17" customFormat="false" ht="15" hidden="false" customHeight="true" outlineLevel="0" collapsed="false">
      <c r="A17" s="406" t="s">
        <v>1393</v>
      </c>
      <c r="B17" s="425" t="n">
        <f aca="false">SUM(B7:B16)</f>
        <v>0</v>
      </c>
      <c r="C17" s="425" t="n">
        <f aca="false">SUM(C7:C16)</f>
        <v>0</v>
      </c>
      <c r="D17" s="425" t="n">
        <f aca="false">SUM(D7:D16)</f>
        <v>0</v>
      </c>
      <c r="E17" s="425" t="n">
        <f aca="false">SUM(E7:E16)</f>
        <v>0</v>
      </c>
      <c r="F17" s="425" t="n">
        <f aca="false">SUM(F7:F16)</f>
        <v>0</v>
      </c>
      <c r="G17" s="425" t="n">
        <f aca="false">SUM(G7:G16)</f>
        <v>0</v>
      </c>
      <c r="H17" s="425" t="n">
        <f aca="false">SUM(H7:H16)</f>
        <v>10000</v>
      </c>
      <c r="I17" s="425" t="n">
        <f aca="false">SUM(I7:I16)</f>
        <v>14166.66</v>
      </c>
      <c r="J17" s="425" t="n">
        <f aca="false">SUM(J7:J16)</f>
        <v>17499.38</v>
      </c>
      <c r="K17" s="425" t="n">
        <f aca="false">SUM(K7:K16)</f>
        <v>17499.38</v>
      </c>
      <c r="L17" s="425" t="n">
        <f aca="false">SUM(L7:L16)</f>
        <v>17499.38</v>
      </c>
      <c r="M17" s="425" t="n">
        <f aca="false">SUM(M7:M16)</f>
        <v>27249.38</v>
      </c>
      <c r="N17" s="425" t="n">
        <f aca="false">SUM(N7:N16)</f>
        <v>33916.04</v>
      </c>
      <c r="O17" s="425" t="n">
        <f aca="false">SUM(O7:O16)</f>
        <v>17499.38</v>
      </c>
      <c r="P17" s="425" t="n">
        <f aca="false">SUM(P7:P16)</f>
        <v>17499.38</v>
      </c>
      <c r="Q17" s="425" t="n">
        <f aca="false">SUM(Q7:Q16)</f>
        <v>17499.38</v>
      </c>
      <c r="R17" s="425" t="n">
        <f aca="false">SUM(R7:R16)</f>
        <v>17499.38</v>
      </c>
      <c r="S17" s="425" t="n">
        <f aca="false">SUM(S7:S16)</f>
        <v>11665.38</v>
      </c>
      <c r="T17" s="425" t="n">
        <f aca="false">SUM(T7:T16)</f>
        <v>11665.38</v>
      </c>
      <c r="U17" s="425" t="n">
        <f aca="false">SUM(U7:U16)</f>
        <v>11665.38</v>
      </c>
      <c r="V17" s="425" t="n">
        <f aca="false">SUM(V7:V16)</f>
        <v>8332.66</v>
      </c>
      <c r="W17" s="425" t="n">
        <f aca="false">SUM(W7:W16)</f>
        <v>8332.66</v>
      </c>
      <c r="X17" s="425" t="n">
        <f aca="false">SUM(X7:X16)</f>
        <v>8332.66</v>
      </c>
      <c r="Y17" s="425" t="n">
        <f aca="false">SUM(Y7:Y16)</f>
        <v>8332.66</v>
      </c>
      <c r="Z17" s="425" t="n">
        <f aca="false">SUM(Z7:Z16)</f>
        <v>8332.66</v>
      </c>
      <c r="AA17" s="425" t="n">
        <f aca="false">SUM(AA7:AA16)</f>
        <v>8332.66</v>
      </c>
      <c r="AB17" s="425" t="n">
        <f aca="false">SUM(AB7:AB16)</f>
        <v>8332.66</v>
      </c>
      <c r="AC17" s="425" t="n">
        <f aca="false">SUM(AC7:AC16)</f>
        <v>8332.66</v>
      </c>
      <c r="AD17" s="425" t="n">
        <f aca="false">SUM(AD7:AD16)</f>
        <v>8332.66</v>
      </c>
      <c r="AE17" s="425" t="n">
        <f aca="false">SUM(AE7:AE16)</f>
        <v>8332.66</v>
      </c>
      <c r="AF17" s="425" t="n">
        <f aca="false">SUM(AF7:AF16)</f>
        <v>4166.66</v>
      </c>
      <c r="AG17" s="425" t="n">
        <f aca="false">SUM(AG7:AG16)</f>
        <v>0</v>
      </c>
      <c r="AH17" s="425" t="n">
        <f aca="false">SUM(AH7:AH16)</f>
        <v>0</v>
      </c>
      <c r="AI17" s="425" t="n">
        <f aca="false">SUM(AI7:AI16)</f>
        <v>0</v>
      </c>
      <c r="AJ17" s="425" t="n">
        <f aca="false">SUM(AJ7:AJ16)</f>
        <v>0</v>
      </c>
      <c r="AK17" s="425" t="n">
        <f aca="false">SUM(AK7:AK16)</f>
        <v>0</v>
      </c>
      <c r="AL17" s="425" t="n">
        <f aca="false">SUM(AL7:AL16)</f>
        <v>0</v>
      </c>
      <c r="AM17" s="425" t="n">
        <f aca="false">SUM(AM7:AM16)</f>
        <v>0</v>
      </c>
      <c r="AN17" s="425" t="n">
        <f aca="false">SUM(AN7:AN16)</f>
        <v>0</v>
      </c>
      <c r="AO17" s="425" t="n">
        <f aca="false">SUM(AO7:AO16)</f>
        <v>0</v>
      </c>
      <c r="AP17" s="425" t="n">
        <f aca="false">SUM(AP7:AP16)</f>
        <v>0</v>
      </c>
      <c r="AQ17" s="425" t="n">
        <f aca="false">SUM(AQ7:AQ16)</f>
        <v>0</v>
      </c>
      <c r="AR17" s="425" t="n">
        <f aca="false">SUM(AR7:AR16)</f>
        <v>0</v>
      </c>
      <c r="AS17" s="425" t="n">
        <f aca="false">SUM(AS7:AS16)</f>
        <v>0</v>
      </c>
      <c r="AT17" s="425" t="n">
        <f aca="false">SUM(AT7:AT16)</f>
        <v>0</v>
      </c>
      <c r="AU17" s="425" t="n">
        <f aca="false">SUM(AU7:AU16)</f>
        <v>0</v>
      </c>
      <c r="AV17" s="425" t="n">
        <f aca="false">SUM(AV7:AV16)</f>
        <v>0</v>
      </c>
      <c r="AW17" s="425" t="n">
        <f aca="false">SUM(AW7:AW16)</f>
        <v>0</v>
      </c>
      <c r="AX17" s="425" t="n">
        <f aca="false">SUM(AX7:AX16)</f>
        <v>0</v>
      </c>
      <c r="AY17" s="425" t="n">
        <f aca="false">SUM(AY7:AY16)</f>
        <v>0</v>
      </c>
      <c r="AZ17" s="425" t="n">
        <f aca="false">SUM(AZ7:AZ16)</f>
        <v>0</v>
      </c>
      <c r="BA17" s="425" t="n">
        <f aca="false">SUM(BA7:BA16)</f>
        <v>0</v>
      </c>
      <c r="BB17" s="425" t="n">
        <f aca="false">SUM(BB7:BB16)</f>
        <v>0</v>
      </c>
      <c r="BC17" s="425" t="n">
        <f aca="false">SUM(BC7:BC16)</f>
        <v>0</v>
      </c>
      <c r="BD17" s="425" t="n">
        <f aca="false">SUM(BD7:BD16)</f>
        <v>0</v>
      </c>
      <c r="BE17" s="425" t="n">
        <f aca="false">SUM(BE7:BE16)</f>
        <v>0</v>
      </c>
      <c r="BF17" s="425" t="n">
        <f aca="false">SUM(BF7:BF16)</f>
        <v>0</v>
      </c>
      <c r="BG17" s="425" t="n">
        <f aca="false">SUM(BG7:BG16)</f>
        <v>0</v>
      </c>
      <c r="BH17" s="425" t="n">
        <f aca="false">SUM(BH7:BH16)</f>
        <v>0</v>
      </c>
      <c r="BI17" s="425" t="n">
        <f aca="false">SUM(BI7:BI16)</f>
        <v>0</v>
      </c>
      <c r="BJ17" s="425" t="n">
        <f aca="false">SUM(BJ7:BJ16)</f>
        <v>0</v>
      </c>
      <c r="BK17" s="425" t="n">
        <f aca="false">SUM(BK7:BK16)</f>
        <v>0</v>
      </c>
      <c r="BL17" s="425" t="n">
        <f aca="false">SUM(BL7:BL16)</f>
        <v>0</v>
      </c>
      <c r="BM17" s="425" t="n">
        <f aca="false">SUM(BM7:BM16)</f>
        <v>0</v>
      </c>
      <c r="BN17" s="425" t="n">
        <f aca="false">SUM(BN7:BN16)</f>
        <v>0</v>
      </c>
      <c r="BO17" s="425" t="n">
        <f aca="false">SUM(BO7:BO16)</f>
        <v>0</v>
      </c>
      <c r="BP17" s="425" t="n">
        <f aca="false">SUM(BP7:BP16)</f>
        <v>0</v>
      </c>
      <c r="BQ17" s="425" t="n">
        <f aca="false">SUM(BQ7:BQ16)</f>
        <v>0</v>
      </c>
      <c r="BR17" s="425" t="n">
        <f aca="false">SUM(BR7:BR16)</f>
        <v>0</v>
      </c>
      <c r="BS17" s="425" t="n">
        <f aca="false">SUM(BS7:BS16)</f>
        <v>0</v>
      </c>
      <c r="BT17" s="425" t="n">
        <f aca="false">SUM(BT7:BT16)</f>
        <v>0</v>
      </c>
      <c r="BU17" s="425" t="n">
        <f aca="false">SUM(BU7:BU16)</f>
        <v>0</v>
      </c>
      <c r="BV17" s="425" t="n">
        <f aca="false">SUM(BV7:BV16)</f>
        <v>0</v>
      </c>
      <c r="BW17" s="425" t="n">
        <f aca="false">SUM(BW7:BW16)</f>
        <v>0</v>
      </c>
      <c r="BX17" s="425" t="n">
        <f aca="false">SUM(BX7:BX16)</f>
        <v>0</v>
      </c>
      <c r="BY17" s="425" t="n">
        <f aca="false">SUM(BY7:BY16)</f>
        <v>0</v>
      </c>
      <c r="BZ17" s="425" t="n">
        <f aca="false">SUM(BZ7:BZ16)</f>
        <v>0</v>
      </c>
      <c r="CA17" s="425" t="n">
        <f aca="false">SUM(CA7:CA16)</f>
        <v>0</v>
      </c>
      <c r="CB17" s="425" t="n">
        <f aca="false">SUM(CB7:CB16)</f>
        <v>0</v>
      </c>
      <c r="CC17" s="425" t="n">
        <f aca="false">SUM(CC7:CC16)</f>
        <v>0</v>
      </c>
      <c r="CD17" s="425" t="n">
        <f aca="false">SUM(CD7:CD16)</f>
        <v>0</v>
      </c>
      <c r="CE17" s="425" t="n">
        <f aca="false">SUM(CE7:CE16)</f>
        <v>0</v>
      </c>
      <c r="CF17" s="425" t="n">
        <f aca="false">SUM(CF7:CF16)</f>
        <v>0</v>
      </c>
      <c r="CG17" s="425" t="n">
        <f aca="false">SUM(CG7:CG16)</f>
        <v>0</v>
      </c>
      <c r="CH17" s="425" t="n">
        <f aca="false">SUM(CH7:CH16)</f>
        <v>0</v>
      </c>
      <c r="CI17" s="425" t="n">
        <f aca="false">SUM(CI7:CI16)</f>
        <v>0</v>
      </c>
      <c r="CJ17" s="425" t="n">
        <f aca="false">SUM(CJ7:CJ16)</f>
        <v>0</v>
      </c>
      <c r="CK17" s="425" t="n">
        <f aca="false">SUM(CK7:CK16)</f>
        <v>0</v>
      </c>
      <c r="CL17" s="425" t="n">
        <f aca="false">SUM(CL7:CL16)</f>
        <v>0</v>
      </c>
      <c r="CM17" s="425" t="n">
        <f aca="false">SUM(CM7:CM16)</f>
        <v>0</v>
      </c>
      <c r="CN17" s="425" t="n">
        <f aca="false">SUM(CN7:CN16)</f>
        <v>0</v>
      </c>
      <c r="CO17" s="425" t="n">
        <f aca="false">SUM(CO7:CO16)</f>
        <v>0</v>
      </c>
      <c r="CP17" s="425" t="n">
        <f aca="false">SUM(CP7:CP16)</f>
        <v>0</v>
      </c>
      <c r="CQ17" s="425" t="n">
        <f aca="false">SUM(CQ7:CQ16)</f>
        <v>0</v>
      </c>
      <c r="CR17" s="425" t="n">
        <f aca="false">SUM(CR7:CR16)</f>
        <v>0</v>
      </c>
      <c r="CS17" s="425" t="n">
        <f aca="false">SUM(CS7:CS16)</f>
        <v>0</v>
      </c>
      <c r="CT17" s="425" t="n">
        <f aca="false">SUM(CT7:CT16)</f>
        <v>0</v>
      </c>
      <c r="CU17" s="425" t="n">
        <f aca="false">SUM(CU7:CU16)</f>
        <v>0</v>
      </c>
      <c r="CV17" s="425" t="n">
        <f aca="false">SUM(CV7:CV16)</f>
        <v>0</v>
      </c>
      <c r="CW17" s="425" t="n">
        <f aca="false">SUM(CW7:CW16)</f>
        <v>0</v>
      </c>
      <c r="CX17" s="425" t="n">
        <f aca="false">SUM(CX7:CX16)</f>
        <v>0</v>
      </c>
      <c r="CY17" s="425" t="n">
        <f aca="false">SUM(CY7:CY16)</f>
        <v>0</v>
      </c>
      <c r="CZ17" s="425" t="n">
        <f aca="false">SUM(CZ7:CZ16)</f>
        <v>0</v>
      </c>
      <c r="DA17" s="425" t="n">
        <f aca="false">SUM(DA7:DA16)</f>
        <v>0</v>
      </c>
      <c r="DB17" s="425" t="n">
        <f aca="false">SUM(DB7:DB16)</f>
        <v>0</v>
      </c>
      <c r="DC17" s="425" t="n">
        <f aca="false">SUM(DC7:DC16)</f>
        <v>0</v>
      </c>
      <c r="DD17" s="425" t="n">
        <f aca="false">SUM(DD7:DD16)</f>
        <v>0</v>
      </c>
      <c r="DE17" s="425" t="n">
        <f aca="false">SUM(DE7:DE16)</f>
        <v>0</v>
      </c>
    </row>
    <row r="19" customFormat="false" ht="15" hidden="false" customHeight="true" outlineLevel="0" collapsed="false">
      <c r="A19" s="402" t="s">
        <v>1394</v>
      </c>
    </row>
    <row r="20" customFormat="false" ht="15" hidden="false" customHeight="true" outlineLevel="0" collapsed="false">
      <c r="A20" s="1" t="s">
        <v>1395</v>
      </c>
      <c r="B20" s="425" t="n">
        <f aca="false">IF(B$4&gt;='APA Inputs'!$B$6,INDEX('APA Summary'!$B$32:$J$32,B$5-2025)/INDEX('APA Summary'!$B$22:$J$22,B$5-2025),0)</f>
        <v>0</v>
      </c>
      <c r="C20" s="425" t="n">
        <f aca="false">IF(C$4&gt;='APA Inputs'!$B$6,INDEX('APA Summary'!$B$32:$J$32,C$5-2025)/INDEX('APA Summary'!$B$22:$J$22,C$5-2025),0)</f>
        <v>0</v>
      </c>
      <c r="D20" s="425" t="n">
        <f aca="false">IF(D$4&gt;='APA Inputs'!$B$6,INDEX('APA Summary'!$B$32:$J$32,D$5-2025)/INDEX('APA Summary'!$B$22:$J$22,D$5-2025),0)</f>
        <v>0</v>
      </c>
      <c r="E20" s="425" t="n">
        <f aca="false">IF(E$4&gt;='APA Inputs'!$B$6,INDEX('APA Summary'!$B$32:$J$32,E$5-2025)/INDEX('APA Summary'!$B$22:$J$22,E$5-2025),0)</f>
        <v>0</v>
      </c>
      <c r="F20" s="425" t="n">
        <f aca="false">IF(F$4&gt;='APA Inputs'!$B$6,INDEX('APA Summary'!$B$32:$J$32,F$5-2025)/INDEX('APA Summary'!$B$22:$J$22,F$5-2025),0)</f>
        <v>0</v>
      </c>
      <c r="G20" s="425" t="n">
        <f aca="false">IF(G$4&gt;='APA Inputs'!$B$6,INDEX('APA Summary'!$B$32:$J$32,G$5-2025)/INDEX('APA Summary'!$B$22:$J$22,G$5-2025),0)</f>
        <v>0</v>
      </c>
      <c r="H20" s="425" t="n">
        <f aca="false">IF(H$4&gt;='APA Inputs'!$B$6,INDEX('APA Summary'!$B$32:$J$32,H$5-2025)/INDEX('APA Summary'!$B$22:$J$22,H$5-2025),0)</f>
        <v>1108.06288333333</v>
      </c>
      <c r="I20" s="425" t="n">
        <f aca="false">IF(I$4&gt;='APA Inputs'!$B$6,INDEX('APA Summary'!$B$32:$J$32,I$5-2025)/INDEX('APA Summary'!$B$22:$J$22,I$5-2025),0)</f>
        <v>1108.06288333333</v>
      </c>
      <c r="J20" s="425" t="n">
        <f aca="false">IF(J$4&gt;='APA Inputs'!$B$6,INDEX('APA Summary'!$B$32:$J$32,J$5-2025)/INDEX('APA Summary'!$B$22:$J$22,J$5-2025),0)</f>
        <v>1108.06288333333</v>
      </c>
      <c r="K20" s="425" t="n">
        <f aca="false">IF(K$4&gt;='APA Inputs'!$B$6,INDEX('APA Summary'!$B$32:$J$32,K$5-2025)/INDEX('APA Summary'!$B$22:$J$22,K$5-2025),0)</f>
        <v>1108.06288333333</v>
      </c>
      <c r="L20" s="425" t="n">
        <f aca="false">IF(L$4&gt;='APA Inputs'!$B$6,INDEX('APA Summary'!$B$32:$J$32,L$5-2025)/INDEX('APA Summary'!$B$22:$J$22,L$5-2025),0)</f>
        <v>1108.06288333333</v>
      </c>
      <c r="M20" s="425" t="n">
        <f aca="false">IF(M$4&gt;='APA Inputs'!$B$6,INDEX('APA Summary'!$B$32:$J$32,M$5-2025)/INDEX('APA Summary'!$B$22:$J$22,M$5-2025),0)</f>
        <v>1108.06288333333</v>
      </c>
      <c r="N20" s="425" t="n">
        <f aca="false">IF(N$4&gt;='APA Inputs'!$B$6,INDEX('APA Summary'!$B$32:$J$32,N$5-2025)/INDEX('APA Summary'!$B$22:$J$22,N$5-2025),0)</f>
        <v>0</v>
      </c>
      <c r="O20" s="425" t="n">
        <f aca="false">IF(O$4&gt;='APA Inputs'!$B$6,INDEX('APA Summary'!$B$32:$J$32,O$5-2025)/INDEX('APA Summary'!$B$22:$J$22,O$5-2025),0)</f>
        <v>0</v>
      </c>
      <c r="P20" s="425" t="n">
        <f aca="false">IF(P$4&gt;='APA Inputs'!$B$6,INDEX('APA Summary'!$B$32:$J$32,P$5-2025)/INDEX('APA Summary'!$B$22:$J$22,P$5-2025),0)</f>
        <v>0</v>
      </c>
      <c r="Q20" s="425" t="n">
        <f aca="false">IF(Q$4&gt;='APA Inputs'!$B$6,INDEX('APA Summary'!$B$32:$J$32,Q$5-2025)/INDEX('APA Summary'!$B$22:$J$22,Q$5-2025),0)</f>
        <v>0</v>
      </c>
      <c r="R20" s="425" t="n">
        <f aca="false">IF(R$4&gt;='APA Inputs'!$B$6,INDEX('APA Summary'!$B$32:$J$32,R$5-2025)/INDEX('APA Summary'!$B$22:$J$22,R$5-2025),0)</f>
        <v>0</v>
      </c>
      <c r="S20" s="425" t="n">
        <f aca="false">IF(S$4&gt;='APA Inputs'!$B$6,INDEX('APA Summary'!$B$32:$J$32,S$5-2025)/INDEX('APA Summary'!$B$22:$J$22,S$5-2025),0)</f>
        <v>0</v>
      </c>
      <c r="T20" s="425" t="n">
        <f aca="false">IF(T$4&gt;='APA Inputs'!$B$6,INDEX('APA Summary'!$B$32:$J$32,T$5-2025)/INDEX('APA Summary'!$B$22:$J$22,T$5-2025),0)</f>
        <v>0</v>
      </c>
      <c r="U20" s="425" t="n">
        <f aca="false">IF(U$4&gt;='APA Inputs'!$B$6,INDEX('APA Summary'!$B$32:$J$32,U$5-2025)/INDEX('APA Summary'!$B$22:$J$22,U$5-2025),0)</f>
        <v>0</v>
      </c>
      <c r="V20" s="425" t="n">
        <f aca="false">IF(V$4&gt;='APA Inputs'!$B$6,INDEX('APA Summary'!$B$32:$J$32,V$5-2025)/INDEX('APA Summary'!$B$22:$J$22,V$5-2025),0)</f>
        <v>0</v>
      </c>
      <c r="W20" s="425" t="n">
        <f aca="false">IF(W$4&gt;='APA Inputs'!$B$6,INDEX('APA Summary'!$B$32:$J$32,W$5-2025)/INDEX('APA Summary'!$B$22:$J$22,W$5-2025),0)</f>
        <v>0</v>
      </c>
      <c r="X20" s="425" t="n">
        <f aca="false">IF(X$4&gt;='APA Inputs'!$B$6,INDEX('APA Summary'!$B$32:$J$32,X$5-2025)/INDEX('APA Summary'!$B$22:$J$22,X$5-2025),0)</f>
        <v>0</v>
      </c>
      <c r="Y20" s="425" t="n">
        <f aca="false">IF(Y$4&gt;='APA Inputs'!$B$6,INDEX('APA Summary'!$B$32:$J$32,Y$5-2025)/INDEX('APA Summary'!$B$22:$J$22,Y$5-2025),0)</f>
        <v>0</v>
      </c>
      <c r="Z20" s="425" t="n">
        <f aca="false">IF(Z$4&gt;='APA Inputs'!$B$6,INDEX('APA Summary'!$B$32:$J$32,Z$5-2025)/INDEX('APA Summary'!$B$22:$J$22,Z$5-2025),0)</f>
        <v>0</v>
      </c>
      <c r="AA20" s="425" t="n">
        <f aca="false">IF(AA$4&gt;='APA Inputs'!$B$6,INDEX('APA Summary'!$B$32:$J$32,AA$5-2025)/INDEX('APA Summary'!$B$22:$J$22,AA$5-2025),0)</f>
        <v>0</v>
      </c>
      <c r="AB20" s="425" t="n">
        <f aca="false">IF(AB$4&gt;='APA Inputs'!$B$6,INDEX('APA Summary'!$B$32:$J$32,AB$5-2025)/INDEX('APA Summary'!$B$22:$J$22,AB$5-2025),0)</f>
        <v>0</v>
      </c>
      <c r="AC20" s="425" t="n">
        <f aca="false">IF(AC$4&gt;='APA Inputs'!$B$6,INDEX('APA Summary'!$B$32:$J$32,AC$5-2025)/INDEX('APA Summary'!$B$22:$J$22,AC$5-2025),0)</f>
        <v>0</v>
      </c>
      <c r="AD20" s="425" t="n">
        <f aca="false">IF(AD$4&gt;='APA Inputs'!$B$6,INDEX('APA Summary'!$B$32:$J$32,AD$5-2025)/INDEX('APA Summary'!$B$22:$J$22,AD$5-2025),0)</f>
        <v>0</v>
      </c>
      <c r="AE20" s="425" t="n">
        <f aca="false">IF(AE$4&gt;='APA Inputs'!$B$6,INDEX('APA Summary'!$B$32:$J$32,AE$5-2025)/INDEX('APA Summary'!$B$22:$J$22,AE$5-2025),0)</f>
        <v>0</v>
      </c>
      <c r="AF20" s="425" t="n">
        <f aca="false">IF(AF$4&gt;='APA Inputs'!$B$6,INDEX('APA Summary'!$B$32:$J$32,AF$5-2025)/INDEX('APA Summary'!$B$22:$J$22,AF$5-2025),0)</f>
        <v>0</v>
      </c>
      <c r="AG20" s="425" t="n">
        <f aca="false">IF(AG$4&gt;='APA Inputs'!$B$6,INDEX('APA Summary'!$B$32:$J$32,AG$5-2025)/INDEX('APA Summary'!$B$22:$J$22,AG$5-2025),0)</f>
        <v>0</v>
      </c>
      <c r="AH20" s="425" t="n">
        <f aca="false">IF(AH$4&gt;='APA Inputs'!$B$6,INDEX('APA Summary'!$B$32:$J$32,AH$5-2025)/INDEX('APA Summary'!$B$22:$J$22,AH$5-2025),0)</f>
        <v>0</v>
      </c>
      <c r="AI20" s="425" t="n">
        <f aca="false">IF(AI$4&gt;='APA Inputs'!$B$6,INDEX('APA Summary'!$B$32:$J$32,AI$5-2025)/INDEX('APA Summary'!$B$22:$J$22,AI$5-2025),0)</f>
        <v>0</v>
      </c>
      <c r="AJ20" s="425" t="n">
        <f aca="false">IF(AJ$4&gt;='APA Inputs'!$B$6,INDEX('APA Summary'!$B$32:$J$32,AJ$5-2025)/INDEX('APA Summary'!$B$22:$J$22,AJ$5-2025),0)</f>
        <v>0</v>
      </c>
      <c r="AK20" s="425" t="n">
        <f aca="false">IF(AK$4&gt;='APA Inputs'!$B$6,INDEX('APA Summary'!$B$32:$J$32,AK$5-2025)/INDEX('APA Summary'!$B$22:$J$22,AK$5-2025),0)</f>
        <v>0</v>
      </c>
      <c r="AL20" s="425" t="n">
        <f aca="false">IF(AL$4&gt;='APA Inputs'!$B$6,INDEX('APA Summary'!$B$32:$J$32,AL$5-2025)/INDEX('APA Summary'!$B$22:$J$22,AL$5-2025),0)</f>
        <v>0</v>
      </c>
      <c r="AM20" s="425" t="n">
        <f aca="false">IF(AM$4&gt;='APA Inputs'!$B$6,INDEX('APA Summary'!$B$32:$J$32,AM$5-2025)/INDEX('APA Summary'!$B$22:$J$22,AM$5-2025),0)</f>
        <v>0</v>
      </c>
      <c r="AN20" s="425" t="n">
        <f aca="false">IF(AN$4&gt;='APA Inputs'!$B$6,INDEX('APA Summary'!$B$32:$J$32,AN$5-2025)/INDEX('APA Summary'!$B$22:$J$22,AN$5-2025),0)</f>
        <v>0</v>
      </c>
      <c r="AO20" s="425" t="n">
        <f aca="false">IF(AO$4&gt;='APA Inputs'!$B$6,INDEX('APA Summary'!$B$32:$J$32,AO$5-2025)/INDEX('APA Summary'!$B$22:$J$22,AO$5-2025),0)</f>
        <v>0</v>
      </c>
      <c r="AP20" s="425" t="n">
        <f aca="false">IF(AP$4&gt;='APA Inputs'!$B$6,INDEX('APA Summary'!$B$32:$J$32,AP$5-2025)/INDEX('APA Summary'!$B$22:$J$22,AP$5-2025),0)</f>
        <v>0</v>
      </c>
      <c r="AQ20" s="425" t="n">
        <f aca="false">IF(AQ$4&gt;='APA Inputs'!$B$6,INDEX('APA Summary'!$B$32:$J$32,AQ$5-2025)/INDEX('APA Summary'!$B$22:$J$22,AQ$5-2025),0)</f>
        <v>0</v>
      </c>
      <c r="AR20" s="425" t="n">
        <f aca="false">IF(AR$4&gt;='APA Inputs'!$B$6,INDEX('APA Summary'!$B$32:$J$32,AR$5-2025)/INDEX('APA Summary'!$B$22:$J$22,AR$5-2025),0)</f>
        <v>0</v>
      </c>
      <c r="AS20" s="425" t="n">
        <f aca="false">IF(AS$4&gt;='APA Inputs'!$B$6,INDEX('APA Summary'!$B$32:$J$32,AS$5-2025)/INDEX('APA Summary'!$B$22:$J$22,AS$5-2025),0)</f>
        <v>0</v>
      </c>
      <c r="AT20" s="425" t="n">
        <f aca="false">IF(AT$4&gt;='APA Inputs'!$B$6,INDEX('APA Summary'!$B$32:$J$32,AT$5-2025)/INDEX('APA Summary'!$B$22:$J$22,AT$5-2025),0)</f>
        <v>0</v>
      </c>
      <c r="AU20" s="425" t="n">
        <f aca="false">IF(AU$4&gt;='APA Inputs'!$B$6,INDEX('APA Summary'!$B$32:$J$32,AU$5-2025)/INDEX('APA Summary'!$B$22:$J$22,AU$5-2025),0)</f>
        <v>0</v>
      </c>
      <c r="AV20" s="425" t="n">
        <f aca="false">IF(AV$4&gt;='APA Inputs'!$B$6,INDEX('APA Summary'!$B$32:$J$32,AV$5-2025)/INDEX('APA Summary'!$B$22:$J$22,AV$5-2025),0)</f>
        <v>0</v>
      </c>
      <c r="AW20" s="425" t="n">
        <f aca="false">IF(AW$4&gt;='APA Inputs'!$B$6,INDEX('APA Summary'!$B$32:$J$32,AW$5-2025)/INDEX('APA Summary'!$B$22:$J$22,AW$5-2025),0)</f>
        <v>0</v>
      </c>
      <c r="AX20" s="425" t="n">
        <f aca="false">IF(AX$4&gt;='APA Inputs'!$B$6,INDEX('APA Summary'!$B$32:$J$32,AX$5-2025)/INDEX('APA Summary'!$B$22:$J$22,AX$5-2025),0)</f>
        <v>0</v>
      </c>
      <c r="AY20" s="425" t="n">
        <f aca="false">IF(AY$4&gt;='APA Inputs'!$B$6,INDEX('APA Summary'!$B$32:$J$32,AY$5-2025)/INDEX('APA Summary'!$B$22:$J$22,AY$5-2025),0)</f>
        <v>0</v>
      </c>
      <c r="AZ20" s="425" t="n">
        <f aca="false">IF(AZ$4&gt;='APA Inputs'!$B$6,INDEX('APA Summary'!$B$32:$J$32,AZ$5-2025)/INDEX('APA Summary'!$B$22:$J$22,AZ$5-2025),0)</f>
        <v>0</v>
      </c>
      <c r="BA20" s="425" t="n">
        <f aca="false">IF(BA$4&gt;='APA Inputs'!$B$6,INDEX('APA Summary'!$B$32:$J$32,BA$5-2025)/INDEX('APA Summary'!$B$22:$J$22,BA$5-2025),0)</f>
        <v>0</v>
      </c>
      <c r="BB20" s="425" t="n">
        <f aca="false">IF(BB$4&gt;='APA Inputs'!$B$6,INDEX('APA Summary'!$B$32:$J$32,BB$5-2025)/INDEX('APA Summary'!$B$22:$J$22,BB$5-2025),0)</f>
        <v>0</v>
      </c>
      <c r="BC20" s="425" t="n">
        <f aca="false">IF(BC$4&gt;='APA Inputs'!$B$6,INDEX('APA Summary'!$B$32:$J$32,BC$5-2025)/INDEX('APA Summary'!$B$22:$J$22,BC$5-2025),0)</f>
        <v>0</v>
      </c>
      <c r="BD20" s="425" t="n">
        <f aca="false">IF(BD$4&gt;='APA Inputs'!$B$6,INDEX('APA Summary'!$B$32:$J$32,BD$5-2025)/INDEX('APA Summary'!$B$22:$J$22,BD$5-2025),0)</f>
        <v>0</v>
      </c>
      <c r="BE20" s="425" t="n">
        <f aca="false">IF(BE$4&gt;='APA Inputs'!$B$6,INDEX('APA Summary'!$B$32:$J$32,BE$5-2025)/INDEX('APA Summary'!$B$22:$J$22,BE$5-2025),0)</f>
        <v>0</v>
      </c>
      <c r="BF20" s="425" t="n">
        <f aca="false">IF(BF$4&gt;='APA Inputs'!$B$6,INDEX('APA Summary'!$B$32:$J$32,BF$5-2025)/INDEX('APA Summary'!$B$22:$J$22,BF$5-2025),0)</f>
        <v>0</v>
      </c>
      <c r="BG20" s="425" t="n">
        <f aca="false">IF(BG$4&gt;='APA Inputs'!$B$6,INDEX('APA Summary'!$B$32:$J$32,BG$5-2025)/INDEX('APA Summary'!$B$22:$J$22,BG$5-2025),0)</f>
        <v>0</v>
      </c>
      <c r="BH20" s="425" t="n">
        <f aca="false">IF(BH$4&gt;='APA Inputs'!$B$6,INDEX('APA Summary'!$B$32:$J$32,BH$5-2025)/INDEX('APA Summary'!$B$22:$J$22,BH$5-2025),0)</f>
        <v>0</v>
      </c>
      <c r="BI20" s="425" t="n">
        <f aca="false">IF(BI$4&gt;='APA Inputs'!$B$6,INDEX('APA Summary'!$B$32:$J$32,BI$5-2025)/INDEX('APA Summary'!$B$22:$J$22,BI$5-2025),0)</f>
        <v>0</v>
      </c>
      <c r="BJ20" s="425" t="n">
        <f aca="false">IF(BJ$4&gt;='APA Inputs'!$B$6,INDEX('APA Summary'!$B$32:$J$32,BJ$5-2025)/INDEX('APA Summary'!$B$22:$J$22,BJ$5-2025),0)</f>
        <v>0</v>
      </c>
      <c r="BK20" s="425" t="n">
        <f aca="false">IF(BK$4&gt;='APA Inputs'!$B$6,INDEX('APA Summary'!$B$32:$J$32,BK$5-2025)/INDEX('APA Summary'!$B$22:$J$22,BK$5-2025),0)</f>
        <v>0</v>
      </c>
      <c r="BL20" s="425" t="n">
        <f aca="false">IF(BL$4&gt;='APA Inputs'!$B$6,INDEX('APA Summary'!$B$32:$J$32,BL$5-2025)/INDEX('APA Summary'!$B$22:$J$22,BL$5-2025),0)</f>
        <v>0</v>
      </c>
      <c r="BM20" s="425" t="n">
        <f aca="false">IF(BM$4&gt;='APA Inputs'!$B$6,INDEX('APA Summary'!$B$32:$J$32,BM$5-2025)/INDEX('APA Summary'!$B$22:$J$22,BM$5-2025),0)</f>
        <v>0</v>
      </c>
      <c r="BN20" s="425" t="n">
        <f aca="false">IF(BN$4&gt;='APA Inputs'!$B$6,INDEX('APA Summary'!$B$32:$J$32,BN$5-2025)/INDEX('APA Summary'!$B$22:$J$22,BN$5-2025),0)</f>
        <v>0</v>
      </c>
      <c r="BO20" s="425" t="n">
        <f aca="false">IF(BO$4&gt;='APA Inputs'!$B$6,INDEX('APA Summary'!$B$32:$J$32,BO$5-2025)/INDEX('APA Summary'!$B$22:$J$22,BO$5-2025),0)</f>
        <v>0</v>
      </c>
      <c r="BP20" s="425" t="n">
        <f aca="false">IF(BP$4&gt;='APA Inputs'!$B$6,INDEX('APA Summary'!$B$32:$J$32,BP$5-2025)/INDEX('APA Summary'!$B$22:$J$22,BP$5-2025),0)</f>
        <v>0</v>
      </c>
      <c r="BQ20" s="425" t="n">
        <f aca="false">IF(BQ$4&gt;='APA Inputs'!$B$6,INDEX('APA Summary'!$B$32:$J$32,BQ$5-2025)/INDEX('APA Summary'!$B$22:$J$22,BQ$5-2025),0)</f>
        <v>0</v>
      </c>
      <c r="BR20" s="425" t="n">
        <f aca="false">IF(BR$4&gt;='APA Inputs'!$B$6,INDEX('APA Summary'!$B$32:$J$32,BR$5-2025)/INDEX('APA Summary'!$B$22:$J$22,BR$5-2025),0)</f>
        <v>0</v>
      </c>
      <c r="BS20" s="425" t="n">
        <f aca="false">IF(BS$4&gt;='APA Inputs'!$B$6,INDEX('APA Summary'!$B$32:$J$32,BS$5-2025)/INDEX('APA Summary'!$B$22:$J$22,BS$5-2025),0)</f>
        <v>0</v>
      </c>
      <c r="BT20" s="425" t="n">
        <f aca="false">IF(BT$4&gt;='APA Inputs'!$B$6,INDEX('APA Summary'!$B$32:$J$32,BT$5-2025)/INDEX('APA Summary'!$B$22:$J$22,BT$5-2025),0)</f>
        <v>0</v>
      </c>
      <c r="BU20" s="425" t="n">
        <f aca="false">IF(BU$4&gt;='APA Inputs'!$B$6,INDEX('APA Summary'!$B$32:$J$32,BU$5-2025)/INDEX('APA Summary'!$B$22:$J$22,BU$5-2025),0)</f>
        <v>0</v>
      </c>
      <c r="BV20" s="425" t="n">
        <f aca="false">IF(BV$4&gt;='APA Inputs'!$B$6,INDEX('APA Summary'!$B$32:$J$32,BV$5-2025)/INDEX('APA Summary'!$B$22:$J$22,BV$5-2025),0)</f>
        <v>0</v>
      </c>
      <c r="BW20" s="425" t="n">
        <f aca="false">IF(BW$4&gt;='APA Inputs'!$B$6,INDEX('APA Summary'!$B$32:$J$32,BW$5-2025)/INDEX('APA Summary'!$B$22:$J$22,BW$5-2025),0)</f>
        <v>0</v>
      </c>
      <c r="BX20" s="425" t="n">
        <f aca="false">IF(BX$4&gt;='APA Inputs'!$B$6,INDEX('APA Summary'!$B$32:$J$32,BX$5-2025)/INDEX('APA Summary'!$B$22:$J$22,BX$5-2025),0)</f>
        <v>0</v>
      </c>
      <c r="BY20" s="425" t="n">
        <f aca="false">IF(BY$4&gt;='APA Inputs'!$B$6,INDEX('APA Summary'!$B$32:$J$32,BY$5-2025)/INDEX('APA Summary'!$B$22:$J$22,BY$5-2025),0)</f>
        <v>0</v>
      </c>
      <c r="BZ20" s="425" t="n">
        <f aca="false">IF(BZ$4&gt;='APA Inputs'!$B$6,INDEX('APA Summary'!$B$32:$J$32,BZ$5-2025)/INDEX('APA Summary'!$B$22:$J$22,BZ$5-2025),0)</f>
        <v>0</v>
      </c>
      <c r="CA20" s="425" t="n">
        <f aca="false">IF(CA$4&gt;='APA Inputs'!$B$6,INDEX('APA Summary'!$B$32:$J$32,CA$5-2025)/INDEX('APA Summary'!$B$22:$J$22,CA$5-2025),0)</f>
        <v>0</v>
      </c>
      <c r="CB20" s="425" t="n">
        <f aca="false">IF(CB$4&gt;='APA Inputs'!$B$6,INDEX('APA Summary'!$B$32:$J$32,CB$5-2025)/INDEX('APA Summary'!$B$22:$J$22,CB$5-2025),0)</f>
        <v>0</v>
      </c>
      <c r="CC20" s="425" t="n">
        <f aca="false">IF(CC$4&gt;='APA Inputs'!$B$6,INDEX('APA Summary'!$B$32:$J$32,CC$5-2025)/INDEX('APA Summary'!$B$22:$J$22,CC$5-2025),0)</f>
        <v>0</v>
      </c>
      <c r="CD20" s="425" t="n">
        <f aca="false">IF(CD$4&gt;='APA Inputs'!$B$6,INDEX('APA Summary'!$B$32:$J$32,CD$5-2025)/INDEX('APA Summary'!$B$22:$J$22,CD$5-2025),0)</f>
        <v>0</v>
      </c>
      <c r="CE20" s="425" t="n">
        <f aca="false">IF(CE$4&gt;='APA Inputs'!$B$6,INDEX('APA Summary'!$B$32:$J$32,CE$5-2025)/INDEX('APA Summary'!$B$22:$J$22,CE$5-2025),0)</f>
        <v>0</v>
      </c>
      <c r="CF20" s="425" t="n">
        <f aca="false">IF(CF$4&gt;='APA Inputs'!$B$6,INDEX('APA Summary'!$B$32:$J$32,CF$5-2025)/INDEX('APA Summary'!$B$22:$J$22,CF$5-2025),0)</f>
        <v>0</v>
      </c>
      <c r="CG20" s="425" t="n">
        <f aca="false">IF(CG$4&gt;='APA Inputs'!$B$6,INDEX('APA Summary'!$B$32:$J$32,CG$5-2025)/INDEX('APA Summary'!$B$22:$J$22,CG$5-2025),0)</f>
        <v>0</v>
      </c>
      <c r="CH20" s="425" t="n">
        <f aca="false">IF(CH$4&gt;='APA Inputs'!$B$6,INDEX('APA Summary'!$B$32:$J$32,CH$5-2025)/INDEX('APA Summary'!$B$22:$J$22,CH$5-2025),0)</f>
        <v>0</v>
      </c>
      <c r="CI20" s="425" t="n">
        <f aca="false">IF(CI$4&gt;='APA Inputs'!$B$6,INDEX('APA Summary'!$B$32:$J$32,CI$5-2025)/INDEX('APA Summary'!$B$22:$J$22,CI$5-2025),0)</f>
        <v>0</v>
      </c>
      <c r="CJ20" s="425" t="n">
        <f aca="false">IF(CJ$4&gt;='APA Inputs'!$B$6,INDEX('APA Summary'!$B$32:$J$32,CJ$5-2025)/INDEX('APA Summary'!$B$22:$J$22,CJ$5-2025),0)</f>
        <v>0</v>
      </c>
      <c r="CK20" s="425" t="n">
        <f aca="false">IF(CK$4&gt;='APA Inputs'!$B$6,INDEX('APA Summary'!$B$32:$J$32,CK$5-2025)/INDEX('APA Summary'!$B$22:$J$22,CK$5-2025),0)</f>
        <v>0</v>
      </c>
      <c r="CL20" s="425" t="n">
        <f aca="false">IF(CL$4&gt;='APA Inputs'!$B$6,INDEX('APA Summary'!$B$32:$J$32,CL$5-2025)/INDEX('APA Summary'!$B$22:$J$22,CL$5-2025),0)</f>
        <v>0</v>
      </c>
      <c r="CM20" s="425" t="n">
        <f aca="false">IF(CM$4&gt;='APA Inputs'!$B$6,INDEX('APA Summary'!$B$32:$J$32,CM$5-2025)/INDEX('APA Summary'!$B$22:$J$22,CM$5-2025),0)</f>
        <v>0</v>
      </c>
      <c r="CN20" s="425" t="n">
        <f aca="false">IF(CN$4&gt;='APA Inputs'!$B$6,INDEX('APA Summary'!$B$32:$J$32,CN$5-2025)/INDEX('APA Summary'!$B$22:$J$22,CN$5-2025),0)</f>
        <v>0</v>
      </c>
      <c r="CO20" s="425" t="n">
        <f aca="false">IF(CO$4&gt;='APA Inputs'!$B$6,INDEX('APA Summary'!$B$32:$J$32,CO$5-2025)/INDEX('APA Summary'!$B$22:$J$22,CO$5-2025),0)</f>
        <v>0</v>
      </c>
      <c r="CP20" s="425" t="n">
        <f aca="false">IF(CP$4&gt;='APA Inputs'!$B$6,INDEX('APA Summary'!$B$32:$J$32,CP$5-2025)/INDEX('APA Summary'!$B$22:$J$22,CP$5-2025),0)</f>
        <v>0</v>
      </c>
      <c r="CQ20" s="425" t="n">
        <f aca="false">IF(CQ$4&gt;='APA Inputs'!$B$6,INDEX('APA Summary'!$B$32:$J$32,CQ$5-2025)/INDEX('APA Summary'!$B$22:$J$22,CQ$5-2025),0)</f>
        <v>0</v>
      </c>
      <c r="CR20" s="425" t="n">
        <f aca="false">IF(CR$4&gt;='APA Inputs'!$B$6,INDEX('APA Summary'!$B$32:$J$32,CR$5-2025)/INDEX('APA Summary'!$B$22:$J$22,CR$5-2025),0)</f>
        <v>0</v>
      </c>
      <c r="CS20" s="425" t="n">
        <f aca="false">IF(CS$4&gt;='APA Inputs'!$B$6,INDEX('APA Summary'!$B$32:$J$32,CS$5-2025)/INDEX('APA Summary'!$B$22:$J$22,CS$5-2025),0)</f>
        <v>0</v>
      </c>
      <c r="CT20" s="425" t="n">
        <f aca="false">IF(CT$4&gt;='APA Inputs'!$B$6,INDEX('APA Summary'!$B$32:$J$32,CT$5-2025)/INDEX('APA Summary'!$B$22:$J$22,CT$5-2025),0)</f>
        <v>0</v>
      </c>
      <c r="CU20" s="425" t="n">
        <f aca="false">IF(CU$4&gt;='APA Inputs'!$B$6,INDEX('APA Summary'!$B$32:$J$32,CU$5-2025)/INDEX('APA Summary'!$B$22:$J$22,CU$5-2025),0)</f>
        <v>0</v>
      </c>
      <c r="CV20" s="425" t="n">
        <f aca="false">IF(CV$4&gt;='APA Inputs'!$B$6,INDEX('APA Summary'!$B$32:$J$32,CV$5-2025)/INDEX('APA Summary'!$B$22:$J$22,CV$5-2025),0)</f>
        <v>0</v>
      </c>
      <c r="CW20" s="425" t="n">
        <f aca="false">IF(CW$4&gt;='APA Inputs'!$B$6,INDEX('APA Summary'!$B$32:$J$32,CW$5-2025)/INDEX('APA Summary'!$B$22:$J$22,CW$5-2025),0)</f>
        <v>0</v>
      </c>
      <c r="CX20" s="425" t="n">
        <f aca="false">IF(CX$4&gt;='APA Inputs'!$B$6,INDEX('APA Summary'!$B$32:$J$32,CX$5-2025)/INDEX('APA Summary'!$B$22:$J$22,CX$5-2025),0)</f>
        <v>0</v>
      </c>
      <c r="CY20" s="425" t="n">
        <f aca="false">IF(CY$4&gt;='APA Inputs'!$B$6,INDEX('APA Summary'!$B$32:$J$32,CY$5-2025)/INDEX('APA Summary'!$B$22:$J$22,CY$5-2025),0)</f>
        <v>0</v>
      </c>
      <c r="CZ20" s="425" t="n">
        <f aca="false">IF(CZ$4&gt;='APA Inputs'!$B$6,INDEX('APA Summary'!$B$32:$J$32,CZ$5-2025)/INDEX('APA Summary'!$B$22:$J$22,CZ$5-2025),0)</f>
        <v>0</v>
      </c>
      <c r="DA20" s="425" t="n">
        <f aca="false">IF(DA$4&gt;='APA Inputs'!$B$6,INDEX('APA Summary'!$B$32:$J$32,DA$5-2025)/INDEX('APA Summary'!$B$22:$J$22,DA$5-2025),0)</f>
        <v>0</v>
      </c>
      <c r="DB20" s="425" t="n">
        <f aca="false">IF(DB$4&gt;='APA Inputs'!$B$6,INDEX('APA Summary'!$B$32:$J$32,DB$5-2025)/INDEX('APA Summary'!$B$22:$J$22,DB$5-2025),0)</f>
        <v>0</v>
      </c>
      <c r="DC20" s="425" t="n">
        <f aca="false">IF(DC$4&gt;='APA Inputs'!$B$6,INDEX('APA Summary'!$B$32:$J$32,DC$5-2025)/INDEX('APA Summary'!$B$22:$J$22,DC$5-2025),0)</f>
        <v>0</v>
      </c>
      <c r="DD20" s="425" t="n">
        <f aca="false">IF(DD$4&gt;='APA Inputs'!$B$6,INDEX('APA Summary'!$B$32:$J$32,DD$5-2025)/INDEX('APA Summary'!$B$22:$J$22,DD$5-2025),0)</f>
        <v>0</v>
      </c>
      <c r="DE20" s="425" t="n">
        <f aca="false">IF(DE$4&gt;='APA Inputs'!$B$6,INDEX('APA Summary'!$B$32:$J$32,DE$5-2025)/INDEX('APA Summary'!$B$22:$J$22,DE$5-2025),0)</f>
        <v>0</v>
      </c>
    </row>
    <row r="21" customFormat="false" ht="15" hidden="false" customHeight="true" outlineLevel="0" collapsed="false">
      <c r="A21" s="1" t="s">
        <v>1396</v>
      </c>
      <c r="B21" s="425" t="n">
        <f aca="false">IF(AND(MONTH(B$4)='APA Inputs'!$B$18,B$5-1&gt;=YEAR('APA Inputs'!$B$6)),INDEX('APA Summary'!$B$47:$J$47,B$5-1-2025),0)</f>
        <v>0</v>
      </c>
      <c r="C21" s="425" t="n">
        <f aca="false">IF(AND(MONTH(C$4)='APA Inputs'!$B$18,C$5-1&gt;=YEAR('APA Inputs'!$B$6)),INDEX('APA Summary'!$B$47:$J$47,C$5-1-2025),0)</f>
        <v>0</v>
      </c>
      <c r="D21" s="425" t="n">
        <f aca="false">IF(AND(MONTH(D$4)='APA Inputs'!$B$18,D$5-1&gt;=YEAR('APA Inputs'!$B$6)),INDEX('APA Summary'!$B$47:$J$47,D$5-1-2025),0)</f>
        <v>0</v>
      </c>
      <c r="E21" s="425" t="n">
        <f aca="false">IF(AND(MONTH(E$4)='APA Inputs'!$B$18,E$5-1&gt;=YEAR('APA Inputs'!$B$6)),INDEX('APA Summary'!$B$47:$J$47,E$5-1-2025),0)</f>
        <v>0</v>
      </c>
      <c r="F21" s="425" t="n">
        <f aca="false">IF(AND(MONTH(F$4)='APA Inputs'!$B$18,F$5-1&gt;=YEAR('APA Inputs'!$B$6)),INDEX('APA Summary'!$B$47:$J$47,F$5-1-2025),0)</f>
        <v>0</v>
      </c>
      <c r="G21" s="425" t="n">
        <f aca="false">IF(AND(MONTH(G$4)='APA Inputs'!$B$18,G$5-1&gt;=YEAR('APA Inputs'!$B$6)),INDEX('APA Summary'!$B$47:$J$47,G$5-1-2025),0)</f>
        <v>0</v>
      </c>
      <c r="H21" s="425" t="n">
        <f aca="false">IF(AND(MONTH(H$4)='APA Inputs'!$B$18,H$5-1&gt;=YEAR('APA Inputs'!$B$6)),INDEX('APA Summary'!$B$47:$J$47,H$5-1-2025),0)</f>
        <v>0</v>
      </c>
      <c r="I21" s="425" t="n">
        <f aca="false">IF(AND(MONTH(I$4)='APA Inputs'!$B$18,I$5-1&gt;=YEAR('APA Inputs'!$B$6)),INDEX('APA Summary'!$B$47:$J$47,I$5-1-2025),0)</f>
        <v>0</v>
      </c>
      <c r="J21" s="425" t="n">
        <f aca="false">IF(AND(MONTH(J$4)='APA Inputs'!$B$18,J$5-1&gt;=YEAR('APA Inputs'!$B$6)),INDEX('APA Summary'!$B$47:$J$47,J$5-1-2025),0)</f>
        <v>0</v>
      </c>
      <c r="K21" s="425" t="n">
        <f aca="false">IF(AND(MONTH(K$4)='APA Inputs'!$B$18,K$5-1&gt;=YEAR('APA Inputs'!$B$6)),INDEX('APA Summary'!$B$47:$J$47,K$5-1-2025),0)</f>
        <v>0</v>
      </c>
      <c r="L21" s="425" t="n">
        <f aca="false">IF(AND(MONTH(L$4)='APA Inputs'!$B$18,L$5-1&gt;=YEAR('APA Inputs'!$B$6)),INDEX('APA Summary'!$B$47:$J$47,L$5-1-2025),0)</f>
        <v>0</v>
      </c>
      <c r="M21" s="425" t="n">
        <f aca="false">IF(AND(MONTH(M$4)='APA Inputs'!$B$18,M$5-1&gt;=YEAR('APA Inputs'!$B$6)),INDEX('APA Summary'!$B$47:$J$47,M$5-1-2025),0)</f>
        <v>0</v>
      </c>
      <c r="N21" s="425" t="n">
        <f aca="false">IF(AND(MONTH(N$4)='APA Inputs'!$B$18,N$5-1&gt;=YEAR('APA Inputs'!$B$6)),INDEX('APA Summary'!$B$47:$J$47,N$5-1-2025),0)</f>
        <v>0</v>
      </c>
      <c r="O21" s="425" t="n">
        <f aca="false">IF(AND(MONTH(O$4)='APA Inputs'!$B$18,O$5-1&gt;=YEAR('APA Inputs'!$B$6)),INDEX('APA Summary'!$B$47:$J$47,O$5-1-2025),0)</f>
        <v>0</v>
      </c>
      <c r="P21" s="425" t="n">
        <f aca="false">IF(AND(MONTH(P$4)='APA Inputs'!$B$18,P$5-1&gt;=YEAR('APA Inputs'!$B$6)),INDEX('APA Summary'!$B$47:$J$47,P$5-1-2025),0)</f>
        <v>915.383032999997</v>
      </c>
      <c r="Q21" s="425" t="n">
        <f aca="false">IF(AND(MONTH(Q$4)='APA Inputs'!$B$18,Q$5-1&gt;=YEAR('APA Inputs'!$B$6)),INDEX('APA Summary'!$B$47:$J$47,Q$5-1-2025),0)</f>
        <v>0</v>
      </c>
      <c r="R21" s="425" t="n">
        <f aca="false">IF(AND(MONTH(R$4)='APA Inputs'!$B$18,R$5-1&gt;=YEAR('APA Inputs'!$B$6)),INDEX('APA Summary'!$B$47:$J$47,R$5-1-2025),0)</f>
        <v>0</v>
      </c>
      <c r="S21" s="425" t="n">
        <f aca="false">IF(AND(MONTH(S$4)='APA Inputs'!$B$18,S$5-1&gt;=YEAR('APA Inputs'!$B$6)),INDEX('APA Summary'!$B$47:$J$47,S$5-1-2025),0)</f>
        <v>0</v>
      </c>
      <c r="T21" s="425" t="n">
        <f aca="false">IF(AND(MONTH(T$4)='APA Inputs'!$B$18,T$5-1&gt;=YEAR('APA Inputs'!$B$6)),INDEX('APA Summary'!$B$47:$J$47,T$5-1-2025),0)</f>
        <v>0</v>
      </c>
      <c r="U21" s="425" t="n">
        <f aca="false">IF(AND(MONTH(U$4)='APA Inputs'!$B$18,U$5-1&gt;=YEAR('APA Inputs'!$B$6)),INDEX('APA Summary'!$B$47:$J$47,U$5-1-2025),0)</f>
        <v>0</v>
      </c>
      <c r="V21" s="425" t="n">
        <f aca="false">IF(AND(MONTH(V$4)='APA Inputs'!$B$18,V$5-1&gt;=YEAR('APA Inputs'!$B$6)),INDEX('APA Summary'!$B$47:$J$47,V$5-1-2025),0)</f>
        <v>0</v>
      </c>
      <c r="W21" s="425" t="n">
        <f aca="false">IF(AND(MONTH(W$4)='APA Inputs'!$B$18,W$5-1&gt;=YEAR('APA Inputs'!$B$6)),INDEX('APA Summary'!$B$47:$J$47,W$5-1-2025),0)</f>
        <v>0</v>
      </c>
      <c r="X21" s="425" t="n">
        <f aca="false">IF(AND(MONTH(X$4)='APA Inputs'!$B$18,X$5-1&gt;=YEAR('APA Inputs'!$B$6)),INDEX('APA Summary'!$B$47:$J$47,X$5-1-2025),0)</f>
        <v>0</v>
      </c>
      <c r="Y21" s="425" t="n">
        <f aca="false">IF(AND(MONTH(Y$4)='APA Inputs'!$B$18,Y$5-1&gt;=YEAR('APA Inputs'!$B$6)),INDEX('APA Summary'!$B$47:$J$47,Y$5-1-2025),0)</f>
        <v>0</v>
      </c>
      <c r="Z21" s="425" t="n">
        <f aca="false">IF(AND(MONTH(Z$4)='APA Inputs'!$B$18,Z$5-1&gt;=YEAR('APA Inputs'!$B$6)),INDEX('APA Summary'!$B$47:$J$47,Z$5-1-2025),0)</f>
        <v>0</v>
      </c>
      <c r="AA21" s="425" t="n">
        <f aca="false">IF(AND(MONTH(AA$4)='APA Inputs'!$B$18,AA$5-1&gt;=YEAR('APA Inputs'!$B$6)),INDEX('APA Summary'!$B$47:$J$47,AA$5-1-2025),0)</f>
        <v>0</v>
      </c>
      <c r="AB21" s="425" t="n">
        <f aca="false">IF(AND(MONTH(AB$4)='APA Inputs'!$B$18,AB$5-1&gt;=YEAR('APA Inputs'!$B$6)),INDEX('APA Summary'!$B$47:$J$47,AB$5-1-2025),0)</f>
        <v>0</v>
      </c>
      <c r="AC21" s="425" t="n">
        <f aca="false">IF(AND(MONTH(AC$4)='APA Inputs'!$B$18,AC$5-1&gt;=YEAR('APA Inputs'!$B$6)),INDEX('APA Summary'!$B$47:$J$47,AC$5-1-2025),0)</f>
        <v>0</v>
      </c>
      <c r="AD21" s="425" t="n">
        <f aca="false">IF(AND(MONTH(AD$4)='APA Inputs'!$B$18,AD$5-1&gt;=YEAR('APA Inputs'!$B$6)),INDEX('APA Summary'!$B$47:$J$47,AD$5-1-2025),0)</f>
        <v>0</v>
      </c>
      <c r="AE21" s="425" t="n">
        <f aca="false">IF(AND(MONTH(AE$4)='APA Inputs'!$B$18,AE$5-1&gt;=YEAR('APA Inputs'!$B$6)),INDEX('APA Summary'!$B$47:$J$47,AE$5-1-2025),0)</f>
        <v>0</v>
      </c>
      <c r="AF21" s="425" t="n">
        <f aca="false">IF(AND(MONTH(AF$4)='APA Inputs'!$B$18,AF$5-1&gt;=YEAR('APA Inputs'!$B$6)),INDEX('APA Summary'!$B$47:$J$47,AF$5-1-2025),0)</f>
        <v>0</v>
      </c>
      <c r="AG21" s="425" t="n">
        <f aca="false">IF(AND(MONTH(AG$4)='APA Inputs'!$B$18,AG$5-1&gt;=YEAR('APA Inputs'!$B$6)),INDEX('APA Summary'!$B$47:$J$47,AG$5-1-2025),0)</f>
        <v>0</v>
      </c>
      <c r="AH21" s="425" t="n">
        <f aca="false">IF(AND(MONTH(AH$4)='APA Inputs'!$B$18,AH$5-1&gt;=YEAR('APA Inputs'!$B$6)),INDEX('APA Summary'!$B$47:$J$47,AH$5-1-2025),0)</f>
        <v>0</v>
      </c>
      <c r="AI21" s="425" t="n">
        <f aca="false">IF(AND(MONTH(AI$4)='APA Inputs'!$B$18,AI$5-1&gt;=YEAR('APA Inputs'!$B$6)),INDEX('APA Summary'!$B$47:$J$47,AI$5-1-2025),0)</f>
        <v>0</v>
      </c>
      <c r="AJ21" s="425" t="n">
        <f aca="false">IF(AND(MONTH(AJ$4)='APA Inputs'!$B$18,AJ$5-1&gt;=YEAR('APA Inputs'!$B$6)),INDEX('APA Summary'!$B$47:$J$47,AJ$5-1-2025),0)</f>
        <v>0</v>
      </c>
      <c r="AK21" s="425" t="n">
        <f aca="false">IF(AND(MONTH(AK$4)='APA Inputs'!$B$18,AK$5-1&gt;=YEAR('APA Inputs'!$B$6)),INDEX('APA Summary'!$B$47:$J$47,AK$5-1-2025),0)</f>
        <v>0</v>
      </c>
      <c r="AL21" s="425" t="n">
        <f aca="false">IF(AND(MONTH(AL$4)='APA Inputs'!$B$18,AL$5-1&gt;=YEAR('APA Inputs'!$B$6)),INDEX('APA Summary'!$B$47:$J$47,AL$5-1-2025),0)</f>
        <v>0</v>
      </c>
      <c r="AM21" s="425" t="n">
        <f aca="false">IF(AND(MONTH(AM$4)='APA Inputs'!$B$18,AM$5-1&gt;=YEAR('APA Inputs'!$B$6)),INDEX('APA Summary'!$B$47:$J$47,AM$5-1-2025),0)</f>
        <v>0</v>
      </c>
      <c r="AN21" s="425" t="n">
        <f aca="false">IF(AND(MONTH(AN$4)='APA Inputs'!$B$18,AN$5-1&gt;=YEAR('APA Inputs'!$B$6)),INDEX('APA Summary'!$B$47:$J$47,AN$5-1-2025),0)</f>
        <v>0</v>
      </c>
      <c r="AO21" s="425" t="n">
        <f aca="false">IF(AND(MONTH(AO$4)='APA Inputs'!$B$18,AO$5-1&gt;=YEAR('APA Inputs'!$B$6)),INDEX('APA Summary'!$B$47:$J$47,AO$5-1-2025),0)</f>
        <v>0</v>
      </c>
      <c r="AP21" s="425" t="n">
        <f aca="false">IF(AND(MONTH(AP$4)='APA Inputs'!$B$18,AP$5-1&gt;=YEAR('APA Inputs'!$B$6)),INDEX('APA Summary'!$B$47:$J$47,AP$5-1-2025),0)</f>
        <v>0</v>
      </c>
      <c r="AQ21" s="425" t="n">
        <f aca="false">IF(AND(MONTH(AQ$4)='APA Inputs'!$B$18,AQ$5-1&gt;=YEAR('APA Inputs'!$B$6)),INDEX('APA Summary'!$B$47:$J$47,AQ$5-1-2025),0)</f>
        <v>0</v>
      </c>
      <c r="AR21" s="425" t="n">
        <f aca="false">IF(AND(MONTH(AR$4)='APA Inputs'!$B$18,AR$5-1&gt;=YEAR('APA Inputs'!$B$6)),INDEX('APA Summary'!$B$47:$J$47,AR$5-1-2025),0)</f>
        <v>0</v>
      </c>
      <c r="AS21" s="425" t="n">
        <f aca="false">IF(AND(MONTH(AS$4)='APA Inputs'!$B$18,AS$5-1&gt;=YEAR('APA Inputs'!$B$6)),INDEX('APA Summary'!$B$47:$J$47,AS$5-1-2025),0)</f>
        <v>0</v>
      </c>
      <c r="AT21" s="425" t="n">
        <f aca="false">IF(AND(MONTH(AT$4)='APA Inputs'!$B$18,AT$5-1&gt;=YEAR('APA Inputs'!$B$6)),INDEX('APA Summary'!$B$47:$J$47,AT$5-1-2025),0)</f>
        <v>0</v>
      </c>
      <c r="AU21" s="425" t="n">
        <f aca="false">IF(AND(MONTH(AU$4)='APA Inputs'!$B$18,AU$5-1&gt;=YEAR('APA Inputs'!$B$6)),INDEX('APA Summary'!$B$47:$J$47,AU$5-1-2025),0)</f>
        <v>0</v>
      </c>
      <c r="AV21" s="425" t="n">
        <f aca="false">IF(AND(MONTH(AV$4)='APA Inputs'!$B$18,AV$5-1&gt;=YEAR('APA Inputs'!$B$6)),INDEX('APA Summary'!$B$47:$J$47,AV$5-1-2025),0)</f>
        <v>0</v>
      </c>
      <c r="AW21" s="425" t="n">
        <f aca="false">IF(AND(MONTH(AW$4)='APA Inputs'!$B$18,AW$5-1&gt;=YEAR('APA Inputs'!$B$6)),INDEX('APA Summary'!$B$47:$J$47,AW$5-1-2025),0)</f>
        <v>0</v>
      </c>
      <c r="AX21" s="425" t="n">
        <f aca="false">IF(AND(MONTH(AX$4)='APA Inputs'!$B$18,AX$5-1&gt;=YEAR('APA Inputs'!$B$6)),INDEX('APA Summary'!$B$47:$J$47,AX$5-1-2025),0)</f>
        <v>0</v>
      </c>
      <c r="AY21" s="425" t="n">
        <f aca="false">IF(AND(MONTH(AY$4)='APA Inputs'!$B$18,AY$5-1&gt;=YEAR('APA Inputs'!$B$6)),INDEX('APA Summary'!$B$47:$J$47,AY$5-1-2025),0)</f>
        <v>0</v>
      </c>
      <c r="AZ21" s="425" t="n">
        <f aca="false">IF(AND(MONTH(AZ$4)='APA Inputs'!$B$18,AZ$5-1&gt;=YEAR('APA Inputs'!$B$6)),INDEX('APA Summary'!$B$47:$J$47,AZ$5-1-2025),0)</f>
        <v>0</v>
      </c>
      <c r="BA21" s="425" t="n">
        <f aca="false">IF(AND(MONTH(BA$4)='APA Inputs'!$B$18,BA$5-1&gt;=YEAR('APA Inputs'!$B$6)),INDEX('APA Summary'!$B$47:$J$47,BA$5-1-2025),0)</f>
        <v>0</v>
      </c>
      <c r="BB21" s="425" t="n">
        <f aca="false">IF(AND(MONTH(BB$4)='APA Inputs'!$B$18,BB$5-1&gt;=YEAR('APA Inputs'!$B$6)),INDEX('APA Summary'!$B$47:$J$47,BB$5-1-2025),0)</f>
        <v>0</v>
      </c>
      <c r="BC21" s="425" t="n">
        <f aca="false">IF(AND(MONTH(BC$4)='APA Inputs'!$B$18,BC$5-1&gt;=YEAR('APA Inputs'!$B$6)),INDEX('APA Summary'!$B$47:$J$47,BC$5-1-2025),0)</f>
        <v>0</v>
      </c>
      <c r="BD21" s="425" t="n">
        <f aca="false">IF(AND(MONTH(BD$4)='APA Inputs'!$B$18,BD$5-1&gt;=YEAR('APA Inputs'!$B$6)),INDEX('APA Summary'!$B$47:$J$47,BD$5-1-2025),0)</f>
        <v>0</v>
      </c>
      <c r="BE21" s="425" t="n">
        <f aca="false">IF(AND(MONTH(BE$4)='APA Inputs'!$B$18,BE$5-1&gt;=YEAR('APA Inputs'!$B$6)),INDEX('APA Summary'!$B$47:$J$47,BE$5-1-2025),0)</f>
        <v>0</v>
      </c>
      <c r="BF21" s="425" t="n">
        <f aca="false">IF(AND(MONTH(BF$4)='APA Inputs'!$B$18,BF$5-1&gt;=YEAR('APA Inputs'!$B$6)),INDEX('APA Summary'!$B$47:$J$47,BF$5-1-2025),0)</f>
        <v>0</v>
      </c>
      <c r="BG21" s="425" t="n">
        <f aca="false">IF(AND(MONTH(BG$4)='APA Inputs'!$B$18,BG$5-1&gt;=YEAR('APA Inputs'!$B$6)),INDEX('APA Summary'!$B$47:$J$47,BG$5-1-2025),0)</f>
        <v>0</v>
      </c>
      <c r="BH21" s="425" t="n">
        <f aca="false">IF(AND(MONTH(BH$4)='APA Inputs'!$B$18,BH$5-1&gt;=YEAR('APA Inputs'!$B$6)),INDEX('APA Summary'!$B$47:$J$47,BH$5-1-2025),0)</f>
        <v>0</v>
      </c>
      <c r="BI21" s="425" t="n">
        <f aca="false">IF(AND(MONTH(BI$4)='APA Inputs'!$B$18,BI$5-1&gt;=YEAR('APA Inputs'!$B$6)),INDEX('APA Summary'!$B$47:$J$47,BI$5-1-2025),0)</f>
        <v>0</v>
      </c>
      <c r="BJ21" s="425" t="n">
        <f aca="false">IF(AND(MONTH(BJ$4)='APA Inputs'!$B$18,BJ$5-1&gt;=YEAR('APA Inputs'!$B$6)),INDEX('APA Summary'!$B$47:$J$47,BJ$5-1-2025),0)</f>
        <v>0</v>
      </c>
      <c r="BK21" s="425" t="n">
        <f aca="false">IF(AND(MONTH(BK$4)='APA Inputs'!$B$18,BK$5-1&gt;=YEAR('APA Inputs'!$B$6)),INDEX('APA Summary'!$B$47:$J$47,BK$5-1-2025),0)</f>
        <v>0</v>
      </c>
      <c r="BL21" s="425" t="n">
        <f aca="false">IF(AND(MONTH(BL$4)='APA Inputs'!$B$18,BL$5-1&gt;=YEAR('APA Inputs'!$B$6)),INDEX('APA Summary'!$B$47:$J$47,BL$5-1-2025),0)</f>
        <v>0</v>
      </c>
      <c r="BM21" s="425" t="n">
        <f aca="false">IF(AND(MONTH(BM$4)='APA Inputs'!$B$18,BM$5-1&gt;=YEAR('APA Inputs'!$B$6)),INDEX('APA Summary'!$B$47:$J$47,BM$5-1-2025),0)</f>
        <v>0</v>
      </c>
      <c r="BN21" s="425" t="n">
        <f aca="false">IF(AND(MONTH(BN$4)='APA Inputs'!$B$18,BN$5-1&gt;=YEAR('APA Inputs'!$B$6)),INDEX('APA Summary'!$B$47:$J$47,BN$5-1-2025),0)</f>
        <v>0</v>
      </c>
      <c r="BO21" s="425" t="n">
        <f aca="false">IF(AND(MONTH(BO$4)='APA Inputs'!$B$18,BO$5-1&gt;=YEAR('APA Inputs'!$B$6)),INDEX('APA Summary'!$B$47:$J$47,BO$5-1-2025),0)</f>
        <v>0</v>
      </c>
      <c r="BP21" s="425" t="n">
        <f aca="false">IF(AND(MONTH(BP$4)='APA Inputs'!$B$18,BP$5-1&gt;=YEAR('APA Inputs'!$B$6)),INDEX('APA Summary'!$B$47:$J$47,BP$5-1-2025),0)</f>
        <v>0</v>
      </c>
      <c r="BQ21" s="425" t="n">
        <f aca="false">IF(AND(MONTH(BQ$4)='APA Inputs'!$B$18,BQ$5-1&gt;=YEAR('APA Inputs'!$B$6)),INDEX('APA Summary'!$B$47:$J$47,BQ$5-1-2025),0)</f>
        <v>0</v>
      </c>
      <c r="BR21" s="425" t="n">
        <f aca="false">IF(AND(MONTH(BR$4)='APA Inputs'!$B$18,BR$5-1&gt;=YEAR('APA Inputs'!$B$6)),INDEX('APA Summary'!$B$47:$J$47,BR$5-1-2025),0)</f>
        <v>0</v>
      </c>
      <c r="BS21" s="425" t="n">
        <f aca="false">IF(AND(MONTH(BS$4)='APA Inputs'!$B$18,BS$5-1&gt;=YEAR('APA Inputs'!$B$6)),INDEX('APA Summary'!$B$47:$J$47,BS$5-1-2025),0)</f>
        <v>0</v>
      </c>
      <c r="BT21" s="425" t="n">
        <f aca="false">IF(AND(MONTH(BT$4)='APA Inputs'!$B$18,BT$5-1&gt;=YEAR('APA Inputs'!$B$6)),INDEX('APA Summary'!$B$47:$J$47,BT$5-1-2025),0)</f>
        <v>0</v>
      </c>
      <c r="BU21" s="425" t="n">
        <f aca="false">IF(AND(MONTH(BU$4)='APA Inputs'!$B$18,BU$5-1&gt;=YEAR('APA Inputs'!$B$6)),INDEX('APA Summary'!$B$47:$J$47,BU$5-1-2025),0)</f>
        <v>0</v>
      </c>
      <c r="BV21" s="425" t="n">
        <f aca="false">IF(AND(MONTH(BV$4)='APA Inputs'!$B$18,BV$5-1&gt;=YEAR('APA Inputs'!$B$6)),INDEX('APA Summary'!$B$47:$J$47,BV$5-1-2025),0)</f>
        <v>0</v>
      </c>
      <c r="BW21" s="425" t="n">
        <f aca="false">IF(AND(MONTH(BW$4)='APA Inputs'!$B$18,BW$5-1&gt;=YEAR('APA Inputs'!$B$6)),INDEX('APA Summary'!$B$47:$J$47,BW$5-1-2025),0)</f>
        <v>0</v>
      </c>
      <c r="BX21" s="425" t="n">
        <f aca="false">IF(AND(MONTH(BX$4)='APA Inputs'!$B$18,BX$5-1&gt;=YEAR('APA Inputs'!$B$6)),INDEX('APA Summary'!$B$47:$J$47,BX$5-1-2025),0)</f>
        <v>0</v>
      </c>
      <c r="BY21" s="425" t="n">
        <f aca="false">IF(AND(MONTH(BY$4)='APA Inputs'!$B$18,BY$5-1&gt;=YEAR('APA Inputs'!$B$6)),INDEX('APA Summary'!$B$47:$J$47,BY$5-1-2025),0)</f>
        <v>0</v>
      </c>
      <c r="BZ21" s="425" t="n">
        <f aca="false">IF(AND(MONTH(BZ$4)='APA Inputs'!$B$18,BZ$5-1&gt;=YEAR('APA Inputs'!$B$6)),INDEX('APA Summary'!$B$47:$J$47,BZ$5-1-2025),0)</f>
        <v>0</v>
      </c>
      <c r="CA21" s="425" t="n">
        <f aca="false">IF(AND(MONTH(CA$4)='APA Inputs'!$B$18,CA$5-1&gt;=YEAR('APA Inputs'!$B$6)),INDEX('APA Summary'!$B$47:$J$47,CA$5-1-2025),0)</f>
        <v>0</v>
      </c>
      <c r="CB21" s="425" t="n">
        <f aca="false">IF(AND(MONTH(CB$4)='APA Inputs'!$B$18,CB$5-1&gt;=YEAR('APA Inputs'!$B$6)),INDEX('APA Summary'!$B$47:$J$47,CB$5-1-2025),0)</f>
        <v>0</v>
      </c>
      <c r="CC21" s="425" t="n">
        <f aca="false">IF(AND(MONTH(CC$4)='APA Inputs'!$B$18,CC$5-1&gt;=YEAR('APA Inputs'!$B$6)),INDEX('APA Summary'!$B$47:$J$47,CC$5-1-2025),0)</f>
        <v>0</v>
      </c>
      <c r="CD21" s="425" t="n">
        <f aca="false">IF(AND(MONTH(CD$4)='APA Inputs'!$B$18,CD$5-1&gt;=YEAR('APA Inputs'!$B$6)),INDEX('APA Summary'!$B$47:$J$47,CD$5-1-2025),0)</f>
        <v>0</v>
      </c>
      <c r="CE21" s="425" t="n">
        <f aca="false">IF(AND(MONTH(CE$4)='APA Inputs'!$B$18,CE$5-1&gt;=YEAR('APA Inputs'!$B$6)),INDEX('APA Summary'!$B$47:$J$47,CE$5-1-2025),0)</f>
        <v>0</v>
      </c>
      <c r="CF21" s="425" t="n">
        <f aca="false">IF(AND(MONTH(CF$4)='APA Inputs'!$B$18,CF$5-1&gt;=YEAR('APA Inputs'!$B$6)),INDEX('APA Summary'!$B$47:$J$47,CF$5-1-2025),0)</f>
        <v>0</v>
      </c>
      <c r="CG21" s="425" t="n">
        <f aca="false">IF(AND(MONTH(CG$4)='APA Inputs'!$B$18,CG$5-1&gt;=YEAR('APA Inputs'!$B$6)),INDEX('APA Summary'!$B$47:$J$47,CG$5-1-2025),0)</f>
        <v>0</v>
      </c>
      <c r="CH21" s="425" t="n">
        <f aca="false">IF(AND(MONTH(CH$4)='APA Inputs'!$B$18,CH$5-1&gt;=YEAR('APA Inputs'!$B$6)),INDEX('APA Summary'!$B$47:$J$47,CH$5-1-2025),0)</f>
        <v>0</v>
      </c>
      <c r="CI21" s="425" t="n">
        <f aca="false">IF(AND(MONTH(CI$4)='APA Inputs'!$B$18,CI$5-1&gt;=YEAR('APA Inputs'!$B$6)),INDEX('APA Summary'!$B$47:$J$47,CI$5-1-2025),0)</f>
        <v>0</v>
      </c>
      <c r="CJ21" s="425" t="n">
        <f aca="false">IF(AND(MONTH(CJ$4)='APA Inputs'!$B$18,CJ$5-1&gt;=YEAR('APA Inputs'!$B$6)),INDEX('APA Summary'!$B$47:$J$47,CJ$5-1-2025),0)</f>
        <v>0</v>
      </c>
      <c r="CK21" s="425" t="n">
        <f aca="false">IF(AND(MONTH(CK$4)='APA Inputs'!$B$18,CK$5-1&gt;=YEAR('APA Inputs'!$B$6)),INDEX('APA Summary'!$B$47:$J$47,CK$5-1-2025),0)</f>
        <v>0</v>
      </c>
      <c r="CL21" s="425" t="n">
        <f aca="false">IF(AND(MONTH(CL$4)='APA Inputs'!$B$18,CL$5-1&gt;=YEAR('APA Inputs'!$B$6)),INDEX('APA Summary'!$B$47:$J$47,CL$5-1-2025),0)</f>
        <v>0</v>
      </c>
      <c r="CM21" s="425" t="n">
        <f aca="false">IF(AND(MONTH(CM$4)='APA Inputs'!$B$18,CM$5-1&gt;=YEAR('APA Inputs'!$B$6)),INDEX('APA Summary'!$B$47:$J$47,CM$5-1-2025),0)</f>
        <v>0</v>
      </c>
      <c r="CN21" s="425" t="n">
        <f aca="false">IF(AND(MONTH(CN$4)='APA Inputs'!$B$18,CN$5-1&gt;=YEAR('APA Inputs'!$B$6)),INDEX('APA Summary'!$B$47:$J$47,CN$5-1-2025),0)</f>
        <v>0</v>
      </c>
      <c r="CO21" s="425" t="n">
        <f aca="false">IF(AND(MONTH(CO$4)='APA Inputs'!$B$18,CO$5-1&gt;=YEAR('APA Inputs'!$B$6)),INDEX('APA Summary'!$B$47:$J$47,CO$5-1-2025),0)</f>
        <v>0</v>
      </c>
      <c r="CP21" s="425" t="n">
        <f aca="false">IF(AND(MONTH(CP$4)='APA Inputs'!$B$18,CP$5-1&gt;=YEAR('APA Inputs'!$B$6)),INDEX('APA Summary'!$B$47:$J$47,CP$5-1-2025),0)</f>
        <v>0</v>
      </c>
      <c r="CQ21" s="425" t="n">
        <f aca="false">IF(AND(MONTH(CQ$4)='APA Inputs'!$B$18,CQ$5-1&gt;=YEAR('APA Inputs'!$B$6)),INDEX('APA Summary'!$B$47:$J$47,CQ$5-1-2025),0)</f>
        <v>0</v>
      </c>
      <c r="CR21" s="425" t="n">
        <f aca="false">IF(AND(MONTH(CR$4)='APA Inputs'!$B$18,CR$5-1&gt;=YEAR('APA Inputs'!$B$6)),INDEX('APA Summary'!$B$47:$J$47,CR$5-1-2025),0)</f>
        <v>0</v>
      </c>
      <c r="CS21" s="425" t="n">
        <f aca="false">IF(AND(MONTH(CS$4)='APA Inputs'!$B$18,CS$5-1&gt;=YEAR('APA Inputs'!$B$6)),INDEX('APA Summary'!$B$47:$J$47,CS$5-1-2025),0)</f>
        <v>0</v>
      </c>
      <c r="CT21" s="425" t="n">
        <f aca="false">IF(AND(MONTH(CT$4)='APA Inputs'!$B$18,CT$5-1&gt;=YEAR('APA Inputs'!$B$6)),INDEX('APA Summary'!$B$47:$J$47,CT$5-1-2025),0)</f>
        <v>0</v>
      </c>
      <c r="CU21" s="425" t="n">
        <f aca="false">IF(AND(MONTH(CU$4)='APA Inputs'!$B$18,CU$5-1&gt;=YEAR('APA Inputs'!$B$6)),INDEX('APA Summary'!$B$47:$J$47,CU$5-1-2025),0)</f>
        <v>0</v>
      </c>
      <c r="CV21" s="425" t="n">
        <f aca="false">IF(AND(MONTH(CV$4)='APA Inputs'!$B$18,CV$5-1&gt;=YEAR('APA Inputs'!$B$6)),INDEX('APA Summary'!$B$47:$J$47,CV$5-1-2025),0)</f>
        <v>0</v>
      </c>
      <c r="CW21" s="425" t="n">
        <f aca="false">IF(AND(MONTH(CW$4)='APA Inputs'!$B$18,CW$5-1&gt;=YEAR('APA Inputs'!$B$6)),INDEX('APA Summary'!$B$47:$J$47,CW$5-1-2025),0)</f>
        <v>0</v>
      </c>
      <c r="CX21" s="425" t="n">
        <f aca="false">IF(AND(MONTH(CX$4)='APA Inputs'!$B$18,CX$5-1&gt;=YEAR('APA Inputs'!$B$6)),INDEX('APA Summary'!$B$47:$J$47,CX$5-1-2025),0)</f>
        <v>0</v>
      </c>
      <c r="CY21" s="425" t="n">
        <f aca="false">IF(AND(MONTH(CY$4)='APA Inputs'!$B$18,CY$5-1&gt;=YEAR('APA Inputs'!$B$6)),INDEX('APA Summary'!$B$47:$J$47,CY$5-1-2025),0)</f>
        <v>0</v>
      </c>
      <c r="CZ21" s="425" t="n">
        <f aca="false">IF(AND(MONTH(CZ$4)='APA Inputs'!$B$18,CZ$5-1&gt;=YEAR('APA Inputs'!$B$6)),INDEX('APA Summary'!$B$47:$J$47,CZ$5-1-2025),0)</f>
        <v>0</v>
      </c>
      <c r="DA21" s="425" t="n">
        <f aca="false">IF(AND(MONTH(DA$4)='APA Inputs'!$B$18,DA$5-1&gt;=YEAR('APA Inputs'!$B$6)),INDEX('APA Summary'!$B$47:$J$47,DA$5-1-2025),0)</f>
        <v>0</v>
      </c>
      <c r="DB21" s="425" t="n">
        <f aca="false">IF(AND(MONTH(DB$4)='APA Inputs'!$B$18,DB$5-1&gt;=YEAR('APA Inputs'!$B$6)),INDEX('APA Summary'!$B$47:$J$47,DB$5-1-2025),0)</f>
        <v>0</v>
      </c>
      <c r="DC21" s="425" t="n">
        <f aca="false">IF(AND(MONTH(DC$4)='APA Inputs'!$B$18,DC$5-1&gt;=YEAR('APA Inputs'!$B$6)),INDEX('APA Summary'!$B$47:$J$47,DC$5-1-2025),0)</f>
        <v>0</v>
      </c>
      <c r="DD21" s="425" t="n">
        <f aca="false">IF(AND(MONTH(DD$4)='APA Inputs'!$B$18,DD$5-1&gt;=YEAR('APA Inputs'!$B$6)),INDEX('APA Summary'!$B$47:$J$47,DD$5-1-2025),0)</f>
        <v>0</v>
      </c>
      <c r="DE21" s="425" t="n">
        <f aca="false">IF(AND(MONTH(DE$4)='APA Inputs'!$B$18,DE$5-1&gt;=YEAR('APA Inputs'!$B$6)),INDEX('APA Summary'!$B$47:$J$47,DE$5-1-2025),0)</f>
        <v>0</v>
      </c>
    </row>
    <row r="22" customFormat="false" ht="15" hidden="false" customHeight="true" outlineLevel="0" collapsed="false">
      <c r="A22" s="406" t="s">
        <v>1397</v>
      </c>
      <c r="B22" s="425" t="n">
        <f aca="false">B20+B21</f>
        <v>0</v>
      </c>
      <c r="C22" s="425" t="n">
        <f aca="false">C20+C21</f>
        <v>0</v>
      </c>
      <c r="D22" s="425" t="n">
        <f aca="false">D20+D21</f>
        <v>0</v>
      </c>
      <c r="E22" s="425" t="n">
        <f aca="false">E20+E21</f>
        <v>0</v>
      </c>
      <c r="F22" s="425" t="n">
        <f aca="false">F20+F21</f>
        <v>0</v>
      </c>
      <c r="G22" s="425" t="n">
        <f aca="false">G20+G21</f>
        <v>0</v>
      </c>
      <c r="H22" s="425" t="n">
        <f aca="false">H20+H21</f>
        <v>1108.06288333333</v>
      </c>
      <c r="I22" s="425" t="n">
        <f aca="false">I20+I21</f>
        <v>1108.06288333333</v>
      </c>
      <c r="J22" s="425" t="n">
        <f aca="false">J20+J21</f>
        <v>1108.06288333333</v>
      </c>
      <c r="K22" s="425" t="n">
        <f aca="false">K20+K21</f>
        <v>1108.06288333333</v>
      </c>
      <c r="L22" s="425" t="n">
        <f aca="false">L20+L21</f>
        <v>1108.06288333333</v>
      </c>
      <c r="M22" s="425" t="n">
        <f aca="false">M20+M21</f>
        <v>1108.06288333333</v>
      </c>
      <c r="N22" s="425" t="n">
        <f aca="false">N20+N21</f>
        <v>0</v>
      </c>
      <c r="O22" s="425" t="n">
        <f aca="false">O20+O21</f>
        <v>0</v>
      </c>
      <c r="P22" s="425" t="n">
        <f aca="false">P20+P21</f>
        <v>915.383032999997</v>
      </c>
      <c r="Q22" s="425" t="n">
        <f aca="false">Q20+Q21</f>
        <v>0</v>
      </c>
      <c r="R22" s="425" t="n">
        <f aca="false">R20+R21</f>
        <v>0</v>
      </c>
      <c r="S22" s="425" t="n">
        <f aca="false">S20+S21</f>
        <v>0</v>
      </c>
      <c r="T22" s="425" t="n">
        <f aca="false">T20+T21</f>
        <v>0</v>
      </c>
      <c r="U22" s="425" t="n">
        <f aca="false">U20+U21</f>
        <v>0</v>
      </c>
      <c r="V22" s="425" t="n">
        <f aca="false">V20+V21</f>
        <v>0</v>
      </c>
      <c r="W22" s="425" t="n">
        <f aca="false">W20+W21</f>
        <v>0</v>
      </c>
      <c r="X22" s="425" t="n">
        <f aca="false">X20+X21</f>
        <v>0</v>
      </c>
      <c r="Y22" s="425" t="n">
        <f aca="false">Y20+Y21</f>
        <v>0</v>
      </c>
      <c r="Z22" s="425" t="n">
        <f aca="false">Z20+Z21</f>
        <v>0</v>
      </c>
      <c r="AA22" s="425" t="n">
        <f aca="false">AA20+AA21</f>
        <v>0</v>
      </c>
      <c r="AB22" s="425" t="n">
        <f aca="false">AB20+AB21</f>
        <v>0</v>
      </c>
      <c r="AC22" s="425" t="n">
        <f aca="false">AC20+AC21</f>
        <v>0</v>
      </c>
      <c r="AD22" s="425" t="n">
        <f aca="false">AD20+AD21</f>
        <v>0</v>
      </c>
      <c r="AE22" s="425" t="n">
        <f aca="false">AE20+AE21</f>
        <v>0</v>
      </c>
      <c r="AF22" s="425" t="n">
        <f aca="false">AF20+AF21</f>
        <v>0</v>
      </c>
      <c r="AG22" s="425" t="n">
        <f aca="false">AG20+AG21</f>
        <v>0</v>
      </c>
      <c r="AH22" s="425" t="n">
        <f aca="false">AH20+AH21</f>
        <v>0</v>
      </c>
      <c r="AI22" s="425" t="n">
        <f aca="false">AI20+AI21</f>
        <v>0</v>
      </c>
      <c r="AJ22" s="425" t="n">
        <f aca="false">AJ20+AJ21</f>
        <v>0</v>
      </c>
      <c r="AK22" s="425" t="n">
        <f aca="false">AK20+AK21</f>
        <v>0</v>
      </c>
      <c r="AL22" s="425" t="n">
        <f aca="false">AL20+AL21</f>
        <v>0</v>
      </c>
      <c r="AM22" s="425" t="n">
        <f aca="false">AM20+AM21</f>
        <v>0</v>
      </c>
      <c r="AN22" s="425" t="n">
        <f aca="false">AN20+AN21</f>
        <v>0</v>
      </c>
      <c r="AO22" s="425" t="n">
        <f aca="false">AO20+AO21</f>
        <v>0</v>
      </c>
      <c r="AP22" s="425" t="n">
        <f aca="false">AP20+AP21</f>
        <v>0</v>
      </c>
      <c r="AQ22" s="425" t="n">
        <f aca="false">AQ20+AQ21</f>
        <v>0</v>
      </c>
      <c r="AR22" s="425" t="n">
        <f aca="false">AR20+AR21</f>
        <v>0</v>
      </c>
      <c r="AS22" s="425" t="n">
        <f aca="false">AS20+AS21</f>
        <v>0</v>
      </c>
      <c r="AT22" s="425" t="n">
        <f aca="false">AT20+AT21</f>
        <v>0</v>
      </c>
      <c r="AU22" s="425" t="n">
        <f aca="false">AU20+AU21</f>
        <v>0</v>
      </c>
      <c r="AV22" s="425" t="n">
        <f aca="false">AV20+AV21</f>
        <v>0</v>
      </c>
      <c r="AW22" s="425" t="n">
        <f aca="false">AW20+AW21</f>
        <v>0</v>
      </c>
      <c r="AX22" s="425" t="n">
        <f aca="false">AX20+AX21</f>
        <v>0</v>
      </c>
      <c r="AY22" s="425" t="n">
        <f aca="false">AY20+AY21</f>
        <v>0</v>
      </c>
      <c r="AZ22" s="425" t="n">
        <f aca="false">AZ20+AZ21</f>
        <v>0</v>
      </c>
      <c r="BA22" s="425" t="n">
        <f aca="false">BA20+BA21</f>
        <v>0</v>
      </c>
      <c r="BB22" s="425" t="n">
        <f aca="false">BB20+BB21</f>
        <v>0</v>
      </c>
      <c r="BC22" s="425" t="n">
        <f aca="false">BC20+BC21</f>
        <v>0</v>
      </c>
      <c r="BD22" s="425" t="n">
        <f aca="false">BD20+BD21</f>
        <v>0</v>
      </c>
      <c r="BE22" s="425" t="n">
        <f aca="false">BE20+BE21</f>
        <v>0</v>
      </c>
      <c r="BF22" s="425" t="n">
        <f aca="false">BF20+BF21</f>
        <v>0</v>
      </c>
      <c r="BG22" s="425" t="n">
        <f aca="false">BG20+BG21</f>
        <v>0</v>
      </c>
      <c r="BH22" s="425" t="n">
        <f aca="false">BH20+BH21</f>
        <v>0</v>
      </c>
      <c r="BI22" s="425" t="n">
        <f aca="false">BI20+BI21</f>
        <v>0</v>
      </c>
      <c r="BJ22" s="425" t="n">
        <f aca="false">BJ20+BJ21</f>
        <v>0</v>
      </c>
      <c r="BK22" s="425" t="n">
        <f aca="false">BK20+BK21</f>
        <v>0</v>
      </c>
      <c r="BL22" s="425" t="n">
        <f aca="false">BL20+BL21</f>
        <v>0</v>
      </c>
      <c r="BM22" s="425" t="n">
        <f aca="false">BM20+BM21</f>
        <v>0</v>
      </c>
      <c r="BN22" s="425" t="n">
        <f aca="false">BN20+BN21</f>
        <v>0</v>
      </c>
      <c r="BO22" s="425" t="n">
        <f aca="false">BO20+BO21</f>
        <v>0</v>
      </c>
      <c r="BP22" s="425" t="n">
        <f aca="false">BP20+BP21</f>
        <v>0</v>
      </c>
      <c r="BQ22" s="425" t="n">
        <f aca="false">BQ20+BQ21</f>
        <v>0</v>
      </c>
      <c r="BR22" s="425" t="n">
        <f aca="false">BR20+BR21</f>
        <v>0</v>
      </c>
      <c r="BS22" s="425" t="n">
        <f aca="false">BS20+BS21</f>
        <v>0</v>
      </c>
      <c r="BT22" s="425" t="n">
        <f aca="false">BT20+BT21</f>
        <v>0</v>
      </c>
      <c r="BU22" s="425" t="n">
        <f aca="false">BU20+BU21</f>
        <v>0</v>
      </c>
      <c r="BV22" s="425" t="n">
        <f aca="false">BV20+BV21</f>
        <v>0</v>
      </c>
      <c r="BW22" s="425" t="n">
        <f aca="false">BW20+BW21</f>
        <v>0</v>
      </c>
      <c r="BX22" s="425" t="n">
        <f aca="false">BX20+BX21</f>
        <v>0</v>
      </c>
      <c r="BY22" s="425" t="n">
        <f aca="false">BY20+BY21</f>
        <v>0</v>
      </c>
      <c r="BZ22" s="425" t="n">
        <f aca="false">BZ20+BZ21</f>
        <v>0</v>
      </c>
      <c r="CA22" s="425" t="n">
        <f aca="false">CA20+CA21</f>
        <v>0</v>
      </c>
      <c r="CB22" s="425" t="n">
        <f aca="false">CB20+CB21</f>
        <v>0</v>
      </c>
      <c r="CC22" s="425" t="n">
        <f aca="false">CC20+CC21</f>
        <v>0</v>
      </c>
      <c r="CD22" s="425" t="n">
        <f aca="false">CD20+CD21</f>
        <v>0</v>
      </c>
      <c r="CE22" s="425" t="n">
        <f aca="false">CE20+CE21</f>
        <v>0</v>
      </c>
      <c r="CF22" s="425" t="n">
        <f aca="false">CF20+CF21</f>
        <v>0</v>
      </c>
      <c r="CG22" s="425" t="n">
        <f aca="false">CG20+CG21</f>
        <v>0</v>
      </c>
      <c r="CH22" s="425" t="n">
        <f aca="false">CH20+CH21</f>
        <v>0</v>
      </c>
      <c r="CI22" s="425" t="n">
        <f aca="false">CI20+CI21</f>
        <v>0</v>
      </c>
      <c r="CJ22" s="425" t="n">
        <f aca="false">CJ20+CJ21</f>
        <v>0</v>
      </c>
      <c r="CK22" s="425" t="n">
        <f aca="false">CK20+CK21</f>
        <v>0</v>
      </c>
      <c r="CL22" s="425" t="n">
        <f aca="false">CL20+CL21</f>
        <v>0</v>
      </c>
      <c r="CM22" s="425" t="n">
        <f aca="false">CM20+CM21</f>
        <v>0</v>
      </c>
      <c r="CN22" s="425" t="n">
        <f aca="false">CN20+CN21</f>
        <v>0</v>
      </c>
      <c r="CO22" s="425" t="n">
        <f aca="false">CO20+CO21</f>
        <v>0</v>
      </c>
      <c r="CP22" s="425" t="n">
        <f aca="false">CP20+CP21</f>
        <v>0</v>
      </c>
      <c r="CQ22" s="425" t="n">
        <f aca="false">CQ20+CQ21</f>
        <v>0</v>
      </c>
      <c r="CR22" s="425" t="n">
        <f aca="false">CR20+CR21</f>
        <v>0</v>
      </c>
      <c r="CS22" s="425" t="n">
        <f aca="false">CS20+CS21</f>
        <v>0</v>
      </c>
      <c r="CT22" s="425" t="n">
        <f aca="false">CT20+CT21</f>
        <v>0</v>
      </c>
      <c r="CU22" s="425" t="n">
        <f aca="false">CU20+CU21</f>
        <v>0</v>
      </c>
      <c r="CV22" s="425" t="n">
        <f aca="false">CV20+CV21</f>
        <v>0</v>
      </c>
      <c r="CW22" s="425" t="n">
        <f aca="false">CW20+CW21</f>
        <v>0</v>
      </c>
      <c r="CX22" s="425" t="n">
        <f aca="false">CX20+CX21</f>
        <v>0</v>
      </c>
      <c r="CY22" s="425" t="n">
        <f aca="false">CY20+CY21</f>
        <v>0</v>
      </c>
      <c r="CZ22" s="425" t="n">
        <f aca="false">CZ20+CZ21</f>
        <v>0</v>
      </c>
      <c r="DA22" s="425" t="n">
        <f aca="false">DA20+DA21</f>
        <v>0</v>
      </c>
      <c r="DB22" s="425" t="n">
        <f aca="false">DB20+DB21</f>
        <v>0</v>
      </c>
      <c r="DC22" s="425" t="n">
        <f aca="false">DC20+DC21</f>
        <v>0</v>
      </c>
      <c r="DD22" s="425" t="n">
        <f aca="false">DD20+DD21</f>
        <v>0</v>
      </c>
      <c r="DE22" s="425" t="n">
        <f aca="false">DE20+DE21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K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375" defaultRowHeight="15" customHeight="false" zeroHeight="false" outlineLevelRow="0" outlineLevelCol="0"/>
  <cols>
    <col collapsed="false" customWidth="true" hidden="false" outlineLevel="0" max="1" min="1" style="1" width="58"/>
    <col collapsed="false" customWidth="true" hidden="false" outlineLevel="0" max="11" min="2" style="1" width="13"/>
  </cols>
  <sheetData>
    <row r="1" customFormat="false" ht="17.25" hidden="false" customHeight="true" outlineLevel="0" collapsed="false">
      <c r="A1" s="404" t="s">
        <v>1398</v>
      </c>
    </row>
    <row r="2" customFormat="false" ht="15" hidden="false" customHeight="true" outlineLevel="0" collapsed="false">
      <c r="A2" s="405" t="s">
        <v>1399</v>
      </c>
    </row>
    <row r="20" customFormat="false" ht="15" hidden="false" customHeight="true" outlineLevel="0" collapsed="false">
      <c r="A20" s="408" t="s">
        <v>1400</v>
      </c>
      <c r="B20" s="408" t="s">
        <v>1401</v>
      </c>
      <c r="C20" s="408" t="s">
        <v>546</v>
      </c>
      <c r="D20" s="408" t="s">
        <v>1402</v>
      </c>
      <c r="E20" s="408" t="s">
        <v>1403</v>
      </c>
      <c r="F20" s="408" t="s">
        <v>1404</v>
      </c>
      <c r="G20" s="408" t="s">
        <v>1405</v>
      </c>
      <c r="H20" s="408" t="s">
        <v>1406</v>
      </c>
      <c r="I20" s="408" t="s">
        <v>1407</v>
      </c>
      <c r="J20" s="408" t="s">
        <v>1408</v>
      </c>
      <c r="K20" s="408" t="s">
        <v>489</v>
      </c>
    </row>
    <row r="21" customFormat="false" ht="15" hidden="false" customHeight="true" outlineLevel="0" collapsed="false">
      <c r="A21" s="409" t="s">
        <v>1409</v>
      </c>
      <c r="B21" s="416" t="n">
        <v>2026</v>
      </c>
      <c r="C21" s="426" t="n">
        <f aca="false">B21+1</f>
        <v>2027</v>
      </c>
      <c r="D21" s="426" t="n">
        <f aca="false">C21+1</f>
        <v>2028</v>
      </c>
      <c r="E21" s="426" t="n">
        <f aca="false">D21+1</f>
        <v>2029</v>
      </c>
      <c r="F21" s="426" t="n">
        <f aca="false">E21+1</f>
        <v>2030</v>
      </c>
      <c r="G21" s="426" t="n">
        <f aca="false">F21+1</f>
        <v>2031</v>
      </c>
      <c r="H21" s="426" t="n">
        <f aca="false">G21+1</f>
        <v>2032</v>
      </c>
      <c r="I21" s="426" t="n">
        <f aca="false">H21+1</f>
        <v>2033</v>
      </c>
      <c r="J21" s="426" t="n">
        <f aca="false">I21+1</f>
        <v>2034</v>
      </c>
      <c r="K21" s="427"/>
    </row>
    <row r="22" customFormat="false" ht="15" hidden="false" customHeight="true" outlineLevel="0" collapsed="false">
      <c r="A22" s="409" t="s">
        <v>1410</v>
      </c>
      <c r="B22" s="426" t="n">
        <f aca="false">IF(B21=YEAR('APA Inputs'!$B$6),13-MONTH('APA Inputs'!$B$6),IF(B21&lt;YEAR('APA Inputs'!$B$6),0,12))</f>
        <v>6</v>
      </c>
      <c r="C22" s="426" t="n">
        <f aca="false">IF(C21=YEAR('APA Inputs'!$B$6),13-MONTH('APA Inputs'!$B$6),IF(C21&lt;YEAR('APA Inputs'!$B$6),0,12))</f>
        <v>12</v>
      </c>
      <c r="D22" s="426" t="n">
        <f aca="false">IF(D21=YEAR('APA Inputs'!$B$6),13-MONTH('APA Inputs'!$B$6),IF(D21&lt;YEAR('APA Inputs'!$B$6),0,12))</f>
        <v>12</v>
      </c>
      <c r="E22" s="426" t="n">
        <f aca="false">IF(E21=YEAR('APA Inputs'!$B$6),13-MONTH('APA Inputs'!$B$6),IF(E21&lt;YEAR('APA Inputs'!$B$6),0,12))</f>
        <v>12</v>
      </c>
      <c r="F22" s="426" t="n">
        <f aca="false">IF(F21=YEAR('APA Inputs'!$B$6),13-MONTH('APA Inputs'!$B$6),IF(F21&lt;YEAR('APA Inputs'!$B$6),0,12))</f>
        <v>12</v>
      </c>
      <c r="G22" s="426" t="n">
        <f aca="false">IF(G21=YEAR('APA Inputs'!$B$6),13-MONTH('APA Inputs'!$B$6),IF(G21&lt;YEAR('APA Inputs'!$B$6),0,12))</f>
        <v>12</v>
      </c>
      <c r="H22" s="426" t="n">
        <f aca="false">IF(H21=YEAR('APA Inputs'!$B$6),13-MONTH('APA Inputs'!$B$6),IF(H21&lt;YEAR('APA Inputs'!$B$6),0,12))</f>
        <v>12</v>
      </c>
      <c r="I22" s="426" t="n">
        <f aca="false">IF(I21=YEAR('APA Inputs'!$B$6),13-MONTH('APA Inputs'!$B$6),IF(I21&lt;YEAR('APA Inputs'!$B$6),0,12))</f>
        <v>12</v>
      </c>
      <c r="J22" s="426" t="n">
        <f aca="false">IF(J21=YEAR('APA Inputs'!$B$6),13-MONTH('APA Inputs'!$B$6),IF(J21&lt;YEAR('APA Inputs'!$B$6),0,12))</f>
        <v>12</v>
      </c>
      <c r="K22" s="427"/>
    </row>
    <row r="23" customFormat="false" ht="15" hidden="false" customHeight="true" outlineLevel="0" collapsed="false">
      <c r="A23" s="417" t="s">
        <v>1411</v>
      </c>
      <c r="B23" s="428" t="n">
        <f aca="false">SUMIF('APA Schedule'!$B$5:$DE$5,B21,'APA Schedule'!$B$17:$DE$17)</f>
        <v>103914.18</v>
      </c>
      <c r="C23" s="428" t="n">
        <f aca="false">SUMIF('APA Schedule'!$B$5:$DE$5,C21,'APA Schedule'!$B$17:$DE$17)</f>
        <v>172240.34</v>
      </c>
      <c r="D23" s="428" t="n">
        <f aca="false">SUMIF('APA Schedule'!$B$5:$DE$5,D21,'APA Schedule'!$B$17:$DE$17)</f>
        <v>54162.62</v>
      </c>
      <c r="E23" s="428" t="n">
        <f aca="false">SUMIF('APA Schedule'!$B$5:$DE$5,E21,'APA Schedule'!$B$17:$DE$17)</f>
        <v>0</v>
      </c>
      <c r="F23" s="428" t="n">
        <f aca="false">SUMIF('APA Schedule'!$B$5:$DE$5,F21,'APA Schedule'!$B$17:$DE$17)</f>
        <v>0</v>
      </c>
      <c r="G23" s="428" t="n">
        <f aca="false">SUMIF('APA Schedule'!$B$5:$DE$5,G21,'APA Schedule'!$B$17:$DE$17)</f>
        <v>0</v>
      </c>
      <c r="H23" s="428" t="n">
        <f aca="false">SUMIF('APA Schedule'!$B$5:$DE$5,H21,'APA Schedule'!$B$17:$DE$17)</f>
        <v>0</v>
      </c>
      <c r="I23" s="428" t="n">
        <f aca="false">SUMIF('APA Schedule'!$B$5:$DE$5,I21,'APA Schedule'!$B$17:$DE$17)</f>
        <v>0</v>
      </c>
      <c r="J23" s="428" t="n">
        <f aca="false">SUMIF('APA Schedule'!$B$5:$DE$5,J21,'APA Schedule'!$B$17:$DE$17)</f>
        <v>0</v>
      </c>
      <c r="K23" s="429" t="n">
        <f aca="false">SUM(B23:J23)</f>
        <v>330317.14</v>
      </c>
    </row>
    <row r="24" customFormat="false" ht="15" hidden="false" customHeight="true" outlineLevel="0" collapsed="false">
      <c r="A24" s="430" t="s">
        <v>1412</v>
      </c>
      <c r="B24" s="427"/>
      <c r="C24" s="427"/>
      <c r="D24" s="427"/>
      <c r="E24" s="427"/>
      <c r="F24" s="427"/>
      <c r="G24" s="427"/>
      <c r="H24" s="427"/>
      <c r="I24" s="427"/>
      <c r="J24" s="427"/>
      <c r="K24" s="427"/>
    </row>
    <row r="25" customFormat="false" ht="15" hidden="false" customHeight="true" outlineLevel="0" collapsed="false">
      <c r="A25" s="409" t="s">
        <v>1413</v>
      </c>
      <c r="B25" s="421" t="n">
        <f aca="false">'APA Inputs'!$B$10*(1+'APA Inputs'!$B$11)^MAX(0,B21-$C$21)*B22/12</f>
        <v>12500</v>
      </c>
      <c r="C25" s="421" t="n">
        <f aca="false">'APA Inputs'!$B$10*(1+'APA Inputs'!$B$11)^MAX(0,C21-$C$21)*C22/12</f>
        <v>25000</v>
      </c>
      <c r="D25" s="421" t="n">
        <f aca="false">'APA Inputs'!$B$10*(1+'APA Inputs'!$B$11)^MAX(0,D21-$C$21)*D22/12</f>
        <v>25750</v>
      </c>
      <c r="E25" s="421" t="n">
        <f aca="false">'APA Inputs'!$B$10*(1+'APA Inputs'!$B$11)^MAX(0,E21-$C$21)*E22/12</f>
        <v>26522.5</v>
      </c>
      <c r="F25" s="421" t="n">
        <f aca="false">'APA Inputs'!$B$10*(1+'APA Inputs'!$B$11)^MAX(0,F21-$C$21)*F22/12</f>
        <v>27318.175</v>
      </c>
      <c r="G25" s="421" t="n">
        <f aca="false">'APA Inputs'!$B$10*(1+'APA Inputs'!$B$11)^MAX(0,G21-$C$21)*G22/12</f>
        <v>28137.72025</v>
      </c>
      <c r="H25" s="421" t="n">
        <f aca="false">'APA Inputs'!$B$10*(1+'APA Inputs'!$B$11)^MAX(0,H21-$C$21)*H22/12</f>
        <v>28981.8518575</v>
      </c>
      <c r="I25" s="421" t="n">
        <f aca="false">'APA Inputs'!$B$10*(1+'APA Inputs'!$B$11)^MAX(0,I21-$C$21)*I22/12</f>
        <v>29851.307413225</v>
      </c>
      <c r="J25" s="421" t="n">
        <f aca="false">'APA Inputs'!$B$10*(1+'APA Inputs'!$B$11)^MAX(0,J21-$C$21)*J22/12</f>
        <v>30746.8466356218</v>
      </c>
      <c r="K25" s="429" t="n">
        <f aca="false">SUM(B25:J25)</f>
        <v>234808.401156347</v>
      </c>
    </row>
    <row r="26" customFormat="false" ht="15" hidden="false" customHeight="true" outlineLevel="0" collapsed="false">
      <c r="A26" s="417" t="s">
        <v>1414</v>
      </c>
      <c r="B26" s="429" t="n">
        <f aca="false">B23-B25</f>
        <v>91414.18</v>
      </c>
      <c r="C26" s="429" t="n">
        <f aca="false">C23-C25</f>
        <v>147240.34</v>
      </c>
      <c r="D26" s="429" t="n">
        <f aca="false">D23-D25</f>
        <v>28412.62</v>
      </c>
      <c r="E26" s="429" t="n">
        <f aca="false">E23-E25</f>
        <v>-26522.5</v>
      </c>
      <c r="F26" s="429" t="n">
        <f aca="false">F23-F25</f>
        <v>-27318.175</v>
      </c>
      <c r="G26" s="429" t="n">
        <f aca="false">G23-G25</f>
        <v>-28137.72025</v>
      </c>
      <c r="H26" s="429" t="n">
        <f aca="false">H23-H25</f>
        <v>-28981.8518575</v>
      </c>
      <c r="I26" s="429" t="n">
        <f aca="false">I23-I25</f>
        <v>-29851.307413225</v>
      </c>
      <c r="J26" s="429" t="n">
        <f aca="false">J23-J25</f>
        <v>-30746.8466356218</v>
      </c>
      <c r="K26" s="429" t="n">
        <f aca="false">SUM(B26:J26)</f>
        <v>95508.7388436532</v>
      </c>
    </row>
    <row r="27" customFormat="false" ht="15" hidden="false" customHeight="true" outlineLevel="0" collapsed="false">
      <c r="A27" s="430" t="s">
        <v>1415</v>
      </c>
      <c r="B27" s="427"/>
      <c r="C27" s="427"/>
      <c r="D27" s="427"/>
      <c r="E27" s="427"/>
      <c r="F27" s="427"/>
      <c r="G27" s="427"/>
      <c r="H27" s="427"/>
      <c r="I27" s="427"/>
      <c r="J27" s="427"/>
      <c r="K27" s="427"/>
    </row>
    <row r="28" customFormat="false" ht="15" hidden="false" customHeight="true" outlineLevel="0" collapsed="false">
      <c r="A28" s="409" t="s">
        <v>1416</v>
      </c>
      <c r="B28" s="426" t="n">
        <f aca="false">MAX(0,MIN(B22,(B21-YEAR('APA Inputs'!$B$9))*12+13-MONTH('APA Inputs'!$B$9)))</f>
        <v>0</v>
      </c>
      <c r="C28" s="426" t="n">
        <f aca="false">MAX(0,MIN(C22,(C21-YEAR('APA Inputs'!$B$9))*12+13-MONTH('APA Inputs'!$B$9)))</f>
        <v>0</v>
      </c>
      <c r="D28" s="426" t="n">
        <f aca="false">MAX(0,MIN(D22,(D21-YEAR('APA Inputs'!$B$9))*12+13-MONTH('APA Inputs'!$B$9)))</f>
        <v>0</v>
      </c>
      <c r="E28" s="426" t="n">
        <f aca="false">MAX(0,MIN(E22,(E21-YEAR('APA Inputs'!$B$9))*12+13-MONTH('APA Inputs'!$B$9)))</f>
        <v>0</v>
      </c>
      <c r="F28" s="426" t="n">
        <f aca="false">MAX(0,MIN(F22,(F21-YEAR('APA Inputs'!$B$9))*12+13-MONTH('APA Inputs'!$B$9)))</f>
        <v>0</v>
      </c>
      <c r="G28" s="426" t="n">
        <f aca="false">MAX(0,MIN(G22,(G21-YEAR('APA Inputs'!$B$9))*12+13-MONTH('APA Inputs'!$B$9)))</f>
        <v>0</v>
      </c>
      <c r="H28" s="426" t="n">
        <f aca="false">MAX(0,MIN(H22,(H21-YEAR('APA Inputs'!$B$9))*12+13-MONTH('APA Inputs'!$B$9)))</f>
        <v>0</v>
      </c>
      <c r="I28" s="426" t="n">
        <f aca="false">MAX(0,MIN(I22,(I21-YEAR('APA Inputs'!$B$9))*12+13-MONTH('APA Inputs'!$B$9)))</f>
        <v>0</v>
      </c>
      <c r="J28" s="426" t="n">
        <f aca="false">MAX(0,MIN(J22,(J21-YEAR('APA Inputs'!$B$9))*12+13-MONTH('APA Inputs'!$B$9)))</f>
        <v>0</v>
      </c>
      <c r="K28" s="427"/>
    </row>
    <row r="29" customFormat="false" ht="15" hidden="false" customHeight="true" outlineLevel="0" collapsed="false">
      <c r="A29" s="409" t="s">
        <v>1417</v>
      </c>
      <c r="B29" s="421" t="n">
        <f aca="false">(B22-B28)/12*'APA Inputs'!$B$7+B28/12*'APA Inputs'!$B$8</f>
        <v>75000</v>
      </c>
      <c r="C29" s="421" t="n">
        <f aca="false">(C22-C28)/12*'APA Inputs'!$B$7+C28/12*'APA Inputs'!$B$8</f>
        <v>150000</v>
      </c>
      <c r="D29" s="421" t="n">
        <f aca="false">(D22-D28)/12*'APA Inputs'!$B$7+D28/12*'APA Inputs'!$B$8</f>
        <v>150000</v>
      </c>
      <c r="E29" s="421" t="n">
        <f aca="false">(E22-E28)/12*'APA Inputs'!$B$7+E28/12*'APA Inputs'!$B$8</f>
        <v>150000</v>
      </c>
      <c r="F29" s="421" t="n">
        <f aca="false">(F22-F28)/12*'APA Inputs'!$B$7+F28/12*'APA Inputs'!$B$8</f>
        <v>150000</v>
      </c>
      <c r="G29" s="421" t="n">
        <f aca="false">(G22-G28)/12*'APA Inputs'!$B$7+G28/12*'APA Inputs'!$B$8</f>
        <v>150000</v>
      </c>
      <c r="H29" s="421" t="n">
        <f aca="false">(H22-H28)/12*'APA Inputs'!$B$7+H28/12*'APA Inputs'!$B$8</f>
        <v>150000</v>
      </c>
      <c r="I29" s="421" t="n">
        <f aca="false">(I22-I28)/12*'APA Inputs'!$B$7+I28/12*'APA Inputs'!$B$8</f>
        <v>150000</v>
      </c>
      <c r="J29" s="421" t="n">
        <f aca="false">(J22-J28)/12*'APA Inputs'!$B$7+J28/12*'APA Inputs'!$B$8</f>
        <v>150000</v>
      </c>
      <c r="K29" s="429" t="n">
        <f aca="false">SUM(B29:J29)</f>
        <v>1275000</v>
      </c>
    </row>
    <row r="30" customFormat="false" ht="15" hidden="false" customHeight="true" outlineLevel="0" collapsed="false">
      <c r="A30" s="409" t="s">
        <v>1418</v>
      </c>
      <c r="B30" s="421" t="n">
        <f aca="false">MAX(0,B26-B29-B23*'APA Inputs'!$B$12)</f>
        <v>13296.7546</v>
      </c>
      <c r="C30" s="421" t="n">
        <f aca="false">MAX(0,C26-C29-C23*'APA Inputs'!$B$12)</f>
        <v>0</v>
      </c>
      <c r="D30" s="421" t="n">
        <f aca="false">MAX(0,D26-D29-D23*'APA Inputs'!$B$12)</f>
        <v>0</v>
      </c>
      <c r="E30" s="421" t="n">
        <f aca="false">MAX(0,E26-E29-E23*'APA Inputs'!$B$12)</f>
        <v>0</v>
      </c>
      <c r="F30" s="421" t="n">
        <f aca="false">MAX(0,F26-F29-F23*'APA Inputs'!$B$12)</f>
        <v>0</v>
      </c>
      <c r="G30" s="421" t="n">
        <f aca="false">MAX(0,G26-G29-G23*'APA Inputs'!$B$12)</f>
        <v>0</v>
      </c>
      <c r="H30" s="421" t="n">
        <f aca="false">MAX(0,H26-H29-H23*'APA Inputs'!$B$12)</f>
        <v>0</v>
      </c>
      <c r="I30" s="421" t="n">
        <f aca="false">MAX(0,I26-I29-I23*'APA Inputs'!$B$12)</f>
        <v>0</v>
      </c>
      <c r="J30" s="421" t="n">
        <f aca="false">MAX(0,J26-J29-J23*'APA Inputs'!$B$12)</f>
        <v>0</v>
      </c>
      <c r="K30" s="429" t="n">
        <f aca="false">SUM(B30:J30)</f>
        <v>13296.7546</v>
      </c>
    </row>
    <row r="31" customFormat="false" ht="15" hidden="false" customHeight="true" outlineLevel="0" collapsed="false">
      <c r="A31" s="409" t="s">
        <v>1419</v>
      </c>
      <c r="B31" s="421" t="n">
        <f aca="false">B30*'APA Inputs'!$B$13</f>
        <v>6648.3773</v>
      </c>
      <c r="C31" s="421" t="n">
        <f aca="false">C30*'APA Inputs'!$B$13</f>
        <v>0</v>
      </c>
      <c r="D31" s="421" t="n">
        <f aca="false">D30*'APA Inputs'!$B$13</f>
        <v>0</v>
      </c>
      <c r="E31" s="421" t="n">
        <f aca="false">E30*'APA Inputs'!$B$13</f>
        <v>0</v>
      </c>
      <c r="F31" s="421" t="n">
        <f aca="false">F30*'APA Inputs'!$B$13</f>
        <v>0</v>
      </c>
      <c r="G31" s="421" t="n">
        <f aca="false">G30*'APA Inputs'!$B$13</f>
        <v>0</v>
      </c>
      <c r="H31" s="421" t="n">
        <f aca="false">H30*'APA Inputs'!$B$13</f>
        <v>0</v>
      </c>
      <c r="I31" s="421" t="n">
        <f aca="false">I30*'APA Inputs'!$B$13</f>
        <v>0</v>
      </c>
      <c r="J31" s="421" t="n">
        <f aca="false">J30*'APA Inputs'!$B$13</f>
        <v>0</v>
      </c>
      <c r="K31" s="429" t="n">
        <f aca="false">SUM(B31:J31)</f>
        <v>6648.3773</v>
      </c>
    </row>
    <row r="32" customFormat="false" ht="15" hidden="false" customHeight="true" outlineLevel="0" collapsed="false">
      <c r="A32" s="409" t="s">
        <v>1420</v>
      </c>
      <c r="B32" s="421" t="n">
        <f aca="false">B30*(1-'APA Inputs'!$B$13)</f>
        <v>6648.3773</v>
      </c>
      <c r="C32" s="421" t="n">
        <f aca="false">C30*(1-'APA Inputs'!$B$13)</f>
        <v>0</v>
      </c>
      <c r="D32" s="421" t="n">
        <f aca="false">D30*(1-'APA Inputs'!$B$13)</f>
        <v>0</v>
      </c>
      <c r="E32" s="421" t="n">
        <f aca="false">E30*(1-'APA Inputs'!$B$13)</f>
        <v>0</v>
      </c>
      <c r="F32" s="421" t="n">
        <f aca="false">F30*(1-'APA Inputs'!$B$13)</f>
        <v>0</v>
      </c>
      <c r="G32" s="421" t="n">
        <f aca="false">G30*(1-'APA Inputs'!$B$13)</f>
        <v>0</v>
      </c>
      <c r="H32" s="421" t="n">
        <f aca="false">H30*(1-'APA Inputs'!$B$13)</f>
        <v>0</v>
      </c>
      <c r="I32" s="421" t="n">
        <f aca="false">I30*(1-'APA Inputs'!$B$13)</f>
        <v>0</v>
      </c>
      <c r="J32" s="421" t="n">
        <f aca="false">J30*(1-'APA Inputs'!$B$13)</f>
        <v>0</v>
      </c>
      <c r="K32" s="429" t="n">
        <f aca="false">SUM(B32:J32)</f>
        <v>6648.3773</v>
      </c>
    </row>
    <row r="33" customFormat="false" ht="15" hidden="false" customHeight="true" outlineLevel="0" collapsed="false">
      <c r="A33" s="431" t="s">
        <v>1421</v>
      </c>
      <c r="B33" s="432" t="n">
        <f aca="false">B29+B31+B32</f>
        <v>88296.7546</v>
      </c>
      <c r="C33" s="432" t="n">
        <f aca="false">C29+C31+C32</f>
        <v>150000</v>
      </c>
      <c r="D33" s="432" t="n">
        <f aca="false">D29+D31+D32</f>
        <v>150000</v>
      </c>
      <c r="E33" s="432" t="n">
        <f aca="false">E29+E31+E32</f>
        <v>150000</v>
      </c>
      <c r="F33" s="432" t="n">
        <f aca="false">F29+F31+F32</f>
        <v>150000</v>
      </c>
      <c r="G33" s="432" t="n">
        <f aca="false">G29+G31+G32</f>
        <v>150000</v>
      </c>
      <c r="H33" s="432" t="n">
        <f aca="false">H29+H31+H32</f>
        <v>150000</v>
      </c>
      <c r="I33" s="432" t="n">
        <f aca="false">I29+I31+I32</f>
        <v>150000</v>
      </c>
      <c r="J33" s="432" t="n">
        <f aca="false">J29+J31+J32</f>
        <v>150000</v>
      </c>
      <c r="K33" s="429" t="n">
        <f aca="false">SUM(B33:J33)</f>
        <v>1288296.7546</v>
      </c>
    </row>
    <row r="34" customFormat="false" ht="15" hidden="false" customHeight="true" outlineLevel="0" collapsed="false">
      <c r="A34" s="409" t="s">
        <v>1422</v>
      </c>
      <c r="B34" s="433" t="n">
        <f aca="false">IF(B23=0,0,B33/B23)</f>
        <v>0.849708428628316</v>
      </c>
      <c r="C34" s="433" t="n">
        <f aca="false">IF(C23=0,0,C33/C23)</f>
        <v>0.870876125767053</v>
      </c>
      <c r="D34" s="433" t="n">
        <f aca="false">IF(D23=0,0,D33/D23)</f>
        <v>2.7694376675279</v>
      </c>
      <c r="E34" s="433" t="n">
        <f aca="false">IF(E23=0,0,E33/E23)</f>
        <v>0</v>
      </c>
      <c r="F34" s="433" t="n">
        <f aca="false">IF(F23=0,0,F33/F23)</f>
        <v>0</v>
      </c>
      <c r="G34" s="433" t="n">
        <f aca="false">IF(G23=0,0,G33/G23)</f>
        <v>0</v>
      </c>
      <c r="H34" s="433" t="n">
        <f aca="false">IF(H23=0,0,H33/H23)</f>
        <v>0</v>
      </c>
      <c r="I34" s="433" t="n">
        <f aca="false">IF(I23=0,0,I33/I23)</f>
        <v>0</v>
      </c>
      <c r="J34" s="433" t="n">
        <f aca="false">IF(J23=0,0,J33/J23)</f>
        <v>0</v>
      </c>
      <c r="K34" s="427"/>
    </row>
    <row r="35" customFormat="false" ht="15" hidden="false" customHeight="true" outlineLevel="0" collapsed="false">
      <c r="A35" s="430" t="s">
        <v>1423</v>
      </c>
      <c r="B35" s="427"/>
      <c r="C35" s="427"/>
      <c r="D35" s="427"/>
      <c r="E35" s="427"/>
      <c r="F35" s="427"/>
      <c r="G35" s="427"/>
      <c r="H35" s="427"/>
      <c r="I35" s="427"/>
      <c r="J35" s="427"/>
      <c r="K35" s="427"/>
    </row>
    <row r="36" customFormat="false" ht="15" hidden="false" customHeight="true" outlineLevel="0" collapsed="false">
      <c r="A36" s="409" t="s">
        <v>1424</v>
      </c>
      <c r="B36" s="421" t="n">
        <f aca="false">B26-B33</f>
        <v>3117.42539999999</v>
      </c>
      <c r="C36" s="421" t="n">
        <f aca="false">C26-C33</f>
        <v>-2759.66</v>
      </c>
      <c r="D36" s="421" t="n">
        <f aca="false">D26-D33</f>
        <v>-121587.38</v>
      </c>
      <c r="E36" s="421" t="n">
        <f aca="false">E26-E33</f>
        <v>-176522.5</v>
      </c>
      <c r="F36" s="421" t="n">
        <f aca="false">F26-F33</f>
        <v>-177318.175</v>
      </c>
      <c r="G36" s="421" t="n">
        <f aca="false">G26-G33</f>
        <v>-178137.72025</v>
      </c>
      <c r="H36" s="421" t="n">
        <f aca="false">H26-H33</f>
        <v>-178981.8518575</v>
      </c>
      <c r="I36" s="421" t="n">
        <f aca="false">I26-I33</f>
        <v>-179851.307413225</v>
      </c>
      <c r="J36" s="421" t="n">
        <f aca="false">J26-J33</f>
        <v>-180746.846635622</v>
      </c>
      <c r="K36" s="429" t="n">
        <f aca="false">SUM(B36:J36)</f>
        <v>-1192788.01575635</v>
      </c>
    </row>
    <row r="37" customFormat="false" ht="15" hidden="false" customHeight="true" outlineLevel="0" collapsed="false">
      <c r="A37" s="409" t="s">
        <v>1425</v>
      </c>
      <c r="B37" s="421" t="n">
        <f aca="false">MAX('APA Inputs'!$B$17,MAX(0,B36)*'APA Inputs'!$B$16)</f>
        <v>800</v>
      </c>
      <c r="C37" s="421" t="n">
        <f aca="false">MAX('APA Inputs'!$B$17,MAX(0,C36)*'APA Inputs'!$B$16)</f>
        <v>800</v>
      </c>
      <c r="D37" s="421" t="n">
        <f aca="false">MAX('APA Inputs'!$B$17,MAX(0,D36)*'APA Inputs'!$B$16)</f>
        <v>800</v>
      </c>
      <c r="E37" s="421" t="n">
        <f aca="false">MAX('APA Inputs'!$B$17,MAX(0,E36)*'APA Inputs'!$B$16)</f>
        <v>800</v>
      </c>
      <c r="F37" s="421" t="n">
        <f aca="false">MAX('APA Inputs'!$B$17,MAX(0,F36)*'APA Inputs'!$B$16)</f>
        <v>800</v>
      </c>
      <c r="G37" s="421" t="n">
        <f aca="false">MAX('APA Inputs'!$B$17,MAX(0,G36)*'APA Inputs'!$B$16)</f>
        <v>800</v>
      </c>
      <c r="H37" s="421" t="n">
        <f aca="false">MAX('APA Inputs'!$B$17,MAX(0,H36)*'APA Inputs'!$B$16)</f>
        <v>800</v>
      </c>
      <c r="I37" s="421" t="n">
        <f aca="false">MAX('APA Inputs'!$B$17,MAX(0,I36)*'APA Inputs'!$B$16)</f>
        <v>800</v>
      </c>
      <c r="J37" s="421" t="n">
        <f aca="false">MAX('APA Inputs'!$B$17,MAX(0,J36)*'APA Inputs'!$B$16)</f>
        <v>800</v>
      </c>
      <c r="K37" s="429" t="n">
        <f aca="false">SUM(B37:J37)</f>
        <v>7200</v>
      </c>
    </row>
    <row r="38" customFormat="false" ht="15" hidden="false" customHeight="true" outlineLevel="0" collapsed="false">
      <c r="A38" s="409" t="s">
        <v>1426</v>
      </c>
      <c r="B38" s="421" t="n">
        <f aca="false">MAX(0,B36-B37)*'APA Inputs'!$B$15</f>
        <v>486.659333999998</v>
      </c>
      <c r="C38" s="421" t="n">
        <f aca="false">MAX(0,C36-C37)*'APA Inputs'!$B$15</f>
        <v>0</v>
      </c>
      <c r="D38" s="421" t="n">
        <f aca="false">MAX(0,D36-D37)*'APA Inputs'!$B$15</f>
        <v>0</v>
      </c>
      <c r="E38" s="421" t="n">
        <f aca="false">MAX(0,E36-E37)*'APA Inputs'!$B$15</f>
        <v>0</v>
      </c>
      <c r="F38" s="421" t="n">
        <f aca="false">MAX(0,F36-F37)*'APA Inputs'!$B$15</f>
        <v>0</v>
      </c>
      <c r="G38" s="421" t="n">
        <f aca="false">MAX(0,G36-G37)*'APA Inputs'!$B$15</f>
        <v>0</v>
      </c>
      <c r="H38" s="421" t="n">
        <f aca="false">MAX(0,H36-H37)*'APA Inputs'!$B$15</f>
        <v>0</v>
      </c>
      <c r="I38" s="421" t="n">
        <f aca="false">MAX(0,I36-I37)*'APA Inputs'!$B$15</f>
        <v>0</v>
      </c>
      <c r="J38" s="421" t="n">
        <f aca="false">MAX(0,J36-J37)*'APA Inputs'!$B$15</f>
        <v>0</v>
      </c>
      <c r="K38" s="429" t="n">
        <f aca="false">SUM(B38:J38)</f>
        <v>486.659333999998</v>
      </c>
    </row>
    <row r="39" customFormat="false" ht="15" hidden="false" customHeight="true" outlineLevel="0" collapsed="false">
      <c r="A39" s="417" t="s">
        <v>1427</v>
      </c>
      <c r="B39" s="429" t="n">
        <f aca="false">B36-B37-B38</f>
        <v>1830.76606599999</v>
      </c>
      <c r="C39" s="429" t="n">
        <f aca="false">C36-C37-C38</f>
        <v>-3559.66</v>
      </c>
      <c r="D39" s="429" t="n">
        <f aca="false">D36-D37-D38</f>
        <v>-122387.38</v>
      </c>
      <c r="E39" s="429" t="n">
        <f aca="false">E36-E37-E38</f>
        <v>-177322.5</v>
      </c>
      <c r="F39" s="429" t="n">
        <f aca="false">F36-F37-F38</f>
        <v>-178118.175</v>
      </c>
      <c r="G39" s="429" t="n">
        <f aca="false">G36-G37-G38</f>
        <v>-178937.72025</v>
      </c>
      <c r="H39" s="429" t="n">
        <f aca="false">H36-H37-H38</f>
        <v>-179781.8518575</v>
      </c>
      <c r="I39" s="429" t="n">
        <f aca="false">I36-I37-I38</f>
        <v>-180651.307413225</v>
      </c>
      <c r="J39" s="429" t="n">
        <f aca="false">J36-J37-J38</f>
        <v>-181546.846635622</v>
      </c>
      <c r="K39" s="429" t="n">
        <f aca="false">SUM(B39:J39)</f>
        <v>-1200474.67509035</v>
      </c>
    </row>
    <row r="40" customFormat="false" ht="15" hidden="false" customHeight="true" outlineLevel="0" collapsed="false">
      <c r="A40" s="409" t="s">
        <v>1428</v>
      </c>
      <c r="B40" s="421" t="n">
        <f aca="false">MAX(0,B39)</f>
        <v>1830.76606599999</v>
      </c>
      <c r="C40" s="421" t="n">
        <f aca="false">MAX(0,C39)</f>
        <v>0</v>
      </c>
      <c r="D40" s="421" t="n">
        <f aca="false">MAX(0,D39)</f>
        <v>0</v>
      </c>
      <c r="E40" s="421" t="n">
        <f aca="false">MAX(0,E39)</f>
        <v>0</v>
      </c>
      <c r="F40" s="421" t="n">
        <f aca="false">MAX(0,F39)</f>
        <v>0</v>
      </c>
      <c r="G40" s="421" t="n">
        <f aca="false">MAX(0,G39)</f>
        <v>0</v>
      </c>
      <c r="H40" s="421" t="n">
        <f aca="false">MAX(0,H39)</f>
        <v>0</v>
      </c>
      <c r="I40" s="421" t="n">
        <f aca="false">MAX(0,I39)</f>
        <v>0</v>
      </c>
      <c r="J40" s="421" t="n">
        <f aca="false">MAX(0,J39)</f>
        <v>0</v>
      </c>
      <c r="K40" s="429" t="n">
        <f aca="false">SUM(B40:J40)</f>
        <v>1830.76606599999</v>
      </c>
    </row>
    <row r="41" customFormat="false" ht="15" hidden="false" customHeight="true" outlineLevel="0" collapsed="false">
      <c r="A41" s="430" t="s">
        <v>1429</v>
      </c>
      <c r="B41" s="427"/>
      <c r="C41" s="427"/>
      <c r="D41" s="427"/>
      <c r="E41" s="427"/>
      <c r="F41" s="427"/>
      <c r="G41" s="427"/>
      <c r="H41" s="427"/>
      <c r="I41" s="427"/>
      <c r="J41" s="427"/>
      <c r="K41" s="427"/>
    </row>
    <row r="42" customFormat="false" ht="15" hidden="false" customHeight="true" outlineLevel="0" collapsed="false">
      <c r="A42" s="409" t="s">
        <v>1430</v>
      </c>
      <c r="B42" s="421" t="n">
        <f aca="false">B29+B31</f>
        <v>81648.3773</v>
      </c>
      <c r="C42" s="421" t="n">
        <f aca="false">C29+C31</f>
        <v>150000</v>
      </c>
      <c r="D42" s="421" t="n">
        <f aca="false">D29+D31</f>
        <v>150000</v>
      </c>
      <c r="E42" s="421" t="n">
        <f aca="false">E29+E31</f>
        <v>150000</v>
      </c>
      <c r="F42" s="421" t="n">
        <f aca="false">F29+F31</f>
        <v>150000</v>
      </c>
      <c r="G42" s="421" t="n">
        <f aca="false">G29+G31</f>
        <v>150000</v>
      </c>
      <c r="H42" s="421" t="n">
        <f aca="false">H29+H31</f>
        <v>150000</v>
      </c>
      <c r="I42" s="421" t="n">
        <f aca="false">I29+I31</f>
        <v>150000</v>
      </c>
      <c r="J42" s="421" t="n">
        <f aca="false">J29+J31</f>
        <v>150000</v>
      </c>
      <c r="K42" s="429" t="n">
        <f aca="false">SUM(B42:J42)</f>
        <v>1281648.3773</v>
      </c>
    </row>
    <row r="43" customFormat="false" ht="15" hidden="false" customHeight="true" outlineLevel="0" collapsed="false">
      <c r="A43" s="409" t="s">
        <v>1431</v>
      </c>
      <c r="B43" s="421" t="n">
        <f aca="false">B40*'APA Inputs'!$B$14</f>
        <v>915.383032999997</v>
      </c>
      <c r="C43" s="421" t="n">
        <f aca="false">C40*'APA Inputs'!$B$14</f>
        <v>0</v>
      </c>
      <c r="D43" s="421" t="n">
        <f aca="false">D40*'APA Inputs'!$B$14</f>
        <v>0</v>
      </c>
      <c r="E43" s="421" t="n">
        <f aca="false">E40*'APA Inputs'!$B$14</f>
        <v>0</v>
      </c>
      <c r="F43" s="421" t="n">
        <f aca="false">F40*'APA Inputs'!$B$14</f>
        <v>0</v>
      </c>
      <c r="G43" s="421" t="n">
        <f aca="false">G40*'APA Inputs'!$B$14</f>
        <v>0</v>
      </c>
      <c r="H43" s="421" t="n">
        <f aca="false">H40*'APA Inputs'!$B$14</f>
        <v>0</v>
      </c>
      <c r="I43" s="421" t="n">
        <f aca="false">I40*'APA Inputs'!$B$14</f>
        <v>0</v>
      </c>
      <c r="J43" s="421" t="n">
        <f aca="false">J40*'APA Inputs'!$B$14</f>
        <v>0</v>
      </c>
      <c r="K43" s="429" t="n">
        <f aca="false">SUM(B43:J43)</f>
        <v>915.383032999997</v>
      </c>
    </row>
    <row r="44" customFormat="false" ht="15" hidden="false" customHeight="true" outlineLevel="0" collapsed="false">
      <c r="A44" s="431" t="s">
        <v>1432</v>
      </c>
      <c r="B44" s="432" t="n">
        <f aca="false">B42+B43</f>
        <v>82563.760333</v>
      </c>
      <c r="C44" s="432" t="n">
        <f aca="false">C42+C43</f>
        <v>150000</v>
      </c>
      <c r="D44" s="432" t="n">
        <f aca="false">D42+D43</f>
        <v>150000</v>
      </c>
      <c r="E44" s="432" t="n">
        <f aca="false">E42+E43</f>
        <v>150000</v>
      </c>
      <c r="F44" s="432" t="n">
        <f aca="false">F42+F43</f>
        <v>150000</v>
      </c>
      <c r="G44" s="432" t="n">
        <f aca="false">G42+G43</f>
        <v>150000</v>
      </c>
      <c r="H44" s="432" t="n">
        <f aca="false">H42+H43</f>
        <v>150000</v>
      </c>
      <c r="I44" s="432" t="n">
        <f aca="false">I42+I43</f>
        <v>150000</v>
      </c>
      <c r="J44" s="432" t="n">
        <f aca="false">J42+J43</f>
        <v>150000</v>
      </c>
      <c r="K44" s="429" t="n">
        <f aca="false">SUM(B44:J44)</f>
        <v>1282563.760333</v>
      </c>
    </row>
    <row r="45" customFormat="false" ht="15" hidden="false" customHeight="true" outlineLevel="0" collapsed="false">
      <c r="A45" s="430" t="s">
        <v>1433</v>
      </c>
      <c r="B45" s="427"/>
      <c r="C45" s="427"/>
      <c r="D45" s="427"/>
      <c r="E45" s="427"/>
      <c r="F45" s="427"/>
      <c r="G45" s="427"/>
      <c r="H45" s="427"/>
      <c r="I45" s="427"/>
      <c r="J45" s="427"/>
      <c r="K45" s="427"/>
    </row>
    <row r="46" customFormat="false" ht="15" hidden="false" customHeight="true" outlineLevel="0" collapsed="false">
      <c r="A46" s="409" t="s">
        <v>1434</v>
      </c>
      <c r="B46" s="421" t="n">
        <f aca="false">B32</f>
        <v>6648.3773</v>
      </c>
      <c r="C46" s="421" t="n">
        <f aca="false">C32</f>
        <v>0</v>
      </c>
      <c r="D46" s="421" t="n">
        <f aca="false">D32</f>
        <v>0</v>
      </c>
      <c r="E46" s="421" t="n">
        <f aca="false">E32</f>
        <v>0</v>
      </c>
      <c r="F46" s="421" t="n">
        <f aca="false">F32</f>
        <v>0</v>
      </c>
      <c r="G46" s="421" t="n">
        <f aca="false">G32</f>
        <v>0</v>
      </c>
      <c r="H46" s="421" t="n">
        <f aca="false">H32</f>
        <v>0</v>
      </c>
      <c r="I46" s="421" t="n">
        <f aca="false">I32</f>
        <v>0</v>
      </c>
      <c r="J46" s="421" t="n">
        <f aca="false">J32</f>
        <v>0</v>
      </c>
      <c r="K46" s="429" t="n">
        <f aca="false">SUM(B46:J46)</f>
        <v>6648.3773</v>
      </c>
    </row>
    <row r="47" customFormat="false" ht="15" hidden="false" customHeight="true" outlineLevel="0" collapsed="false">
      <c r="A47" s="409" t="s">
        <v>1431</v>
      </c>
      <c r="B47" s="421" t="n">
        <f aca="false">B40*(1-'APA Inputs'!$B$14)</f>
        <v>915.383032999997</v>
      </c>
      <c r="C47" s="421" t="n">
        <f aca="false">C40*(1-'APA Inputs'!$B$14)</f>
        <v>0</v>
      </c>
      <c r="D47" s="421" t="n">
        <f aca="false">D40*(1-'APA Inputs'!$B$14)</f>
        <v>0</v>
      </c>
      <c r="E47" s="421" t="n">
        <f aca="false">E40*(1-'APA Inputs'!$B$14)</f>
        <v>0</v>
      </c>
      <c r="F47" s="421" t="n">
        <f aca="false">F40*(1-'APA Inputs'!$B$14)</f>
        <v>0</v>
      </c>
      <c r="G47" s="421" t="n">
        <f aca="false">G40*(1-'APA Inputs'!$B$14)</f>
        <v>0</v>
      </c>
      <c r="H47" s="421" t="n">
        <f aca="false">H40*(1-'APA Inputs'!$B$14)</f>
        <v>0</v>
      </c>
      <c r="I47" s="421" t="n">
        <f aca="false">I40*(1-'APA Inputs'!$B$14)</f>
        <v>0</v>
      </c>
      <c r="J47" s="421" t="n">
        <f aca="false">J40*(1-'APA Inputs'!$B$14)</f>
        <v>0</v>
      </c>
      <c r="K47" s="429" t="n">
        <f aca="false">SUM(B47:J47)</f>
        <v>915.383032999997</v>
      </c>
    </row>
    <row r="48" customFormat="false" ht="15" hidden="false" customHeight="true" outlineLevel="0" collapsed="false">
      <c r="A48" s="431" t="s">
        <v>1435</v>
      </c>
      <c r="B48" s="432" t="n">
        <f aca="false">B46+B47</f>
        <v>7563.760333</v>
      </c>
      <c r="C48" s="432" t="n">
        <f aca="false">C46+C47</f>
        <v>0</v>
      </c>
      <c r="D48" s="432" t="n">
        <f aca="false">D46+D47</f>
        <v>0</v>
      </c>
      <c r="E48" s="432" t="n">
        <f aca="false">E46+E47</f>
        <v>0</v>
      </c>
      <c r="F48" s="432" t="n">
        <f aca="false">F46+F47</f>
        <v>0</v>
      </c>
      <c r="G48" s="432" t="n">
        <f aca="false">G46+G47</f>
        <v>0</v>
      </c>
      <c r="H48" s="432" t="n">
        <f aca="false">H46+H47</f>
        <v>0</v>
      </c>
      <c r="I48" s="432" t="n">
        <f aca="false">I46+I47</f>
        <v>0</v>
      </c>
      <c r="J48" s="432" t="n">
        <f aca="false">J46+J47</f>
        <v>0</v>
      </c>
      <c r="K48" s="429" t="n">
        <f aca="false">SUM(B48:J48)</f>
        <v>7563.760333</v>
      </c>
    </row>
    <row r="49" customFormat="false" ht="15" hidden="false" customHeight="true" outlineLevel="0" collapsed="false">
      <c r="A49" s="430" t="s">
        <v>1436</v>
      </c>
      <c r="B49" s="427"/>
      <c r="C49" s="427"/>
      <c r="D49" s="427"/>
      <c r="E49" s="427"/>
      <c r="F49" s="427"/>
      <c r="G49" s="427"/>
      <c r="H49" s="427"/>
      <c r="I49" s="427"/>
      <c r="J49" s="427"/>
      <c r="K49" s="427"/>
    </row>
    <row r="50" customFormat="false" ht="15" hidden="false" customHeight="true" outlineLevel="0" collapsed="false">
      <c r="A50" s="409" t="s">
        <v>1437</v>
      </c>
      <c r="B50" s="421" t="n">
        <f aca="false">-MIN(0,B39)</f>
        <v>-0</v>
      </c>
      <c r="C50" s="421" t="n">
        <f aca="false">-MIN(0,C39)</f>
        <v>3559.66</v>
      </c>
      <c r="D50" s="421" t="n">
        <f aca="false">-MIN(0,D39)</f>
        <v>122387.38</v>
      </c>
      <c r="E50" s="421" t="n">
        <f aca="false">-MIN(0,E39)</f>
        <v>177322.5</v>
      </c>
      <c r="F50" s="421" t="n">
        <f aca="false">-MIN(0,F39)</f>
        <v>178118.175</v>
      </c>
      <c r="G50" s="421" t="n">
        <f aca="false">-MIN(0,G39)</f>
        <v>178937.72025</v>
      </c>
      <c r="H50" s="421" t="n">
        <f aca="false">-MIN(0,H39)</f>
        <v>179781.8518575</v>
      </c>
      <c r="I50" s="421" t="n">
        <f aca="false">-MIN(0,I39)</f>
        <v>180651.307413225</v>
      </c>
      <c r="J50" s="421" t="n">
        <f aca="false">-MIN(0,J39)</f>
        <v>181546.846635622</v>
      </c>
      <c r="K50" s="429" t="n">
        <f aca="false">SUM(B50:J50)</f>
        <v>1202305.44115635</v>
      </c>
    </row>
    <row r="51" customFormat="false" ht="15" hidden="false" customHeight="true" outlineLevel="0" collapsed="false">
      <c r="A51" s="434" t="s">
        <v>1438</v>
      </c>
      <c r="B51" s="435" t="n">
        <f aca="false">ROUND(B23-B25-B37-B38-B44-B48+B50,0)</f>
        <v>0</v>
      </c>
      <c r="C51" s="435" t="n">
        <f aca="false">ROUND(C23-C25-C37-C38-C44-C48+C50,0)</f>
        <v>0</v>
      </c>
      <c r="D51" s="435" t="n">
        <f aca="false">ROUND(D23-D25-D37-D38-D44-D48+D50,0)</f>
        <v>0</v>
      </c>
      <c r="E51" s="435" t="n">
        <f aca="false">ROUND(E23-E25-E37-E38-E44-E48+E50,0)</f>
        <v>0</v>
      </c>
      <c r="F51" s="435" t="n">
        <f aca="false">ROUND(F23-F25-F37-F38-F44-F48+F50,0)</f>
        <v>0</v>
      </c>
      <c r="G51" s="435" t="n">
        <f aca="false">ROUND(G23-G25-G37-G38-G44-G48+G50,0)</f>
        <v>0</v>
      </c>
      <c r="H51" s="435" t="n">
        <f aca="false">ROUND(H23-H25-H37-H38-H44-H48+H50,0)</f>
        <v>0</v>
      </c>
      <c r="I51" s="435" t="n">
        <f aca="false">ROUND(I23-I25-I37-I38-I44-I48+I50,0)</f>
        <v>0</v>
      </c>
      <c r="J51" s="435" t="n">
        <f aca="false">ROUND(J23-J25-J37-J38-J44-J48+J50,0)</f>
        <v>0</v>
      </c>
      <c r="K51" s="429" t="n">
        <f aca="false">SUM(B51:J51)</f>
        <v>0</v>
      </c>
    </row>
    <row r="53" customFormat="false" ht="15" hidden="false" customHeight="true" outlineLevel="0" collapsed="false">
      <c r="A53" s="409" t="s">
        <v>1439</v>
      </c>
      <c r="B53" s="421" t="n">
        <f aca="false">MIN(B29,B50)</f>
        <v>-0</v>
      </c>
      <c r="C53" s="421" t="n">
        <f aca="false">MIN(C29,C50)</f>
        <v>3559.66</v>
      </c>
      <c r="D53" s="421" t="n">
        <f aca="false">MIN(D29,D50)</f>
        <v>122387.38</v>
      </c>
      <c r="E53" s="421" t="n">
        <f aca="false">MIN(E29,E50)</f>
        <v>150000</v>
      </c>
      <c r="F53" s="421" t="n">
        <f aca="false">MIN(F29,F50)</f>
        <v>150000</v>
      </c>
      <c r="G53" s="421" t="n">
        <f aca="false">MIN(G29,G50)</f>
        <v>150000</v>
      </c>
      <c r="H53" s="421" t="n">
        <f aca="false">MIN(H29,H50)</f>
        <v>150000</v>
      </c>
      <c r="I53" s="421" t="n">
        <f aca="false">MIN(I29,I50)</f>
        <v>150000</v>
      </c>
      <c r="J53" s="421" t="n">
        <f aca="false">MIN(J29,J50)</f>
        <v>150000</v>
      </c>
      <c r="K53" s="421" t="n">
        <f aca="false">SUM(B53:J53)</f>
        <v>1025947.04</v>
      </c>
    </row>
    <row r="54" customFormat="false" ht="15" hidden="false" customHeight="true" outlineLevel="0" collapsed="false">
      <c r="A54" s="409" t="s">
        <v>1440</v>
      </c>
      <c r="B54" s="421" t="n">
        <f aca="false">B53</f>
        <v>-0</v>
      </c>
      <c r="C54" s="421" t="n">
        <f aca="false">B54+C53</f>
        <v>3559.66</v>
      </c>
      <c r="D54" s="421" t="n">
        <f aca="false">C54+D53</f>
        <v>125947.04</v>
      </c>
      <c r="E54" s="421" t="n">
        <f aca="false">D54+E53</f>
        <v>275947.04</v>
      </c>
      <c r="F54" s="421" t="n">
        <f aca="false">E54+F53</f>
        <v>425947.04</v>
      </c>
      <c r="G54" s="421" t="n">
        <f aca="false">F54+G53</f>
        <v>575947.04</v>
      </c>
      <c r="H54" s="421" t="n">
        <f aca="false">G54+H53</f>
        <v>725947.04</v>
      </c>
      <c r="I54" s="421" t="n">
        <f aca="false">H54+I53</f>
        <v>875947.04</v>
      </c>
      <c r="J54" s="421" t="n">
        <f aca="false">I54+J53</f>
        <v>1025947.04</v>
      </c>
      <c r="K54" s="421"/>
    </row>
    <row r="56" customFormat="false" ht="15" hidden="false" customHeight="true" outlineLevel="0" collapsed="false">
      <c r="A56" s="405" t="s">
        <v>1441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
  <dcterms:modified xsi:type="dcterms:W3CDTF">2026-10-26T21:15:48Z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